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Working\aSFHA_bSF\Documents\FromKurt\"/>
    </mc:Choice>
  </mc:AlternateContent>
  <bookViews>
    <workbookView xWindow="-105" yWindow="-105" windowWidth="19425" windowHeight="10425" tabRatio="818" firstSheet="8" activeTab="14"/>
  </bookViews>
  <sheets>
    <sheet name="Overview" sheetId="17" r:id="rId1"/>
    <sheet name="bSF" sheetId="22" r:id="rId2"/>
    <sheet name="aSFHA" sheetId="5" r:id="rId3"/>
    <sheet name="All_flood_zones" sheetId="9" r:id="rId4"/>
    <sheet name="HRFZ_FIRM" sheetId="15" r:id="rId5"/>
    <sheet name="FIRM_Status" sheetId="25" r:id="rId6"/>
    <sheet name="CID-HRFZ_exposure" sheetId="20" r:id="rId7"/>
    <sheet name="bSF_flood_depth_sources" sheetId="14" r:id="rId8"/>
    <sheet name="Critical Infrastructue" sheetId="24" r:id="rId9"/>
    <sheet name="bSF_by_flood_zones_Dams" sheetId="27" r:id="rId10"/>
    <sheet name="bSF_by_flood_zones_Levees" sheetId="28" r:id="rId11"/>
    <sheet name="bSF_Riparian" sheetId="31" r:id="rId12"/>
    <sheet name="CRS_422_a" sheetId="29" r:id="rId13"/>
    <sheet name="CRS_422_b" sheetId="30" r:id="rId14"/>
    <sheet name="CRS_422_c" sheetId="32" r:id="rId15"/>
    <sheet name="CRS_432_b" sheetId="37" r:id="rId16"/>
    <sheet name="CRS520" sheetId="33" r:id="rId17"/>
    <sheet name="aNFOS" sheetId="36" r:id="rId18"/>
    <sheet name="Impervious_Pervious" sheetId="44" r:id="rId19"/>
    <sheet name="DepthGridWSEL-Percent_Community" sheetId="43" r:id="rId20"/>
    <sheet name="MinusRatedAgg_Communities" sheetId="35" r:id="rId21"/>
    <sheet name="FEMA Region 3 Community Data" sheetId="23" r:id="rId22"/>
    <sheet name="WV_CEP_Report_2019" sheetId="26" r:id="rId23"/>
    <sheet name="Transportation-Roads" sheetId="42" r:id="rId24"/>
    <sheet name="Transportation-RailRoad" sheetId="41" r:id="rId25"/>
    <sheet name="Transportation-Bridges" sheetId="40" r:id="rId26"/>
    <sheet name="SL-Community" sheetId="34" r:id="rId27"/>
    <sheet name="SL-County" sheetId="18" r:id="rId28"/>
    <sheet name="SL-State" sheetId="19" r:id="rId29"/>
    <sheet name="Landslide-By Land use" sheetId="38" r:id="rId30"/>
    <sheet name="Landslide-By Floodplain" sheetId="39" r:id="rId31"/>
    <sheet name="Landslide_Types" sheetId="48" r:id="rId32"/>
    <sheet name="WV_Communities_Demographic" sheetId="46" r:id="rId33"/>
    <sheet name="Split Communities" sheetId="3" r:id="rId34"/>
  </sheets>
  <externalReferences>
    <externalReference r:id="rId35"/>
  </externalReferences>
  <definedNames>
    <definedName name="_xlnm._FilterDatabase" localSheetId="22" hidden="1">WV_CEP_Report_2019!$A$1:$BQ$284</definedName>
    <definedName name="Geography">'[1]Report Set Up'!$D$11</definedName>
    <definedName name="Interest1">'[1]Custom Weighting'!$J$18</definedName>
    <definedName name="Interest2">'[1]Custom Weighting'!$J$19</definedName>
    <definedName name="Interest3">'[1]Custom Weighting'!$J$20</definedName>
    <definedName name="Interest4">'[1]Custom Weighting'!$J$21</definedName>
    <definedName name="Interest5">'[1]Custom Weighting'!$J$22</definedName>
    <definedName name="Interest6">'[1]Custom Weighting'!$J$23</definedName>
    <definedName name="Interest7">'[1]Custom Weighting'!$J$24</definedName>
    <definedName name="Interest8">'[1]Custom Weighting'!$J$25</definedName>
    <definedName name="Opportunity1">'[1]Custom Weighting'!$G$18</definedName>
    <definedName name="Opportunity2">'[1]Custom Weighting'!$G$19</definedName>
    <definedName name="Opportunity3">'[1]Custom Weighting'!$G$20</definedName>
    <definedName name="Opportunity4">'[1]Custom Weighting'!$G$21</definedName>
    <definedName name="Opportunity5">'[1]Custom Weighting'!$G$22</definedName>
    <definedName name="Risk1">'[1]Custom Weighting'!$D$18</definedName>
    <definedName name="Risk10">'[1]Custom Weighting'!$D$27</definedName>
    <definedName name="Risk11">'[1]Custom Weighting'!$D$28</definedName>
    <definedName name="Risk12">'[1]Custom Weighting'!$D$29</definedName>
    <definedName name="Risk13">'[1]Custom Weighting'!$D$30</definedName>
    <definedName name="Risk14">'[1]Custom Weighting'!$D$31</definedName>
    <definedName name="Risk15">'[1]Custom Weighting'!$D$32</definedName>
    <definedName name="Risk2">'[1]Custom Weighting'!$D$19</definedName>
    <definedName name="Risk3">'[1]Custom Weighting'!$D$20</definedName>
    <definedName name="Risk4">'[1]Custom Weighting'!$D$21</definedName>
    <definedName name="Risk5">'[1]Custom Weighting'!$D$22</definedName>
    <definedName name="Risk7">'[1]Custom Weighting'!$D$24</definedName>
    <definedName name="Risk8">'[1]Custom Weighting'!$D$25</definedName>
    <definedName name="Risk9">'[1]Custom Weighting'!$D$26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3151" i="24" l="1"/>
  <c r="W3150" i="24"/>
  <c r="W3149" i="24"/>
  <c r="W3148" i="24"/>
  <c r="W3147" i="24"/>
  <c r="W3146" i="24"/>
  <c r="W3145" i="24"/>
  <c r="W3144" i="24"/>
  <c r="W3143" i="24"/>
  <c r="W3142" i="24"/>
  <c r="W3141" i="24"/>
  <c r="W3140" i="24"/>
  <c r="W3139" i="24"/>
  <c r="W3138" i="24"/>
  <c r="W3137" i="24"/>
  <c r="W3136" i="24"/>
  <c r="W3135" i="24"/>
  <c r="W3134" i="24"/>
  <c r="W3133" i="24"/>
  <c r="W3132" i="24"/>
  <c r="W3131" i="24"/>
  <c r="W3130" i="24"/>
  <c r="W3129" i="24"/>
  <c r="W3128" i="24"/>
  <c r="W3127" i="24"/>
  <c r="W3126" i="24"/>
  <c r="W3125" i="24"/>
  <c r="W3124" i="24"/>
  <c r="W3123" i="24"/>
  <c r="W3122" i="24"/>
  <c r="W3121" i="24"/>
  <c r="W3120" i="24"/>
  <c r="W3119" i="24"/>
  <c r="W3118" i="24"/>
  <c r="W3117" i="24"/>
  <c r="W3116" i="24"/>
  <c r="W3115" i="24"/>
  <c r="W3114" i="24"/>
  <c r="W3113" i="24"/>
  <c r="W3112" i="24"/>
  <c r="W3111" i="24"/>
  <c r="W3110" i="24"/>
  <c r="W3109" i="24"/>
  <c r="W3108" i="24"/>
  <c r="W3107" i="24"/>
  <c r="W3106" i="24"/>
  <c r="W3105" i="24"/>
  <c r="W3104" i="24"/>
  <c r="W3103" i="24"/>
  <c r="W3102" i="24"/>
  <c r="W3101" i="24"/>
  <c r="W3100" i="24"/>
  <c r="W3099" i="24"/>
  <c r="W3098" i="24"/>
  <c r="W3097" i="24"/>
  <c r="W3096" i="24"/>
  <c r="W3095" i="24"/>
  <c r="W3094" i="24"/>
  <c r="W3093" i="24"/>
  <c r="W3092" i="24"/>
  <c r="W3091" i="24"/>
  <c r="W3090" i="24"/>
  <c r="W3089" i="24"/>
  <c r="W3088" i="24"/>
  <c r="W3087" i="24"/>
  <c r="W3086" i="24"/>
  <c r="W3085" i="24"/>
  <c r="W3084" i="24"/>
  <c r="W3083" i="24"/>
  <c r="W3082" i="24"/>
  <c r="W3081" i="24"/>
  <c r="W3080" i="24"/>
  <c r="W3079" i="24"/>
  <c r="W3078" i="24"/>
  <c r="W3077" i="24"/>
  <c r="W3076" i="24"/>
  <c r="W3075" i="24"/>
  <c r="W3074" i="24"/>
  <c r="W3073" i="24"/>
  <c r="W3072" i="24"/>
  <c r="W3071" i="24"/>
  <c r="W3070" i="24"/>
  <c r="W3069" i="24"/>
  <c r="W3068" i="24"/>
  <c r="W3067" i="24"/>
  <c r="W3066" i="24"/>
  <c r="W3065" i="24"/>
  <c r="W3064" i="24"/>
  <c r="W3063" i="24"/>
  <c r="W3062" i="24"/>
  <c r="W3061" i="24"/>
  <c r="W3060" i="24"/>
  <c r="W3059" i="24"/>
  <c r="W3058" i="24"/>
  <c r="W3057" i="24"/>
  <c r="W3056" i="24"/>
  <c r="W3055" i="24"/>
  <c r="W3054" i="24"/>
  <c r="W3053" i="24"/>
  <c r="W3052" i="24"/>
  <c r="W3051" i="24"/>
  <c r="W3050" i="24"/>
  <c r="W3049" i="24"/>
  <c r="W3048" i="24"/>
  <c r="W3047" i="24"/>
  <c r="W3046" i="24"/>
  <c r="W3045" i="24"/>
  <c r="W3044" i="24"/>
  <c r="W3043" i="24"/>
  <c r="W3042" i="24"/>
  <c r="W3041" i="24"/>
  <c r="W3040" i="24"/>
  <c r="W3039" i="24"/>
  <c r="W3038" i="24"/>
  <c r="W3037" i="24"/>
  <c r="W3036" i="24"/>
  <c r="W3035" i="24"/>
  <c r="W3034" i="24"/>
  <c r="W3033" i="24"/>
  <c r="W3032" i="24"/>
  <c r="W3031" i="24"/>
  <c r="W3030" i="24"/>
  <c r="W3029" i="24"/>
  <c r="W3028" i="24"/>
  <c r="W3027" i="24"/>
  <c r="W3026" i="24"/>
  <c r="W3025" i="24"/>
  <c r="W3024" i="24"/>
  <c r="W3023" i="24"/>
  <c r="W3022" i="24"/>
  <c r="W3021" i="24"/>
  <c r="W3020" i="24"/>
  <c r="W3019" i="24"/>
  <c r="W3018" i="24"/>
  <c r="W3017" i="24"/>
  <c r="W3016" i="24"/>
  <c r="W3015" i="24"/>
  <c r="W3014" i="24"/>
  <c r="W3013" i="24"/>
  <c r="W3012" i="24"/>
  <c r="W3011" i="24"/>
  <c r="W3010" i="24"/>
  <c r="W3009" i="24"/>
  <c r="W3008" i="24"/>
  <c r="W3007" i="24"/>
  <c r="W3006" i="24"/>
  <c r="W3005" i="24"/>
  <c r="W3004" i="24"/>
  <c r="W3003" i="24"/>
  <c r="W3002" i="24"/>
  <c r="W3001" i="24"/>
  <c r="W3000" i="24"/>
  <c r="W2999" i="24"/>
  <c r="W2998" i="24"/>
  <c r="W2997" i="24"/>
  <c r="W2996" i="24"/>
  <c r="W2995" i="24"/>
  <c r="W2994" i="24"/>
  <c r="W2993" i="24"/>
  <c r="W2992" i="24"/>
  <c r="W2991" i="24"/>
  <c r="W2990" i="24"/>
  <c r="W2989" i="24"/>
  <c r="W2988" i="24"/>
  <c r="W2987" i="24"/>
  <c r="W2986" i="24"/>
  <c r="W2985" i="24"/>
  <c r="W2984" i="24"/>
  <c r="W2983" i="24"/>
  <c r="W2982" i="24"/>
  <c r="W2981" i="24"/>
  <c r="W2980" i="24"/>
  <c r="W2979" i="24"/>
  <c r="W2978" i="24"/>
  <c r="W2977" i="24"/>
  <c r="W2976" i="24"/>
  <c r="W2975" i="24"/>
  <c r="W2974" i="24"/>
  <c r="W2973" i="24"/>
  <c r="W2972" i="24"/>
  <c r="W2971" i="24"/>
  <c r="W2970" i="24"/>
  <c r="W2969" i="24"/>
  <c r="W2968" i="24"/>
  <c r="W2967" i="24"/>
  <c r="W2966" i="24"/>
  <c r="W2965" i="24"/>
  <c r="W2964" i="24"/>
  <c r="W2963" i="24"/>
  <c r="W2962" i="24"/>
  <c r="W2961" i="24"/>
  <c r="W2960" i="24"/>
  <c r="W2959" i="24"/>
  <c r="W2958" i="24"/>
  <c r="W2957" i="24"/>
  <c r="W2956" i="24"/>
  <c r="W2955" i="24"/>
  <c r="W2954" i="24"/>
  <c r="W2953" i="24"/>
  <c r="W2952" i="24"/>
  <c r="W2951" i="24"/>
  <c r="W2950" i="24"/>
  <c r="W2949" i="24"/>
  <c r="W2948" i="24"/>
  <c r="W2947" i="24"/>
  <c r="W2946" i="24"/>
  <c r="W2945" i="24"/>
  <c r="W2944" i="24"/>
  <c r="W2943" i="24"/>
  <c r="W2942" i="24"/>
  <c r="W2941" i="24"/>
  <c r="W2940" i="24"/>
  <c r="W2939" i="24"/>
  <c r="W2938" i="24"/>
  <c r="W2937" i="24"/>
  <c r="W2936" i="24"/>
  <c r="W2935" i="24"/>
  <c r="W2934" i="24"/>
  <c r="W2933" i="24"/>
  <c r="W2932" i="24"/>
  <c r="W2931" i="24"/>
  <c r="W2930" i="24"/>
  <c r="W2929" i="24"/>
  <c r="W2928" i="24"/>
  <c r="W2927" i="24"/>
  <c r="W2926" i="24"/>
  <c r="W2925" i="24"/>
  <c r="W2924" i="24"/>
  <c r="W2923" i="24"/>
  <c r="W2922" i="24"/>
  <c r="W2921" i="24"/>
  <c r="W2920" i="24"/>
  <c r="W2919" i="24"/>
  <c r="W2918" i="24"/>
  <c r="W2917" i="24"/>
  <c r="W2916" i="24"/>
  <c r="W2915" i="24"/>
  <c r="W2914" i="24"/>
  <c r="W2913" i="24"/>
  <c r="W2912" i="24"/>
  <c r="W2911" i="24"/>
  <c r="W2910" i="24"/>
  <c r="W2909" i="24"/>
  <c r="W2908" i="24"/>
  <c r="W2907" i="24"/>
  <c r="W2906" i="24"/>
  <c r="W2905" i="24"/>
  <c r="W2904" i="24"/>
  <c r="W2903" i="24"/>
  <c r="W2902" i="24"/>
  <c r="W2901" i="24"/>
  <c r="W2900" i="24"/>
  <c r="W2899" i="24"/>
  <c r="W2898" i="24"/>
  <c r="W2897" i="24"/>
  <c r="W2896" i="24"/>
  <c r="W2895" i="24"/>
  <c r="W2894" i="24"/>
  <c r="W2893" i="24"/>
  <c r="W2892" i="24"/>
  <c r="W2891" i="24"/>
  <c r="W2890" i="24"/>
  <c r="W2889" i="24"/>
  <c r="W2888" i="24"/>
  <c r="W2887" i="24"/>
  <c r="W2886" i="24"/>
  <c r="W2885" i="24"/>
  <c r="W2884" i="24"/>
  <c r="W2883" i="24"/>
  <c r="W2882" i="24"/>
  <c r="W2881" i="24"/>
  <c r="W2880" i="24"/>
  <c r="W2879" i="24"/>
  <c r="W2878" i="24"/>
  <c r="W2877" i="24"/>
  <c r="W2876" i="24"/>
  <c r="W2875" i="24"/>
  <c r="W2874" i="24"/>
  <c r="W2873" i="24"/>
  <c r="W2872" i="24"/>
  <c r="W2871" i="24"/>
  <c r="W2870" i="24"/>
  <c r="W2869" i="24"/>
  <c r="W2868" i="24"/>
  <c r="W2867" i="24"/>
  <c r="W2866" i="24"/>
  <c r="W2865" i="24"/>
  <c r="W2864" i="24"/>
  <c r="W2863" i="24"/>
  <c r="W2862" i="24"/>
  <c r="W2861" i="24"/>
  <c r="W2860" i="24"/>
  <c r="W2859" i="24"/>
  <c r="W2858" i="24"/>
  <c r="W2857" i="24"/>
  <c r="W2856" i="24"/>
  <c r="W2855" i="24"/>
  <c r="W2854" i="24"/>
  <c r="W2853" i="24"/>
  <c r="W2852" i="24"/>
  <c r="W2851" i="24"/>
  <c r="W2850" i="24"/>
  <c r="W2849" i="24"/>
  <c r="W2848" i="24"/>
  <c r="W2847" i="24"/>
  <c r="W2846" i="24"/>
  <c r="W2845" i="24"/>
  <c r="W2844" i="24"/>
  <c r="W2843" i="24"/>
  <c r="W2842" i="24"/>
  <c r="W2841" i="24"/>
  <c r="W2840" i="24"/>
  <c r="W2839" i="24"/>
  <c r="W2838" i="24"/>
  <c r="W2837" i="24"/>
  <c r="W2836" i="24"/>
  <c r="W2835" i="24"/>
  <c r="W2834" i="24"/>
  <c r="W2833" i="24"/>
  <c r="W2832" i="24"/>
  <c r="W2831" i="24"/>
  <c r="W2830" i="24"/>
  <c r="W2829" i="24"/>
  <c r="W2828" i="24"/>
  <c r="W2827" i="24"/>
  <c r="W2826" i="24"/>
  <c r="W2825" i="24"/>
  <c r="W2824" i="24"/>
  <c r="W2823" i="24"/>
  <c r="W2822" i="24"/>
  <c r="W2821" i="24"/>
  <c r="W2820" i="24"/>
  <c r="W2819" i="24"/>
  <c r="W2818" i="24"/>
  <c r="W2817" i="24"/>
  <c r="W2816" i="24"/>
  <c r="W2815" i="24"/>
  <c r="W2814" i="24"/>
  <c r="W2813" i="24"/>
  <c r="W2812" i="24"/>
  <c r="W2811" i="24"/>
  <c r="W2810" i="24"/>
  <c r="W2809" i="24"/>
  <c r="W2808" i="24"/>
  <c r="W2807" i="24"/>
  <c r="W2806" i="24"/>
  <c r="W2805" i="24"/>
  <c r="W2804" i="24"/>
  <c r="W2803" i="24"/>
  <c r="W2802" i="24"/>
  <c r="W2801" i="24"/>
  <c r="W2800" i="24"/>
  <c r="W2799" i="24"/>
  <c r="W2798" i="24"/>
  <c r="W2797" i="24"/>
  <c r="W2796" i="24"/>
  <c r="W2795" i="24"/>
  <c r="W2794" i="24"/>
  <c r="W2793" i="24"/>
  <c r="W2792" i="24"/>
  <c r="W2791" i="24"/>
  <c r="W2790" i="24"/>
  <c r="W2789" i="24"/>
  <c r="W2788" i="24"/>
  <c r="W2787" i="24"/>
  <c r="W2786" i="24"/>
  <c r="W2785" i="24"/>
  <c r="W2784" i="24"/>
  <c r="W2783" i="24"/>
  <c r="W2782" i="24"/>
  <c r="W2781" i="24"/>
  <c r="W2780" i="24"/>
  <c r="W2779" i="24"/>
  <c r="W2778" i="24"/>
  <c r="W2777" i="24"/>
  <c r="W2776" i="24"/>
  <c r="W2775" i="24"/>
  <c r="W2774" i="24"/>
  <c r="W2773" i="24"/>
  <c r="W2772" i="24"/>
  <c r="W2771" i="24"/>
  <c r="W2770" i="24"/>
  <c r="W2769" i="24"/>
  <c r="W2768" i="24"/>
  <c r="W2767" i="24"/>
  <c r="W2766" i="24"/>
  <c r="W2765" i="24"/>
  <c r="W2764" i="24"/>
  <c r="W2763" i="24"/>
  <c r="W2762" i="24"/>
  <c r="W2761" i="24"/>
  <c r="W2760" i="24"/>
  <c r="W2759" i="24"/>
  <c r="W2758" i="24"/>
  <c r="W2757" i="24"/>
  <c r="W2756" i="24"/>
  <c r="W2755" i="24"/>
  <c r="W2754" i="24"/>
  <c r="W2753" i="24"/>
  <c r="W2752" i="24"/>
  <c r="W2751" i="24"/>
  <c r="W2750" i="24"/>
  <c r="W2749" i="24"/>
  <c r="W2748" i="24"/>
  <c r="W2747" i="24"/>
  <c r="W2746" i="24"/>
  <c r="W2745" i="24"/>
  <c r="W2744" i="24"/>
  <c r="W2743" i="24"/>
  <c r="W2742" i="24"/>
  <c r="W2741" i="24"/>
  <c r="W2740" i="24"/>
  <c r="W2739" i="24"/>
  <c r="W2738" i="24"/>
  <c r="W2737" i="24"/>
  <c r="W2736" i="24"/>
  <c r="W2735" i="24"/>
  <c r="W2734" i="24"/>
  <c r="W2733" i="24"/>
  <c r="W2732" i="24"/>
  <c r="W2731" i="24"/>
  <c r="W2730" i="24"/>
  <c r="W2729" i="24"/>
  <c r="W2728" i="24"/>
  <c r="W2727" i="24"/>
  <c r="W2726" i="24"/>
  <c r="W2725" i="24"/>
  <c r="W2724" i="24"/>
  <c r="W2723" i="24"/>
  <c r="W2722" i="24"/>
  <c r="W2721" i="24"/>
  <c r="W2720" i="24"/>
  <c r="W2719" i="24"/>
  <c r="W2718" i="24"/>
  <c r="W2717" i="24"/>
  <c r="W2716" i="24"/>
  <c r="W2715" i="24"/>
  <c r="W2714" i="24"/>
  <c r="W2713" i="24"/>
  <c r="W2712" i="24"/>
  <c r="W2711" i="24"/>
  <c r="W2710" i="24"/>
  <c r="W2709" i="24"/>
  <c r="W2708" i="24"/>
  <c r="W2707" i="24"/>
  <c r="W2706" i="24"/>
  <c r="W2705" i="24"/>
  <c r="W2704" i="24"/>
  <c r="W2703" i="24"/>
  <c r="W2702" i="24"/>
  <c r="W2701" i="24"/>
  <c r="W2700" i="24"/>
  <c r="W2699" i="24"/>
  <c r="W2698" i="24"/>
  <c r="W2697" i="24"/>
  <c r="W2696" i="24"/>
  <c r="W2695" i="24"/>
  <c r="W2694" i="24"/>
  <c r="W2693" i="24"/>
  <c r="W2692" i="24"/>
  <c r="W2691" i="24"/>
  <c r="W2690" i="24"/>
  <c r="W2689" i="24"/>
  <c r="W2688" i="24"/>
  <c r="W2687" i="24"/>
  <c r="W2686" i="24"/>
  <c r="W2685" i="24"/>
  <c r="W2684" i="24"/>
  <c r="W2683" i="24"/>
  <c r="W2682" i="24"/>
  <c r="W2681" i="24"/>
  <c r="W2680" i="24"/>
  <c r="W2679" i="24"/>
  <c r="W2678" i="24"/>
  <c r="W2677" i="24"/>
  <c r="W2676" i="24"/>
  <c r="W2675" i="24"/>
  <c r="W2674" i="24"/>
  <c r="W2673" i="24"/>
  <c r="W2672" i="24"/>
  <c r="W2671" i="24"/>
  <c r="W2670" i="24"/>
  <c r="W2669" i="24"/>
  <c r="W2668" i="24"/>
  <c r="W2667" i="24"/>
  <c r="W2666" i="24"/>
  <c r="W2665" i="24"/>
  <c r="W2664" i="24"/>
  <c r="W2663" i="24"/>
  <c r="W2662" i="24"/>
  <c r="W2661" i="24"/>
  <c r="W2660" i="24"/>
  <c r="W2659" i="24"/>
  <c r="W2658" i="24"/>
  <c r="W2657" i="24"/>
  <c r="W2656" i="24"/>
  <c r="W2655" i="24"/>
  <c r="W2654" i="24"/>
  <c r="W2653" i="24"/>
  <c r="W2652" i="24"/>
  <c r="W2651" i="24"/>
  <c r="W2650" i="24"/>
  <c r="W2649" i="24"/>
  <c r="W2648" i="24"/>
  <c r="W2647" i="24"/>
  <c r="W2646" i="24"/>
  <c r="W2645" i="24"/>
  <c r="W2644" i="24"/>
  <c r="W2643" i="24"/>
  <c r="W2642" i="24"/>
  <c r="W2641" i="24"/>
  <c r="W2640" i="24"/>
  <c r="W2639" i="24"/>
  <c r="W2638" i="24"/>
  <c r="W2637" i="24"/>
  <c r="W2636" i="24"/>
  <c r="W2635" i="24"/>
  <c r="W2634" i="24"/>
  <c r="W2633" i="24"/>
  <c r="W2632" i="24"/>
  <c r="W2631" i="24"/>
  <c r="W2630" i="24"/>
  <c r="W2629" i="24"/>
  <c r="W2628" i="24"/>
  <c r="W2627" i="24"/>
  <c r="W2626" i="24"/>
  <c r="W2625" i="24"/>
  <c r="W2624" i="24"/>
  <c r="W2623" i="24"/>
  <c r="W2622" i="24"/>
  <c r="W2621" i="24"/>
  <c r="W2620" i="24"/>
  <c r="W2619" i="24"/>
  <c r="W2618" i="24"/>
  <c r="W2617" i="24"/>
  <c r="W2616" i="24"/>
  <c r="W2615" i="24"/>
  <c r="W2614" i="24"/>
  <c r="W2613" i="24"/>
  <c r="W2612" i="24"/>
  <c r="W2611" i="24"/>
  <c r="W2610" i="24"/>
  <c r="W2609" i="24"/>
  <c r="W2608" i="24"/>
  <c r="W2607" i="24"/>
  <c r="W2606" i="24"/>
  <c r="W2605" i="24"/>
  <c r="W2604" i="24"/>
  <c r="W2603" i="24"/>
  <c r="W2602" i="24"/>
  <c r="W2601" i="24"/>
  <c r="W2600" i="24"/>
  <c r="W2599" i="24"/>
  <c r="W2598" i="24"/>
  <c r="W2597" i="24"/>
  <c r="W2596" i="24"/>
  <c r="W2595" i="24"/>
  <c r="W2594" i="24"/>
  <c r="W2593" i="24"/>
  <c r="W2592" i="24"/>
  <c r="W2591" i="24"/>
  <c r="W2590" i="24"/>
  <c r="W2589" i="24"/>
  <c r="W2588" i="24"/>
  <c r="W2587" i="24"/>
  <c r="W2586" i="24"/>
  <c r="W2585" i="24"/>
  <c r="W2584" i="24"/>
  <c r="W2583" i="24"/>
  <c r="W2582" i="24"/>
  <c r="W2581" i="24"/>
  <c r="W2580" i="24"/>
  <c r="W2579" i="24"/>
  <c r="W2578" i="24"/>
  <c r="W2577" i="24"/>
  <c r="W2576" i="24"/>
  <c r="W2575" i="24"/>
  <c r="W2574" i="24"/>
  <c r="W2573" i="24"/>
  <c r="W2572" i="24"/>
  <c r="W2571" i="24"/>
  <c r="W2570" i="24"/>
  <c r="W2569" i="24"/>
  <c r="W2568" i="24"/>
  <c r="W2567" i="24"/>
  <c r="W2566" i="24"/>
  <c r="W2565" i="24"/>
  <c r="W2564" i="24"/>
  <c r="W2563" i="24"/>
  <c r="W2562" i="24"/>
  <c r="W2561" i="24"/>
  <c r="W2560" i="24"/>
  <c r="W2559" i="24"/>
  <c r="W2558" i="24"/>
  <c r="W2557" i="24"/>
  <c r="W2556" i="24"/>
  <c r="W2555" i="24"/>
  <c r="W2554" i="24"/>
  <c r="W2553" i="24"/>
  <c r="W2552" i="24"/>
  <c r="W2551" i="24"/>
  <c r="W2550" i="24"/>
  <c r="W2549" i="24"/>
  <c r="W2548" i="24"/>
  <c r="W2547" i="24"/>
  <c r="W2546" i="24"/>
  <c r="W2545" i="24"/>
  <c r="W2544" i="24"/>
  <c r="W2543" i="24"/>
  <c r="W2542" i="24"/>
  <c r="W2541" i="24"/>
  <c r="W2540" i="24"/>
  <c r="W2539" i="24"/>
  <c r="W2538" i="24"/>
  <c r="W2537" i="24"/>
  <c r="W2536" i="24"/>
  <c r="W2535" i="24"/>
  <c r="W2534" i="24"/>
  <c r="W2533" i="24"/>
  <c r="W2532" i="24"/>
  <c r="W2531" i="24"/>
  <c r="W2530" i="24"/>
  <c r="W2529" i="24"/>
  <c r="W2528" i="24"/>
  <c r="W2527" i="24"/>
  <c r="W2526" i="24"/>
  <c r="W2525" i="24"/>
  <c r="W2524" i="24"/>
  <c r="W2523" i="24"/>
  <c r="W2522" i="24"/>
  <c r="W2521" i="24"/>
  <c r="W2520" i="24"/>
  <c r="W2519" i="24"/>
  <c r="W2518" i="24"/>
  <c r="W2517" i="24"/>
  <c r="W2516" i="24"/>
  <c r="W2515" i="24"/>
  <c r="W2514" i="24"/>
  <c r="W2513" i="24"/>
  <c r="W2512" i="24"/>
  <c r="W2511" i="24"/>
  <c r="W2510" i="24"/>
  <c r="W2509" i="24"/>
  <c r="W2508" i="24"/>
  <c r="W2507" i="24"/>
  <c r="W2506" i="24"/>
  <c r="W2505" i="24"/>
  <c r="W2504" i="24"/>
  <c r="W2503" i="24"/>
  <c r="W2502" i="24"/>
  <c r="W2501" i="24"/>
  <c r="W2500" i="24"/>
  <c r="W2499" i="24"/>
  <c r="W2498" i="24"/>
  <c r="W2497" i="24"/>
  <c r="W2496" i="24"/>
  <c r="W2495" i="24"/>
  <c r="W2494" i="24"/>
  <c r="W2493" i="24"/>
  <c r="W2492" i="24"/>
  <c r="W2491" i="24"/>
  <c r="W2490" i="24"/>
  <c r="W2489" i="24"/>
  <c r="W2488" i="24"/>
  <c r="W2487" i="24"/>
  <c r="W2486" i="24"/>
  <c r="W2485" i="24"/>
  <c r="W2484" i="24"/>
  <c r="W2483" i="24"/>
  <c r="W2482" i="24"/>
  <c r="W2481" i="24"/>
  <c r="W2480" i="24"/>
  <c r="W2479" i="24"/>
  <c r="W2478" i="24"/>
  <c r="W2477" i="24"/>
  <c r="W2476" i="24"/>
  <c r="W2475" i="24"/>
  <c r="W2474" i="24"/>
  <c r="W2473" i="24"/>
  <c r="W2472" i="24"/>
  <c r="W2471" i="24"/>
  <c r="W2470" i="24"/>
  <c r="W2469" i="24"/>
  <c r="W2468" i="24"/>
  <c r="W2467" i="24"/>
  <c r="W2466" i="24"/>
  <c r="W2465" i="24"/>
  <c r="W2464" i="24"/>
  <c r="W2463" i="24"/>
  <c r="W2462" i="24"/>
  <c r="W2461" i="24"/>
  <c r="W2460" i="24"/>
  <c r="W2459" i="24"/>
  <c r="W2458" i="24"/>
  <c r="W2457" i="24"/>
  <c r="W2456" i="24"/>
  <c r="W2455" i="24"/>
  <c r="W2454" i="24"/>
  <c r="W2453" i="24"/>
  <c r="W2452" i="24"/>
  <c r="W2451" i="24"/>
  <c r="W2450" i="24"/>
  <c r="W2449" i="24"/>
  <c r="W2448" i="24"/>
  <c r="W2447" i="24"/>
  <c r="W2446" i="24"/>
  <c r="W2445" i="24"/>
  <c r="W2444" i="24"/>
  <c r="W2443" i="24"/>
  <c r="W2442" i="24"/>
  <c r="W2441" i="24"/>
  <c r="W2440" i="24"/>
  <c r="W2439" i="24"/>
  <c r="W2438" i="24"/>
  <c r="W2437" i="24"/>
  <c r="W2436" i="24"/>
  <c r="W2435" i="24"/>
  <c r="W2434" i="24"/>
  <c r="W2433" i="24"/>
  <c r="W2432" i="24"/>
  <c r="W2431" i="24"/>
  <c r="W2430" i="24"/>
  <c r="W2429" i="24"/>
  <c r="W2428" i="24"/>
  <c r="W2427" i="24"/>
  <c r="W2426" i="24"/>
  <c r="W2425" i="24"/>
  <c r="W2424" i="24"/>
  <c r="W2423" i="24"/>
  <c r="W2422" i="24"/>
  <c r="W2421" i="24"/>
  <c r="W2420" i="24"/>
  <c r="W2419" i="24"/>
  <c r="W2418" i="24"/>
  <c r="W2417" i="24"/>
  <c r="W2416" i="24"/>
  <c r="W2415" i="24"/>
  <c r="W2414" i="24"/>
  <c r="W2413" i="24"/>
  <c r="W2412" i="24"/>
  <c r="W2411" i="24"/>
  <c r="W2410" i="24"/>
  <c r="W2409" i="24"/>
  <c r="W2408" i="24"/>
  <c r="W2407" i="24"/>
  <c r="W2406" i="24"/>
  <c r="W2405" i="24"/>
  <c r="W2404" i="24"/>
  <c r="W2403" i="24"/>
  <c r="W2402" i="24"/>
  <c r="W2401" i="24"/>
  <c r="W2400" i="24"/>
  <c r="W2399" i="24"/>
  <c r="W2398" i="24"/>
  <c r="W2397" i="24"/>
  <c r="W2396" i="24"/>
  <c r="W2395" i="24"/>
  <c r="W2394" i="24"/>
  <c r="W2393" i="24"/>
  <c r="W2392" i="24"/>
  <c r="W2391" i="24"/>
  <c r="W2390" i="24"/>
  <c r="W2389" i="24"/>
  <c r="W2388" i="24"/>
  <c r="W2387" i="24"/>
  <c r="W2386" i="24"/>
  <c r="W2385" i="24"/>
  <c r="W2384" i="24"/>
  <c r="W2383" i="24"/>
  <c r="W2382" i="24"/>
  <c r="W2381" i="24"/>
  <c r="W2380" i="24"/>
  <c r="W2379" i="24"/>
  <c r="W2378" i="24"/>
  <c r="W2377" i="24"/>
  <c r="W2376" i="24"/>
  <c r="W2375" i="24"/>
  <c r="W2374" i="24"/>
  <c r="W2373" i="24"/>
  <c r="W2372" i="24"/>
  <c r="W2371" i="24"/>
  <c r="W2370" i="24"/>
  <c r="W2369" i="24"/>
  <c r="W2368" i="24"/>
  <c r="W2367" i="24"/>
  <c r="W2366" i="24"/>
  <c r="W2365" i="24"/>
  <c r="W2364" i="24"/>
  <c r="W2363" i="24"/>
  <c r="W2362" i="24"/>
  <c r="W2361" i="24"/>
  <c r="W2360" i="24"/>
  <c r="W2359" i="24"/>
  <c r="W2358" i="24"/>
  <c r="W2357" i="24"/>
  <c r="W2356" i="24"/>
  <c r="W2355" i="24"/>
  <c r="W2354" i="24"/>
  <c r="W2353" i="24"/>
  <c r="W2352" i="24"/>
  <c r="W2351" i="24"/>
  <c r="W2350" i="24"/>
  <c r="W2349" i="24"/>
  <c r="W2348" i="24"/>
  <c r="W2347" i="24"/>
  <c r="W2346" i="24"/>
  <c r="W2345" i="24"/>
  <c r="W2344" i="24"/>
  <c r="W2343" i="24"/>
  <c r="W2342" i="24"/>
  <c r="W2341" i="24"/>
  <c r="W2340" i="24"/>
  <c r="W2339" i="24"/>
  <c r="W2338" i="24"/>
  <c r="W2337" i="24"/>
  <c r="W2336" i="24"/>
  <c r="W2335" i="24"/>
  <c r="W2334" i="24"/>
  <c r="W2333" i="24"/>
  <c r="W2332" i="24"/>
  <c r="W2331" i="24"/>
  <c r="W2330" i="24"/>
  <c r="W2329" i="24"/>
  <c r="W2328" i="24"/>
  <c r="W2327" i="24"/>
  <c r="W2326" i="24"/>
  <c r="W2325" i="24"/>
  <c r="W2324" i="24"/>
  <c r="W2323" i="24"/>
  <c r="W2322" i="24"/>
  <c r="W2321" i="24"/>
  <c r="W2320" i="24"/>
  <c r="W2319" i="24"/>
  <c r="W2318" i="24"/>
  <c r="W2317" i="24"/>
  <c r="W2316" i="24"/>
  <c r="W2315" i="24"/>
  <c r="W2314" i="24"/>
  <c r="W2313" i="24"/>
  <c r="W2312" i="24"/>
  <c r="W2311" i="24"/>
  <c r="W2310" i="24"/>
  <c r="W2309" i="24"/>
  <c r="W2308" i="24"/>
  <c r="W2307" i="24"/>
  <c r="W2306" i="24"/>
  <c r="W2305" i="24"/>
  <c r="W2304" i="24"/>
  <c r="W2303" i="24"/>
  <c r="W2302" i="24"/>
  <c r="W2301" i="24"/>
  <c r="W2300" i="24"/>
  <c r="W2299" i="24"/>
  <c r="W2298" i="24"/>
  <c r="W2297" i="24"/>
  <c r="W2296" i="24"/>
  <c r="W2295" i="24"/>
  <c r="W2294" i="24"/>
  <c r="W2293" i="24"/>
  <c r="W2292" i="24"/>
  <c r="W2291" i="24"/>
  <c r="W2290" i="24"/>
  <c r="W2289" i="24"/>
  <c r="W2288" i="24"/>
  <c r="W2287" i="24"/>
  <c r="W2286" i="24"/>
  <c r="W2285" i="24"/>
  <c r="W2284" i="24"/>
  <c r="W2283" i="24"/>
  <c r="W2282" i="24"/>
  <c r="W2281" i="24"/>
  <c r="W2280" i="24"/>
  <c r="W2279" i="24"/>
  <c r="W2278" i="24"/>
  <c r="W2277" i="24"/>
  <c r="W2276" i="24"/>
  <c r="W2275" i="24"/>
  <c r="W2274" i="24"/>
  <c r="W2273" i="24"/>
  <c r="W2272" i="24"/>
  <c r="W2271" i="24"/>
  <c r="W2270" i="24"/>
  <c r="W2269" i="24"/>
  <c r="W2268" i="24"/>
  <c r="W2267" i="24"/>
  <c r="W2266" i="24"/>
  <c r="W2265" i="24"/>
  <c r="W2264" i="24"/>
  <c r="W2263" i="24"/>
  <c r="W2262" i="24"/>
  <c r="W2261" i="24"/>
  <c r="W2260" i="24"/>
  <c r="W2259" i="24"/>
  <c r="W2258" i="24"/>
  <c r="W2257" i="24"/>
  <c r="W2256" i="24"/>
  <c r="W2255" i="24"/>
  <c r="W2254" i="24"/>
  <c r="W2253" i="24"/>
  <c r="W2252" i="24"/>
  <c r="W2251" i="24"/>
  <c r="W2250" i="24"/>
  <c r="W2249" i="24"/>
  <c r="W2248" i="24"/>
  <c r="W2247" i="24"/>
  <c r="W2246" i="24"/>
  <c r="W2245" i="24"/>
  <c r="W2244" i="24"/>
  <c r="W2243" i="24"/>
  <c r="W2242" i="24"/>
  <c r="W2241" i="24"/>
  <c r="W2240" i="24"/>
  <c r="W2239" i="24"/>
  <c r="W2238" i="24"/>
  <c r="W2237" i="24"/>
  <c r="W2236" i="24"/>
  <c r="W2235" i="24"/>
  <c r="W2234" i="24"/>
  <c r="W2233" i="24"/>
  <c r="W2232" i="24"/>
  <c r="W2231" i="24"/>
  <c r="W2230" i="24"/>
  <c r="W2229" i="24"/>
  <c r="W2228" i="24"/>
  <c r="W2227" i="24"/>
  <c r="W2226" i="24"/>
  <c r="W2225" i="24"/>
  <c r="W2224" i="24"/>
  <c r="W2223" i="24"/>
  <c r="W2222" i="24"/>
  <c r="W2221" i="24"/>
  <c r="W2220" i="24"/>
  <c r="W2219" i="24"/>
  <c r="W2218" i="24"/>
  <c r="W2217" i="24"/>
  <c r="W2216" i="24"/>
  <c r="W2215" i="24"/>
  <c r="W2214" i="24"/>
  <c r="W2213" i="24"/>
  <c r="W2212" i="24"/>
  <c r="W2211" i="24"/>
  <c r="W2210" i="24"/>
  <c r="W2209" i="24"/>
  <c r="W2208" i="24"/>
  <c r="W2207" i="24"/>
  <c r="W2206" i="24"/>
  <c r="W2205" i="24"/>
  <c r="W2204" i="24"/>
  <c r="W2203" i="24"/>
  <c r="W2202" i="24"/>
  <c r="W2201" i="24"/>
  <c r="W2200" i="24"/>
  <c r="W2199" i="24"/>
  <c r="W2198" i="24"/>
  <c r="W2197" i="24"/>
  <c r="W2196" i="24"/>
  <c r="W2195" i="24"/>
  <c r="W2194" i="24"/>
  <c r="W2193" i="24"/>
  <c r="W2192" i="24"/>
  <c r="W2191" i="24"/>
  <c r="W2190" i="24"/>
  <c r="W2189" i="24"/>
  <c r="W2188" i="24"/>
  <c r="W2187" i="24"/>
  <c r="W2186" i="24"/>
  <c r="W2185" i="24"/>
  <c r="W2184" i="24"/>
  <c r="W2183" i="24"/>
  <c r="W2182" i="24"/>
  <c r="W2181" i="24"/>
  <c r="W2180" i="24"/>
  <c r="W2179" i="24"/>
  <c r="W2178" i="24"/>
  <c r="W2177" i="24"/>
  <c r="W2176" i="24"/>
  <c r="W2175" i="24"/>
  <c r="W2174" i="24"/>
  <c r="W2173" i="24"/>
  <c r="W2172" i="24"/>
  <c r="W2171" i="24"/>
  <c r="W2170" i="24"/>
  <c r="W2169" i="24"/>
  <c r="W2168" i="24"/>
  <c r="W2167" i="24"/>
  <c r="W2166" i="24"/>
  <c r="W2165" i="24"/>
  <c r="W2164" i="24"/>
  <c r="W2163" i="24"/>
  <c r="W2162" i="24"/>
  <c r="W2161" i="24"/>
  <c r="W2160" i="24"/>
  <c r="W2159" i="24"/>
  <c r="W2158" i="24"/>
  <c r="W2157" i="24"/>
  <c r="W2156" i="24"/>
  <c r="W2155" i="24"/>
  <c r="W2154" i="24"/>
  <c r="W2153" i="24"/>
  <c r="W2152" i="24"/>
  <c r="W2151" i="24"/>
  <c r="W2150" i="24"/>
  <c r="W2149" i="24"/>
  <c r="W2148" i="24"/>
  <c r="W2147" i="24"/>
  <c r="W2146" i="24"/>
  <c r="W2145" i="24"/>
  <c r="W2144" i="24"/>
  <c r="W2143" i="24"/>
  <c r="W2142" i="24"/>
  <c r="W2141" i="24"/>
  <c r="W2140" i="24"/>
  <c r="W2139" i="24"/>
  <c r="W2138" i="24"/>
  <c r="W2137" i="24"/>
  <c r="W2136" i="24"/>
  <c r="W2135" i="24"/>
  <c r="W2134" i="24"/>
  <c r="W2133" i="24"/>
  <c r="W2132" i="24"/>
  <c r="W2131" i="24"/>
  <c r="W2130" i="24"/>
  <c r="W2129" i="24"/>
  <c r="W2128" i="24"/>
  <c r="W2127" i="24"/>
  <c r="W2126" i="24"/>
  <c r="W2125" i="24"/>
  <c r="W2124" i="24"/>
  <c r="W2123" i="24"/>
  <c r="W2122" i="24"/>
  <c r="W2121" i="24"/>
  <c r="W2120" i="24"/>
  <c r="W2119" i="24"/>
  <c r="W2118" i="24"/>
  <c r="W2117" i="24"/>
  <c r="W2116" i="24"/>
  <c r="W2115" i="24"/>
  <c r="W2114" i="24"/>
  <c r="W2113" i="24"/>
  <c r="W2112" i="24"/>
  <c r="W2111" i="24"/>
  <c r="W2110" i="24"/>
  <c r="W2109" i="24"/>
  <c r="W2108" i="24"/>
  <c r="W2107" i="24"/>
  <c r="W2106" i="24"/>
  <c r="W2105" i="24"/>
  <c r="W2104" i="24"/>
  <c r="W2103" i="24"/>
  <c r="W2102" i="24"/>
  <c r="W2101" i="24"/>
  <c r="W2100" i="24"/>
  <c r="W2099" i="24"/>
  <c r="W2098" i="24"/>
  <c r="W2097" i="24"/>
  <c r="W2096" i="24"/>
  <c r="W2095" i="24"/>
  <c r="W2094" i="24"/>
  <c r="W2093" i="24"/>
  <c r="W2092" i="24"/>
  <c r="W2091" i="24"/>
  <c r="W2090" i="24"/>
  <c r="W2089" i="24"/>
  <c r="W2088" i="24"/>
  <c r="W2087" i="24"/>
  <c r="W2086" i="24"/>
  <c r="W2085" i="24"/>
  <c r="W2084" i="24"/>
  <c r="W2083" i="24"/>
  <c r="W2082" i="24"/>
  <c r="W2081" i="24"/>
  <c r="W2080" i="24"/>
  <c r="W2079" i="24"/>
  <c r="W2078" i="24"/>
  <c r="W2077" i="24"/>
  <c r="W2076" i="24"/>
  <c r="W2075" i="24"/>
  <c r="W2074" i="24"/>
  <c r="W2073" i="24"/>
  <c r="W2072" i="24"/>
  <c r="W2071" i="24"/>
  <c r="W2070" i="24"/>
  <c r="W2069" i="24"/>
  <c r="W2068" i="24"/>
  <c r="W2067" i="24"/>
  <c r="W2066" i="24"/>
  <c r="W2065" i="24"/>
  <c r="W2064" i="24"/>
  <c r="W2063" i="24"/>
  <c r="W2062" i="24"/>
  <c r="W2061" i="24"/>
  <c r="W2060" i="24"/>
  <c r="W2059" i="24"/>
  <c r="W2058" i="24"/>
  <c r="W2057" i="24"/>
  <c r="W2056" i="24"/>
  <c r="W2055" i="24"/>
  <c r="W2054" i="24"/>
  <c r="W2053" i="24"/>
  <c r="W2052" i="24"/>
  <c r="W2051" i="24"/>
  <c r="W2050" i="24"/>
  <c r="W2049" i="24"/>
  <c r="W2048" i="24"/>
  <c r="W2047" i="24"/>
  <c r="W2046" i="24"/>
  <c r="W2045" i="24"/>
  <c r="W2044" i="24"/>
  <c r="W2043" i="24"/>
  <c r="W2042" i="24"/>
  <c r="W2041" i="24"/>
  <c r="W2040" i="24"/>
  <c r="W2039" i="24"/>
  <c r="W2038" i="24"/>
  <c r="W2037" i="24"/>
  <c r="W2036" i="24"/>
  <c r="W2035" i="24"/>
  <c r="W2034" i="24"/>
  <c r="W2033" i="24"/>
  <c r="W2032" i="24"/>
  <c r="W2031" i="24"/>
  <c r="W2030" i="24"/>
  <c r="W2029" i="24"/>
  <c r="W2028" i="24"/>
  <c r="W2027" i="24"/>
  <c r="W2026" i="24"/>
  <c r="W2025" i="24"/>
  <c r="W2024" i="24"/>
  <c r="W2023" i="24"/>
  <c r="W2022" i="24"/>
  <c r="W2021" i="24"/>
  <c r="W2020" i="24"/>
  <c r="W2019" i="24"/>
  <c r="W2018" i="24"/>
  <c r="W2017" i="24"/>
  <c r="W2016" i="24"/>
  <c r="W2015" i="24"/>
  <c r="W2014" i="24"/>
  <c r="W2013" i="24"/>
  <c r="W2012" i="24"/>
  <c r="W2011" i="24"/>
  <c r="W2010" i="24"/>
  <c r="W2009" i="24"/>
  <c r="W2008" i="24"/>
  <c r="W2007" i="24"/>
  <c r="W2006" i="24"/>
  <c r="W2005" i="24"/>
  <c r="W2004" i="24"/>
  <c r="W2003" i="24"/>
  <c r="W2002" i="24"/>
  <c r="W2001" i="24"/>
  <c r="W2000" i="24"/>
  <c r="W1999" i="24"/>
  <c r="W1998" i="24"/>
  <c r="W1997" i="24"/>
  <c r="W1996" i="24"/>
  <c r="W1995" i="24"/>
  <c r="W1994" i="24"/>
  <c r="W1993" i="24"/>
  <c r="W1992" i="24"/>
  <c r="W1991" i="24"/>
  <c r="W1990" i="24"/>
  <c r="W1989" i="24"/>
  <c r="W1988" i="24"/>
  <c r="W1987" i="24"/>
  <c r="W1986" i="24"/>
  <c r="W1985" i="24"/>
  <c r="W1984" i="24"/>
  <c r="W1983" i="24"/>
  <c r="W1982" i="24"/>
  <c r="W1981" i="24"/>
  <c r="W1980" i="24"/>
  <c r="W1979" i="24"/>
  <c r="W1978" i="24"/>
  <c r="W1977" i="24"/>
  <c r="W1976" i="24"/>
  <c r="W1975" i="24"/>
  <c r="W1974" i="24"/>
  <c r="W1973" i="24"/>
  <c r="W1972" i="24"/>
  <c r="W1971" i="24"/>
  <c r="W1970" i="24"/>
  <c r="W1969" i="24"/>
  <c r="W1968" i="24"/>
  <c r="W1967" i="24"/>
  <c r="W1966" i="24"/>
  <c r="W1965" i="24"/>
  <c r="W1964" i="24"/>
  <c r="W1963" i="24"/>
  <c r="W1962" i="24"/>
  <c r="W1961" i="24"/>
  <c r="W1960" i="24"/>
  <c r="W1959" i="24"/>
  <c r="W1958" i="24"/>
  <c r="W1957" i="24"/>
  <c r="W1956" i="24"/>
  <c r="W1955" i="24"/>
  <c r="W1954" i="24"/>
  <c r="W1953" i="24"/>
  <c r="W1952" i="24"/>
  <c r="W1951" i="24"/>
  <c r="W1950" i="24"/>
  <c r="W1949" i="24"/>
  <c r="W1948" i="24"/>
  <c r="W1947" i="24"/>
  <c r="W1946" i="24"/>
  <c r="W1945" i="24"/>
  <c r="W1944" i="24"/>
  <c r="W1943" i="24"/>
  <c r="W1942" i="24"/>
  <c r="W1941" i="24"/>
  <c r="W1940" i="24"/>
  <c r="W1939" i="24"/>
  <c r="W1938" i="24"/>
  <c r="W1937" i="24"/>
  <c r="W1936" i="24"/>
  <c r="W1935" i="24"/>
  <c r="W1934" i="24"/>
  <c r="W1933" i="24"/>
  <c r="W1932" i="24"/>
  <c r="W1931" i="24"/>
  <c r="W1930" i="24"/>
  <c r="W1929" i="24"/>
  <c r="W1928" i="24"/>
  <c r="W1927" i="24"/>
  <c r="W1926" i="24"/>
  <c r="W1925" i="24"/>
  <c r="W1924" i="24"/>
  <c r="W1923" i="24"/>
  <c r="W1922" i="24"/>
  <c r="W1921" i="24"/>
  <c r="W1920" i="24"/>
  <c r="W1919" i="24"/>
  <c r="W1918" i="24"/>
  <c r="W1917" i="24"/>
  <c r="W1916" i="24"/>
  <c r="W1915" i="24"/>
  <c r="W1914" i="24"/>
  <c r="W1913" i="24"/>
  <c r="W1912" i="24"/>
  <c r="W1911" i="24"/>
  <c r="W1910" i="24"/>
  <c r="W1909" i="24"/>
  <c r="W1908" i="24"/>
  <c r="W1907" i="24"/>
  <c r="W1906" i="24"/>
  <c r="W1905" i="24"/>
  <c r="W1904" i="24"/>
  <c r="W1903" i="24"/>
  <c r="W1902" i="24"/>
  <c r="W1901" i="24"/>
  <c r="W1900" i="24"/>
  <c r="W1899" i="24"/>
  <c r="W1898" i="24"/>
  <c r="W1897" i="24"/>
  <c r="W1896" i="24"/>
  <c r="W1895" i="24"/>
  <c r="W1894" i="24"/>
  <c r="W1893" i="24"/>
  <c r="W1892" i="24"/>
  <c r="W1891" i="24"/>
  <c r="W1890" i="24"/>
  <c r="W1889" i="24"/>
  <c r="W1888" i="24"/>
  <c r="W1887" i="24"/>
  <c r="W1886" i="24"/>
  <c r="W1885" i="24"/>
  <c r="W1884" i="24"/>
  <c r="W1883" i="24"/>
  <c r="W1882" i="24"/>
  <c r="W1881" i="24"/>
  <c r="W1880" i="24"/>
  <c r="W1879" i="24"/>
  <c r="W1878" i="24"/>
  <c r="W1877" i="24"/>
  <c r="W1876" i="24"/>
  <c r="W1875" i="24"/>
  <c r="W1874" i="24"/>
  <c r="W1873" i="24"/>
  <c r="W1872" i="24"/>
  <c r="W1871" i="24"/>
  <c r="W1870" i="24"/>
  <c r="W1869" i="24"/>
  <c r="W1868" i="24"/>
  <c r="W1867" i="24"/>
  <c r="W1866" i="24"/>
  <c r="W1865" i="24"/>
  <c r="W1864" i="24"/>
  <c r="W1863" i="24"/>
  <c r="W1862" i="24"/>
  <c r="W1861" i="24"/>
  <c r="W1860" i="24"/>
  <c r="W1859" i="24"/>
  <c r="W1858" i="24"/>
  <c r="W1857" i="24"/>
  <c r="W1856" i="24"/>
  <c r="W1855" i="24"/>
  <c r="W1854" i="24"/>
  <c r="W1853" i="24"/>
  <c r="W1852" i="24"/>
  <c r="W1851" i="24"/>
  <c r="W1850" i="24"/>
  <c r="W1849" i="24"/>
  <c r="W1848" i="24"/>
  <c r="W1847" i="24"/>
  <c r="W1846" i="24"/>
  <c r="W1845" i="24"/>
  <c r="W1844" i="24"/>
  <c r="W1843" i="24"/>
  <c r="W1842" i="24"/>
  <c r="W1841" i="24"/>
  <c r="W1840" i="24"/>
  <c r="W1839" i="24"/>
  <c r="W1838" i="24"/>
  <c r="W1837" i="24"/>
  <c r="W1836" i="24"/>
  <c r="W1835" i="24"/>
  <c r="W1834" i="24"/>
  <c r="W1833" i="24"/>
  <c r="W1832" i="24"/>
  <c r="W1831" i="24"/>
  <c r="W1830" i="24"/>
  <c r="W1829" i="24"/>
  <c r="W1828" i="24"/>
  <c r="W1827" i="24"/>
  <c r="W1826" i="24"/>
  <c r="W1825" i="24"/>
  <c r="W1824" i="24"/>
  <c r="W1823" i="24"/>
  <c r="W1822" i="24"/>
  <c r="W1821" i="24"/>
  <c r="W1820" i="24"/>
  <c r="W1819" i="24"/>
  <c r="W1818" i="24"/>
  <c r="W1817" i="24"/>
  <c r="W1816" i="24"/>
  <c r="W1815" i="24"/>
  <c r="W1814" i="24"/>
  <c r="W1813" i="24"/>
  <c r="W1812" i="24"/>
  <c r="W1811" i="24"/>
  <c r="W1810" i="24"/>
  <c r="W1809" i="24"/>
  <c r="W1808" i="24"/>
  <c r="W1807" i="24"/>
  <c r="W1806" i="24"/>
  <c r="W1805" i="24"/>
  <c r="W1804" i="24"/>
  <c r="W1803" i="24"/>
  <c r="W1802" i="24"/>
  <c r="W1801" i="24"/>
  <c r="W1800" i="24"/>
  <c r="W1799" i="24"/>
  <c r="W1798" i="24"/>
  <c r="W1797" i="24"/>
  <c r="W1796" i="24"/>
  <c r="W1795" i="24"/>
  <c r="W1794" i="24"/>
  <c r="W1793" i="24"/>
  <c r="W1792" i="24"/>
  <c r="W1791" i="24"/>
  <c r="W1790" i="24"/>
  <c r="W1789" i="24"/>
  <c r="W1788" i="24"/>
  <c r="W1787" i="24"/>
  <c r="W1786" i="24"/>
  <c r="W1785" i="24"/>
  <c r="W1784" i="24"/>
  <c r="W1783" i="24"/>
  <c r="W1782" i="24"/>
  <c r="W1781" i="24"/>
  <c r="W1780" i="24"/>
  <c r="W1779" i="24"/>
  <c r="W1778" i="24"/>
  <c r="W1777" i="24"/>
  <c r="W1776" i="24"/>
  <c r="W1775" i="24"/>
  <c r="W1774" i="24"/>
  <c r="W1773" i="24"/>
  <c r="W1772" i="24"/>
  <c r="W1771" i="24"/>
  <c r="W1770" i="24"/>
  <c r="W1769" i="24"/>
  <c r="W1768" i="24"/>
  <c r="W1767" i="24"/>
  <c r="W1766" i="24"/>
  <c r="W1765" i="24"/>
  <c r="W1764" i="24"/>
  <c r="W1763" i="24"/>
  <c r="W1762" i="24"/>
  <c r="W1761" i="24"/>
  <c r="W1760" i="24"/>
  <c r="W1759" i="24"/>
  <c r="W1758" i="24"/>
  <c r="W1757" i="24"/>
  <c r="W1756" i="24"/>
  <c r="W1755" i="24"/>
  <c r="W1754" i="24"/>
  <c r="W1753" i="24"/>
  <c r="W1752" i="24"/>
  <c r="W1751" i="24"/>
  <c r="W1750" i="24"/>
  <c r="W1749" i="24"/>
  <c r="W1748" i="24"/>
  <c r="W1747" i="24"/>
  <c r="W1746" i="24"/>
  <c r="W1745" i="24"/>
  <c r="W1744" i="24"/>
  <c r="W1743" i="24"/>
  <c r="W1742" i="24"/>
  <c r="W1741" i="24"/>
  <c r="W1740" i="24"/>
  <c r="W1739" i="24"/>
  <c r="W1738" i="24"/>
  <c r="W1737" i="24"/>
  <c r="W1736" i="24"/>
  <c r="W1735" i="24"/>
  <c r="W1734" i="24"/>
  <c r="W1733" i="24"/>
  <c r="W1732" i="24"/>
  <c r="W1731" i="24"/>
  <c r="W1730" i="24"/>
  <c r="W1729" i="24"/>
  <c r="W1728" i="24"/>
  <c r="W1727" i="24"/>
  <c r="W1726" i="24"/>
  <c r="W1725" i="24"/>
  <c r="W1724" i="24"/>
  <c r="W1723" i="24"/>
  <c r="W1722" i="24"/>
  <c r="W1721" i="24"/>
  <c r="W1720" i="24"/>
  <c r="W1719" i="24"/>
  <c r="W1718" i="24"/>
  <c r="W1717" i="24"/>
  <c r="W1716" i="24"/>
  <c r="W1715" i="24"/>
  <c r="W1714" i="24"/>
  <c r="W1713" i="24"/>
  <c r="W1712" i="24"/>
  <c r="W1711" i="24"/>
  <c r="W1710" i="24"/>
  <c r="W1709" i="24"/>
  <c r="W1708" i="24"/>
  <c r="W1707" i="24"/>
  <c r="W1706" i="24"/>
  <c r="W1705" i="24"/>
  <c r="W1704" i="24"/>
  <c r="W1703" i="24"/>
  <c r="W1702" i="24"/>
  <c r="W1701" i="24"/>
  <c r="W1700" i="24"/>
  <c r="W1699" i="24"/>
  <c r="W1698" i="24"/>
  <c r="W1697" i="24"/>
  <c r="W1696" i="24"/>
  <c r="W1695" i="24"/>
  <c r="W1694" i="24"/>
  <c r="W1693" i="24"/>
  <c r="W1692" i="24"/>
  <c r="W1691" i="24"/>
  <c r="W1690" i="24"/>
  <c r="W1689" i="24"/>
  <c r="W1688" i="24"/>
  <c r="W1687" i="24"/>
  <c r="W1686" i="24"/>
  <c r="W1685" i="24"/>
  <c r="W1684" i="24"/>
  <c r="W1683" i="24"/>
  <c r="W1682" i="24"/>
  <c r="W1681" i="24"/>
  <c r="W1680" i="24"/>
  <c r="W1679" i="24"/>
  <c r="W1678" i="24"/>
  <c r="W1677" i="24"/>
  <c r="W1676" i="24"/>
  <c r="W1675" i="24"/>
  <c r="W1674" i="24"/>
  <c r="W1673" i="24"/>
  <c r="W1672" i="24"/>
  <c r="W1671" i="24"/>
  <c r="W1670" i="24"/>
  <c r="W1669" i="24"/>
  <c r="W1668" i="24"/>
  <c r="W1667" i="24"/>
  <c r="W1666" i="24"/>
  <c r="W1665" i="24"/>
  <c r="W1664" i="24"/>
  <c r="W1663" i="24"/>
  <c r="W1662" i="24"/>
  <c r="W1661" i="24"/>
  <c r="W1660" i="24"/>
  <c r="W1659" i="24"/>
  <c r="W1658" i="24"/>
  <c r="W1657" i="24"/>
  <c r="W1656" i="24"/>
  <c r="W1655" i="24"/>
  <c r="W1654" i="24"/>
  <c r="W1653" i="24"/>
  <c r="W1652" i="24"/>
  <c r="W1651" i="24"/>
  <c r="W1650" i="24"/>
  <c r="W1649" i="24"/>
  <c r="W1648" i="24"/>
  <c r="W1647" i="24"/>
  <c r="W1646" i="24"/>
  <c r="W1645" i="24"/>
  <c r="W1644" i="24"/>
  <c r="W1643" i="24"/>
  <c r="W1642" i="24"/>
  <c r="W1641" i="24"/>
  <c r="W1640" i="24"/>
  <c r="W1639" i="24"/>
  <c r="W1638" i="24"/>
  <c r="W1637" i="24"/>
  <c r="W1636" i="24"/>
  <c r="W1635" i="24"/>
  <c r="W1634" i="24"/>
  <c r="W1633" i="24"/>
  <c r="W1632" i="24"/>
  <c r="W1631" i="24"/>
  <c r="W1630" i="24"/>
  <c r="W1629" i="24"/>
  <c r="W1628" i="24"/>
  <c r="W1627" i="24"/>
  <c r="W1626" i="24"/>
  <c r="W1625" i="24"/>
  <c r="W1624" i="24"/>
  <c r="W1623" i="24"/>
  <c r="W1622" i="24"/>
  <c r="W1621" i="24"/>
  <c r="W1620" i="24"/>
  <c r="W1619" i="24"/>
  <c r="W1618" i="24"/>
  <c r="W1617" i="24"/>
  <c r="W1616" i="24"/>
  <c r="W1615" i="24"/>
  <c r="W1614" i="24"/>
  <c r="W1613" i="24"/>
  <c r="W1612" i="24"/>
  <c r="W1611" i="24"/>
  <c r="W1610" i="24"/>
  <c r="W1609" i="24"/>
  <c r="W1608" i="24"/>
  <c r="W1607" i="24"/>
  <c r="W1606" i="24"/>
  <c r="W1605" i="24"/>
  <c r="W1604" i="24"/>
  <c r="W1603" i="24"/>
  <c r="W1602" i="24"/>
  <c r="W1601" i="24"/>
  <c r="W1600" i="24"/>
  <c r="W1599" i="24"/>
  <c r="W1598" i="24"/>
  <c r="W1597" i="24"/>
  <c r="W1596" i="24"/>
  <c r="W1595" i="24"/>
  <c r="W1594" i="24"/>
  <c r="W1593" i="24"/>
  <c r="W1592" i="24"/>
  <c r="W1591" i="24"/>
  <c r="W1590" i="24"/>
  <c r="W1589" i="24"/>
  <c r="W1588" i="24"/>
  <c r="W1587" i="24"/>
  <c r="W1586" i="24"/>
  <c r="W1585" i="24"/>
  <c r="W1584" i="24"/>
  <c r="W1583" i="24"/>
  <c r="W1582" i="24"/>
  <c r="W1581" i="24"/>
  <c r="W1580" i="24"/>
  <c r="W1579" i="24"/>
  <c r="W1578" i="24"/>
  <c r="W1577" i="24"/>
  <c r="W1576" i="24"/>
  <c r="W1575" i="24"/>
  <c r="W1574" i="24"/>
  <c r="W1573" i="24"/>
  <c r="W1572" i="24"/>
  <c r="W1571" i="24"/>
  <c r="W1570" i="24"/>
  <c r="W1569" i="24"/>
  <c r="W1568" i="24"/>
  <c r="W1567" i="24"/>
  <c r="W1566" i="24"/>
  <c r="W1565" i="24"/>
  <c r="W1564" i="24"/>
  <c r="W1563" i="24"/>
  <c r="W1562" i="24"/>
  <c r="W1561" i="24"/>
  <c r="W1560" i="24"/>
  <c r="W1559" i="24"/>
  <c r="W1558" i="24"/>
  <c r="W1557" i="24"/>
  <c r="W1556" i="24"/>
  <c r="W1555" i="24"/>
  <c r="W1554" i="24"/>
  <c r="W1553" i="24"/>
  <c r="W1552" i="24"/>
  <c r="W1551" i="24"/>
  <c r="W1550" i="24"/>
  <c r="W1549" i="24"/>
  <c r="W1548" i="24"/>
  <c r="W1547" i="24"/>
  <c r="W1546" i="24"/>
  <c r="W1545" i="24"/>
  <c r="W1544" i="24"/>
  <c r="W1543" i="24"/>
  <c r="W1542" i="24"/>
  <c r="W1541" i="24"/>
  <c r="W1540" i="24"/>
  <c r="W1539" i="24"/>
  <c r="W1538" i="24"/>
  <c r="W1537" i="24"/>
  <c r="W1536" i="24"/>
  <c r="W1535" i="24"/>
  <c r="W1534" i="24"/>
  <c r="W1533" i="24"/>
  <c r="W1532" i="24"/>
  <c r="W1531" i="24"/>
  <c r="W1530" i="24"/>
  <c r="W1529" i="24"/>
  <c r="W1528" i="24"/>
  <c r="W1527" i="24"/>
  <c r="W1526" i="24"/>
  <c r="W1525" i="24"/>
  <c r="W1524" i="24"/>
  <c r="W1523" i="24"/>
  <c r="W1522" i="24"/>
  <c r="W1521" i="24"/>
  <c r="W1520" i="24"/>
  <c r="W1519" i="24"/>
  <c r="W1518" i="24"/>
  <c r="W1517" i="24"/>
  <c r="W1516" i="24"/>
  <c r="W1515" i="24"/>
  <c r="W1514" i="24"/>
  <c r="W1513" i="24"/>
  <c r="W1512" i="24"/>
  <c r="W1511" i="24"/>
  <c r="W1510" i="24"/>
  <c r="W1509" i="24"/>
  <c r="W1508" i="24"/>
  <c r="W1507" i="24"/>
  <c r="W1506" i="24"/>
  <c r="W1505" i="24"/>
  <c r="W1504" i="24"/>
  <c r="W1503" i="24"/>
  <c r="W1502" i="24"/>
  <c r="W1501" i="24"/>
  <c r="W1500" i="24"/>
  <c r="W1499" i="24"/>
  <c r="W1498" i="24"/>
  <c r="W1497" i="24"/>
  <c r="W1496" i="24"/>
  <c r="W1495" i="24"/>
  <c r="W1494" i="24"/>
  <c r="W1493" i="24"/>
  <c r="W1492" i="24"/>
  <c r="W1491" i="24"/>
  <c r="W1490" i="24"/>
  <c r="W1489" i="24"/>
  <c r="W1488" i="24"/>
  <c r="W1487" i="24"/>
  <c r="W1486" i="24"/>
  <c r="W1485" i="24"/>
  <c r="W1484" i="24"/>
  <c r="W1483" i="24"/>
  <c r="W1482" i="24"/>
  <c r="W1481" i="24"/>
  <c r="W1480" i="24"/>
  <c r="W1479" i="24"/>
  <c r="W1478" i="24"/>
  <c r="W1477" i="24"/>
  <c r="W1476" i="24"/>
  <c r="W1475" i="24"/>
  <c r="W1474" i="24"/>
  <c r="W1473" i="24"/>
  <c r="W1472" i="24"/>
  <c r="W1471" i="24"/>
  <c r="W1470" i="24"/>
  <c r="W1469" i="24"/>
  <c r="W1468" i="24"/>
  <c r="W1467" i="24"/>
  <c r="W1466" i="24"/>
  <c r="W1465" i="24"/>
  <c r="W1464" i="24"/>
  <c r="W1463" i="24"/>
  <c r="W1462" i="24"/>
  <c r="W1461" i="24"/>
  <c r="W1460" i="24"/>
  <c r="W1459" i="24"/>
  <c r="W1458" i="24"/>
  <c r="W1457" i="24"/>
  <c r="W1456" i="24"/>
  <c r="W1455" i="24"/>
  <c r="W1454" i="24"/>
  <c r="W1453" i="24"/>
  <c r="W1452" i="24"/>
  <c r="W1451" i="24"/>
  <c r="W1450" i="24"/>
  <c r="W1449" i="24"/>
  <c r="W1448" i="24"/>
  <c r="W1447" i="24"/>
  <c r="W1446" i="24"/>
  <c r="W1445" i="24"/>
  <c r="W1444" i="24"/>
  <c r="W1443" i="24"/>
  <c r="W1442" i="24"/>
  <c r="W1441" i="24"/>
  <c r="W1440" i="24"/>
  <c r="W1439" i="24"/>
  <c r="W1438" i="24"/>
  <c r="W1437" i="24"/>
  <c r="W1436" i="24"/>
  <c r="W1435" i="24"/>
  <c r="W1434" i="24"/>
  <c r="W1433" i="24"/>
  <c r="W1432" i="24"/>
  <c r="W1431" i="24"/>
  <c r="W1430" i="24"/>
  <c r="W1429" i="24"/>
  <c r="W1428" i="24"/>
  <c r="W1427" i="24"/>
  <c r="W1426" i="24"/>
  <c r="W1425" i="24"/>
  <c r="W1424" i="24"/>
  <c r="W1423" i="24"/>
  <c r="W1422" i="24"/>
  <c r="W1421" i="24"/>
  <c r="W1420" i="24"/>
  <c r="W1419" i="24"/>
  <c r="W1418" i="24"/>
  <c r="W1417" i="24"/>
  <c r="W1416" i="24"/>
  <c r="W1415" i="24"/>
  <c r="W1414" i="24"/>
  <c r="W1413" i="24"/>
  <c r="W1412" i="24"/>
  <c r="W1411" i="24"/>
  <c r="W1410" i="24"/>
  <c r="W1409" i="24"/>
  <c r="W1408" i="24"/>
  <c r="W1407" i="24"/>
  <c r="W1406" i="24"/>
  <c r="W1405" i="24"/>
  <c r="W1404" i="24"/>
  <c r="W1403" i="24"/>
  <c r="W1402" i="24"/>
  <c r="W1401" i="24"/>
  <c r="W1400" i="24"/>
  <c r="W1399" i="24"/>
  <c r="W1398" i="24"/>
  <c r="W1397" i="24"/>
  <c r="W1396" i="24"/>
  <c r="W1395" i="24"/>
  <c r="W1394" i="24"/>
  <c r="W1393" i="24"/>
  <c r="W1392" i="24"/>
  <c r="W1391" i="24"/>
  <c r="W1390" i="24"/>
  <c r="W1389" i="24"/>
  <c r="W1388" i="24"/>
  <c r="W1387" i="24"/>
  <c r="W1386" i="24"/>
  <c r="W1385" i="24"/>
  <c r="W1384" i="24"/>
  <c r="W1383" i="24"/>
  <c r="W1382" i="24"/>
  <c r="W1381" i="24"/>
  <c r="W1380" i="24"/>
  <c r="W1379" i="24"/>
  <c r="W1378" i="24"/>
  <c r="W1377" i="24"/>
  <c r="W1376" i="24"/>
  <c r="W1375" i="24"/>
  <c r="W1374" i="24"/>
  <c r="W1373" i="24"/>
  <c r="W1372" i="24"/>
  <c r="W1371" i="24"/>
  <c r="W1370" i="24"/>
  <c r="W1369" i="24"/>
  <c r="W1368" i="24"/>
  <c r="W1367" i="24"/>
  <c r="W1366" i="24"/>
  <c r="W1365" i="24"/>
  <c r="W1364" i="24"/>
  <c r="W1363" i="24"/>
  <c r="W1362" i="24"/>
  <c r="W1361" i="24"/>
  <c r="W1360" i="24"/>
  <c r="W1359" i="24"/>
  <c r="W1358" i="24"/>
  <c r="W1357" i="24"/>
  <c r="W1356" i="24"/>
  <c r="W1355" i="24"/>
  <c r="W1354" i="24"/>
  <c r="W1353" i="24"/>
  <c r="W1352" i="24"/>
  <c r="W1351" i="24"/>
  <c r="W1350" i="24"/>
  <c r="W1349" i="24"/>
  <c r="W1348" i="24"/>
  <c r="W1347" i="24"/>
  <c r="W1346" i="24"/>
  <c r="W1345" i="24"/>
  <c r="W1344" i="24"/>
  <c r="W1343" i="24"/>
  <c r="W1342" i="24"/>
  <c r="W1341" i="24"/>
  <c r="W1340" i="24"/>
  <c r="W1339" i="24"/>
  <c r="W1338" i="24"/>
  <c r="W1337" i="24"/>
  <c r="W1336" i="24"/>
  <c r="W1335" i="24"/>
  <c r="W1334" i="24"/>
  <c r="W1333" i="24"/>
  <c r="W1332" i="24"/>
  <c r="W1331" i="24"/>
  <c r="W1330" i="24"/>
  <c r="W1329" i="24"/>
  <c r="W1328" i="24"/>
  <c r="W1327" i="24"/>
  <c r="W1326" i="24"/>
  <c r="W1325" i="24"/>
  <c r="W1324" i="24"/>
  <c r="W1323" i="24"/>
  <c r="W1322" i="24"/>
  <c r="W1321" i="24"/>
  <c r="W1320" i="24"/>
  <c r="W1319" i="24"/>
  <c r="W1318" i="24"/>
  <c r="W1317" i="24"/>
  <c r="W1316" i="24"/>
  <c r="W1315" i="24"/>
  <c r="W1314" i="24"/>
  <c r="W1313" i="24"/>
  <c r="W1312" i="24"/>
  <c r="W1311" i="24"/>
  <c r="W1310" i="24"/>
  <c r="W1309" i="24"/>
  <c r="W1308" i="24"/>
  <c r="W1307" i="24"/>
  <c r="W1306" i="24"/>
  <c r="W1305" i="24"/>
  <c r="W1304" i="24"/>
  <c r="W1303" i="24"/>
  <c r="W1302" i="24"/>
  <c r="W1301" i="24"/>
  <c r="W1300" i="24"/>
  <c r="W1299" i="24"/>
  <c r="W1298" i="24"/>
  <c r="W1297" i="24"/>
  <c r="W1296" i="24"/>
  <c r="W1295" i="24"/>
  <c r="W1294" i="24"/>
  <c r="W1293" i="24"/>
  <c r="W1292" i="24"/>
  <c r="W1291" i="24"/>
  <c r="W1290" i="24"/>
  <c r="W1289" i="24"/>
  <c r="W1288" i="24"/>
  <c r="W1287" i="24"/>
  <c r="W1286" i="24"/>
  <c r="W1285" i="24"/>
  <c r="W1284" i="24"/>
  <c r="W1283" i="24"/>
  <c r="W1282" i="24"/>
  <c r="W1281" i="24"/>
  <c r="W1280" i="24"/>
  <c r="W1279" i="24"/>
  <c r="W1278" i="24"/>
  <c r="W1277" i="24"/>
  <c r="W1276" i="24"/>
  <c r="W1275" i="24"/>
  <c r="W1274" i="24"/>
  <c r="W1273" i="24"/>
  <c r="W1272" i="24"/>
  <c r="W1271" i="24"/>
  <c r="W1270" i="24"/>
  <c r="W1269" i="24"/>
  <c r="W1268" i="24"/>
  <c r="W1267" i="24"/>
  <c r="W1266" i="24"/>
  <c r="W1265" i="24"/>
  <c r="W1264" i="24"/>
  <c r="W1263" i="24"/>
  <c r="W1262" i="24"/>
  <c r="W1261" i="24"/>
  <c r="W1260" i="24"/>
  <c r="W1259" i="24"/>
  <c r="W1258" i="24"/>
  <c r="W1257" i="24"/>
  <c r="W1256" i="24"/>
  <c r="W1255" i="24"/>
  <c r="W1254" i="24"/>
  <c r="W1253" i="24"/>
  <c r="W1252" i="24"/>
  <c r="W1251" i="24"/>
  <c r="W1250" i="24"/>
  <c r="W1249" i="24"/>
  <c r="W1248" i="24"/>
  <c r="W1247" i="24"/>
  <c r="W1246" i="24"/>
  <c r="W1245" i="24"/>
  <c r="W1244" i="24"/>
  <c r="W1243" i="24"/>
  <c r="W1242" i="24"/>
  <c r="W1241" i="24"/>
  <c r="W1240" i="24"/>
  <c r="W1239" i="24"/>
  <c r="W1238" i="24"/>
  <c r="W1237" i="24"/>
  <c r="W1236" i="24"/>
  <c r="W1235" i="24"/>
  <c r="W1234" i="24"/>
  <c r="W1233" i="24"/>
  <c r="W1232" i="24"/>
  <c r="W1231" i="24"/>
  <c r="W1230" i="24"/>
  <c r="W1229" i="24"/>
  <c r="W1228" i="24"/>
  <c r="W1227" i="24"/>
  <c r="W1226" i="24"/>
  <c r="W1225" i="24"/>
  <c r="W1224" i="24"/>
  <c r="W1223" i="24"/>
  <c r="W1222" i="24"/>
  <c r="W1221" i="24"/>
  <c r="W1220" i="24"/>
  <c r="W1219" i="24"/>
  <c r="W1218" i="24"/>
  <c r="W1217" i="24"/>
  <c r="W1216" i="24"/>
  <c r="W1215" i="24"/>
  <c r="W1214" i="24"/>
  <c r="W1213" i="24"/>
  <c r="W1212" i="24"/>
  <c r="W1211" i="24"/>
  <c r="W1210" i="24"/>
  <c r="W1209" i="24"/>
  <c r="W1208" i="24"/>
  <c r="W1207" i="24"/>
  <c r="W1206" i="24"/>
  <c r="W1205" i="24"/>
  <c r="W1204" i="24"/>
  <c r="W1203" i="24"/>
  <c r="W1202" i="24"/>
  <c r="W1201" i="24"/>
  <c r="W1200" i="24"/>
  <c r="W1199" i="24"/>
  <c r="W1198" i="24"/>
  <c r="W1197" i="24"/>
  <c r="W1196" i="24"/>
  <c r="W1195" i="24"/>
  <c r="W1194" i="24"/>
  <c r="W1193" i="24"/>
  <c r="W1192" i="24"/>
  <c r="W1191" i="24"/>
  <c r="W1190" i="24"/>
  <c r="W1189" i="24"/>
  <c r="W1188" i="24"/>
  <c r="W1187" i="24"/>
  <c r="W1186" i="24"/>
  <c r="W1185" i="24"/>
  <c r="W1184" i="24"/>
  <c r="W1183" i="24"/>
  <c r="W1182" i="24"/>
  <c r="W1181" i="24"/>
  <c r="W1180" i="24"/>
  <c r="W1179" i="24"/>
  <c r="W1178" i="24"/>
  <c r="W1177" i="24"/>
  <c r="W1176" i="24"/>
  <c r="W1175" i="24"/>
  <c r="W1174" i="24"/>
  <c r="W1173" i="24"/>
  <c r="W1172" i="24"/>
  <c r="W1171" i="24"/>
  <c r="W1170" i="24"/>
  <c r="W1169" i="24"/>
  <c r="W1168" i="24"/>
  <c r="W1167" i="24"/>
  <c r="W1166" i="24"/>
  <c r="W1165" i="24"/>
  <c r="W1164" i="24"/>
  <c r="W1163" i="24"/>
  <c r="W1162" i="24"/>
  <c r="W1161" i="24"/>
  <c r="W1160" i="24"/>
  <c r="W1159" i="24"/>
  <c r="W1158" i="24"/>
  <c r="W1157" i="24"/>
  <c r="W1156" i="24"/>
  <c r="W1155" i="24"/>
  <c r="W1154" i="24"/>
  <c r="W1153" i="24"/>
  <c r="W1152" i="24"/>
  <c r="W1151" i="24"/>
  <c r="W1150" i="24"/>
  <c r="W1149" i="24"/>
  <c r="W1148" i="24"/>
  <c r="W1147" i="24"/>
  <c r="W1146" i="24"/>
  <c r="W1145" i="24"/>
  <c r="W1144" i="24"/>
  <c r="W1143" i="24"/>
  <c r="W1142" i="24"/>
  <c r="W1141" i="24"/>
  <c r="W1140" i="24"/>
  <c r="W1139" i="24"/>
  <c r="W1138" i="24"/>
  <c r="W1137" i="24"/>
  <c r="W1136" i="24"/>
  <c r="W1135" i="24"/>
  <c r="W1134" i="24"/>
  <c r="W1133" i="24"/>
  <c r="W1132" i="24"/>
  <c r="W1131" i="24"/>
  <c r="W1130" i="24"/>
  <c r="W1129" i="24"/>
  <c r="W1128" i="24"/>
  <c r="W1127" i="24"/>
  <c r="W1126" i="24"/>
  <c r="W1125" i="24"/>
  <c r="W1124" i="24"/>
  <c r="W1123" i="24"/>
  <c r="W1122" i="24"/>
  <c r="W1121" i="24"/>
  <c r="W1120" i="24"/>
  <c r="W1119" i="24"/>
  <c r="W1118" i="24"/>
  <c r="W1117" i="24"/>
  <c r="W1116" i="24"/>
  <c r="W1115" i="24"/>
  <c r="W1114" i="24"/>
  <c r="W1113" i="24"/>
  <c r="W1112" i="24"/>
  <c r="W1111" i="24"/>
  <c r="W1110" i="24"/>
  <c r="W1109" i="24"/>
  <c r="W1108" i="24"/>
  <c r="W1107" i="24"/>
  <c r="W1106" i="24"/>
  <c r="W1105" i="24"/>
  <c r="W1104" i="24"/>
  <c r="W1103" i="24"/>
  <c r="W1102" i="24"/>
  <c r="W1101" i="24"/>
  <c r="W1100" i="24"/>
  <c r="W1099" i="24"/>
  <c r="W1098" i="24"/>
  <c r="W1097" i="24"/>
  <c r="W1096" i="24"/>
  <c r="W1095" i="24"/>
  <c r="W1094" i="24"/>
  <c r="W1093" i="24"/>
  <c r="W1092" i="24"/>
  <c r="W1091" i="24"/>
  <c r="W1090" i="24"/>
  <c r="W1089" i="24"/>
  <c r="W1088" i="24"/>
  <c r="W1087" i="24"/>
  <c r="W1086" i="24"/>
  <c r="W1085" i="24"/>
  <c r="W1084" i="24"/>
  <c r="W1083" i="24"/>
  <c r="W1082" i="24"/>
  <c r="W1081" i="24"/>
  <c r="W1080" i="24"/>
  <c r="W1079" i="24"/>
  <c r="W1078" i="24"/>
  <c r="W1077" i="24"/>
  <c r="W1076" i="24"/>
  <c r="W1075" i="24"/>
  <c r="W1074" i="24"/>
  <c r="W1073" i="24"/>
  <c r="W1072" i="24"/>
  <c r="W1071" i="24"/>
  <c r="W1070" i="24"/>
  <c r="W1069" i="24"/>
  <c r="W1068" i="24"/>
  <c r="W1067" i="24"/>
  <c r="W1066" i="24"/>
  <c r="W1065" i="24"/>
  <c r="W1064" i="24"/>
  <c r="W1063" i="24"/>
  <c r="W1062" i="24"/>
  <c r="W1061" i="24"/>
  <c r="W1060" i="24"/>
  <c r="W1059" i="24"/>
  <c r="W1058" i="24"/>
  <c r="W1057" i="24"/>
  <c r="W1056" i="24"/>
  <c r="W1055" i="24"/>
  <c r="W1054" i="24"/>
  <c r="W1053" i="24"/>
  <c r="W1052" i="24"/>
  <c r="W1051" i="24"/>
  <c r="W1050" i="24"/>
  <c r="W1049" i="24"/>
  <c r="W1048" i="24"/>
  <c r="W1047" i="24"/>
  <c r="W1046" i="24"/>
  <c r="W1045" i="24"/>
  <c r="W1044" i="24"/>
  <c r="W1043" i="24"/>
  <c r="W1042" i="24"/>
  <c r="W1041" i="24"/>
  <c r="W1040" i="24"/>
  <c r="W1039" i="24"/>
  <c r="W1038" i="24"/>
  <c r="W1037" i="24"/>
  <c r="W1036" i="24"/>
  <c r="W1035" i="24"/>
  <c r="W1034" i="24"/>
  <c r="W1033" i="24"/>
  <c r="W1032" i="24"/>
  <c r="W1031" i="24"/>
  <c r="W1030" i="24"/>
  <c r="W1029" i="24"/>
  <c r="W1028" i="24"/>
  <c r="W1027" i="24"/>
  <c r="W1026" i="24"/>
  <c r="W1025" i="24"/>
  <c r="W1024" i="24"/>
  <c r="W1023" i="24"/>
  <c r="W1022" i="24"/>
  <c r="W1021" i="24"/>
  <c r="W1020" i="24"/>
  <c r="W1019" i="24"/>
  <c r="W1018" i="24"/>
  <c r="W1017" i="24"/>
  <c r="W1016" i="24"/>
  <c r="W1015" i="24"/>
  <c r="W1014" i="24"/>
  <c r="W1013" i="24"/>
  <c r="W1012" i="24"/>
  <c r="W1011" i="24"/>
  <c r="W1010" i="24"/>
  <c r="W1009" i="24"/>
  <c r="W1008" i="24"/>
  <c r="W1007" i="24"/>
  <c r="W1006" i="24"/>
  <c r="W1005" i="24"/>
  <c r="W1004" i="24"/>
  <c r="W1003" i="24"/>
  <c r="W1002" i="24"/>
  <c r="W1001" i="24"/>
  <c r="W1000" i="24"/>
  <c r="W999" i="24"/>
  <c r="W998" i="24"/>
  <c r="W997" i="24"/>
  <c r="W996" i="24"/>
  <c r="W995" i="24"/>
  <c r="W994" i="24"/>
  <c r="W993" i="24"/>
  <c r="W992" i="24"/>
  <c r="W991" i="24"/>
  <c r="W990" i="24"/>
  <c r="W989" i="24"/>
  <c r="W988" i="24"/>
  <c r="W987" i="24"/>
  <c r="W986" i="24"/>
  <c r="W985" i="24"/>
  <c r="W984" i="24"/>
  <c r="W983" i="24"/>
  <c r="W982" i="24"/>
  <c r="W981" i="24"/>
  <c r="W980" i="24"/>
  <c r="W979" i="24"/>
  <c r="W978" i="24"/>
  <c r="W977" i="24"/>
  <c r="W976" i="24"/>
  <c r="W975" i="24"/>
  <c r="W974" i="24"/>
  <c r="W973" i="24"/>
  <c r="W972" i="24"/>
  <c r="W971" i="24"/>
  <c r="W970" i="24"/>
  <c r="W969" i="24"/>
  <c r="W968" i="24"/>
  <c r="W967" i="24"/>
  <c r="W966" i="24"/>
  <c r="W965" i="24"/>
  <c r="W964" i="24"/>
  <c r="W963" i="24"/>
  <c r="W962" i="24"/>
  <c r="W961" i="24"/>
  <c r="W960" i="24"/>
  <c r="W959" i="24"/>
  <c r="W958" i="24"/>
  <c r="W957" i="24"/>
  <c r="W956" i="24"/>
  <c r="W955" i="24"/>
  <c r="W954" i="24"/>
  <c r="W953" i="24"/>
  <c r="W952" i="24"/>
  <c r="W951" i="24"/>
  <c r="W950" i="24"/>
  <c r="W949" i="24"/>
  <c r="W948" i="24"/>
  <c r="W947" i="24"/>
  <c r="W946" i="24"/>
  <c r="W945" i="24"/>
  <c r="W944" i="24"/>
  <c r="W943" i="24"/>
  <c r="W942" i="24"/>
  <c r="W941" i="24"/>
  <c r="W940" i="24"/>
  <c r="W939" i="24"/>
  <c r="W938" i="24"/>
  <c r="W937" i="24"/>
  <c r="W936" i="24"/>
  <c r="W935" i="24"/>
  <c r="W934" i="24"/>
  <c r="W933" i="24"/>
  <c r="W932" i="24"/>
  <c r="W931" i="24"/>
  <c r="W930" i="24"/>
  <c r="W929" i="24"/>
  <c r="W928" i="24"/>
  <c r="W927" i="24"/>
  <c r="W926" i="24"/>
  <c r="W925" i="24"/>
  <c r="W924" i="24"/>
  <c r="W923" i="24"/>
  <c r="W922" i="24"/>
  <c r="W921" i="24"/>
  <c r="W920" i="24"/>
  <c r="W919" i="24"/>
  <c r="W918" i="24"/>
  <c r="W917" i="24"/>
  <c r="W916" i="24"/>
  <c r="W915" i="24"/>
  <c r="W914" i="24"/>
  <c r="W913" i="24"/>
  <c r="W912" i="24"/>
  <c r="W911" i="24"/>
  <c r="W910" i="24"/>
  <c r="W909" i="24"/>
  <c r="W908" i="24"/>
  <c r="W907" i="24"/>
  <c r="W906" i="24"/>
  <c r="W905" i="24"/>
  <c r="W904" i="24"/>
  <c r="W903" i="24"/>
  <c r="W902" i="24"/>
  <c r="W901" i="24"/>
  <c r="W900" i="24"/>
  <c r="W899" i="24"/>
  <c r="W898" i="24"/>
  <c r="W897" i="24"/>
  <c r="W896" i="24"/>
  <c r="W895" i="24"/>
  <c r="W894" i="24"/>
  <c r="W893" i="24"/>
  <c r="W892" i="24"/>
  <c r="W891" i="24"/>
  <c r="W890" i="24"/>
  <c r="W889" i="24"/>
  <c r="W888" i="24"/>
  <c r="W887" i="24"/>
  <c r="W886" i="24"/>
  <c r="W885" i="24"/>
  <c r="W884" i="24"/>
  <c r="W883" i="24"/>
  <c r="W882" i="24"/>
  <c r="W881" i="24"/>
  <c r="W880" i="24"/>
  <c r="W879" i="24"/>
  <c r="W878" i="24"/>
  <c r="W877" i="24"/>
  <c r="W876" i="24"/>
  <c r="W875" i="24"/>
  <c r="W874" i="24"/>
  <c r="W873" i="24"/>
  <c r="W872" i="24"/>
  <c r="W871" i="24"/>
  <c r="W870" i="24"/>
  <c r="W869" i="24"/>
  <c r="W868" i="24"/>
  <c r="W867" i="24"/>
  <c r="W866" i="24"/>
  <c r="W865" i="24"/>
  <c r="W864" i="24"/>
  <c r="W863" i="24"/>
  <c r="W862" i="24"/>
  <c r="W861" i="24"/>
  <c r="W860" i="24"/>
  <c r="W859" i="24"/>
  <c r="W858" i="24"/>
  <c r="W857" i="24"/>
  <c r="W856" i="24"/>
  <c r="W855" i="24"/>
  <c r="W854" i="24"/>
  <c r="W853" i="24"/>
  <c r="W852" i="24"/>
  <c r="W851" i="24"/>
  <c r="W850" i="24"/>
  <c r="W849" i="24"/>
  <c r="W848" i="24"/>
  <c r="W847" i="24"/>
  <c r="W846" i="24"/>
  <c r="W845" i="24"/>
  <c r="W844" i="24"/>
  <c r="W843" i="24"/>
  <c r="W842" i="24"/>
  <c r="W841" i="24"/>
  <c r="W840" i="24"/>
  <c r="W839" i="24"/>
  <c r="W838" i="24"/>
  <c r="W837" i="24"/>
  <c r="W836" i="24"/>
  <c r="W835" i="24"/>
  <c r="W834" i="24"/>
  <c r="W833" i="24"/>
  <c r="W832" i="24"/>
  <c r="W831" i="24"/>
  <c r="W830" i="24"/>
  <c r="W829" i="24"/>
  <c r="W828" i="24"/>
  <c r="W827" i="24"/>
  <c r="W826" i="24"/>
  <c r="W825" i="24"/>
  <c r="W824" i="24"/>
  <c r="W823" i="24"/>
  <c r="W822" i="24"/>
  <c r="W821" i="24"/>
  <c r="W820" i="24"/>
  <c r="W819" i="24"/>
  <c r="W818" i="24"/>
  <c r="W817" i="24"/>
  <c r="W816" i="24"/>
  <c r="W815" i="24"/>
  <c r="W814" i="24"/>
  <c r="W813" i="24"/>
  <c r="W812" i="24"/>
  <c r="W811" i="24"/>
  <c r="W810" i="24"/>
  <c r="W809" i="24"/>
  <c r="W808" i="24"/>
  <c r="W807" i="24"/>
  <c r="W806" i="24"/>
  <c r="W805" i="24"/>
  <c r="W804" i="24"/>
  <c r="W803" i="24"/>
  <c r="W802" i="24"/>
  <c r="W801" i="24"/>
  <c r="W800" i="24"/>
  <c r="W799" i="24"/>
  <c r="W798" i="24"/>
  <c r="W797" i="24"/>
  <c r="W796" i="24"/>
  <c r="W795" i="24"/>
  <c r="W794" i="24"/>
  <c r="W793" i="24"/>
  <c r="W792" i="24"/>
  <c r="W791" i="24"/>
  <c r="W790" i="24"/>
  <c r="W789" i="24"/>
  <c r="W788" i="24"/>
  <c r="W787" i="24"/>
  <c r="W786" i="24"/>
  <c r="W785" i="24"/>
  <c r="W784" i="24"/>
  <c r="W783" i="24"/>
  <c r="W782" i="24"/>
  <c r="W781" i="24"/>
  <c r="W780" i="24"/>
  <c r="W779" i="24"/>
  <c r="W778" i="24"/>
  <c r="W777" i="24"/>
  <c r="W776" i="24"/>
  <c r="W775" i="24"/>
  <c r="W774" i="24"/>
  <c r="W773" i="24"/>
  <c r="W772" i="24"/>
  <c r="W771" i="24"/>
  <c r="W770" i="24"/>
  <c r="W769" i="24"/>
  <c r="W768" i="24"/>
  <c r="W767" i="24"/>
  <c r="W766" i="24"/>
  <c r="W765" i="24"/>
  <c r="W764" i="24"/>
  <c r="W763" i="24"/>
  <c r="W762" i="24"/>
  <c r="W761" i="24"/>
  <c r="W760" i="24"/>
  <c r="W759" i="24"/>
  <c r="W758" i="24"/>
  <c r="W757" i="24"/>
  <c r="W756" i="24"/>
  <c r="W755" i="24"/>
  <c r="W754" i="24"/>
  <c r="W753" i="24"/>
  <c r="W752" i="24"/>
  <c r="W751" i="24"/>
  <c r="W750" i="24"/>
  <c r="W749" i="24"/>
  <c r="W748" i="24"/>
  <c r="W747" i="24"/>
  <c r="W746" i="24"/>
  <c r="W745" i="24"/>
  <c r="W744" i="24"/>
  <c r="W743" i="24"/>
  <c r="W742" i="24"/>
  <c r="W741" i="24"/>
  <c r="W740" i="24"/>
  <c r="W739" i="24"/>
  <c r="W738" i="24"/>
  <c r="W737" i="24"/>
  <c r="W736" i="24"/>
  <c r="W735" i="24"/>
  <c r="W734" i="24"/>
  <c r="W733" i="24"/>
  <c r="W732" i="24"/>
  <c r="W731" i="24"/>
  <c r="W730" i="24"/>
  <c r="W729" i="24"/>
  <c r="W728" i="24"/>
  <c r="W727" i="24"/>
  <c r="W726" i="24"/>
  <c r="W725" i="24"/>
  <c r="W724" i="24"/>
  <c r="W723" i="24"/>
  <c r="W722" i="24"/>
  <c r="W721" i="24"/>
  <c r="W720" i="24"/>
  <c r="W719" i="24"/>
  <c r="W718" i="24"/>
  <c r="W717" i="24"/>
  <c r="W716" i="24"/>
  <c r="W715" i="24"/>
  <c r="W714" i="24"/>
  <c r="W713" i="24"/>
  <c r="W712" i="24"/>
  <c r="W711" i="24"/>
  <c r="W710" i="24"/>
  <c r="W709" i="24"/>
  <c r="W708" i="24"/>
  <c r="W707" i="24"/>
  <c r="W706" i="24"/>
  <c r="W705" i="24"/>
  <c r="W704" i="24"/>
  <c r="W703" i="24"/>
  <c r="W702" i="24"/>
  <c r="W701" i="24"/>
  <c r="W700" i="24"/>
  <c r="W699" i="24"/>
  <c r="W698" i="24"/>
  <c r="W697" i="24"/>
  <c r="W696" i="24"/>
  <c r="W695" i="24"/>
  <c r="W694" i="24"/>
  <c r="W693" i="24"/>
  <c r="W692" i="24"/>
  <c r="W691" i="24"/>
  <c r="W690" i="24"/>
  <c r="W689" i="24"/>
  <c r="W688" i="24"/>
  <c r="W687" i="24"/>
  <c r="W686" i="24"/>
  <c r="W685" i="24"/>
  <c r="W684" i="24"/>
  <c r="W683" i="24"/>
  <c r="W682" i="24"/>
  <c r="W681" i="24"/>
  <c r="W680" i="24"/>
  <c r="W679" i="24"/>
  <c r="W678" i="24"/>
  <c r="W677" i="24"/>
  <c r="W676" i="24"/>
  <c r="W675" i="24"/>
  <c r="W674" i="24"/>
  <c r="W673" i="24"/>
  <c r="W672" i="24"/>
  <c r="W671" i="24"/>
  <c r="W670" i="24"/>
  <c r="W669" i="24"/>
  <c r="W668" i="24"/>
  <c r="W667" i="24"/>
  <c r="W666" i="24"/>
  <c r="W665" i="24"/>
  <c r="W664" i="24"/>
  <c r="W663" i="24"/>
  <c r="W662" i="24"/>
  <c r="W661" i="24"/>
  <c r="W660" i="24"/>
  <c r="W659" i="24"/>
  <c r="W658" i="24"/>
  <c r="W657" i="24"/>
  <c r="W656" i="24"/>
  <c r="W655" i="24"/>
  <c r="W654" i="24"/>
  <c r="W653" i="24"/>
  <c r="W652" i="24"/>
  <c r="W651" i="24"/>
  <c r="W650" i="24"/>
  <c r="W649" i="24"/>
  <c r="W648" i="24"/>
  <c r="W647" i="24"/>
  <c r="W646" i="24"/>
  <c r="W645" i="24"/>
  <c r="W644" i="24"/>
  <c r="W643" i="24"/>
  <c r="W642" i="24"/>
  <c r="W641" i="24"/>
  <c r="W640" i="24"/>
  <c r="W639" i="24"/>
  <c r="W638" i="24"/>
  <c r="W637" i="24"/>
  <c r="W636" i="24"/>
  <c r="W635" i="24"/>
  <c r="W634" i="24"/>
  <c r="W633" i="24"/>
  <c r="W632" i="24"/>
  <c r="W631" i="24"/>
  <c r="W630" i="24"/>
  <c r="W629" i="24"/>
  <c r="W628" i="24"/>
  <c r="W627" i="24"/>
  <c r="W626" i="24"/>
  <c r="W625" i="24"/>
  <c r="W624" i="24"/>
  <c r="W623" i="24"/>
  <c r="W622" i="24"/>
  <c r="W621" i="24"/>
  <c r="W620" i="24"/>
  <c r="W619" i="24"/>
  <c r="W618" i="24"/>
  <c r="W617" i="24"/>
  <c r="W616" i="24"/>
  <c r="W615" i="24"/>
  <c r="W614" i="24"/>
  <c r="W613" i="24"/>
  <c r="W612" i="24"/>
  <c r="W611" i="24"/>
  <c r="W610" i="24"/>
  <c r="W609" i="24"/>
  <c r="W608" i="24"/>
  <c r="W607" i="24"/>
  <c r="W606" i="24"/>
  <c r="W605" i="24"/>
  <c r="W604" i="24"/>
  <c r="W603" i="24"/>
  <c r="W602" i="24"/>
  <c r="W601" i="24"/>
  <c r="W600" i="24"/>
  <c r="W599" i="24"/>
  <c r="W598" i="24"/>
  <c r="W597" i="24"/>
  <c r="W596" i="24"/>
  <c r="W595" i="24"/>
  <c r="W594" i="24"/>
  <c r="W593" i="24"/>
  <c r="W592" i="24"/>
  <c r="W591" i="24"/>
  <c r="W590" i="24"/>
  <c r="W589" i="24"/>
  <c r="W588" i="24"/>
  <c r="W587" i="24"/>
  <c r="W586" i="24"/>
  <c r="W585" i="24"/>
  <c r="W584" i="24"/>
  <c r="W583" i="24"/>
  <c r="W582" i="24"/>
  <c r="W581" i="24"/>
  <c r="W580" i="24"/>
  <c r="W579" i="24"/>
  <c r="W578" i="24"/>
  <c r="W577" i="24"/>
  <c r="W576" i="24"/>
  <c r="W575" i="24"/>
  <c r="W574" i="24"/>
  <c r="W573" i="24"/>
  <c r="W572" i="24"/>
  <c r="W571" i="24"/>
  <c r="W570" i="24"/>
  <c r="W569" i="24"/>
  <c r="W568" i="24"/>
  <c r="W567" i="24"/>
  <c r="W566" i="24"/>
  <c r="W565" i="24"/>
  <c r="W564" i="24"/>
  <c r="W563" i="24"/>
  <c r="W562" i="24"/>
  <c r="W561" i="24"/>
  <c r="W560" i="24"/>
  <c r="W559" i="24"/>
  <c r="W558" i="24"/>
  <c r="W557" i="24"/>
  <c r="W556" i="24"/>
  <c r="W555" i="24"/>
  <c r="W554" i="24"/>
  <c r="W553" i="24"/>
  <c r="W552" i="24"/>
  <c r="W551" i="24"/>
  <c r="W550" i="24"/>
  <c r="W549" i="24"/>
  <c r="W548" i="24"/>
  <c r="W547" i="24"/>
  <c r="W546" i="24"/>
  <c r="W545" i="24"/>
  <c r="W544" i="24"/>
  <c r="W543" i="24"/>
  <c r="W542" i="24"/>
  <c r="W541" i="24"/>
  <c r="W540" i="24"/>
  <c r="W539" i="24"/>
  <c r="W538" i="24"/>
  <c r="W537" i="24"/>
  <c r="W536" i="24"/>
  <c r="W535" i="24"/>
  <c r="W534" i="24"/>
  <c r="W533" i="24"/>
  <c r="W532" i="24"/>
  <c r="W531" i="24"/>
  <c r="W530" i="24"/>
  <c r="W529" i="24"/>
  <c r="W528" i="24"/>
  <c r="W527" i="24"/>
  <c r="W526" i="24"/>
  <c r="W525" i="24"/>
  <c r="W524" i="24"/>
  <c r="W523" i="24"/>
  <c r="W522" i="24"/>
  <c r="W521" i="24"/>
  <c r="W520" i="24"/>
  <c r="W519" i="24"/>
  <c r="W518" i="24"/>
  <c r="W517" i="24"/>
  <c r="W516" i="24"/>
  <c r="W515" i="24"/>
  <c r="W514" i="24"/>
  <c r="W513" i="24"/>
  <c r="W512" i="24"/>
  <c r="W511" i="24"/>
  <c r="W510" i="24"/>
  <c r="W509" i="24"/>
  <c r="W508" i="24"/>
  <c r="W507" i="24"/>
  <c r="W506" i="24"/>
  <c r="W505" i="24"/>
  <c r="W504" i="24"/>
  <c r="W503" i="24"/>
  <c r="W502" i="24"/>
  <c r="W501" i="24"/>
  <c r="W500" i="24"/>
  <c r="W499" i="24"/>
  <c r="W498" i="24"/>
  <c r="W497" i="24"/>
  <c r="W496" i="24"/>
  <c r="W495" i="24"/>
  <c r="W494" i="24"/>
  <c r="W493" i="24"/>
  <c r="W492" i="24"/>
  <c r="W491" i="24"/>
  <c r="W490" i="24"/>
  <c r="W489" i="24"/>
  <c r="W488" i="24"/>
  <c r="W487" i="24"/>
  <c r="W486" i="24"/>
  <c r="W485" i="24"/>
  <c r="W484" i="24"/>
  <c r="W483" i="24"/>
  <c r="W482" i="24"/>
  <c r="W481" i="24"/>
  <c r="W480" i="24"/>
  <c r="W479" i="24"/>
  <c r="W478" i="24"/>
  <c r="W477" i="24"/>
  <c r="W476" i="24"/>
  <c r="W475" i="24"/>
  <c r="W474" i="24"/>
  <c r="W473" i="24"/>
  <c r="W472" i="24"/>
  <c r="W471" i="24"/>
  <c r="W470" i="24"/>
  <c r="W469" i="24"/>
  <c r="W468" i="24"/>
  <c r="W467" i="24"/>
  <c r="W466" i="24"/>
  <c r="W465" i="24"/>
  <c r="W464" i="24"/>
  <c r="W463" i="24"/>
  <c r="W462" i="24"/>
  <c r="W461" i="24"/>
  <c r="W460" i="24"/>
  <c r="W459" i="24"/>
  <c r="W458" i="24"/>
  <c r="W457" i="24"/>
  <c r="W456" i="24"/>
  <c r="W455" i="24"/>
  <c r="W454" i="24"/>
  <c r="W453" i="24"/>
  <c r="W452" i="24"/>
  <c r="W451" i="24"/>
  <c r="W450" i="24"/>
  <c r="W449" i="24"/>
  <c r="W448" i="24"/>
  <c r="W447" i="24"/>
  <c r="W446" i="24"/>
  <c r="W445" i="24"/>
  <c r="W444" i="24"/>
  <c r="W443" i="24"/>
  <c r="W442" i="24"/>
  <c r="W441" i="24"/>
  <c r="W440" i="24"/>
  <c r="W439" i="24"/>
  <c r="W438" i="24"/>
  <c r="W437" i="24"/>
  <c r="W436" i="24"/>
  <c r="W435" i="24"/>
  <c r="W434" i="24"/>
  <c r="W433" i="24"/>
  <c r="W432" i="24"/>
  <c r="W431" i="24"/>
  <c r="W430" i="24"/>
  <c r="W429" i="24"/>
  <c r="W428" i="24"/>
  <c r="W427" i="24"/>
  <c r="W426" i="24"/>
  <c r="W425" i="24"/>
  <c r="W424" i="24"/>
  <c r="W423" i="24"/>
  <c r="W422" i="24"/>
  <c r="W421" i="24"/>
  <c r="W420" i="24"/>
  <c r="W419" i="24"/>
  <c r="W418" i="24"/>
  <c r="W417" i="24"/>
  <c r="W416" i="24"/>
  <c r="W415" i="24"/>
  <c r="W414" i="24"/>
  <c r="W413" i="24"/>
  <c r="W412" i="24"/>
  <c r="W411" i="24"/>
  <c r="W410" i="24"/>
  <c r="W409" i="24"/>
  <c r="W408" i="24"/>
  <c r="W407" i="24"/>
  <c r="W406" i="24"/>
  <c r="W405" i="24"/>
  <c r="W404" i="24"/>
  <c r="W403" i="24"/>
  <c r="W402" i="24"/>
  <c r="W401" i="24"/>
  <c r="W400" i="24"/>
  <c r="W399" i="24"/>
  <c r="W398" i="24"/>
  <c r="W397" i="24"/>
  <c r="W396" i="24"/>
  <c r="W395" i="24"/>
  <c r="W394" i="24"/>
  <c r="W393" i="24"/>
  <c r="W392" i="24"/>
  <c r="W391" i="24"/>
  <c r="W390" i="24"/>
  <c r="W389" i="24"/>
  <c r="W388" i="24"/>
  <c r="W387" i="24"/>
  <c r="W386" i="24"/>
  <c r="W385" i="24"/>
  <c r="W384" i="24"/>
  <c r="W383" i="24"/>
  <c r="W382" i="24"/>
  <c r="W381" i="24"/>
  <c r="W380" i="24"/>
  <c r="W379" i="24"/>
  <c r="W378" i="24"/>
  <c r="W377" i="24"/>
  <c r="W376" i="24"/>
  <c r="W375" i="24"/>
  <c r="W374" i="24"/>
  <c r="W373" i="24"/>
  <c r="W372" i="24"/>
  <c r="W371" i="24"/>
  <c r="W370" i="24"/>
  <c r="W369" i="24"/>
  <c r="W368" i="24"/>
  <c r="W367" i="24"/>
  <c r="W366" i="24"/>
  <c r="W365" i="24"/>
  <c r="W364" i="24"/>
  <c r="W363" i="24"/>
  <c r="W362" i="24"/>
  <c r="W361" i="24"/>
  <c r="W360" i="24"/>
  <c r="W359" i="24"/>
  <c r="W358" i="24"/>
  <c r="W357" i="24"/>
  <c r="W356" i="24"/>
  <c r="W355" i="24"/>
  <c r="W354" i="24"/>
  <c r="W353" i="24"/>
  <c r="W352" i="24"/>
  <c r="W351" i="24"/>
  <c r="W350" i="24"/>
  <c r="W349" i="24"/>
  <c r="W348" i="24"/>
  <c r="W347" i="24"/>
  <c r="W346" i="24"/>
  <c r="W345" i="24"/>
  <c r="W344" i="24"/>
  <c r="W343" i="24"/>
  <c r="W342" i="24"/>
  <c r="W341" i="24"/>
  <c r="W340" i="24"/>
  <c r="W339" i="24"/>
  <c r="W338" i="24"/>
  <c r="W337" i="24"/>
  <c r="W336" i="24"/>
  <c r="W335" i="24"/>
  <c r="W334" i="24"/>
  <c r="W333" i="24"/>
  <c r="W332" i="24"/>
  <c r="W331" i="24"/>
  <c r="W330" i="24"/>
  <c r="W329" i="24"/>
  <c r="W328" i="24"/>
  <c r="W327" i="24"/>
  <c r="W326" i="24"/>
  <c r="W325" i="24"/>
  <c r="W324" i="24"/>
  <c r="W323" i="24"/>
  <c r="W322" i="24"/>
  <c r="W321" i="24"/>
  <c r="W320" i="24"/>
  <c r="W319" i="24"/>
  <c r="W318" i="24"/>
  <c r="W317" i="24"/>
  <c r="W316" i="24"/>
  <c r="W315" i="24"/>
  <c r="W314" i="24"/>
  <c r="W313" i="24"/>
  <c r="W312" i="24"/>
  <c r="W311" i="24"/>
  <c r="W310" i="24"/>
  <c r="W309" i="24"/>
  <c r="W308" i="24"/>
  <c r="W307" i="24"/>
  <c r="W306" i="24"/>
  <c r="W305" i="24"/>
  <c r="W304" i="24"/>
  <c r="W303" i="24"/>
  <c r="W302" i="24"/>
  <c r="W301" i="24"/>
  <c r="W300" i="24"/>
  <c r="W299" i="24"/>
  <c r="W298" i="24"/>
  <c r="W297" i="24"/>
  <c r="W296" i="24"/>
  <c r="W295" i="24"/>
  <c r="W294" i="24"/>
  <c r="W293" i="24"/>
  <c r="W292" i="24"/>
  <c r="W291" i="24"/>
  <c r="W290" i="24"/>
  <c r="W289" i="24"/>
  <c r="W288" i="24"/>
  <c r="W287" i="24"/>
  <c r="W286" i="24"/>
  <c r="W285" i="24"/>
  <c r="W284" i="24"/>
  <c r="W283" i="24"/>
  <c r="W282" i="24"/>
  <c r="W281" i="24"/>
  <c r="W280" i="24"/>
  <c r="W279" i="24"/>
  <c r="W278" i="24"/>
  <c r="W277" i="24"/>
  <c r="W276" i="24"/>
  <c r="W275" i="24"/>
  <c r="W274" i="24"/>
  <c r="W273" i="24"/>
  <c r="W272" i="24"/>
  <c r="W271" i="24"/>
  <c r="W270" i="24"/>
  <c r="W269" i="24"/>
  <c r="W268" i="24"/>
  <c r="W267" i="24"/>
  <c r="W266" i="24"/>
  <c r="W265" i="24"/>
  <c r="W264" i="24"/>
  <c r="W263" i="24"/>
  <c r="W262" i="24"/>
  <c r="W261" i="24"/>
  <c r="W260" i="24"/>
  <c r="W259" i="24"/>
  <c r="W258" i="24"/>
  <c r="W257" i="24"/>
  <c r="W256" i="24"/>
  <c r="W255" i="24"/>
  <c r="W254" i="24"/>
  <c r="W253" i="24"/>
  <c r="W252" i="24"/>
  <c r="W251" i="24"/>
  <c r="W250" i="24"/>
  <c r="W249" i="24"/>
  <c r="W248" i="24"/>
  <c r="W247" i="24"/>
  <c r="W246" i="24"/>
  <c r="W245" i="24"/>
  <c r="W244" i="24"/>
  <c r="W243" i="24"/>
  <c r="W242" i="24"/>
  <c r="W241" i="24"/>
  <c r="W240" i="24"/>
  <c r="W239" i="24"/>
  <c r="W238" i="24"/>
  <c r="W237" i="24"/>
  <c r="W236" i="24"/>
  <c r="W235" i="24"/>
  <c r="W234" i="24"/>
  <c r="W233" i="24"/>
  <c r="W232" i="24"/>
  <c r="W231" i="24"/>
  <c r="W230" i="24"/>
  <c r="W229" i="24"/>
  <c r="W228" i="24"/>
  <c r="W227" i="24"/>
  <c r="W226" i="24"/>
  <c r="W225" i="24"/>
  <c r="W224" i="24"/>
  <c r="W223" i="24"/>
  <c r="W222" i="24"/>
  <c r="W221" i="24"/>
  <c r="W220" i="24"/>
  <c r="W219" i="24"/>
  <c r="W218" i="24"/>
  <c r="W217" i="24"/>
  <c r="W216" i="24"/>
  <c r="W215" i="24"/>
  <c r="W214" i="24"/>
  <c r="W213" i="24"/>
  <c r="W212" i="24"/>
  <c r="W211" i="24"/>
  <c r="W210" i="24"/>
  <c r="W209" i="24"/>
  <c r="W208" i="24"/>
  <c r="W207" i="24"/>
  <c r="W206" i="24"/>
  <c r="W205" i="24"/>
  <c r="W204" i="24"/>
  <c r="W203" i="24"/>
  <c r="W202" i="24"/>
  <c r="W201" i="24"/>
  <c r="W200" i="24"/>
  <c r="W199" i="24"/>
  <c r="W198" i="24"/>
  <c r="W197" i="24"/>
  <c r="W196" i="24"/>
  <c r="W195" i="24"/>
  <c r="W194" i="24"/>
  <c r="W193" i="24"/>
  <c r="W192" i="24"/>
  <c r="W191" i="24"/>
  <c r="W190" i="24"/>
  <c r="W189" i="24"/>
  <c r="W188" i="24"/>
  <c r="W187" i="24"/>
  <c r="W186" i="24"/>
  <c r="W185" i="24"/>
  <c r="W184" i="24"/>
  <c r="W183" i="24"/>
  <c r="W182" i="24"/>
  <c r="W181" i="24"/>
  <c r="W180" i="24"/>
  <c r="W179" i="24"/>
  <c r="W178" i="24"/>
  <c r="W177" i="24"/>
  <c r="W176" i="24"/>
  <c r="W175" i="24"/>
  <c r="W174" i="24"/>
  <c r="W173" i="24"/>
  <c r="W172" i="24"/>
  <c r="W171" i="24"/>
  <c r="W170" i="24"/>
  <c r="W169" i="24"/>
  <c r="W168" i="24"/>
  <c r="W167" i="24"/>
  <c r="W166" i="24"/>
  <c r="W165" i="24"/>
  <c r="W164" i="24"/>
  <c r="W163" i="24"/>
  <c r="W162" i="24"/>
  <c r="W161" i="24"/>
  <c r="W160" i="24"/>
  <c r="W159" i="24"/>
  <c r="W158" i="24"/>
  <c r="W157" i="24"/>
  <c r="W156" i="24"/>
  <c r="W155" i="24"/>
  <c r="W154" i="24"/>
  <c r="W153" i="24"/>
  <c r="W152" i="24"/>
  <c r="W151" i="24"/>
  <c r="W150" i="24"/>
  <c r="W149" i="24"/>
  <c r="W148" i="24"/>
  <c r="W147" i="24"/>
  <c r="W146" i="24"/>
  <c r="W145" i="24"/>
  <c r="W144" i="24"/>
  <c r="W143" i="24"/>
  <c r="W142" i="24"/>
  <c r="W141" i="24"/>
  <c r="W140" i="24"/>
  <c r="W139" i="24"/>
  <c r="W138" i="24"/>
  <c r="W137" i="24"/>
  <c r="W136" i="24"/>
  <c r="W135" i="24"/>
  <c r="W134" i="24"/>
  <c r="W133" i="24"/>
  <c r="W132" i="24"/>
  <c r="W131" i="24"/>
  <c r="W130" i="24"/>
  <c r="W129" i="24"/>
  <c r="W128" i="24"/>
  <c r="W127" i="24"/>
  <c r="W126" i="24"/>
  <c r="W125" i="24"/>
  <c r="W124" i="24"/>
  <c r="W123" i="24"/>
  <c r="W122" i="24"/>
  <c r="W121" i="24"/>
  <c r="W120" i="24"/>
  <c r="W119" i="24"/>
  <c r="W118" i="24"/>
  <c r="W117" i="24"/>
  <c r="W116" i="24"/>
  <c r="W115" i="24"/>
  <c r="W114" i="24"/>
  <c r="W113" i="24"/>
  <c r="W112" i="24"/>
  <c r="W111" i="24"/>
  <c r="W110" i="24"/>
  <c r="W109" i="24"/>
  <c r="W108" i="24"/>
  <c r="W107" i="24"/>
  <c r="W106" i="24"/>
  <c r="W105" i="24"/>
  <c r="W104" i="24"/>
  <c r="W103" i="24"/>
  <c r="W102" i="24"/>
  <c r="W101" i="24"/>
  <c r="W100" i="24"/>
  <c r="W99" i="24"/>
  <c r="W98" i="24"/>
  <c r="W97" i="24"/>
  <c r="W96" i="24"/>
  <c r="W95" i="24"/>
  <c r="W94" i="24"/>
  <c r="W93" i="24"/>
  <c r="W92" i="24"/>
  <c r="W91" i="24"/>
  <c r="W90" i="24"/>
  <c r="W89" i="24"/>
  <c r="W88" i="24"/>
  <c r="W87" i="24"/>
  <c r="W86" i="24"/>
  <c r="W85" i="24"/>
  <c r="W84" i="24"/>
  <c r="W83" i="24"/>
  <c r="W82" i="24"/>
  <c r="W81" i="24"/>
  <c r="W80" i="24"/>
  <c r="W79" i="24"/>
  <c r="W78" i="24"/>
  <c r="W77" i="24"/>
  <c r="W76" i="24"/>
  <c r="W75" i="24"/>
  <c r="W74" i="24"/>
  <c r="W73" i="24"/>
  <c r="W72" i="24"/>
  <c r="W71" i="24"/>
  <c r="W70" i="24"/>
  <c r="W69" i="24"/>
  <c r="W68" i="24"/>
  <c r="W67" i="24"/>
  <c r="W66" i="24"/>
  <c r="W65" i="24"/>
  <c r="W64" i="24"/>
  <c r="W63" i="24"/>
  <c r="W62" i="24"/>
  <c r="W61" i="24"/>
  <c r="W60" i="24"/>
  <c r="W59" i="24"/>
  <c r="W58" i="24"/>
  <c r="W57" i="24"/>
  <c r="W56" i="24"/>
  <c r="W55" i="24"/>
  <c r="W54" i="24"/>
  <c r="W53" i="24"/>
  <c r="W52" i="24"/>
  <c r="W51" i="24"/>
  <c r="W50" i="24"/>
  <c r="W49" i="24"/>
  <c r="W48" i="24"/>
  <c r="W47" i="24"/>
  <c r="W46" i="24"/>
  <c r="W45" i="24"/>
  <c r="W44" i="24"/>
  <c r="W43" i="24"/>
  <c r="W42" i="24"/>
  <c r="W41" i="24"/>
  <c r="W40" i="24"/>
  <c r="W39" i="24"/>
  <c r="W38" i="24"/>
  <c r="W37" i="24"/>
  <c r="W36" i="24"/>
  <c r="W35" i="24"/>
  <c r="W34" i="24"/>
  <c r="W33" i="24"/>
  <c r="W32" i="24"/>
  <c r="W31" i="24"/>
  <c r="W30" i="24"/>
  <c r="W29" i="24"/>
  <c r="W28" i="24"/>
  <c r="W27" i="24"/>
  <c r="W26" i="24"/>
  <c r="W25" i="24"/>
  <c r="W24" i="24"/>
  <c r="W23" i="24"/>
  <c r="W22" i="24"/>
  <c r="W21" i="24"/>
  <c r="W20" i="24"/>
  <c r="W19" i="24"/>
  <c r="W18" i="24"/>
  <c r="W17" i="24"/>
  <c r="W16" i="24"/>
  <c r="W15" i="24"/>
  <c r="W14" i="24"/>
  <c r="W13" i="24"/>
  <c r="W12" i="24"/>
  <c r="W11" i="24"/>
  <c r="W10" i="24"/>
  <c r="W9" i="24"/>
  <c r="W8" i="24"/>
  <c r="W7" i="24"/>
  <c r="W6" i="24"/>
  <c r="W5" i="24"/>
  <c r="W4" i="24"/>
  <c r="W3" i="24"/>
  <c r="W2" i="24"/>
  <c r="C6" i="19" l="1"/>
  <c r="C7" i="19" s="1"/>
  <c r="D2" i="19" s="1"/>
  <c r="G58" i="18"/>
  <c r="F58" i="18"/>
  <c r="E58" i="18"/>
  <c r="D58" i="18"/>
  <c r="C58" i="18"/>
  <c r="B58" i="18"/>
  <c r="D6" i="19" l="1"/>
  <c r="W354" i="22" l="1"/>
  <c r="W353" i="22"/>
  <c r="W352" i="22"/>
  <c r="W351" i="22"/>
  <c r="W350" i="22"/>
  <c r="W349" i="22"/>
  <c r="W348" i="22"/>
  <c r="W347" i="22"/>
  <c r="W346" i="22"/>
  <c r="W345" i="22"/>
  <c r="W344" i="22"/>
  <c r="W343" i="22"/>
  <c r="W342" i="22"/>
  <c r="W341" i="22"/>
  <c r="W340" i="22"/>
  <c r="W339" i="22"/>
  <c r="W338" i="22"/>
  <c r="W337" i="22"/>
  <c r="W336" i="22"/>
  <c r="W335" i="22"/>
  <c r="W334" i="22"/>
  <c r="W333" i="22"/>
  <c r="W332" i="22"/>
  <c r="W331" i="22"/>
  <c r="W330" i="22"/>
  <c r="W329" i="22"/>
  <c r="W328" i="22"/>
  <c r="W327" i="22"/>
  <c r="W326" i="22"/>
  <c r="W325" i="22"/>
  <c r="W324" i="22"/>
  <c r="W323" i="22"/>
  <c r="W322" i="22"/>
  <c r="W321" i="22"/>
  <c r="W320" i="22"/>
  <c r="W319" i="22"/>
  <c r="W318" i="22"/>
  <c r="W317" i="22"/>
  <c r="W316" i="22"/>
  <c r="W315" i="22"/>
  <c r="W314" i="22"/>
  <c r="W313" i="22"/>
  <c r="W312" i="22"/>
  <c r="W311" i="22"/>
  <c r="W310" i="22"/>
  <c r="W309" i="22"/>
  <c r="W308" i="22"/>
  <c r="W307" i="22"/>
  <c r="W306" i="22"/>
  <c r="W305" i="22"/>
  <c r="W304" i="22"/>
  <c r="W303" i="22"/>
  <c r="W302" i="22"/>
  <c r="W301" i="22"/>
  <c r="W300" i="22"/>
  <c r="W299" i="22"/>
  <c r="W298" i="22"/>
  <c r="W297" i="22"/>
  <c r="W296" i="22"/>
  <c r="W295" i="22"/>
  <c r="W294" i="22"/>
  <c r="W293" i="22"/>
  <c r="W292" i="22"/>
  <c r="W291" i="22"/>
  <c r="W290" i="22"/>
  <c r="W289" i="22"/>
  <c r="W288" i="22"/>
  <c r="W287" i="22"/>
  <c r="W286" i="22"/>
  <c r="W285" i="22"/>
  <c r="W284" i="22"/>
  <c r="W283" i="22"/>
  <c r="W282" i="22"/>
  <c r="W281" i="22"/>
  <c r="W280" i="22"/>
  <c r="W279" i="22"/>
  <c r="W278" i="22"/>
  <c r="W277" i="22"/>
  <c r="W276" i="22"/>
  <c r="W275" i="22"/>
  <c r="W274" i="22"/>
  <c r="W273" i="22"/>
  <c r="W272" i="22"/>
  <c r="W271" i="22"/>
  <c r="W270" i="22"/>
  <c r="W269" i="22"/>
  <c r="W268" i="22"/>
  <c r="W267" i="22"/>
  <c r="W266" i="22"/>
  <c r="W265" i="22"/>
  <c r="W264" i="22"/>
  <c r="W263" i="22"/>
  <c r="W262" i="22"/>
  <c r="W261" i="22"/>
  <c r="W260" i="22"/>
  <c r="W259" i="22"/>
  <c r="W258" i="22"/>
  <c r="W257" i="22"/>
  <c r="W256" i="22"/>
  <c r="W255" i="22"/>
  <c r="W254" i="22"/>
  <c r="W253" i="22"/>
  <c r="W252" i="22"/>
  <c r="W251" i="22"/>
  <c r="W250" i="22"/>
  <c r="W249" i="22"/>
  <c r="W248" i="22"/>
  <c r="W247" i="22"/>
  <c r="W246" i="22"/>
  <c r="W245" i="22"/>
  <c r="W244" i="22"/>
  <c r="W243" i="22"/>
  <c r="W242" i="22"/>
  <c r="W241" i="22"/>
  <c r="W240" i="22"/>
  <c r="W239" i="22"/>
  <c r="W238" i="22"/>
  <c r="W237" i="22"/>
  <c r="W236" i="22"/>
  <c r="W235" i="22"/>
  <c r="W234" i="22"/>
  <c r="W233" i="22"/>
  <c r="W232" i="22"/>
  <c r="W231" i="22"/>
  <c r="W230" i="22"/>
  <c r="W229" i="22"/>
  <c r="W228" i="22"/>
  <c r="W227" i="22"/>
  <c r="W226" i="22"/>
  <c r="W225" i="22"/>
  <c r="W224" i="22"/>
  <c r="W223" i="22"/>
  <c r="W222" i="22"/>
  <c r="W221" i="22"/>
  <c r="W220" i="22"/>
  <c r="W219" i="22"/>
  <c r="W218" i="22"/>
  <c r="W217" i="22"/>
  <c r="W216" i="22"/>
  <c r="W215" i="22"/>
  <c r="W214" i="22"/>
  <c r="W213" i="22"/>
  <c r="W212" i="22"/>
  <c r="W211" i="22"/>
  <c r="W210" i="22"/>
  <c r="W209" i="22"/>
  <c r="W208" i="22"/>
  <c r="W207" i="22"/>
  <c r="W206" i="22"/>
  <c r="W205" i="22"/>
  <c r="W204" i="22"/>
  <c r="W203" i="22"/>
  <c r="W202" i="22"/>
  <c r="W201" i="22"/>
  <c r="W200" i="22"/>
  <c r="W199" i="22"/>
  <c r="W198" i="22"/>
  <c r="W197" i="22"/>
  <c r="W196" i="22"/>
  <c r="W195" i="22"/>
  <c r="W194" i="22"/>
  <c r="W193" i="22"/>
  <c r="W192" i="22"/>
  <c r="W191" i="22"/>
  <c r="W190" i="22"/>
  <c r="W189" i="22"/>
  <c r="W188" i="22"/>
  <c r="W187" i="22"/>
  <c r="W186" i="22"/>
  <c r="W185" i="22"/>
  <c r="W184" i="22"/>
  <c r="W183" i="22"/>
  <c r="W182" i="22"/>
  <c r="W181" i="22"/>
  <c r="W180" i="22"/>
  <c r="W179" i="22"/>
  <c r="W178" i="22"/>
  <c r="W177" i="22"/>
  <c r="W176" i="22"/>
  <c r="W175" i="22"/>
  <c r="W174" i="22"/>
  <c r="W173" i="22"/>
  <c r="W172" i="22"/>
  <c r="W171" i="22"/>
  <c r="W170" i="22"/>
  <c r="W169" i="22"/>
  <c r="W168" i="22"/>
  <c r="W167" i="22"/>
  <c r="W166" i="22"/>
  <c r="W165" i="22"/>
  <c r="W164" i="22"/>
  <c r="W163" i="22"/>
  <c r="W162" i="22"/>
  <c r="W161" i="22"/>
  <c r="W160" i="22"/>
  <c r="W159" i="22"/>
  <c r="W158" i="22"/>
  <c r="W157" i="22"/>
  <c r="W156" i="22"/>
  <c r="W155" i="22"/>
  <c r="W154" i="22"/>
  <c r="W153" i="22"/>
  <c r="W152" i="22"/>
  <c r="W151" i="22"/>
  <c r="W150" i="22"/>
  <c r="W149" i="22"/>
  <c r="W148" i="22"/>
  <c r="W147" i="22"/>
  <c r="W146" i="22"/>
  <c r="W145" i="22"/>
  <c r="W144" i="22"/>
  <c r="W143" i="22"/>
  <c r="W142" i="22"/>
  <c r="W141" i="22"/>
  <c r="W140" i="22"/>
  <c r="W139" i="22"/>
  <c r="W138" i="22"/>
  <c r="W137" i="22"/>
  <c r="W136" i="22"/>
  <c r="W135" i="22"/>
  <c r="W134" i="22"/>
  <c r="W133" i="22"/>
  <c r="W132" i="22"/>
  <c r="W131" i="22"/>
  <c r="W130" i="22"/>
  <c r="W129" i="22"/>
  <c r="W128" i="22"/>
  <c r="W127" i="22"/>
  <c r="W126" i="22"/>
  <c r="W125" i="22"/>
  <c r="W124" i="22"/>
  <c r="W123" i="22"/>
  <c r="W122" i="22"/>
  <c r="W121" i="22"/>
  <c r="W120" i="22"/>
  <c r="W119" i="22"/>
  <c r="W118" i="22"/>
  <c r="W117" i="22"/>
  <c r="W116" i="22"/>
  <c r="W115" i="22"/>
  <c r="W114" i="22"/>
  <c r="W113" i="22"/>
  <c r="W112" i="22"/>
  <c r="W111" i="22"/>
  <c r="W110" i="22"/>
  <c r="W109" i="22"/>
  <c r="W108" i="22"/>
  <c r="W107" i="22"/>
  <c r="W106" i="22"/>
  <c r="W105" i="22"/>
  <c r="W104" i="22"/>
  <c r="W103" i="22"/>
  <c r="W102" i="22"/>
  <c r="W101" i="22"/>
  <c r="W100" i="22"/>
  <c r="W99" i="22"/>
  <c r="W98" i="22"/>
  <c r="W97" i="22"/>
  <c r="W96" i="22"/>
  <c r="W95" i="22"/>
  <c r="W94" i="22"/>
  <c r="W93" i="22"/>
  <c r="W92" i="22"/>
  <c r="W91" i="22"/>
  <c r="W90" i="22"/>
  <c r="W89" i="22"/>
  <c r="W88" i="22"/>
  <c r="W87" i="22"/>
  <c r="W86" i="22"/>
  <c r="W85" i="22"/>
  <c r="W84" i="22"/>
  <c r="W83" i="22"/>
  <c r="W82" i="22"/>
  <c r="W81" i="22"/>
  <c r="W80" i="22"/>
  <c r="W79" i="22"/>
  <c r="W78" i="22"/>
  <c r="W77" i="22"/>
  <c r="W76" i="22"/>
  <c r="W75" i="22"/>
  <c r="W74" i="22"/>
  <c r="W73" i="22"/>
  <c r="W72" i="22"/>
  <c r="W71" i="22"/>
  <c r="W70" i="22"/>
  <c r="W69" i="22"/>
  <c r="W68" i="22"/>
  <c r="W67" i="22"/>
  <c r="W66" i="22"/>
  <c r="W65" i="22"/>
  <c r="W64" i="22"/>
  <c r="W63" i="22"/>
  <c r="W62" i="22"/>
  <c r="W61" i="22"/>
  <c r="W60" i="22"/>
  <c r="W59" i="22"/>
  <c r="W58" i="22"/>
  <c r="W57" i="22"/>
  <c r="W56" i="22"/>
  <c r="W55" i="22"/>
  <c r="W54" i="22"/>
  <c r="W53" i="22"/>
  <c r="W52" i="22"/>
  <c r="W51" i="22"/>
  <c r="W50" i="22"/>
  <c r="W49" i="22"/>
  <c r="W48" i="22"/>
  <c r="W47" i="22"/>
  <c r="W46" i="22"/>
  <c r="W45" i="22"/>
  <c r="W44" i="22"/>
  <c r="W43" i="22"/>
  <c r="W42" i="22"/>
  <c r="W41" i="22"/>
  <c r="W40" i="22"/>
  <c r="W39" i="22"/>
  <c r="W38" i="22"/>
  <c r="W37" i="22"/>
  <c r="W36" i="22"/>
  <c r="W35" i="22"/>
  <c r="W34" i="22"/>
  <c r="W33" i="22"/>
  <c r="W32" i="22"/>
  <c r="W31" i="22"/>
  <c r="W30" i="22"/>
  <c r="W29" i="22"/>
  <c r="W28" i="22"/>
  <c r="W27" i="22"/>
  <c r="W26" i="22"/>
  <c r="W25" i="22"/>
  <c r="W24" i="22"/>
  <c r="W23" i="22"/>
  <c r="W22" i="22"/>
  <c r="W21" i="22"/>
  <c r="W20" i="22"/>
  <c r="W19" i="22"/>
  <c r="W18" i="22"/>
  <c r="W17" i="22"/>
  <c r="W16" i="22"/>
  <c r="W15" i="22"/>
  <c r="W14" i="22"/>
  <c r="W13" i="22"/>
  <c r="W12" i="22"/>
  <c r="W11" i="22"/>
  <c r="W10" i="22"/>
  <c r="W9" i="22"/>
  <c r="W8" i="22"/>
  <c r="W7" i="22"/>
  <c r="W6" i="22"/>
  <c r="W5" i="22"/>
  <c r="S364" i="20" l="1"/>
  <c r="R364" i="20"/>
  <c r="G364" i="20"/>
  <c r="Q361" i="20"/>
  <c r="Q360" i="20"/>
  <c r="Q359" i="20"/>
  <c r="Q358" i="20"/>
  <c r="Q357" i="20"/>
  <c r="Q356" i="20"/>
  <c r="Q355" i="20"/>
  <c r="Q354" i="20"/>
  <c r="Q353" i="20"/>
  <c r="Q352" i="20"/>
  <c r="Q351" i="20"/>
  <c r="Q350" i="20"/>
  <c r="Q349" i="20"/>
  <c r="Q348" i="20"/>
  <c r="Q347" i="20"/>
  <c r="Q346" i="20"/>
  <c r="Q345" i="20"/>
  <c r="Q344" i="20"/>
  <c r="Q343" i="20"/>
  <c r="Q342" i="20"/>
  <c r="Q341" i="20"/>
  <c r="Q340" i="20"/>
  <c r="Q339" i="20"/>
  <c r="Q338" i="20"/>
  <c r="Q337" i="20"/>
  <c r="Q336" i="20"/>
  <c r="Q335" i="20"/>
  <c r="Q334" i="20"/>
  <c r="Q333" i="20"/>
  <c r="Q332" i="20"/>
  <c r="Q331" i="20"/>
  <c r="Q330" i="20"/>
  <c r="Q329" i="20"/>
  <c r="Q328" i="20"/>
  <c r="Q327" i="20"/>
  <c r="Q326" i="20"/>
  <c r="Q325" i="20"/>
  <c r="Q324" i="20"/>
  <c r="Q323" i="20"/>
  <c r="Q322" i="20"/>
  <c r="Q321" i="20"/>
  <c r="Q320" i="20"/>
  <c r="Q319" i="20"/>
  <c r="Q318" i="20"/>
  <c r="Q317" i="20"/>
  <c r="Q316" i="20"/>
  <c r="Q315" i="20"/>
  <c r="Q314" i="20"/>
  <c r="Q313" i="20"/>
  <c r="Q312" i="20"/>
  <c r="Q311" i="20"/>
  <c r="Q310" i="20"/>
  <c r="Q309" i="20"/>
  <c r="Q308" i="20"/>
  <c r="Q307" i="20"/>
  <c r="Q306" i="20"/>
  <c r="Q305" i="20"/>
  <c r="Q304" i="20"/>
  <c r="Q303" i="20"/>
  <c r="Q302" i="20"/>
  <c r="Q301" i="20"/>
  <c r="Q300" i="20"/>
  <c r="Q299" i="20"/>
  <c r="Q298" i="20"/>
  <c r="Q297" i="20"/>
  <c r="Q296" i="20"/>
  <c r="Q295" i="20"/>
  <c r="Q294" i="20"/>
  <c r="Q293" i="20"/>
  <c r="Q292" i="20"/>
  <c r="Q291" i="20"/>
  <c r="Q290" i="20"/>
  <c r="Q289" i="20"/>
  <c r="Q288" i="20"/>
  <c r="Q287" i="20"/>
  <c r="Q286" i="20"/>
  <c r="Q285" i="20"/>
  <c r="Q284" i="20"/>
  <c r="Q283" i="20"/>
  <c r="Q282" i="20"/>
  <c r="Q281" i="20"/>
  <c r="Q280" i="20"/>
  <c r="Q279" i="20"/>
  <c r="Q278" i="20"/>
  <c r="Q277" i="20"/>
  <c r="Q276" i="20"/>
  <c r="Q275" i="20"/>
  <c r="Q274" i="20"/>
  <c r="Q273" i="20"/>
  <c r="Q272" i="20"/>
  <c r="Q271" i="20"/>
  <c r="Q270" i="20"/>
  <c r="Q269" i="20"/>
  <c r="Q268" i="20"/>
  <c r="Q267" i="20"/>
  <c r="Q266" i="20"/>
  <c r="Q265" i="20"/>
  <c r="Q264" i="20"/>
  <c r="Q263" i="20"/>
  <c r="Q262" i="20"/>
  <c r="Q261" i="20"/>
  <c r="Q260" i="20"/>
  <c r="Q259" i="20"/>
  <c r="Q258" i="20"/>
  <c r="Q257" i="20"/>
  <c r="Q256" i="20"/>
  <c r="Q255" i="20"/>
  <c r="Q254" i="20"/>
  <c r="Q253" i="20"/>
  <c r="Q252" i="20"/>
  <c r="Q251" i="20"/>
  <c r="Q250" i="20"/>
  <c r="Q249" i="20"/>
  <c r="Q248" i="20"/>
  <c r="Q247" i="20"/>
  <c r="Q246" i="20"/>
  <c r="Q245" i="20"/>
  <c r="Q244" i="20"/>
  <c r="Q243" i="20"/>
  <c r="Q242" i="20"/>
  <c r="Q241" i="20"/>
  <c r="Q240" i="20"/>
  <c r="Q239" i="20"/>
  <c r="Q238" i="20"/>
  <c r="Q237" i="20"/>
  <c r="Q236" i="20"/>
  <c r="Q235" i="20"/>
  <c r="Q234" i="20"/>
  <c r="Q233" i="20"/>
  <c r="Q232" i="20"/>
  <c r="Q231" i="20"/>
  <c r="Q230" i="20"/>
  <c r="Q229" i="20"/>
  <c r="Q228" i="20"/>
  <c r="Q227" i="20"/>
  <c r="Q226" i="20"/>
  <c r="Q225" i="20"/>
  <c r="Q224" i="20"/>
  <c r="Q223" i="20"/>
  <c r="Q222" i="20"/>
  <c r="Q221" i="20"/>
  <c r="Q220" i="20"/>
  <c r="Q219" i="20"/>
  <c r="Q218" i="20"/>
  <c r="Q217" i="20"/>
  <c r="Q216" i="20"/>
  <c r="Q215" i="20"/>
  <c r="Q214" i="20"/>
  <c r="Q213" i="20"/>
  <c r="Q212" i="20"/>
  <c r="Q211" i="20"/>
  <c r="Q210" i="20"/>
  <c r="Q209" i="20"/>
  <c r="Q208" i="20"/>
  <c r="Q207" i="20"/>
  <c r="Q206" i="20"/>
  <c r="Q205" i="20"/>
  <c r="Q204" i="20"/>
  <c r="Q203" i="20"/>
  <c r="Q202" i="20"/>
  <c r="Q201" i="20"/>
  <c r="Q200" i="20"/>
  <c r="Q199" i="20"/>
  <c r="Q198" i="20"/>
  <c r="Q197" i="20"/>
  <c r="Q196" i="20"/>
  <c r="Q195" i="20"/>
  <c r="Q194" i="20"/>
  <c r="Q193" i="20"/>
  <c r="Q192" i="20"/>
  <c r="Q191" i="20"/>
  <c r="Q190" i="20"/>
  <c r="Q189" i="20"/>
  <c r="Q188" i="20"/>
  <c r="Q187" i="20"/>
  <c r="Q186" i="20"/>
  <c r="Q185" i="20"/>
  <c r="Q184" i="20"/>
  <c r="Q183" i="20"/>
  <c r="Q182" i="20"/>
  <c r="Q181" i="20"/>
  <c r="Q180" i="20"/>
  <c r="Q179" i="20"/>
  <c r="Q178" i="20"/>
  <c r="Q177" i="20"/>
  <c r="Q176" i="20"/>
  <c r="Q175" i="20"/>
  <c r="Q174" i="20"/>
  <c r="Q173" i="20"/>
  <c r="Q172" i="20"/>
  <c r="Q171" i="20"/>
  <c r="Q170" i="20"/>
  <c r="Q169" i="20"/>
  <c r="Q168" i="20"/>
  <c r="Q167" i="20"/>
  <c r="Q166" i="20"/>
  <c r="Q165" i="20"/>
  <c r="Q164" i="20"/>
  <c r="Q163" i="20"/>
  <c r="Q162" i="20"/>
  <c r="Q161" i="20"/>
  <c r="Q160" i="20"/>
  <c r="Q159" i="20"/>
  <c r="Q158" i="20"/>
  <c r="Q157" i="20"/>
  <c r="Q156" i="20"/>
  <c r="Q155" i="20"/>
  <c r="Q154" i="20"/>
  <c r="Q153" i="20"/>
  <c r="Q152" i="20"/>
  <c r="Q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Q127" i="20"/>
  <c r="Q126" i="20"/>
  <c r="Q125" i="20"/>
  <c r="Q124" i="20"/>
  <c r="Q123" i="20"/>
  <c r="Q122" i="20"/>
  <c r="Q121" i="20"/>
  <c r="Q120" i="20"/>
  <c r="Q119" i="20"/>
  <c r="Q118" i="20"/>
  <c r="Q117" i="20"/>
  <c r="Q116" i="20"/>
  <c r="Q115" i="20"/>
  <c r="Q114" i="20"/>
  <c r="Q113" i="20"/>
  <c r="Q112" i="20"/>
  <c r="Q111" i="20"/>
  <c r="Q110" i="20"/>
  <c r="Q109" i="20"/>
  <c r="Q108" i="20"/>
  <c r="Q107" i="20"/>
  <c r="Q106" i="20"/>
  <c r="Q105" i="20"/>
  <c r="Q104" i="20"/>
  <c r="Q103" i="20"/>
  <c r="Q102" i="20"/>
  <c r="Q101" i="20"/>
  <c r="Q100" i="20"/>
  <c r="Q99" i="20"/>
  <c r="Q98" i="20"/>
  <c r="Q97" i="20"/>
  <c r="Q96" i="20"/>
  <c r="Q95" i="20"/>
  <c r="Q94" i="20"/>
  <c r="Q93" i="20"/>
  <c r="Q92" i="20"/>
  <c r="Q91" i="20"/>
  <c r="Q90" i="20"/>
  <c r="Q89" i="20"/>
  <c r="Q88" i="20"/>
  <c r="Q87" i="20"/>
  <c r="Q86" i="20"/>
  <c r="Q85" i="20"/>
  <c r="Q84" i="20"/>
  <c r="Q83" i="20"/>
  <c r="Q82" i="20"/>
  <c r="Q81" i="20"/>
  <c r="Q80" i="20"/>
  <c r="Q79" i="20"/>
  <c r="Q78" i="20"/>
  <c r="Q77" i="20"/>
  <c r="Q76" i="20"/>
  <c r="Q75" i="20"/>
  <c r="Q74" i="20"/>
  <c r="Q73" i="20"/>
  <c r="Q72" i="20"/>
  <c r="Q71" i="20"/>
  <c r="Q70" i="20"/>
  <c r="Q69" i="20"/>
  <c r="Q68" i="20"/>
  <c r="Q67" i="20"/>
  <c r="Q66" i="20"/>
  <c r="Q364" i="20" s="1"/>
  <c r="Q65" i="20"/>
  <c r="Q64" i="20"/>
  <c r="Q63" i="20"/>
  <c r="Q62" i="20"/>
  <c r="Q61" i="20"/>
  <c r="Q60" i="20"/>
  <c r="Q59" i="20"/>
  <c r="Q58" i="20"/>
  <c r="Q57" i="20"/>
  <c r="Q56" i="20"/>
  <c r="Q55" i="20"/>
  <c r="Q54" i="20"/>
  <c r="Q53" i="20"/>
  <c r="Q52" i="20"/>
  <c r="Q51" i="20"/>
  <c r="Q50" i="20"/>
  <c r="Q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Q22" i="20"/>
  <c r="Q21" i="20"/>
  <c r="Q20" i="20"/>
  <c r="Q19" i="20"/>
  <c r="Q18" i="20"/>
  <c r="Q17" i="20"/>
  <c r="Q16" i="20"/>
  <c r="Q15" i="20"/>
  <c r="Q14" i="20"/>
  <c r="Q13" i="20"/>
  <c r="Q12" i="20"/>
  <c r="Q11" i="20"/>
  <c r="Q10" i="20"/>
  <c r="Q9" i="20"/>
  <c r="Q8" i="20"/>
  <c r="Q7" i="20"/>
  <c r="Q6" i="20"/>
  <c r="Q5" i="20"/>
  <c r="Q4" i="20"/>
  <c r="Q3" i="20"/>
  <c r="H362" i="15"/>
  <c r="I363" i="15" s="1"/>
  <c r="J362" i="15"/>
  <c r="I362" i="15"/>
  <c r="V5" i="9"/>
  <c r="V6" i="9"/>
  <c r="V7" i="9"/>
  <c r="V8" i="9"/>
  <c r="V9" i="9"/>
  <c r="V10" i="9"/>
  <c r="V11" i="9"/>
  <c r="V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4" i="9"/>
  <c r="U8" i="9"/>
  <c r="J363" i="15" l="1"/>
  <c r="H363" i="15"/>
  <c r="BM284" i="26" l="1"/>
  <c r="BM283" i="26"/>
  <c r="BM282" i="26"/>
  <c r="BM281" i="26"/>
  <c r="BM280" i="26"/>
  <c r="BM279" i="26"/>
  <c r="BM278" i="26"/>
  <c r="BM277" i="26"/>
  <c r="BM276" i="26"/>
  <c r="BM275" i="26"/>
  <c r="BM274" i="26"/>
  <c r="BM273" i="26"/>
  <c r="BM272" i="26"/>
  <c r="BM271" i="26"/>
  <c r="BM270" i="26"/>
  <c r="BM269" i="26"/>
  <c r="BM268" i="26"/>
  <c r="BM267" i="26"/>
  <c r="BM266" i="26"/>
  <c r="BM265" i="26"/>
  <c r="BM264" i="26"/>
  <c r="BM263" i="26"/>
  <c r="BM262" i="26"/>
  <c r="BM261" i="26"/>
  <c r="BM260" i="26"/>
  <c r="BM259" i="26"/>
  <c r="BM258" i="26"/>
  <c r="BM257" i="26"/>
  <c r="BM256" i="26"/>
  <c r="BM255" i="26"/>
  <c r="BM254" i="26"/>
  <c r="BM253" i="26"/>
  <c r="BM252" i="26"/>
  <c r="BM251" i="26"/>
  <c r="BM250" i="26"/>
  <c r="BM249" i="26"/>
  <c r="BM248" i="26"/>
  <c r="BM247" i="26"/>
  <c r="BM246" i="26"/>
  <c r="BM245" i="26"/>
  <c r="BM244" i="26"/>
  <c r="BM243" i="26"/>
  <c r="BM242" i="26"/>
  <c r="BM241" i="26"/>
  <c r="BM240" i="26"/>
  <c r="BM239" i="26"/>
  <c r="BM238" i="26"/>
  <c r="BM237" i="26"/>
  <c r="BM236" i="26"/>
  <c r="BM235" i="26"/>
  <c r="BM234" i="26"/>
  <c r="BM233" i="26"/>
  <c r="BM232" i="26"/>
  <c r="BM231" i="26"/>
  <c r="BM230" i="26"/>
  <c r="BM229" i="26"/>
  <c r="BM228" i="26"/>
  <c r="BM227" i="26"/>
  <c r="BM226" i="26"/>
  <c r="BM225" i="26"/>
  <c r="BM224" i="26"/>
  <c r="BM223" i="26"/>
  <c r="BM222" i="26"/>
  <c r="BM221" i="26"/>
  <c r="BM220" i="26"/>
  <c r="BM219" i="26"/>
  <c r="BM218" i="26"/>
  <c r="BM217" i="26"/>
  <c r="BM216" i="26"/>
  <c r="BM215" i="26"/>
  <c r="BM214" i="26"/>
  <c r="BM213" i="26"/>
  <c r="BM212" i="26"/>
  <c r="BM211" i="26"/>
  <c r="BM210" i="26"/>
  <c r="BM209" i="26"/>
  <c r="BM208" i="26"/>
  <c r="BM207" i="26"/>
  <c r="BM206" i="26"/>
  <c r="BM205" i="26"/>
  <c r="BM204" i="26"/>
  <c r="BM203" i="26"/>
  <c r="BM202" i="26"/>
  <c r="BM201" i="26"/>
  <c r="BM200" i="26"/>
  <c r="BM199" i="26"/>
  <c r="BM198" i="26"/>
  <c r="BM197" i="26"/>
  <c r="BM196" i="26"/>
  <c r="BM195" i="26"/>
  <c r="BM194" i="26"/>
  <c r="BM193" i="26"/>
  <c r="BM192" i="26"/>
  <c r="BM191" i="26"/>
  <c r="BM190" i="26"/>
  <c r="BM189" i="26"/>
  <c r="BM188" i="26"/>
  <c r="BM187" i="26"/>
  <c r="BM186" i="26"/>
  <c r="BM185" i="26"/>
  <c r="BM184" i="26"/>
  <c r="BM183" i="26"/>
  <c r="BM182" i="26"/>
  <c r="BM181" i="26"/>
  <c r="BM180" i="26"/>
  <c r="BM179" i="26"/>
  <c r="BM178" i="26"/>
  <c r="BM177" i="26"/>
  <c r="BM176" i="26"/>
  <c r="BM175" i="26"/>
  <c r="BM174" i="26"/>
  <c r="BM173" i="26"/>
  <c r="BM172" i="26"/>
  <c r="BM171" i="26"/>
  <c r="BM170" i="26"/>
  <c r="BM169" i="26"/>
  <c r="BM168" i="26"/>
  <c r="BM167" i="26"/>
  <c r="BM166" i="26"/>
  <c r="BM165" i="26"/>
  <c r="BM164" i="26"/>
  <c r="BM163" i="26"/>
  <c r="BM162" i="26"/>
  <c r="BM161" i="26"/>
  <c r="BM160" i="26"/>
  <c r="BM159" i="26"/>
  <c r="BM158" i="26"/>
  <c r="BM157" i="26"/>
  <c r="BM156" i="26"/>
  <c r="BM155" i="26"/>
  <c r="BM154" i="26"/>
  <c r="BM153" i="26"/>
  <c r="BM152" i="26"/>
  <c r="BM151" i="26"/>
  <c r="BM150" i="26"/>
  <c r="BM149" i="26"/>
  <c r="BM148" i="26"/>
  <c r="BM147" i="26"/>
  <c r="BM146" i="26"/>
  <c r="BM145" i="26"/>
  <c r="BM144" i="26"/>
  <c r="BM143" i="26"/>
  <c r="BM142" i="26"/>
  <c r="BM141" i="26"/>
  <c r="BM140" i="26"/>
  <c r="BM139" i="26"/>
  <c r="BM138" i="26"/>
  <c r="BM137" i="26"/>
  <c r="BM136" i="26"/>
  <c r="BM135" i="26"/>
  <c r="BM134" i="26"/>
  <c r="BM133" i="26"/>
  <c r="BM132" i="26"/>
  <c r="BM131" i="26"/>
  <c r="BM130" i="26"/>
  <c r="BM129" i="26"/>
  <c r="BM128" i="26"/>
  <c r="BM127" i="26"/>
  <c r="BM126" i="26"/>
  <c r="BM125" i="26"/>
  <c r="BM124" i="26"/>
  <c r="BM123" i="26"/>
  <c r="BM122" i="26"/>
  <c r="BM121" i="26"/>
  <c r="BM120" i="26"/>
  <c r="BM119" i="26"/>
  <c r="BM118" i="26"/>
  <c r="BM117" i="26"/>
  <c r="BM116" i="26"/>
  <c r="BM115" i="26"/>
  <c r="BM114" i="26"/>
  <c r="BM113" i="26"/>
  <c r="BM112" i="26"/>
  <c r="BM111" i="26"/>
  <c r="BM110" i="26"/>
  <c r="BM109" i="26"/>
  <c r="BM108" i="26"/>
  <c r="BM107" i="26"/>
  <c r="BM106" i="26"/>
  <c r="BM105" i="26"/>
  <c r="BM104" i="26"/>
  <c r="BM103" i="26"/>
  <c r="BM102" i="26"/>
  <c r="BM101" i="26"/>
  <c r="BM100" i="26"/>
  <c r="BM99" i="26"/>
  <c r="BM98" i="26"/>
  <c r="BM97" i="26"/>
  <c r="BM96" i="26"/>
  <c r="BM95" i="26"/>
  <c r="BM94" i="26"/>
  <c r="BM93" i="26"/>
  <c r="BM92" i="26"/>
  <c r="BM91" i="26"/>
  <c r="BM90" i="26"/>
  <c r="BM89" i="26"/>
  <c r="BM88" i="26"/>
  <c r="BM87" i="26"/>
  <c r="BM86" i="26"/>
  <c r="BM85" i="26"/>
  <c r="BM84" i="26"/>
  <c r="BM83" i="26"/>
  <c r="BM82" i="26"/>
  <c r="BM81" i="26"/>
  <c r="BM80" i="26"/>
  <c r="BM79" i="26"/>
  <c r="BM78" i="26"/>
  <c r="BM77" i="26"/>
  <c r="BM76" i="26"/>
  <c r="BM75" i="26"/>
  <c r="BM74" i="26"/>
  <c r="BM73" i="26"/>
  <c r="BM72" i="26"/>
  <c r="BM71" i="26"/>
  <c r="BM70" i="26"/>
  <c r="BM69" i="26"/>
  <c r="BM68" i="26"/>
  <c r="BM67" i="26"/>
  <c r="BM66" i="26"/>
  <c r="BM65" i="26"/>
  <c r="BM64" i="26"/>
  <c r="BM63" i="26"/>
  <c r="BM62" i="26"/>
  <c r="BM61" i="26"/>
  <c r="BM60" i="26"/>
  <c r="BM59" i="26"/>
  <c r="BM58" i="26"/>
  <c r="BM57" i="26"/>
  <c r="BM56" i="26"/>
  <c r="BM55" i="26"/>
  <c r="BM54" i="26"/>
  <c r="BM53" i="26"/>
  <c r="BM52" i="26"/>
  <c r="BM51" i="26"/>
  <c r="BM50" i="26"/>
  <c r="BM49" i="26"/>
  <c r="BM48" i="26"/>
  <c r="BM47" i="26"/>
  <c r="BM46" i="26"/>
  <c r="BM45" i="26"/>
  <c r="BM44" i="26"/>
  <c r="BM43" i="26"/>
  <c r="BM42" i="26"/>
  <c r="BM41" i="26"/>
  <c r="BM40" i="26"/>
  <c r="BM39" i="26"/>
  <c r="BM38" i="26"/>
  <c r="BM37" i="26"/>
  <c r="BM36" i="26"/>
  <c r="BM35" i="26"/>
  <c r="BM34" i="26"/>
  <c r="BM33" i="26"/>
  <c r="BM32" i="26"/>
  <c r="BM31" i="26"/>
  <c r="BM30" i="26"/>
  <c r="BM29" i="26"/>
  <c r="BM28" i="26"/>
  <c r="BM27" i="26"/>
  <c r="BM26" i="26"/>
  <c r="BM25" i="26"/>
  <c r="BM24" i="26"/>
  <c r="BM23" i="26"/>
  <c r="BM22" i="26"/>
  <c r="BM21" i="26"/>
  <c r="BM20" i="26"/>
  <c r="BM19" i="26"/>
  <c r="BM18" i="26"/>
  <c r="BM17" i="26"/>
  <c r="BM16" i="26"/>
  <c r="BM15" i="26"/>
  <c r="BM14" i="26"/>
  <c r="BM13" i="26"/>
  <c r="BM12" i="26"/>
  <c r="BM11" i="26"/>
  <c r="BM10" i="26"/>
  <c r="BM9" i="26"/>
  <c r="BM8" i="26"/>
  <c r="BM7" i="26"/>
  <c r="BM6" i="26"/>
  <c r="BM5" i="26"/>
  <c r="BM4" i="26"/>
  <c r="BM3" i="26"/>
  <c r="BM2" i="26"/>
  <c r="G279" i="25" l="1"/>
  <c r="G278" i="25"/>
  <c r="G277" i="25"/>
  <c r="G276" i="25"/>
  <c r="G271" i="25"/>
  <c r="G270" i="25"/>
  <c r="G269" i="25"/>
  <c r="G266" i="25"/>
  <c r="G264" i="25"/>
  <c r="G262" i="25"/>
  <c r="G261" i="25"/>
  <c r="G260" i="25"/>
  <c r="G259" i="25"/>
  <c r="G258" i="25"/>
  <c r="G257" i="25"/>
  <c r="G256" i="25"/>
  <c r="G255" i="25"/>
  <c r="G254" i="25"/>
  <c r="G253" i="25"/>
  <c r="G252" i="25"/>
  <c r="G251" i="25"/>
  <c r="G250" i="25"/>
  <c r="G249" i="25"/>
  <c r="G248" i="25"/>
  <c r="G247" i="25"/>
  <c r="G246" i="25"/>
  <c r="G245" i="25"/>
  <c r="G244" i="25"/>
  <c r="G243" i="25"/>
  <c r="G240" i="25"/>
  <c r="G239" i="25"/>
  <c r="G238" i="25"/>
  <c r="G237" i="25"/>
  <c r="G236" i="25"/>
  <c r="G235" i="25"/>
  <c r="G230" i="25"/>
  <c r="G222" i="25"/>
  <c r="G221" i="25"/>
  <c r="G220" i="25"/>
  <c r="G219" i="25"/>
  <c r="G218" i="25"/>
  <c r="G217" i="25"/>
  <c r="G216" i="25"/>
  <c r="G215" i="25"/>
  <c r="G214" i="25"/>
  <c r="G213" i="25"/>
  <c r="G212" i="25"/>
  <c r="G211" i="25"/>
  <c r="G210" i="25"/>
  <c r="G209" i="25"/>
  <c r="G208" i="25"/>
  <c r="G207" i="25"/>
  <c r="G206" i="25"/>
  <c r="G203" i="25"/>
  <c r="G202" i="25"/>
  <c r="G200" i="25"/>
  <c r="G198" i="25"/>
  <c r="G197" i="25"/>
  <c r="G196" i="25"/>
  <c r="G192" i="25"/>
  <c r="G191" i="25"/>
  <c r="G190" i="25"/>
  <c r="G189" i="25"/>
  <c r="G188" i="25"/>
  <c r="G187" i="25"/>
  <c r="G186" i="25"/>
  <c r="G185" i="25"/>
  <c r="G184" i="25"/>
  <c r="G181" i="25"/>
  <c r="G179" i="25"/>
  <c r="G178" i="25"/>
  <c r="G177" i="25"/>
  <c r="G176" i="25"/>
  <c r="G175" i="25"/>
  <c r="G174" i="25"/>
  <c r="G172" i="25"/>
  <c r="G171" i="25"/>
  <c r="G170" i="25"/>
  <c r="G169" i="25"/>
  <c r="G168" i="25"/>
  <c r="G167" i="25"/>
  <c r="G166" i="25"/>
  <c r="G165" i="25"/>
  <c r="G164" i="25"/>
  <c r="G163" i="25"/>
  <c r="G162" i="25"/>
  <c r="G159" i="25"/>
  <c r="G158" i="25"/>
  <c r="G157" i="25"/>
  <c r="G156" i="25"/>
  <c r="G155" i="25"/>
  <c r="G154" i="25"/>
  <c r="G153" i="25"/>
  <c r="G152" i="25"/>
  <c r="G151" i="25"/>
  <c r="G150" i="25"/>
  <c r="G148" i="25"/>
  <c r="G147" i="25"/>
  <c r="G146" i="25"/>
  <c r="G145" i="25"/>
  <c r="G144" i="25"/>
  <c r="G143" i="25"/>
  <c r="G142" i="25"/>
  <c r="G141" i="25"/>
  <c r="G140" i="25"/>
  <c r="G139" i="25"/>
  <c r="G138" i="25"/>
  <c r="G137"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3" i="25"/>
  <c r="G101" i="25"/>
  <c r="G100" i="25"/>
  <c r="G99" i="25"/>
  <c r="G98" i="25"/>
  <c r="G97" i="25"/>
  <c r="G96" i="25"/>
  <c r="G95" i="25"/>
  <c r="G94" i="25"/>
  <c r="G93" i="25"/>
  <c r="G92" i="25"/>
  <c r="G91" i="25"/>
  <c r="G90" i="25"/>
  <c r="G89" i="25"/>
  <c r="G88" i="25"/>
  <c r="G87" i="25"/>
  <c r="G86" i="25"/>
  <c r="G79" i="25"/>
  <c r="G78" i="25"/>
  <c r="G77" i="25"/>
  <c r="G64" i="25"/>
  <c r="G63" i="25"/>
  <c r="G62" i="25"/>
  <c r="G61" i="25"/>
  <c r="G60" i="25"/>
  <c r="G48" i="25"/>
  <c r="G47" i="25"/>
  <c r="G46" i="25"/>
  <c r="G45" i="25"/>
  <c r="G44" i="25"/>
  <c r="G43" i="25"/>
  <c r="G42" i="25"/>
  <c r="G41" i="25"/>
  <c r="G38" i="25"/>
  <c r="G37" i="25"/>
  <c r="G34" i="25"/>
  <c r="G31" i="25"/>
  <c r="G30" i="25"/>
  <c r="G29" i="25"/>
  <c r="G28" i="25"/>
  <c r="G27" i="25"/>
  <c r="G26" i="25"/>
  <c r="G25" i="25"/>
  <c r="G24" i="25"/>
  <c r="G23" i="25"/>
  <c r="G22" i="25"/>
  <c r="G20" i="25"/>
  <c r="G19" i="25"/>
  <c r="G18" i="25"/>
  <c r="G17" i="25"/>
  <c r="G15" i="25"/>
  <c r="G14" i="25"/>
  <c r="G13" i="25"/>
  <c r="G12" i="25"/>
  <c r="G11" i="25"/>
  <c r="G10" i="25"/>
  <c r="G9" i="25"/>
  <c r="G8" i="25"/>
  <c r="G7" i="25"/>
  <c r="G6" i="25"/>
  <c r="G4" i="25"/>
  <c r="G3" i="25"/>
  <c r="F3" i="25"/>
  <c r="F4" i="25"/>
  <c r="F5" i="25"/>
  <c r="F6" i="25"/>
  <c r="F7" i="25"/>
  <c r="F9" i="25"/>
  <c r="F10" i="25"/>
  <c r="F11" i="25"/>
  <c r="F12" i="25"/>
  <c r="F13" i="25"/>
  <c r="F14" i="25"/>
  <c r="F15" i="25"/>
  <c r="F16" i="25"/>
  <c r="F17" i="25"/>
  <c r="F18" i="25"/>
  <c r="F20" i="25"/>
  <c r="F21" i="25"/>
  <c r="F22" i="25"/>
  <c r="F24" i="25"/>
  <c r="F25" i="25"/>
  <c r="F26" i="25"/>
  <c r="F27" i="25"/>
  <c r="F28" i="25"/>
  <c r="F29" i="25"/>
  <c r="F30" i="25"/>
  <c r="F31" i="25"/>
  <c r="F32" i="25"/>
  <c r="F33" i="25"/>
  <c r="F34" i="25"/>
  <c r="F36" i="25"/>
  <c r="F37" i="25"/>
  <c r="F38" i="25"/>
  <c r="F39" i="25"/>
  <c r="F40" i="25"/>
  <c r="F41" i="25"/>
  <c r="F42" i="25"/>
  <c r="F43" i="25"/>
  <c r="F44" i="25"/>
  <c r="F45" i="25"/>
  <c r="F46" i="25"/>
  <c r="F47" i="25"/>
  <c r="F48" i="25"/>
  <c r="F49" i="25"/>
  <c r="F50" i="25"/>
  <c r="F52" i="25"/>
  <c r="F54" i="25"/>
  <c r="F55" i="25"/>
  <c r="F56" i="25"/>
  <c r="F57" i="25"/>
  <c r="F58" i="25"/>
  <c r="F59" i="25"/>
  <c r="F60" i="25"/>
  <c r="F62" i="25"/>
  <c r="F63" i="25"/>
  <c r="F65" i="25"/>
  <c r="F66" i="25"/>
  <c r="F67" i="25"/>
  <c r="F68" i="25"/>
  <c r="F69" i="25"/>
  <c r="F70" i="25"/>
  <c r="F71" i="25"/>
  <c r="F72" i="25"/>
  <c r="F74" i="25"/>
  <c r="F75" i="25"/>
  <c r="F76" i="25"/>
  <c r="F77" i="25"/>
  <c r="F78" i="25"/>
  <c r="F79"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20" i="25"/>
  <c r="F121" i="25"/>
  <c r="F122" i="25"/>
  <c r="F123"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4" i="25"/>
  <c r="F155" i="25"/>
  <c r="F156" i="25"/>
  <c r="F157" i="25"/>
  <c r="F158" i="25"/>
  <c r="F160" i="25"/>
  <c r="F161" i="25"/>
  <c r="F162" i="25"/>
  <c r="F163" i="25"/>
  <c r="F164" i="25"/>
  <c r="F165" i="25"/>
  <c r="F166" i="25"/>
  <c r="F168" i="25"/>
  <c r="F169" i="25"/>
  <c r="F170" i="25"/>
  <c r="F171" i="25"/>
  <c r="F172" i="25"/>
  <c r="F173" i="25"/>
  <c r="F174" i="25"/>
  <c r="F175" i="25"/>
  <c r="F176" i="25"/>
  <c r="F179" i="25"/>
  <c r="F180" i="25"/>
  <c r="F181" i="25"/>
  <c r="F182" i="25"/>
  <c r="F183" i="25"/>
  <c r="F184" i="25"/>
  <c r="F185" i="25"/>
  <c r="F186" i="25"/>
  <c r="F187" i="25"/>
  <c r="F188" i="25"/>
  <c r="F189" i="25"/>
  <c r="F190" i="25"/>
  <c r="F191" i="25"/>
  <c r="F192" i="25"/>
  <c r="F194" i="25"/>
  <c r="F196" i="25"/>
  <c r="F197" i="25"/>
  <c r="F198" i="25"/>
  <c r="F199" i="25"/>
  <c r="F200" i="25"/>
  <c r="F201" i="25"/>
  <c r="F202" i="25"/>
  <c r="F203" i="25"/>
  <c r="F204" i="25"/>
  <c r="F205" i="25"/>
  <c r="F206" i="25"/>
  <c r="F209" i="25"/>
  <c r="F210" i="25"/>
  <c r="F213" i="25"/>
  <c r="F216" i="25"/>
  <c r="F217" i="25"/>
  <c r="F218" i="25"/>
  <c r="F219" i="25"/>
  <c r="F220" i="25"/>
  <c r="F222" i="25"/>
  <c r="F223" i="25"/>
  <c r="F224" i="25"/>
  <c r="F225" i="25"/>
  <c r="F226" i="25"/>
  <c r="F227" i="25"/>
  <c r="F228" i="25"/>
  <c r="F229" i="25"/>
  <c r="F230" i="25"/>
  <c r="F231" i="25"/>
  <c r="F232" i="25"/>
  <c r="F233" i="25"/>
  <c r="F234" i="25"/>
  <c r="F235" i="25"/>
  <c r="F237" i="25"/>
  <c r="F239" i="25"/>
  <c r="F240" i="25"/>
  <c r="F241" i="25"/>
  <c r="F242" i="25"/>
  <c r="F243" i="25"/>
  <c r="F244" i="25"/>
  <c r="F245" i="25"/>
  <c r="F246" i="25"/>
  <c r="F247" i="25"/>
  <c r="F248" i="25"/>
  <c r="F253" i="25"/>
  <c r="F254" i="25"/>
  <c r="F255" i="25"/>
  <c r="F256" i="25"/>
  <c r="F257" i="25"/>
  <c r="F258" i="25"/>
  <c r="F259" i="25"/>
  <c r="F260" i="25"/>
  <c r="F261" i="25"/>
  <c r="F262" i="25"/>
  <c r="F263" i="25"/>
  <c r="F264" i="25"/>
  <c r="F265" i="25"/>
  <c r="F266" i="25"/>
  <c r="F267" i="25"/>
  <c r="F268" i="25"/>
  <c r="F269" i="25"/>
  <c r="F270" i="25"/>
  <c r="F271" i="25"/>
  <c r="F272" i="25"/>
  <c r="F273" i="25"/>
  <c r="F276" i="25"/>
  <c r="F277" i="25"/>
  <c r="F279" i="25"/>
  <c r="E4" i="25"/>
  <c r="E5" i="25"/>
  <c r="E6" i="25"/>
  <c r="E8" i="25"/>
  <c r="E9" i="25"/>
  <c r="E11" i="25"/>
  <c r="E14" i="25"/>
  <c r="E15" i="25"/>
  <c r="E16" i="25"/>
  <c r="E17" i="25"/>
  <c r="E18" i="25"/>
  <c r="E21" i="25"/>
  <c r="E22" i="25"/>
  <c r="E23" i="25"/>
  <c r="E24" i="25"/>
  <c r="E25" i="25"/>
  <c r="E26" i="25"/>
  <c r="E27" i="25"/>
  <c r="E29" i="25"/>
  <c r="E30" i="25"/>
  <c r="E33" i="25"/>
  <c r="E34" i="25"/>
  <c r="E35" i="25"/>
  <c r="E36" i="25"/>
  <c r="E39" i="25"/>
  <c r="E40" i="25"/>
  <c r="E42" i="25"/>
  <c r="E43" i="25"/>
  <c r="E44" i="25"/>
  <c r="E45" i="25"/>
  <c r="E46" i="25"/>
  <c r="E48" i="25"/>
  <c r="E49" i="25"/>
  <c r="E51" i="25"/>
  <c r="E53" i="25"/>
  <c r="E54" i="25"/>
  <c r="E55" i="25"/>
  <c r="E56" i="25"/>
  <c r="E57" i="25"/>
  <c r="E58" i="25"/>
  <c r="E59" i="25"/>
  <c r="E60" i="25"/>
  <c r="E61" i="25"/>
  <c r="E62" i="25"/>
  <c r="E63" i="25"/>
  <c r="E64" i="25"/>
  <c r="E66" i="25"/>
  <c r="E67" i="25"/>
  <c r="E68" i="25"/>
  <c r="E70" i="25"/>
  <c r="E71" i="25"/>
  <c r="E72" i="25"/>
  <c r="E74" i="25"/>
  <c r="E75" i="25"/>
  <c r="E76" i="25"/>
  <c r="E77" i="25"/>
  <c r="E79" i="25"/>
  <c r="E82" i="25"/>
  <c r="E83" i="25"/>
  <c r="E84" i="25"/>
  <c r="E85" i="25"/>
  <c r="E86" i="25"/>
  <c r="E88" i="25"/>
  <c r="E89" i="25"/>
  <c r="E90" i="25"/>
  <c r="E91" i="25"/>
  <c r="E92" i="25"/>
  <c r="E93" i="25"/>
  <c r="E94" i="25"/>
  <c r="E95" i="25"/>
  <c r="E96" i="25"/>
  <c r="E97" i="25"/>
  <c r="E99" i="25"/>
  <c r="E100" i="25"/>
  <c r="E101" i="25"/>
  <c r="E102" i="25"/>
  <c r="E103" i="25"/>
  <c r="E104" i="25"/>
  <c r="E105" i="25"/>
  <c r="E106" i="25"/>
  <c r="E108" i="25"/>
  <c r="E109" i="25"/>
  <c r="E110" i="25"/>
  <c r="E111" i="25"/>
  <c r="E112" i="25"/>
  <c r="E113" i="25"/>
  <c r="E114" i="25"/>
  <c r="E115" i="25"/>
  <c r="E116" i="25"/>
  <c r="E117" i="25"/>
  <c r="E118" i="25"/>
  <c r="E119" i="25"/>
  <c r="E120" i="25"/>
  <c r="E122" i="25"/>
  <c r="E123" i="25"/>
  <c r="E125" i="25"/>
  <c r="E127" i="25"/>
  <c r="E128" i="25"/>
  <c r="E129" i="25"/>
  <c r="E130" i="25"/>
  <c r="E133" i="25"/>
  <c r="E136" i="25"/>
  <c r="E137" i="25"/>
  <c r="E138" i="25"/>
  <c r="E140" i="25"/>
  <c r="E141" i="25"/>
  <c r="E142" i="25"/>
  <c r="E143" i="25"/>
  <c r="E144" i="25"/>
  <c r="E145" i="25"/>
  <c r="E146" i="25"/>
  <c r="E147" i="25"/>
  <c r="E151" i="25"/>
  <c r="E152" i="25"/>
  <c r="E154" i="25"/>
  <c r="E155" i="25"/>
  <c r="E156" i="25"/>
  <c r="E157" i="25"/>
  <c r="E158" i="25"/>
  <c r="E160" i="25"/>
  <c r="E161" i="25"/>
  <c r="E162" i="25"/>
  <c r="E164" i="25"/>
  <c r="E168" i="25"/>
  <c r="E171" i="25"/>
  <c r="E172" i="25"/>
  <c r="E174" i="25"/>
  <c r="E175" i="25"/>
  <c r="E176" i="25"/>
  <c r="E178" i="25"/>
  <c r="E179" i="25"/>
  <c r="E180" i="25"/>
  <c r="E184" i="25"/>
  <c r="E185" i="25"/>
  <c r="E188" i="25"/>
  <c r="E189" i="25"/>
  <c r="E190" i="25"/>
  <c r="E191" i="25"/>
  <c r="E192" i="25"/>
  <c r="E193" i="25"/>
  <c r="E194" i="25"/>
  <c r="E195" i="25"/>
  <c r="E197" i="25"/>
  <c r="E198" i="25"/>
  <c r="E199" i="25"/>
  <c r="E203" i="25"/>
  <c r="E206" i="25"/>
  <c r="E207" i="25"/>
  <c r="E208" i="25"/>
  <c r="E210" i="25"/>
  <c r="E211" i="25"/>
  <c r="E213" i="25"/>
  <c r="E214" i="25"/>
  <c r="E215" i="25"/>
  <c r="E216" i="25"/>
  <c r="E218" i="25"/>
  <c r="E219" i="25"/>
  <c r="E220" i="25"/>
  <c r="E222" i="25"/>
  <c r="E223" i="25"/>
  <c r="E225" i="25"/>
  <c r="E227" i="25"/>
  <c r="E228" i="25"/>
  <c r="E229" i="25"/>
  <c r="E230" i="25"/>
  <c r="E231" i="25"/>
  <c r="E232" i="25"/>
  <c r="E233" i="25"/>
  <c r="E234" i="25"/>
  <c r="E235" i="25"/>
  <c r="E236" i="25"/>
  <c r="E237" i="25"/>
  <c r="E238" i="25"/>
  <c r="E239" i="25"/>
  <c r="E241" i="25"/>
  <c r="E242" i="25"/>
  <c r="E245" i="25"/>
  <c r="E247" i="25"/>
  <c r="E251" i="25"/>
  <c r="E252" i="25"/>
  <c r="E253" i="25"/>
  <c r="E254" i="25"/>
  <c r="E255" i="25"/>
  <c r="E256" i="25"/>
  <c r="E257" i="25"/>
  <c r="E258" i="25"/>
  <c r="E259" i="25"/>
  <c r="E260" i="25"/>
  <c r="E262" i="25"/>
  <c r="E263" i="25"/>
  <c r="E266" i="25"/>
  <c r="E267" i="25"/>
  <c r="E269" i="25"/>
  <c r="E270" i="25"/>
  <c r="E271" i="25"/>
  <c r="E272" i="25"/>
  <c r="E273" i="25"/>
  <c r="E275" i="25"/>
  <c r="E276" i="25"/>
  <c r="E277" i="25"/>
  <c r="E278" i="25"/>
  <c r="E279" i="25"/>
  <c r="H279" i="25"/>
  <c r="H277" i="25"/>
  <c r="H276" i="25"/>
  <c r="H273" i="25"/>
  <c r="H272" i="25"/>
  <c r="H271" i="25"/>
  <c r="H270" i="25"/>
  <c r="H269" i="25"/>
  <c r="H268" i="25"/>
  <c r="H267" i="25"/>
  <c r="H266" i="25"/>
  <c r="H265" i="25"/>
  <c r="H264" i="25"/>
  <c r="H263" i="25"/>
  <c r="H262" i="25"/>
  <c r="H261" i="25"/>
  <c r="H260" i="25"/>
  <c r="H259" i="25"/>
  <c r="H258" i="25"/>
  <c r="H257" i="25"/>
  <c r="H256" i="25"/>
  <c r="H255" i="25"/>
  <c r="H254" i="25"/>
  <c r="H253" i="25"/>
  <c r="H248" i="25"/>
  <c r="H247" i="25"/>
  <c r="H246" i="25"/>
  <c r="H245" i="25"/>
  <c r="H244" i="25"/>
  <c r="H243" i="25"/>
  <c r="H242" i="25"/>
  <c r="H240" i="25"/>
  <c r="H239" i="25"/>
  <c r="H237" i="25"/>
  <c r="H235" i="25"/>
  <c r="H234" i="25"/>
  <c r="H233" i="25"/>
  <c r="H232" i="25"/>
  <c r="H231" i="25"/>
  <c r="H230" i="25"/>
  <c r="H229" i="25"/>
  <c r="H228" i="25"/>
  <c r="H227" i="25"/>
  <c r="H226" i="25"/>
  <c r="H225" i="25"/>
  <c r="H224" i="25"/>
  <c r="H223" i="25"/>
  <c r="H222" i="25"/>
  <c r="H220" i="25"/>
  <c r="H219" i="25"/>
  <c r="H218" i="25"/>
  <c r="H217" i="25"/>
  <c r="H216" i="25"/>
  <c r="H213" i="25"/>
  <c r="H210" i="25"/>
  <c r="H209" i="25"/>
  <c r="H206" i="25"/>
  <c r="H205" i="25"/>
  <c r="H204" i="25"/>
  <c r="H203" i="25"/>
  <c r="H202" i="25"/>
  <c r="H201" i="25"/>
  <c r="H200" i="25"/>
  <c r="H198" i="25"/>
  <c r="H197" i="25"/>
  <c r="H196" i="25"/>
  <c r="H194" i="25"/>
  <c r="H192" i="25"/>
  <c r="H191" i="25"/>
  <c r="H190" i="25"/>
  <c r="H189" i="25"/>
  <c r="H188" i="25"/>
  <c r="H187" i="25"/>
  <c r="H186" i="25"/>
  <c r="H185" i="25"/>
  <c r="H184" i="25"/>
  <c r="H183" i="25"/>
  <c r="H182" i="25"/>
  <c r="H181" i="25"/>
  <c r="H180" i="25"/>
  <c r="H179" i="25"/>
  <c r="H178" i="25"/>
  <c r="H176" i="25"/>
  <c r="H175" i="25"/>
  <c r="H174" i="25"/>
  <c r="H172" i="25"/>
  <c r="H171" i="25"/>
  <c r="H170" i="25"/>
  <c r="H169" i="25"/>
  <c r="H168" i="25"/>
  <c r="H165" i="25"/>
  <c r="H164" i="25"/>
  <c r="H163" i="25"/>
  <c r="H162" i="25"/>
  <c r="H161" i="25"/>
  <c r="H160" i="25"/>
  <c r="H158" i="25"/>
  <c r="H157" i="25"/>
  <c r="H156" i="25"/>
  <c r="H155" i="25"/>
  <c r="H154" i="25"/>
  <c r="H150" i="25"/>
  <c r="H149" i="25"/>
  <c r="H148" i="25"/>
  <c r="H147" i="25"/>
  <c r="H146" i="25"/>
  <c r="H145" i="25"/>
  <c r="H144" i="25"/>
  <c r="H143" i="25"/>
  <c r="H142" i="25"/>
  <c r="H141" i="25"/>
  <c r="H140" i="25"/>
  <c r="H139" i="25"/>
  <c r="H138" i="25"/>
  <c r="H137" i="25"/>
  <c r="H136" i="25"/>
  <c r="H135" i="25"/>
  <c r="H134" i="25"/>
  <c r="H133" i="25"/>
  <c r="H132" i="25"/>
  <c r="H131" i="25"/>
  <c r="H130" i="25"/>
  <c r="H129" i="25"/>
  <c r="H128" i="25"/>
  <c r="H127" i="25"/>
  <c r="H126" i="25"/>
  <c r="H125" i="25"/>
  <c r="H124" i="25"/>
  <c r="H123" i="25"/>
  <c r="H122" i="25"/>
  <c r="H121" i="25"/>
  <c r="H120" i="25"/>
  <c r="H118" i="25"/>
  <c r="H117" i="25"/>
  <c r="H116" i="25"/>
  <c r="H115" i="25"/>
  <c r="H114" i="25"/>
  <c r="H113" i="25"/>
  <c r="H112" i="25"/>
  <c r="H111" i="25"/>
  <c r="H110" i="25"/>
  <c r="H109" i="25"/>
  <c r="H108" i="25"/>
  <c r="H107" i="25"/>
  <c r="H106" i="25"/>
  <c r="H105" i="25"/>
  <c r="H104" i="25"/>
  <c r="H103" i="25"/>
  <c r="H102" i="25"/>
  <c r="H101" i="25"/>
  <c r="H100" i="25"/>
  <c r="H99" i="25"/>
  <c r="H98" i="25"/>
  <c r="H97" i="25"/>
  <c r="H96" i="25"/>
  <c r="H95" i="25"/>
  <c r="H94" i="25"/>
  <c r="H93" i="25"/>
  <c r="H92" i="25"/>
  <c r="H91" i="25"/>
  <c r="H90" i="25"/>
  <c r="H89" i="25"/>
  <c r="H88" i="25"/>
  <c r="H87" i="25"/>
  <c r="H86" i="25"/>
  <c r="H85" i="25"/>
  <c r="H84" i="25"/>
  <c r="H83" i="25"/>
  <c r="H81" i="25"/>
  <c r="H79" i="25"/>
  <c r="H78" i="25"/>
  <c r="H77" i="25"/>
  <c r="H76" i="25"/>
  <c r="H75" i="25"/>
  <c r="H74" i="25"/>
  <c r="H72" i="25"/>
  <c r="H71" i="25"/>
  <c r="H70" i="25"/>
  <c r="H69" i="25"/>
  <c r="H68" i="25"/>
  <c r="H67" i="25"/>
  <c r="H66" i="25"/>
  <c r="H65" i="25"/>
  <c r="H64" i="25"/>
  <c r="H63" i="25"/>
  <c r="H62" i="25"/>
  <c r="H60" i="25"/>
  <c r="H59" i="25"/>
  <c r="H58" i="25"/>
  <c r="H57" i="25"/>
  <c r="H56" i="25"/>
  <c r="H55" i="25"/>
  <c r="H54" i="25"/>
  <c r="H52" i="25"/>
  <c r="H51" i="25"/>
  <c r="H50" i="25"/>
  <c r="H49" i="25"/>
  <c r="H48" i="25"/>
  <c r="H47" i="25"/>
  <c r="H46" i="25"/>
  <c r="H45" i="25"/>
  <c r="H44" i="25"/>
  <c r="H43" i="25"/>
  <c r="H42" i="25"/>
  <c r="H41" i="25"/>
  <c r="H40" i="25"/>
  <c r="H39" i="25"/>
  <c r="H38" i="25"/>
  <c r="H37" i="25"/>
  <c r="H36" i="25"/>
  <c r="H34" i="25"/>
  <c r="H33" i="25"/>
  <c r="H32" i="25"/>
  <c r="H31" i="25"/>
  <c r="H30" i="25"/>
  <c r="H29" i="25"/>
  <c r="H28" i="25"/>
  <c r="H27" i="25"/>
  <c r="H26" i="25"/>
  <c r="H25" i="25"/>
  <c r="H24" i="25"/>
  <c r="H22" i="25"/>
  <c r="H21" i="25"/>
  <c r="H20" i="25"/>
  <c r="H18" i="25"/>
  <c r="H17" i="25"/>
  <c r="H16" i="25"/>
  <c r="H15" i="25"/>
  <c r="H14" i="25"/>
  <c r="H13" i="25"/>
  <c r="H12" i="25"/>
  <c r="H11" i="25"/>
  <c r="H10" i="25"/>
  <c r="H9" i="25"/>
  <c r="H7" i="25"/>
  <c r="H6" i="25"/>
  <c r="H5" i="25"/>
  <c r="H4" i="25"/>
  <c r="H3" i="25"/>
  <c r="F284" i="25" l="1"/>
  <c r="G268" i="25"/>
  <c r="G267" i="25"/>
  <c r="G265" i="25"/>
  <c r="G263" i="25"/>
  <c r="G242" i="25"/>
  <c r="G241" i="25"/>
  <c r="G234" i="25"/>
  <c r="G233" i="25"/>
  <c r="G232" i="25"/>
  <c r="G231" i="25"/>
  <c r="G229" i="25"/>
  <c r="G228" i="25"/>
  <c r="G227" i="25"/>
  <c r="G226" i="25"/>
  <c r="G225" i="25"/>
  <c r="G224" i="25"/>
  <c r="G223" i="25"/>
  <c r="G204" i="25"/>
  <c r="G201" i="25"/>
  <c r="G199" i="25"/>
  <c r="G180" i="25"/>
  <c r="G102" i="25"/>
  <c r="G65" i="25"/>
  <c r="G40" i="25"/>
  <c r="G39" i="25"/>
  <c r="G35" i="25"/>
  <c r="G21" i="25"/>
  <c r="G5" i="25"/>
  <c r="J284" i="23" l="1"/>
  <c r="J283" i="23"/>
  <c r="J282" i="23"/>
  <c r="J281" i="23"/>
  <c r="J280" i="23"/>
  <c r="J279" i="23"/>
  <c r="J278" i="23"/>
  <c r="J277" i="23"/>
  <c r="J276" i="23"/>
  <c r="J275" i="23"/>
  <c r="J274" i="23"/>
  <c r="J273" i="23"/>
  <c r="J272" i="23"/>
  <c r="J271" i="23"/>
  <c r="J270" i="23"/>
  <c r="J269" i="23"/>
  <c r="J268" i="23"/>
  <c r="J267" i="23"/>
  <c r="J266" i="23"/>
  <c r="J265" i="23"/>
  <c r="J264" i="23"/>
  <c r="J263" i="23"/>
  <c r="J262" i="23"/>
  <c r="J261" i="23"/>
  <c r="J260" i="23"/>
  <c r="J259" i="23"/>
  <c r="J258" i="23"/>
  <c r="J257" i="23"/>
  <c r="J256" i="23"/>
  <c r="J255" i="23"/>
  <c r="J254" i="23"/>
  <c r="J253" i="23"/>
  <c r="J252" i="23"/>
  <c r="J251" i="23"/>
  <c r="J250" i="23"/>
  <c r="J249" i="23"/>
  <c r="J248" i="23"/>
  <c r="J247" i="23"/>
  <c r="J246" i="23"/>
  <c r="J245" i="23"/>
  <c r="J244" i="23"/>
  <c r="J243" i="23"/>
  <c r="J242" i="23"/>
  <c r="J241" i="23"/>
  <c r="J240" i="23"/>
  <c r="J239" i="23"/>
  <c r="J238" i="23"/>
  <c r="J237" i="23"/>
  <c r="J236" i="23"/>
  <c r="J235" i="23"/>
  <c r="J234" i="23"/>
  <c r="J233" i="23"/>
  <c r="J232" i="23"/>
  <c r="J231" i="23"/>
  <c r="J230" i="23"/>
  <c r="J229" i="23"/>
  <c r="J228" i="23"/>
  <c r="J227" i="23"/>
  <c r="J226" i="23"/>
  <c r="J225" i="23"/>
  <c r="J224" i="23"/>
  <c r="J223" i="23"/>
  <c r="J222" i="23"/>
  <c r="J221" i="23"/>
  <c r="J220" i="23"/>
  <c r="J219" i="23"/>
  <c r="J218" i="23"/>
  <c r="J217" i="23"/>
  <c r="J216" i="23"/>
  <c r="J215" i="23"/>
  <c r="J214" i="23"/>
  <c r="J213" i="23"/>
  <c r="J212" i="23"/>
  <c r="J211" i="23"/>
  <c r="J210" i="23"/>
  <c r="J209" i="23"/>
  <c r="J208" i="23"/>
  <c r="J207" i="23"/>
  <c r="J206" i="23"/>
  <c r="J205" i="23"/>
  <c r="J204" i="23"/>
  <c r="J203" i="23"/>
  <c r="J202" i="23"/>
  <c r="J201" i="23"/>
  <c r="J200" i="23"/>
  <c r="J199" i="23"/>
  <c r="J198" i="23"/>
  <c r="J197" i="23"/>
  <c r="J196" i="23"/>
  <c r="J195" i="23"/>
  <c r="J194" i="23"/>
  <c r="J193" i="23"/>
  <c r="J192" i="23"/>
  <c r="J191" i="23"/>
  <c r="J190" i="23"/>
  <c r="J189" i="23"/>
  <c r="J188" i="23"/>
  <c r="J187" i="23"/>
  <c r="J186" i="23"/>
  <c r="J185" i="23"/>
  <c r="J184" i="23"/>
  <c r="J183" i="23"/>
  <c r="J182" i="23"/>
  <c r="J181" i="23"/>
  <c r="J180" i="23"/>
  <c r="J179" i="23"/>
  <c r="J178" i="23"/>
  <c r="J177" i="23"/>
  <c r="J176" i="23"/>
  <c r="J175" i="23"/>
  <c r="J174" i="23"/>
  <c r="J173" i="23"/>
  <c r="J172" i="23"/>
  <c r="J171" i="23"/>
  <c r="J170" i="23"/>
  <c r="J169" i="23"/>
  <c r="J168" i="23"/>
  <c r="J167" i="23"/>
  <c r="J166" i="23"/>
  <c r="J165" i="23"/>
  <c r="J164" i="23"/>
  <c r="J163" i="23"/>
  <c r="J162" i="23"/>
  <c r="J161" i="23"/>
  <c r="J160" i="23"/>
  <c r="J159" i="23"/>
  <c r="J158" i="23"/>
  <c r="J157" i="23"/>
  <c r="J156" i="23"/>
  <c r="J155" i="23"/>
  <c r="J154" i="23"/>
  <c r="J153" i="23"/>
  <c r="J152" i="23"/>
  <c r="J151" i="23"/>
  <c r="J150" i="23"/>
  <c r="J149" i="23"/>
  <c r="J148" i="23"/>
  <c r="J147" i="23"/>
  <c r="J146" i="23"/>
  <c r="J145" i="23"/>
  <c r="J144" i="23"/>
  <c r="J143" i="23"/>
  <c r="J142" i="23"/>
  <c r="J141" i="23"/>
  <c r="J140" i="23"/>
  <c r="J139" i="23"/>
  <c r="J138" i="23"/>
  <c r="J137" i="23"/>
  <c r="J136" i="23"/>
  <c r="J135" i="23"/>
  <c r="J134" i="23"/>
  <c r="J133" i="23"/>
  <c r="J132" i="23"/>
  <c r="J131" i="23"/>
  <c r="J130" i="23"/>
  <c r="J129" i="23"/>
  <c r="J128" i="23"/>
  <c r="J127" i="23"/>
  <c r="J126" i="23"/>
  <c r="J125" i="23"/>
  <c r="J124" i="23"/>
  <c r="J123" i="23"/>
  <c r="J122" i="23"/>
  <c r="J121" i="23"/>
  <c r="J120" i="23"/>
  <c r="J119" i="23"/>
  <c r="J118" i="23"/>
  <c r="J117" i="23"/>
  <c r="J116" i="23"/>
  <c r="J115" i="23"/>
  <c r="J114" i="23"/>
  <c r="J113" i="23"/>
  <c r="J112" i="23"/>
  <c r="J111" i="23"/>
  <c r="J110" i="23"/>
  <c r="J109" i="23"/>
  <c r="J108" i="23"/>
  <c r="J107" i="23"/>
  <c r="J106" i="23"/>
  <c r="J105" i="23"/>
  <c r="J104" i="23"/>
  <c r="J103" i="23"/>
  <c r="J102" i="23"/>
  <c r="J101" i="23"/>
  <c r="J100" i="23"/>
  <c r="J99" i="23"/>
  <c r="J98" i="23"/>
  <c r="J97" i="23"/>
  <c r="J96" i="23"/>
  <c r="J95" i="23"/>
  <c r="J94" i="23"/>
  <c r="J93" i="23"/>
  <c r="J92" i="23"/>
  <c r="J91" i="23"/>
  <c r="J90" i="23"/>
  <c r="J89" i="23"/>
  <c r="J88" i="23"/>
  <c r="J87" i="23"/>
  <c r="J86" i="23"/>
  <c r="J85" i="23"/>
  <c r="J84" i="23"/>
  <c r="J83" i="23"/>
  <c r="J82" i="23"/>
  <c r="J81" i="23"/>
  <c r="J80" i="23"/>
  <c r="J79" i="23"/>
  <c r="J78" i="23"/>
  <c r="J77" i="23"/>
  <c r="J76" i="23"/>
  <c r="J75" i="23"/>
  <c r="J74" i="23"/>
  <c r="J73" i="23"/>
  <c r="J72" i="23"/>
  <c r="J71" i="23"/>
  <c r="J70" i="23"/>
  <c r="J69" i="23"/>
  <c r="J68" i="23"/>
  <c r="J67" i="23"/>
  <c r="J66" i="23"/>
  <c r="J65" i="23"/>
  <c r="J64" i="23"/>
  <c r="J63" i="23"/>
  <c r="J62" i="23"/>
  <c r="J61" i="23"/>
  <c r="J60" i="23"/>
  <c r="J59" i="23"/>
  <c r="J58" i="23"/>
  <c r="J57" i="23"/>
  <c r="J56" i="23"/>
  <c r="J55" i="23"/>
  <c r="J54" i="23"/>
  <c r="J53" i="23"/>
  <c r="J52" i="23"/>
  <c r="J51" i="23"/>
  <c r="J50" i="23"/>
  <c r="J49" i="23"/>
  <c r="J48" i="23"/>
  <c r="J47" i="23"/>
  <c r="J46" i="23"/>
  <c r="J45" i="23"/>
  <c r="J44" i="23"/>
  <c r="J43" i="23"/>
  <c r="J42" i="23"/>
  <c r="J41" i="23"/>
  <c r="J40" i="23"/>
  <c r="J39" i="23"/>
  <c r="J38" i="23"/>
  <c r="J37" i="23"/>
  <c r="J3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J9" i="23"/>
  <c r="J8" i="23"/>
  <c r="J7" i="23"/>
  <c r="J6" i="23"/>
  <c r="J5" i="23"/>
  <c r="J4" i="23"/>
  <c r="J3" i="23"/>
  <c r="J2" i="23"/>
  <c r="S300" i="14" l="1"/>
  <c r="R300" i="14"/>
  <c r="P300" i="14"/>
  <c r="O300" i="14"/>
  <c r="N300" i="14"/>
  <c r="L300" i="14"/>
  <c r="K300" i="14"/>
  <c r="J300" i="14"/>
  <c r="I300" i="14"/>
  <c r="G300" i="14"/>
  <c r="E301" i="14" l="1"/>
</calcChain>
</file>

<file path=xl/sharedStrings.xml><?xml version="1.0" encoding="utf-8"?>
<sst xmlns="http://schemas.openxmlformats.org/spreadsheetml/2006/main" count="68593" uniqueCount="5662">
  <si>
    <t>CID</t>
  </si>
  <si>
    <t>Community Name</t>
  </si>
  <si>
    <t>County</t>
  </si>
  <si>
    <t>BARBOUR COUNTY*</t>
  </si>
  <si>
    <t>BARBOUR COUNTY</t>
  </si>
  <si>
    <t>Unincorporated</t>
  </si>
  <si>
    <t>BOONE COUNTY *</t>
  </si>
  <si>
    <t>BOONE COUNTY</t>
  </si>
  <si>
    <t>BRAXTON COUNTY *</t>
  </si>
  <si>
    <t>BRAXTON COUNTY</t>
  </si>
  <si>
    <t>BROOKE COUNTY *</t>
  </si>
  <si>
    <t>BROOKE COUNTY</t>
  </si>
  <si>
    <t>CABELL COUNTY*</t>
  </si>
  <si>
    <t>CABELL COUNTY</t>
  </si>
  <si>
    <t>CALHOUN COUNTY *</t>
  </si>
  <si>
    <t>CALHOUN COUNTY</t>
  </si>
  <si>
    <t>CLAY COUNTY *</t>
  </si>
  <si>
    <t>CLAY COUNTY</t>
  </si>
  <si>
    <t>DODDRIDGE COUNTY *</t>
  </si>
  <si>
    <t>DODDRIDGE COUNTY</t>
  </si>
  <si>
    <t>FAYETTE COUNTY*</t>
  </si>
  <si>
    <t>FAYETTE COUNTY</t>
  </si>
  <si>
    <t>GILMER COUNTY *</t>
  </si>
  <si>
    <t>GILMER COUNTY</t>
  </si>
  <si>
    <t>GRANT COUNTY*</t>
  </si>
  <si>
    <t>GRANT COUNTY</t>
  </si>
  <si>
    <t>GREENBRIER COUNTY*</t>
  </si>
  <si>
    <t>GREENBRIER COUNTY</t>
  </si>
  <si>
    <t>HANCOCK COUNTY *</t>
  </si>
  <si>
    <t>HANCOCK COUNTY</t>
  </si>
  <si>
    <t>HARDY COUNTY *</t>
  </si>
  <si>
    <t>HARDY COUNTY</t>
  </si>
  <si>
    <t>HARRISON COUNTY*</t>
  </si>
  <si>
    <t>HARRISON COUNTY</t>
  </si>
  <si>
    <t>JACKSON COUNTY *</t>
  </si>
  <si>
    <t>JACKSON COUNTY</t>
  </si>
  <si>
    <t>JEFFERSON COUNTY *</t>
  </si>
  <si>
    <t>JEFFERSON COUNTY</t>
  </si>
  <si>
    <t>KANAWHA COUNTY *</t>
  </si>
  <si>
    <t>KANAWHA COUNTY</t>
  </si>
  <si>
    <t>LEWIS COUNTY*</t>
  </si>
  <si>
    <t>LEWIS COUNTY</t>
  </si>
  <si>
    <t>LINCOLN COUNTY*</t>
  </si>
  <si>
    <t>LINCOLN COUNTY</t>
  </si>
  <si>
    <t>MARION COUNTY*</t>
  </si>
  <si>
    <t>MARION COUNTY</t>
  </si>
  <si>
    <t>MARSHALL COUNTY *</t>
  </si>
  <si>
    <t>MARSHALL COUNTY</t>
  </si>
  <si>
    <t>MASON COUNTY *</t>
  </si>
  <si>
    <t>MASON COUNTY</t>
  </si>
  <si>
    <t>MCDOWELL COUNTY *</t>
  </si>
  <si>
    <t>MCDOWELL COUNTY</t>
  </si>
  <si>
    <t>MERCER COUNTY*</t>
  </si>
  <si>
    <t>MERCER COUNTY</t>
  </si>
  <si>
    <t>MINERAL COUNTY *</t>
  </si>
  <si>
    <t>MINERAL COUNTY</t>
  </si>
  <si>
    <t>MINGO COUNTY *</t>
  </si>
  <si>
    <t>MINGO COUNTY</t>
  </si>
  <si>
    <t>MONONGALIA COUNTY *</t>
  </si>
  <si>
    <t>MONONGALIA COUNTY</t>
  </si>
  <si>
    <t>MORGAN COUNTY*</t>
  </si>
  <si>
    <t>MORGAN COUNTY</t>
  </si>
  <si>
    <t>NICHOLAS COUNTY*</t>
  </si>
  <si>
    <t>NICHOLAS COUNTY</t>
  </si>
  <si>
    <t>OHIO COUNTY *</t>
  </si>
  <si>
    <t>OHIO COUNTY</t>
  </si>
  <si>
    <t>PENDLETON COUNTY*</t>
  </si>
  <si>
    <t>PENDLETON COUNTY</t>
  </si>
  <si>
    <t>PRESTON COUNTY*</t>
  </si>
  <si>
    <t>PRESTON COUNTY</t>
  </si>
  <si>
    <t>PUTNAM COUNTY*</t>
  </si>
  <si>
    <t>PUTNAM COUNTY</t>
  </si>
  <si>
    <t>RALEIGH COUNTY *</t>
  </si>
  <si>
    <t>RALEIGH COUNTY</t>
  </si>
  <si>
    <t>RANDOLPH COUNTY *</t>
  </si>
  <si>
    <t>RANDOLPH COUNTY</t>
  </si>
  <si>
    <t>ROANE COUNTY *</t>
  </si>
  <si>
    <t>ROANE COUNTY</t>
  </si>
  <si>
    <t>SUMMERS COUNTY *</t>
  </si>
  <si>
    <t>SUMMERS COUNTY</t>
  </si>
  <si>
    <t>TAYLOR COUNTY*</t>
  </si>
  <si>
    <t>TAYLOR COUNTY</t>
  </si>
  <si>
    <t>UPSHUR COUNTY*</t>
  </si>
  <si>
    <t>UPSHUR COUNTY</t>
  </si>
  <si>
    <t>WAYNE COUNTY*</t>
  </si>
  <si>
    <t>WAYNE COUNTY</t>
  </si>
  <si>
    <t>WEBSTER COUNTY *</t>
  </si>
  <si>
    <t>WEBSTER COUNTY</t>
  </si>
  <si>
    <t>WETZEL COUNTY *</t>
  </si>
  <si>
    <t>WETZEL COUNTY</t>
  </si>
  <si>
    <t>WIRT COUNTY*</t>
  </si>
  <si>
    <t>WIRT COUNTY</t>
  </si>
  <si>
    <t>WOOD COUNTY *</t>
  </si>
  <si>
    <t>WOOD COUNTY</t>
  </si>
  <si>
    <t>WYOMING COUNTY *</t>
  </si>
  <si>
    <t>WYOMING COUNTY</t>
  </si>
  <si>
    <t>RITCHIE COUNTY *</t>
  </si>
  <si>
    <t>RITCHIE COUNTY</t>
  </si>
  <si>
    <t>PLEASANTS COUNTY *</t>
  </si>
  <si>
    <t>PLEASANTS COUNTY</t>
  </si>
  <si>
    <t>HAMPSHIRE COUNTY*</t>
  </si>
  <si>
    <t>HAMPSHIRE COUNTY</t>
  </si>
  <si>
    <t>TYLER COUNTY *</t>
  </si>
  <si>
    <t>TYLER COUNTY</t>
  </si>
  <si>
    <t>MONROE COUNTY *</t>
  </si>
  <si>
    <t>MONROE COUNTY</t>
  </si>
  <si>
    <t>BERKELEY COUNTY *</t>
  </si>
  <si>
    <t>BERKELEY COUNTY</t>
  </si>
  <si>
    <t>POCAHONTAS COUNTY *</t>
  </si>
  <si>
    <t>POCAHONTAS COUNTY</t>
  </si>
  <si>
    <t>LOGAN COUNTY *</t>
  </si>
  <si>
    <t>LOGAN COUNTY</t>
  </si>
  <si>
    <t>TUCKER COUNTY*</t>
  </si>
  <si>
    <t>TUCKER COUNTY</t>
  </si>
  <si>
    <t>BELINGTON, TOWN OF</t>
  </si>
  <si>
    <t>Incorporated</t>
  </si>
  <si>
    <t>JUNIOR, TOWN OF</t>
  </si>
  <si>
    <t>PHILIPPI, CITY OF</t>
  </si>
  <si>
    <t>BATH, TOWN OF</t>
  </si>
  <si>
    <t>MARTINSBURG, CITY OF</t>
  </si>
  <si>
    <t>MADISON, TOWN OF</t>
  </si>
  <si>
    <t>BURNSVILLE, TOWN OF</t>
  </si>
  <si>
    <t>BETHANY, TOWN OF</t>
  </si>
  <si>
    <t>FOLLANSBEE, CITY OF</t>
  </si>
  <si>
    <t>WEIRTON, CITY OF</t>
  </si>
  <si>
    <t>WELLSBURG, CITY OF</t>
  </si>
  <si>
    <t>BARBOURSVILLE, VILLAGE OF</t>
  </si>
  <si>
    <t>HUNTINGTON, CITY OF</t>
  </si>
  <si>
    <t>MILTON, CITY OF</t>
  </si>
  <si>
    <t>GRANTSVILLE, TOWN OF</t>
  </si>
  <si>
    <t>CLAY, TOWN OF</t>
  </si>
  <si>
    <t>WEST UNION, TOWN OF</t>
  </si>
  <si>
    <t>ANSTED, TOWN OF</t>
  </si>
  <si>
    <t>MEADOW BRIDGE, TOWN OF</t>
  </si>
  <si>
    <t>MONTGOMERY, CITY OF</t>
  </si>
  <si>
    <t>BOLIVAR, TOWN OF</t>
  </si>
  <si>
    <t>OAK HILL, CITY OF</t>
  </si>
  <si>
    <t>PAX, TOWN OF</t>
  </si>
  <si>
    <t>SMITHERS, TOWN OF</t>
  </si>
  <si>
    <t>GLENVILLE, CITY OF</t>
  </si>
  <si>
    <t>SAND FORK, TOWN OF</t>
  </si>
  <si>
    <t>PETERSBURG, TOWN OF</t>
  </si>
  <si>
    <t>ALDERSON, TOWN OF</t>
  </si>
  <si>
    <t>NORTH HILLS, TOWN OF</t>
  </si>
  <si>
    <t>RONCEVERTE, CITY OF</t>
  </si>
  <si>
    <t>RUPERT, TOWN OF</t>
  </si>
  <si>
    <t>WHITE SULPHUR SPRINGS, CITY OF</t>
  </si>
  <si>
    <t>CAPON BRIDGE TOWN</t>
  </si>
  <si>
    <t>CHESTER, CITY OF</t>
  </si>
  <si>
    <t>NEW CUMBERLAND, CITY OF</t>
  </si>
  <si>
    <t>THURMOND, TOWN OF</t>
  </si>
  <si>
    <t>MOOREFIELD, TOWN OF</t>
  </si>
  <si>
    <t>ANMOORE, TOWN OF</t>
  </si>
  <si>
    <t>BRIDGEPORT, CITY OF</t>
  </si>
  <si>
    <t>CLARKSBURG, CITY OF</t>
  </si>
  <si>
    <t>LOST CREEK, TOWN OF</t>
  </si>
  <si>
    <t>LUMBERPORT, TOWN OF</t>
  </si>
  <si>
    <t>NUTTER FORT, TOWN OF</t>
  </si>
  <si>
    <t>SHINNSTON, CITY OF</t>
  </si>
  <si>
    <t>STONEWOOD, CITY OF</t>
  </si>
  <si>
    <t>WEST MILFORD, TOWN OF</t>
  </si>
  <si>
    <t>RIPLEY, CITY OF</t>
  </si>
  <si>
    <t>CHARLES TOWN, CITY OF</t>
  </si>
  <si>
    <t>HARPERS FERRY, TOWN OF</t>
  </si>
  <si>
    <t>RANSON, CITY OF</t>
  </si>
  <si>
    <t>SHEPHERDSTOWN, TOWN OF</t>
  </si>
  <si>
    <t>BELLE, TOWN OF</t>
  </si>
  <si>
    <t>CEDAR GROVE, TOWN OF</t>
  </si>
  <si>
    <t>CHARLESTON, CITY OF</t>
  </si>
  <si>
    <t>CHESAPEAKE, TOWN OF</t>
  </si>
  <si>
    <t>CLENDENIN, TOWN OF</t>
  </si>
  <si>
    <t>DUNBAR, CITY OF</t>
  </si>
  <si>
    <t>EAST BANK, TOWN OF</t>
  </si>
  <si>
    <t>GLASGOW, TOWN OF</t>
  </si>
  <si>
    <t>MARMET, TOWN OF</t>
  </si>
  <si>
    <t xml:space="preserve">CLEARVIEW, VILLAGE OF </t>
  </si>
  <si>
    <t>NITRO, CITY OF</t>
  </si>
  <si>
    <t>PRATT, TOWN OF</t>
  </si>
  <si>
    <t>ST. ALBANS, CITY OF</t>
  </si>
  <si>
    <t>JANE LEW, TOWN OF</t>
  </si>
  <si>
    <t>WESTON, CITY OF</t>
  </si>
  <si>
    <t>HAMLIN, TOWN OF</t>
  </si>
  <si>
    <t>WEST HAMLIN, TOWN OF</t>
  </si>
  <si>
    <t>CHAPMANVILLE, TOWN OF</t>
  </si>
  <si>
    <t>BEECH BOTTOM, VILLAGE OF</t>
  </si>
  <si>
    <t>WEST LIBERTY, TOWN OF</t>
  </si>
  <si>
    <t>MITCHELL HEIGHTS, TOWN OF</t>
  </si>
  <si>
    <t>BARRACKVILLE, TOWN OF</t>
  </si>
  <si>
    <t>FAIRMONT,CITY OF</t>
  </si>
  <si>
    <t>FAIRVIEW, TOWN OF</t>
  </si>
  <si>
    <t>FARMINGTON, TOWN OF</t>
  </si>
  <si>
    <t>GRANT,  TOWN OF</t>
  </si>
  <si>
    <t>MANNINGTON, CITY OF</t>
  </si>
  <si>
    <t>MONONGAH, TOWN OF</t>
  </si>
  <si>
    <t>RIVESVILLE, TOWN OF</t>
  </si>
  <si>
    <t>WORTHINGTON, TOWN OF</t>
  </si>
  <si>
    <t>BENWOOD, CITY OF</t>
  </si>
  <si>
    <t>GLEN DALE, CITY OF</t>
  </si>
  <si>
    <t>MCMECHEN, TOWN OF</t>
  </si>
  <si>
    <t>MOUNDSVILLE, CITY OF</t>
  </si>
  <si>
    <t>LEON, TOWN OF</t>
  </si>
  <si>
    <t>ANAWALT, TOWN OF</t>
  </si>
  <si>
    <t>DAVY, TOWN OF</t>
  </si>
  <si>
    <t>GARY, CITY OF</t>
  </si>
  <si>
    <t>IAEGER, TOWN OF</t>
  </si>
  <si>
    <t>KEYSTONE, TOWN OF</t>
  </si>
  <si>
    <t>KIMBALL, TOWN OF</t>
  </si>
  <si>
    <t>NORTHFORK, TOWN OF</t>
  </si>
  <si>
    <t>WAR, TOWN OF</t>
  </si>
  <si>
    <t>WELCH, CITY OF</t>
  </si>
  <si>
    <t>BRAMWELL, TOWN OF</t>
  </si>
  <si>
    <t>MATOAKA, TOWN OF</t>
  </si>
  <si>
    <t>OAKVALE, TOWN OF</t>
  </si>
  <si>
    <t>PRINCETON, CITY OF</t>
  </si>
  <si>
    <t>KEYSER, CITY OF</t>
  </si>
  <si>
    <t>PIEDMONT, CITY OF</t>
  </si>
  <si>
    <t>HARRISVILLE, TOWN OF</t>
  </si>
  <si>
    <t>DELBARTON, TOWN OF</t>
  </si>
  <si>
    <t>GILBERT, TOWN OF</t>
  </si>
  <si>
    <t>KERMIT, TOWN OF</t>
  </si>
  <si>
    <t>TUNNELTON, TOWN OF</t>
  </si>
  <si>
    <t>WILLIAMSON, CITY OF</t>
  </si>
  <si>
    <t>BLACKSVILLE, CITY OF</t>
  </si>
  <si>
    <t>MORGANTOWN, CITY OF</t>
  </si>
  <si>
    <t>PETERSTOWN, TOWN OF</t>
  </si>
  <si>
    <t>RICHWOOD, CITY OF</t>
  </si>
  <si>
    <t>SUMMERSVILLE, CITY OF</t>
  </si>
  <si>
    <t>TRIADELPHIA, TOWN OF</t>
  </si>
  <si>
    <t>VALLEY GROVE, TOWN OF</t>
  </si>
  <si>
    <t>WHEELING, CITY OF</t>
  </si>
  <si>
    <t>FRANKLIN, TOWN OF</t>
  </si>
  <si>
    <t>RIDGELEY, TOWN OF</t>
  </si>
  <si>
    <t>ST. MARY'S, CITY OF</t>
  </si>
  <si>
    <t>DURBIN, TOWN OF</t>
  </si>
  <si>
    <t>MARLINTON, TOWN OF</t>
  </si>
  <si>
    <t>ALBRIGHT,TOWN OF</t>
  </si>
  <si>
    <t>BRUCETON MILLS, TOWN OF</t>
  </si>
  <si>
    <t>ROWLESBURG, TOWN OF</t>
  </si>
  <si>
    <t>BANCROFT, TOWN OF</t>
  </si>
  <si>
    <t>BUFFALO, TOWN OF</t>
  </si>
  <si>
    <t>HURRICANE, CITY OF</t>
  </si>
  <si>
    <t>POCA, TOWN OF</t>
  </si>
  <si>
    <t>BECKLEY, CITY OF</t>
  </si>
  <si>
    <t>LESTER, TOWN OF</t>
  </si>
  <si>
    <t>ATHENS, TOWN OF</t>
  </si>
  <si>
    <t>RHODELL, TOWN OF</t>
  </si>
  <si>
    <t>SOPHIA, TOWN OF</t>
  </si>
  <si>
    <t>WOMELSDORF (COALTON), TOWN OF</t>
  </si>
  <si>
    <t>ELKINS, CITY OF</t>
  </si>
  <si>
    <t>HARMAN, TOWN OF</t>
  </si>
  <si>
    <t>CAIRO, TOWN OF</t>
  </si>
  <si>
    <t>ELLENBORO, TOWN OF</t>
  </si>
  <si>
    <t>PENNSBORO, CITY OF</t>
  </si>
  <si>
    <t>REEDY, TOWN OF</t>
  </si>
  <si>
    <t>SPENCER, CITY OF</t>
  </si>
  <si>
    <t>HINTON, CITY OF</t>
  </si>
  <si>
    <t>FLEMINGTON, TOWN OF</t>
  </si>
  <si>
    <t>GRAFTON, CITY OF</t>
  </si>
  <si>
    <t>MIDDLEBOURNE, TOWN OF</t>
  </si>
  <si>
    <t>PADEN CITY, CITY OF</t>
  </si>
  <si>
    <t>SISTERSVILLE, CITY OF</t>
  </si>
  <si>
    <t>BUCKHANNON, CITY OF</t>
  </si>
  <si>
    <t>FORT GAY, TOWN OF</t>
  </si>
  <si>
    <t>ADDISON, TOWN OF (WEBSTER SPRINGS)</t>
  </si>
  <si>
    <t>CAMDEN-ON-GAULEY, TOWN OF</t>
  </si>
  <si>
    <t>COWEN, TOWN OF</t>
  </si>
  <si>
    <t>NEW MARTINSVILLE, CITY OF</t>
  </si>
  <si>
    <t>PINE GROVE, TOWN OF</t>
  </si>
  <si>
    <t>ELIZABETH, TOWN OF</t>
  </si>
  <si>
    <t>PARKERSBURG, CITY OF</t>
  </si>
  <si>
    <t>VIENNA, CITY OF</t>
  </si>
  <si>
    <t>WILLIAMSTOWN, CITY OF</t>
  </si>
  <si>
    <t>MULLENS, CITY OF</t>
  </si>
  <si>
    <t>OCEANA, TOWN OF</t>
  </si>
  <si>
    <t>PINEVILLE, CITY OF</t>
  </si>
  <si>
    <t>KENOVA, CITY OF</t>
  </si>
  <si>
    <t>ELEANOR, TOWN OF</t>
  </si>
  <si>
    <t>SOUTH CHARLESTON, CITY OF</t>
  </si>
  <si>
    <t>RAINELLE, TOWN OF</t>
  </si>
  <si>
    <t>WHITESVILLE, TOWN OF</t>
  </si>
  <si>
    <t>DANVILLE, TOWN OF</t>
  </si>
  <si>
    <t>WAYNE, TOWN OF</t>
  </si>
  <si>
    <t>CEREDO, TOWN OF</t>
  </si>
  <si>
    <t>FLATWOODS, TOWN OF</t>
  </si>
  <si>
    <t>SUTTON, TOWN OF</t>
  </si>
  <si>
    <t>GASSAWAY, TOWN OF</t>
  </si>
  <si>
    <t>SYLVESTER, TOWN OF</t>
  </si>
  <si>
    <t>BAYARD, TOWN OF</t>
  </si>
  <si>
    <t>RAVENSWOOD, CITY OF</t>
  </si>
  <si>
    <t>SALEM, CITY OF</t>
  </si>
  <si>
    <t>FALLING SPRINGS CORPORATION, CITY OF</t>
  </si>
  <si>
    <t>QUINWOOD, TOWN OF</t>
  </si>
  <si>
    <t>WARDENSVILLE, TOWN OF</t>
  </si>
  <si>
    <t>HARTFORD, TOWN OF</t>
  </si>
  <si>
    <t>MASON, TOWN OF</t>
  </si>
  <si>
    <t>NEW HAVEN, TOWN OF</t>
  </si>
  <si>
    <t>POINT PLEASANT, CITY OF</t>
  </si>
  <si>
    <t>HENDERSON, TOWN OF</t>
  </si>
  <si>
    <t>PAW PAW, TOWN OF</t>
  </si>
  <si>
    <t>BELMONT, CITY OF</t>
  </si>
  <si>
    <t>KINGWOOD, CITY OF</t>
  </si>
  <si>
    <t>HUNDRED, TOWN OF</t>
  </si>
  <si>
    <t>TERRA ALTA, TOWN OF</t>
  </si>
  <si>
    <t>SMITHFIELD, TOWN OF</t>
  </si>
  <si>
    <t>FRIENDLY, TOWN OF</t>
  </si>
  <si>
    <t>AUBURN, TOWN OF</t>
  </si>
  <si>
    <t>PULLMAN, TOWN OF</t>
  </si>
  <si>
    <t>HUTTONSVILLE, TOWN OF</t>
  </si>
  <si>
    <t>MONTROSE, TOWN OF</t>
  </si>
  <si>
    <t>MILL CREEK, TOWN OF</t>
  </si>
  <si>
    <t>BEVERLY, TOWN OF</t>
  </si>
  <si>
    <t>NEWBURG,TOWN OF</t>
  </si>
  <si>
    <t>REEDSVILLE, TOWN OF</t>
  </si>
  <si>
    <t>MASONTOWN, TOWN OF</t>
  </si>
  <si>
    <t>WINFIELD, TOWN OF</t>
  </si>
  <si>
    <t>GRANVILLE, TOWN OF</t>
  </si>
  <si>
    <t>STAR CITY, TOWN OF</t>
  </si>
  <si>
    <t>WESTOVER, CITY OF</t>
  </si>
  <si>
    <t>BETHLEHEM, VILLAGE OF</t>
  </si>
  <si>
    <t>ROMNEY, TOWN OF</t>
  </si>
  <si>
    <t>HANDLEY, TOWN OF</t>
  </si>
  <si>
    <t>MOUNT HOPE, CITY OF</t>
  </si>
  <si>
    <t>LEWISBURG, CITY OF</t>
  </si>
  <si>
    <t>BRANDONVILLE, TOWN OF</t>
  </si>
  <si>
    <t>BLUEFIELD, CITY OF</t>
  </si>
  <si>
    <t>MABSCOTT, TOWN OF</t>
  </si>
  <si>
    <t>CAMERON, CITY OF</t>
  </si>
  <si>
    <t>UNION, TOWN OF</t>
  </si>
  <si>
    <t>BRADSHAW, TOWN OF</t>
  </si>
  <si>
    <t>PLEASANT VALLEY, CITY OF</t>
  </si>
  <si>
    <t>FAYETTEVILLE, TOWN OF</t>
  </si>
  <si>
    <t>GAULEY BRIDGE, TOWN OF</t>
  </si>
  <si>
    <t>LOGAN, CITY OF</t>
  </si>
  <si>
    <t>MAN, TOWN OF</t>
  </si>
  <si>
    <t>MATEWAN, TOWN OF</t>
  </si>
  <si>
    <t>WEST LOGAN, TOWN OF</t>
  </si>
  <si>
    <t>CARPENDALE, TOWN OF</t>
  </si>
  <si>
    <t>WHITE HALL, TOWN OF</t>
  </si>
  <si>
    <t>ELK GARDEN, TOWN OF</t>
  </si>
  <si>
    <t>HEDGESVILLE, TOWN OF</t>
  </si>
  <si>
    <t>HILSBORO, TOWN OF</t>
  </si>
  <si>
    <t>WINDSOR HEIGHTS, VILLAGE OF</t>
  </si>
  <si>
    <t>HENDRICKS,TOWN OF</t>
  </si>
  <si>
    <t>HAMBLETON, TOWN OF</t>
  </si>
  <si>
    <t>PARSONS, CITY OF</t>
  </si>
  <si>
    <t>THOMAS, CITY OF</t>
  </si>
  <si>
    <t>DAVIS, TOWN OF</t>
  </si>
  <si>
    <t>Incorporated / Unincorporated</t>
  </si>
  <si>
    <t>Total</t>
  </si>
  <si>
    <t>Split Counties</t>
  </si>
  <si>
    <t>Paden City</t>
  </si>
  <si>
    <t>Wetzel</t>
  </si>
  <si>
    <t>Huntington</t>
  </si>
  <si>
    <t>Wayne</t>
  </si>
  <si>
    <t>Tyler</t>
  </si>
  <si>
    <t>Nitro</t>
  </si>
  <si>
    <t>Putnam</t>
  </si>
  <si>
    <t>Wheeling</t>
  </si>
  <si>
    <t>Ohio</t>
  </si>
  <si>
    <t>Alderson</t>
  </si>
  <si>
    <t>Monroe</t>
  </si>
  <si>
    <t>Marshall</t>
  </si>
  <si>
    <t>Smithers</t>
  </si>
  <si>
    <t>Kanawha</t>
  </si>
  <si>
    <t>Montgomery</t>
  </si>
  <si>
    <t>Weirton</t>
  </si>
  <si>
    <t>Hancock</t>
  </si>
  <si>
    <t>Greenbrier</t>
  </si>
  <si>
    <t>Fayette</t>
  </si>
  <si>
    <t>FAyette</t>
  </si>
  <si>
    <t>Brooke</t>
  </si>
  <si>
    <t>Cabell</t>
  </si>
  <si>
    <t>COUNTY 1</t>
  </si>
  <si>
    <t>COUNTY 2</t>
  </si>
  <si>
    <t>COMMUNITY</t>
  </si>
  <si>
    <t>Total SFHA Area</t>
  </si>
  <si>
    <t>Modifed Total SFHA Area</t>
  </si>
  <si>
    <t>Ratio of aSFHA to Community Area</t>
  </si>
  <si>
    <t>Area in SFHA (aSFHA)</t>
  </si>
  <si>
    <t>Total Community Area      (acres)</t>
  </si>
  <si>
    <t>Areas excluded from Total aSFHA:  Open water lakes &gt; 10 acres; Large river bank-to-bank &gt; 500 ft.; Federal lands &gt; 10 acres</t>
  </si>
  <si>
    <t>Federal Lands       (&gt; 10 acres)</t>
  </si>
  <si>
    <t>Water Bodies &gt; 10 acres &amp; Wide Streams &gt; 500 ft.</t>
  </si>
  <si>
    <t>A</t>
  </si>
  <si>
    <t>AE</t>
  </si>
  <si>
    <t>AO</t>
  </si>
  <si>
    <t>AH</t>
  </si>
  <si>
    <t>SFHA Only</t>
  </si>
  <si>
    <t>Preliminary Zone Only</t>
  </si>
  <si>
    <t>Effectiive A Only</t>
  </si>
  <si>
    <t>Advisory A Only</t>
  </si>
  <si>
    <t>Effective A Only</t>
  </si>
  <si>
    <t>Effective AE Only</t>
  </si>
  <si>
    <t>Redelineated AE Only</t>
  </si>
  <si>
    <t>MODERATE RISK</t>
  </si>
  <si>
    <t>Zone X - 0.2 PCT ANNUAL CHANCE FLOOD HAZARD</t>
  </si>
  <si>
    <t>Zone X - AREA WITH REDUCED FLOOD RISK DUE TO LEVEE</t>
  </si>
  <si>
    <t>HAZUS (Priority 2)</t>
  </si>
  <si>
    <t>EQT (Priority 3)</t>
  </si>
  <si>
    <t>No Depth Detailed Zone (AE, AH, AO)</t>
  </si>
  <si>
    <t>Total Depth Values Available</t>
  </si>
  <si>
    <t>Total No Depth Values Available</t>
  </si>
  <si>
    <t>bSF (effective)</t>
  </si>
  <si>
    <t>WV RPDC Region</t>
  </si>
  <si>
    <t>Approximate A</t>
  </si>
  <si>
    <t>Detailed AE</t>
  </si>
  <si>
    <t>Detailed AE - Floodway</t>
  </si>
  <si>
    <t>Detailed AO</t>
  </si>
  <si>
    <t>Detailed AH</t>
  </si>
  <si>
    <t>Detailed Zones Total</t>
  </si>
  <si>
    <t>Effective SFHA Total</t>
  </si>
  <si>
    <t>Lewis and Randolph counties have points in Advisory A Zones from neighboring county studies</t>
  </si>
  <si>
    <t>Greenbrier, Mingo, Wayne, Marion, Harrison, and Mineral counties have Advisory A points because of legacy studies in 500-yr floodplains, effective-Advisory floodplain boundary alignment, etc.</t>
  </si>
  <si>
    <t>Pre-FIRM</t>
  </si>
  <si>
    <t>Post-FIRM</t>
  </si>
  <si>
    <t>Unknown</t>
  </si>
  <si>
    <t>WV PDC Region</t>
  </si>
  <si>
    <t>AFH / BFE Depth Grids</t>
  </si>
  <si>
    <t>No Depth Value (A Zone)</t>
  </si>
  <si>
    <t>Base Flood Height: WSEL-BFE (Detailed Zones)</t>
  </si>
  <si>
    <t xml:space="preserve">Advisory Flood Height: WSEL-AFH (Approximate A) </t>
  </si>
  <si>
    <t>Y</t>
  </si>
  <si>
    <t>N</t>
  </si>
  <si>
    <t>Ratio</t>
  </si>
  <si>
    <t>Detailed Flood Zones (Regulatory &amp; Non-Regulatory)</t>
  </si>
  <si>
    <t>Flood Depth Sources for bSF (SFHA only)</t>
  </si>
  <si>
    <t>Total Effective Only (TBD)</t>
  </si>
  <si>
    <t>Total Non-Regulatory Only</t>
  </si>
  <si>
    <t>Advisory A</t>
  </si>
  <si>
    <t>Updated AE</t>
  </si>
  <si>
    <t>Preliminary SFHA</t>
  </si>
  <si>
    <t>A Zone</t>
  </si>
  <si>
    <t>Detailed AE / AO / AH Zones</t>
  </si>
  <si>
    <t>Total SFHA</t>
  </si>
  <si>
    <t xml:space="preserve">HIGH RISK - REGULATORY 1% Annual Chance Flood </t>
  </si>
  <si>
    <t>Zone X Shaded</t>
  </si>
  <si>
    <t xml:space="preserve">HIGH RISK - REGULATORY versus NON-REGULATORY- 1% Annual Chance Flood </t>
  </si>
  <si>
    <t>PDC Region</t>
  </si>
  <si>
    <t>Initial FIRM Effective Date</t>
  </si>
  <si>
    <t>Percentage</t>
  </si>
  <si>
    <r>
      <t xml:space="preserve">Pre-FIRM Building: </t>
    </r>
    <r>
      <rPr>
        <i/>
        <sz val="11"/>
        <color theme="1"/>
        <rFont val="Calibri"/>
        <family val="2"/>
        <scheme val="minor"/>
      </rPr>
      <t>For insurance rating purposes, a pre-FIRM building is one that was constructed or substantially improved on or before December 31, 1974, or before the effective date of the initial Flood Insurance Rate Map of the community, whichever is later. Most pre-FIRM buildings were constructed without taking the flood hazard into account.</t>
    </r>
  </si>
  <si>
    <r>
      <rPr>
        <b/>
        <i/>
        <sz val="11"/>
        <color theme="1"/>
        <rFont val="Calibri"/>
        <family val="2"/>
        <scheme val="minor"/>
      </rPr>
      <t>Post-FIRM Building:</t>
    </r>
    <r>
      <rPr>
        <i/>
        <sz val="11"/>
        <color theme="1"/>
        <rFont val="Calibri"/>
        <family val="2"/>
        <scheme val="minor"/>
      </rPr>
      <t xml:space="preserve"> For insurance rating purposes, a post-FIRM building is one that was constructed or substantially improved after December 31, 1974, or after the effective date of the initial Flood Insurance Rate Map of a community, whichever is later. A post-FIRM building is required to meet the National Flood Insurance Program’s minimum Regular Program flood protection standards.</t>
    </r>
  </si>
  <si>
    <t>Effective AE Only +Floodway</t>
  </si>
  <si>
    <t>SFHA Only (AE or A)</t>
  </si>
  <si>
    <t xml:space="preserve">Preliminary </t>
  </si>
  <si>
    <t>2 counties</t>
  </si>
  <si>
    <t>33 counties</t>
  </si>
  <si>
    <t>1 county</t>
  </si>
  <si>
    <t>(Border Berkeley</t>
  </si>
  <si>
    <t>(Border Randolph and Lewis)</t>
  </si>
  <si>
    <t>Total Unknown Class Count</t>
  </si>
  <si>
    <t>Notes:</t>
  </si>
  <si>
    <t>Preston County:  Camp Dawson multi-building addresses counted multiple times in single large parcel (46 * 250,000) with single AprBldg Value</t>
  </si>
  <si>
    <t>Morgantown:  Multiple apartment addresses in single parcel counted multiple times</t>
  </si>
  <si>
    <t>https://mapwv.gov/parcel/?pid=31-15-0054-0220-0000</t>
  </si>
  <si>
    <t>http://mapwv.gov/Assessment/Detail/?PID=31150054022000000000</t>
  </si>
  <si>
    <t>https://mapwv.gov/Assessment/Detail/?PID=39060028000100000000</t>
  </si>
  <si>
    <t>BAI + Critical Infrastructure</t>
  </si>
  <si>
    <t>Critical Infrastructure</t>
  </si>
  <si>
    <t>BRIM, RSMeans</t>
  </si>
  <si>
    <t>None</t>
  </si>
  <si>
    <t>BAI - Enhanced UDF</t>
  </si>
  <si>
    <t>Depth Grid Hits, No Depth Values, WSEL</t>
  </si>
  <si>
    <t>E-911 SAMS</t>
  </si>
  <si>
    <t>Effective SFHA (100-YR)</t>
  </si>
  <si>
    <t>Water Depth</t>
  </si>
  <si>
    <t>Pre-FIRM, Post-FIRM, uknown</t>
  </si>
  <si>
    <t>Pre-FRIM/Post-FIRM</t>
  </si>
  <si>
    <t>Detailed Flood Zone</t>
  </si>
  <si>
    <t>Federal Lands</t>
  </si>
  <si>
    <t>aSFHA</t>
  </si>
  <si>
    <t>Water Bodies</t>
  </si>
  <si>
    <t>Building Footprints</t>
  </si>
  <si>
    <t>Output</t>
  </si>
  <si>
    <t>Other Layers</t>
  </si>
  <si>
    <t>Building Stock Final</t>
  </si>
  <si>
    <t>Floodplain Input</t>
  </si>
  <si>
    <t>Community-Level Reports</t>
  </si>
  <si>
    <t>Overview - Community-Level Reports</t>
  </si>
  <si>
    <t>Total Flood Zone Rank</t>
  </si>
  <si>
    <t>Detailed Zone %</t>
  </si>
  <si>
    <t>Approx Zone %</t>
  </si>
  <si>
    <t>State</t>
  </si>
  <si>
    <t>Zone</t>
  </si>
  <si>
    <t>Zone Stream Length (mi)</t>
  </si>
  <si>
    <t>West Virginia</t>
  </si>
  <si>
    <t>Total Stream Length (AE, AO, AH)</t>
  </si>
  <si>
    <t>Total Stream Length-West Virginia</t>
  </si>
  <si>
    <t>N/A</t>
  </si>
  <si>
    <t>Total X Class Count</t>
  </si>
  <si>
    <t>Total U Class Count</t>
  </si>
  <si>
    <t>Total I Class Count</t>
  </si>
  <si>
    <t>Total C Class Count</t>
  </si>
  <si>
    <t>Total F Class Count</t>
  </si>
  <si>
    <t>Total A Class Count</t>
  </si>
  <si>
    <t>Total R Class Count</t>
  </si>
  <si>
    <t>Building Appraisal Value Ratio</t>
  </si>
  <si>
    <t>Total Building Appraisal Value - Community</t>
  </si>
  <si>
    <t>Total Building Appraisal Value - SFHA</t>
  </si>
  <si>
    <t>OBY Value Ratio</t>
  </si>
  <si>
    <t>Total OBY Value - Community</t>
  </si>
  <si>
    <t>Total OBY Value - SFHA</t>
  </si>
  <si>
    <t>Commercial Value Ratio</t>
  </si>
  <si>
    <t>Total Commercial Value - Community</t>
  </si>
  <si>
    <t>Total Commercial Value - SFHA</t>
  </si>
  <si>
    <t>Dwelling Value Ratio</t>
  </si>
  <si>
    <t>Total Dwelling Value - Community</t>
  </si>
  <si>
    <t>Total Dwelling Value - SFHA</t>
  </si>
  <si>
    <t>SFHA Building Count</t>
  </si>
  <si>
    <t>WV PDC</t>
  </si>
  <si>
    <t>Dwell + Comm + OBY Values (Community)</t>
  </si>
  <si>
    <t>Critical Infrastructure Category</t>
  </si>
  <si>
    <t>Incorporated/Unincorporated</t>
  </si>
  <si>
    <t>Critical Insfrastructure, State Owned Buildings</t>
  </si>
  <si>
    <t>SFHA Regulatory (red) + Non-Regulatory (orange) floodplains</t>
  </si>
  <si>
    <t>Water Depth, WSEL</t>
  </si>
  <si>
    <t>Pre-FIRM or Post-FIRM Structures</t>
  </si>
  <si>
    <t>BUILDING EXPOSURE COMMUNITY-WIDE AND SFHA / SFHA Breakdown by Property Class</t>
  </si>
  <si>
    <t>Buildings in SFHA (bSF) and County Building Exposure</t>
  </si>
  <si>
    <t>Preliminary SFHA Building Counts</t>
  </si>
  <si>
    <t>Countywide Building Counts and Breakdown by Parcel Property Class</t>
  </si>
  <si>
    <t>Address Count - SFHA</t>
  </si>
  <si>
    <t>Building Footprint Count - SFHA</t>
  </si>
  <si>
    <t>Average Count (bSF) - SFHA</t>
  </si>
  <si>
    <t>Address Count - Total</t>
  </si>
  <si>
    <t>Building Footprint Count - Total</t>
  </si>
  <si>
    <t>Average Count (bSF) - Total</t>
  </si>
  <si>
    <t>Residential</t>
  </si>
  <si>
    <t>Farm</t>
  </si>
  <si>
    <t>Commercial</t>
  </si>
  <si>
    <t>Industrial</t>
  </si>
  <si>
    <t>Apartment</t>
  </si>
  <si>
    <t>Utility</t>
  </si>
  <si>
    <t>Tax Exempt</t>
  </si>
  <si>
    <t>Ratio of bSF to community</t>
  </si>
  <si>
    <t>SPLIT COMMUNITIES</t>
  </si>
  <si>
    <t>BROOKE COUNTY &amp; HANCOCK COUNTY</t>
  </si>
  <si>
    <t>11 &amp; 11</t>
  </si>
  <si>
    <t>CABELL COUNTY &amp; WAYNE COUNTY</t>
  </si>
  <si>
    <t>2 &amp; 2</t>
  </si>
  <si>
    <t>GREENBRIER COUNTY &amp; MONROE COUNTY</t>
  </si>
  <si>
    <t>4 &amp; 1</t>
  </si>
  <si>
    <t>KANAWHA COUNTY &amp; PUTNAM COUNTY</t>
  </si>
  <si>
    <t>3 &amp; 3</t>
  </si>
  <si>
    <t>MARSHALL COUNTY &amp; OHIO COUNTY</t>
  </si>
  <si>
    <t>10 &amp; 10</t>
  </si>
  <si>
    <t>WETZEL COUNTY &amp; TYLER COUNTY</t>
  </si>
  <si>
    <t>5 &amp; 5</t>
  </si>
  <si>
    <t>Currently not using UDF structure files</t>
  </si>
  <si>
    <t>Building Cost Exposure (Community-wide and Flood Zones)</t>
  </si>
  <si>
    <t>Dams and Levees</t>
  </si>
  <si>
    <t>All - High Risk (red-orange) and Moderate Risk (yellow) flood zones</t>
  </si>
  <si>
    <t xml:space="preserve">NFHL Moderate Risk Zones (yellow) Shaded X and Levee Protected X Zones </t>
  </si>
  <si>
    <t>Dam Name, Owner Type, Hazard Type; Levee Name, Levee Accreditation</t>
  </si>
  <si>
    <t>Historical and Govt. Owned</t>
  </si>
  <si>
    <t xml:space="preserve"> UDF</t>
  </si>
  <si>
    <t>E-911 SAMS points</t>
  </si>
  <si>
    <t>Buildings in SFHA (CRS requirement) - bSF</t>
  </si>
  <si>
    <t>Areas in SFHA (CRS requirement) - aSFHA</t>
  </si>
  <si>
    <t>Red Zones - SFHA Only</t>
  </si>
  <si>
    <t>All Flood Zones (Red, Orange, Yellow)</t>
  </si>
  <si>
    <t>High Risk Flood Zones (Red and Orange)</t>
  </si>
  <si>
    <t xml:space="preserve">BAI - Enhanced UDF </t>
  </si>
  <si>
    <t>FEMA CSLF; other floodplain change files</t>
  </si>
  <si>
    <t xml:space="preserve">Building Stock Preliminary </t>
  </si>
  <si>
    <t>County Building Count (E-911/Parcels) with breakdown by Property Class; Ratio of SFHA building count to  countywide building count</t>
  </si>
  <si>
    <t>E-911 SAMS intersected with Parcels Property Class</t>
  </si>
  <si>
    <t>Moderate Risk Zones (Yellow)</t>
  </si>
  <si>
    <t>All flood zone structure counts; floodway count; High Risk - Regulatory / Non-Regulatory comparison</t>
  </si>
  <si>
    <t>Moderate Risk zones - Shaded Zone X (500-YR) and Levee Protected X</t>
  </si>
  <si>
    <t>Extent of Flood Zones Used (Red Only; Red-Orange; Red-Orange-Yellow)</t>
  </si>
  <si>
    <t>bSF_20190917</t>
  </si>
  <si>
    <t>aSFHA_20190329</t>
  </si>
  <si>
    <t>All_flood_zones_20190517</t>
  </si>
  <si>
    <t>File/Sheet Name</t>
  </si>
  <si>
    <t>Parcels / Assessment Values</t>
  </si>
  <si>
    <t>Countywide Cost Exposure, Ratio</t>
  </si>
  <si>
    <t>UDF Building Inventory</t>
  </si>
  <si>
    <t>UDF/ Preliminary</t>
  </si>
  <si>
    <t>UDF / Preliminary</t>
  </si>
  <si>
    <t>High Risk Flood Zone Property Class</t>
  </si>
  <si>
    <t>SFHA bSF count - Building Counts</t>
  </si>
  <si>
    <t>High Risk Flood Zone Cost Exposure,   Ratio, Flood Zone Property Class Breakdown - Cost Exposure</t>
  </si>
  <si>
    <t>bSF_flood_depth_sources_2019052</t>
  </si>
  <si>
    <t>not completed yet</t>
  </si>
  <si>
    <t>Other layers</t>
  </si>
  <si>
    <t>High Risk Flood Zones - HRFZ (Red and Orange)</t>
  </si>
  <si>
    <t>Stream Length Miles</t>
  </si>
  <si>
    <t>NHD</t>
  </si>
  <si>
    <t>Stream Miles</t>
  </si>
  <si>
    <t>Preliminary E-911 SAMS  or UDF points</t>
  </si>
  <si>
    <r>
      <rPr>
        <sz val="11"/>
        <color rgb="FFFF0000"/>
        <rFont val="Calibri"/>
        <family val="2"/>
        <scheme val="minor"/>
      </rPr>
      <t>Preliminary E-911 SAMS  or UDF points</t>
    </r>
    <r>
      <rPr>
        <sz val="11"/>
        <color theme="1"/>
        <rFont val="Calibri"/>
        <family val="2"/>
        <scheme val="minor"/>
      </rPr>
      <t>; Parcel/Assessment for values (double counts)</t>
    </r>
  </si>
  <si>
    <t>Preliminary E-911 SAMS or UDF points (Effective Red Zones Only)</t>
  </si>
  <si>
    <t>p</t>
  </si>
  <si>
    <t>NFIP Status</t>
  </si>
  <si>
    <t>Unincorporated / Incorporated</t>
  </si>
  <si>
    <t>County Name</t>
  </si>
  <si>
    <t>Region</t>
  </si>
  <si>
    <t>Number of Disasters w/ Flooding (County Level)</t>
  </si>
  <si>
    <t>Dollar Amt. Previous Claims (since 1978)</t>
  </si>
  <si>
    <t>RANK Dollar Amt. Previous Claims</t>
  </si>
  <si>
    <t>Number of Paid Losses (since 1978)</t>
  </si>
  <si>
    <t>Claims Outside SFHA</t>
  </si>
  <si>
    <t>Percent of SFHA Structures Without Flood Insurance (County Level)</t>
  </si>
  <si>
    <t>Number of Policies in Force</t>
  </si>
  <si>
    <t>Number of Pre-FIRM Policies</t>
  </si>
  <si>
    <t>Number Rep. Loss Structures</t>
  </si>
  <si>
    <t>Number of Mitigated Properties (for Flood) (County Level)</t>
  </si>
  <si>
    <t>Number of LOMCs</t>
  </si>
  <si>
    <t>CRS Application</t>
  </si>
  <si>
    <t>CRS Class</t>
  </si>
  <si>
    <t>NOT Participating</t>
  </si>
  <si>
    <t>INCORPORATED</t>
  </si>
  <si>
    <t>WV</t>
  </si>
  <si>
    <t>No Available Data</t>
  </si>
  <si>
    <t>Not In CRS</t>
  </si>
  <si>
    <t>Participating</t>
  </si>
  <si>
    <t>UNINCORPORATED</t>
  </si>
  <si>
    <t>WAYNE COUNTY/CABELL COUNTY</t>
  </si>
  <si>
    <t>PUTNAM COUNTY/KANAWHA COUNTY</t>
  </si>
  <si>
    <t>MONROE COUNTY/GREENBRIER COUNTY</t>
  </si>
  <si>
    <t>BROOKE COUNTY/HANCOCK COUNTY</t>
  </si>
  <si>
    <t>PETERSBURG, CITYOF</t>
  </si>
  <si>
    <t>KANAWHA COUNTY/FAYETTE COUNTY</t>
  </si>
  <si>
    <t>WETZEL COUNTY/TYLER COUNTY</t>
  </si>
  <si>
    <t>Data Source</t>
  </si>
  <si>
    <t>911 Center</t>
  </si>
  <si>
    <t>Barbour County</t>
  </si>
  <si>
    <t>floodTool_essentialFacilities_20191118_utm83</t>
  </si>
  <si>
    <t>Town of Belington</t>
  </si>
  <si>
    <t>Town of Junior</t>
  </si>
  <si>
    <t>City of Philippi</t>
  </si>
  <si>
    <t>Boone County</t>
  </si>
  <si>
    <t>Town of Madison</t>
  </si>
  <si>
    <t>Town of Whitesville</t>
  </si>
  <si>
    <t>Town of Danville</t>
  </si>
  <si>
    <t>Town of Sylvester</t>
  </si>
  <si>
    <t>Braxton County</t>
  </si>
  <si>
    <t>Town of Burnsville</t>
  </si>
  <si>
    <t>Town of Flatwoods</t>
  </si>
  <si>
    <t>Town of Sutton</t>
  </si>
  <si>
    <t>Town of Gassaway</t>
  </si>
  <si>
    <t>Brooke County</t>
  </si>
  <si>
    <t>Town of Bethany</t>
  </si>
  <si>
    <t>City of Follansbee</t>
  </si>
  <si>
    <t>City of Weirton</t>
  </si>
  <si>
    <t>City of Wellsburg</t>
  </si>
  <si>
    <t>Village of Beech Bottom</t>
  </si>
  <si>
    <t>Village of Windsor Heights</t>
  </si>
  <si>
    <t>Cabell County</t>
  </si>
  <si>
    <t>Village of Barboursville</t>
  </si>
  <si>
    <t>City of Huntington</t>
  </si>
  <si>
    <t>City of Milton</t>
  </si>
  <si>
    <t>Calhoun County</t>
  </si>
  <si>
    <t>Town of Grantsville</t>
  </si>
  <si>
    <t>Clay County</t>
  </si>
  <si>
    <t>Town of Clay</t>
  </si>
  <si>
    <t>Doddridge County</t>
  </si>
  <si>
    <t>Town of West Union</t>
  </si>
  <si>
    <t>Gilmer County</t>
  </si>
  <si>
    <t>City of Glenville</t>
  </si>
  <si>
    <t>Town of Sand Fork</t>
  </si>
  <si>
    <t>Grant County</t>
  </si>
  <si>
    <t>City of Petersburg</t>
  </si>
  <si>
    <t>Town of Bayard</t>
  </si>
  <si>
    <t>Greenbrier County</t>
  </si>
  <si>
    <t>Town of Alderson</t>
  </si>
  <si>
    <t>City of Ronceverte</t>
  </si>
  <si>
    <t>Town of Rupert</t>
  </si>
  <si>
    <t>City of White Sulphur Springs</t>
  </si>
  <si>
    <t>Town of Rainelle</t>
  </si>
  <si>
    <t>Corporation of Falling Springs</t>
  </si>
  <si>
    <t>Town of Quinwood</t>
  </si>
  <si>
    <t>City of Lewisburg</t>
  </si>
  <si>
    <t>Hancock County</t>
  </si>
  <si>
    <t>City of Chester</t>
  </si>
  <si>
    <t>City of New Cumberland</t>
  </si>
  <si>
    <t>Hardy County</t>
  </si>
  <si>
    <t>Town of Moorefield</t>
  </si>
  <si>
    <t>Town of Wardensville</t>
  </si>
  <si>
    <t>Harrison County</t>
  </si>
  <si>
    <t>Town of Anmoore</t>
  </si>
  <si>
    <t>City of Bridgeport</t>
  </si>
  <si>
    <t>City of Clarksburg</t>
  </si>
  <si>
    <t>Town of Lost Creek</t>
  </si>
  <si>
    <t>Town of Lumberport</t>
  </si>
  <si>
    <t>Town of Nutter Fort</t>
  </si>
  <si>
    <t>City of Shinnston</t>
  </si>
  <si>
    <t>Town of Stonewood</t>
  </si>
  <si>
    <t>Town of West Milford</t>
  </si>
  <si>
    <t>City of Salem</t>
  </si>
  <si>
    <t>Jackson County</t>
  </si>
  <si>
    <t>City of Ripley</t>
  </si>
  <si>
    <t>City of Ravenswood</t>
  </si>
  <si>
    <t>Jefferson County</t>
  </si>
  <si>
    <t>Town of Boliver</t>
  </si>
  <si>
    <t>City of Charles Town</t>
  </si>
  <si>
    <t>Town of Harpers Ferry</t>
  </si>
  <si>
    <t>City of Ranson</t>
  </si>
  <si>
    <t>Town of Shepherdstown</t>
  </si>
  <si>
    <t>Kanawha County</t>
  </si>
  <si>
    <t>City of Montgomery</t>
  </si>
  <si>
    <t>Town of Belle</t>
  </si>
  <si>
    <t>Town of Cedar Grove</t>
  </si>
  <si>
    <t>City of Charleston</t>
  </si>
  <si>
    <t>Town of Chesapeake</t>
  </si>
  <si>
    <t>Town of Clendenin</t>
  </si>
  <si>
    <t>City of Dunbar</t>
  </si>
  <si>
    <t>Town of East Bank</t>
  </si>
  <si>
    <t>Town of Glasgow</t>
  </si>
  <si>
    <t>Town of Marmet</t>
  </si>
  <si>
    <t>City of Nitro</t>
  </si>
  <si>
    <t>Town of Pratt</t>
  </si>
  <si>
    <t>City of Saint Albans</t>
  </si>
  <si>
    <t>City of South Charleston</t>
  </si>
  <si>
    <t>Town of Handley</t>
  </si>
  <si>
    <t>Town of Smithers</t>
  </si>
  <si>
    <t>Lewis County</t>
  </si>
  <si>
    <t>Jane Lew, Town of</t>
  </si>
  <si>
    <t>Weston,  City of</t>
  </si>
  <si>
    <t>Lincoln County</t>
  </si>
  <si>
    <t>Town of Hamlin</t>
  </si>
  <si>
    <t>Town of West Hamlin</t>
  </si>
  <si>
    <t>Marion County</t>
  </si>
  <si>
    <t>Town of Barrackville</t>
  </si>
  <si>
    <t>City of Fairmont</t>
  </si>
  <si>
    <t>Town of Fairview</t>
  </si>
  <si>
    <t>Town of Farmington</t>
  </si>
  <si>
    <t>Town of Grant Town</t>
  </si>
  <si>
    <t>City of Mannington</t>
  </si>
  <si>
    <t>Town of Monongah</t>
  </si>
  <si>
    <t>Town of Rivesville</t>
  </si>
  <si>
    <t>Town of Worthington</t>
  </si>
  <si>
    <t>City of Pleasant Valley</t>
  </si>
  <si>
    <t>Town of White Hall</t>
  </si>
  <si>
    <t>Marshall County</t>
  </si>
  <si>
    <t>City of Benwood</t>
  </si>
  <si>
    <t>City of Glen Dale</t>
  </si>
  <si>
    <t>City of Mcmechen</t>
  </si>
  <si>
    <t>City of Moundsville</t>
  </si>
  <si>
    <t>City of Cameron</t>
  </si>
  <si>
    <t>City of Wheeling</t>
  </si>
  <si>
    <t>Mason County</t>
  </si>
  <si>
    <t>Town of Leon</t>
  </si>
  <si>
    <t>Town of Hartford</t>
  </si>
  <si>
    <t>Town of Mason</t>
  </si>
  <si>
    <t>Town of New Haven</t>
  </si>
  <si>
    <t>City of Point Pleasant</t>
  </si>
  <si>
    <t>Town of Henderson</t>
  </si>
  <si>
    <t>Mcdowell County</t>
  </si>
  <si>
    <t>Town of Anawalt</t>
  </si>
  <si>
    <t>Town of Davy</t>
  </si>
  <si>
    <t>City of Gary</t>
  </si>
  <si>
    <t>Town of Iaeger</t>
  </si>
  <si>
    <t>Town of Keystone</t>
  </si>
  <si>
    <t>Town of Kimball</t>
  </si>
  <si>
    <t>Town of Northfork</t>
  </si>
  <si>
    <t>Town of War</t>
  </si>
  <si>
    <t>City of Welch</t>
  </si>
  <si>
    <t>Town of Bradshaw</t>
  </si>
  <si>
    <t>Mercer County</t>
  </si>
  <si>
    <t>Town of Bramwell</t>
  </si>
  <si>
    <t>Town of Matoaka</t>
  </si>
  <si>
    <t>Town of Oakvale</t>
  </si>
  <si>
    <t>City of Princeton</t>
  </si>
  <si>
    <t>Town of Athens</t>
  </si>
  <si>
    <t>City of Bluefield</t>
  </si>
  <si>
    <t>Mineral County</t>
  </si>
  <si>
    <t>City of Keyser</t>
  </si>
  <si>
    <t>City of Piedmont</t>
  </si>
  <si>
    <t>Town of Ridgeley</t>
  </si>
  <si>
    <t>Town of Carpendale</t>
  </si>
  <si>
    <t>Town of Elk Garden</t>
  </si>
  <si>
    <t>Mingo County</t>
  </si>
  <si>
    <t>Town of Delbarton</t>
  </si>
  <si>
    <t>Town of Gilbert</t>
  </si>
  <si>
    <t>Town of Kermit</t>
  </si>
  <si>
    <t>City of Williamson</t>
  </si>
  <si>
    <t>Town of Matewan</t>
  </si>
  <si>
    <t>Monongalia County</t>
  </si>
  <si>
    <t>City of Blacksville</t>
  </si>
  <si>
    <t>City of Morgantown</t>
  </si>
  <si>
    <t>Town of Granville</t>
  </si>
  <si>
    <t>Town of Star City</t>
  </si>
  <si>
    <t>City of Westover</t>
  </si>
  <si>
    <t>Morgan County</t>
  </si>
  <si>
    <t>Town of Bath</t>
  </si>
  <si>
    <t>Town of Paw Paw</t>
  </si>
  <si>
    <t>Nicholas County</t>
  </si>
  <si>
    <t>City of Richwood</t>
  </si>
  <si>
    <t>City of Summersville</t>
  </si>
  <si>
    <t>Ohio County</t>
  </si>
  <si>
    <t>Village of Clearview</t>
  </si>
  <si>
    <t>Town of West Liberty</t>
  </si>
  <si>
    <t>Town of Triadelphia</t>
  </si>
  <si>
    <t>Town of Valley Grove</t>
  </si>
  <si>
    <t>Village of Bethlehem</t>
  </si>
  <si>
    <t>Pendleton County</t>
  </si>
  <si>
    <t>Town of Franklin</t>
  </si>
  <si>
    <t>Preston County</t>
  </si>
  <si>
    <t>Town of Tunnelton</t>
  </si>
  <si>
    <t>Town of Albright</t>
  </si>
  <si>
    <t>Town of Bruceton Mills</t>
  </si>
  <si>
    <t>Town of Rowlesburg</t>
  </si>
  <si>
    <t>City of Kingwood</t>
  </si>
  <si>
    <t>Town of Terra Alta</t>
  </si>
  <si>
    <t>Town of Newburg</t>
  </si>
  <si>
    <t>Town of Reedsville</t>
  </si>
  <si>
    <t>Town of Masontown</t>
  </si>
  <si>
    <t>Town of Brandonville</t>
  </si>
  <si>
    <t>Putnam County</t>
  </si>
  <si>
    <t>Town of Bancroft</t>
  </si>
  <si>
    <t>Town of Buffalo</t>
  </si>
  <si>
    <t>City of Hurricane</t>
  </si>
  <si>
    <t>Town of Poca</t>
  </si>
  <si>
    <t>Town of Eleanor</t>
  </si>
  <si>
    <t>Town of Winfield</t>
  </si>
  <si>
    <t>Raleigh County</t>
  </si>
  <si>
    <t>City of Beckley</t>
  </si>
  <si>
    <t>Town of Lester</t>
  </si>
  <si>
    <t>Town of Rhodell</t>
  </si>
  <si>
    <t>Town of Sophia</t>
  </si>
  <si>
    <t>Town of Mabscott</t>
  </si>
  <si>
    <t>Roane County</t>
  </si>
  <si>
    <t>Town of Reedy</t>
  </si>
  <si>
    <t>City of Spencer</t>
  </si>
  <si>
    <t>Summers County</t>
  </si>
  <si>
    <t>City of Hinton</t>
  </si>
  <si>
    <t>Taylor County</t>
  </si>
  <si>
    <t>Town of Flemington</t>
  </si>
  <si>
    <t>City of Grafton</t>
  </si>
  <si>
    <t>Upshur County</t>
  </si>
  <si>
    <t>City of Buckhannon</t>
  </si>
  <si>
    <t>Wayne County</t>
  </si>
  <si>
    <t>Town of Fort Gay</t>
  </si>
  <si>
    <t>City of Kenova</t>
  </si>
  <si>
    <t>Town of Wayne</t>
  </si>
  <si>
    <t>Town of Ceredo</t>
  </si>
  <si>
    <t>Webster County</t>
  </si>
  <si>
    <t>Town of Webster Springs (Addison)</t>
  </si>
  <si>
    <t>Town of Camden-On-Gauley</t>
  </si>
  <si>
    <t>Town of Cowen</t>
  </si>
  <si>
    <t>Wetzel County</t>
  </si>
  <si>
    <t>City of Paden City</t>
  </si>
  <si>
    <t>City of New Martinsville</t>
  </si>
  <si>
    <t>Town of Pine Grove</t>
  </si>
  <si>
    <t>Town of Hundred</t>
  </si>
  <si>
    <t>Town of Smithfield</t>
  </si>
  <si>
    <t>Wirt County</t>
  </si>
  <si>
    <t>Town of Elizabeth</t>
  </si>
  <si>
    <t>Wood County</t>
  </si>
  <si>
    <t>Town of North Hills</t>
  </si>
  <si>
    <t>City of Parkersburg</t>
  </si>
  <si>
    <t>City of Vienna</t>
  </si>
  <si>
    <t>City of Williamstown</t>
  </si>
  <si>
    <t>Ritchie County</t>
  </si>
  <si>
    <t>Town of Harrisville</t>
  </si>
  <si>
    <t>Town of Cairo</t>
  </si>
  <si>
    <t>Town of Ellenboro</t>
  </si>
  <si>
    <t>City of Pennsboro</t>
  </si>
  <si>
    <t>Town of Auburn</t>
  </si>
  <si>
    <t>Town of Pullman</t>
  </si>
  <si>
    <t>Pleasants County</t>
  </si>
  <si>
    <t>City of St. Mary'S</t>
  </si>
  <si>
    <t>City of Belmont</t>
  </si>
  <si>
    <t>Hampshire County</t>
  </si>
  <si>
    <t>Town of Capon Bridge</t>
  </si>
  <si>
    <t>Town of Romney</t>
  </si>
  <si>
    <t>Tyler County</t>
  </si>
  <si>
    <t>Town of Middlebourne</t>
  </si>
  <si>
    <t>City of Sisterville</t>
  </si>
  <si>
    <t>Town of Friendly</t>
  </si>
  <si>
    <t>Monroe County</t>
  </si>
  <si>
    <t>Town of Peterstown</t>
  </si>
  <si>
    <t>Town of Union</t>
  </si>
  <si>
    <t>Berkeley County</t>
  </si>
  <si>
    <t>City of Martinsburg</t>
  </si>
  <si>
    <t>Town of Hedgesville</t>
  </si>
  <si>
    <t>Pocahontas County</t>
  </si>
  <si>
    <t>Town of Durbin</t>
  </si>
  <si>
    <t>Town of Marlinton</t>
  </si>
  <si>
    <t>Town of Hilsboro</t>
  </si>
  <si>
    <t>Logan County</t>
  </si>
  <si>
    <t>Town of Chapmanville</t>
  </si>
  <si>
    <t>Town of Mitchell Heights</t>
  </si>
  <si>
    <t>City of Logan</t>
  </si>
  <si>
    <t>Town of Man</t>
  </si>
  <si>
    <t>Town of West Logan</t>
  </si>
  <si>
    <t>Tucker County</t>
  </si>
  <si>
    <t>Town of Hendricks</t>
  </si>
  <si>
    <t>Town of Hambleton</t>
  </si>
  <si>
    <t>City of Parsons</t>
  </si>
  <si>
    <t>City of Thomas</t>
  </si>
  <si>
    <t>Town of Davis</t>
  </si>
  <si>
    <t>Town of Ansted</t>
  </si>
  <si>
    <t>Town of Meadow Bridge</t>
  </si>
  <si>
    <t>City of Oak Hill</t>
  </si>
  <si>
    <t>Town of Pax</t>
  </si>
  <si>
    <t>Town of Thurmond</t>
  </si>
  <si>
    <t>Town of Fayetteville</t>
  </si>
  <si>
    <t>Town of Gauley Bridge</t>
  </si>
  <si>
    <t>City of Mount Hope</t>
  </si>
  <si>
    <t>Fayette County</t>
  </si>
  <si>
    <t>Town of Coalton</t>
  </si>
  <si>
    <t>Town of Harman</t>
  </si>
  <si>
    <t>Town of Huttonsville</t>
  </si>
  <si>
    <t>Town of Montrose</t>
  </si>
  <si>
    <t>Town of Mill Creek</t>
  </si>
  <si>
    <t>Town of Beverly</t>
  </si>
  <si>
    <t>City of Elkins</t>
  </si>
  <si>
    <t>Randolph County</t>
  </si>
  <si>
    <t>Town of Oceana</t>
  </si>
  <si>
    <t>Town of Pineville</t>
  </si>
  <si>
    <t>City of Mullens</t>
  </si>
  <si>
    <t>Wyoming County</t>
  </si>
  <si>
    <t>School</t>
  </si>
  <si>
    <t>Police Department</t>
  </si>
  <si>
    <t>Nursing Home</t>
  </si>
  <si>
    <t>Fire Department</t>
  </si>
  <si>
    <t>Hospital</t>
  </si>
  <si>
    <t>National Register</t>
  </si>
  <si>
    <t>Religious Organization</t>
  </si>
  <si>
    <t>Government Facility</t>
  </si>
  <si>
    <t>Community Status Book Report</t>
  </si>
  <si>
    <t>Init FHBM Identified</t>
  </si>
  <si>
    <t>Init FIRM Identified</t>
  </si>
  <si>
    <t>Curr Eff Map Date</t>
  </si>
  <si>
    <t>Reg-Emer Date</t>
  </si>
  <si>
    <t>(NSFHA)</t>
  </si>
  <si>
    <t>SAND FORK, TOWN OF (Layopolis)</t>
  </si>
  <si>
    <t>540038B</t>
  </si>
  <si>
    <t>540240B</t>
  </si>
  <si>
    <t>FALLING SPRINGS CORPORATION, CITY OF (Renick)</t>
  </si>
  <si>
    <t>10/16/12(M)</t>
  </si>
  <si>
    <t>10/02/12(M)</t>
  </si>
  <si>
    <t>12/18/09(M)</t>
  </si>
  <si>
    <t>540097B</t>
  </si>
  <si>
    <t>540099B</t>
  </si>
  <si>
    <t>540133B</t>
  </si>
  <si>
    <t>540136B</t>
  </si>
  <si>
    <t>545538B</t>
  </si>
  <si>
    <t>540138B</t>
  </si>
  <si>
    <t>540139B</t>
  </si>
  <si>
    <t>540272B</t>
  </si>
  <si>
    <t>540141B</t>
  </si>
  <si>
    <t>540273B</t>
  </si>
  <si>
    <t>540274B</t>
  </si>
  <si>
    <t>BATH, TOWN OF (Berkeley Springs)</t>
  </si>
  <si>
    <t>540200B</t>
  </si>
  <si>
    <t>540232B</t>
  </si>
  <si>
    <t>540202B</t>
  </si>
  <si>
    <t>540221B</t>
  </si>
  <si>
    <t>Summary:</t>
  </si>
  <si>
    <t>Total In Flood Program</t>
  </si>
  <si>
    <t>Total In Emergency Program</t>
  </si>
  <si>
    <t>Total In the Regular Program</t>
  </si>
  <si>
    <t>Total In Regular Program with No Special Flood Hazard</t>
  </si>
  <si>
    <t>Total In Regular Program But Minimally Flood Prone</t>
  </si>
  <si>
    <t>NSFHA</t>
  </si>
  <si>
    <t>(&gt;)</t>
  </si>
  <si>
    <t>(S)</t>
  </si>
  <si>
    <t>(W)</t>
  </si>
  <si>
    <t>(M)</t>
  </si>
  <si>
    <t>(L)"</t>
  </si>
  <si>
    <t>Indicates Entry In Emergency Program</t>
  </si>
  <si>
    <t>No Special Flood Hazard Area - All Zone C</t>
  </si>
  <si>
    <t>Date of Current Effective Map is after the Date of This Report</t>
  </si>
  <si>
    <t>Not Applicable At This Time</t>
  </si>
  <si>
    <t>Suspended Community</t>
  </si>
  <si>
    <t>Withdrawn Community</t>
  </si>
  <si>
    <t>No Elevation Determined - All Zone A</t>
  </si>
  <si>
    <t xml:space="preserve"> C and X</t>
  </si>
  <si>
    <t>Original FIRM by Letter - All Zone A</t>
  </si>
  <si>
    <t xml:space="preserve"> C and X"</t>
  </si>
  <si>
    <t>** Search Command **</t>
  </si>
  <si>
    <t>SEARCH("COUNTY",B61)</t>
  </si>
  <si>
    <t>Barbour County*</t>
  </si>
  <si>
    <t>Belington, Town Of</t>
  </si>
  <si>
    <t>Junior, Town Of</t>
  </si>
  <si>
    <t>Philippi, City Of</t>
  </si>
  <si>
    <t>Berkeley County *</t>
  </si>
  <si>
    <t>Martinsburg, City Of</t>
  </si>
  <si>
    <t>Boone County *</t>
  </si>
  <si>
    <t>Danville, Town Of</t>
  </si>
  <si>
    <t>Madison, Town Of</t>
  </si>
  <si>
    <t>Sylvester, Town Of</t>
  </si>
  <si>
    <t>Whitesville, Town Of</t>
  </si>
  <si>
    <t>Braxton County *</t>
  </si>
  <si>
    <t>Burnsville, Town Of</t>
  </si>
  <si>
    <t>Flatwoods, Town Of</t>
  </si>
  <si>
    <t>Gassaway, Town Of</t>
  </si>
  <si>
    <t>Sutton, Town Of</t>
  </si>
  <si>
    <t>Brooke County *</t>
  </si>
  <si>
    <t>Beech Bottom, Village Of</t>
  </si>
  <si>
    <t>Bethany, Town Of</t>
  </si>
  <si>
    <t>Follansbee, City Of</t>
  </si>
  <si>
    <t>Wellsburg, City Of</t>
  </si>
  <si>
    <t>Weirton, City Of</t>
  </si>
  <si>
    <t>Cabell County*</t>
  </si>
  <si>
    <t>Barboursville, Village Of</t>
  </si>
  <si>
    <t>Milton, City Of</t>
  </si>
  <si>
    <t>Calhoun County *</t>
  </si>
  <si>
    <t>Grantsville, Town Of</t>
  </si>
  <si>
    <t>Clay County *</t>
  </si>
  <si>
    <t>Clay, Town Of</t>
  </si>
  <si>
    <t>Doddridge County *</t>
  </si>
  <si>
    <t>West Union, Town Of</t>
  </si>
  <si>
    <t>Fayette County*</t>
  </si>
  <si>
    <t>Ansted, Town Of</t>
  </si>
  <si>
    <t>Fayetteville, Town Of</t>
  </si>
  <si>
    <t>Gauley Bridge, Town Of</t>
  </si>
  <si>
    <t>Meadow Bridge, Town Of</t>
  </si>
  <si>
    <t>Mount Hope, City Of</t>
  </si>
  <si>
    <t>Oak Hill, City Of</t>
  </si>
  <si>
    <t>Pax, Town Of</t>
  </si>
  <si>
    <t>Smithers, Town Of</t>
  </si>
  <si>
    <t>Gilmer County *</t>
  </si>
  <si>
    <t>Glenville, City Of</t>
  </si>
  <si>
    <t>Sand Fork, Town Of (Layopolis)</t>
  </si>
  <si>
    <t>Grant County*</t>
  </si>
  <si>
    <t>Bayard, Town Of</t>
  </si>
  <si>
    <t>Petersburg, Cityof</t>
  </si>
  <si>
    <t>Greenbrier County*</t>
  </si>
  <si>
    <t>Falling Springs Corporation, City Of (Renick)</t>
  </si>
  <si>
    <t>Lewisburg, City Of</t>
  </si>
  <si>
    <t>Quinwood, Town Of</t>
  </si>
  <si>
    <t>Rainelle, Town Of</t>
  </si>
  <si>
    <t>Ronceverte, City Of</t>
  </si>
  <si>
    <t>Rupert, Town Of</t>
  </si>
  <si>
    <t>White Sulphur Springs, City Of</t>
  </si>
  <si>
    <t>Hampshire County*</t>
  </si>
  <si>
    <t>Capon Bridge Town</t>
  </si>
  <si>
    <t>Romney, Town Of</t>
  </si>
  <si>
    <t>Hancock County *</t>
  </si>
  <si>
    <t>Chester, City Of</t>
  </si>
  <si>
    <t>New Cumberland, City Of</t>
  </si>
  <si>
    <t>Hardy County *</t>
  </si>
  <si>
    <t>Moorefield, Town Of</t>
  </si>
  <si>
    <t>Wardensville, Town Of</t>
  </si>
  <si>
    <t>Harrison County*</t>
  </si>
  <si>
    <t>Anmoore, Town Of</t>
  </si>
  <si>
    <t>Bridgeport, City Of</t>
  </si>
  <si>
    <t>Clarksburg, City Of</t>
  </si>
  <si>
    <t>Lost Creek, Town Of</t>
  </si>
  <si>
    <t>Lumberport, Town Of</t>
  </si>
  <si>
    <t>Nutter Fort, Town Of</t>
  </si>
  <si>
    <t>Salem, City Of</t>
  </si>
  <si>
    <t>Shinnston, City Of</t>
  </si>
  <si>
    <t>Stonewood, City Of</t>
  </si>
  <si>
    <t>West Milford, Town Of</t>
  </si>
  <si>
    <t>Jackson County *</t>
  </si>
  <si>
    <t>Ravenswood, City Of</t>
  </si>
  <si>
    <t>Ripley, City Of</t>
  </si>
  <si>
    <t>Jefferson County *</t>
  </si>
  <si>
    <t>Bolivar, Town Of</t>
  </si>
  <si>
    <t>Charles Town, City Of</t>
  </si>
  <si>
    <t>Harpers Ferry, Town Of</t>
  </si>
  <si>
    <t>Ranson, City Of</t>
  </si>
  <si>
    <t>Shepherdstown, Town Of</t>
  </si>
  <si>
    <t>Kanawha County *</t>
  </si>
  <si>
    <t>Belle, Town Of</t>
  </si>
  <si>
    <t>Cedar Grove, Town Of</t>
  </si>
  <si>
    <t>Charleston, City Of</t>
  </si>
  <si>
    <t>Chesapeake, Town Of</t>
  </si>
  <si>
    <t>Clendenin, Town Of</t>
  </si>
  <si>
    <t>Dunbar, City Of</t>
  </si>
  <si>
    <t>East Bank, Town Of</t>
  </si>
  <si>
    <t>Glasgow, Town Of</t>
  </si>
  <si>
    <t>Handley, Town Of</t>
  </si>
  <si>
    <t>Marmet, Town Of</t>
  </si>
  <si>
    <t>Pratt, Town Of</t>
  </si>
  <si>
    <t>South Charleston, City Of</t>
  </si>
  <si>
    <t>St. Albans, City Of</t>
  </si>
  <si>
    <t>Montgomery, City Of</t>
  </si>
  <si>
    <t>Lewis County*</t>
  </si>
  <si>
    <t>Jane Lew, Town Of</t>
  </si>
  <si>
    <t>Weston, City Of</t>
  </si>
  <si>
    <t>Lincoln County*</t>
  </si>
  <si>
    <t>Hamlin, Town Of</t>
  </si>
  <si>
    <t>West Hamlin, Town Of</t>
  </si>
  <si>
    <t>Logan County *</t>
  </si>
  <si>
    <t>Chapmanville, Town Of</t>
  </si>
  <si>
    <t>Logan, City Of</t>
  </si>
  <si>
    <t>Man, Town Of</t>
  </si>
  <si>
    <t>Mitchell Heights, Town Of</t>
  </si>
  <si>
    <t>West Logan, Town Of</t>
  </si>
  <si>
    <t>Marion County*</t>
  </si>
  <si>
    <t>Barrackville, Town Of</t>
  </si>
  <si>
    <t>Fairmont,City Of</t>
  </si>
  <si>
    <t>Fairview, Town Of</t>
  </si>
  <si>
    <t>Farmington, Town Of</t>
  </si>
  <si>
    <t>Grant,  Town Of</t>
  </si>
  <si>
    <t>Mannington, City Of</t>
  </si>
  <si>
    <t>Monongah, Town Of</t>
  </si>
  <si>
    <t>Pleasant Valley, City Of</t>
  </si>
  <si>
    <t>Rivesville, Town Of</t>
  </si>
  <si>
    <t>Worthington, Town Of</t>
  </si>
  <si>
    <t>Marshall County *</t>
  </si>
  <si>
    <t>Benwood, City Of</t>
  </si>
  <si>
    <t>Cameron, City Of</t>
  </si>
  <si>
    <t>Glen Dale, City Of</t>
  </si>
  <si>
    <t>Mcmechen, Town Of</t>
  </si>
  <si>
    <t>Moundsville, City Of</t>
  </si>
  <si>
    <t>Mason County *</t>
  </si>
  <si>
    <t>Hartford, Town Of</t>
  </si>
  <si>
    <t>Henderson, Town Of</t>
  </si>
  <si>
    <t>Leon, Town Of</t>
  </si>
  <si>
    <t>Mason, Town Of</t>
  </si>
  <si>
    <t>New Haven, Town Of</t>
  </si>
  <si>
    <t>Point Pleasant, City Of</t>
  </si>
  <si>
    <t>Mcdowell County *</t>
  </si>
  <si>
    <t>Anawalt, Town Of</t>
  </si>
  <si>
    <t>Bradshaw, Town Of</t>
  </si>
  <si>
    <t>Davy, Town Of</t>
  </si>
  <si>
    <t>Gary, City Of</t>
  </si>
  <si>
    <t>Iaeger, Town Of</t>
  </si>
  <si>
    <t>Keystone, Town Of</t>
  </si>
  <si>
    <t>Kimball, Town Of</t>
  </si>
  <si>
    <t>Northfork, Town Of</t>
  </si>
  <si>
    <t>War, Town Of</t>
  </si>
  <si>
    <t>Welch, City Of</t>
  </si>
  <si>
    <t>Mercer County*</t>
  </si>
  <si>
    <t>Athens, Town Of</t>
  </si>
  <si>
    <t>Bluefield, City Of</t>
  </si>
  <si>
    <t>Bramwell, Town Of</t>
  </si>
  <si>
    <t>Matoaka, Town Of</t>
  </si>
  <si>
    <t>Oakvale, Town Of</t>
  </si>
  <si>
    <t>Princeton, City Of</t>
  </si>
  <si>
    <t>Mineral County *</t>
  </si>
  <si>
    <t>Keyser, City Of</t>
  </si>
  <si>
    <t>Piedmont, City Of</t>
  </si>
  <si>
    <t>Ridgeley, Town Of</t>
  </si>
  <si>
    <t>Mingo County *</t>
  </si>
  <si>
    <t>Delbarton, Town Of</t>
  </si>
  <si>
    <t>Gilbert, Town Of</t>
  </si>
  <si>
    <t>Kermit, Town Of</t>
  </si>
  <si>
    <t>Matewan, Town Of</t>
  </si>
  <si>
    <t>Williamson, City Of</t>
  </si>
  <si>
    <t>Monongalia County *</t>
  </si>
  <si>
    <t>Blacksville, City Of</t>
  </si>
  <si>
    <t>Granville, Town Of</t>
  </si>
  <si>
    <t>Morgantown, City Of</t>
  </si>
  <si>
    <t>Star City, Town Of</t>
  </si>
  <si>
    <t>Westover, City Of</t>
  </si>
  <si>
    <t>Monroe County *</t>
  </si>
  <si>
    <t>Peterstown, Town Of</t>
  </si>
  <si>
    <t>Union, Town Of</t>
  </si>
  <si>
    <t>Alderson, Town Of</t>
  </si>
  <si>
    <t>Morgan County*</t>
  </si>
  <si>
    <t>Bath, Town Of (Berkeley Springs)</t>
  </si>
  <si>
    <t>Paw Paw, Town Of</t>
  </si>
  <si>
    <t>Nicholas County*</t>
  </si>
  <si>
    <t>Richwood, City Of</t>
  </si>
  <si>
    <t>Summersville, City Of</t>
  </si>
  <si>
    <t>Ohio County *</t>
  </si>
  <si>
    <t>Bethlehem, Village Of</t>
  </si>
  <si>
    <t xml:space="preserve">Clearview, Village Of </t>
  </si>
  <si>
    <t>Triadelphia, Town Of</t>
  </si>
  <si>
    <t>Valley Grove, Town Of</t>
  </si>
  <si>
    <t>West Liberty, Town Of</t>
  </si>
  <si>
    <t>Wheeling, City Of</t>
  </si>
  <si>
    <t>Pendleton County*</t>
  </si>
  <si>
    <t>Franklin, Town Of</t>
  </si>
  <si>
    <t>Pleasants County *</t>
  </si>
  <si>
    <t>Belmont, City Of</t>
  </si>
  <si>
    <t>St. Mary'S, City Of</t>
  </si>
  <si>
    <t>Pocahontas County *</t>
  </si>
  <si>
    <t>Durbin, Town Of</t>
  </si>
  <si>
    <t>Marlinton, Town Of</t>
  </si>
  <si>
    <t>Albright,Town Of</t>
  </si>
  <si>
    <t>Preston County*</t>
  </si>
  <si>
    <t>Bruceton Mills, Town Of</t>
  </si>
  <si>
    <t>Kingwood, City Of</t>
  </si>
  <si>
    <t>Masontown, Town Of</t>
  </si>
  <si>
    <t>Newburg,Town Of</t>
  </si>
  <si>
    <t>Reedsville, Town Of</t>
  </si>
  <si>
    <t>Rowlesburg, Town Of</t>
  </si>
  <si>
    <t>Terra Alta, Town Of</t>
  </si>
  <si>
    <t>Tunnelton, Town Of</t>
  </si>
  <si>
    <t>Putnam County*</t>
  </si>
  <si>
    <t>Bancroft, Town Of</t>
  </si>
  <si>
    <t>Buffalo, Town Of</t>
  </si>
  <si>
    <t>Eleanor, Town Of</t>
  </si>
  <si>
    <t>Hurricane, City Of</t>
  </si>
  <si>
    <t>Poca, Town Of</t>
  </si>
  <si>
    <t>Winfield, Town Of</t>
  </si>
  <si>
    <t>Nitro, City Of</t>
  </si>
  <si>
    <t>Raleigh County *</t>
  </si>
  <si>
    <t>Beckley, City Of</t>
  </si>
  <si>
    <t>Lester, Town Of</t>
  </si>
  <si>
    <t>Mabscott, Town Of</t>
  </si>
  <si>
    <t>Rhodell, Town Of</t>
  </si>
  <si>
    <t>Sophia, Town Of</t>
  </si>
  <si>
    <t>Randolph County *</t>
  </si>
  <si>
    <t>Beverly, Town Of</t>
  </si>
  <si>
    <t>Elkins, City Of</t>
  </si>
  <si>
    <t>Harman, Town Of</t>
  </si>
  <si>
    <t>Huttonsville, Town Of</t>
  </si>
  <si>
    <t>Mill Creek, Town Of</t>
  </si>
  <si>
    <t>Montrose, Town Of</t>
  </si>
  <si>
    <t>Womelsdorf (Coalton), Town Of</t>
  </si>
  <si>
    <t>Ritchie County *</t>
  </si>
  <si>
    <t>Auburn, Town Of</t>
  </si>
  <si>
    <t>Cairo, Town Of</t>
  </si>
  <si>
    <t>Ellenboro, Town Of</t>
  </si>
  <si>
    <t>Harrisville, Town Of</t>
  </si>
  <si>
    <t>Pennsboro, City Of</t>
  </si>
  <si>
    <t>Pullman, Town Of</t>
  </si>
  <si>
    <t>Roane County *</t>
  </si>
  <si>
    <t>Reedy, Town Of</t>
  </si>
  <si>
    <t>Spencer, City Of</t>
  </si>
  <si>
    <t>Summers County *</t>
  </si>
  <si>
    <t>Hinton, City Of</t>
  </si>
  <si>
    <t>Taylor County*</t>
  </si>
  <si>
    <t>Flemington, Town Of</t>
  </si>
  <si>
    <t>Grafton, City Of</t>
  </si>
  <si>
    <t>Tucker County*</t>
  </si>
  <si>
    <t>Davis, Town Of</t>
  </si>
  <si>
    <t>Hambleton, Town Of</t>
  </si>
  <si>
    <t>Hendricks,Town Of</t>
  </si>
  <si>
    <t>Parsons, City Of</t>
  </si>
  <si>
    <t>Thomas, City Of</t>
  </si>
  <si>
    <t>Tyler County *</t>
  </si>
  <si>
    <t>Friendly, Town Of</t>
  </si>
  <si>
    <t>Middlebourne, Town Of</t>
  </si>
  <si>
    <t>Sistersville, City Of</t>
  </si>
  <si>
    <t>Upshur County*</t>
  </si>
  <si>
    <t>Buckhannon, City Of</t>
  </si>
  <si>
    <t>Wayne County*</t>
  </si>
  <si>
    <t>Ceredo, Town Of</t>
  </si>
  <si>
    <t>Fort Gay, Town Of</t>
  </si>
  <si>
    <t>Kenova, City Of</t>
  </si>
  <si>
    <t>Wayne, Town Of</t>
  </si>
  <si>
    <t>Huntington, City Of</t>
  </si>
  <si>
    <t>Webster County *</t>
  </si>
  <si>
    <t>Camden-On-Gauley, Town Of</t>
  </si>
  <si>
    <t>Cowen, Town Of</t>
  </si>
  <si>
    <t>Wetzel County *</t>
  </si>
  <si>
    <t>Hundred, Town Of</t>
  </si>
  <si>
    <t>New Martinsville, City Of</t>
  </si>
  <si>
    <t>Pine Grove, Town Of</t>
  </si>
  <si>
    <t>Smithfield, Town Of</t>
  </si>
  <si>
    <t>Paden City, City Of</t>
  </si>
  <si>
    <t>Wirt County*</t>
  </si>
  <si>
    <t>Elizabeth, Town Of</t>
  </si>
  <si>
    <t>Wood County *</t>
  </si>
  <si>
    <t>Parkersburg, City Of</t>
  </si>
  <si>
    <t>Vienna, City Of</t>
  </si>
  <si>
    <t>Williamstown, City Of</t>
  </si>
  <si>
    <t>Wyoming County *</t>
  </si>
  <si>
    <t>Mullens, City Of</t>
  </si>
  <si>
    <t>Oceana, Town Of</t>
  </si>
  <si>
    <t>Pineville, City Of</t>
  </si>
  <si>
    <t>Tribe?</t>
  </si>
  <si>
    <t>Coastal/Riverine Community</t>
  </si>
  <si>
    <t>Avg. Residential Development Growth (value) (County Level)</t>
  </si>
  <si>
    <t>State Rank - Avg. Residential Growth (value)</t>
  </si>
  <si>
    <t>State Rank - Claims Outside SFHA</t>
  </si>
  <si>
    <t>Compliance at Last Visit</t>
  </si>
  <si>
    <t>State Rank - Compliance at Last Visit</t>
  </si>
  <si>
    <t>Dollar Amt. Previous Claims</t>
  </si>
  <si>
    <t>State Rank - Dollar Amt. Previous Claims</t>
  </si>
  <si>
    <t>Estimated Pop. Growth Rate (County Level)</t>
  </si>
  <si>
    <t>State Rank - Estimated Pop. Growth Rate</t>
  </si>
  <si>
    <t>State Rank - Percent of SFHA Structures Without Flood Insurance</t>
  </si>
  <si>
    <t>State Rank - Number of LOMCs</t>
  </si>
  <si>
    <t>Number of Paid Losses</t>
  </si>
  <si>
    <t>State Rank - Number of Paid Losses</t>
  </si>
  <si>
    <t>State Rank - Number of Disasters w/ Flooding</t>
  </si>
  <si>
    <t>State Rank - Number of Pre FIRM Policies</t>
  </si>
  <si>
    <t>Number of Policies</t>
  </si>
  <si>
    <t>State Rank - Number of Policies</t>
  </si>
  <si>
    <t>State Rank - Number of Rep. Loss Structures</t>
  </si>
  <si>
    <t>Pop. In SFHA</t>
  </si>
  <si>
    <t>State Rank - Pop. In SFHA</t>
  </si>
  <si>
    <t>Social Vulnerability Index (CDC) (County Level)</t>
  </si>
  <si>
    <t>State Rank - Social Vulnerability Index (CDC)</t>
  </si>
  <si>
    <t>Date of Last Disaster
 (County Level)</t>
  </si>
  <si>
    <t>State Rank - Date of Last Disaster</t>
  </si>
  <si>
    <t>State Rank - Number of Mitigated Properties (for Flood) (opportunity)</t>
  </si>
  <si>
    <t>Estimated Pop. Growth in SFHA</t>
  </si>
  <si>
    <t>State Rank - Estimated Pop. Growth in SFHA</t>
  </si>
  <si>
    <t>Active or Planned Mapping Study in the FY?</t>
  </si>
  <si>
    <t>State Rank - Active or Planned Mapping Study in the FY?</t>
  </si>
  <si>
    <t>State Rank - CRS Class</t>
  </si>
  <si>
    <t>State Rank - CRS Application</t>
  </si>
  <si>
    <t>Date of Last CAV/CAC</t>
  </si>
  <si>
    <t>State Rank - Date of Last CAV/CAC</t>
  </si>
  <si>
    <t>Date of Last Training</t>
  </si>
  <si>
    <t>State Rank - Date of Last Training</t>
  </si>
  <si>
    <t>Higher Standards</t>
  </si>
  <si>
    <t>State Rank - Higher Standards</t>
  </si>
  <si>
    <t>Number GTA In Last Year</t>
  </si>
  <si>
    <t>State Rank - Number GTA In Last Year</t>
  </si>
  <si>
    <t>State Rank - Number of Mitigated Properties (for Flood)</t>
  </si>
  <si>
    <t>Composite Weighted Ranking (value)</t>
  </si>
  <si>
    <t>Composite Rank</t>
  </si>
  <si>
    <t>No Data Available</t>
  </si>
  <si>
    <t>3 &amp; 4</t>
  </si>
  <si>
    <t>KANAWHA COUNTY &amp; FAYETTE COUNTY</t>
  </si>
  <si>
    <t>Undetermined Hazard</t>
  </si>
  <si>
    <t>Low Hazard</t>
  </si>
  <si>
    <t>Significant Hazard</t>
  </si>
  <si>
    <t>High Hazard</t>
  </si>
  <si>
    <t>Unknown Owned</t>
  </si>
  <si>
    <t>Private Owned</t>
  </si>
  <si>
    <t>Public Utility Owned</t>
  </si>
  <si>
    <t>Local Government Owned</t>
  </si>
  <si>
    <t>State Owned</t>
  </si>
  <si>
    <t>Federal Owned</t>
  </si>
  <si>
    <t>Total Count</t>
  </si>
  <si>
    <t>USACE Owned</t>
  </si>
  <si>
    <t>Accredited</t>
  </si>
  <si>
    <t>Provisionally Accredited</t>
  </si>
  <si>
    <t>Not Accredited</t>
  </si>
  <si>
    <t>Under Review</t>
  </si>
  <si>
    <t>Total Community Area</t>
  </si>
  <si>
    <t>aOSP</t>
  </si>
  <si>
    <t>aPublic</t>
  </si>
  <si>
    <t>aPrivate</t>
  </si>
  <si>
    <t>aDR</t>
  </si>
  <si>
    <t>rOSP</t>
  </si>
  <si>
    <t>cOSP</t>
  </si>
  <si>
    <t>cDR</t>
  </si>
  <si>
    <t>rDR</t>
  </si>
  <si>
    <t xml:space="preserve">Data </t>
  </si>
  <si>
    <t>Data Path</t>
  </si>
  <si>
    <t>bSF_20191105_final</t>
  </si>
  <si>
    <t>\\gistc-filesrv2\HazardData\Working\aSFHA_bSF\Data\script_outputs\Community_Reports\bSF_20191105_final.csv</t>
  </si>
  <si>
    <t>bSF_by_flood_zones_20191031_final</t>
  </si>
  <si>
    <t>\\gistc-filesrv2\HazardData\Working\aSFHA_bSF\Data\script_outputs\Community_Reports\bSF_by_flood_zones_20191031_final.csv</t>
  </si>
  <si>
    <t>HANCOCK COUNTY*</t>
  </si>
  <si>
    <t>JEFFERSON COUNTY*</t>
  </si>
  <si>
    <t>MINERAL COUNTY*</t>
  </si>
  <si>
    <t>BROOKE COUNTY &amp; HANCOCK COUNTY*</t>
  </si>
  <si>
    <t>KANAWHA COUNTY &amp; FAYETTE COUNTY*</t>
  </si>
  <si>
    <t>* Data source for those counties' communities are from UDF data: PRESTON COUNTY,FAYETTE COUNTY,JEFFERSON COUNTY,MINERAL COUNTY,HANCOCK COUNTY,MERCER COUNTY</t>
  </si>
  <si>
    <t>bSF_FIRM_20191101_final.csv</t>
  </si>
  <si>
    <t>\\gistc-filesrv2\HazardData\Working\aSFHA_bSF\Data\script_outputs\Community_Reports\bSF_FIRM_20191101_final.csv</t>
  </si>
  <si>
    <t>WV Community Status Book Report September 20190924 Jefferson Formatted.xlsx</t>
  </si>
  <si>
    <t>\\gistc-filesrv2\HazardData\Working\aSFHA_bSF\Data\script_outputs\Community_Reports\WV Community Status Book Report September 20190924 Jefferson Formatted.xlsx</t>
  </si>
  <si>
    <t>bSF_flood_depth_sources_20190905.csv</t>
  </si>
  <si>
    <t>bSF_building_exposure_20191031_final.csv</t>
  </si>
  <si>
    <t>\\gistc-filesrv2\HazardData\Working\aSFHA_bSF\Data\script_outputs\Community_Reports\bSF_building_exposure_20191031_final.csv</t>
  </si>
  <si>
    <t>Preliminary</t>
  </si>
  <si>
    <t>UDF</t>
  </si>
  <si>
    <t>Source</t>
  </si>
  <si>
    <t>\\gistc-filesrv2\HazardData\Working\aSFHA_bSF\Data\script_outputs\Community_Reports\bSF_flood_depth_sources_20190905.csv</t>
  </si>
  <si>
    <t>How were red cells calculated</t>
  </si>
  <si>
    <t>NEW HEC-RAS (Priority 1)</t>
  </si>
  <si>
    <t>EXISTING HEC-RAS (Priority 1)</t>
  </si>
  <si>
    <t>Review red cells</t>
  </si>
  <si>
    <t>bSF_by_flood_zones_Dams_20191105_final.csv</t>
  </si>
  <si>
    <t>\\gistc-filesrv2\HazardData\Working\aSFHA_bSF\Data\script_outputs\Community_Reports\bSF_by_flood_zones_Dams_20191105_final.csv</t>
  </si>
  <si>
    <t>bSF_by_flood_zones_Levees_20191105_final.csv</t>
  </si>
  <si>
    <t>\\gistc-filesrv2\HazardData\Working\aSFHA_bSF\Data\script_outputs\Community_Reports\bSF_by_flood_zones_Levees_20191105_final.csv</t>
  </si>
  <si>
    <t>SeptemberReportfromCEP.xlsx</t>
  </si>
  <si>
    <t>\\gistc-filesrv2\HazardData\Working\aSFHA_bSF\Documents\From-FEMA-Region III\SeptemberReportfromCEP.xlsx</t>
  </si>
  <si>
    <t>WV_CEP_Report_2019.xlsx</t>
  </si>
  <si>
    <t>\\gistc-filesrv2\HazardData\Working\aSFHA_bSF\Documents\FromKurt\WV_CEP_Report_2019.xlsx</t>
  </si>
  <si>
    <t>County Total</t>
  </si>
  <si>
    <t>New File/Sheet Name</t>
  </si>
  <si>
    <t>bSF_Riparian_20200406_final.csv</t>
  </si>
  <si>
    <t>\\gistc-filesrv2\hazardData\Working\aSFHA_bSF\Data\script_outputs\Community_Reports\bSF_Riparian_20200406_final.csv</t>
  </si>
  <si>
    <t>aNFOS#1</t>
  </si>
  <si>
    <t>aNFOS#3</t>
  </si>
  <si>
    <t>rNFOS#1</t>
  </si>
  <si>
    <t>rNFOS#3</t>
  </si>
  <si>
    <t>cCFOS</t>
  </si>
  <si>
    <t>CRS_422_c_20200416_final.csv</t>
  </si>
  <si>
    <t>CRS_422_b_20200416_final.csv</t>
  </si>
  <si>
    <t>CRS_422_a_20200416_final.csv</t>
  </si>
  <si>
    <t>Stream Length(mi)-Zone AE</t>
  </si>
  <si>
    <t>Stream Length(mi)-Zone AH</t>
  </si>
  <si>
    <t>Stream Length(mi)-Zone AO</t>
  </si>
  <si>
    <t>Stream Length(mi)-Zones: AE,AH,AO</t>
  </si>
  <si>
    <t>Stream Length (mi)-Zone A</t>
  </si>
  <si>
    <t>Total Length</t>
  </si>
  <si>
    <t>\\gistc-filesrv2\HazardData\Working\aSFHA_bSF\Data\script_outputs\Community_Reports\Stream_Length_20200417.csv</t>
  </si>
  <si>
    <t>Stream_Length_20200417.csv</t>
  </si>
  <si>
    <t>floodTool_communityAssets_20200421_utm83</t>
  </si>
  <si>
    <t>\\gistc-filesrv2\HazardData\Working\aSFHA_bSF\Data\script_outputs\Community_Reports\bSF_by_flood_zones_CI_20200421.csv</t>
  </si>
  <si>
    <t>bSF_by_flood_zones_CI_20200421.csv</t>
  </si>
  <si>
    <t>Buyout Parcels in SFHA</t>
  </si>
  <si>
    <t>Buyout Parcels out of SFHA</t>
  </si>
  <si>
    <t>Buyout Parcels Total</t>
  </si>
  <si>
    <t>bSF</t>
  </si>
  <si>
    <t>bAR</t>
  </si>
  <si>
    <t>rAR</t>
  </si>
  <si>
    <t>540001</t>
  </si>
  <si>
    <t>Statewide Site Address Points</t>
  </si>
  <si>
    <t>540002</t>
  </si>
  <si>
    <t>540003</t>
  </si>
  <si>
    <t>540004</t>
  </si>
  <si>
    <t>540007</t>
  </si>
  <si>
    <t>540008</t>
  </si>
  <si>
    <t>540229</t>
  </si>
  <si>
    <t>540230</t>
  </si>
  <si>
    <t>540238</t>
  </si>
  <si>
    <t>540009</t>
  </si>
  <si>
    <t>540010</t>
  </si>
  <si>
    <t>540235</t>
  </si>
  <si>
    <t>540236</t>
  </si>
  <si>
    <t>540237</t>
  </si>
  <si>
    <t>540011</t>
  </si>
  <si>
    <t>540012</t>
  </si>
  <si>
    <t>540013</t>
  </si>
  <si>
    <t>540014</t>
  </si>
  <si>
    <t>540015</t>
  </si>
  <si>
    <t>540093</t>
  </si>
  <si>
    <t>540084</t>
  </si>
  <si>
    <t>540016</t>
  </si>
  <si>
    <t>540017</t>
  </si>
  <si>
    <t>540018</t>
  </si>
  <si>
    <t>540019</t>
  </si>
  <si>
    <t>540020</t>
  </si>
  <si>
    <t>540021</t>
  </si>
  <si>
    <t>540022</t>
  </si>
  <si>
    <t>540023</t>
  </si>
  <si>
    <t>540024</t>
  </si>
  <si>
    <t>540025</t>
  </si>
  <si>
    <t>540035</t>
  </si>
  <si>
    <t>540036</t>
  </si>
  <si>
    <t>540037</t>
  </si>
  <si>
    <t>540038</t>
  </si>
  <si>
    <t>540039</t>
  </si>
  <si>
    <t>540240</t>
  </si>
  <si>
    <t>540040</t>
  </si>
  <si>
    <t>County BI</t>
  </si>
  <si>
    <t>540041</t>
  </si>
  <si>
    <t>540043</t>
  </si>
  <si>
    <t>540044</t>
  </si>
  <si>
    <t>540045</t>
  </si>
  <si>
    <t>540228</t>
  </si>
  <si>
    <t>540243</t>
  </si>
  <si>
    <t>540244</t>
  </si>
  <si>
    <t>540281</t>
  </si>
  <si>
    <t>540047</t>
  </si>
  <si>
    <t>540048</t>
  </si>
  <si>
    <t>540049</t>
  </si>
  <si>
    <t>540051</t>
  </si>
  <si>
    <t>540052</t>
  </si>
  <si>
    <t>540245</t>
  </si>
  <si>
    <t>540053</t>
  </si>
  <si>
    <t>540054</t>
  </si>
  <si>
    <t>540055</t>
  </si>
  <si>
    <t>540056</t>
  </si>
  <si>
    <t>540057</t>
  </si>
  <si>
    <t>540058</t>
  </si>
  <si>
    <t>540059</t>
  </si>
  <si>
    <t>540060</t>
  </si>
  <si>
    <t>540061</t>
  </si>
  <si>
    <t>540062</t>
  </si>
  <si>
    <t>540242</t>
  </si>
  <si>
    <t>540063</t>
  </si>
  <si>
    <t>540064</t>
  </si>
  <si>
    <t>540241</t>
  </si>
  <si>
    <t>540065</t>
  </si>
  <si>
    <t>540030</t>
  </si>
  <si>
    <t>540066</t>
  </si>
  <si>
    <t>540067</t>
  </si>
  <si>
    <t>540068</t>
  </si>
  <si>
    <t>540069</t>
  </si>
  <si>
    <t>540070</t>
  </si>
  <si>
    <t>540029</t>
  </si>
  <si>
    <t>540071</t>
  </si>
  <si>
    <t>540072</t>
  </si>
  <si>
    <t>540073</t>
  </si>
  <si>
    <t>540074</t>
  </si>
  <si>
    <t>540075</t>
  </si>
  <si>
    <t>540076</t>
  </si>
  <si>
    <t>540077</t>
  </si>
  <si>
    <t>540078</t>
  </si>
  <si>
    <t>540079</t>
  </si>
  <si>
    <t>540081</t>
  </si>
  <si>
    <t>540082</t>
  </si>
  <si>
    <t>540083</t>
  </si>
  <si>
    <t>540223</t>
  </si>
  <si>
    <t>540279</t>
  </si>
  <si>
    <t>540033</t>
  </si>
  <si>
    <t>540085</t>
  </si>
  <si>
    <t>540086</t>
  </si>
  <si>
    <t>540087</t>
  </si>
  <si>
    <t>540088</t>
  </si>
  <si>
    <t>540089</t>
  </si>
  <si>
    <t>540090</t>
  </si>
  <si>
    <t>540097</t>
  </si>
  <si>
    <t>540098</t>
  </si>
  <si>
    <t>540099</t>
  </si>
  <si>
    <t>540100</t>
  </si>
  <si>
    <t>540101</t>
  </si>
  <si>
    <t>540102</t>
  </si>
  <si>
    <t>540103</t>
  </si>
  <si>
    <t>540104</t>
  </si>
  <si>
    <t>540105</t>
  </si>
  <si>
    <t>540106</t>
  </si>
  <si>
    <t>540292</t>
  </si>
  <si>
    <t>545556</t>
  </si>
  <si>
    <t>540107</t>
  </si>
  <si>
    <t>540108</t>
  </si>
  <si>
    <t>540109</t>
  </si>
  <si>
    <t>540110</t>
  </si>
  <si>
    <t>540111</t>
  </si>
  <si>
    <t>540287</t>
  </si>
  <si>
    <t>540152</t>
  </si>
  <si>
    <t>540112</t>
  </si>
  <si>
    <t>540113</t>
  </si>
  <si>
    <t>540247</t>
  </si>
  <si>
    <t>540248</t>
  </si>
  <si>
    <t>540249</t>
  </si>
  <si>
    <t>540250</t>
  </si>
  <si>
    <t>540251</t>
  </si>
  <si>
    <t>540114</t>
  </si>
  <si>
    <t>540115</t>
  </si>
  <si>
    <t>540116</t>
  </si>
  <si>
    <t>540117</t>
  </si>
  <si>
    <t>540118</t>
  </si>
  <si>
    <t>540119</t>
  </si>
  <si>
    <t>540120</t>
  </si>
  <si>
    <t>540121</t>
  </si>
  <si>
    <t>540122</t>
  </si>
  <si>
    <t>540123</t>
  </si>
  <si>
    <t>540291</t>
  </si>
  <si>
    <t>540124</t>
  </si>
  <si>
    <t>540125</t>
  </si>
  <si>
    <t>540126</t>
  </si>
  <si>
    <t>540127</t>
  </si>
  <si>
    <t>540128</t>
  </si>
  <si>
    <t>540172</t>
  </si>
  <si>
    <t>540285</t>
  </si>
  <si>
    <t>540129</t>
  </si>
  <si>
    <t>540130</t>
  </si>
  <si>
    <t>540131</t>
  </si>
  <si>
    <t>540155</t>
  </si>
  <si>
    <t>545555</t>
  </si>
  <si>
    <t>540091</t>
  </si>
  <si>
    <t>540133</t>
  </si>
  <si>
    <t>540134</t>
  </si>
  <si>
    <t>540135</t>
  </si>
  <si>
    <t>540136</t>
  </si>
  <si>
    <t>540138</t>
  </si>
  <si>
    <t>545538</t>
  </si>
  <si>
    <t>540139</t>
  </si>
  <si>
    <t>540140</t>
  </si>
  <si>
    <t>540141</t>
  </si>
  <si>
    <t>540272</t>
  </si>
  <si>
    <t>540273</t>
  </si>
  <si>
    <t>540274</t>
  </si>
  <si>
    <t>540144</t>
  </si>
  <si>
    <t>540005</t>
  </si>
  <si>
    <t>540252</t>
  </si>
  <si>
    <t>540146</t>
  </si>
  <si>
    <t>540147</t>
  </si>
  <si>
    <t>540148</t>
  </si>
  <si>
    <t>540149</t>
  </si>
  <si>
    <t>540080</t>
  </si>
  <si>
    <t>540094</t>
  </si>
  <si>
    <t>540150</t>
  </si>
  <si>
    <t>540151</t>
  </si>
  <si>
    <t>540275</t>
  </si>
  <si>
    <t>540153</t>
  </si>
  <si>
    <t>540154</t>
  </si>
  <si>
    <t>540160</t>
  </si>
  <si>
    <t>540137</t>
  </si>
  <si>
    <t>540161</t>
  </si>
  <si>
    <t>540162</t>
  </si>
  <si>
    <t>540163</t>
  </si>
  <si>
    <t>540254</t>
  </si>
  <si>
    <t>540257</t>
  </si>
  <si>
    <t>540268</t>
  </si>
  <si>
    <t>540269</t>
  </si>
  <si>
    <t>540270</t>
  </si>
  <si>
    <t>540284</t>
  </si>
  <si>
    <t>540164</t>
  </si>
  <si>
    <t>540165</t>
  </si>
  <si>
    <t>540166</t>
  </si>
  <si>
    <t>540167</t>
  </si>
  <si>
    <t>540168</t>
  </si>
  <si>
    <t>540222</t>
  </si>
  <si>
    <t>540271</t>
  </si>
  <si>
    <t>540169</t>
  </si>
  <si>
    <t>540170</t>
  </si>
  <si>
    <t>540171</t>
  </si>
  <si>
    <t>540173</t>
  </si>
  <si>
    <t>540174</t>
  </si>
  <si>
    <t>540286</t>
  </si>
  <si>
    <t>540183</t>
  </si>
  <si>
    <t>540184</t>
  </si>
  <si>
    <t>540185</t>
  </si>
  <si>
    <t>540186</t>
  </si>
  <si>
    <t>540187</t>
  </si>
  <si>
    <t>540188</t>
  </si>
  <si>
    <t>540189</t>
  </si>
  <si>
    <t>540190</t>
  </si>
  <si>
    <t>540198</t>
  </si>
  <si>
    <t>540199</t>
  </si>
  <si>
    <t>540200</t>
  </si>
  <si>
    <t>540202</t>
  </si>
  <si>
    <t>540221</t>
  </si>
  <si>
    <t>540231</t>
  </si>
  <si>
    <t>540232</t>
  </si>
  <si>
    <t>540203</t>
  </si>
  <si>
    <t>540204</t>
  </si>
  <si>
    <t>540205</t>
  </si>
  <si>
    <t>540206</t>
  </si>
  <si>
    <t>540207</t>
  </si>
  <si>
    <t>540196</t>
  </si>
  <si>
    <t>540208</t>
  </si>
  <si>
    <t>540210</t>
  </si>
  <si>
    <t>540256</t>
  </si>
  <si>
    <t>540258</t>
  </si>
  <si>
    <t>540211</t>
  </si>
  <si>
    <t>540212</t>
  </si>
  <si>
    <t>540213</t>
  </si>
  <si>
    <t>540042</t>
  </si>
  <si>
    <t>540214</t>
  </si>
  <si>
    <t>540215</t>
  </si>
  <si>
    <t>540216</t>
  </si>
  <si>
    <t>540224</t>
  </si>
  <si>
    <t>540132</t>
  </si>
  <si>
    <t>540179</t>
  </si>
  <si>
    <t>540180</t>
  </si>
  <si>
    <t>540182</t>
  </si>
  <si>
    <t>540262</t>
  </si>
  <si>
    <t>540263</t>
  </si>
  <si>
    <t>540225</t>
  </si>
  <si>
    <t>540156</t>
  </si>
  <si>
    <t>540253</t>
  </si>
  <si>
    <t>540226</t>
  </si>
  <si>
    <t>540046</t>
  </si>
  <si>
    <t>540276</t>
  </si>
  <si>
    <t>540277</t>
  </si>
  <si>
    <t>540195</t>
  </si>
  <si>
    <t>540197</t>
  </si>
  <si>
    <t>540259</t>
  </si>
  <si>
    <t>540278</t>
  </si>
  <si>
    <t>540143</t>
  </si>
  <si>
    <t>540290</t>
  </si>
  <si>
    <t>540282</t>
  </si>
  <si>
    <t>540006</t>
  </si>
  <si>
    <t>545550</t>
  </si>
  <si>
    <t>540283</t>
  </si>
  <si>
    <t>540158</t>
  </si>
  <si>
    <t>540159</t>
  </si>
  <si>
    <t>540288</t>
  </si>
  <si>
    <t>545536</t>
  </si>
  <si>
    <t>540092</t>
  </si>
  <si>
    <t>540095</t>
  </si>
  <si>
    <t>545535</t>
  </si>
  <si>
    <t>545537</t>
  </si>
  <si>
    <t>545539</t>
  </si>
  <si>
    <t>540191</t>
  </si>
  <si>
    <t>540193</t>
  </si>
  <si>
    <t>540192</t>
  </si>
  <si>
    <t>540194</t>
  </si>
  <si>
    <t>540261</t>
  </si>
  <si>
    <t>540260</t>
  </si>
  <si>
    <t>540027</t>
  </si>
  <si>
    <t>540028</t>
  </si>
  <si>
    <t>540031</t>
  </si>
  <si>
    <t>540032</t>
  </si>
  <si>
    <t>540050</t>
  </si>
  <si>
    <t>540293</t>
  </si>
  <si>
    <t>540294</t>
  </si>
  <si>
    <t>540280</t>
  </si>
  <si>
    <t>540026</t>
  </si>
  <si>
    <t>540176</t>
  </si>
  <si>
    <t>540178</t>
  </si>
  <si>
    <t>540264</t>
  </si>
  <si>
    <t>540265</t>
  </si>
  <si>
    <t>540266</t>
  </si>
  <si>
    <t>540267</t>
  </si>
  <si>
    <t>540177</t>
  </si>
  <si>
    <t>540175</t>
  </si>
  <si>
    <t>540219</t>
  </si>
  <si>
    <t>540220</t>
  </si>
  <si>
    <t>540218</t>
  </si>
  <si>
    <t>540217</t>
  </si>
  <si>
    <t>Statewide Site Address Points &amp; Statewide Site Address Points</t>
  </si>
  <si>
    <t>County BI &amp; County BI</t>
  </si>
  <si>
    <t>Statewide Site Address Points &amp; County BI</t>
  </si>
  <si>
    <t>bRL</t>
  </si>
  <si>
    <t>bCF</t>
  </si>
  <si>
    <t>c520-1</t>
  </si>
  <si>
    <t>c520-2.1</t>
  </si>
  <si>
    <t>c520-2.2</t>
  </si>
  <si>
    <t>c520-2</t>
  </si>
  <si>
    <t>\\gistc-filesrv2\HazardData\Working\aSFHA_bSF\Data\script_outputs\Community_Reports\CRS_520_20200501.xlsx</t>
  </si>
  <si>
    <t>CRS_520_20200501.xlsx</t>
  </si>
  <si>
    <t>aWetlands</t>
  </si>
  <si>
    <t>aRiparian</t>
  </si>
  <si>
    <t>nSpecies</t>
  </si>
  <si>
    <t>Natural_Floodplain_Function_20200527.xlsx</t>
  </si>
  <si>
    <t>\\gistc-filesrv2\HazardData\Working\aSFHA_bSF\Data\script_outputs\Community_Reports\Natural_Floodplain_Function_20200527.xlsx</t>
  </si>
  <si>
    <t>2&amp;4</t>
  </si>
  <si>
    <t>2&amp;2</t>
  </si>
  <si>
    <t>5&amp;2</t>
  </si>
  <si>
    <t>5&amp;3</t>
  </si>
  <si>
    <t>4&amp;5</t>
  </si>
  <si>
    <t>5&amp;5</t>
  </si>
  <si>
    <t>3&amp;5</t>
  </si>
  <si>
    <t>4&amp;4</t>
  </si>
  <si>
    <t>POL_NAME1</t>
  </si>
  <si>
    <t>MinusRated Aggregat-Community</t>
  </si>
  <si>
    <t>TARGET_FID</t>
  </si>
  <si>
    <t>OBJECTID</t>
  </si>
  <si>
    <t>DFIRM_ID</t>
  </si>
  <si>
    <t>VERSION_ID</t>
  </si>
  <si>
    <t>POL_AR_ID</t>
  </si>
  <si>
    <t>POL_NAME2</t>
  </si>
  <si>
    <t>POL_NAME3</t>
  </si>
  <si>
    <t>CO_FIPS</t>
  </si>
  <si>
    <t>ST_FIPS</t>
  </si>
  <si>
    <t>54001C</t>
  </si>
  <si>
    <t>1.1.1.0</t>
  </si>
  <si>
    <t>54001C_1</t>
  </si>
  <si>
    <t xml:space="preserve"> </t>
  </si>
  <si>
    <t>TOWN OF BELINGTON</t>
  </si>
  <si>
    <t>54001C_3</t>
  </si>
  <si>
    <t>TOWN OF JUNIOR</t>
  </si>
  <si>
    <t>54001C_4</t>
  </si>
  <si>
    <t>CITY OF PHILIPPI</t>
  </si>
  <si>
    <t>54001C_2</t>
  </si>
  <si>
    <t>TOWN OF BATH</t>
  </si>
  <si>
    <t>54065C</t>
  </si>
  <si>
    <t>54065C_22</t>
  </si>
  <si>
    <t>TOWN OF BERKELEY SPRINGS</t>
  </si>
  <si>
    <t>CITY OF MARTINSBURG</t>
  </si>
  <si>
    <t>54003C</t>
  </si>
  <si>
    <t>54003C_78</t>
  </si>
  <si>
    <t>54005C</t>
  </si>
  <si>
    <t>54005C_12</t>
  </si>
  <si>
    <t>54005C_19</t>
  </si>
  <si>
    <t>54007C</t>
  </si>
  <si>
    <t>54007C_69</t>
  </si>
  <si>
    <t>TOWN OF BURNSVILLE</t>
  </si>
  <si>
    <t>54007C_67</t>
  </si>
  <si>
    <t>54009C</t>
  </si>
  <si>
    <t>54009C_17</t>
  </si>
  <si>
    <t>TOWN OF BETHANY</t>
  </si>
  <si>
    <t>54009C_20</t>
  </si>
  <si>
    <t>CITY OF FOLLANSBEE</t>
  </si>
  <si>
    <t>54009C_16</t>
  </si>
  <si>
    <t>CITY OF WEIRTON</t>
  </si>
  <si>
    <t>54029C</t>
  </si>
  <si>
    <t>54029C_41</t>
  </si>
  <si>
    <t>54029C_44</t>
  </si>
  <si>
    <t>CITY OF WELLSBURG</t>
  </si>
  <si>
    <t>54009C_13</t>
  </si>
  <si>
    <t>54011C</t>
  </si>
  <si>
    <t>54011C_29</t>
  </si>
  <si>
    <t>(UNINCORPORATED AREAS)</t>
  </si>
  <si>
    <t>VILLAGE OF BARBOURSVILLE</t>
  </si>
  <si>
    <t>54011C_38</t>
  </si>
  <si>
    <t>CITY OF HUNTINGTON</t>
  </si>
  <si>
    <t>54011C_8</t>
  </si>
  <si>
    <t>54011C_44</t>
  </si>
  <si>
    <t>CITY OF MILTON</t>
  </si>
  <si>
    <t>54011C_22</t>
  </si>
  <si>
    <t>54013C</t>
  </si>
  <si>
    <t>54013C_66</t>
  </si>
  <si>
    <t>TOWN OF GRANTSVILLE</t>
  </si>
  <si>
    <t>54013C_65</t>
  </si>
  <si>
    <t>54015C</t>
  </si>
  <si>
    <t>54015C_1</t>
  </si>
  <si>
    <t>TOWN OF CLAY</t>
  </si>
  <si>
    <t>54015C_2</t>
  </si>
  <si>
    <t>54017C</t>
  </si>
  <si>
    <t>54017C_2</t>
  </si>
  <si>
    <t>TOWN OF WEST UNION</t>
  </si>
  <si>
    <t>54017C_1</t>
  </si>
  <si>
    <t>54019C</t>
  </si>
  <si>
    <t>54019C_55</t>
  </si>
  <si>
    <t>TOWN OF ANSTED</t>
  </si>
  <si>
    <t>54019C_56</t>
  </si>
  <si>
    <t>TOWN OF MEADOW BRIDGE</t>
  </si>
  <si>
    <t>54019C_47</t>
  </si>
  <si>
    <t>CITY OF MONTGOMERY</t>
  </si>
  <si>
    <t>54019C_50</t>
  </si>
  <si>
    <t>54039C</t>
  </si>
  <si>
    <t>54039C_54039C_1</t>
  </si>
  <si>
    <t>TOWN OF BOLIVER</t>
  </si>
  <si>
    <t>54037C</t>
  </si>
  <si>
    <t>54037C_54037C_31</t>
  </si>
  <si>
    <t>CITY OF OAK HILL</t>
  </si>
  <si>
    <t>54019C_61</t>
  </si>
  <si>
    <t>TOWN OF PAX</t>
  </si>
  <si>
    <t>54019C_63</t>
  </si>
  <si>
    <t>54039C_54039C_2</t>
  </si>
  <si>
    <t>54021C</t>
  </si>
  <si>
    <t>54021C_88</t>
  </si>
  <si>
    <t>54021C_89</t>
  </si>
  <si>
    <t>54021C_90</t>
  </si>
  <si>
    <t>54023C</t>
  </si>
  <si>
    <t>54023C_1</t>
  </si>
  <si>
    <t>CITY OF PETERSBURG</t>
  </si>
  <si>
    <t>54023C_4</t>
  </si>
  <si>
    <t>54025C</t>
  </si>
  <si>
    <t>54025C_190</t>
  </si>
  <si>
    <t>TOWN OF ALDERSON</t>
  </si>
  <si>
    <t>54063C</t>
  </si>
  <si>
    <t>54063C_1</t>
  </si>
  <si>
    <t>54063C_3</t>
  </si>
  <si>
    <t>TOWN OF NORTH HILLS</t>
  </si>
  <si>
    <t>54107C</t>
  </si>
  <si>
    <t>54107C_9</t>
  </si>
  <si>
    <t>CITY OF RONCEVERTE</t>
  </si>
  <si>
    <t>54025C_191</t>
  </si>
  <si>
    <t>TOWN OF RUPERT</t>
  </si>
  <si>
    <t>54025C_194</t>
  </si>
  <si>
    <t>CITY OF WHITE SULPHUR SPRINGS</t>
  </si>
  <si>
    <t>54025C_193</t>
  </si>
  <si>
    <t>TOWN OF CAPON BRIDGE</t>
  </si>
  <si>
    <t>54027C</t>
  </si>
  <si>
    <t>54027C_107</t>
  </si>
  <si>
    <t>54029C_39</t>
  </si>
  <si>
    <t>CITY OF CHESTER</t>
  </si>
  <si>
    <t>54029C_38</t>
  </si>
  <si>
    <t>CITY OF NEW CUMBERLAND</t>
  </si>
  <si>
    <t>54029C_40</t>
  </si>
  <si>
    <t>TOWN OF THURMOND</t>
  </si>
  <si>
    <t>54019C_60</t>
  </si>
  <si>
    <t>54031C</t>
  </si>
  <si>
    <t>54031C_1</t>
  </si>
  <si>
    <t>TOWN OF MOOREFIELD</t>
  </si>
  <si>
    <t>54031C_4</t>
  </si>
  <si>
    <t>Harrison County Unincorporated Areas</t>
  </si>
  <si>
    <t>54033C</t>
  </si>
  <si>
    <t>54033C_118</t>
  </si>
  <si>
    <t>54033C_87</t>
  </si>
  <si>
    <t>54033C_135</t>
  </si>
  <si>
    <t>54033C_90</t>
  </si>
  <si>
    <t>54033C_86</t>
  </si>
  <si>
    <t>54033C_83</t>
  </si>
  <si>
    <t>54033C_132</t>
  </si>
  <si>
    <t>54033C_82</t>
  </si>
  <si>
    <t>54033C_106</t>
  </si>
  <si>
    <t>54033C_85</t>
  </si>
  <si>
    <t>54035C</t>
  </si>
  <si>
    <t>54035C_5</t>
  </si>
  <si>
    <t>UNINCORPORATED AREAS</t>
  </si>
  <si>
    <t>CITY OF RIPLEY</t>
  </si>
  <si>
    <t>54035C_4</t>
  </si>
  <si>
    <t>54037C_54037C_60</t>
  </si>
  <si>
    <t>CITY OF CHARLES TOWN</t>
  </si>
  <si>
    <t>54037C_54037C_62</t>
  </si>
  <si>
    <t>TOWN OF HARPERS FERRY</t>
  </si>
  <si>
    <t>54037C_54037C_30</t>
  </si>
  <si>
    <t>CITY OF RANSON</t>
  </si>
  <si>
    <t>54037C_54037C_27</t>
  </si>
  <si>
    <t>TOWN OF SHEPHERDSTOWN</t>
  </si>
  <si>
    <t>54037C_54037C_26</t>
  </si>
  <si>
    <t>54039C_54039C_43</t>
  </si>
  <si>
    <t>54039C_54039C_9</t>
  </si>
  <si>
    <t>54039C_54039C_7</t>
  </si>
  <si>
    <t>54039C_54039C_54</t>
  </si>
  <si>
    <t>54039C_54039C_8</t>
  </si>
  <si>
    <t>54039C_54039C_19</t>
  </si>
  <si>
    <t>54039C_54039C_14</t>
  </si>
  <si>
    <t>54039C_54039C_6</t>
  </si>
  <si>
    <t>54039C_54039C_5</t>
  </si>
  <si>
    <t>54039C_54039C_10</t>
  </si>
  <si>
    <t>VILLAGE OF CLEARVIEW</t>
  </si>
  <si>
    <t>54069C</t>
  </si>
  <si>
    <t>54069C_7</t>
  </si>
  <si>
    <t>54039C_54039C_45</t>
  </si>
  <si>
    <t>54039C_54039C_23</t>
  </si>
  <si>
    <t>54039C_54039C_4</t>
  </si>
  <si>
    <t>54039C_54039C_16</t>
  </si>
  <si>
    <t>VILLAGE OF WINDSOR HEIGHTS</t>
  </si>
  <si>
    <t>54009C_19</t>
  </si>
  <si>
    <t>LEWIS COUNTY (UNINCORPORATED AREAS)</t>
  </si>
  <si>
    <t>54041C</t>
  </si>
  <si>
    <t>54041C_32</t>
  </si>
  <si>
    <t>54041C_33</t>
  </si>
  <si>
    <t>WESTON,  CITY OF</t>
  </si>
  <si>
    <t>54041C_34</t>
  </si>
  <si>
    <t>54043C</t>
  </si>
  <si>
    <t>54043C_3</t>
  </si>
  <si>
    <t>Unincorporated Areas</t>
  </si>
  <si>
    <t>54043C_2</t>
  </si>
  <si>
    <t>54043C_1</t>
  </si>
  <si>
    <t>54057C</t>
  </si>
  <si>
    <t>54057C_2</t>
  </si>
  <si>
    <t>TOWN OF CHAPMANVILLE</t>
  </si>
  <si>
    <t>54045C</t>
  </si>
  <si>
    <t>54045C_3</t>
  </si>
  <si>
    <t>VILLAGE OF BEECH BOTTOM</t>
  </si>
  <si>
    <t>54009C_14</t>
  </si>
  <si>
    <t>TOWN OF WEST LIBERTY</t>
  </si>
  <si>
    <t>54069C_9</t>
  </si>
  <si>
    <t>TOWN OF MITCHELL HEIGHTS</t>
  </si>
  <si>
    <t>54045C_5</t>
  </si>
  <si>
    <t>Marion County Unincorporated Areas</t>
  </si>
  <si>
    <t>54049C</t>
  </si>
  <si>
    <t>54049C_38171</t>
  </si>
  <si>
    <t>54049C_38172</t>
  </si>
  <si>
    <t>54049C_38180</t>
  </si>
  <si>
    <t>54049C_38170</t>
  </si>
  <si>
    <t>54049C_38174</t>
  </si>
  <si>
    <t>54049C_38175</t>
  </si>
  <si>
    <t>54049C_38179</t>
  </si>
  <si>
    <t>54049C_38176</t>
  </si>
  <si>
    <t>54049C_38177</t>
  </si>
  <si>
    <t>54049C_38173</t>
  </si>
  <si>
    <t>MARSHALL COUNTY UNINCORPORATED AREAS</t>
  </si>
  <si>
    <t>54051C</t>
  </si>
  <si>
    <t>54051C_24</t>
  </si>
  <si>
    <t>CITY OF BENWOOD</t>
  </si>
  <si>
    <t>54051C_30</t>
  </si>
  <si>
    <t>CITY OF GLEN DALE</t>
  </si>
  <si>
    <t>54051C_26</t>
  </si>
  <si>
    <t>CITY OF MCMECHEN</t>
  </si>
  <si>
    <t>54051C_25</t>
  </si>
  <si>
    <t>CITY OF MOUNDSVILLE</t>
  </si>
  <si>
    <t>54051C_27</t>
  </si>
  <si>
    <t>54053C</t>
  </si>
  <si>
    <t>54053C_51</t>
  </si>
  <si>
    <t>TOWN OF LEON</t>
  </si>
  <si>
    <t>54053C_44</t>
  </si>
  <si>
    <t>McDowell County</t>
  </si>
  <si>
    <t>54047C</t>
  </si>
  <si>
    <t>54047C_11</t>
  </si>
  <si>
    <t>54047C_2</t>
  </si>
  <si>
    <t>54047C_10</t>
  </si>
  <si>
    <t>54047C_4</t>
  </si>
  <si>
    <t>54047C_8</t>
  </si>
  <si>
    <t>54047C_5</t>
  </si>
  <si>
    <t>54047C_7</t>
  </si>
  <si>
    <t>54047C_6</t>
  </si>
  <si>
    <t>54047C_1</t>
  </si>
  <si>
    <t>54047C_9</t>
  </si>
  <si>
    <t>54055C</t>
  </si>
  <si>
    <t>54055C_4</t>
  </si>
  <si>
    <t>TOWN OF BRAMWELL</t>
  </si>
  <si>
    <t>54055C_13</t>
  </si>
  <si>
    <t>TOWN OF MATOAKA</t>
  </si>
  <si>
    <t>54055C_7</t>
  </si>
  <si>
    <t>TOWN OF OAKVALE</t>
  </si>
  <si>
    <t>54055C_12</t>
  </si>
  <si>
    <t>CITY OF PRINCETON</t>
  </si>
  <si>
    <t>54055C_17</t>
  </si>
  <si>
    <t>54057C_12</t>
  </si>
  <si>
    <t>54057C_6</t>
  </si>
  <si>
    <t>54057C_10</t>
  </si>
  <si>
    <t>TOWN OF HARRISVILLE</t>
  </si>
  <si>
    <t>54085C</t>
  </si>
  <si>
    <t>54085C_1</t>
  </si>
  <si>
    <t>Mingo County Unincorporated Areas</t>
  </si>
  <si>
    <t>54059C</t>
  </si>
  <si>
    <t>54059C_86</t>
  </si>
  <si>
    <t>54059C_84</t>
  </si>
  <si>
    <t>54059C_81</t>
  </si>
  <si>
    <t>54059C_85</t>
  </si>
  <si>
    <t>54077C</t>
  </si>
  <si>
    <t>54077C_89</t>
  </si>
  <si>
    <t>54059C_83</t>
  </si>
  <si>
    <t>54061C</t>
  </si>
  <si>
    <t>54061C_1</t>
  </si>
  <si>
    <t>54061C_2</t>
  </si>
  <si>
    <t>54061C_5</t>
  </si>
  <si>
    <t>TOWN OF PETERSTOWN</t>
  </si>
  <si>
    <t>54063C_5</t>
  </si>
  <si>
    <t>54065C_19</t>
  </si>
  <si>
    <t>54067C</t>
  </si>
  <si>
    <t>54067C_22</t>
  </si>
  <si>
    <t>CITY OF RICHWOOD</t>
  </si>
  <si>
    <t>54067C_20</t>
  </si>
  <si>
    <t>CITY OF SUMMERSVILLE</t>
  </si>
  <si>
    <t>54067C_23</t>
  </si>
  <si>
    <t>OHIO COUNTY UNINCORPORATED AREAS</t>
  </si>
  <si>
    <t>54069C_10</t>
  </si>
  <si>
    <t>TOWN OF TRIADELPHIA</t>
  </si>
  <si>
    <t>54069C_5</t>
  </si>
  <si>
    <t>TOWN OF VALLEY GROVE</t>
  </si>
  <si>
    <t>54069C_6</t>
  </si>
  <si>
    <t>CITY OF WHEELING</t>
  </si>
  <si>
    <t>54069C_1</t>
  </si>
  <si>
    <t>54071C</t>
  </si>
  <si>
    <t>54071C_7</t>
  </si>
  <si>
    <t>TOWN OF FRANKLIN</t>
  </si>
  <si>
    <t>54071C_4</t>
  </si>
  <si>
    <t>54057C_13</t>
  </si>
  <si>
    <t>City of St. Mary's</t>
  </si>
  <si>
    <t>54073C</t>
  </si>
  <si>
    <t>54073C_2</t>
  </si>
  <si>
    <t>54075C</t>
  </si>
  <si>
    <t>54075C_21</t>
  </si>
  <si>
    <t>54075C_20</t>
  </si>
  <si>
    <t>54077C_81</t>
  </si>
  <si>
    <t>54077C_88</t>
  </si>
  <si>
    <t>54077C_91</t>
  </si>
  <si>
    <t>54077C_83</t>
  </si>
  <si>
    <t>54039C_54039C_20</t>
  </si>
  <si>
    <t>54079C</t>
  </si>
  <si>
    <t>54079C_11</t>
  </si>
  <si>
    <t>54079C_17</t>
  </si>
  <si>
    <t>54079C_9</t>
  </si>
  <si>
    <t>54079C_10</t>
  </si>
  <si>
    <t>54081C</t>
  </si>
  <si>
    <t>54081C_10</t>
  </si>
  <si>
    <t>CITY OF BECKLEY</t>
  </si>
  <si>
    <t>54081C_5</t>
  </si>
  <si>
    <t>TOWN OF LESTER</t>
  </si>
  <si>
    <t>54081C_18</t>
  </si>
  <si>
    <t>TOWN OF ATHENS</t>
  </si>
  <si>
    <t>54055C_10</t>
  </si>
  <si>
    <t>TOWN OF RHODELL</t>
  </si>
  <si>
    <t>54081C_21</t>
  </si>
  <si>
    <t>TOWN OF SOPHIA</t>
  </si>
  <si>
    <t>54081C_19</t>
  </si>
  <si>
    <t>54083C</t>
  </si>
  <si>
    <t>54083C_17</t>
  </si>
  <si>
    <t>54083C_18</t>
  </si>
  <si>
    <t>Town of Womelsdorf</t>
  </si>
  <si>
    <t>54083C_15</t>
  </si>
  <si>
    <t>54083C_16</t>
  </si>
  <si>
    <t>TOWN OF CAIRO</t>
  </si>
  <si>
    <t>54085C_7</t>
  </si>
  <si>
    <t>TOWN OF ELLENBORO</t>
  </si>
  <si>
    <t>54085C_4</t>
  </si>
  <si>
    <t>CITY OF PENNSBORO</t>
  </si>
  <si>
    <t>54085C_3</t>
  </si>
  <si>
    <t>54087C</t>
  </si>
  <si>
    <t>54087C_3</t>
  </si>
  <si>
    <t>TOWN OF REEDY</t>
  </si>
  <si>
    <t>54087C_2</t>
  </si>
  <si>
    <t>CITY OF SPENCER</t>
  </si>
  <si>
    <t>54087C_1</t>
  </si>
  <si>
    <t>54089C</t>
  </si>
  <si>
    <t>54089C_0</t>
  </si>
  <si>
    <t>54089C_3</t>
  </si>
  <si>
    <t>Taylor County Unincorporated Areas</t>
  </si>
  <si>
    <t>54091C</t>
  </si>
  <si>
    <t>54091C_81</t>
  </si>
  <si>
    <t>54091C_90</t>
  </si>
  <si>
    <t>54091C_84</t>
  </si>
  <si>
    <t>54093C</t>
  </si>
  <si>
    <t>54093C_21</t>
  </si>
  <si>
    <t>TOWN OF HAMBLETON</t>
  </si>
  <si>
    <t>54093C_20</t>
  </si>
  <si>
    <t>TOWN OF HENDRICKS</t>
  </si>
  <si>
    <t>54093C_22</t>
  </si>
  <si>
    <t>CITY OF PARSONS</t>
  </si>
  <si>
    <t>54093C_19</t>
  </si>
  <si>
    <t>TOWN OF MIDDLEBOURNE</t>
  </si>
  <si>
    <t>54095C</t>
  </si>
  <si>
    <t>54095C_17</t>
  </si>
  <si>
    <t>CITY OF PADEN CITY</t>
  </si>
  <si>
    <t>54103C</t>
  </si>
  <si>
    <t>54103C_252</t>
  </si>
  <si>
    <t>54103C_258</t>
  </si>
  <si>
    <t>CITY OF SISTERVILLE</t>
  </si>
  <si>
    <t>54095C_15</t>
  </si>
  <si>
    <t>54097C</t>
  </si>
  <si>
    <t>54097C_23</t>
  </si>
  <si>
    <t>CITY OF BUCKHANNON</t>
  </si>
  <si>
    <t>54097C_25</t>
  </si>
  <si>
    <t>Wayne County Unincorporated Areas</t>
  </si>
  <si>
    <t>54099C</t>
  </si>
  <si>
    <t>54099C_83</t>
  </si>
  <si>
    <t>BEECH FORK STATE PARK</t>
  </si>
  <si>
    <t>54099C_81</t>
  </si>
  <si>
    <t>54101C</t>
  </si>
  <si>
    <t>54101C_20</t>
  </si>
  <si>
    <t>TOWN OF WEBSTER SPRINGS (ADDISON)</t>
  </si>
  <si>
    <t>54101C_17</t>
  </si>
  <si>
    <t>TOWN OF CAMDEN-ON-GAULEY</t>
  </si>
  <si>
    <t>54101C_19</t>
  </si>
  <si>
    <t>TOWN OF COWEN</t>
  </si>
  <si>
    <t>54101C_18</t>
  </si>
  <si>
    <t>54103C_256</t>
  </si>
  <si>
    <t>CITY OF NEW MARTINSVILLE</t>
  </si>
  <si>
    <t>54103C_254</t>
  </si>
  <si>
    <t>TOWN OF PINE GROVE</t>
  </si>
  <si>
    <t>54103C_255</t>
  </si>
  <si>
    <t>54105C</t>
  </si>
  <si>
    <t>54105C_8</t>
  </si>
  <si>
    <t>TOWN OF ELIZABETH</t>
  </si>
  <si>
    <t>54105C_7</t>
  </si>
  <si>
    <t>54107C_16</t>
  </si>
  <si>
    <t>CITY OF PARKERSBURG</t>
  </si>
  <si>
    <t>54107C_7</t>
  </si>
  <si>
    <t>CITY OF VIENNA</t>
  </si>
  <si>
    <t>54107C_12</t>
  </si>
  <si>
    <t>CITY OF WILLIAMSTOWN</t>
  </si>
  <si>
    <t>54107C_17</t>
  </si>
  <si>
    <t>Wyoming County Unincorporated Areas</t>
  </si>
  <si>
    <t>54109C</t>
  </si>
  <si>
    <t>54109C_84</t>
  </si>
  <si>
    <t>54109C_83</t>
  </si>
  <si>
    <t>54109C_81</t>
  </si>
  <si>
    <t>54109C_82</t>
  </si>
  <si>
    <t>54099C_88</t>
  </si>
  <si>
    <t>54079C_15</t>
  </si>
  <si>
    <t>54039C_54039C_37</t>
  </si>
  <si>
    <t>54085C_5</t>
  </si>
  <si>
    <t>54073C_3</t>
  </si>
  <si>
    <t>54027C_105</t>
  </si>
  <si>
    <t>TOWN OF RAINELLE</t>
  </si>
  <si>
    <t>54025C_195</t>
  </si>
  <si>
    <t>54005C_17</t>
  </si>
  <si>
    <t>54005C_20</t>
  </si>
  <si>
    <t>54099C_82</t>
  </si>
  <si>
    <t>54099C_87</t>
  </si>
  <si>
    <t>TOWN OF FLATWOODS</t>
  </si>
  <si>
    <t>54007C_68</t>
  </si>
  <si>
    <t>TOWN OF SUTTON</t>
  </si>
  <si>
    <t>54007C_71</t>
  </si>
  <si>
    <t>TOWN OF GASSAWAY</t>
  </si>
  <si>
    <t>54007C_70</t>
  </si>
  <si>
    <t>54005C_18</t>
  </si>
  <si>
    <t>TOWN OF BAYARD</t>
  </si>
  <si>
    <t>54023C_2</t>
  </si>
  <si>
    <t>CITY OF RAVENSWOOD</t>
  </si>
  <si>
    <t>54035C_3</t>
  </si>
  <si>
    <t>54033C_84</t>
  </si>
  <si>
    <t>CORPORATION OF FALLING SPRINGS</t>
  </si>
  <si>
    <t>54025C_196</t>
  </si>
  <si>
    <t>TOWN OF RENICK</t>
  </si>
  <si>
    <t>TOWN OF QUINWOOD</t>
  </si>
  <si>
    <t>54025C_197</t>
  </si>
  <si>
    <t>TOWN OF WARDENSVILLE</t>
  </si>
  <si>
    <t>54031C_3</t>
  </si>
  <si>
    <t>TOWN OF HARTFORD</t>
  </si>
  <si>
    <t>54053C_49</t>
  </si>
  <si>
    <t>TOWN OF MASON</t>
  </si>
  <si>
    <t>54053C_50</t>
  </si>
  <si>
    <t>TOWN OF NEW HAVEN</t>
  </si>
  <si>
    <t>54053C_48</t>
  </si>
  <si>
    <t>CITY OF POINT PLEASANT</t>
  </si>
  <si>
    <t>54053C_46</t>
  </si>
  <si>
    <t>TOWN OF HENDERSON</t>
  </si>
  <si>
    <t>54053C_45</t>
  </si>
  <si>
    <t>TOWN OF PAW PAW</t>
  </si>
  <si>
    <t>54065C_20</t>
  </si>
  <si>
    <t>54073C_1</t>
  </si>
  <si>
    <t>54077C_84</t>
  </si>
  <si>
    <t>TOWN OF HUNDRED</t>
  </si>
  <si>
    <t>54103C_253</t>
  </si>
  <si>
    <t>54077C_87</t>
  </si>
  <si>
    <t>TOWN OF SMITHFIELD</t>
  </si>
  <si>
    <t>54103C_257</t>
  </si>
  <si>
    <t>TOWN OF FRIENDLY</t>
  </si>
  <si>
    <t>54095C_13</t>
  </si>
  <si>
    <t>TOWN OF DAVIS</t>
  </si>
  <si>
    <t>54093C_17</t>
  </si>
  <si>
    <t>CITY OF THOMAS</t>
  </si>
  <si>
    <t>54093C_16</t>
  </si>
  <si>
    <t>TOWN OF AUBURN</t>
  </si>
  <si>
    <t>54085C_6</t>
  </si>
  <si>
    <t>TOWN OF PULLMAN</t>
  </si>
  <si>
    <t>54085C_2</t>
  </si>
  <si>
    <t>54083C_22</t>
  </si>
  <si>
    <t>54083C_14</t>
  </si>
  <si>
    <t>54083C_21</t>
  </si>
  <si>
    <t>54083C_20</t>
  </si>
  <si>
    <t>54077C_85</t>
  </si>
  <si>
    <t>54077C_82</t>
  </si>
  <si>
    <t>54077C_90</t>
  </si>
  <si>
    <t>54079C_12</t>
  </si>
  <si>
    <t>54061C_12</t>
  </si>
  <si>
    <t>54061C_8</t>
  </si>
  <si>
    <t>54061C_15</t>
  </si>
  <si>
    <t>VILLAGE OF BETHLEHEM</t>
  </si>
  <si>
    <t>54069C_4</t>
  </si>
  <si>
    <t>TOWN OF ROMNEY</t>
  </si>
  <si>
    <t>54027C_104</t>
  </si>
  <si>
    <t>54095C_16</t>
  </si>
  <si>
    <t>54063C_2</t>
  </si>
  <si>
    <t>54039C_54039C_3</t>
  </si>
  <si>
    <t>CITY OF MOUNT HOPE</t>
  </si>
  <si>
    <t>54019C_52</t>
  </si>
  <si>
    <t>CITY OF LEWISBURG</t>
  </si>
  <si>
    <t>54025C_192</t>
  </si>
  <si>
    <t>54003C_73</t>
  </si>
  <si>
    <t>54075C_14</t>
  </si>
  <si>
    <t>54077C_86</t>
  </si>
  <si>
    <t>CITY OF BLUEFIELD</t>
  </si>
  <si>
    <t>54055C_19</t>
  </si>
  <si>
    <t>TOWN OF MABSCOTT</t>
  </si>
  <si>
    <t>54081C_15</t>
  </si>
  <si>
    <t>CITY OF CAMERON</t>
  </si>
  <si>
    <t>54051C_28</t>
  </si>
  <si>
    <t>54075C_13</t>
  </si>
  <si>
    <t>TOWN OF UNION</t>
  </si>
  <si>
    <t>54063C_4</t>
  </si>
  <si>
    <t>54047C_3</t>
  </si>
  <si>
    <t>54049C_38181</t>
  </si>
  <si>
    <t>TOWN OF FAYETTEVILLE</t>
  </si>
  <si>
    <t>54019C_48</t>
  </si>
  <si>
    <t>TOWN OF GAULEY BRIDGE</t>
  </si>
  <si>
    <t>54019C_64</t>
  </si>
  <si>
    <t>CITY OF LOGAN</t>
  </si>
  <si>
    <t>54045C_1</t>
  </si>
  <si>
    <t>54045C_6</t>
  </si>
  <si>
    <t>TOWN OF MAN</t>
  </si>
  <si>
    <t>54045C_4</t>
  </si>
  <si>
    <t>54059C_82</t>
  </si>
  <si>
    <t>TOWN OF WEST LOGAN</t>
  </si>
  <si>
    <t>54045C_2</t>
  </si>
  <si>
    <t>TOWN OF HEDGESVILLE</t>
  </si>
  <si>
    <t>54003C_75</t>
  </si>
  <si>
    <t>54057C_14</t>
  </si>
  <si>
    <t>54049C_38182</t>
  </si>
  <si>
    <t>CommunitiesMinusRatedAgg.shp</t>
  </si>
  <si>
    <t>\\gistc-filesrv2\hazardData\Working\aSFHA_bSF\Documents\From-FEMA-Region III\CommunitiesMinusRatedAgg\CommunitiesMinusRatedAgg.shp</t>
  </si>
  <si>
    <t>FRB</t>
  </si>
  <si>
    <t>aFRB</t>
  </si>
  <si>
    <t>rFRB</t>
  </si>
  <si>
    <t>cFRB</t>
  </si>
  <si>
    <t>2.0 &amp; 2.0</t>
  </si>
  <si>
    <t>\\gistc-filesrv2\HazardData\Working\aSFHA_bSF\Data\script_outputs\Community_Reports\CRS_432_b_20200605_final.csv</t>
  </si>
  <si>
    <t>CRS_432_b_20200605_final.csv</t>
  </si>
  <si>
    <t>Residential-H Risk value</t>
  </si>
  <si>
    <t>Residential-M count</t>
  </si>
  <si>
    <t>Residential-L count</t>
  </si>
  <si>
    <t>Commercial-M count</t>
  </si>
  <si>
    <t>Commercial-L count</t>
  </si>
  <si>
    <t>Apartment-H count</t>
  </si>
  <si>
    <t>Apartment-M count</t>
  </si>
  <si>
    <t>Apartment-L count</t>
  </si>
  <si>
    <t>Industrial-H count</t>
  </si>
  <si>
    <t>Industrial-M count</t>
  </si>
  <si>
    <t>Industrial-L count</t>
  </si>
  <si>
    <t>Farm-H count</t>
  </si>
  <si>
    <t>Farm-M count</t>
  </si>
  <si>
    <t>Farm-L count</t>
  </si>
  <si>
    <t>Utility-H count</t>
  </si>
  <si>
    <t>Utility-M count</t>
  </si>
  <si>
    <t>Utility-L count</t>
  </si>
  <si>
    <t>Exempt-H count</t>
  </si>
  <si>
    <t>Exempt-M count</t>
  </si>
  <si>
    <t>Exempt-L count</t>
  </si>
  <si>
    <t>High Risk Count-In Floodplain</t>
  </si>
  <si>
    <t>High Risk Replacemet Cost-In Floodplain</t>
  </si>
  <si>
    <t>High Risk Count-Outside Floodplain</t>
  </si>
  <si>
    <t>High Risk Replacemet Cost-Outside Floodplain</t>
  </si>
  <si>
    <t>Medium Risk Count-In Floodplain</t>
  </si>
  <si>
    <t>Medium Risk Replacemet Cost-In Floodplain</t>
  </si>
  <si>
    <t>Medium Risk Count-Outside Floodplain</t>
  </si>
  <si>
    <t>Medium Risk Replacemet Cost-Outside Floodplain</t>
  </si>
  <si>
    <t>Low Risk Count-In Floodplain</t>
  </si>
  <si>
    <t>Low Risk Replacemet Cost-In Floodplain</t>
  </si>
  <si>
    <t>Low Risk Count-Outside Floodplain</t>
  </si>
  <si>
    <t>Low Risk Replacemet Cost-Outside Floodplain</t>
  </si>
  <si>
    <t>9</t>
  </si>
  <si>
    <t>1</t>
  </si>
  <si>
    <t>3</t>
  </si>
  <si>
    <t>11</t>
  </si>
  <si>
    <t>7</t>
  </si>
  <si>
    <t>2</t>
  </si>
  <si>
    <t>4</t>
  </si>
  <si>
    <t>10</t>
  </si>
  <si>
    <t>5</t>
  </si>
  <si>
    <t>Bridges Total</t>
  </si>
  <si>
    <t>Bridges in flood plain</t>
  </si>
  <si>
    <t>Bridges flooded</t>
  </si>
  <si>
    <t>% flooded to count in flood plain</t>
  </si>
  <si>
    <t>% flooded to total county count</t>
  </si>
  <si>
    <t>Railroads Total</t>
  </si>
  <si>
    <t>Railroads in Floodplain</t>
  </si>
  <si>
    <t>Railroads Flooded</t>
  </si>
  <si>
    <t>% Miles flooded to miles in flood plain</t>
  </si>
  <si>
    <t>% Miles flooded to total county mileage</t>
  </si>
  <si>
    <t>Railroads Below 1ft</t>
  </si>
  <si>
    <t>Railroads Below 1ft (Ratio)</t>
  </si>
  <si>
    <t>Railroads 1 to 3ft</t>
  </si>
  <si>
    <t>Railroads 1 to 3ft (Ratio)</t>
  </si>
  <si>
    <t>Railroads Above 3ft</t>
  </si>
  <si>
    <t>Railroads Above 3ft (Ratio)</t>
  </si>
  <si>
    <t>6</t>
  </si>
  <si>
    <t>8</t>
  </si>
  <si>
    <t>Roads Total</t>
  </si>
  <si>
    <t>Roads in Flood Plain</t>
  </si>
  <si>
    <t>Interstate Roads</t>
  </si>
  <si>
    <t>Interstate Roads (Ratio)</t>
  </si>
  <si>
    <t>US Roads</t>
  </si>
  <si>
    <t>US Roads (Ratio)</t>
  </si>
  <si>
    <t>State Roads</t>
  </si>
  <si>
    <t>State Roads (Ratio)</t>
  </si>
  <si>
    <t>Other Roads</t>
  </si>
  <si>
    <t>Other Roads (Ratio)</t>
  </si>
  <si>
    <t>Roads Flooded</t>
  </si>
  <si>
    <t>Roads Below 1ft</t>
  </si>
  <si>
    <t>Roads Below 1ft (Ratio)</t>
  </si>
  <si>
    <t>Roads 1 to 3ft</t>
  </si>
  <si>
    <t>Roads 1 to 3ft (Ratio)</t>
  </si>
  <si>
    <t>Roads Above 3ft</t>
  </si>
  <si>
    <t>Roads Above 3ft (Ratio)</t>
  </si>
  <si>
    <t>Area - All Zones</t>
  </si>
  <si>
    <t>Area - Detailed Zones</t>
  </si>
  <si>
    <t>Area - Advisory Zones</t>
  </si>
  <si>
    <t>Area - Depth Grid</t>
  </si>
  <si>
    <t>Area - WSEL BFE in Detailed</t>
  </si>
  <si>
    <t>Area - WSEL AFH in Advisory</t>
  </si>
  <si>
    <t>% - Depth Grid</t>
  </si>
  <si>
    <t>% - WSEL BFE in Detailed</t>
  </si>
  <si>
    <t>% - WSEL AFH in Advisory</t>
  </si>
  <si>
    <t>13000.0</t>
  </si>
  <si>
    <t>35.0</t>
  </si>
  <si>
    <t>6355.0</t>
  </si>
  <si>
    <t>6329.0</t>
  </si>
  <si>
    <t>0.0</t>
  </si>
  <si>
    <t>6334.0</t>
  </si>
  <si>
    <t>0.0%</t>
  </si>
  <si>
    <t>DepthGrid_WSEL_20200715.xlsx</t>
  </si>
  <si>
    <t>199.0</t>
  </si>
  <si>
    <t>92.0</t>
  </si>
  <si>
    <t>48.0</t>
  </si>
  <si>
    <t>333.0</t>
  </si>
  <si>
    <t>230.0</t>
  </si>
  <si>
    <t>66.0</t>
  </si>
  <si>
    <t>13624.0</t>
  </si>
  <si>
    <t>464.0</t>
  </si>
  <si>
    <t>6469.0</t>
  </si>
  <si>
    <t>6443.0</t>
  </si>
  <si>
    <t>6448.0</t>
  </si>
  <si>
    <t>10760.0</t>
  </si>
  <si>
    <t>4693.0</t>
  </si>
  <si>
    <t>3195.0</t>
  </si>
  <si>
    <t>3149.0</t>
  </si>
  <si>
    <t>3169.0</t>
  </si>
  <si>
    <t>272.0</t>
  </si>
  <si>
    <t>75.0</t>
  </si>
  <si>
    <t>73.0</t>
  </si>
  <si>
    <t>3.0</t>
  </si>
  <si>
    <t>154.0</t>
  </si>
  <si>
    <t>116.0</t>
  </si>
  <si>
    <t>25.0</t>
  </si>
  <si>
    <t>34.0</t>
  </si>
  <si>
    <t>11295.0</t>
  </si>
  <si>
    <t>5188.0</t>
  </si>
  <si>
    <t>3223.0</t>
  </si>
  <si>
    <t>3177.0</t>
  </si>
  <si>
    <t>3197.0</t>
  </si>
  <si>
    <t>12002.0</t>
  </si>
  <si>
    <t>1028.0</t>
  </si>
  <si>
    <t>106.0</t>
  </si>
  <si>
    <t>94.0</t>
  </si>
  <si>
    <t>110.0</t>
  </si>
  <si>
    <t>108.0</t>
  </si>
  <si>
    <t>12312.0</t>
  </si>
  <si>
    <t>1336.0</t>
  </si>
  <si>
    <t>3667.0</t>
  </si>
  <si>
    <t>1395.0</t>
  </si>
  <si>
    <t>1261.0</t>
  </si>
  <si>
    <t>1251.0</t>
  </si>
  <si>
    <t>1256.0</t>
  </si>
  <si>
    <t>132.0</t>
  </si>
  <si>
    <t>68.0</t>
  </si>
  <si>
    <t>67.0</t>
  </si>
  <si>
    <t>192.0</t>
  </si>
  <si>
    <t>191.0</t>
  </si>
  <si>
    <t>2.0</t>
  </si>
  <si>
    <t>390.0</t>
  </si>
  <si>
    <t>344.0</t>
  </si>
  <si>
    <t>47.0</t>
  </si>
  <si>
    <t>46.0</t>
  </si>
  <si>
    <t>495.0</t>
  </si>
  <si>
    <t>637.0</t>
  </si>
  <si>
    <t>5513.0</t>
  </si>
  <si>
    <t>3062.0</t>
  </si>
  <si>
    <t>1378.0</t>
  </si>
  <si>
    <t>1366.0</t>
  </si>
  <si>
    <t>1372.0</t>
  </si>
  <si>
    <t>14431.0</t>
  </si>
  <si>
    <t>9530.0</t>
  </si>
  <si>
    <t>1807.0</t>
  </si>
  <si>
    <t>1797.0</t>
  </si>
  <si>
    <t>1800.0</t>
  </si>
  <si>
    <t>325.0</t>
  </si>
  <si>
    <t>318.0</t>
  </si>
  <si>
    <t>1.0</t>
  </si>
  <si>
    <t>1938.0</t>
  </si>
  <si>
    <t>1895.0</t>
  </si>
  <si>
    <t>7.0</t>
  </si>
  <si>
    <t>377.0</t>
  </si>
  <si>
    <t>17071.0</t>
  </si>
  <si>
    <t>12120.0</t>
  </si>
  <si>
    <t>1815.0</t>
  </si>
  <si>
    <t>1805.0</t>
  </si>
  <si>
    <t>1808.0</t>
  </si>
  <si>
    <t>6415.0</t>
  </si>
  <si>
    <t>1149.0</t>
  </si>
  <si>
    <t>19.0</t>
  </si>
  <si>
    <t>20.0</t>
  </si>
  <si>
    <t>18.0</t>
  </si>
  <si>
    <t>88.0</t>
  </si>
  <si>
    <t>6503.0</t>
  </si>
  <si>
    <t>1237.0</t>
  </si>
  <si>
    <t>5703.0</t>
  </si>
  <si>
    <t>2601.0</t>
  </si>
  <si>
    <t>114.0</t>
  </si>
  <si>
    <t>5817.0</t>
  </si>
  <si>
    <t>2715.0</t>
  </si>
  <si>
    <t>7780.0</t>
  </si>
  <si>
    <t>1787.0</t>
  </si>
  <si>
    <t>2130.0</t>
  </si>
  <si>
    <t>2121.0</t>
  </si>
  <si>
    <t>2119.0</t>
  </si>
  <si>
    <t>29.0</t>
  </si>
  <si>
    <t>7809.0</t>
  </si>
  <si>
    <t>1816.0</t>
  </si>
  <si>
    <t>6893.0</t>
  </si>
  <si>
    <t>2666.0</t>
  </si>
  <si>
    <t>165.0</t>
  </si>
  <si>
    <t>70.0</t>
  </si>
  <si>
    <t>7128.0</t>
  </si>
  <si>
    <t>2901.0</t>
  </si>
  <si>
    <t>7703.0</t>
  </si>
  <si>
    <t>1255.0</t>
  </si>
  <si>
    <t>6.0</t>
  </si>
  <si>
    <t>190.0</t>
  </si>
  <si>
    <t>161.0</t>
  </si>
  <si>
    <t>24.0</t>
  </si>
  <si>
    <t>21.0</t>
  </si>
  <si>
    <t>7917.0</t>
  </si>
  <si>
    <t>1437.0</t>
  </si>
  <si>
    <t>49363.0</t>
  </si>
  <si>
    <t>2520.0</t>
  </si>
  <si>
    <t>23363.0</t>
  </si>
  <si>
    <t>22469.0</t>
  </si>
  <si>
    <t>1506.0</t>
  </si>
  <si>
    <t>17867.0</t>
  </si>
  <si>
    <t>59.7619047619%</t>
  </si>
  <si>
    <t>229.0</t>
  </si>
  <si>
    <t>90.0</t>
  </si>
  <si>
    <t>119.0</t>
  </si>
  <si>
    <t>284.0</t>
  </si>
  <si>
    <t>13.0</t>
  </si>
  <si>
    <t>136.0</t>
  </si>
  <si>
    <t>5.0</t>
  </si>
  <si>
    <t>1.51515151515%</t>
  </si>
  <si>
    <t>248.0</t>
  </si>
  <si>
    <t>113.0</t>
  </si>
  <si>
    <t>100.0%</t>
  </si>
  <si>
    <t>826.0</t>
  </si>
  <si>
    <t>292.0</t>
  </si>
  <si>
    <t>225.0</t>
  </si>
  <si>
    <t>80.0</t>
  </si>
  <si>
    <t>27.397260274%</t>
  </si>
  <si>
    <t>372.0</t>
  </si>
  <si>
    <t>16.0</t>
  </si>
  <si>
    <t>226.0</t>
  </si>
  <si>
    <t>71.0</t>
  </si>
  <si>
    <t>36.0</t>
  </si>
  <si>
    <t>51394.0</t>
  </si>
  <si>
    <t>3051.0</t>
  </si>
  <si>
    <t>23819.0</t>
  </si>
  <si>
    <t>23391.0</t>
  </si>
  <si>
    <t>1589.0</t>
  </si>
  <si>
    <t>18095.0</t>
  </si>
  <si>
    <t>52.0812848246%</t>
  </si>
  <si>
    <t>3600.0</t>
  </si>
  <si>
    <t>2996.0</t>
  </si>
  <si>
    <t>520.0</t>
  </si>
  <si>
    <t>512.0</t>
  </si>
  <si>
    <t>518.0</t>
  </si>
  <si>
    <t>946.0</t>
  </si>
  <si>
    <t>42.0</t>
  </si>
  <si>
    <t>588.0</t>
  </si>
  <si>
    <t>5176.0</t>
  </si>
  <si>
    <t>4572.0</t>
  </si>
  <si>
    <t>34241.0</t>
  </si>
  <si>
    <t>2634.0</t>
  </si>
  <si>
    <t>17184.0</t>
  </si>
  <si>
    <t>17106.0</t>
  </si>
  <si>
    <t>17117.0</t>
  </si>
  <si>
    <t>485.0</t>
  </si>
  <si>
    <t>470.0</t>
  </si>
  <si>
    <t>10.0</t>
  </si>
  <si>
    <t>23.0</t>
  </si>
  <si>
    <t>11.0</t>
  </si>
  <si>
    <t>34749.0</t>
  </si>
  <si>
    <t>3104.0</t>
  </si>
  <si>
    <t>17205.0</t>
  </si>
  <si>
    <t>17127.0</t>
  </si>
  <si>
    <t>17138.0</t>
  </si>
  <si>
    <t>13327.0</t>
  </si>
  <si>
    <t>4942.0</t>
  </si>
  <si>
    <t>5044.0</t>
  </si>
  <si>
    <t>4972.0</t>
  </si>
  <si>
    <t>4673.0</t>
  </si>
  <si>
    <t>4.0</t>
  </si>
  <si>
    <t>408.0</t>
  </si>
  <si>
    <t>267.0</t>
  </si>
  <si>
    <t>111.0</t>
  </si>
  <si>
    <t>100.0</t>
  </si>
  <si>
    <t>444.0</t>
  </si>
  <si>
    <t>12.0</t>
  </si>
  <si>
    <t>155.0</t>
  </si>
  <si>
    <t>41.0</t>
  </si>
  <si>
    <t>40.0</t>
  </si>
  <si>
    <t>15.0</t>
  </si>
  <si>
    <t>59.0</t>
  </si>
  <si>
    <t>54.0</t>
  </si>
  <si>
    <t>124.0</t>
  </si>
  <si>
    <t>9.0</t>
  </si>
  <si>
    <t>30.0</t>
  </si>
  <si>
    <t>133.0</t>
  </si>
  <si>
    <t>87.0</t>
  </si>
  <si>
    <t>14819.0</t>
  </si>
  <si>
    <t>6070.0</t>
  </si>
  <si>
    <t>5316.0</t>
  </si>
  <si>
    <t>5239.0</t>
  </si>
  <si>
    <t>4901.0</t>
  </si>
  <si>
    <t>19110.0</t>
  </si>
  <si>
    <t>8985.0</t>
  </si>
  <si>
    <t>212.0</t>
  </si>
  <si>
    <t>176.0</t>
  </si>
  <si>
    <t>270.0</t>
  </si>
  <si>
    <t>19592.0</t>
  </si>
  <si>
    <t>9431.0</t>
  </si>
  <si>
    <t>15227.0</t>
  </si>
  <si>
    <t>3280.0</t>
  </si>
  <si>
    <t>6484.0</t>
  </si>
  <si>
    <t>6435.0</t>
  </si>
  <si>
    <t>2964.0</t>
  </si>
  <si>
    <t>3256.0</t>
  </si>
  <si>
    <t>90.3658536585%</t>
  </si>
  <si>
    <t>28.0</t>
  </si>
  <si>
    <t>326.0</t>
  </si>
  <si>
    <t>128.0</t>
  </si>
  <si>
    <t>127.0</t>
  </si>
  <si>
    <t>55.0</t>
  </si>
  <si>
    <t>60.9090909091%</t>
  </si>
  <si>
    <t>306.0</t>
  </si>
  <si>
    <t>147.0</t>
  </si>
  <si>
    <t>148.0</t>
  </si>
  <si>
    <t>279.0</t>
  </si>
  <si>
    <t>83.0</t>
  </si>
  <si>
    <t>99.0</t>
  </si>
  <si>
    <t>56.0</t>
  </si>
  <si>
    <t>38.0</t>
  </si>
  <si>
    <t>67.4698795181%</t>
  </si>
  <si>
    <t>95.0%</t>
  </si>
  <si>
    <t>16206.0</t>
  </si>
  <si>
    <t>3493.0</t>
  </si>
  <si>
    <t>6897.0</t>
  </si>
  <si>
    <t>6847.0</t>
  </si>
  <si>
    <t>3106.0</t>
  </si>
  <si>
    <t>3515.0</t>
  </si>
  <si>
    <t>88.9206985399%</t>
  </si>
  <si>
    <t>29899.0</t>
  </si>
  <si>
    <t>13449.0</t>
  </si>
  <si>
    <t>5054.0</t>
  </si>
  <si>
    <t>6399.0</t>
  </si>
  <si>
    <t>5028.0</t>
  </si>
  <si>
    <t>0.00743549706298%</t>
  </si>
  <si>
    <t>22.0</t>
  </si>
  <si>
    <t>14.0</t>
  </si>
  <si>
    <t>77.0</t>
  </si>
  <si>
    <t>50.0</t>
  </si>
  <si>
    <t>1633.0</t>
  </si>
  <si>
    <t>1510.0</t>
  </si>
  <si>
    <t>162.0</t>
  </si>
  <si>
    <t>406.0</t>
  </si>
  <si>
    <t>217.0</t>
  </si>
  <si>
    <t>314.0</t>
  </si>
  <si>
    <t>286.0</t>
  </si>
  <si>
    <t>45.0</t>
  </si>
  <si>
    <t>31.0</t>
  </si>
  <si>
    <t>511.0</t>
  </si>
  <si>
    <t>471.0</t>
  </si>
  <si>
    <t>37.0</t>
  </si>
  <si>
    <t>194.0</t>
  </si>
  <si>
    <t>827.0</t>
  </si>
  <si>
    <t>741.0</t>
  </si>
  <si>
    <t>39.0</t>
  </si>
  <si>
    <t>52.0</t>
  </si>
  <si>
    <t>50.0%</t>
  </si>
  <si>
    <t>34445.0</t>
  </si>
  <si>
    <t>17467.0</t>
  </si>
  <si>
    <t>5123.0</t>
  </si>
  <si>
    <t>6655.0</t>
  </si>
  <si>
    <t>5092.0</t>
  </si>
  <si>
    <t>0.0114501631648%</t>
  </si>
  <si>
    <t>10031.0</t>
  </si>
  <si>
    <t>818.0</t>
  </si>
  <si>
    <t>182.0</t>
  </si>
  <si>
    <t>10310.0</t>
  </si>
  <si>
    <t>1000.0</t>
  </si>
  <si>
    <t>11399.0</t>
  </si>
  <si>
    <t>4601.0</t>
  </si>
  <si>
    <t>82.0</t>
  </si>
  <si>
    <t>79.0</t>
  </si>
  <si>
    <t>11565.0</t>
  </si>
  <si>
    <t>4729.0</t>
  </si>
  <si>
    <t>8822.0</t>
  </si>
  <si>
    <t>2060.0</t>
  </si>
  <si>
    <t>3717.0</t>
  </si>
  <si>
    <t>5198.0</t>
  </si>
  <si>
    <t>1441.0</t>
  </si>
  <si>
    <t>3561.0</t>
  </si>
  <si>
    <t>69.9514563107%</t>
  </si>
  <si>
    <t>418.0</t>
  </si>
  <si>
    <t>400.0</t>
  </si>
  <si>
    <t>298.0</t>
  </si>
  <si>
    <t>288.0</t>
  </si>
  <si>
    <t>72.0%</t>
  </si>
  <si>
    <t>17.0</t>
  </si>
  <si>
    <t>51.0</t>
  </si>
  <si>
    <t>60.0</t>
  </si>
  <si>
    <t>157.0</t>
  </si>
  <si>
    <t>146.0</t>
  </si>
  <si>
    <t>143.0</t>
  </si>
  <si>
    <t>97.9452054795%</t>
  </si>
  <si>
    <t>95.0</t>
  </si>
  <si>
    <t>84.0</t>
  </si>
  <si>
    <t>78.0</t>
  </si>
  <si>
    <t>76.0</t>
  </si>
  <si>
    <t>44.0</t>
  </si>
  <si>
    <t>258.0</t>
  </si>
  <si>
    <t>121.0</t>
  </si>
  <si>
    <t>42.0454545455%</t>
  </si>
  <si>
    <t>10106.0</t>
  </si>
  <si>
    <t>3069.0</t>
  </si>
  <si>
    <t>3874.0</t>
  </si>
  <si>
    <t>6049.0</t>
  </si>
  <si>
    <t>2149.0</t>
  </si>
  <si>
    <t>3695.0</t>
  </si>
  <si>
    <t>70.0228087325%</t>
  </si>
  <si>
    <t>7779.0</t>
  </si>
  <si>
    <t>4590.0</t>
  </si>
  <si>
    <t>523.0</t>
  </si>
  <si>
    <t>517.0</t>
  </si>
  <si>
    <t>362.0</t>
  </si>
  <si>
    <t>269.0</t>
  </si>
  <si>
    <t>822.0</t>
  </si>
  <si>
    <t>806.0</t>
  </si>
  <si>
    <t>43.0</t>
  </si>
  <si>
    <t>9816.0</t>
  </si>
  <si>
    <t>6594.0</t>
  </si>
  <si>
    <t>29703.0</t>
  </si>
  <si>
    <t>27141.0</t>
  </si>
  <si>
    <t>289.0</t>
  </si>
  <si>
    <t>101.0</t>
  </si>
  <si>
    <t>338.0</t>
  </si>
  <si>
    <t>1045.0</t>
  </si>
  <si>
    <t>31704.0</t>
  </si>
  <si>
    <t>29142.0</t>
  </si>
  <si>
    <t>8640.0</t>
  </si>
  <si>
    <t>2293.0</t>
  </si>
  <si>
    <t>5128.0</t>
  </si>
  <si>
    <t>4976.0</t>
  </si>
  <si>
    <t>2214.0</t>
  </si>
  <si>
    <t>2593.0</t>
  </si>
  <si>
    <t>96.5547317924%</t>
  </si>
  <si>
    <t>74.0</t>
  </si>
  <si>
    <t>94.4444444444%</t>
  </si>
  <si>
    <t>85.0</t>
  </si>
  <si>
    <t>96.2025316456%</t>
  </si>
  <si>
    <t>403.0</t>
  </si>
  <si>
    <t>164.0</t>
  </si>
  <si>
    <t>189.0</t>
  </si>
  <si>
    <t>156.0</t>
  </si>
  <si>
    <t>95.1219512195%</t>
  </si>
  <si>
    <t>98.0</t>
  </si>
  <si>
    <t>89.0</t>
  </si>
  <si>
    <t>49.0</t>
  </si>
  <si>
    <t>97.5%</t>
  </si>
  <si>
    <t>97.6744186047%</t>
  </si>
  <si>
    <t>69.0</t>
  </si>
  <si>
    <t>98.5714285714%</t>
  </si>
  <si>
    <t>433.0</t>
  </si>
  <si>
    <t>237.0</t>
  </si>
  <si>
    <t>233.0</t>
  </si>
  <si>
    <t>185.0</t>
  </si>
  <si>
    <t>95.3608247423%</t>
  </si>
  <si>
    <t>61.0</t>
  </si>
  <si>
    <t>97.4358974359%</t>
  </si>
  <si>
    <t>10498.0</t>
  </si>
  <si>
    <t>3084.0</t>
  </si>
  <si>
    <t>6129.0</t>
  </si>
  <si>
    <t>5956.0</t>
  </si>
  <si>
    <t>2979.0</t>
  </si>
  <si>
    <t>2690.0</t>
  </si>
  <si>
    <t>96.5953307393%</t>
  </si>
  <si>
    <t>10420.0</t>
  </si>
  <si>
    <t>2978.0</t>
  </si>
  <si>
    <t>3071.0</t>
  </si>
  <si>
    <t>5572.0</t>
  </si>
  <si>
    <t>2572.0</t>
  </si>
  <si>
    <t>2962.0</t>
  </si>
  <si>
    <t>86.3666890531%</t>
  </si>
  <si>
    <t>87.5%</t>
  </si>
  <si>
    <t>32.0</t>
  </si>
  <si>
    <t>91.4285714286%</t>
  </si>
  <si>
    <t>332.0</t>
  </si>
  <si>
    <t>323.0</t>
  </si>
  <si>
    <t>72.1362229102%</t>
  </si>
  <si>
    <t>10879.0</t>
  </si>
  <si>
    <t>3416.0</t>
  </si>
  <si>
    <t>3075.0</t>
  </si>
  <si>
    <t>5909.0</t>
  </si>
  <si>
    <t>2907.0</t>
  </si>
  <si>
    <t>85.0995316159%</t>
  </si>
  <si>
    <t>18674.0</t>
  </si>
  <si>
    <t>5019.0</t>
  </si>
  <si>
    <t>9295.0</t>
  </si>
  <si>
    <t>9181.0</t>
  </si>
  <si>
    <t>3912.0</t>
  </si>
  <si>
    <t>4345.0</t>
  </si>
  <si>
    <t>77.9438135087%</t>
  </si>
  <si>
    <t>480.0</t>
  </si>
  <si>
    <t>219.0</t>
  </si>
  <si>
    <t>238.0</t>
  </si>
  <si>
    <t>74.8858447489%</t>
  </si>
  <si>
    <t>26.6666666667%</t>
  </si>
  <si>
    <t>27.0</t>
  </si>
  <si>
    <t>63.3333333333%</t>
  </si>
  <si>
    <t>134.0</t>
  </si>
  <si>
    <t>81.0</t>
  </si>
  <si>
    <t>85.1851851852%</t>
  </si>
  <si>
    <t>19382.0</t>
  </si>
  <si>
    <t>5337.0</t>
  </si>
  <si>
    <t>9676.0</t>
  </si>
  <si>
    <t>9542.0</t>
  </si>
  <si>
    <t>4145.0</t>
  </si>
  <si>
    <t>4358.0</t>
  </si>
  <si>
    <t>77.6653550684%</t>
  </si>
  <si>
    <t>7634.0</t>
  </si>
  <si>
    <t>3927.0</t>
  </si>
  <si>
    <t>2004.0</t>
  </si>
  <si>
    <t>3668.0</t>
  </si>
  <si>
    <t>1949.0</t>
  </si>
  <si>
    <t>0.0254647313471%</t>
  </si>
  <si>
    <t>64.0</t>
  </si>
  <si>
    <t>63.0</t>
  </si>
  <si>
    <t>283.0</t>
  </si>
  <si>
    <t>256.0</t>
  </si>
  <si>
    <t>145.0</t>
  </si>
  <si>
    <t>130.0</t>
  </si>
  <si>
    <t>8293.0</t>
  </si>
  <si>
    <t>4583.0</t>
  </si>
  <si>
    <t>2009.0</t>
  </si>
  <si>
    <t>4121.0</t>
  </si>
  <si>
    <t>1953.0</t>
  </si>
  <si>
    <t>0.0218197687105%</t>
  </si>
  <si>
    <t>13177.0</t>
  </si>
  <si>
    <t>2416.0</t>
  </si>
  <si>
    <t>5715.0</t>
  </si>
  <si>
    <t>7961.0</t>
  </si>
  <si>
    <t>2377.0</t>
  </si>
  <si>
    <t>4955.0</t>
  </si>
  <si>
    <t>98.3857615894%</t>
  </si>
  <si>
    <t>590.0</t>
  </si>
  <si>
    <t>566.0</t>
  </si>
  <si>
    <t>510.0</t>
  </si>
  <si>
    <t>99.8043052838%</t>
  </si>
  <si>
    <t>13989.0</t>
  </si>
  <si>
    <t>3097.0</t>
  </si>
  <si>
    <t>5785.0</t>
  </si>
  <si>
    <t>8731.0</t>
  </si>
  <si>
    <t>3057.0</t>
  </si>
  <si>
    <t>5025.0</t>
  </si>
  <si>
    <t>98.7084275105%</t>
  </si>
  <si>
    <t>14079.0</t>
  </si>
  <si>
    <t>4479.0</t>
  </si>
  <si>
    <t>5741.0</t>
  </si>
  <si>
    <t>5708.0</t>
  </si>
  <si>
    <t>1518.0</t>
  </si>
  <si>
    <t>4129.0</t>
  </si>
  <si>
    <t>33.891493637%</t>
  </si>
  <si>
    <t>88.3720930233%</t>
  </si>
  <si>
    <t>103.0</t>
  </si>
  <si>
    <t>14287.0</t>
  </si>
  <si>
    <t>4625.0</t>
  </si>
  <si>
    <t>5787.0</t>
  </si>
  <si>
    <t>5754.0</t>
  </si>
  <si>
    <t>1556.0</t>
  </si>
  <si>
    <t>33.6432432432%</t>
  </si>
  <si>
    <t>14648.0</t>
  </si>
  <si>
    <t>788.0</t>
  </si>
  <si>
    <t>679.0</t>
  </si>
  <si>
    <t>562.0</t>
  </si>
  <si>
    <t>71.3197969543%</t>
  </si>
  <si>
    <t>508.0</t>
  </si>
  <si>
    <t>261.0</t>
  </si>
  <si>
    <t>246.0</t>
  </si>
  <si>
    <t>27.2030651341%</t>
  </si>
  <si>
    <t>15303.0</t>
  </si>
  <si>
    <t>1049.0</t>
  </si>
  <si>
    <t>925.0</t>
  </si>
  <si>
    <t>633.0</t>
  </si>
  <si>
    <t>60.3431839847%</t>
  </si>
  <si>
    <t>2262.0</t>
  </si>
  <si>
    <t>573.0</t>
  </si>
  <si>
    <t>626.0</t>
  </si>
  <si>
    <t>611.0</t>
  </si>
  <si>
    <t>616.0</t>
  </si>
  <si>
    <t>112.0</t>
  </si>
  <si>
    <t>2550.0</t>
  </si>
  <si>
    <t>2514.0</t>
  </si>
  <si>
    <t>5032.0</t>
  </si>
  <si>
    <t>3158.0</t>
  </si>
  <si>
    <t>688.0</t>
  </si>
  <si>
    <t>669.0</t>
  </si>
  <si>
    <t>676.0</t>
  </si>
  <si>
    <t>14467.0</t>
  </si>
  <si>
    <t>14496.0</t>
  </si>
  <si>
    <t>20643.0</t>
  </si>
  <si>
    <t>10608.0</t>
  </si>
  <si>
    <t>11699.0</t>
  </si>
  <si>
    <t>5263.0</t>
  </si>
  <si>
    <t>6296.0</t>
  </si>
  <si>
    <t>90.9452220494%</t>
  </si>
  <si>
    <t>135.0</t>
  </si>
  <si>
    <t>98.5294117647%</t>
  </si>
  <si>
    <t>542.0</t>
  </si>
  <si>
    <t>266.0</t>
  </si>
  <si>
    <t>96.6666666667%</t>
  </si>
  <si>
    <t>72.0</t>
  </si>
  <si>
    <t>21567.0</t>
  </si>
  <si>
    <t>6178.0</t>
  </si>
  <si>
    <t>11067.0</t>
  </si>
  <si>
    <t>12167.0</t>
  </si>
  <si>
    <t>5644.0</t>
  </si>
  <si>
    <t>6381.0</t>
  </si>
  <si>
    <t>91.3564260278%</t>
  </si>
  <si>
    <t>15270.0</t>
  </si>
  <si>
    <t>7842.0</t>
  </si>
  <si>
    <t>3317.0</t>
  </si>
  <si>
    <t>3295.0</t>
  </si>
  <si>
    <t>3307.0</t>
  </si>
  <si>
    <t>86.0</t>
  </si>
  <si>
    <t>33.0</t>
  </si>
  <si>
    <t>498.0</t>
  </si>
  <si>
    <t>107.0</t>
  </si>
  <si>
    <t>341.0</t>
  </si>
  <si>
    <t>16665.0</t>
  </si>
  <si>
    <t>9178.0</t>
  </si>
  <si>
    <t>3367.0</t>
  </si>
  <si>
    <t>3345.0</t>
  </si>
  <si>
    <t>3323.0</t>
  </si>
  <si>
    <t>18395.0</t>
  </si>
  <si>
    <t>3359.0</t>
  </si>
  <si>
    <t>7931.0</t>
  </si>
  <si>
    <t>7874.0</t>
  </si>
  <si>
    <t>995.0</t>
  </si>
  <si>
    <t>6862.0</t>
  </si>
  <si>
    <t>29.6219112831%</t>
  </si>
  <si>
    <t>129.0</t>
  </si>
  <si>
    <t>53.0</t>
  </si>
  <si>
    <t>23.7288135593%</t>
  </si>
  <si>
    <t>18755.0</t>
  </si>
  <si>
    <t>3473.0</t>
  </si>
  <si>
    <t>8052.0</t>
  </si>
  <si>
    <t>7994.0</t>
  </si>
  <si>
    <t>1012.0</t>
  </si>
  <si>
    <t>6964.0</t>
  </si>
  <si>
    <t>29.1390728477%</t>
  </si>
  <si>
    <t>13922.0</t>
  </si>
  <si>
    <t>7025.0</t>
  </si>
  <si>
    <t>6954.0</t>
  </si>
  <si>
    <t>6998.0</t>
  </si>
  <si>
    <t>139.0</t>
  </si>
  <si>
    <t>14121.0</t>
  </si>
  <si>
    <t>221.0</t>
  </si>
  <si>
    <t>7033.0</t>
  </si>
  <si>
    <t>6962.0</t>
  </si>
  <si>
    <t>7006.0</t>
  </si>
  <si>
    <t>9919.0</t>
  </si>
  <si>
    <t>3763.0</t>
  </si>
  <si>
    <t>5163.0</t>
  </si>
  <si>
    <t>5087.0</t>
  </si>
  <si>
    <t>3318.0</t>
  </si>
  <si>
    <t>1374.0</t>
  </si>
  <si>
    <t>88.1743289928%</t>
  </si>
  <si>
    <t>1386.0</t>
  </si>
  <si>
    <t>536.0</t>
  </si>
  <si>
    <t>353.0</t>
  </si>
  <si>
    <t>519.0</t>
  </si>
  <si>
    <t>327.0</t>
  </si>
  <si>
    <t>61.0074626866%</t>
  </si>
  <si>
    <t>11305.0</t>
  </si>
  <si>
    <t>4299.0</t>
  </si>
  <si>
    <t>5516.0</t>
  </si>
  <si>
    <t>5606.0</t>
  </si>
  <si>
    <t>3645.0</t>
  </si>
  <si>
    <t>1375.0</t>
  </si>
  <si>
    <t>84.7871598046%</t>
  </si>
  <si>
    <t>9531.0</t>
  </si>
  <si>
    <t>203.0</t>
  </si>
  <si>
    <t>4884.0</t>
  </si>
  <si>
    <t>4869.0</t>
  </si>
  <si>
    <t>4838.0</t>
  </si>
  <si>
    <t>26.0</t>
  </si>
  <si>
    <t>455.0</t>
  </si>
  <si>
    <t>232.0</t>
  </si>
  <si>
    <t>231.0</t>
  </si>
  <si>
    <t>10032.0</t>
  </si>
  <si>
    <t>5142.0</t>
  </si>
  <si>
    <t>5125.0</t>
  </si>
  <si>
    <t>5096.0</t>
  </si>
  <si>
    <t>6241.0</t>
  </si>
  <si>
    <t>206.0</t>
  </si>
  <si>
    <t>6857.0</t>
  </si>
  <si>
    <t>748.0</t>
  </si>
  <si>
    <t>23495.0</t>
  </si>
  <si>
    <t>8170.0</t>
  </si>
  <si>
    <t>7984.0</t>
  </si>
  <si>
    <t>9527.0</t>
  </si>
  <si>
    <t>7796.0</t>
  </si>
  <si>
    <t>380.0</t>
  </si>
  <si>
    <t>105.0</t>
  </si>
  <si>
    <t>347.0</t>
  </si>
  <si>
    <t>686.0</t>
  </si>
  <si>
    <t>25211.0</t>
  </si>
  <si>
    <t>9886.0</t>
  </si>
  <si>
    <t>9632.0</t>
  </si>
  <si>
    <t>11357.0</t>
  </si>
  <si>
    <t>4754.0</t>
  </si>
  <si>
    <t>3041.0</t>
  </si>
  <si>
    <t>2837.0</t>
  </si>
  <si>
    <t>59.6760622634%</t>
  </si>
  <si>
    <t>60.4651162791%</t>
  </si>
  <si>
    <t>11563.0</t>
  </si>
  <si>
    <t>4862.0</t>
  </si>
  <si>
    <t>3123.0</t>
  </si>
  <si>
    <t>2889.0</t>
  </si>
  <si>
    <t>59.4199917729%</t>
  </si>
  <si>
    <t>7963.0</t>
  </si>
  <si>
    <t>1995.0</t>
  </si>
  <si>
    <t>653.0</t>
  </si>
  <si>
    <t>652.0</t>
  </si>
  <si>
    <t>93.0</t>
  </si>
  <si>
    <t>8892.0</t>
  </si>
  <si>
    <t>2691.0</t>
  </si>
  <si>
    <t>8150.0</t>
  </si>
  <si>
    <t>8297.0</t>
  </si>
  <si>
    <t>23130.0</t>
  </si>
  <si>
    <t>15471.0</t>
  </si>
  <si>
    <t>1471.0</t>
  </si>
  <si>
    <t>1342.0</t>
  </si>
  <si>
    <t>268.0</t>
  </si>
  <si>
    <t>235.0</t>
  </si>
  <si>
    <t>393.0</t>
  </si>
  <si>
    <t>25277.0</t>
  </si>
  <si>
    <t>17441.0</t>
  </si>
  <si>
    <t>16878.0</t>
  </si>
  <si>
    <t>8935.0</t>
  </si>
  <si>
    <t>8853.0</t>
  </si>
  <si>
    <t>8904.0</t>
  </si>
  <si>
    <t>8.0</t>
  </si>
  <si>
    <t>17222.0</t>
  </si>
  <si>
    <t>9100.0</t>
  </si>
  <si>
    <t>9015.0</t>
  </si>
  <si>
    <t>9067.0</t>
  </si>
  <si>
    <t>7940.0</t>
  </si>
  <si>
    <t>5254.0</t>
  </si>
  <si>
    <t>1338.0</t>
  </si>
  <si>
    <t>1326.0</t>
  </si>
  <si>
    <t>1332.0</t>
  </si>
  <si>
    <t>8067.0</t>
  </si>
  <si>
    <t>5381.0</t>
  </si>
  <si>
    <t>26416.0</t>
  </si>
  <si>
    <t>8673.0</t>
  </si>
  <si>
    <t>0.0115300357431%</t>
  </si>
  <si>
    <t>179.0</t>
  </si>
  <si>
    <t>26643.0</t>
  </si>
  <si>
    <t>8900.0</t>
  </si>
  <si>
    <t>0.0112359550562%</t>
  </si>
  <si>
    <t>16086.0</t>
  </si>
  <si>
    <t>3270.0</t>
  </si>
  <si>
    <t>5804.0</t>
  </si>
  <si>
    <t>5770.0</t>
  </si>
  <si>
    <t>5788.0</t>
  </si>
  <si>
    <t>16265.0</t>
  </si>
  <si>
    <t>3449.0</t>
  </si>
  <si>
    <t>14961.0</t>
  </si>
  <si>
    <t>6973.0</t>
  </si>
  <si>
    <t>7017.0</t>
  </si>
  <si>
    <t>6942.0</t>
  </si>
  <si>
    <t>60.0%</t>
  </si>
  <si>
    <t>151.0</t>
  </si>
  <si>
    <t>62.0</t>
  </si>
  <si>
    <t>69.696969697%</t>
  </si>
  <si>
    <t>15215.0</t>
  </si>
  <si>
    <t>7042.0</t>
  </si>
  <si>
    <t>7127.0</t>
  </si>
  <si>
    <t>6944.0</t>
  </si>
  <si>
    <t>26.0%</t>
  </si>
  <si>
    <t>19796.0</t>
  </si>
  <si>
    <t>4634.0</t>
  </si>
  <si>
    <t>9479.0</t>
  </si>
  <si>
    <t>9397.0</t>
  </si>
  <si>
    <t>2659.0</t>
  </si>
  <si>
    <t>6489.0</t>
  </si>
  <si>
    <t>57.38023306%</t>
  </si>
  <si>
    <t>381.0</t>
  </si>
  <si>
    <t>195.0</t>
  </si>
  <si>
    <t>153.0</t>
  </si>
  <si>
    <t>85.4748603352%</t>
  </si>
  <si>
    <t>20177.0</t>
  </si>
  <si>
    <t>4813.0</t>
  </si>
  <si>
    <t>9674.0</t>
  </si>
  <si>
    <t>9591.0</t>
  </si>
  <si>
    <t>2812.0</t>
  </si>
  <si>
    <t>6498.0</t>
  </si>
  <si>
    <t>58.425098691%</t>
  </si>
  <si>
    <t>14776.0</t>
  </si>
  <si>
    <t>3704.0</t>
  </si>
  <si>
    <t>57.0</t>
  </si>
  <si>
    <t>58.0</t>
  </si>
  <si>
    <t>494.0</t>
  </si>
  <si>
    <t>368.0</t>
  </si>
  <si>
    <t>15328.0</t>
  </si>
  <si>
    <t>4130.0</t>
  </si>
  <si>
    <t>7116.0</t>
  </si>
  <si>
    <t>3939.0</t>
  </si>
  <si>
    <t>1860.0</t>
  </si>
  <si>
    <t>1812.0</t>
  </si>
  <si>
    <t>1843.0</t>
  </si>
  <si>
    <t>0.0253871541%</t>
  </si>
  <si>
    <t>102.0</t>
  </si>
  <si>
    <t>7395.0</t>
  </si>
  <si>
    <t>4218.0</t>
  </si>
  <si>
    <t>0.0237079184448%</t>
  </si>
  <si>
    <t>21725.0</t>
  </si>
  <si>
    <t>3622.0</t>
  </si>
  <si>
    <t>9230.0</t>
  </si>
  <si>
    <t>9184.0</t>
  </si>
  <si>
    <t>9176.0</t>
  </si>
  <si>
    <t>22515.0</t>
  </si>
  <si>
    <t>4057.0</t>
  </si>
  <si>
    <t>9395.0</t>
  </si>
  <si>
    <t>9347.0</t>
  </si>
  <si>
    <t>9338.0</t>
  </si>
  <si>
    <t>80.9523809524%</t>
  </si>
  <si>
    <t>33.3333333333%</t>
  </si>
  <si>
    <t>160.0</t>
  </si>
  <si>
    <t>91.0</t>
  </si>
  <si>
    <t>90.6976744186%</t>
  </si>
  <si>
    <t>168.0</t>
  </si>
  <si>
    <t>96.5517241379%</t>
  </si>
  <si>
    <t>394.0</t>
  </si>
  <si>
    <t>200.0</t>
  </si>
  <si>
    <t>184.0</t>
  </si>
  <si>
    <t>94.8453608247%</t>
  </si>
  <si>
    <t>16943.0</t>
  </si>
  <si>
    <t>9990.0</t>
  </si>
  <si>
    <t>9804.0</t>
  </si>
  <si>
    <t>1415.0</t>
  </si>
  <si>
    <t>8383.0</t>
  </si>
  <si>
    <t>93.2147562582%</t>
  </si>
  <si>
    <t>18020.0</t>
  </si>
  <si>
    <t>1858.0</t>
  </si>
  <si>
    <t>10554.0</t>
  </si>
  <si>
    <t>10316.0</t>
  </si>
  <si>
    <t>1729.0</t>
  </si>
  <si>
    <t>8553.0</t>
  </si>
  <si>
    <t>93.057050592%</t>
  </si>
  <si>
    <t>118.0</t>
  </si>
  <si>
    <t>316.0</t>
  </si>
  <si>
    <t>271.0</t>
  </si>
  <si>
    <t>26381.0</t>
  </si>
  <si>
    <t>5276.0</t>
  </si>
  <si>
    <t>402.0</t>
  </si>
  <si>
    <t>27075.0</t>
  </si>
  <si>
    <t>5600.0</t>
  </si>
  <si>
    <t>585.0</t>
  </si>
  <si>
    <t>424.0</t>
  </si>
  <si>
    <t>214.0</t>
  </si>
  <si>
    <t>93.5483870968%</t>
  </si>
  <si>
    <t>207.0</t>
  </si>
  <si>
    <t>91.6666666667%</t>
  </si>
  <si>
    <t>97.0</t>
  </si>
  <si>
    <t>109.0</t>
  </si>
  <si>
    <t>92.7835051546%</t>
  </si>
  <si>
    <t>13964.0</t>
  </si>
  <si>
    <t>2864.0</t>
  </si>
  <si>
    <t>8552.0</t>
  </si>
  <si>
    <t>7124.0</t>
  </si>
  <si>
    <t>2746.0</t>
  </si>
  <si>
    <t>3765.0</t>
  </si>
  <si>
    <t>95.8798882682%</t>
  </si>
  <si>
    <t>14963.0</t>
  </si>
  <si>
    <t>3200.0</t>
  </si>
  <si>
    <t>9194.0</t>
  </si>
  <si>
    <t>7552.0</t>
  </si>
  <si>
    <t>3058.0</t>
  </si>
  <si>
    <t>3785.0</t>
  </si>
  <si>
    <t>95.5625%</t>
  </si>
  <si>
    <t>2568.0</t>
  </si>
  <si>
    <t>2532.0</t>
  </si>
  <si>
    <t>152.0</t>
  </si>
  <si>
    <t>198.0</t>
  </si>
  <si>
    <t>2318.0</t>
  </si>
  <si>
    <t>2275.0</t>
  </si>
  <si>
    <t>1290.0</t>
  </si>
  <si>
    <t>638.0</t>
  </si>
  <si>
    <t>557.0</t>
  </si>
  <si>
    <t>396.0</t>
  </si>
  <si>
    <t>196.0</t>
  </si>
  <si>
    <t>201.0</t>
  </si>
  <si>
    <t>94.387755102%</t>
  </si>
  <si>
    <t>4.0%</t>
  </si>
  <si>
    <t>RDPC</t>
  </si>
  <si>
    <t>Total Area</t>
  </si>
  <si>
    <t>Total Impervious Area</t>
  </si>
  <si>
    <t>Total Pervious Area</t>
  </si>
  <si>
    <t>Total Impervious SFHA Area</t>
  </si>
  <si>
    <t>Total Pervious SFHA Area</t>
  </si>
  <si>
    <t>unit acres</t>
  </si>
  <si>
    <t>215785.0</t>
  </si>
  <si>
    <t>9522.0</t>
  </si>
  <si>
    <t>206263.0</t>
  </si>
  <si>
    <t>6639.0</t>
  </si>
  <si>
    <t>591.0</t>
  </si>
  <si>
    <t>6048.0</t>
  </si>
  <si>
    <t>1363.0</t>
  </si>
  <si>
    <t>576.0</t>
  </si>
  <si>
    <t>787.0</t>
  </si>
  <si>
    <t>1869.0</t>
  </si>
  <si>
    <t>857.0</t>
  </si>
  <si>
    <t>175.0</t>
  </si>
  <si>
    <t>219234.0</t>
  </si>
  <si>
    <t>11053.0</t>
  </si>
  <si>
    <t>208181.0</t>
  </si>
  <si>
    <t>6978.0</t>
  </si>
  <si>
    <t>6191.0</t>
  </si>
  <si>
    <t>316257.0</t>
  </si>
  <si>
    <t>10948.0</t>
  </si>
  <si>
    <t>305309.0</t>
  </si>
  <si>
    <t>5273.0</t>
  </si>
  <si>
    <t>2052.0</t>
  </si>
  <si>
    <t>3221.0</t>
  </si>
  <si>
    <t>4517.0</t>
  </si>
  <si>
    <t>756.0</t>
  </si>
  <si>
    <t>3761.0</t>
  </si>
  <si>
    <t>694.0</t>
  </si>
  <si>
    <t>263.0</t>
  </si>
  <si>
    <t>431.0</t>
  </si>
  <si>
    <t>321845.0</t>
  </si>
  <si>
    <t>12111.0</t>
  </si>
  <si>
    <t>309734.0</t>
  </si>
  <si>
    <t>5569.0</t>
  </si>
  <si>
    <t>2316.0</t>
  </si>
  <si>
    <t>3253.0</t>
  </si>
  <si>
    <t>327977.0</t>
  </si>
  <si>
    <t>15095.0</t>
  </si>
  <si>
    <t>312882.0</t>
  </si>
  <si>
    <t>1547.0</t>
  </si>
  <si>
    <t>10455.0</t>
  </si>
  <si>
    <t>698.0</t>
  </si>
  <si>
    <t>324.0</t>
  </si>
  <si>
    <t>374.0</t>
  </si>
  <si>
    <t>420.0</t>
  </si>
  <si>
    <t>526.0</t>
  </si>
  <si>
    <t>384.0</t>
  </si>
  <si>
    <t>142.0</t>
  </si>
  <si>
    <t>779.0</t>
  </si>
  <si>
    <t>297.0</t>
  </si>
  <si>
    <t>482.0</t>
  </si>
  <si>
    <t>330400.0</t>
  </si>
  <si>
    <t>16252.0</t>
  </si>
  <si>
    <t>314148.0</t>
  </si>
  <si>
    <t>1734.0</t>
  </si>
  <si>
    <t>10578.0</t>
  </si>
  <si>
    <t>51003.0</t>
  </si>
  <si>
    <t>6326.0</t>
  </si>
  <si>
    <t>44677.0</t>
  </si>
  <si>
    <t>1423.0</t>
  </si>
  <si>
    <t>311.0</t>
  </si>
  <si>
    <t>1112.0</t>
  </si>
  <si>
    <t>215.0</t>
  </si>
  <si>
    <t>65.0</t>
  </si>
  <si>
    <t>1337.0</t>
  </si>
  <si>
    <t>782.0</t>
  </si>
  <si>
    <t>555.0</t>
  </si>
  <si>
    <t>4407.0</t>
  </si>
  <si>
    <t>1418.0</t>
  </si>
  <si>
    <t>2989.0</t>
  </si>
  <si>
    <t>850.0</t>
  </si>
  <si>
    <t>521.0</t>
  </si>
  <si>
    <t>329.0</t>
  </si>
  <si>
    <t>253.0</t>
  </si>
  <si>
    <t>1193.0</t>
  </si>
  <si>
    <t>923.0</t>
  </si>
  <si>
    <t>59353.0</t>
  </si>
  <si>
    <t>9589.0</t>
  </si>
  <si>
    <t>49764.0</t>
  </si>
  <si>
    <t>2007.0</t>
  </si>
  <si>
    <t>728.0</t>
  </si>
  <si>
    <t>1279.0</t>
  </si>
  <si>
    <t>169628.0</t>
  </si>
  <si>
    <t>16429.0</t>
  </si>
  <si>
    <t>153199.0</t>
  </si>
  <si>
    <t>7120.0</t>
  </si>
  <si>
    <t>1898.0</t>
  </si>
  <si>
    <t>5222.0</t>
  </si>
  <si>
    <t>2679.0</t>
  </si>
  <si>
    <t>1682.0</t>
  </si>
  <si>
    <t>997.0</t>
  </si>
  <si>
    <t>120.0</t>
  </si>
  <si>
    <t>10925.0</t>
  </si>
  <si>
    <t>7837.0</t>
  </si>
  <si>
    <t>3088.0</t>
  </si>
  <si>
    <t>319.0</t>
  </si>
  <si>
    <t>274.0</t>
  </si>
  <si>
    <t>1005.0</t>
  </si>
  <si>
    <t>752.0</t>
  </si>
  <si>
    <t>227.0</t>
  </si>
  <si>
    <t>184237.0</t>
  </si>
  <si>
    <t>26700.0</t>
  </si>
  <si>
    <t>157537.0</t>
  </si>
  <si>
    <t>7822.0</t>
  </si>
  <si>
    <t>2487.0</t>
  </si>
  <si>
    <t>5335.0</t>
  </si>
  <si>
    <t>179082.0</t>
  </si>
  <si>
    <t>6577.0</t>
  </si>
  <si>
    <t>172505.0</t>
  </si>
  <si>
    <t>6397.0</t>
  </si>
  <si>
    <t>891.0</t>
  </si>
  <si>
    <t>5506.0</t>
  </si>
  <si>
    <t>296.0</t>
  </si>
  <si>
    <t>179378.0</t>
  </si>
  <si>
    <t>6745.0</t>
  </si>
  <si>
    <t>172633.0</t>
  </si>
  <si>
    <t>6485.0</t>
  </si>
  <si>
    <t>952.0</t>
  </si>
  <si>
    <t>5533.0</t>
  </si>
  <si>
    <t>219517.0</t>
  </si>
  <si>
    <t>7269.0</t>
  </si>
  <si>
    <t>212248.0</t>
  </si>
  <si>
    <t>5635.0</t>
  </si>
  <si>
    <t>869.0</t>
  </si>
  <si>
    <t>4766.0</t>
  </si>
  <si>
    <t>158.0</t>
  </si>
  <si>
    <t>236.0</t>
  </si>
  <si>
    <t>219911.0</t>
  </si>
  <si>
    <t>7427.0</t>
  </si>
  <si>
    <t>212484.0</t>
  </si>
  <si>
    <t>5749.0</t>
  </si>
  <si>
    <t>902.0</t>
  </si>
  <si>
    <t>4847.0</t>
  </si>
  <si>
    <t>204680.0</t>
  </si>
  <si>
    <t>8659.0</t>
  </si>
  <si>
    <t>196021.0</t>
  </si>
  <si>
    <t>5651.0</t>
  </si>
  <si>
    <t>1216.0</t>
  </si>
  <si>
    <t>4435.0</t>
  </si>
  <si>
    <t>241.0</t>
  </si>
  <si>
    <t>204921.0</t>
  </si>
  <si>
    <t>8862.0</t>
  </si>
  <si>
    <t>196059.0</t>
  </si>
  <si>
    <t>5680.0</t>
  </si>
  <si>
    <t>4443.0</t>
  </si>
  <si>
    <t>216311.0</t>
  </si>
  <si>
    <t>8559.0</t>
  </si>
  <si>
    <t>207752.0</t>
  </si>
  <si>
    <t>6892.0</t>
  </si>
  <si>
    <t>836.0</t>
  </si>
  <si>
    <t>6056.0</t>
  </si>
  <si>
    <t>662.0</t>
  </si>
  <si>
    <t>379.0</t>
  </si>
  <si>
    <t>224.0</t>
  </si>
  <si>
    <t>217197.0</t>
  </si>
  <si>
    <t>9020.0</t>
  </si>
  <si>
    <t>208177.0</t>
  </si>
  <si>
    <t>959.0</t>
  </si>
  <si>
    <t>6168.0</t>
  </si>
  <si>
    <t>305978.0</t>
  </si>
  <si>
    <t>8932.0</t>
  </si>
  <si>
    <t>297046.0</t>
  </si>
  <si>
    <t>7698.0</t>
  </si>
  <si>
    <t>407.0</t>
  </si>
  <si>
    <t>7291.0</t>
  </si>
  <si>
    <t>1035.0</t>
  </si>
  <si>
    <t>704.0</t>
  </si>
  <si>
    <t>331.0</t>
  </si>
  <si>
    <t>138.0</t>
  </si>
  <si>
    <t>307208.0</t>
  </si>
  <si>
    <t>9719.0</t>
  </si>
  <si>
    <t>297489.0</t>
  </si>
  <si>
    <t>7906.0</t>
  </si>
  <si>
    <t>7435.0</t>
  </si>
  <si>
    <t>648250.0</t>
  </si>
  <si>
    <t>25207.0</t>
  </si>
  <si>
    <t>623043.0</t>
  </si>
  <si>
    <t>21594.0</t>
  </si>
  <si>
    <t>1576.0</t>
  </si>
  <si>
    <t>20018.0</t>
  </si>
  <si>
    <t>340.0</t>
  </si>
  <si>
    <t>1106.0</t>
  </si>
  <si>
    <t>540.0</t>
  </si>
  <si>
    <t>137.0</t>
  </si>
  <si>
    <t>122.0</t>
  </si>
  <si>
    <t>501.0</t>
  </si>
  <si>
    <t>255.0</t>
  </si>
  <si>
    <t>1214.0</t>
  </si>
  <si>
    <t>718.0</t>
  </si>
  <si>
    <t>496.0</t>
  </si>
  <si>
    <t>714.0</t>
  </si>
  <si>
    <t>247.0</t>
  </si>
  <si>
    <t>2437.0</t>
  </si>
  <si>
    <t>1762.0</t>
  </si>
  <si>
    <t>675.0</t>
  </si>
  <si>
    <t>655199.0</t>
  </si>
  <si>
    <t>29437.0</t>
  </si>
  <si>
    <t>625762.0</t>
  </si>
  <si>
    <t>22220.0</t>
  </si>
  <si>
    <t>1917.0</t>
  </si>
  <si>
    <t>20303.0</t>
  </si>
  <si>
    <t>46787.0</t>
  </si>
  <si>
    <t>5660.0</t>
  </si>
  <si>
    <t>41127.0</t>
  </si>
  <si>
    <t>649.0</t>
  </si>
  <si>
    <t>308.0</t>
  </si>
  <si>
    <t>7775.0</t>
  </si>
  <si>
    <t>3836.0</t>
  </si>
  <si>
    <t>639.0</t>
  </si>
  <si>
    <t>469.0</t>
  </si>
  <si>
    <t>170.0</t>
  </si>
  <si>
    <t>1189.0</t>
  </si>
  <si>
    <t>330.0</t>
  </si>
  <si>
    <t>859.0</t>
  </si>
  <si>
    <t>149.0</t>
  </si>
  <si>
    <t>56390.0</t>
  </si>
  <si>
    <t>10295.0</t>
  </si>
  <si>
    <t>46095.0</t>
  </si>
  <si>
    <t>1134.0</t>
  </si>
  <si>
    <t>617.0</t>
  </si>
  <si>
    <t>372059.0</t>
  </si>
  <si>
    <t>12154.0</t>
  </si>
  <si>
    <t>359905.0</t>
  </si>
  <si>
    <t>17057.0</t>
  </si>
  <si>
    <t>697.0</t>
  </si>
  <si>
    <t>16360.0</t>
  </si>
  <si>
    <t>1784.0</t>
  </si>
  <si>
    <t>944.0</t>
  </si>
  <si>
    <t>840.0</t>
  </si>
  <si>
    <t>475.0</t>
  </si>
  <si>
    <t>337.0</t>
  </si>
  <si>
    <t>115.0</t>
  </si>
  <si>
    <t>374055.0</t>
  </si>
  <si>
    <t>13195.0</t>
  </si>
  <si>
    <t>360860.0</t>
  </si>
  <si>
    <t>17544.0</t>
  </si>
  <si>
    <t>839.0</t>
  </si>
  <si>
    <t>16705.0</t>
  </si>
  <si>
    <t>248423.0</t>
  </si>
  <si>
    <t>19247.0</t>
  </si>
  <si>
    <t>229176.0</t>
  </si>
  <si>
    <t>5696.0</t>
  </si>
  <si>
    <t>1061.0</t>
  </si>
  <si>
    <t>4635.0</t>
  </si>
  <si>
    <t>6899.0</t>
  </si>
  <si>
    <t>3795.0</t>
  </si>
  <si>
    <t>6225.0</t>
  </si>
  <si>
    <t>3546.0</t>
  </si>
  <si>
    <t>183.0</t>
  </si>
  <si>
    <t>159.0</t>
  </si>
  <si>
    <t>621.0</t>
  </si>
  <si>
    <t>265.0</t>
  </si>
  <si>
    <t>356.0</t>
  </si>
  <si>
    <t>322.0</t>
  </si>
  <si>
    <t>569.0</t>
  </si>
  <si>
    <t>321.0</t>
  </si>
  <si>
    <t>1070.0</t>
  </si>
  <si>
    <t>598.0</t>
  </si>
  <si>
    <t>472.0</t>
  </si>
  <si>
    <t>545.0</t>
  </si>
  <si>
    <t>386.0</t>
  </si>
  <si>
    <t>193.0</t>
  </si>
  <si>
    <t>854.0</t>
  </si>
  <si>
    <t>451.0</t>
  </si>
  <si>
    <t>266544.0</t>
  </si>
  <si>
    <t>29361.0</t>
  </si>
  <si>
    <t>237183.0</t>
  </si>
  <si>
    <t>6406.0</t>
  </si>
  <si>
    <t>1586.0</t>
  </si>
  <si>
    <t>4820.0</t>
  </si>
  <si>
    <t>298304.0</t>
  </si>
  <si>
    <t>16455.0</t>
  </si>
  <si>
    <t>281849.0</t>
  </si>
  <si>
    <t>14340.0</t>
  </si>
  <si>
    <t>1901.0</t>
  </si>
  <si>
    <t>12439.0</t>
  </si>
  <si>
    <t>2101.0</t>
  </si>
  <si>
    <t>1041.0</t>
  </si>
  <si>
    <t>1060.0</t>
  </si>
  <si>
    <t>150.0</t>
  </si>
  <si>
    <t>96.0</t>
  </si>
  <si>
    <t>1208.0</t>
  </si>
  <si>
    <t>803.0</t>
  </si>
  <si>
    <t>405.0</t>
  </si>
  <si>
    <t>252.0</t>
  </si>
  <si>
    <t>301613.0</t>
  </si>
  <si>
    <t>18299.0</t>
  </si>
  <si>
    <t>283314.0</t>
  </si>
  <si>
    <t>14742.0</t>
  </si>
  <si>
    <t>2102.0</t>
  </si>
  <si>
    <t>12640.0</t>
  </si>
  <si>
    <t>125719.0</t>
  </si>
  <si>
    <t>15716.0</t>
  </si>
  <si>
    <t>110003.0</t>
  </si>
  <si>
    <t>6696.0</t>
  </si>
  <si>
    <t>703.0</t>
  </si>
  <si>
    <t>5993.0</t>
  </si>
  <si>
    <t>278.0</t>
  </si>
  <si>
    <t>3744.0</t>
  </si>
  <si>
    <t>1354.0</t>
  </si>
  <si>
    <t>2390.0</t>
  </si>
  <si>
    <t>187.0</t>
  </si>
  <si>
    <t>204.0</t>
  </si>
  <si>
    <t>5185.0</t>
  </si>
  <si>
    <t>1490.0</t>
  </si>
  <si>
    <t>178.0</t>
  </si>
  <si>
    <t>240.0</t>
  </si>
  <si>
    <t>135566.0</t>
  </si>
  <si>
    <t>19183.0</t>
  </si>
  <si>
    <t>116383.0</t>
  </si>
  <si>
    <t>7252.0</t>
  </si>
  <si>
    <t>856.0</t>
  </si>
  <si>
    <t>6396.0</t>
  </si>
  <si>
    <t>543863.0</t>
  </si>
  <si>
    <t>34639.0</t>
  </si>
  <si>
    <t>509224.0</t>
  </si>
  <si>
    <t>14259.0</t>
  </si>
  <si>
    <t>5250.0</t>
  </si>
  <si>
    <t>9009.0</t>
  </si>
  <si>
    <t>239.0</t>
  </si>
  <si>
    <t>500.0</t>
  </si>
  <si>
    <t>218.0</t>
  </si>
  <si>
    <t>282.0</t>
  </si>
  <si>
    <t>459.0</t>
  </si>
  <si>
    <t>276.0</t>
  </si>
  <si>
    <t>20875.0</t>
  </si>
  <si>
    <t>10840.0</t>
  </si>
  <si>
    <t>10035.0</t>
  </si>
  <si>
    <t>769.0</t>
  </si>
  <si>
    <t>690.0</t>
  </si>
  <si>
    <t>411.0</t>
  </si>
  <si>
    <t>251.0</t>
  </si>
  <si>
    <t>974.0</t>
  </si>
  <si>
    <t>285.0</t>
  </si>
  <si>
    <t>689.0</t>
  </si>
  <si>
    <t>1795.0</t>
  </si>
  <si>
    <t>1130.0</t>
  </si>
  <si>
    <t>665.0</t>
  </si>
  <si>
    <t>309.0</t>
  </si>
  <si>
    <t>301.0</t>
  </si>
  <si>
    <t>901.0</t>
  </si>
  <si>
    <t>378.0</t>
  </si>
  <si>
    <t>3090.0</t>
  </si>
  <si>
    <t>1705.0</t>
  </si>
  <si>
    <t>1385.0</t>
  </si>
  <si>
    <t>2361.0</t>
  </si>
  <si>
    <t>1985.0</t>
  </si>
  <si>
    <t>376.0</t>
  </si>
  <si>
    <t>5617.0</t>
  </si>
  <si>
    <t>3773.0</t>
  </si>
  <si>
    <t>1844.0</t>
  </si>
  <si>
    <t>622.0</t>
  </si>
  <si>
    <t>515.0</t>
  </si>
  <si>
    <t>582509.0</t>
  </si>
  <si>
    <t>56079.0</t>
  </si>
  <si>
    <t>526430.0</t>
  </si>
  <si>
    <t>16270.0</t>
  </si>
  <si>
    <t>6980.0</t>
  </si>
  <si>
    <t>9290.0</t>
  </si>
  <si>
    <t>247701.0</t>
  </si>
  <si>
    <t>13236.0</t>
  </si>
  <si>
    <t>234465.0</t>
  </si>
  <si>
    <t>9571.0</t>
  </si>
  <si>
    <t>1433.0</t>
  </si>
  <si>
    <t>8138.0</t>
  </si>
  <si>
    <t>1275.0</t>
  </si>
  <si>
    <t>880.0</t>
  </si>
  <si>
    <t>395.0</t>
  </si>
  <si>
    <t>249134.0</t>
  </si>
  <si>
    <t>14244.0</t>
  </si>
  <si>
    <t>234890.0</t>
  </si>
  <si>
    <t>9779.0</t>
  </si>
  <si>
    <t>1610.0</t>
  </si>
  <si>
    <t>8169.0</t>
  </si>
  <si>
    <t>280041.0</t>
  </si>
  <si>
    <t>12258.0</t>
  </si>
  <si>
    <t>267783.0</t>
  </si>
  <si>
    <t>8653.0</t>
  </si>
  <si>
    <t>2523.0</t>
  </si>
  <si>
    <t>6130.0</t>
  </si>
  <si>
    <t>385.0</t>
  </si>
  <si>
    <t>354.0</t>
  </si>
  <si>
    <t>280780.0</t>
  </si>
  <si>
    <t>12653.0</t>
  </si>
  <si>
    <t>268127.0</t>
  </si>
  <si>
    <t>8749.0</t>
  </si>
  <si>
    <t>2583.0</t>
  </si>
  <si>
    <t>6166.0</t>
  </si>
  <si>
    <t>187538.0</t>
  </si>
  <si>
    <t>12672.0</t>
  </si>
  <si>
    <t>174866.0</t>
  </si>
  <si>
    <t>4277.0</t>
  </si>
  <si>
    <t>838.0</t>
  </si>
  <si>
    <t>3439.0</t>
  </si>
  <si>
    <t>454.0</t>
  </si>
  <si>
    <t>5740.0</t>
  </si>
  <si>
    <t>3985.0</t>
  </si>
  <si>
    <t>1755.0</t>
  </si>
  <si>
    <t>729.0</t>
  </si>
  <si>
    <t>502.0</t>
  </si>
  <si>
    <t>245.0</t>
  </si>
  <si>
    <t>383.0</t>
  </si>
  <si>
    <t>328.0</t>
  </si>
  <si>
    <t>2179.0</t>
  </si>
  <si>
    <t>1138.0</t>
  </si>
  <si>
    <t>674.0</t>
  </si>
  <si>
    <t>476.0</t>
  </si>
  <si>
    <t>199219.0</t>
  </si>
  <si>
    <t>19891.0</t>
  </si>
  <si>
    <t>179328.0</t>
  </si>
  <si>
    <t>4882.0</t>
  </si>
  <si>
    <t>1167.0</t>
  </si>
  <si>
    <t>3715.0</t>
  </si>
  <si>
    <t>194254.0</t>
  </si>
  <si>
    <t>11882.0</t>
  </si>
  <si>
    <t>182372.0</t>
  </si>
  <si>
    <t>5033.0</t>
  </si>
  <si>
    <t>1116.0</t>
  </si>
  <si>
    <t>3917.0</t>
  </si>
  <si>
    <t>1137.0</t>
  </si>
  <si>
    <t>468.0</t>
  </si>
  <si>
    <t>742.0</t>
  </si>
  <si>
    <t>436.0</t>
  </si>
  <si>
    <t>260.0</t>
  </si>
  <si>
    <t>257.0</t>
  </si>
  <si>
    <t>2124.0</t>
  </si>
  <si>
    <t>1535.0</t>
  </si>
  <si>
    <t>589.0</t>
  </si>
  <si>
    <t>534.0</t>
  </si>
  <si>
    <t>416.0</t>
  </si>
  <si>
    <t>370.0</t>
  </si>
  <si>
    <t>199463.0</t>
  </si>
  <si>
    <t>14824.0</t>
  </si>
  <si>
    <t>184639.0</t>
  </si>
  <si>
    <t>5999.0</t>
  </si>
  <si>
    <t>1836.0</t>
  </si>
  <si>
    <t>4163.0</t>
  </si>
  <si>
    <t>280220.0</t>
  </si>
  <si>
    <t>15381.0</t>
  </si>
  <si>
    <t>264839.0</t>
  </si>
  <si>
    <t>20154.0</t>
  </si>
  <si>
    <t>1993.0</t>
  </si>
  <si>
    <t>18161.0</t>
  </si>
  <si>
    <t>793.0</t>
  </si>
  <si>
    <t>594.0</t>
  </si>
  <si>
    <t>249.0</t>
  </si>
  <si>
    <t>141.0</t>
  </si>
  <si>
    <t>317.0</t>
  </si>
  <si>
    <t>833.0</t>
  </si>
  <si>
    <t>361.0</t>
  </si>
  <si>
    <t>186.0</t>
  </si>
  <si>
    <t>1977.0</t>
  </si>
  <si>
    <t>988.0</t>
  </si>
  <si>
    <t>989.0</t>
  </si>
  <si>
    <t>606.0</t>
  </si>
  <si>
    <t>442.0</t>
  </si>
  <si>
    <t>284735.0</t>
  </si>
  <si>
    <t>17481.0</t>
  </si>
  <si>
    <t>267254.0</t>
  </si>
  <si>
    <t>21423.0</t>
  </si>
  <si>
    <t>2511.0</t>
  </si>
  <si>
    <t>18912.0</t>
  </si>
  <si>
    <t>333847.0</t>
  </si>
  <si>
    <t>12311.0</t>
  </si>
  <si>
    <t>321536.0</t>
  </si>
  <si>
    <t>2014.0</t>
  </si>
  <si>
    <t>964.0</t>
  </si>
  <si>
    <t>1050.0</t>
  </si>
  <si>
    <t>828.0</t>
  </si>
  <si>
    <t>131.0</t>
  </si>
  <si>
    <t>559.0</t>
  </si>
  <si>
    <t>535.0</t>
  </si>
  <si>
    <t>208.0</t>
  </si>
  <si>
    <t>441.0</t>
  </si>
  <si>
    <t>3878.0</t>
  </si>
  <si>
    <t>980.0</t>
  </si>
  <si>
    <t>2898.0</t>
  </si>
  <si>
    <t>419.0</t>
  </si>
  <si>
    <t>342103.0</t>
  </si>
  <si>
    <t>327284.0</t>
  </si>
  <si>
    <t>2445.0</t>
  </si>
  <si>
    <t>1306.0</t>
  </si>
  <si>
    <t>1139.0</t>
  </si>
  <si>
    <t>260256.0</t>
  </si>
  <si>
    <t>24455.0</t>
  </si>
  <si>
    <t>235801.0</t>
  </si>
  <si>
    <t>6073.0</t>
  </si>
  <si>
    <t>1514.0</t>
  </si>
  <si>
    <t>4559.0</t>
  </si>
  <si>
    <t>173.0</t>
  </si>
  <si>
    <t>169.0</t>
  </si>
  <si>
    <t>1823.0</t>
  </si>
  <si>
    <t>294.0</t>
  </si>
  <si>
    <t>293.0</t>
  </si>
  <si>
    <t>5771.0</t>
  </si>
  <si>
    <t>3483.0</t>
  </si>
  <si>
    <t>2288.0</t>
  </si>
  <si>
    <t>269044.0</t>
  </si>
  <si>
    <t>30282.0</t>
  </si>
  <si>
    <t>238762.0</t>
  </si>
  <si>
    <t>6432.0</t>
  </si>
  <si>
    <t>1849.0</t>
  </si>
  <si>
    <t>208143.0</t>
  </si>
  <si>
    <t>11310.0</t>
  </si>
  <si>
    <t>196833.0</t>
  </si>
  <si>
    <t>7469.0</t>
  </si>
  <si>
    <t>490.0</t>
  </si>
  <si>
    <t>6979.0</t>
  </si>
  <si>
    <t>1259.0</t>
  </si>
  <si>
    <t>825.0</t>
  </si>
  <si>
    <t>434.0</t>
  </si>
  <si>
    <t>244.0</t>
  </si>
  <si>
    <t>835.0</t>
  </si>
  <si>
    <t>210833.0</t>
  </si>
  <si>
    <t>12693.0</t>
  </si>
  <si>
    <t>198140.0</t>
  </si>
  <si>
    <t>7642.0</t>
  </si>
  <si>
    <t>7066.0</t>
  </si>
  <si>
    <t>266606.0</t>
  </si>
  <si>
    <t>10281.0</t>
  </si>
  <si>
    <t>256325.0</t>
  </si>
  <si>
    <t>3343.0</t>
  </si>
  <si>
    <t>1439.0</t>
  </si>
  <si>
    <t>1904.0</t>
  </si>
  <si>
    <t>1272.0</t>
  </si>
  <si>
    <t>1088.0</t>
  </si>
  <si>
    <t>666.0</t>
  </si>
  <si>
    <t>202.0</t>
  </si>
  <si>
    <t>2074.0</t>
  </si>
  <si>
    <t>790.0</t>
  </si>
  <si>
    <t>1284.0</t>
  </si>
  <si>
    <t>348.0</t>
  </si>
  <si>
    <t>271217.0</t>
  </si>
  <si>
    <t>11775.0</t>
  </si>
  <si>
    <t>259442.0</t>
  </si>
  <si>
    <t>3630.0</t>
  </si>
  <si>
    <t>1634.0</t>
  </si>
  <si>
    <t>1996.0</t>
  </si>
  <si>
    <t>224992.0</t>
  </si>
  <si>
    <t>21616.0</t>
  </si>
  <si>
    <t>203376.0</t>
  </si>
  <si>
    <t>5763.0</t>
  </si>
  <si>
    <t>4913.0</t>
  </si>
  <si>
    <t>6672.0</t>
  </si>
  <si>
    <t>4310.0</t>
  </si>
  <si>
    <t>2362.0</t>
  </si>
  <si>
    <t>831.0</t>
  </si>
  <si>
    <t>568.0</t>
  </si>
  <si>
    <t>290.0</t>
  </si>
  <si>
    <t>963.0</t>
  </si>
  <si>
    <t>809.0</t>
  </si>
  <si>
    <t>234034.0</t>
  </si>
  <si>
    <t>27644.0</t>
  </si>
  <si>
    <t>206390.0</t>
  </si>
  <si>
    <t>1031.0</t>
  </si>
  <si>
    <t>5017.0</t>
  </si>
  <si>
    <t>146585.0</t>
  </si>
  <si>
    <t>9556.0</t>
  </si>
  <si>
    <t>137029.0</t>
  </si>
  <si>
    <t>7231.0</t>
  </si>
  <si>
    <t>609.0</t>
  </si>
  <si>
    <t>6622.0</t>
  </si>
  <si>
    <t>147140.0</t>
  </si>
  <si>
    <t>9922.0</t>
  </si>
  <si>
    <t>137218.0</t>
  </si>
  <si>
    <t>7370.0</t>
  </si>
  <si>
    <t>6681.0</t>
  </si>
  <si>
    <t>414533.0</t>
  </si>
  <si>
    <t>17166.0</t>
  </si>
  <si>
    <t>397367.0</t>
  </si>
  <si>
    <t>13865.0</t>
  </si>
  <si>
    <t>1091.0</t>
  </si>
  <si>
    <t>12774.0</t>
  </si>
  <si>
    <t>1068.0</t>
  </si>
  <si>
    <t>596.0</t>
  </si>
  <si>
    <t>2897.0</t>
  </si>
  <si>
    <t>1855.0</t>
  </si>
  <si>
    <t>1042.0</t>
  </si>
  <si>
    <t>418498.0</t>
  </si>
  <si>
    <t>19617.0</t>
  </si>
  <si>
    <t>398881.0</t>
  </si>
  <si>
    <t>14134.0</t>
  </si>
  <si>
    <t>1294.0</t>
  </si>
  <si>
    <t>12840.0</t>
  </si>
  <si>
    <t>55697.0</t>
  </si>
  <si>
    <t>7023.0</t>
  </si>
  <si>
    <t>48674.0</t>
  </si>
  <si>
    <t>1155.0</t>
  </si>
  <si>
    <t>802.0</t>
  </si>
  <si>
    <t>259.0</t>
  </si>
  <si>
    <t>700.0</t>
  </si>
  <si>
    <t>262.0</t>
  </si>
  <si>
    <t>438.0</t>
  </si>
  <si>
    <t>432.0</t>
  </si>
  <si>
    <t>171.0</t>
  </si>
  <si>
    <t>350.0</t>
  </si>
  <si>
    <t>104.0</t>
  </si>
  <si>
    <t>9969.0</t>
  </si>
  <si>
    <t>4363.0</t>
  </si>
  <si>
    <t>932.0</t>
  </si>
  <si>
    <t>894.0</t>
  </si>
  <si>
    <t>2268.0</t>
  </si>
  <si>
    <t>650.0</t>
  </si>
  <si>
    <t>1618.0</t>
  </si>
  <si>
    <t>69675.0</t>
  </si>
  <si>
    <t>14093.0</t>
  </si>
  <si>
    <t>55582.0</t>
  </si>
  <si>
    <t>2223.0</t>
  </si>
  <si>
    <t>885.0</t>
  </si>
  <si>
    <t>446299.0</t>
  </si>
  <si>
    <t>12753.0</t>
  </si>
  <si>
    <t>433546.0</t>
  </si>
  <si>
    <t>1292.0</t>
  </si>
  <si>
    <t>13175.0</t>
  </si>
  <si>
    <t>234.0</t>
  </si>
  <si>
    <t>446660.0</t>
  </si>
  <si>
    <t>12987.0</t>
  </si>
  <si>
    <t>433673.0</t>
  </si>
  <si>
    <t>1316.0</t>
  </si>
  <si>
    <t>13180.0</t>
  </si>
  <si>
    <t>411882.0</t>
  </si>
  <si>
    <t>23955.0</t>
  </si>
  <si>
    <t>387927.0</t>
  </si>
  <si>
    <t>1077.0</t>
  </si>
  <si>
    <t>8842.0</t>
  </si>
  <si>
    <t>702.0</t>
  </si>
  <si>
    <t>1555.0</t>
  </si>
  <si>
    <t>759.0</t>
  </si>
  <si>
    <t>503.0</t>
  </si>
  <si>
    <t>366.0</t>
  </si>
  <si>
    <t>205.0</t>
  </si>
  <si>
    <t>416668.0</t>
  </si>
  <si>
    <t>26097.0</t>
  </si>
  <si>
    <t>390571.0</t>
  </si>
  <si>
    <t>10232.0</t>
  </si>
  <si>
    <t>1233.0</t>
  </si>
  <si>
    <t>8999.0</t>
  </si>
  <si>
    <t>216488.0</t>
  </si>
  <si>
    <t>19459.0</t>
  </si>
  <si>
    <t>197029.0</t>
  </si>
  <si>
    <t>8996.0</t>
  </si>
  <si>
    <t>1966.0</t>
  </si>
  <si>
    <t>7030.0</t>
  </si>
  <si>
    <t>163.0</t>
  </si>
  <si>
    <t>1054.0</t>
  </si>
  <si>
    <t>410.0</t>
  </si>
  <si>
    <t>644.0</t>
  </si>
  <si>
    <t>307.0</t>
  </si>
  <si>
    <t>2415.0</t>
  </si>
  <si>
    <t>1649.0</t>
  </si>
  <si>
    <t>766.0</t>
  </si>
  <si>
    <t>1361.0</t>
  </si>
  <si>
    <t>628.0</t>
  </si>
  <si>
    <t>733.0</t>
  </si>
  <si>
    <t>320.0</t>
  </si>
  <si>
    <t>1554.0</t>
  </si>
  <si>
    <t>965.0</t>
  </si>
  <si>
    <t>224080.0</t>
  </si>
  <si>
    <t>23540.0</t>
  </si>
  <si>
    <t>200540.0</t>
  </si>
  <si>
    <t>9905.0</t>
  </si>
  <si>
    <t>2428.0</t>
  </si>
  <si>
    <t>7477.0</t>
  </si>
  <si>
    <t>381875.0</t>
  </si>
  <si>
    <t>31241.0</t>
  </si>
  <si>
    <t>350634.0</t>
  </si>
  <si>
    <t>9703.0</t>
  </si>
  <si>
    <t>1947.0</t>
  </si>
  <si>
    <t>7756.0</t>
  </si>
  <si>
    <t>6083.0</t>
  </si>
  <si>
    <t>1055.0</t>
  </si>
  <si>
    <t>447.0</t>
  </si>
  <si>
    <t>363.0</t>
  </si>
  <si>
    <t>553.0</t>
  </si>
  <si>
    <t>456.0</t>
  </si>
  <si>
    <t>389480.0</t>
  </si>
  <si>
    <t>37278.0</t>
  </si>
  <si>
    <t>352202.0</t>
  </si>
  <si>
    <t>9943.0</t>
  </si>
  <si>
    <t>2108.0</t>
  </si>
  <si>
    <t>7835.0</t>
  </si>
  <si>
    <t>308455.0</t>
  </si>
  <si>
    <t>12275.0</t>
  </si>
  <si>
    <t>296180.0</t>
  </si>
  <si>
    <t>6894.0</t>
  </si>
  <si>
    <t>1085.0</t>
  </si>
  <si>
    <t>5809.0</t>
  </si>
  <si>
    <t>125.0</t>
  </si>
  <si>
    <t>816.0</t>
  </si>
  <si>
    <t>516.0</t>
  </si>
  <si>
    <t>300.0</t>
  </si>
  <si>
    <t>309396.0</t>
  </si>
  <si>
    <t>12866.0</t>
  </si>
  <si>
    <t>296530.0</t>
  </si>
  <si>
    <t>7039.0</t>
  </si>
  <si>
    <t>1196.0</t>
  </si>
  <si>
    <t>5843.0</t>
  </si>
  <si>
    <t>233224.0</t>
  </si>
  <si>
    <t>10735.0</t>
  </si>
  <si>
    <t>222489.0</t>
  </si>
  <si>
    <t>2118.0</t>
  </si>
  <si>
    <t>1501.0</t>
  </si>
  <si>
    <t>1914.0</t>
  </si>
  <si>
    <t>772.0</t>
  </si>
  <si>
    <t>1142.0</t>
  </si>
  <si>
    <t>235138.0</t>
  </si>
  <si>
    <t>11507.0</t>
  </si>
  <si>
    <t>223631.0</t>
  </si>
  <si>
    <t>2165.0</t>
  </si>
  <si>
    <t>1516.0</t>
  </si>
  <si>
    <t>109727.0</t>
  </si>
  <si>
    <t>6931.0</t>
  </si>
  <si>
    <t>102796.0</t>
  </si>
  <si>
    <t>4556.0</t>
  </si>
  <si>
    <t>4255.0</t>
  </si>
  <si>
    <t>2433.0</t>
  </si>
  <si>
    <t>1285.0</t>
  </si>
  <si>
    <t>1148.0</t>
  </si>
  <si>
    <t>112356.0</t>
  </si>
  <si>
    <t>8340.0</t>
  </si>
  <si>
    <t>104016.0</t>
  </si>
  <si>
    <t>4801.0</t>
  </si>
  <si>
    <t>4367.0</t>
  </si>
  <si>
    <t>225085.0</t>
  </si>
  <si>
    <t>12531.0</t>
  </si>
  <si>
    <t>212554.0</t>
  </si>
  <si>
    <t>6212.0</t>
  </si>
  <si>
    <t>801.0</t>
  </si>
  <si>
    <t>5411.0</t>
  </si>
  <si>
    <t>1822.0</t>
  </si>
  <si>
    <t>1553.0</t>
  </si>
  <si>
    <t>539.0</t>
  </si>
  <si>
    <t>465.0</t>
  </si>
  <si>
    <t>226907.0</t>
  </si>
  <si>
    <t>14084.0</t>
  </si>
  <si>
    <t>212823.0</t>
  </si>
  <si>
    <t>6751.0</t>
  </si>
  <si>
    <t>1266.0</t>
  </si>
  <si>
    <t>5485.0</t>
  </si>
  <si>
    <t>323384.0</t>
  </si>
  <si>
    <t>19345.0</t>
  </si>
  <si>
    <t>304039.0</t>
  </si>
  <si>
    <t>11232.0</t>
  </si>
  <si>
    <t>2322.0</t>
  </si>
  <si>
    <t>8910.0</t>
  </si>
  <si>
    <t>587.0</t>
  </si>
  <si>
    <t>567.0</t>
  </si>
  <si>
    <t>349.0</t>
  </si>
  <si>
    <t>1056.0</t>
  </si>
  <si>
    <t>786.0</t>
  </si>
  <si>
    <t>533.0</t>
  </si>
  <si>
    <t>392.0</t>
  </si>
  <si>
    <t>1388.0</t>
  </si>
  <si>
    <t>327787.0</t>
  </si>
  <si>
    <t>22028.0</t>
  </si>
  <si>
    <t>305759.0</t>
  </si>
  <si>
    <t>11737.0</t>
  </si>
  <si>
    <t>9022.0</t>
  </si>
  <si>
    <t>354803.0</t>
  </si>
  <si>
    <t>9782.0</t>
  </si>
  <si>
    <t>345021.0</t>
  </si>
  <si>
    <t>8905.0</t>
  </si>
  <si>
    <t>1102.0</t>
  </si>
  <si>
    <t>7803.0</t>
  </si>
  <si>
    <t>303.0</t>
  </si>
  <si>
    <t>355723.0</t>
  </si>
  <si>
    <t>10240.0</t>
  </si>
  <si>
    <t>345483.0</t>
  </si>
  <si>
    <t>1180.0</t>
  </si>
  <si>
    <t>228227.0</t>
  </si>
  <si>
    <t>8817.0</t>
  </si>
  <si>
    <t>219410.0</t>
  </si>
  <si>
    <t>6331.0</t>
  </si>
  <si>
    <t>1218.0</t>
  </si>
  <si>
    <t>5113.0</t>
  </si>
  <si>
    <t>291.0</t>
  </si>
  <si>
    <t>1735.0</t>
  </si>
  <si>
    <t>1364.0</t>
  </si>
  <si>
    <t>371.0</t>
  </si>
  <si>
    <t>243.0</t>
  </si>
  <si>
    <t>231050.0</t>
  </si>
  <si>
    <t>10725.0</t>
  </si>
  <si>
    <t>220325.0</t>
  </si>
  <si>
    <t>7077.0</t>
  </si>
  <si>
    <t>1811.0</t>
  </si>
  <si>
    <t>5266.0</t>
  </si>
  <si>
    <t>149950.0</t>
  </si>
  <si>
    <t>143654.0</t>
  </si>
  <si>
    <t>8144.0</t>
  </si>
  <si>
    <t>731.0</t>
  </si>
  <si>
    <t>7413.0</t>
  </si>
  <si>
    <t>343.0</t>
  </si>
  <si>
    <t>228.0</t>
  </si>
  <si>
    <t>150293.0</t>
  </si>
  <si>
    <t>6524.0</t>
  </si>
  <si>
    <t>143769.0</t>
  </si>
  <si>
    <t>8291.0</t>
  </si>
  <si>
    <t>7505.0</t>
  </si>
  <si>
    <t>229238.0</t>
  </si>
  <si>
    <t>24335.0</t>
  </si>
  <si>
    <t>204903.0</t>
  </si>
  <si>
    <t>14462.0</t>
  </si>
  <si>
    <t>2963.0</t>
  </si>
  <si>
    <t>11499.0</t>
  </si>
  <si>
    <t>167.0</t>
  </si>
  <si>
    <t>7879.0</t>
  </si>
  <si>
    <t>6548.0</t>
  </si>
  <si>
    <t>1331.0</t>
  </si>
  <si>
    <t>941.0</t>
  </si>
  <si>
    <t>630.0</t>
  </si>
  <si>
    <t>2525.0</t>
  </si>
  <si>
    <t>762.0</t>
  </si>
  <si>
    <t>241050.0</t>
  </si>
  <si>
    <t>33797.0</t>
  </si>
  <si>
    <t>207253.0</t>
  </si>
  <si>
    <t>15788.0</t>
  </si>
  <si>
    <t>3906.0</t>
  </si>
  <si>
    <t>286084.0</t>
  </si>
  <si>
    <t>10857.0</t>
  </si>
  <si>
    <t>275227.0</t>
  </si>
  <si>
    <t>7943.0</t>
  </si>
  <si>
    <t>792.0</t>
  </si>
  <si>
    <t>7151.0</t>
  </si>
  <si>
    <t>1020.0</t>
  </si>
  <si>
    <t>602.0</t>
  </si>
  <si>
    <t>312.0</t>
  </si>
  <si>
    <t>720.0</t>
  </si>
  <si>
    <t>1742.0</t>
  </si>
  <si>
    <t>290249.0</t>
  </si>
  <si>
    <t>12381.0</t>
  </si>
  <si>
    <t>277868.0</t>
  </si>
  <si>
    <t>8125.0</t>
  </si>
  <si>
    <t>892.0</t>
  </si>
  <si>
    <t>7233.0</t>
  </si>
  <si>
    <t>85133.0</t>
  </si>
  <si>
    <t>4980.0</t>
  </si>
  <si>
    <t>80153.0</t>
  </si>
  <si>
    <t>3663.0</t>
  </si>
  <si>
    <t>2932.0</t>
  </si>
  <si>
    <t>657.0</t>
  </si>
  <si>
    <t>445.0</t>
  </si>
  <si>
    <t>209.0</t>
  </si>
  <si>
    <t>86052.0</t>
  </si>
  <si>
    <t>5634.0</t>
  </si>
  <si>
    <t>80418.0</t>
  </si>
  <si>
    <t>3737.0</t>
  </si>
  <si>
    <t>796.0</t>
  </si>
  <si>
    <t>2941.0</t>
  </si>
  <si>
    <t>411595.0</t>
  </si>
  <si>
    <t>18290.0</t>
  </si>
  <si>
    <t>393305.0</t>
  </si>
  <si>
    <t>20441.0</t>
  </si>
  <si>
    <t>1695.0</t>
  </si>
  <si>
    <t>18746.0</t>
  </si>
  <si>
    <t>615.0</t>
  </si>
  <si>
    <t>177.0</t>
  </si>
  <si>
    <t>412657.0</t>
  </si>
  <si>
    <t>18882.0</t>
  </si>
  <si>
    <t>393775.0</t>
  </si>
  <si>
    <t>20519.0</t>
  </si>
  <si>
    <t>1715.0</t>
  </si>
  <si>
    <t>18804.0</t>
  </si>
  <si>
    <t>165884.0</t>
  </si>
  <si>
    <t>7384.0</t>
  </si>
  <si>
    <t>158500.0</t>
  </si>
  <si>
    <t>7778.0</t>
  </si>
  <si>
    <t>1191.0</t>
  </si>
  <si>
    <t>6587.0</t>
  </si>
  <si>
    <t>242.0</t>
  </si>
  <si>
    <t>210.0</t>
  </si>
  <si>
    <t>336.0</t>
  </si>
  <si>
    <t>281.0</t>
  </si>
  <si>
    <t>166737.0</t>
  </si>
  <si>
    <t>8057.0</t>
  </si>
  <si>
    <t>158680.0</t>
  </si>
  <si>
    <t>7903.0</t>
  </si>
  <si>
    <t>6609.0</t>
  </si>
  <si>
    <t>302113.0</t>
  </si>
  <si>
    <t>289247.0</t>
  </si>
  <si>
    <t>7689.0</t>
  </si>
  <si>
    <t>918.0</t>
  </si>
  <si>
    <t>6771.0</t>
  </si>
  <si>
    <t>287.0</t>
  </si>
  <si>
    <t>302795.0</t>
  </si>
  <si>
    <t>13385.0</t>
  </si>
  <si>
    <t>289410.0</t>
  </si>
  <si>
    <t>7757.0</t>
  </si>
  <si>
    <t>979.0</t>
  </si>
  <si>
    <t>6778.0</t>
  </si>
  <si>
    <t>201588.0</t>
  </si>
  <si>
    <t>28604.0</t>
  </si>
  <si>
    <t>172984.0</t>
  </si>
  <si>
    <t>8837.0</t>
  </si>
  <si>
    <t>580.0</t>
  </si>
  <si>
    <t>8257.0</t>
  </si>
  <si>
    <t>4259.0</t>
  </si>
  <si>
    <t>3251.0</t>
  </si>
  <si>
    <t>1008.0</t>
  </si>
  <si>
    <t>205932.0</t>
  </si>
  <si>
    <t>31908.0</t>
  </si>
  <si>
    <t>174024.0</t>
  </si>
  <si>
    <t>8976.0</t>
  </si>
  <si>
    <t>677.0</t>
  </si>
  <si>
    <t>8299.0</t>
  </si>
  <si>
    <t>600184.0</t>
  </si>
  <si>
    <t>20426.0</t>
  </si>
  <si>
    <t>579758.0</t>
  </si>
  <si>
    <t>12584.0</t>
  </si>
  <si>
    <t>884.0</t>
  </si>
  <si>
    <t>11700.0</t>
  </si>
  <si>
    <t>1566.0</t>
  </si>
  <si>
    <t>998.0</t>
  </si>
  <si>
    <t>144.0</t>
  </si>
  <si>
    <t>117.0</t>
  </si>
  <si>
    <t>602346.0</t>
  </si>
  <si>
    <t>21228.0</t>
  </si>
  <si>
    <t>581118.0</t>
  </si>
  <si>
    <t>12937.0</t>
  </si>
  <si>
    <t>1073.0</t>
  </si>
  <si>
    <t>11864.0</t>
  </si>
  <si>
    <t>289017.0</t>
  </si>
  <si>
    <t>12377.0</t>
  </si>
  <si>
    <t>276640.0</t>
  </si>
  <si>
    <t>3652.0</t>
  </si>
  <si>
    <t>1928.0</t>
  </si>
  <si>
    <t>1724.0</t>
  </si>
  <si>
    <t>364.0</t>
  </si>
  <si>
    <t>426.0</t>
  </si>
  <si>
    <t>737.0</t>
  </si>
  <si>
    <t>522.0</t>
  </si>
  <si>
    <t>216.0</t>
  </si>
  <si>
    <t>291411.0</t>
  </si>
  <si>
    <t>13358.0</t>
  </si>
  <si>
    <t>278053.0</t>
  </si>
  <si>
    <t>3790.0</t>
  </si>
  <si>
    <t>2025.0</t>
  </si>
  <si>
    <t>1765.0</t>
  </si>
  <si>
    <t>264953.0</t>
  </si>
  <si>
    <t>10723.0</t>
  </si>
  <si>
    <t>254230.0</t>
  </si>
  <si>
    <t>10255.0</t>
  </si>
  <si>
    <t>571.0</t>
  </si>
  <si>
    <t>9684.0</t>
  </si>
  <si>
    <t>166.0</t>
  </si>
  <si>
    <t>529.0</t>
  </si>
  <si>
    <t>360.0</t>
  </si>
  <si>
    <t>2257.0</t>
  </si>
  <si>
    <t>1971.0</t>
  </si>
  <si>
    <t>1280.0</t>
  </si>
  <si>
    <t>994.0</t>
  </si>
  <si>
    <t>269459.0</t>
  </si>
  <si>
    <t>11877.0</t>
  </si>
  <si>
    <t>257582.0</t>
  </si>
  <si>
    <t>10661.0</t>
  </si>
  <si>
    <t>717.0</t>
  </si>
  <si>
    <t>9944.0</t>
  </si>
  <si>
    <t>1065.0</t>
  </si>
  <si>
    <t>543.0</t>
  </si>
  <si>
    <t>777.0</t>
  </si>
  <si>
    <t>642.0</t>
  </si>
  <si>
    <t>6159.0</t>
  </si>
  <si>
    <t>2479.0</t>
  </si>
  <si>
    <t>3680.0</t>
  </si>
  <si>
    <t>3572.0</t>
  </si>
  <si>
    <t>2417.0</t>
  </si>
  <si>
    <t>898.0</t>
  </si>
  <si>
    <t>996.0</t>
  </si>
  <si>
    <t>435.0</t>
  </si>
  <si>
    <t>561.0</t>
  </si>
  <si>
    <t>412491.0</t>
  </si>
  <si>
    <t>19410.0</t>
  </si>
  <si>
    <t>393081.0</t>
  </si>
  <si>
    <t>5757.0</t>
  </si>
  <si>
    <t>4995.0</t>
  </si>
  <si>
    <t>427664.0</t>
  </si>
  <si>
    <t>24773.0</t>
  </si>
  <si>
    <t>402891.0</t>
  </si>
  <si>
    <t>6050.0</t>
  </si>
  <si>
    <t>937.0</t>
  </si>
  <si>
    <t>180.0</t>
  </si>
  <si>
    <t>140.0</t>
  </si>
  <si>
    <t>2325.0</t>
  </si>
  <si>
    <t>1750.0</t>
  </si>
  <si>
    <t>575.0</t>
  </si>
  <si>
    <t>661204.0</t>
  </si>
  <si>
    <t>23689.0</t>
  </si>
  <si>
    <t>637515.0</t>
  </si>
  <si>
    <t>25978.0</t>
  </si>
  <si>
    <t>2482.0</t>
  </si>
  <si>
    <t>23496.0</t>
  </si>
  <si>
    <t>665171.0</t>
  </si>
  <si>
    <t>26025.0</t>
  </si>
  <si>
    <t>639146.0</t>
  </si>
  <si>
    <t>26654.0</t>
  </si>
  <si>
    <t>23964.0</t>
  </si>
  <si>
    <t>852.0</t>
  </si>
  <si>
    <t>1213.0</t>
  </si>
  <si>
    <t>318426.0</t>
  </si>
  <si>
    <t>10894.0</t>
  </si>
  <si>
    <t>307532.0</t>
  </si>
  <si>
    <t>4232.0</t>
  </si>
  <si>
    <t>1184.0</t>
  </si>
  <si>
    <t>3048.0</t>
  </si>
  <si>
    <t>321009.0</t>
  </si>
  <si>
    <t>11829.0</t>
  </si>
  <si>
    <t>309180.0</t>
  </si>
  <si>
    <t>4424.0</t>
  </si>
  <si>
    <t>1320.0</t>
  </si>
  <si>
    <t>10101.0</t>
  </si>
  <si>
    <t>5662.0</t>
  </si>
  <si>
    <t>4439.0</t>
  </si>
  <si>
    <t>935.0</t>
  </si>
  <si>
    <t>897.0</t>
  </si>
  <si>
    <t>126.0</t>
  </si>
  <si>
    <t>11784.0</t>
  </si>
  <si>
    <t>8424.0</t>
  </si>
  <si>
    <t>3360.0</t>
  </si>
  <si>
    <t>12182.0</t>
  </si>
  <si>
    <t>6928.0</t>
  </si>
  <si>
    <t>389.0</t>
  </si>
  <si>
    <t>3723.0</t>
  </si>
  <si>
    <t>2175.0</t>
  </si>
  <si>
    <t>1548.0</t>
  </si>
  <si>
    <t>213.0</t>
  </si>
  <si>
    <t>841.0</t>
  </si>
  <si>
    <t>1016.0</t>
  </si>
  <si>
    <t>778.0</t>
  </si>
  <si>
    <t>Name_Census</t>
  </si>
  <si>
    <t>COMMUNITY_NAME_1</t>
  </si>
  <si>
    <t>CID_InitIncorpUnicrop_county</t>
  </si>
  <si>
    <t>COUNTY</t>
  </si>
  <si>
    <t>COMM_NO</t>
  </si>
  <si>
    <t>CID_WVGISTC</t>
  </si>
  <si>
    <t>Census_ID</t>
  </si>
  <si>
    <t>GEO_ID</t>
  </si>
  <si>
    <t>Area_Sqmi</t>
  </si>
  <si>
    <t>Population_Total</t>
  </si>
  <si>
    <t>Population_Density</t>
  </si>
  <si>
    <t>Households_Total</t>
  </si>
  <si>
    <t>Average_Household_Size</t>
  </si>
  <si>
    <t>Population_in_Households</t>
  </si>
  <si>
    <t>Income_less_10000</t>
  </si>
  <si>
    <t>Income_10000_14999</t>
  </si>
  <si>
    <t>Income_15000_19999</t>
  </si>
  <si>
    <t>Income_20000_24999</t>
  </si>
  <si>
    <t>Income_25000_29999</t>
  </si>
  <si>
    <t>Income_30000_34999</t>
  </si>
  <si>
    <t>Income_35000_39999</t>
  </si>
  <si>
    <t>Income_40000_44999</t>
  </si>
  <si>
    <t>Income_45000_49999</t>
  </si>
  <si>
    <t>Income_50000_59999</t>
  </si>
  <si>
    <t>Income_60000_74999</t>
  </si>
  <si>
    <t>Income_75000_99999</t>
  </si>
  <si>
    <t>Income_100000_124999</t>
  </si>
  <si>
    <t>Income_125000_149999</t>
  </si>
  <si>
    <t>Income_150000_199999</t>
  </si>
  <si>
    <t>Income_200000_more</t>
  </si>
  <si>
    <t>Income_pct_Less_20000</t>
  </si>
  <si>
    <t>Income_pct_20000_30000</t>
  </si>
  <si>
    <t>Income_pct_30000_50000</t>
  </si>
  <si>
    <t>Income_pct_50000_60000</t>
  </si>
  <si>
    <t>Income_pct_60000_more</t>
  </si>
  <si>
    <t>PerCapita_Income</t>
  </si>
  <si>
    <t>Median_Household_Income</t>
  </si>
  <si>
    <t>Percent_below_State_Median_Income</t>
  </si>
  <si>
    <t>Occupied_Res_Units</t>
  </si>
  <si>
    <t>Vacant_Res_Units</t>
  </si>
  <si>
    <t>Owner_Occupied_Res</t>
  </si>
  <si>
    <t>Renter_Occupied_Res</t>
  </si>
  <si>
    <t>Housing_Cost_ Less20pct_Less20000</t>
  </si>
  <si>
    <t>Housing_Cost_20_29pct_Less20000</t>
  </si>
  <si>
    <t>Housing_Cost_30pct_more_Less20000</t>
  </si>
  <si>
    <t>Housing_Cost_Less20pct_20000_34999</t>
  </si>
  <si>
    <t>Housing_Cost_20_29pct_20000_34999</t>
  </si>
  <si>
    <t>Housing_Cost_30pct_more_20000_34999</t>
  </si>
  <si>
    <t>Housing_Cost_Less20pct_35000_49999</t>
  </si>
  <si>
    <t>Housing_Cost_20_29pct_35000_49999</t>
  </si>
  <si>
    <t>Housing_Cost_30pct_more_35000_49999</t>
  </si>
  <si>
    <t>Housing_Cost_Less20pct_50000_74999</t>
  </si>
  <si>
    <t>Housing_Cost_20_29pct_50000_74999</t>
  </si>
  <si>
    <t>Housing_Cost_30pct_more_50000_74999</t>
  </si>
  <si>
    <t>Housing_Cost_Less20pct_75000_more</t>
  </si>
  <si>
    <t>Housing_Cost_20_29pct_75000_more</t>
  </si>
  <si>
    <t>Housing_Cost_30pct_more_75000_more</t>
  </si>
  <si>
    <t>Percent_Spending_atleast_30pct_on_Housing</t>
  </si>
  <si>
    <t>Age_pct_under_5</t>
  </si>
  <si>
    <t>Age_pct_5_9</t>
  </si>
  <si>
    <t>Age_pct_10_14</t>
  </si>
  <si>
    <t>Age_pct_15_19</t>
  </si>
  <si>
    <t>Age_pct_20_24</t>
  </si>
  <si>
    <t>Age_pct_25_29</t>
  </si>
  <si>
    <t>Age_pct_30_34</t>
  </si>
  <si>
    <t>Age_pct_35_39</t>
  </si>
  <si>
    <t>Age_pct_40_44</t>
  </si>
  <si>
    <t>Age_pct_45_49</t>
  </si>
  <si>
    <t>Age_pct_50_54</t>
  </si>
  <si>
    <t>Age_pct_55_59</t>
  </si>
  <si>
    <t>Age_pct_60_64</t>
  </si>
  <si>
    <t>Age_pct_65_69</t>
  </si>
  <si>
    <t>Age_pct_70_74</t>
  </si>
  <si>
    <t>Age_pct_75_79</t>
  </si>
  <si>
    <t>Age_pct_80_84</t>
  </si>
  <si>
    <t>Age_pct_85_over</t>
  </si>
  <si>
    <t>Age_pct_Under_15</t>
  </si>
  <si>
    <t>Age_pct_15_64</t>
  </si>
  <si>
    <t>Age_pct_65_over</t>
  </si>
  <si>
    <t>GEO.id2</t>
  </si>
  <si>
    <t>GEO.id</t>
  </si>
  <si>
    <t>HC01_EST_VC01</t>
  </si>
  <si>
    <t>HC01_EST_VC02</t>
  </si>
  <si>
    <t>HC01_EST_VC03</t>
  </si>
  <si>
    <t>HD01_VD01</t>
  </si>
  <si>
    <t>HD01_VD02</t>
  </si>
  <si>
    <t>HD01_VD03</t>
  </si>
  <si>
    <t>HD01_VD04</t>
  </si>
  <si>
    <t>HD01_VD05</t>
  </si>
  <si>
    <t>HD01_VD06</t>
  </si>
  <si>
    <t>HD01_VD07</t>
  </si>
  <si>
    <t>HD01_VD08</t>
  </si>
  <si>
    <t>HD01_VD09</t>
  </si>
  <si>
    <t>HD01_VD10</t>
  </si>
  <si>
    <t>HD01_VD11</t>
  </si>
  <si>
    <t>HD01_VD12</t>
  </si>
  <si>
    <t>HD01_VD13</t>
  </si>
  <si>
    <t>HD01_VD14</t>
  </si>
  <si>
    <t>HD01_VD15</t>
  </si>
  <si>
    <t>HD01_VD16</t>
  </si>
  <si>
    <t>HD01_VD17</t>
  </si>
  <si>
    <t>HC01_EST_VC14</t>
  </si>
  <si>
    <t>HC03_EST_VC01</t>
  </si>
  <si>
    <t>HC05_EST_VC01</t>
  </si>
  <si>
    <t>HC01_EST_VC31</t>
  </si>
  <si>
    <t>HC01_EST_VC32</t>
  </si>
  <si>
    <t>HC01_EST_VC33</t>
  </si>
  <si>
    <t>HC01_EST_VC35</t>
  </si>
  <si>
    <t>HC01_EST_VC36</t>
  </si>
  <si>
    <t>HC01_EST_VC37</t>
  </si>
  <si>
    <t>HC01_EST_VC39</t>
  </si>
  <si>
    <t>HC01_EST_VC40</t>
  </si>
  <si>
    <t>HC01_EST_VC41</t>
  </si>
  <si>
    <t>HC01_EST_VC43</t>
  </si>
  <si>
    <t>HC01_EST_VC44</t>
  </si>
  <si>
    <t>HC01_EST_VC45</t>
  </si>
  <si>
    <t>HC01_EST_VC47</t>
  </si>
  <si>
    <t>HC01_EST_VC48</t>
  </si>
  <si>
    <t>HC01_EST_VC49</t>
  </si>
  <si>
    <t>HC02_EST_VC03</t>
  </si>
  <si>
    <t>HC02_EST_VC04</t>
  </si>
  <si>
    <t>HC02_EST_VC05</t>
  </si>
  <si>
    <t>HC02_EST_VC06</t>
  </si>
  <si>
    <t>HC02_EST_VC07</t>
  </si>
  <si>
    <t>HC02_EST_VC08</t>
  </si>
  <si>
    <t>HC02_EST_VC09</t>
  </si>
  <si>
    <t>HC02_EST_VC10</t>
  </si>
  <si>
    <t>HC02_EST_VC11</t>
  </si>
  <si>
    <t>HC02_EST_VC12</t>
  </si>
  <si>
    <t>HC02_EST_VC13</t>
  </si>
  <si>
    <t>HC02_EST_VC14</t>
  </si>
  <si>
    <t>HC02_EST_VC15</t>
  </si>
  <si>
    <t>HC02_EST_VC16</t>
  </si>
  <si>
    <t>HC02_EST_VC17</t>
  </si>
  <si>
    <t>HC02_EST_VC18</t>
  </si>
  <si>
    <t>HC02_EST_VC19</t>
  </si>
  <si>
    <t>HC02_EST_VC20</t>
  </si>
  <si>
    <t>Barbour</t>
  </si>
  <si>
    <t>Unincorporated-540001-07/01/87-BARBOUR COUNTY</t>
  </si>
  <si>
    <t>001</t>
  </si>
  <si>
    <t>54</t>
  </si>
  <si>
    <t>0001</t>
  </si>
  <si>
    <t>Belington town</t>
  </si>
  <si>
    <t>Incorporated-540002-08/01/79-BARBOUR COUNTY</t>
  </si>
  <si>
    <t>0002</t>
  </si>
  <si>
    <t>1600000US5405788</t>
  </si>
  <si>
    <t>Junior town</t>
  </si>
  <si>
    <t>Incorporated-540003-04/17/87-BARBOUR COUNTY</t>
  </si>
  <si>
    <t>0003</t>
  </si>
  <si>
    <t>1600000US5442244</t>
  </si>
  <si>
    <t>Philippi city</t>
  </si>
  <si>
    <t>Incorporated-540004-09/04/86-BARBOUR COUNTY</t>
  </si>
  <si>
    <t>0004</t>
  </si>
  <si>
    <t>1600000US5463292</t>
  </si>
  <si>
    <t>Barbour County, West Virginia</t>
  </si>
  <si>
    <t>0500000US54001</t>
  </si>
  <si>
    <t>Berkeley</t>
  </si>
  <si>
    <t>Unincorporated-540282-08/04/88-BERKELEY COUNTY</t>
  </si>
  <si>
    <t>003</t>
  </si>
  <si>
    <t>0282</t>
  </si>
  <si>
    <t>Hedgesville town</t>
  </si>
  <si>
    <t>Incorporated-Town of Hedgesville-BERKELEY COUNTY</t>
  </si>
  <si>
    <t>5550</t>
  </si>
  <si>
    <t>1600000US5436220</t>
  </si>
  <si>
    <t>Martinsburg city</t>
  </si>
  <si>
    <t>Incorporated-540006-12/18/1979-BERKELEY COUNTY</t>
  </si>
  <si>
    <t>0006</t>
  </si>
  <si>
    <t>1600000US5452060</t>
  </si>
  <si>
    <t>Berkeley County, West Virginia</t>
  </si>
  <si>
    <t>0500000US54003</t>
  </si>
  <si>
    <t>Boone</t>
  </si>
  <si>
    <t>Unincorporated-540007-04/16/91-BOONE COUNTY</t>
  </si>
  <si>
    <t>005</t>
  </si>
  <si>
    <t>0007</t>
  </si>
  <si>
    <t>Danville town</t>
  </si>
  <si>
    <t>Incorporated-540230-04/16/91-BOONE COUNTY</t>
  </si>
  <si>
    <t>0230</t>
  </si>
  <si>
    <t>1600000US5420212</t>
  </si>
  <si>
    <t>Madison city</t>
  </si>
  <si>
    <t>Incorporated-540008-04/16/91-BOONE COUNTY</t>
  </si>
  <si>
    <t>0008</t>
  </si>
  <si>
    <t>1600000US5450524</t>
  </si>
  <si>
    <t>Sylvester town</t>
  </si>
  <si>
    <t>Incorporated-540238-04/16/91-BOONE COUNTY</t>
  </si>
  <si>
    <t>0238</t>
  </si>
  <si>
    <t>1600000US5478964</t>
  </si>
  <si>
    <t>Whitesville town</t>
  </si>
  <si>
    <t>Incorporated-540229-04/16/91-BOONE COUNTY</t>
  </si>
  <si>
    <t>0229</t>
  </si>
  <si>
    <t>1600000US5486836</t>
  </si>
  <si>
    <t>Boone County, West Virginia</t>
  </si>
  <si>
    <t>0500000US54005</t>
  </si>
  <si>
    <t>Braxton</t>
  </si>
  <si>
    <t>Unincorporated-540009-04/19/10-BRAXTON COUNTY</t>
  </si>
  <si>
    <t>007</t>
  </si>
  <si>
    <t>0009</t>
  </si>
  <si>
    <t>Burnsville town</t>
  </si>
  <si>
    <t>Incorporated-540010-04/19/10-BRAXTON COUNTY</t>
  </si>
  <si>
    <t>0010</t>
  </si>
  <si>
    <t>1600000US5411716</t>
  </si>
  <si>
    <t>Flatwoods town</t>
  </si>
  <si>
    <t>Incorporated-540235-04/19/10-BRAXTON COUNTY</t>
  </si>
  <si>
    <t>0235</t>
  </si>
  <si>
    <t>1600000US5427868</t>
  </si>
  <si>
    <t>Gassaway town</t>
  </si>
  <si>
    <t>Incorporated-540237-04/19/10-BRAXTON COUNTY</t>
  </si>
  <si>
    <t>0237</t>
  </si>
  <si>
    <t>1600000US5430220</t>
  </si>
  <si>
    <t>Sutton town</t>
  </si>
  <si>
    <t>Incorporated-540236-04/19/10-BRAXTON COUNTY</t>
  </si>
  <si>
    <t>0236</t>
  </si>
  <si>
    <t>1600000US5478580</t>
  </si>
  <si>
    <t>Braxton County, West Virginia</t>
  </si>
  <si>
    <t>0500000US54007</t>
  </si>
  <si>
    <t>Unincorporated-540011-12/15/1983-BROOKE COUNTY</t>
  </si>
  <si>
    <t>009</t>
  </si>
  <si>
    <t>0011</t>
  </si>
  <si>
    <t>Beech Bottom village</t>
  </si>
  <si>
    <t>Incorporated-540093-04/19/10-BROOKE COUNTY</t>
  </si>
  <si>
    <t>0093</t>
  </si>
  <si>
    <t>1600000US5405452</t>
  </si>
  <si>
    <t>Bethany town</t>
  </si>
  <si>
    <t>Incorporated-540012-09/28/79-BROOKE COUNTY</t>
  </si>
  <si>
    <t>0012</t>
  </si>
  <si>
    <t>1600000US5406844</t>
  </si>
  <si>
    <t>Follansbee city</t>
  </si>
  <si>
    <t>Incorporated-540013-09/30/82-BROOKE COUNTY</t>
  </si>
  <si>
    <t>0013</t>
  </si>
  <si>
    <t>1600000US5428204</t>
  </si>
  <si>
    <t>Weirton city</t>
  </si>
  <si>
    <t>Incorporated-540014-09/28/79-BROOKE COUNTY</t>
  </si>
  <si>
    <t>029</t>
  </si>
  <si>
    <t>0014</t>
  </si>
  <si>
    <t>540014B</t>
  </si>
  <si>
    <t>1600000US5485156</t>
  </si>
  <si>
    <t>Wellsburg city</t>
  </si>
  <si>
    <t>Incorporated-540015-11/17/1982-BROOKE COUNTY</t>
  </si>
  <si>
    <t>0015</t>
  </si>
  <si>
    <t>1600000US5485324</t>
  </si>
  <si>
    <t>Windsor Heights village</t>
  </si>
  <si>
    <t>Incorporated-Village of Windsor Heights-BROOKE COUNTY</t>
  </si>
  <si>
    <t>0084</t>
  </si>
  <si>
    <t>1600000US5487892</t>
  </si>
  <si>
    <t>Brooke County, West Virginia</t>
  </si>
  <si>
    <t>0500000US54009</t>
  </si>
  <si>
    <t>Unincorporated-540016-09/30/87-CABELL COUNTY</t>
  </si>
  <si>
    <t>011</t>
  </si>
  <si>
    <t>0016</t>
  </si>
  <si>
    <t>Barboursville village</t>
  </si>
  <si>
    <t>Incorporated-540017-06/03/88-CABELL COUNTY</t>
  </si>
  <si>
    <t>0017</t>
  </si>
  <si>
    <t>1600000US5404276</t>
  </si>
  <si>
    <t>Huntington city</t>
  </si>
  <si>
    <t>Incorporated-540018-01/17/90-CABELL COUNTY</t>
  </si>
  <si>
    <t>0018</t>
  </si>
  <si>
    <t>540018C</t>
  </si>
  <si>
    <t>1600000US5439460</t>
  </si>
  <si>
    <t>Milton town</t>
  </si>
  <si>
    <t>Incorporated-540019-09/30/87-CABELL COUNTY</t>
  </si>
  <si>
    <t>0019</t>
  </si>
  <si>
    <t>1600000US5454484</t>
  </si>
  <si>
    <t>Cabell County, West Virginia</t>
  </si>
  <si>
    <t>0500000US54011</t>
  </si>
  <si>
    <t>Calhoun</t>
  </si>
  <si>
    <t>Unincorporated-540020-03/18/91-CALHOUN COUNTY</t>
  </si>
  <si>
    <t>013</t>
  </si>
  <si>
    <t>0020</t>
  </si>
  <si>
    <t>Grantsville town</t>
  </si>
  <si>
    <t>Incorporated-540021-03/18/91-CALHOUN COUNTY</t>
  </si>
  <si>
    <t>0021</t>
  </si>
  <si>
    <t>1600000US5432884</t>
  </si>
  <si>
    <t>Calhoun County, West Virginia</t>
  </si>
  <si>
    <t>0500000US54013</t>
  </si>
  <si>
    <t>Clay</t>
  </si>
  <si>
    <t>Unincorporated-540022-03/18/91-CLAY COUNTY</t>
  </si>
  <si>
    <t>015</t>
  </si>
  <si>
    <t>0022</t>
  </si>
  <si>
    <t>Clay town</t>
  </si>
  <si>
    <t>Incorporated-540023-03/18/91-CLAY COUNTY</t>
  </si>
  <si>
    <t>0023</t>
  </si>
  <si>
    <t>1600000US5415676</t>
  </si>
  <si>
    <t>Clay County, West Virginia</t>
  </si>
  <si>
    <t>0500000US54015</t>
  </si>
  <si>
    <t>Doddridge</t>
  </si>
  <si>
    <t>Unincorporated-540024-03/18/91-DODDRIDGE COUNTY</t>
  </si>
  <si>
    <t>017</t>
  </si>
  <si>
    <t>0024</t>
  </si>
  <si>
    <t>West Union town</t>
  </si>
  <si>
    <t>Incorporated-540025-03/18/91-DODDRIDGE COUNTY</t>
  </si>
  <si>
    <t>0025</t>
  </si>
  <si>
    <t>1600000US5486116</t>
  </si>
  <si>
    <t>Doddridge County, West Virginia</t>
  </si>
  <si>
    <t>0500000US54017</t>
  </si>
  <si>
    <t>Unincorporated-540026-03/04/88-FAYETTE COUNTY</t>
  </si>
  <si>
    <t>019</t>
  </si>
  <si>
    <t>0026</t>
  </si>
  <si>
    <t>Ansted town</t>
  </si>
  <si>
    <t>Incorporated-540027-10/30/1981-FAYETTE COUNTY</t>
  </si>
  <si>
    <t>0027</t>
  </si>
  <si>
    <t>1600000US5401996</t>
  </si>
  <si>
    <t>Fayetteville town</t>
  </si>
  <si>
    <t>Incorporated-540293-03/04/88-FAYETTE COUNTY</t>
  </si>
  <si>
    <t>0293</t>
  </si>
  <si>
    <t>1600000US5427028</t>
  </si>
  <si>
    <t>Gauley Bridge town</t>
  </si>
  <si>
    <t>Incorporated-540294-09/18/91-FAYETTE COUNTY</t>
  </si>
  <si>
    <t>0294</t>
  </si>
  <si>
    <t>1600000US5430364</t>
  </si>
  <si>
    <t>Meadow Bridge town</t>
  </si>
  <si>
    <t>Incorporated-540028-01/02/91-FAYETTE COUNTY</t>
  </si>
  <si>
    <t>0028</t>
  </si>
  <si>
    <t>1600000US5452780</t>
  </si>
  <si>
    <t>Montgomery city</t>
  </si>
  <si>
    <t>Incorporated-540029-06/01/82-FAYETTE COUNTY</t>
  </si>
  <si>
    <t>0029</t>
  </si>
  <si>
    <t>540029F</t>
  </si>
  <si>
    <t>1600000US5455468</t>
  </si>
  <si>
    <t>Mount Hope city</t>
  </si>
  <si>
    <t>Incorporated-540280-08/10/79-FAYETTE COUNTY</t>
  </si>
  <si>
    <t>0280</t>
  </si>
  <si>
    <t>1600000US5456404</t>
  </si>
  <si>
    <t>Oak Hill city</t>
  </si>
  <si>
    <t>Incorporated-540031-01/18/80-FAYETTE COUNTY</t>
  </si>
  <si>
    <t>0031</t>
  </si>
  <si>
    <t>1600000US5460028</t>
  </si>
  <si>
    <t>Pax town</t>
  </si>
  <si>
    <t>Incorporated-540032-08/10/79-FAYETTE COUNTY</t>
  </si>
  <si>
    <t>0032</t>
  </si>
  <si>
    <t>1600000US5462356</t>
  </si>
  <si>
    <t>Smithers city</t>
  </si>
  <si>
    <t>Incorporated-540033-04/15/82-FAYETTE COUNTY</t>
  </si>
  <si>
    <t>039</t>
  </si>
  <si>
    <t>0033</t>
  </si>
  <si>
    <t>540033F</t>
  </si>
  <si>
    <t>1600000US5474740</t>
  </si>
  <si>
    <t>Thurmond town</t>
  </si>
  <si>
    <t>Incorporated-540050-03/04/88-FAYETTE COUNTY</t>
  </si>
  <si>
    <t>0050</t>
  </si>
  <si>
    <t>1600000US5480284</t>
  </si>
  <si>
    <t>Fayette County, West Virginia</t>
  </si>
  <si>
    <t>0500000US54019</t>
  </si>
  <si>
    <t>Gilmer</t>
  </si>
  <si>
    <t>Unincorporated-540035-04/16/91-GILMER COUNTY</t>
  </si>
  <si>
    <t>021</t>
  </si>
  <si>
    <t>0035</t>
  </si>
  <si>
    <t>Glenville town</t>
  </si>
  <si>
    <t>Incorporated-540036-04/16/91-GILMER COUNTY</t>
  </si>
  <si>
    <t>0036</t>
  </si>
  <si>
    <t>1600000US5432044</t>
  </si>
  <si>
    <t>Sand Fork town</t>
  </si>
  <si>
    <t>Incorporated-540037-04/16/91-GILMER COUNTY</t>
  </si>
  <si>
    <t>0037</t>
  </si>
  <si>
    <t>1600000US5471620</t>
  </si>
  <si>
    <t>Gilmer County, West Virginia</t>
  </si>
  <si>
    <t>0500000US54021</t>
  </si>
  <si>
    <t>Grant</t>
  </si>
  <si>
    <t>Unincorporated-540038-08/01/87-GRANT COUNTY</t>
  </si>
  <si>
    <t>023</t>
  </si>
  <si>
    <t>0038</t>
  </si>
  <si>
    <t>Petersburg city</t>
  </si>
  <si>
    <t>Incorporated-540039-05/03/90-GRANT COUNTY</t>
  </si>
  <si>
    <t>0039</t>
  </si>
  <si>
    <t>1600000US5462956</t>
  </si>
  <si>
    <t>Bayard town</t>
  </si>
  <si>
    <t>Incorporated-540240-08/10/79-GRANT COUNTY</t>
  </si>
  <si>
    <t>0240</t>
  </si>
  <si>
    <t>1600000US5404924</t>
  </si>
  <si>
    <t>Grant County, West Virginia</t>
  </si>
  <si>
    <t>0500000US54023</t>
  </si>
  <si>
    <t>Unincorporated-540040-01/15/88-GREENBRIER COUNTY</t>
  </si>
  <si>
    <t>025</t>
  </si>
  <si>
    <t>0040</t>
  </si>
  <si>
    <t>Alderson town</t>
  </si>
  <si>
    <t>Incorporated-540041-09/27/91-GREENBRIER COUNTY</t>
  </si>
  <si>
    <t>0041</t>
  </si>
  <si>
    <t>540041G</t>
  </si>
  <si>
    <t>1600000US5400772</t>
  </si>
  <si>
    <t>Falling Spring town</t>
  </si>
  <si>
    <t>Incorporated-540243-09/24/84-GREENBRIER COUNTY</t>
  </si>
  <si>
    <t>0243</t>
  </si>
  <si>
    <t>1600000US5426692</t>
  </si>
  <si>
    <t>Lewisburg city</t>
  </si>
  <si>
    <t>Incorporated-540281-10/16/2012-GREENBRIER COUNTY</t>
  </si>
  <si>
    <t>0281</t>
  </si>
  <si>
    <t>1600000US5446636</t>
  </si>
  <si>
    <t>Quinwood town</t>
  </si>
  <si>
    <t>Incorporated-540244-02/27/81-GREENBRIER COUNTY</t>
  </si>
  <si>
    <t>0244</t>
  </si>
  <si>
    <t>1600000US5466412</t>
  </si>
  <si>
    <t>Rainelle town</t>
  </si>
  <si>
    <t>Incorporated-540228-11/19/1987-GREENBRIER COUNTY</t>
  </si>
  <si>
    <t>0228</t>
  </si>
  <si>
    <t>1600000US5466652</t>
  </si>
  <si>
    <t>Ronceverte city</t>
  </si>
  <si>
    <t>Incorporated-540043-05/17/90-GREENBRIER COUNTY</t>
  </si>
  <si>
    <t>0043</t>
  </si>
  <si>
    <t>1600000US5470156</t>
  </si>
  <si>
    <t>Rupert town</t>
  </si>
  <si>
    <t>Incorporated-540044-08/24/84-GREENBRIER COUNTY</t>
  </si>
  <si>
    <t>0044</t>
  </si>
  <si>
    <t>1600000US5470828</t>
  </si>
  <si>
    <t>White Sulphur Springs city</t>
  </si>
  <si>
    <t>Incorporated-540045-08/01/78-GREENBRIER COUNTY</t>
  </si>
  <si>
    <t>0045</t>
  </si>
  <si>
    <t>1600000US5486812</t>
  </si>
  <si>
    <t>Greenbrier County, West Virginia</t>
  </si>
  <si>
    <t>0500000US54025</t>
  </si>
  <si>
    <t>Hampshire</t>
  </si>
  <si>
    <t>Unincorporated-540226-08/01/87-HAMPSHIRE COUNTY</t>
  </si>
  <si>
    <t>027</t>
  </si>
  <si>
    <t>0226</t>
  </si>
  <si>
    <t>Capon Bridge town</t>
  </si>
  <si>
    <t>Incorporated-540046-04/01/88-HAMPSHIRE COUNTY</t>
  </si>
  <si>
    <t>0046</t>
  </si>
  <si>
    <t>1600000US5413108</t>
  </si>
  <si>
    <t>Romney city</t>
  </si>
  <si>
    <t>Incorporated-540276-06/15/88-HAMPSHIRE COUNTY</t>
  </si>
  <si>
    <t>0276</t>
  </si>
  <si>
    <t>1600000US5470084</t>
  </si>
  <si>
    <t>Hampshire County, West Virginia</t>
  </si>
  <si>
    <t>0500000US54027</t>
  </si>
  <si>
    <t>Unincorporated-540047-06/15/84-HANCOCK COUNTY</t>
  </si>
  <si>
    <t>0047</t>
  </si>
  <si>
    <t>Chester city</t>
  </si>
  <si>
    <t>Incorporated-540048-12/1/1982-HANCOCK COUNTY</t>
  </si>
  <si>
    <t>0048</t>
  </si>
  <si>
    <t>1600000US5415076</t>
  </si>
  <si>
    <t>New Cumberland city</t>
  </si>
  <si>
    <t>Incorporated-540049-05/15/80-HANCOCK COUNTY</t>
  </si>
  <si>
    <t>0049</t>
  </si>
  <si>
    <t>1600000US5458372</t>
  </si>
  <si>
    <t>Incorporated-540014-09/28/79-HANCOCK COUNTY</t>
  </si>
  <si>
    <t>540014H</t>
  </si>
  <si>
    <t>Hancock County, West Virginia</t>
  </si>
  <si>
    <t>0500000US54029</t>
  </si>
  <si>
    <t>Hardy</t>
  </si>
  <si>
    <t>Unincorporated-540051-06/19/85-HARDY COUNTY</t>
  </si>
  <si>
    <t>031</t>
  </si>
  <si>
    <t>0051</t>
  </si>
  <si>
    <t>Moorefield town</t>
  </si>
  <si>
    <t>Incorporated-540052-12/15/1990-HARDY COUNTY</t>
  </si>
  <si>
    <t>0052</t>
  </si>
  <si>
    <t>1600000US5455588</t>
  </si>
  <si>
    <t>Wardensville town</t>
  </si>
  <si>
    <t>Incorporated-540245-08/01/87-HARDY COUNTY</t>
  </si>
  <si>
    <t>0245</t>
  </si>
  <si>
    <t>1600000US5484580</t>
  </si>
  <si>
    <t>Hardy County, West Virginia</t>
  </si>
  <si>
    <t>0500000US54031</t>
  </si>
  <si>
    <t>Harrison</t>
  </si>
  <si>
    <t>Unincorporated-540053-07/04/88-HARRISON COUNTY</t>
  </si>
  <si>
    <t>033</t>
  </si>
  <si>
    <t>0053</t>
  </si>
  <si>
    <t>Anmoore town</t>
  </si>
  <si>
    <t>Incorporated-540054-09/03/80-HARRISON COUNTY</t>
  </si>
  <si>
    <t>0054</t>
  </si>
  <si>
    <t>1600000US5401900</t>
  </si>
  <si>
    <t>Bridgeport city</t>
  </si>
  <si>
    <t>Incorporated-540055-03/04/88-HARRISON COUNTY</t>
  </si>
  <si>
    <t>0055</t>
  </si>
  <si>
    <t>1600000US5410180</t>
  </si>
  <si>
    <t>Clarksburg city</t>
  </si>
  <si>
    <t>Incorporated-540056-02/15/78-HARRISON COUNTY</t>
  </si>
  <si>
    <t>0056</t>
  </si>
  <si>
    <t>1600000US5415628</t>
  </si>
  <si>
    <t>Lost Creek town</t>
  </si>
  <si>
    <t>Incorporated-540057-03/04/88-HARRISON COUNTY</t>
  </si>
  <si>
    <t>0057</t>
  </si>
  <si>
    <t>1600000US5448748</t>
  </si>
  <si>
    <t>Lumberport town</t>
  </si>
  <si>
    <t>Incorporated-540058-03/04/88-HARRISON COUNTY</t>
  </si>
  <si>
    <t>0058</t>
  </si>
  <si>
    <t>1600000US5449252</t>
  </si>
  <si>
    <t>Nutter Fort town</t>
  </si>
  <si>
    <t>Incorporated-540059-09/17/80-HARRISON COUNTY</t>
  </si>
  <si>
    <t>0059</t>
  </si>
  <si>
    <t>1600000US5459836</t>
  </si>
  <si>
    <t>Salem city</t>
  </si>
  <si>
    <t>Incorporated-540242-12/4/1985-HARRISON COUNTY</t>
  </si>
  <si>
    <t>0242</t>
  </si>
  <si>
    <t>1600000US5471380</t>
  </si>
  <si>
    <t>Shinnston city</t>
  </si>
  <si>
    <t>Incorporated-540060-03/16/88-HARRISON COUNTY</t>
  </si>
  <si>
    <t>0060</t>
  </si>
  <si>
    <t>1600000US5473636</t>
  </si>
  <si>
    <t>Stonewood city</t>
  </si>
  <si>
    <t>Incorporated-540061-09/05/79-HARRISON COUNTY</t>
  </si>
  <si>
    <t>0061</t>
  </si>
  <si>
    <t>1600000US5477188</t>
  </si>
  <si>
    <t>West Milford town</t>
  </si>
  <si>
    <t>Incorporated-540062-04/01/88-HARRISON COUNTY</t>
  </si>
  <si>
    <t>0062</t>
  </si>
  <si>
    <t>1600000US5485924</t>
  </si>
  <si>
    <t>Harrison County, West Virginia</t>
  </si>
  <si>
    <t>0500000US54033</t>
  </si>
  <si>
    <t>Jackson</t>
  </si>
  <si>
    <t>Unincorporated-540063-05/01/85-JACKSON COUNTY</t>
  </si>
  <si>
    <t>035</t>
  </si>
  <si>
    <t>0063</t>
  </si>
  <si>
    <t>Ravenswood city</t>
  </si>
  <si>
    <t>Incorporated-540241-03/18/91-JACKSON COUNTY</t>
  </si>
  <si>
    <t>0241</t>
  </si>
  <si>
    <t>1600000US5467108</t>
  </si>
  <si>
    <t>Ripley city</t>
  </si>
  <si>
    <t>Incorporated-540064-09/01/77-JACKSON COUNTY</t>
  </si>
  <si>
    <t>0064</t>
  </si>
  <si>
    <t>1600000US5468596</t>
  </si>
  <si>
    <t>Jackson County, West Virginia</t>
  </si>
  <si>
    <t>0500000US54035</t>
  </si>
  <si>
    <t>Jefferson</t>
  </si>
  <si>
    <t>Unincorporated-540065-10/15/1980-JEFFERSON COUNTY</t>
  </si>
  <si>
    <t>037</t>
  </si>
  <si>
    <t>0065</t>
  </si>
  <si>
    <t>Bolivar town</t>
  </si>
  <si>
    <t>Incorporated-540030-12/18/2009-JEFFERSON COUNTY</t>
  </si>
  <si>
    <t>0030</t>
  </si>
  <si>
    <t>1600000US5408932</t>
  </si>
  <si>
    <t>Charles Town city</t>
  </si>
  <si>
    <t>Incorporated-540066-12/4/1979-JEFFERSON COUNTY</t>
  </si>
  <si>
    <t>0066</t>
  </si>
  <si>
    <t>1600000US5414610</t>
  </si>
  <si>
    <t>Harpers Ferry town</t>
  </si>
  <si>
    <t>Incorporated-540067-08/24/84-JEFFERSON COUNTY</t>
  </si>
  <si>
    <t>0067</t>
  </si>
  <si>
    <t>1600000US5435284</t>
  </si>
  <si>
    <t>Ranson corporation</t>
  </si>
  <si>
    <t>Incorporated-540068-06/15/79-JEFFERSON COUNTY</t>
  </si>
  <si>
    <t>0068</t>
  </si>
  <si>
    <t>1600000US5466988</t>
  </si>
  <si>
    <t>Shepherdstown town</t>
  </si>
  <si>
    <t>Incorporated-540069-03/18/80-JEFFERSON COUNTY</t>
  </si>
  <si>
    <t>0069</t>
  </si>
  <si>
    <t>1600000US5473468</t>
  </si>
  <si>
    <t>Jefferson County, West Virginia</t>
  </si>
  <si>
    <t>0500000US54037</t>
  </si>
  <si>
    <t>Unincorporated-540070-03/18/85-KANAWHA COUNTY</t>
  </si>
  <si>
    <t>0070</t>
  </si>
  <si>
    <t>Belle town</t>
  </si>
  <si>
    <t>Incorporated-540071-04/15/82-KANAWHA COUNTY</t>
  </si>
  <si>
    <t>0071</t>
  </si>
  <si>
    <t>1600000US5405836</t>
  </si>
  <si>
    <t>Cedar Grove town</t>
  </si>
  <si>
    <t>Incorporated-540072-06/01/82-KANAWHA COUNTY</t>
  </si>
  <si>
    <t>0072</t>
  </si>
  <si>
    <t>1600000US5413924</t>
  </si>
  <si>
    <t>Charleston city</t>
  </si>
  <si>
    <t>Incorporated-540073-06/15/83-KANAWHA COUNTY</t>
  </si>
  <si>
    <t>0073</t>
  </si>
  <si>
    <t>1600000US5414600</t>
  </si>
  <si>
    <t>Chesapeake town</t>
  </si>
  <si>
    <t>Incorporated-540074-06/01/82-KANAWHA COUNTY</t>
  </si>
  <si>
    <t>0074</t>
  </si>
  <si>
    <t>1600000US5415028</t>
  </si>
  <si>
    <t>Clendenin town</t>
  </si>
  <si>
    <t>Incorporated-540075-07/16/84-KANAWHA COUNTY</t>
  </si>
  <si>
    <t>0075</t>
  </si>
  <si>
    <t>1600000US5416012</t>
  </si>
  <si>
    <t>Dunbar city</t>
  </si>
  <si>
    <t>Incorporated-540076-06/01/82-KANAWHA COUNTY</t>
  </si>
  <si>
    <t>0076</t>
  </si>
  <si>
    <t>1600000US5422564</t>
  </si>
  <si>
    <t>East Bank town</t>
  </si>
  <si>
    <t>Incorporated-540077-06/01/82-KANAWHA COUNTY</t>
  </si>
  <si>
    <t>0077</t>
  </si>
  <si>
    <t>1600000US5423092</t>
  </si>
  <si>
    <t>Glasgow town</t>
  </si>
  <si>
    <t>Incorporated-540078-06/15/82-KANAWHA COUNTY</t>
  </si>
  <si>
    <t>0078</t>
  </si>
  <si>
    <t>1600000US5431324</t>
  </si>
  <si>
    <t>Handley town</t>
  </si>
  <si>
    <t>Incorporated-540279-07/05/84-KANAWHA COUNTY</t>
  </si>
  <si>
    <t>0279</t>
  </si>
  <si>
    <t>1600000US5434756</t>
  </si>
  <si>
    <t>Marmet city</t>
  </si>
  <si>
    <t>Incorporated-540079-04/15/82-KANAWHA COUNTY</t>
  </si>
  <si>
    <t>0079</t>
  </si>
  <si>
    <t>1600000US5451724</t>
  </si>
  <si>
    <t>Incorporated-540029-06/01/82-KANAWHA COUNTY</t>
  </si>
  <si>
    <t>540029K</t>
  </si>
  <si>
    <t>Nitro city</t>
  </si>
  <si>
    <t>Incorporated-540081-04/15/82-KANAWHA COUNTY</t>
  </si>
  <si>
    <t>0081</t>
  </si>
  <si>
    <t>540081K</t>
  </si>
  <si>
    <t>1600000US5459068</t>
  </si>
  <si>
    <t>Pratt town</t>
  </si>
  <si>
    <t>Incorporated-540082-05/01/84-KANAWHA COUNTY</t>
  </si>
  <si>
    <t>0082</t>
  </si>
  <si>
    <t>1600000US5465356</t>
  </si>
  <si>
    <t>Incorporated-540033-04/15/82-KANAWHA COUNTY</t>
  </si>
  <si>
    <t>540033K</t>
  </si>
  <si>
    <t>South Charleston city</t>
  </si>
  <si>
    <t>Incorporated-540223-06/15/82-KANAWHA COUNTY</t>
  </si>
  <si>
    <t>0223</t>
  </si>
  <si>
    <t>1600000US5475292</t>
  </si>
  <si>
    <t>St. Albans city</t>
  </si>
  <si>
    <t>Incorporated-540083-06/15/82-KANAWHA COUNTY</t>
  </si>
  <si>
    <t>0083</t>
  </si>
  <si>
    <t>1600000US5471212</t>
  </si>
  <si>
    <t>Kanawha County, West Virginia</t>
  </si>
  <si>
    <t>0500000US54039</t>
  </si>
  <si>
    <t>Lewis</t>
  </si>
  <si>
    <t>Unincorporated-540085-07/01/87-LEWIS COUNTY</t>
  </si>
  <si>
    <t>041</t>
  </si>
  <si>
    <t>0085</t>
  </si>
  <si>
    <t>Jane Lew town</t>
  </si>
  <si>
    <t>Incorporated-540086-09/24/84-LEWIS COUNTY</t>
  </si>
  <si>
    <t>0086</t>
  </si>
  <si>
    <t>1600000US5440828</t>
  </si>
  <si>
    <t>Weston city</t>
  </si>
  <si>
    <t>Incorporated-540087-04/15/82-LEWIS COUNTY</t>
  </si>
  <si>
    <t>0087</t>
  </si>
  <si>
    <t>1600000US5485972</t>
  </si>
  <si>
    <t>Lewis County, West Virginia</t>
  </si>
  <si>
    <t>0500000US54041</t>
  </si>
  <si>
    <t>Lincoln</t>
  </si>
  <si>
    <t>Unincorporated-540088-09/18/87-LINCOLN COUNTY</t>
  </si>
  <si>
    <t>043</t>
  </si>
  <si>
    <t>0088</t>
  </si>
  <si>
    <t>Hamlin town</t>
  </si>
  <si>
    <t>Incorporated-540089-09/04/87-LINCOLN COUNTY</t>
  </si>
  <si>
    <t>0089</t>
  </si>
  <si>
    <t>1600000US5434516</t>
  </si>
  <si>
    <t>West Hamlin town</t>
  </si>
  <si>
    <t>Incorporated-540090-09/04/87-LINCOLN COUNTY</t>
  </si>
  <si>
    <t>0090</t>
  </si>
  <si>
    <t>1600000US5485804</t>
  </si>
  <si>
    <t>Lincoln County, West Virginia</t>
  </si>
  <si>
    <t>0500000US54043</t>
  </si>
  <si>
    <t>Logan</t>
  </si>
  <si>
    <t>Unincorporated-545536-04/07/72-LOGAN COUNTY</t>
  </si>
  <si>
    <t>045</t>
  </si>
  <si>
    <t>5536</t>
  </si>
  <si>
    <t>Chapmanville town</t>
  </si>
  <si>
    <t>Incorporated-540092-08/27/71-LOGAN COUNTY</t>
  </si>
  <si>
    <t>0092</t>
  </si>
  <si>
    <t>1600000US5414524</t>
  </si>
  <si>
    <t>Logan city</t>
  </si>
  <si>
    <t>Incorporated-545535-07/16/71-LOGAN COUNTY</t>
  </si>
  <si>
    <t>5535</t>
  </si>
  <si>
    <t>1600000US5448148</t>
  </si>
  <si>
    <t>Man town</t>
  </si>
  <si>
    <t>Incorporated-545537-09/10/71-LOGAN COUNTY</t>
  </si>
  <si>
    <t>5537</t>
  </si>
  <si>
    <t>1600000US5450932</t>
  </si>
  <si>
    <t>Mitchell Heights town</t>
  </si>
  <si>
    <t>Incorporated-540095-08/13/71-LOGAN COUNTY</t>
  </si>
  <si>
    <t>0095</t>
  </si>
  <si>
    <t>1600000US5454892</t>
  </si>
  <si>
    <t>West Logan town</t>
  </si>
  <si>
    <t>Incorporated-545539-06/02/72-LOGAN COUNTY</t>
  </si>
  <si>
    <t>5539</t>
  </si>
  <si>
    <t>1600000US5485900</t>
  </si>
  <si>
    <t>Logan County, West Virginia</t>
  </si>
  <si>
    <t>0500000US54045</t>
  </si>
  <si>
    <t>Marion</t>
  </si>
  <si>
    <t>Unincorporated-540097-07/04/88-MARION COUNTY</t>
  </si>
  <si>
    <t>049</t>
  </si>
  <si>
    <t>0097</t>
  </si>
  <si>
    <t>Barrackville town</t>
  </si>
  <si>
    <t>Incorporated-540098-03/16/88-MARION COUNTY</t>
  </si>
  <si>
    <t>0098</t>
  </si>
  <si>
    <t>1600000US5404612</t>
  </si>
  <si>
    <t>Fairmont city</t>
  </si>
  <si>
    <t>Incorporated-540099-07/02/87-MARION COUNTY</t>
  </si>
  <si>
    <t>0099</t>
  </si>
  <si>
    <t>1600000US5426452</t>
  </si>
  <si>
    <t>Fairview town</t>
  </si>
  <si>
    <t>Incorporated-540100-03/16/88-MARION COUNTY</t>
  </si>
  <si>
    <t>0100</t>
  </si>
  <si>
    <t>1600000US5426524</t>
  </si>
  <si>
    <t>Farmington town</t>
  </si>
  <si>
    <t>Incorporated-540101-03/16/88-MARION COUNTY</t>
  </si>
  <si>
    <t>0101</t>
  </si>
  <si>
    <t>1600000US5426932</t>
  </si>
  <si>
    <t>Grant Town town</t>
  </si>
  <si>
    <t>Incorporated-540102-03/04/88-MARION COUNTY</t>
  </si>
  <si>
    <t>0102</t>
  </si>
  <si>
    <t>1600000US5432908</t>
  </si>
  <si>
    <t>Mannington city</t>
  </si>
  <si>
    <t>Incorporated-540103-11/19/1986-MARION COUNTY</t>
  </si>
  <si>
    <t>0103</t>
  </si>
  <si>
    <t>1600000US5451100</t>
  </si>
  <si>
    <t>Monongah town</t>
  </si>
  <si>
    <t>Incorporated-540104-03/16/88-MARION COUNTY</t>
  </si>
  <si>
    <t>0104</t>
  </si>
  <si>
    <t>1600000US5455276</t>
  </si>
  <si>
    <t>Pleasant Valley city</t>
  </si>
  <si>
    <t>Incorporated-540292-06/19/12-MARION COUNTY</t>
  </si>
  <si>
    <t>0292</t>
  </si>
  <si>
    <t>1600000US5464228</t>
  </si>
  <si>
    <t>Rivesville town</t>
  </si>
  <si>
    <t>Incorporated-540105-03/16/88-MARION COUNTY</t>
  </si>
  <si>
    <t>0105</t>
  </si>
  <si>
    <t>1600000US5468908</t>
  </si>
  <si>
    <t>White Hall town</t>
  </si>
  <si>
    <t>Incorporated-545556-06/19/12-MARION COUNTY</t>
  </si>
  <si>
    <t>5556</t>
  </si>
  <si>
    <t>1600000US5486620</t>
  </si>
  <si>
    <t>Worthington town</t>
  </si>
  <si>
    <t>Incorporated-540106-03/16/88-MARION COUNTY</t>
  </si>
  <si>
    <t>0106</t>
  </si>
  <si>
    <t>1600000US5488708</t>
  </si>
  <si>
    <t>Marion County, West Virginia</t>
  </si>
  <si>
    <t>0500000US54049</t>
  </si>
  <si>
    <t>Unincorporated-540107-12/20/1974-MARSHALL COUNTY</t>
  </si>
  <si>
    <t>051</t>
  </si>
  <si>
    <t>0107</t>
  </si>
  <si>
    <t>Benwood city</t>
  </si>
  <si>
    <t>Incorporated-540108-05/01/80-MARSHALL COUNTY</t>
  </si>
  <si>
    <t>0108</t>
  </si>
  <si>
    <t>1600000US5406340</t>
  </si>
  <si>
    <t>Cameron city</t>
  </si>
  <si>
    <t>Incorporated-540287-09/25/09-MARSHALL COUNTY</t>
  </si>
  <si>
    <t>0287</t>
  </si>
  <si>
    <t>1600000US5412484</t>
  </si>
  <si>
    <t>Glen Dale city</t>
  </si>
  <si>
    <t>Incorporated-540109-06/28/74-MARSHALL COUNTY</t>
  </si>
  <si>
    <t>0109</t>
  </si>
  <si>
    <t>1600000US5431492</t>
  </si>
  <si>
    <t>McMechen city</t>
  </si>
  <si>
    <t>Incorporated-540110-09/25/09-MARSHALL COUNTY</t>
  </si>
  <si>
    <t>0110</t>
  </si>
  <si>
    <t>1600000US5450260</t>
  </si>
  <si>
    <t>Moundsville city</t>
  </si>
  <si>
    <t>Incorporated-540111-03/22/74-MARSHALL COUNTY</t>
  </si>
  <si>
    <t>0111</t>
  </si>
  <si>
    <t>1600000US5456020</t>
  </si>
  <si>
    <t>Wheeling city</t>
  </si>
  <si>
    <t>Incorporated-540152-02/18/81-MARSHALL COUNTY</t>
  </si>
  <si>
    <t>0152</t>
  </si>
  <si>
    <t>540152M</t>
  </si>
  <si>
    <t>1600000US5486452</t>
  </si>
  <si>
    <t>Marshall County, West Virginia</t>
  </si>
  <si>
    <t>0500000US54051</t>
  </si>
  <si>
    <t>Mason</t>
  </si>
  <si>
    <t>Unincorporated-540112-01/02/80-MASON COUNTY</t>
  </si>
  <si>
    <t>053</t>
  </si>
  <si>
    <t>0112</t>
  </si>
  <si>
    <t>Hartford City town</t>
  </si>
  <si>
    <t>Incorporated-540247-02/15/78-MASON COUNTY</t>
  </si>
  <si>
    <t>0247</t>
  </si>
  <si>
    <t>1600000US5435500</t>
  </si>
  <si>
    <t>Henderson town</t>
  </si>
  <si>
    <t>Incorporated-540251-05/15/78-MASON COUNTY</t>
  </si>
  <si>
    <t>0251</t>
  </si>
  <si>
    <t>1600000US5436436</t>
  </si>
  <si>
    <t>Leon town</t>
  </si>
  <si>
    <t>Incorporated-540113-08/15/78-MASON COUNTY</t>
  </si>
  <si>
    <t>0113</t>
  </si>
  <si>
    <t>1600000US5446300</t>
  </si>
  <si>
    <t>Mason town</t>
  </si>
  <si>
    <t>Incorporated-540248-02/15/78-MASON COUNTY</t>
  </si>
  <si>
    <t>0248</t>
  </si>
  <si>
    <t>1600000US5452180</t>
  </si>
  <si>
    <t>New Haven town</t>
  </si>
  <si>
    <t>Incorporated-540249-07/03/78-MASON COUNTY</t>
  </si>
  <si>
    <t>0249</t>
  </si>
  <si>
    <t>1600000US5458564</t>
  </si>
  <si>
    <t>Point Pleasant city</t>
  </si>
  <si>
    <t>Incorporated-540250-05/15/78-MASON COUNTY</t>
  </si>
  <si>
    <t>0250</t>
  </si>
  <si>
    <t>1600000US5464708</t>
  </si>
  <si>
    <t>Mason County, West Virginia</t>
  </si>
  <si>
    <t>0500000US54053</t>
  </si>
  <si>
    <t>McDowell</t>
  </si>
  <si>
    <t>Unincorporated-540114-09/18/86-MCDOWELL COUNTY</t>
  </si>
  <si>
    <t>047</t>
  </si>
  <si>
    <t>0114</t>
  </si>
  <si>
    <t>Anawalt town</t>
  </si>
  <si>
    <t>Incorporated-540115-02/01/85-MCDOWELL COUNTY</t>
  </si>
  <si>
    <t>0115</t>
  </si>
  <si>
    <t>1600000US5401780</t>
  </si>
  <si>
    <t>Bradshaw town</t>
  </si>
  <si>
    <t>Incorporated-540291-09/18/86-MCDOWELL COUNTY</t>
  </si>
  <si>
    <t>0291</t>
  </si>
  <si>
    <t>1600000US5409700</t>
  </si>
  <si>
    <t>Davy town</t>
  </si>
  <si>
    <t>Incorporated-540116-09/28/84-MCDOWELL COUNTY</t>
  </si>
  <si>
    <t>0116</t>
  </si>
  <si>
    <t>1600000US5420500</t>
  </si>
  <si>
    <t>Gary city</t>
  </si>
  <si>
    <t>Incorporated-540117-02/01/85-MCDOWELL COUNTY</t>
  </si>
  <si>
    <t>0117</t>
  </si>
  <si>
    <t>1600000US5430196</t>
  </si>
  <si>
    <t>Iaeger town</t>
  </si>
  <si>
    <t>Incorporated-540118-09/28/84-MCDOWELL COUNTY</t>
  </si>
  <si>
    <t>0118</t>
  </si>
  <si>
    <t>1600000US5439652</t>
  </si>
  <si>
    <t>Keystone city</t>
  </si>
  <si>
    <t>Incorporated-540119-02/01/85-MCDOWELL COUNTY</t>
  </si>
  <si>
    <t>0119</t>
  </si>
  <si>
    <t>1600000US5443516</t>
  </si>
  <si>
    <t>Kimball town</t>
  </si>
  <si>
    <t>Incorporated-540120-02/01/85-MCDOWELL COUNTY</t>
  </si>
  <si>
    <t>0120</t>
  </si>
  <si>
    <t>1600000US5443780</t>
  </si>
  <si>
    <t>Northfork town</t>
  </si>
  <si>
    <t>Incorporated-540121-04/03/85-MCDOWELL COUNTY</t>
  </si>
  <si>
    <t>0121</t>
  </si>
  <si>
    <t>1600000US5459428</t>
  </si>
  <si>
    <t>War city</t>
  </si>
  <si>
    <t>Incorporated-540122-09/28/84-MCDOWELL COUNTY</t>
  </si>
  <si>
    <t>0122</t>
  </si>
  <si>
    <t>1600000US5484484</t>
  </si>
  <si>
    <t>Welch city</t>
  </si>
  <si>
    <t>Incorporated-540123-09/01/83-MCDOWELL COUNTY</t>
  </si>
  <si>
    <t>0123</t>
  </si>
  <si>
    <t>1600000US5485228</t>
  </si>
  <si>
    <t>McDowell County, West Virginia</t>
  </si>
  <si>
    <t>0500000US54047</t>
  </si>
  <si>
    <t>Mercer</t>
  </si>
  <si>
    <t>Unincorporated-540124-02/01/85-MERCER COUNTY</t>
  </si>
  <si>
    <t>055</t>
  </si>
  <si>
    <t>0124</t>
  </si>
  <si>
    <t>Athens town</t>
  </si>
  <si>
    <t>Incorporated-540172-03/02/05-MERCER COUNTY</t>
  </si>
  <si>
    <t>0172</t>
  </si>
  <si>
    <t>1600000US5403292</t>
  </si>
  <si>
    <t>Bluefield city</t>
  </si>
  <si>
    <t>Incorporated-540285-03/02/05-MERCER COUNTY</t>
  </si>
  <si>
    <t>0285</t>
  </si>
  <si>
    <t>1600000US5408524</t>
  </si>
  <si>
    <t>Bramwell town</t>
  </si>
  <si>
    <t>Incorporated-540125-12/1/1983-MERCER COUNTY</t>
  </si>
  <si>
    <t>0125</t>
  </si>
  <si>
    <t>1600000US5409796</t>
  </si>
  <si>
    <t>Matoaka town</t>
  </si>
  <si>
    <t>Incorporated-540126-12/15/1983-MERCER COUNTY</t>
  </si>
  <si>
    <t>0126</t>
  </si>
  <si>
    <t>1600000US5452420</t>
  </si>
  <si>
    <t>Oakvale town</t>
  </si>
  <si>
    <t>Incorporated-540127-12/15/1983-MERCER COUNTY</t>
  </si>
  <si>
    <t>0127</t>
  </si>
  <si>
    <t>1600000US5460196</t>
  </si>
  <si>
    <t>Princeton city</t>
  </si>
  <si>
    <t>Incorporated-540128-02/01/84-MERCER COUNTY</t>
  </si>
  <si>
    <t>0128</t>
  </si>
  <si>
    <t>1600000US5465692</t>
  </si>
  <si>
    <t>Mercer County, West Virginia</t>
  </si>
  <si>
    <t>0500000US54055</t>
  </si>
  <si>
    <t>Mineral</t>
  </si>
  <si>
    <t>Unincorporated-540129-09/27/91-MINERAL COUNTY</t>
  </si>
  <si>
    <t>057</t>
  </si>
  <si>
    <t>0129</t>
  </si>
  <si>
    <t>Carpendale town</t>
  </si>
  <si>
    <t>Incorporated-545555-09/27/91-MINERAL COUNTY</t>
  </si>
  <si>
    <t>5555</t>
  </si>
  <si>
    <t>1600000US5413525</t>
  </si>
  <si>
    <t>Elk Garden town</t>
  </si>
  <si>
    <t>Incorporated-Town of Elk Garden-MINERAL COUNTY</t>
  </si>
  <si>
    <t>0091</t>
  </si>
  <si>
    <t>1600000US5424484</t>
  </si>
  <si>
    <t>Keyser city</t>
  </si>
  <si>
    <t>Incorporated-540130-09/27/91-MINERAL COUNTY</t>
  </si>
  <si>
    <t>0130</t>
  </si>
  <si>
    <t>1600000US5443492</t>
  </si>
  <si>
    <t>Piedmont town</t>
  </si>
  <si>
    <t>Incorporated-540131-09/27/91-MINERAL COUNTY</t>
  </si>
  <si>
    <t>0131</t>
  </si>
  <si>
    <t>1600000US5463604</t>
  </si>
  <si>
    <t>Ridgeley town</t>
  </si>
  <si>
    <t>Incorporated-540155-09/27/91-MINERAL COUNTY</t>
  </si>
  <si>
    <t>0155</t>
  </si>
  <si>
    <t>1600000US5468260</t>
  </si>
  <si>
    <t>Mineral County, West Virginia</t>
  </si>
  <si>
    <t>0500000US54057</t>
  </si>
  <si>
    <t>Mingo</t>
  </si>
  <si>
    <t>Unincorporated-540133-12/2/1980-MINGO COUNTY</t>
  </si>
  <si>
    <t>059</t>
  </si>
  <si>
    <t>0133</t>
  </si>
  <si>
    <t>Delbarton town</t>
  </si>
  <si>
    <t>Incorporated-540134-03/15/77-MINGO COUNTY</t>
  </si>
  <si>
    <t>0134</t>
  </si>
  <si>
    <t>1600000US5420980</t>
  </si>
  <si>
    <t>Gilbert town</t>
  </si>
  <si>
    <t>Incorporated-540135-05/02/77-MINGO COUNTY</t>
  </si>
  <si>
    <t>0135</t>
  </si>
  <si>
    <t>1600000US5430772</t>
  </si>
  <si>
    <t>Kermit town</t>
  </si>
  <si>
    <t>Incorporated-540136-03/01/78-MINGO COUNTY</t>
  </si>
  <si>
    <t>0136</t>
  </si>
  <si>
    <t>1600000US5443300</t>
  </si>
  <si>
    <t>Matewan town</t>
  </si>
  <si>
    <t>Incorporated-545538-02/03/70-MINGO COUNTY</t>
  </si>
  <si>
    <t>5538</t>
  </si>
  <si>
    <t>1600000US5452324</t>
  </si>
  <si>
    <t>Williamson city</t>
  </si>
  <si>
    <t>Incorporated-540138-01/16/81-MINGO COUNTY</t>
  </si>
  <si>
    <t>0138</t>
  </si>
  <si>
    <t>1600000US5487508</t>
  </si>
  <si>
    <t>Mingo County, West Virginia</t>
  </si>
  <si>
    <t>0500000US54059</t>
  </si>
  <si>
    <t>Monongalia</t>
  </si>
  <si>
    <t>Unincorporated-540139-05/01/84-MONONGALIA COUNTY</t>
  </si>
  <si>
    <t>061</t>
  </si>
  <si>
    <t>0139</t>
  </si>
  <si>
    <t>Blacksville town</t>
  </si>
  <si>
    <t>Incorporated-540140-01/20/10-MONONGALIA COUNTY</t>
  </si>
  <si>
    <t>0140</t>
  </si>
  <si>
    <t>1600000US5408092</t>
  </si>
  <si>
    <t>Granville town</t>
  </si>
  <si>
    <t>Incorporated-540272-12/15/1983-MONONGALIA COUNTY</t>
  </si>
  <si>
    <t>0272</t>
  </si>
  <si>
    <t>1600000US5432932</t>
  </si>
  <si>
    <t>Morgantown city</t>
  </si>
  <si>
    <t>Incorporated-540141-08/01/79-MONONGALIA COUNTY</t>
  </si>
  <si>
    <t>0141</t>
  </si>
  <si>
    <t>1600000US5455756</t>
  </si>
  <si>
    <t>Star City town</t>
  </si>
  <si>
    <t>Incorporated-540273-08/01/78-MONONGALIA COUNTY</t>
  </si>
  <si>
    <t>0273</t>
  </si>
  <si>
    <t>1600000US5476516</t>
  </si>
  <si>
    <t>Westover city</t>
  </si>
  <si>
    <t>Incorporated-540274-08/01/78-MONONGALIA COUNTY</t>
  </si>
  <si>
    <t>0274</t>
  </si>
  <si>
    <t>1600000US5485996</t>
  </si>
  <si>
    <t>Monongalia County, West Virginia</t>
  </si>
  <si>
    <t>0500000US54061</t>
  </si>
  <si>
    <t>Unincorporated-540278-01/14/83-MONROE COUNTY</t>
  </si>
  <si>
    <t>063</t>
  </si>
  <si>
    <t>0278</t>
  </si>
  <si>
    <t>Incorporated-540041-09/27/91-MONROE COUNTY</t>
  </si>
  <si>
    <t>540041M</t>
  </si>
  <si>
    <t>Peterstown town</t>
  </si>
  <si>
    <t>Incorporated-540143-08/01/79-MONROE COUNTY</t>
  </si>
  <si>
    <t>0143</t>
  </si>
  <si>
    <t>1600000US5463052</t>
  </si>
  <si>
    <t>Union town</t>
  </si>
  <si>
    <t>Incorporated-540290-06/17/02-MONROE COUNTY</t>
  </si>
  <si>
    <t>0290</t>
  </si>
  <si>
    <t>1600000US5481940</t>
  </si>
  <si>
    <t>Monroe County, West Virginia</t>
  </si>
  <si>
    <t>0500000US54063</t>
  </si>
  <si>
    <t>Morgan</t>
  </si>
  <si>
    <t>Unincorporated-540144-07/01/87-MORGAN COUNTY</t>
  </si>
  <si>
    <t>065</t>
  </si>
  <si>
    <t>0144</t>
  </si>
  <si>
    <t>Bath (Berkeley Springs) town</t>
  </si>
  <si>
    <t>Incorporated-540005-01/02/80-MORGAN COUNTY</t>
  </si>
  <si>
    <t>0005</t>
  </si>
  <si>
    <t>1600000US5404876</t>
  </si>
  <si>
    <t>Paw Paw town</t>
  </si>
  <si>
    <t>Incorporated-540252-11/2/1984-MORGAN COUNTY</t>
  </si>
  <si>
    <t>0252</t>
  </si>
  <si>
    <t>1600000US5462332</t>
  </si>
  <si>
    <t>Morgan County, West Virginia</t>
  </si>
  <si>
    <t>0500000US54065</t>
  </si>
  <si>
    <t>Nicholas</t>
  </si>
  <si>
    <t>Unincorporated-540146-11/6/1991-NICHOLAS COUNTY</t>
  </si>
  <si>
    <t>067</t>
  </si>
  <si>
    <t>0146</t>
  </si>
  <si>
    <t>Richwood city</t>
  </si>
  <si>
    <t>Incorporated-540147-09/27/91-NICHOLAS COUNTY</t>
  </si>
  <si>
    <t>0147</t>
  </si>
  <si>
    <t>1600000US5468116</t>
  </si>
  <si>
    <t>Summersville city</t>
  </si>
  <si>
    <t>Incorporated-540148-08/24/84-NICHOLAS COUNTY</t>
  </si>
  <si>
    <t>0148</t>
  </si>
  <si>
    <t>1600000US5477980</t>
  </si>
  <si>
    <t>Nicholas County, West Virginia</t>
  </si>
  <si>
    <t>0500000US54067</t>
  </si>
  <si>
    <t>Unincorporated-540149-04/04/83-OHIO COUNTY</t>
  </si>
  <si>
    <t>069</t>
  </si>
  <si>
    <t>0149</t>
  </si>
  <si>
    <t>Bethlehem village</t>
  </si>
  <si>
    <t>Incorporated-540275-07/17/06-OHIO COUNTY</t>
  </si>
  <si>
    <t>0275</t>
  </si>
  <si>
    <t>1600000US5406940</t>
  </si>
  <si>
    <t>Clearview village</t>
  </si>
  <si>
    <t>CLEARVIEW, VILLAGE OF</t>
  </si>
  <si>
    <t>Incorporated-540080-07/17/06-OHIO COUNTY</t>
  </si>
  <si>
    <t>0080</t>
  </si>
  <si>
    <t>1600000US5415916</t>
  </si>
  <si>
    <t>Triadelphia town</t>
  </si>
  <si>
    <t>Incorporated-540150-01/18/84-OHIO COUNTY</t>
  </si>
  <si>
    <t>0150</t>
  </si>
  <si>
    <t>1600000US5480932</t>
  </si>
  <si>
    <t>Valley Grove village</t>
  </si>
  <si>
    <t>Incorporated-540151-09/28/79-OHIO COUNTY</t>
  </si>
  <si>
    <t>0151</t>
  </si>
  <si>
    <t>1600000US5482732</t>
  </si>
  <si>
    <t>West Liberty town</t>
  </si>
  <si>
    <t>Incorporated-540094-07/17/06-OHIO COUNTY</t>
  </si>
  <si>
    <t>0094</t>
  </si>
  <si>
    <t>1600000US5485876</t>
  </si>
  <si>
    <t>Incorporated-540152-02/18/81-OHIO COUNTY</t>
  </si>
  <si>
    <t>540152O</t>
  </si>
  <si>
    <t>Ohio County, West Virginia</t>
  </si>
  <si>
    <t>0500000US54069</t>
  </si>
  <si>
    <t>Pendleton</t>
  </si>
  <si>
    <t>Unincorporated-540153-07/01/87-PENDLETON COUNTY</t>
  </si>
  <si>
    <t>071</t>
  </si>
  <si>
    <t>0153</t>
  </si>
  <si>
    <t>Franklin town</t>
  </si>
  <si>
    <t>Incorporated-540154-09/01/87-PENDLETON COUNTY</t>
  </si>
  <si>
    <t>0154</t>
  </si>
  <si>
    <t>1600000US5429044</t>
  </si>
  <si>
    <t>Pendleton County, West Virginia</t>
  </si>
  <si>
    <t>0500000US54071</t>
  </si>
  <si>
    <t>Pleasants</t>
  </si>
  <si>
    <t>Unincorporated-540225-06/03/91-PLEASANTS COUNTY</t>
  </si>
  <si>
    <t>073</t>
  </si>
  <si>
    <t>0225</t>
  </si>
  <si>
    <t>Belmont city</t>
  </si>
  <si>
    <t>Incorporated-540253-06/03/91-PLEASANTS COUNTY</t>
  </si>
  <si>
    <t>0253</t>
  </si>
  <si>
    <t>1600000US5406004</t>
  </si>
  <si>
    <t>St. Marys city</t>
  </si>
  <si>
    <t>Incorporated-540156-06/03/91-PLEASANTS COUNTY</t>
  </si>
  <si>
    <t>0156</t>
  </si>
  <si>
    <t>1600000US5471356</t>
  </si>
  <si>
    <t>Pleasants County, West Virginia</t>
  </si>
  <si>
    <t>0500000US54073</t>
  </si>
  <si>
    <t>Pocahontas</t>
  </si>
  <si>
    <t>Unincorporated-540283-10/17/1989-POCAHONTAS COUNTY</t>
  </si>
  <si>
    <t>075</t>
  </si>
  <si>
    <t>0283</t>
  </si>
  <si>
    <t>Durbin town</t>
  </si>
  <si>
    <t>Incorporated-540158-08/24/84-POCAHONTAS COUNTY</t>
  </si>
  <si>
    <t>0158</t>
  </si>
  <si>
    <t>1600000US5422852</t>
  </si>
  <si>
    <t>Hillsboro town</t>
  </si>
  <si>
    <t>Incorporated-Town of Hilsboro-POCAHONTAS COUNTY</t>
  </si>
  <si>
    <t>0288</t>
  </si>
  <si>
    <t>1600000US5437372</t>
  </si>
  <si>
    <t>Marlinton town</t>
  </si>
  <si>
    <t>Incorporated-540159-10/17/1989-POCAHONTAS COUNTY</t>
  </si>
  <si>
    <t>0159</t>
  </si>
  <si>
    <t>1600000US5451676</t>
  </si>
  <si>
    <t>Pocahontas County, West Virginia</t>
  </si>
  <si>
    <t>0500000US54075</t>
  </si>
  <si>
    <t>Preston</t>
  </si>
  <si>
    <t>Unincorporated-540160-03/01/87-PRESTON COUNTY</t>
  </si>
  <si>
    <t>077</t>
  </si>
  <si>
    <t>0160</t>
  </si>
  <si>
    <t>Albright town</t>
  </si>
  <si>
    <t>Incorporated-540161-08/01/87-PRESTON COUNTY</t>
  </si>
  <si>
    <t>0161</t>
  </si>
  <si>
    <t>1600000US5400748</t>
  </si>
  <si>
    <t>Brandonville town</t>
  </si>
  <si>
    <t>Incorporated-540284-06/05/12-PRESTON COUNTY</t>
  </si>
  <si>
    <t>0284</t>
  </si>
  <si>
    <t>1600000US5409844</t>
  </si>
  <si>
    <t>Bruceton Mills town</t>
  </si>
  <si>
    <t>Incorporated-540162-08/01/87-PRESTON COUNTY</t>
  </si>
  <si>
    <t>0162</t>
  </si>
  <si>
    <t>1600000US5410852</t>
  </si>
  <si>
    <t>Kingwood city</t>
  </si>
  <si>
    <t>Incorporated-540254-06/05/12-PRESTON COUNTY</t>
  </si>
  <si>
    <t>0254</t>
  </si>
  <si>
    <t>1600000US5444044</t>
  </si>
  <si>
    <t>Masontown town</t>
  </si>
  <si>
    <t>Incorporated-540270-06/05/12-PRESTON COUNTY</t>
  </si>
  <si>
    <t>0270</t>
  </si>
  <si>
    <t>1600000US5452228</t>
  </si>
  <si>
    <t>Newburg town</t>
  </si>
  <si>
    <t>Incorporated-540268-08/01/87-PRESTON COUNTY</t>
  </si>
  <si>
    <t>0268</t>
  </si>
  <si>
    <t>1600000US5458300</t>
  </si>
  <si>
    <t>Reedsville town</t>
  </si>
  <si>
    <t>Incorporated-540269-08/01/87-PRESTON COUNTY</t>
  </si>
  <si>
    <t>0269</t>
  </si>
  <si>
    <t>1600000US5467636</t>
  </si>
  <si>
    <t>Rowlesburg town</t>
  </si>
  <si>
    <t>Incorporated-540163-08/01/79-PRESTON COUNTY</t>
  </si>
  <si>
    <t>0163</t>
  </si>
  <si>
    <t>1600000US5470588</t>
  </si>
  <si>
    <t>Terra Alta town</t>
  </si>
  <si>
    <t>Incorporated-540257-08/01/87-PRESTON COUNTY</t>
  </si>
  <si>
    <t>0257</t>
  </si>
  <si>
    <t>1600000US5479708</t>
  </si>
  <si>
    <t>Tunnelton town</t>
  </si>
  <si>
    <t>Incorporated-540137-06/05/12-PRESTON COUNTY</t>
  </si>
  <si>
    <t>0137</t>
  </si>
  <si>
    <t>1600000US5481268</t>
  </si>
  <si>
    <t>Preston County, West Virginia</t>
  </si>
  <si>
    <t>0500000US54077</t>
  </si>
  <si>
    <t>Unincorporated-540164-06/18/87-PUTNAM COUNTY</t>
  </si>
  <si>
    <t>0164</t>
  </si>
  <si>
    <t>Bancroft town</t>
  </si>
  <si>
    <t>Incorporated-540165-12/18/1985-PUTNAM COUNTY</t>
  </si>
  <si>
    <t>079</t>
  </si>
  <si>
    <t>0165</t>
  </si>
  <si>
    <t>1600000US5404204</t>
  </si>
  <si>
    <t>Buffalo town</t>
  </si>
  <si>
    <t>Incorporated-540166-12/18/1985-PUTNAM COUNTY</t>
  </si>
  <si>
    <t>0166</t>
  </si>
  <si>
    <t>1600000US5411284</t>
  </si>
  <si>
    <t>Eleanor town</t>
  </si>
  <si>
    <t>Incorporated-540222-02/06/84-PUTNAM COUNTY</t>
  </si>
  <si>
    <t>0222</t>
  </si>
  <si>
    <t>1600000US5424292</t>
  </si>
  <si>
    <t>Hurricane city</t>
  </si>
  <si>
    <t>Incorporated-540167-03/04/86-PUTNAM COUNTY</t>
  </si>
  <si>
    <t>0167</t>
  </si>
  <si>
    <t>1600000US5439532</t>
  </si>
  <si>
    <t>Incorporated-540081-04/15/82-PUTNAM COUNTY</t>
  </si>
  <si>
    <t>540081P</t>
  </si>
  <si>
    <t>Poca town</t>
  </si>
  <si>
    <t>Incorporated-540168-12/18/1985-PUTNAM COUNTY</t>
  </si>
  <si>
    <t>0168</t>
  </si>
  <si>
    <t>1600000US5464516</t>
  </si>
  <si>
    <t>Winfield town</t>
  </si>
  <si>
    <t>Incorporated-540271-12/18/1985-PUTNAM COUNTY</t>
  </si>
  <si>
    <t>0271</t>
  </si>
  <si>
    <t>1600000US5487988</t>
  </si>
  <si>
    <t>Putnam County, West Virginia</t>
  </si>
  <si>
    <t>0500000US54079</t>
  </si>
  <si>
    <t>Raleigh</t>
  </si>
  <si>
    <t>Unincorporated-540169-12/18/1984-RALEIGH COUNTY</t>
  </si>
  <si>
    <t>081</t>
  </si>
  <si>
    <t>0169</t>
  </si>
  <si>
    <t>Beckley city</t>
  </si>
  <si>
    <t>Incorporated-540170-11/1/1984-RALEIGH COUNTY</t>
  </si>
  <si>
    <t>0170</t>
  </si>
  <si>
    <t>1600000US5405332</t>
  </si>
  <si>
    <t>Lester town</t>
  </si>
  <si>
    <t>Incorporated-540171-04/01/88-RALEIGH COUNTY</t>
  </si>
  <si>
    <t>0171</t>
  </si>
  <si>
    <t>1600000US5446468</t>
  </si>
  <si>
    <t>Mabscott town</t>
  </si>
  <si>
    <t>Incorporated-540286-03/04/85-RALEIGH COUNTY</t>
  </si>
  <si>
    <t>0286</t>
  </si>
  <si>
    <t>1600000US5449492</t>
  </si>
  <si>
    <t>Rhodell town</t>
  </si>
  <si>
    <t>Incorporated-540173-09/01/87-RALEIGH COUNTY</t>
  </si>
  <si>
    <t>0173</t>
  </si>
  <si>
    <t>1600000US5467996</t>
  </si>
  <si>
    <t>Sophia town</t>
  </si>
  <si>
    <t>Incorporated-540174-04/16/91-RALEIGH COUNTY</t>
  </si>
  <si>
    <t>0174</t>
  </si>
  <si>
    <t>1600000US5475172</t>
  </si>
  <si>
    <t>Raleigh County, West Virginia</t>
  </si>
  <si>
    <t>0500000US54081</t>
  </si>
  <si>
    <t>Randolph</t>
  </si>
  <si>
    <t>Unincorporated-540175-09/27/91-RANDOLPH COUNTY</t>
  </si>
  <si>
    <t>083</t>
  </si>
  <si>
    <t>0175</t>
  </si>
  <si>
    <t>Beverly town</t>
  </si>
  <si>
    <t>Incorporated-540267-12/3/1991-RANDOLPH COUNTY</t>
  </si>
  <si>
    <t>0267</t>
  </si>
  <si>
    <t>1600000US5406988</t>
  </si>
  <si>
    <t>Elkins city</t>
  </si>
  <si>
    <t>Incorporated-540177-04/03/87-RANDOLPH COUNTY</t>
  </si>
  <si>
    <t>0177</t>
  </si>
  <si>
    <t>1600000US5424580</t>
  </si>
  <si>
    <t>Harman town</t>
  </si>
  <si>
    <t>Incorporated-540178-08/24/84-RANDOLPH COUNTY</t>
  </si>
  <si>
    <t>0178</t>
  </si>
  <si>
    <t>1600000US5435092</t>
  </si>
  <si>
    <t>Huttonsville town</t>
  </si>
  <si>
    <t>Incorporated-540264-08/24/84-RANDOLPH COUNTY</t>
  </si>
  <si>
    <t>0264</t>
  </si>
  <si>
    <t>1600000US5439628</t>
  </si>
  <si>
    <t>Mill Creek town</t>
  </si>
  <si>
    <t>Incorporated-540266-08/24/84-RANDOLPH COUNTY</t>
  </si>
  <si>
    <t>0266</t>
  </si>
  <si>
    <t>1600000US5454100</t>
  </si>
  <si>
    <t>Montrose town</t>
  </si>
  <si>
    <t>Incorporated-540265-09/24/84-RANDOLPH COUNTY</t>
  </si>
  <si>
    <t>0265</t>
  </si>
  <si>
    <t>1600000US5455540</t>
  </si>
  <si>
    <t>Womelsdorf (Coalton) town</t>
  </si>
  <si>
    <t>Incorporated-540176-09/10/84-RANDOLPH COUNTY</t>
  </si>
  <si>
    <t>0176</t>
  </si>
  <si>
    <t>1600000US5488324</t>
  </si>
  <si>
    <t>Randolph County, West Virginia</t>
  </si>
  <si>
    <t>0500000US54083</t>
  </si>
  <si>
    <t>Ritchie</t>
  </si>
  <si>
    <t>Unincorporated-540224-01/01/91-RITCHIE COUNTY</t>
  </si>
  <si>
    <t>085</t>
  </si>
  <si>
    <t>0224</t>
  </si>
  <si>
    <t>Auburn town</t>
  </si>
  <si>
    <t>Incorporated-540262-09/24/84-RITCHIE COUNTY</t>
  </si>
  <si>
    <t>0262</t>
  </si>
  <si>
    <t>1600000US5403364</t>
  </si>
  <si>
    <t>Cairo town</t>
  </si>
  <si>
    <t>Incorporated-540179-03/18/91-RITCHIE COUNTY</t>
  </si>
  <si>
    <t>0179</t>
  </si>
  <si>
    <t>1600000US5412124</t>
  </si>
  <si>
    <t>Ellenboro town</t>
  </si>
  <si>
    <t>Incorporated-540180-08/24/84-RITCHIE COUNTY</t>
  </si>
  <si>
    <t>0180</t>
  </si>
  <si>
    <t>1600000US5424844</t>
  </si>
  <si>
    <t>Harrisville town</t>
  </si>
  <si>
    <t>Incorporated-540132-02/07/06-RITCHIE COUNTY</t>
  </si>
  <si>
    <t>0132</t>
  </si>
  <si>
    <t>1600000US5435428</t>
  </si>
  <si>
    <t>Pennsboro city</t>
  </si>
  <si>
    <t>Incorporated-540182-09/16/88-RITCHIE COUNTY</t>
  </si>
  <si>
    <t>0182</t>
  </si>
  <si>
    <t>1600000US5462764</t>
  </si>
  <si>
    <t>Pullman town</t>
  </si>
  <si>
    <t>Incorporated-540263-09/10/84-RITCHIE COUNTY</t>
  </si>
  <si>
    <t>0263</t>
  </si>
  <si>
    <t>1600000US5465956</t>
  </si>
  <si>
    <t>Ritchie County, West Virginia</t>
  </si>
  <si>
    <t>0500000US54085</t>
  </si>
  <si>
    <t>Roane</t>
  </si>
  <si>
    <t>Unincorporated-540183-09/10/84-ROANE COUNTY</t>
  </si>
  <si>
    <t>087</t>
  </si>
  <si>
    <t>0183</t>
  </si>
  <si>
    <t>Reedy town</t>
  </si>
  <si>
    <t>Incorporated-540184-12/1/1978-ROANE COUNTY</t>
  </si>
  <si>
    <t>0184</t>
  </si>
  <si>
    <t>1600000US5467660</t>
  </si>
  <si>
    <t>Spencer city</t>
  </si>
  <si>
    <t>Incorporated-540185-01/03/79-ROANE COUNTY</t>
  </si>
  <si>
    <t>0185</t>
  </si>
  <si>
    <t>1600000US5475820</t>
  </si>
  <si>
    <t>Roane County, West Virginia</t>
  </si>
  <si>
    <t>0500000US54087</t>
  </si>
  <si>
    <t>Summers</t>
  </si>
  <si>
    <t>Unincorporated-540186-11/5/1980-SUMMERS COUNTY</t>
  </si>
  <si>
    <t>089</t>
  </si>
  <si>
    <t>0186</t>
  </si>
  <si>
    <t>Hinton city</t>
  </si>
  <si>
    <t>Incorporated-540187-08/01/79-SUMMERS COUNTY</t>
  </si>
  <si>
    <t>0187</t>
  </si>
  <si>
    <t>1600000US5437636</t>
  </si>
  <si>
    <t>Summers County, West Virginia</t>
  </si>
  <si>
    <t>0500000US54089</t>
  </si>
  <si>
    <t>Taylor</t>
  </si>
  <si>
    <t>Unincorporated-540188-07/01/87-TAYLOR COUNTY</t>
  </si>
  <si>
    <t>091</t>
  </si>
  <si>
    <t>0188</t>
  </si>
  <si>
    <t>Flemington town</t>
  </si>
  <si>
    <t>Incorporated-540189-09/25/09-TAYLOR COUNTY</t>
  </si>
  <si>
    <t>0189</t>
  </si>
  <si>
    <t>1600000US5427940</t>
  </si>
  <si>
    <t>Grafton city</t>
  </si>
  <si>
    <t>Incorporated-540190-08/01/87-TAYLOR COUNTY</t>
  </si>
  <si>
    <t>0190</t>
  </si>
  <si>
    <t>1600000US5432716</t>
  </si>
  <si>
    <t>Taylor County, West Virginia</t>
  </si>
  <si>
    <t>0500000US54091</t>
  </si>
  <si>
    <t>Tucker</t>
  </si>
  <si>
    <t>Unincorporated-540191-07/01/87-TUCKER COUNTY</t>
  </si>
  <si>
    <t>093</t>
  </si>
  <si>
    <t>0191</t>
  </si>
  <si>
    <t>Davis town</t>
  </si>
  <si>
    <t>Incorporated-540260-07/20/84-TUCKER COUNTY</t>
  </si>
  <si>
    <t>0260</t>
  </si>
  <si>
    <t>1600000US5420428</t>
  </si>
  <si>
    <t>Hambleton town</t>
  </si>
  <si>
    <t>Incorporated-540192-07/20/84-TUCKER COUNTY</t>
  </si>
  <si>
    <t>0192</t>
  </si>
  <si>
    <t>1600000US5434492</t>
  </si>
  <si>
    <t>Hendricks town</t>
  </si>
  <si>
    <t>Incorporated-540193-08/01/87-TUCKER COUNTY</t>
  </si>
  <si>
    <t>0193</t>
  </si>
  <si>
    <t>1600000US5436460</t>
  </si>
  <si>
    <t>Parsons city</t>
  </si>
  <si>
    <t>Incorporated-540194-08/15/79-TUCKER COUNTY</t>
  </si>
  <si>
    <t>0194</t>
  </si>
  <si>
    <t>1600000US5462284</t>
  </si>
  <si>
    <t>Thomas city</t>
  </si>
  <si>
    <t>Incorporated-540261-09/10/84-TUCKER COUNTY</t>
  </si>
  <si>
    <t>0261</t>
  </si>
  <si>
    <t>1600000US5480020</t>
  </si>
  <si>
    <t>Tucker County, West Virginia</t>
  </si>
  <si>
    <t>0500000US54093</t>
  </si>
  <si>
    <t>Unincorporated-540277-11/4/1988-TYLER COUNTY</t>
  </si>
  <si>
    <t>095</t>
  </si>
  <si>
    <t>0277</t>
  </si>
  <si>
    <t>Friendly town</t>
  </si>
  <si>
    <t>Incorporated-540259-11/4/1988-TYLER COUNTY</t>
  </si>
  <si>
    <t>0259</t>
  </si>
  <si>
    <t>1600000US5429404</t>
  </si>
  <si>
    <t>Middlebourne town</t>
  </si>
  <si>
    <t>Incorporated-540195-11/4/1988-TYLER COUNTY</t>
  </si>
  <si>
    <t>0195</t>
  </si>
  <si>
    <t>1600000US5453572</t>
  </si>
  <si>
    <t>Incorporated-540196-03/16/89-TYLER COUNTY</t>
  </si>
  <si>
    <t>103</t>
  </si>
  <si>
    <t>0196</t>
  </si>
  <si>
    <t>540196T</t>
  </si>
  <si>
    <t>1600000US5461636</t>
  </si>
  <si>
    <t>Sistersville city</t>
  </si>
  <si>
    <t>Incorporated-540197-11/4/1988-TYLER COUNTY</t>
  </si>
  <si>
    <t>0197</t>
  </si>
  <si>
    <t>1600000US5474380</t>
  </si>
  <si>
    <t>Tyler County, West Virginia</t>
  </si>
  <si>
    <t>0500000US54095</t>
  </si>
  <si>
    <t>Upshur</t>
  </si>
  <si>
    <t>Unincorporated-540198-07/01/87-UPSHUR COUNTY</t>
  </si>
  <si>
    <t>097</t>
  </si>
  <si>
    <t>0198</t>
  </si>
  <si>
    <t>Buckhannon city</t>
  </si>
  <si>
    <t>Incorporated-540199-09/04/86-UPSHUR COUNTY</t>
  </si>
  <si>
    <t>0199</t>
  </si>
  <si>
    <t>1600000US5411188</t>
  </si>
  <si>
    <t>Upshur County, West Virginia</t>
  </si>
  <si>
    <t>0500000US54097</t>
  </si>
  <si>
    <t>Unincorporated-540200-09/18/87-WAYNE COUNTY</t>
  </si>
  <si>
    <t>099</t>
  </si>
  <si>
    <t>0200</t>
  </si>
  <si>
    <t>Ceredo city</t>
  </si>
  <si>
    <t>Incorporated-540232-05/17/89-WAYNE COUNTY</t>
  </si>
  <si>
    <t>0232</t>
  </si>
  <si>
    <t>1600000US5414308</t>
  </si>
  <si>
    <t>Fort Gay town</t>
  </si>
  <si>
    <t>Incorporated-540202-01/03/79-WAYNE COUNTY</t>
  </si>
  <si>
    <t>0202</t>
  </si>
  <si>
    <t>1600000US5428516</t>
  </si>
  <si>
    <t>Incorporated-540018-01/17/90-WAYNE COUNTY</t>
  </si>
  <si>
    <t>540018W</t>
  </si>
  <si>
    <t>Kenova city</t>
  </si>
  <si>
    <t>Incorporated-540221-05/17/89-WAYNE COUNTY</t>
  </si>
  <si>
    <t>0221</t>
  </si>
  <si>
    <t>1600000US5443180</t>
  </si>
  <si>
    <t>Wayne town</t>
  </si>
  <si>
    <t>Incorporated-540231-09/30/87-WAYNE COUNTY</t>
  </si>
  <si>
    <t>0231</t>
  </si>
  <si>
    <t>1600000US5484940</t>
  </si>
  <si>
    <t>Wayne County, West Virginia</t>
  </si>
  <si>
    <t>0500000US54099</t>
  </si>
  <si>
    <t>Webster</t>
  </si>
  <si>
    <t>Unincorporated-540203-02/16/90-WEBSTER COUNTY</t>
  </si>
  <si>
    <t>101</t>
  </si>
  <si>
    <t>0203</t>
  </si>
  <si>
    <t>Addison (Webster Springs) town</t>
  </si>
  <si>
    <t>Incorporated-540204-02/16/90-WEBSTER COUNTY</t>
  </si>
  <si>
    <t>0204</t>
  </si>
  <si>
    <t>1600000US5400364</t>
  </si>
  <si>
    <t>Camden-on-Gauley town</t>
  </si>
  <si>
    <t>Incorporated-540205-08/24/84-WEBSTER COUNTY</t>
  </si>
  <si>
    <t>0205</t>
  </si>
  <si>
    <t>1600000US5412436</t>
  </si>
  <si>
    <t>Cowen town</t>
  </si>
  <si>
    <t>Incorporated-540206-08/24/84-WEBSTER COUNTY</t>
  </si>
  <si>
    <t>0206</t>
  </si>
  <si>
    <t>1600000US5418412</t>
  </si>
  <si>
    <t>Webster County, West Virginia</t>
  </si>
  <si>
    <t>0500000US54101</t>
  </si>
  <si>
    <t>Unincorporated-540207-04/04/83-WETZEL COUNTY</t>
  </si>
  <si>
    <t>0207</t>
  </si>
  <si>
    <t>Hundred town</t>
  </si>
  <si>
    <t>Incorporated-540256-04/01/88-WETZEL COUNTY</t>
  </si>
  <si>
    <t>0256</t>
  </si>
  <si>
    <t>1600000US5439340</t>
  </si>
  <si>
    <t>New Martinsville city</t>
  </si>
  <si>
    <t>Incorporated-540208-09/02/82-WETZEL COUNTY</t>
  </si>
  <si>
    <t>0208</t>
  </si>
  <si>
    <t>1600000US5458684</t>
  </si>
  <si>
    <t>Incorporated-540196-03/16/89-WETZEL COUNTY</t>
  </si>
  <si>
    <t>540196W</t>
  </si>
  <si>
    <t>Pine Grove town</t>
  </si>
  <si>
    <t>Incorporated-540210-04/01/88-WETZEL COUNTY</t>
  </si>
  <si>
    <t>0210</t>
  </si>
  <si>
    <t>1600000US5463892</t>
  </si>
  <si>
    <t>Smithfield town</t>
  </si>
  <si>
    <t>Incorporated-540258-04/01/88-WETZEL COUNTY</t>
  </si>
  <si>
    <t>0258</t>
  </si>
  <si>
    <t>1600000US5474788</t>
  </si>
  <si>
    <t>Wetzel County, West Virginia</t>
  </si>
  <si>
    <t>0500000US54103</t>
  </si>
  <si>
    <t>Wirt</t>
  </si>
  <si>
    <t>Unincorporated-540211-04/01/88-WIRT COUNTY</t>
  </si>
  <si>
    <t>105</t>
  </si>
  <si>
    <t>0211</t>
  </si>
  <si>
    <t>Elizabeth town</t>
  </si>
  <si>
    <t>Incorporated-540212-01/17/91-WIRT COUNTY</t>
  </si>
  <si>
    <t>0212</t>
  </si>
  <si>
    <t>1600000US5424364</t>
  </si>
  <si>
    <t>Wirt County, West Virginia</t>
  </si>
  <si>
    <t>0500000US54105</t>
  </si>
  <si>
    <t>Wood</t>
  </si>
  <si>
    <t>Unincorporated-540213-03/04/85-WOOD COUNTY</t>
  </si>
  <si>
    <t>107</t>
  </si>
  <si>
    <t>0213</t>
  </si>
  <si>
    <t>North Hills town</t>
  </si>
  <si>
    <t>Incorporated-540042-11/6/2013-WOOD COUNTY</t>
  </si>
  <si>
    <t>0042</t>
  </si>
  <si>
    <t>1600000US5459458</t>
  </si>
  <si>
    <t>Parkersburg city</t>
  </si>
  <si>
    <t>Incorporated-540214-09/04/86-WOOD COUNTY</t>
  </si>
  <si>
    <t>0214</t>
  </si>
  <si>
    <t>1600000US5462140</t>
  </si>
  <si>
    <t>Vienna city</t>
  </si>
  <si>
    <t>Incorporated-540215-12/18/1985-WOOD COUNTY</t>
  </si>
  <si>
    <t>0215</t>
  </si>
  <si>
    <t>1600000US5483500</t>
  </si>
  <si>
    <t>Williamstown city</t>
  </si>
  <si>
    <t>Incorporated-540216-10/18/1983-WOOD COUNTY</t>
  </si>
  <si>
    <t>0216</t>
  </si>
  <si>
    <t>1600000US5487556</t>
  </si>
  <si>
    <t>Wood County, West Virginia</t>
  </si>
  <si>
    <t>0500000US54107</t>
  </si>
  <si>
    <t>Wyoming</t>
  </si>
  <si>
    <t>Unincorporated-540217-03/15/84-WYOMING COUNTY</t>
  </si>
  <si>
    <t>109</t>
  </si>
  <si>
    <t>0217</t>
  </si>
  <si>
    <t>Mullens city</t>
  </si>
  <si>
    <t>Incorporated-540218-08/01/79-WYOMING COUNTY</t>
  </si>
  <si>
    <t>0218</t>
  </si>
  <si>
    <t>1600000US5457148</t>
  </si>
  <si>
    <t>Oceana town</t>
  </si>
  <si>
    <t>Incorporated-540219-10/16/1979-WYOMING COUNTY</t>
  </si>
  <si>
    <t>0219</t>
  </si>
  <si>
    <t>1600000US5460364</t>
  </si>
  <si>
    <t>Pineville town</t>
  </si>
  <si>
    <t>Incorporated-540220-09/30/83-WYOMING COUNTY</t>
  </si>
  <si>
    <t>0220</t>
  </si>
  <si>
    <t>1600000US5463940</t>
  </si>
  <si>
    <t>Wyoming County, West Virginia</t>
  </si>
  <si>
    <t>0500000US54109</t>
  </si>
  <si>
    <t>Data</t>
  </si>
  <si>
    <t>Transportation_Roads_20200814.xlsx</t>
  </si>
  <si>
    <t>Transportation_Roads_20200729.xlsx</t>
  </si>
  <si>
    <t>\\gistc-filesrv2\HazardData\Working\aSFHA_bSF\Data\script_outputs\Transportation_Roads_20200729.xlsx</t>
  </si>
  <si>
    <t>Transportation_Railroads_20200814.xlsx</t>
  </si>
  <si>
    <t>Transportation_Bridges_20200728.xlsx</t>
  </si>
  <si>
    <t>Debris Flow</t>
  </si>
  <si>
    <t>Fall</t>
  </si>
  <si>
    <t>Lateral Spread</t>
  </si>
  <si>
    <t>Multiple Failures</t>
  </si>
  <si>
    <t>Slide</t>
  </si>
  <si>
    <t>Verified Older Landslide</t>
  </si>
  <si>
    <t>Verified Rockfall</t>
  </si>
  <si>
    <t xml:space="preserve">Verified Recent Landslide </t>
  </si>
  <si>
    <t>Undetermined</t>
  </si>
  <si>
    <t>landslides_moves_report_20200707.xlsx</t>
  </si>
  <si>
    <t>\\gistc-filesrv2\HazardData\Working\aSFHA_bSF\Data\script_outputs\Landslide_reports\landslides_moves_report_20200707.xlsx</t>
  </si>
  <si>
    <t>WV_Demographic_Data_10222019.xlsx</t>
  </si>
  <si>
    <t>\\gistc-filesrv2\HazardData\userFiles\Behrang\Demographic_Inventory\WV\Final_Demographic_WV\WV_Demographic_Data_10222019.xlsx</t>
  </si>
  <si>
    <t>Pre-FIRM, Post-FIRM, Init FHBM, Init FIRM, Curr Eff map date</t>
  </si>
  <si>
    <t>All_flood_zones</t>
  </si>
  <si>
    <t>FIRM_Status</t>
  </si>
  <si>
    <t>CID-HRFZ_exposure</t>
  </si>
  <si>
    <t>HRFZ_FIRM</t>
  </si>
  <si>
    <t>bSF_flood_depth_sources</t>
  </si>
  <si>
    <t>bSF_by_flood_zones_Dams</t>
  </si>
  <si>
    <t>bSF_by_flood_zones_Levees</t>
  </si>
  <si>
    <t>Essential Facilities  and community assets</t>
  </si>
  <si>
    <t>Riparian</t>
  </si>
  <si>
    <t>bSF_Riparian_20200806.xlsx</t>
  </si>
  <si>
    <t>bSF_Riparian</t>
  </si>
  <si>
    <t>CRS 422 a</t>
  </si>
  <si>
    <t>CRS_422_a</t>
  </si>
  <si>
    <t>CRS 422 b</t>
  </si>
  <si>
    <t>CRS_422_b_20200416</t>
  </si>
  <si>
    <t>CRS_422_c</t>
  </si>
  <si>
    <t>CRS_432_b</t>
  </si>
  <si>
    <t>CRS_520</t>
  </si>
  <si>
    <t>aNFOS</t>
  </si>
  <si>
    <t>Natural_Floodplain_Function (aNFOS)</t>
  </si>
  <si>
    <t>Landuse (Impervious/Pervious)</t>
  </si>
  <si>
    <t>landUse_20200807.xlsx</t>
  </si>
  <si>
    <t>Impervious_Pervious</t>
  </si>
  <si>
    <t>DepthGridWSEL-Percent_Community</t>
  </si>
  <si>
    <t>FEMA Region 3 Community Data</t>
  </si>
  <si>
    <t>WV_CEP_Report_2019</t>
  </si>
  <si>
    <t>Transportation-Roads</t>
  </si>
  <si>
    <t>Transportation-Railroad</t>
  </si>
  <si>
    <t>Transportation-Bridges</t>
  </si>
  <si>
    <t>Transportation_Railroads</t>
  </si>
  <si>
    <t>SL-Community</t>
  </si>
  <si>
    <t>SL-County</t>
  </si>
  <si>
    <t>SL-State</t>
  </si>
  <si>
    <t>Landslide-By FloodType</t>
  </si>
  <si>
    <t>Landslide Types</t>
  </si>
  <si>
    <t>WV_Communities_Demographic</t>
  </si>
  <si>
    <t>Demographic Data</t>
  </si>
  <si>
    <t>NOT RUN YET</t>
  </si>
  <si>
    <t xml:space="preserve"> if</t>
  </si>
  <si>
    <t>BI if available</t>
  </si>
  <si>
    <t>SAMS_Building Footprint</t>
  </si>
  <si>
    <t>UDF or average bSF</t>
  </si>
  <si>
    <t>OpenOp space- aPublic, aPrivate, a Deed Restricted, rOSP, cOSP</t>
  </si>
  <si>
    <t>Deed resttricted- aDR, rDR, cDR</t>
  </si>
  <si>
    <t>Natural Function Open Space- aNFOS#1, aNFOS#3, rNFOS#1, rNFOS#3,  cCFOS</t>
  </si>
  <si>
    <t>Freeboard- aOSP, aFRB, rFRB, cFRB</t>
  </si>
  <si>
    <t>Buyout, RL- bSF, bRL, bCF, bAR, rAR, c520-1, c520-2.1, c520-2.2, c520-2</t>
  </si>
  <si>
    <t>buyout Parcel- RL table, buyout property centroid</t>
  </si>
  <si>
    <t>Essential Facilities</t>
  </si>
  <si>
    <t>Public lands, waterbody and Streams, Riaparian, T&amp;E Species</t>
  </si>
  <si>
    <t>aSFHA, aWetlands, aRiparian, nSpecies</t>
  </si>
  <si>
    <t>NLCD</t>
  </si>
  <si>
    <t>Area SFHA, building count (Pervious/Impervious)</t>
  </si>
  <si>
    <t>Area and percentage of depth grid</t>
  </si>
  <si>
    <t>Road</t>
  </si>
  <si>
    <t>Railroad</t>
  </si>
  <si>
    <t>Bridges</t>
  </si>
  <si>
    <t>affected length</t>
  </si>
  <si>
    <t>count of bridges</t>
  </si>
  <si>
    <t>Landslide-By LanduseType</t>
  </si>
  <si>
    <t>Landslide points</t>
  </si>
  <si>
    <t>UDF (if available)/Parcel centroid</t>
  </si>
  <si>
    <t>\\gistc-filesrv2\HazardData\Working\aSFHA_bSF\Data\script_outputs\Community Reports\landUse_20200807.xlsx</t>
  </si>
  <si>
    <t>\\gistc-filesrv2\HazardData\Working\aSFHA_bSF\Data\script_outputs\Community Reports\DepthGrid_WSEL_20200715.xlsx</t>
  </si>
  <si>
    <t>\\gistc-filesrv2\HazardData\Working\aSFHA_bSF\Data\script_outputs\Community Reports\Transportation_Roads_20200814.xlsx</t>
  </si>
  <si>
    <t>\\gistc-filesrv2\HazardData\Working\aSFHA_bSF\Data\script_outputs\Community Reports\Transportation_Railroads_20200814.xlsx</t>
  </si>
  <si>
    <t>\\gistc-filesrv2\HazardData\Working\aSFHA_bSF\Data\script_outputs\Community Reports\Transportation_Bridges_20200728.xlsx</t>
  </si>
  <si>
    <t>Residential-H count</t>
  </si>
  <si>
    <t>Residential-M Risk value</t>
  </si>
  <si>
    <t>Residential-L Risk value</t>
  </si>
  <si>
    <t>Commercial-H count</t>
  </si>
  <si>
    <t>Commercial-H Risk value</t>
  </si>
  <si>
    <t>Commercial-M Risk value</t>
  </si>
  <si>
    <t>Commercial-L Risk value</t>
  </si>
  <si>
    <t>Apartment-H Risk value</t>
  </si>
  <si>
    <t>Apartment-M Risk value</t>
  </si>
  <si>
    <t>Apartment-L Risk value</t>
  </si>
  <si>
    <t>Industrial-H Risk value</t>
  </si>
  <si>
    <t>Industrial-M Risk value</t>
  </si>
  <si>
    <t>Industrial-L Risk value</t>
  </si>
  <si>
    <t>Farm-H Risk value</t>
  </si>
  <si>
    <t>Farm-M Risk value</t>
  </si>
  <si>
    <t>Farm-L Risk value</t>
  </si>
  <si>
    <t>Utility-H Risk value</t>
  </si>
  <si>
    <t>Utility-M Risk value</t>
  </si>
  <si>
    <t>Utility-L Risk value</t>
  </si>
  <si>
    <t>Exempt-H Risk value</t>
  </si>
  <si>
    <t>Exempt-M Risk value</t>
  </si>
  <si>
    <t>Exempt-L Risk value</t>
  </si>
  <si>
    <t>landslides_report_20200918.xlsx</t>
  </si>
  <si>
    <t>\\gistc-filesrv2\Hazarddata\Working\aSFHA_bSF\Data\script_outputs\Landslide_reports\landslides_report_20200918.xlsx</t>
  </si>
  <si>
    <t>landslides_flood_report_20200918.xlsx</t>
  </si>
  <si>
    <t>\\gistc-filesrv2\HazardData\Working\aSFHA_bSF\Data\script_outputs\Landslide_reports\landslides_flood_report_20200918.xlsx</t>
  </si>
  <si>
    <t>Total Structure</t>
  </si>
  <si>
    <t>aSFHA_20200921_final</t>
  </si>
  <si>
    <t>\\gistc-filesrv2\HazardData\Working\aSFHA_bSF\Data\script_outputs\Community_Reports\aSFHA_20200921_final.csv</t>
  </si>
  <si>
    <t xml:space="preserve"> Total area of parcels preserved as open space (OSP) in SFHA(aOSP, aPublic, aPrivate, aDR)</t>
  </si>
  <si>
    <t>CRS_422_a_20200914_final.csv</t>
  </si>
  <si>
    <t>\\gistc-filesrv2\HazardData\Working\aSFHA_bSF\Data\script_outputs\Community_Reports\CRS_422_a_20200914_final.csv</t>
  </si>
  <si>
    <t>CRS_422_b_20200914_final.csv</t>
  </si>
  <si>
    <t>\\gistc-filesrv2\HazardData\Working\aSFHA_bSF\Data\script_outputs\Community_Reports\CRS_422_b_20200914_final.csv</t>
  </si>
  <si>
    <t>CRS_422_c_20200914_final.csv</t>
  </si>
  <si>
    <t>A:\Working\aSFHA_bSF\Data\script_outputs\Community_Reports\CRS_422_c_20200914_final.csv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</si>
</sst>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_(* #,##0_);_(* \(#,##0\);_(* &quot;-&quot;??_);_(@_)"/>
    <numFmt numFmtId="165" formatCode="0.0%"/>
    <numFmt numFmtId="166" formatCode="0.000%"/>
    <numFmt numFmtId="167" formatCode="_(&quot;$&quot;* #,##0_);_(&quot;$&quot;* \(#,##0\);_(&quot;$&quot;* &quot;-&quot;??_);_(@_)"/>
    <numFmt numFmtId="168" formatCode="&quot;$&quot;#,##0"/>
    <numFmt numFmtId="169" formatCode="0.0"/>
    <numFmt numFmtId="170" formatCode="&quot;$&quot;#,##0.00"/>
    <numFmt numFmtId="171" formatCode="0.0000000%"/>
    <numFmt numFmtId="172" formatCode="0.0000"/>
  </numFmts>
  <fonts count="3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i/>
      <sz val="11"/>
      <color theme="1"/>
      <name val="Calibri"/>
      <family val="2"/>
      <scheme val="minor"/>
    </font>
    <font>
      <sz val="11"/>
      <color theme="4" tint="-0.499984740745262"/>
      <name val="Calibri"/>
      <family val="2"/>
      <scheme val="minor"/>
    </font>
    <font>
      <sz val="11"/>
      <name val="Calibri"/>
      <family val="2"/>
      <scheme val="minor"/>
    </font>
    <font>
      <sz val="11"/>
      <color theme="3"/>
      <name val="Calibri"/>
      <family val="2"/>
      <scheme val="minor"/>
    </font>
    <font>
      <sz val="11"/>
      <color theme="4"/>
      <name val="Calibri"/>
      <family val="2"/>
      <scheme val="minor"/>
    </font>
    <font>
      <b/>
      <i/>
      <sz val="11"/>
      <name val="Calibri"/>
      <family val="2"/>
      <scheme val="minor"/>
    </font>
    <font>
      <b/>
      <i/>
      <sz val="11"/>
      <color theme="1"/>
      <name val="Calibri"/>
      <family val="2"/>
      <scheme val="minor"/>
    </font>
    <font>
      <b/>
      <sz val="11"/>
      <name val="Calibri"/>
      <family val="2"/>
      <scheme val="minor"/>
    </font>
    <font>
      <b/>
      <sz val="16"/>
      <color theme="0"/>
      <name val="Calibri"/>
      <family val="2"/>
      <scheme val="minor"/>
    </font>
    <font>
      <b/>
      <sz val="16"/>
      <color rgb="FFFFFF00"/>
      <name val="Calibri"/>
      <family val="2"/>
      <scheme val="minor"/>
    </font>
    <font>
      <u/>
      <sz val="11"/>
      <color theme="10"/>
      <name val="Calibri"/>
      <family val="2"/>
      <scheme val="minor"/>
    </font>
    <font>
      <b/>
      <sz val="11"/>
      <color rgb="FF3F3F76"/>
      <name val="Calibri"/>
      <family val="2"/>
      <scheme val="minor"/>
    </font>
    <font>
      <sz val="11"/>
      <color theme="7" tint="-0.499984740745262"/>
      <name val="Calibri"/>
      <family val="2"/>
      <scheme val="minor"/>
    </font>
    <font>
      <sz val="11"/>
      <color theme="9" tint="-0.249977111117893"/>
      <name val="Calibri"/>
      <family val="2"/>
      <scheme val="minor"/>
    </font>
    <font>
      <i/>
      <sz val="11"/>
      <color theme="9" tint="-0.249977111117893"/>
      <name val="Calibri"/>
      <family val="2"/>
      <scheme val="minor"/>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7"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FC8B7C"/>
        <bgColor indexed="64"/>
      </patternFill>
    </fill>
    <fill>
      <patternFill patternType="solid">
        <fgColor rgb="FFFEFED6"/>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rgb="FF00206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CD5B4"/>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style="thick">
        <color indexed="64"/>
      </right>
      <top/>
      <bottom/>
      <diagonal/>
    </border>
    <border>
      <left/>
      <right style="thick">
        <color indexed="64"/>
      </right>
      <top/>
      <bottom style="thick">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9" fillId="0" borderId="0" applyNumberFormat="0" applyFill="0" applyBorder="0" applyAlignment="0" applyProtection="0"/>
  </cellStyleXfs>
  <cellXfs count="418">
    <xf numFmtId="0" fontId="0" fillId="0" borderId="0" xfId="0"/>
    <xf numFmtId="0" fontId="16" fillId="34" borderId="10" xfId="0" applyFont="1" applyFill="1" applyBorder="1"/>
    <xf numFmtId="0" fontId="0" fillId="0" borderId="10" xfId="0" applyBorder="1"/>
    <xf numFmtId="0" fontId="16" fillId="0" borderId="10" xfId="0" applyFont="1" applyBorder="1"/>
    <xf numFmtId="164" fontId="0" fillId="0" borderId="0" xfId="42" applyNumberFormat="1" applyFont="1"/>
    <xf numFmtId="165" fontId="0" fillId="0" borderId="0" xfId="43" applyNumberFormat="1" applyFont="1" applyAlignment="1">
      <alignment horizontal="center" vertical="center"/>
    </xf>
    <xf numFmtId="3" fontId="0" fillId="0" borderId="10" xfId="0" applyNumberFormat="1" applyBorder="1"/>
    <xf numFmtId="0" fontId="0" fillId="35" borderId="0" xfId="0" applyFill="1"/>
    <xf numFmtId="0" fontId="18" fillId="35" borderId="0" xfId="0" applyFont="1" applyFill="1"/>
    <xf numFmtId="0" fontId="19" fillId="0" borderId="0" xfId="0" applyFont="1"/>
    <xf numFmtId="0" fontId="0" fillId="0" borderId="0" xfId="0" applyAlignment="1">
      <alignment horizontal="center"/>
    </xf>
    <xf numFmtId="0" fontId="0" fillId="0" borderId="0" xfId="0" applyBorder="1"/>
    <xf numFmtId="0" fontId="0" fillId="39" borderId="10" xfId="0" applyFill="1" applyBorder="1" applyAlignment="1">
      <alignment wrapText="1"/>
    </xf>
    <xf numFmtId="0" fontId="0" fillId="38" borderId="10" xfId="0" applyFill="1" applyBorder="1" applyAlignment="1">
      <alignment wrapText="1"/>
    </xf>
    <xf numFmtId="0" fontId="0" fillId="40" borderId="10" xfId="0" applyFill="1" applyBorder="1" applyAlignment="1">
      <alignment wrapText="1"/>
    </xf>
    <xf numFmtId="0" fontId="0" fillId="0" borderId="0" xfId="0" applyAlignment="1">
      <alignment wrapText="1"/>
    </xf>
    <xf numFmtId="0" fontId="0" fillId="0" borderId="0" xfId="0" applyFill="1"/>
    <xf numFmtId="0" fontId="0" fillId="41" borderId="10" xfId="0" applyFill="1" applyBorder="1" applyAlignment="1">
      <alignment horizontal="center" wrapText="1"/>
    </xf>
    <xf numFmtId="0" fontId="0" fillId="42" borderId="10" xfId="0" applyFill="1" applyBorder="1" applyAlignment="1">
      <alignment wrapText="1"/>
    </xf>
    <xf numFmtId="0" fontId="0" fillId="36" borderId="10" xfId="0" applyFill="1" applyBorder="1" applyAlignment="1">
      <alignment horizontal="center" vertical="center" wrapText="1"/>
    </xf>
    <xf numFmtId="0" fontId="21" fillId="36"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16" fillId="43" borderId="10" xfId="0" applyFont="1" applyFill="1" applyBorder="1"/>
    <xf numFmtId="0" fontId="16" fillId="43" borderId="10" xfId="0" applyFont="1" applyFill="1" applyBorder="1" applyAlignment="1">
      <alignment horizontal="center"/>
    </xf>
    <xf numFmtId="0" fontId="22" fillId="0" borderId="0" xfId="0" applyFont="1"/>
    <xf numFmtId="166" fontId="0" fillId="0" borderId="0" xfId="43" applyNumberFormat="1" applyFont="1" applyAlignment="1">
      <alignment horizontal="center"/>
    </xf>
    <xf numFmtId="0" fontId="23" fillId="0" borderId="0" xfId="0" applyFont="1"/>
    <xf numFmtId="0" fontId="0" fillId="42" borderId="10" xfId="0" applyFont="1" applyFill="1" applyBorder="1" applyAlignment="1">
      <alignment horizontal="center" vertical="center" wrapText="1"/>
    </xf>
    <xf numFmtId="14" fontId="16" fillId="34" borderId="10" xfId="0" applyNumberFormat="1" applyFont="1" applyFill="1" applyBorder="1"/>
    <xf numFmtId="14" fontId="0" fillId="0" borderId="10" xfId="0" applyNumberFormat="1" applyBorder="1"/>
    <xf numFmtId="0" fontId="24" fillId="0" borderId="0" xfId="0" applyFont="1" applyAlignment="1">
      <alignment horizontal="left"/>
    </xf>
    <xf numFmtId="0" fontId="24" fillId="0" borderId="0" xfId="0" applyFont="1"/>
    <xf numFmtId="10" fontId="24" fillId="0" borderId="0" xfId="43" applyNumberFormat="1" applyFont="1"/>
    <xf numFmtId="167" fontId="0" fillId="0" borderId="0" xfId="44" applyNumberFormat="1" applyFont="1"/>
    <xf numFmtId="0" fontId="0" fillId="36" borderId="10" xfId="0" applyFill="1" applyBorder="1" applyAlignment="1">
      <alignment horizontal="center" wrapText="1"/>
    </xf>
    <xf numFmtId="0" fontId="0" fillId="0" borderId="10" xfId="0" applyBorder="1" applyAlignment="1">
      <alignment wrapText="1"/>
    </xf>
    <xf numFmtId="0" fontId="0" fillId="42" borderId="10" xfId="0" applyFill="1" applyBorder="1" applyAlignment="1">
      <alignment horizontal="left" vertical="top" wrapText="1"/>
    </xf>
    <xf numFmtId="0" fontId="0" fillId="0" borderId="10" xfId="0" applyBorder="1" applyAlignment="1">
      <alignment horizontal="left" vertical="top" wrapText="1"/>
    </xf>
    <xf numFmtId="0" fontId="0" fillId="0" borderId="0" xfId="0" applyAlignment="1">
      <alignment horizontal="center" vertical="center"/>
    </xf>
    <xf numFmtId="0" fontId="0" fillId="0" borderId="10" xfId="0" applyBorder="1" applyAlignment="1">
      <alignment horizontal="center" vertical="center"/>
    </xf>
    <xf numFmtId="2" fontId="0" fillId="0" borderId="0" xfId="0" applyNumberFormat="1"/>
    <xf numFmtId="10" fontId="0" fillId="0" borderId="0" xfId="0" applyNumberFormat="1" applyAlignment="1">
      <alignment horizontal="center" vertical="center"/>
    </xf>
    <xf numFmtId="0" fontId="16" fillId="36" borderId="10" xfId="0" applyFont="1" applyFill="1" applyBorder="1" applyAlignment="1">
      <alignment horizontal="center" vertical="center"/>
    </xf>
    <xf numFmtId="169" fontId="6" fillId="2" borderId="10" xfId="6" applyNumberFormat="1" applyBorder="1" applyAlignment="1">
      <alignment horizontal="center" vertical="center"/>
    </xf>
    <xf numFmtId="0" fontId="0" fillId="0" borderId="10" xfId="0" applyBorder="1" applyAlignment="1">
      <alignment horizontal="right" vertical="center"/>
    </xf>
    <xf numFmtId="169" fontId="0" fillId="0" borderId="10" xfId="0" applyNumberFormat="1" applyBorder="1" applyAlignment="1">
      <alignment horizontal="right" vertical="center"/>
    </xf>
    <xf numFmtId="0" fontId="26" fillId="0" borderId="10" xfId="0" applyFont="1" applyBorder="1" applyAlignment="1">
      <alignment horizontal="right" vertical="center" wrapText="1"/>
    </xf>
    <xf numFmtId="0" fontId="0" fillId="0" borderId="0" xfId="0" applyFill="1" applyBorder="1" applyAlignment="1">
      <alignment horizontal="right" vertical="center"/>
    </xf>
    <xf numFmtId="1" fontId="0" fillId="0" borderId="0" xfId="0" applyNumberFormat="1" applyFill="1" applyBorder="1" applyAlignment="1">
      <alignment horizontal="center" vertical="center"/>
    </xf>
    <xf numFmtId="0" fontId="0" fillId="0" borderId="10" xfId="0" applyFill="1" applyBorder="1" applyAlignment="1">
      <alignment horizontal="right" vertical="center"/>
    </xf>
    <xf numFmtId="10" fontId="0" fillId="0" borderId="0" xfId="43" applyNumberFormat="1" applyFont="1"/>
    <xf numFmtId="10" fontId="0" fillId="36" borderId="10" xfId="43" applyNumberFormat="1" applyFont="1" applyFill="1" applyBorder="1" applyAlignment="1">
      <alignment horizontal="center" wrapText="1"/>
    </xf>
    <xf numFmtId="167" fontId="0" fillId="36" borderId="10" xfId="44" applyNumberFormat="1" applyFont="1" applyFill="1" applyBorder="1" applyAlignment="1">
      <alignment horizontal="center" wrapText="1"/>
    </xf>
    <xf numFmtId="0" fontId="16" fillId="34" borderId="10" xfId="0" applyFont="1" applyFill="1" applyBorder="1" applyAlignment="1">
      <alignment horizontal="right"/>
    </xf>
    <xf numFmtId="0" fontId="0" fillId="0" borderId="10" xfId="0" applyBorder="1" applyAlignment="1">
      <alignment horizontal="right"/>
    </xf>
    <xf numFmtId="165" fontId="0" fillId="0" borderId="0" xfId="43" applyNumberFormat="1" applyFont="1" applyAlignment="1">
      <alignment horizontal="center"/>
    </xf>
    <xf numFmtId="0" fontId="0" fillId="0" borderId="0" xfId="0" applyFill="1" applyAlignment="1">
      <alignment wrapText="1"/>
    </xf>
    <xf numFmtId="0" fontId="0" fillId="0" borderId="10" xfId="0" applyBorder="1" applyAlignment="1">
      <alignment horizontal="left" vertical="center" wrapText="1"/>
    </xf>
    <xf numFmtId="0" fontId="16" fillId="42" borderId="10" xfId="0" applyFont="1" applyFill="1" applyBorder="1" applyAlignment="1">
      <alignment horizontal="left" vertical="center" wrapText="1"/>
    </xf>
    <xf numFmtId="0" fontId="16" fillId="43" borderId="10" xfId="0" applyFont="1" applyFill="1" applyBorder="1" applyAlignment="1">
      <alignment horizontal="center" vertical="center" wrapText="1"/>
    </xf>
    <xf numFmtId="0" fontId="0" fillId="45" borderId="0" xfId="0" applyFill="1"/>
    <xf numFmtId="0" fontId="0" fillId="45" borderId="10" xfId="0" applyFill="1" applyBorder="1"/>
    <xf numFmtId="0" fontId="16" fillId="45" borderId="10" xfId="0" applyFont="1" applyFill="1" applyBorder="1"/>
    <xf numFmtId="3" fontId="0" fillId="45" borderId="10" xfId="0" applyNumberFormat="1" applyFill="1" applyBorder="1"/>
    <xf numFmtId="0" fontId="16" fillId="42" borderId="10" xfId="0" applyFont="1" applyFill="1" applyBorder="1" applyAlignment="1">
      <alignment horizontal="left" vertical="top" wrapText="1"/>
    </xf>
    <xf numFmtId="0" fontId="0" fillId="45" borderId="10" xfId="0" applyFill="1" applyBorder="1" applyAlignment="1">
      <alignment horizontal="center" wrapText="1"/>
    </xf>
    <xf numFmtId="167" fontId="0" fillId="45" borderId="10" xfId="44" applyNumberFormat="1" applyFont="1" applyFill="1" applyBorder="1" applyAlignment="1">
      <alignment horizontal="center" wrapText="1"/>
    </xf>
    <xf numFmtId="10" fontId="0" fillId="45" borderId="10" xfId="43" applyNumberFormat="1" applyFont="1" applyFill="1" applyBorder="1" applyAlignment="1">
      <alignment horizontal="center" wrapText="1"/>
    </xf>
    <xf numFmtId="0" fontId="0" fillId="46" borderId="10" xfId="0" applyFill="1" applyBorder="1" applyAlignment="1">
      <alignment horizontal="center" wrapText="1"/>
    </xf>
    <xf numFmtId="0" fontId="0" fillId="46" borderId="10" xfId="0" applyFill="1" applyBorder="1" applyAlignment="1">
      <alignment wrapText="1"/>
    </xf>
    <xf numFmtId="0" fontId="0" fillId="0" borderId="10" xfId="0" applyFill="1" applyBorder="1" applyAlignment="1">
      <alignment wrapText="1"/>
    </xf>
    <xf numFmtId="0" fontId="0" fillId="47" borderId="10" xfId="0" applyFill="1" applyBorder="1" applyAlignment="1">
      <alignment horizontal="center" wrapText="1"/>
    </xf>
    <xf numFmtId="9" fontId="0" fillId="48" borderId="10" xfId="43" applyFont="1" applyFill="1" applyBorder="1" applyAlignment="1">
      <alignment horizontal="center"/>
    </xf>
    <xf numFmtId="0" fontId="16" fillId="34" borderId="10" xfId="0" applyFont="1" applyFill="1" applyBorder="1" applyAlignment="1">
      <alignment horizontal="center"/>
    </xf>
    <xf numFmtId="0" fontId="16" fillId="0" borderId="0" xfId="0" applyFont="1" applyFill="1"/>
    <xf numFmtId="0" fontId="0" fillId="0" borderId="0" xfId="0" applyAlignment="1">
      <alignment horizontal="right"/>
    </xf>
    <xf numFmtId="0" fontId="0" fillId="44" borderId="10" xfId="0" applyFill="1" applyBorder="1"/>
    <xf numFmtId="0" fontId="21" fillId="42" borderId="10" xfId="0" applyFont="1" applyFill="1" applyBorder="1" applyAlignment="1">
      <alignment horizontal="left" vertical="top" wrapText="1"/>
    </xf>
    <xf numFmtId="0" fontId="0" fillId="37" borderId="10" xfId="0" applyFill="1" applyBorder="1" applyAlignment="1">
      <alignment horizontal="left" vertical="top" wrapText="1"/>
    </xf>
    <xf numFmtId="0" fontId="16" fillId="45" borderId="10" xfId="0" applyFont="1" applyFill="1" applyBorder="1" applyAlignment="1">
      <alignment horizontal="left" vertical="top" wrapText="1"/>
    </xf>
    <xf numFmtId="0" fontId="16" fillId="38" borderId="10" xfId="0" applyFont="1" applyFill="1" applyBorder="1" applyAlignment="1">
      <alignment horizontal="left" vertical="top" wrapText="1"/>
    </xf>
    <xf numFmtId="0" fontId="0" fillId="42" borderId="17" xfId="0" applyFill="1" applyBorder="1" applyAlignment="1">
      <alignment horizontal="left" vertical="top" wrapText="1"/>
    </xf>
    <xf numFmtId="0" fontId="0" fillId="45" borderId="10" xfId="0" applyFill="1" applyBorder="1" applyAlignment="1">
      <alignment wrapText="1"/>
    </xf>
    <xf numFmtId="0" fontId="0" fillId="45" borderId="10" xfId="0" applyFont="1" applyFill="1" applyBorder="1" applyAlignment="1">
      <alignment horizontal="center" vertical="center" wrapText="1"/>
    </xf>
    <xf numFmtId="0" fontId="0" fillId="49" borderId="10" xfId="0" applyFill="1" applyBorder="1" applyAlignment="1">
      <alignment horizontal="center" wrapText="1"/>
    </xf>
    <xf numFmtId="0" fontId="0" fillId="49" borderId="0" xfId="0" applyFill="1"/>
    <xf numFmtId="0" fontId="16" fillId="37" borderId="10" xfId="0" applyFont="1" applyFill="1" applyBorder="1" applyAlignment="1">
      <alignment horizontal="left" vertical="top" wrapText="1"/>
    </xf>
    <xf numFmtId="0" fontId="0" fillId="42" borderId="10" xfId="0" applyFont="1" applyFill="1" applyBorder="1" applyAlignment="1">
      <alignment horizontal="left" vertical="top" wrapText="1"/>
    </xf>
    <xf numFmtId="0" fontId="0" fillId="0" borderId="10" xfId="0" applyFont="1" applyBorder="1" applyAlignment="1">
      <alignment horizontal="left" vertical="top" wrapText="1"/>
    </xf>
    <xf numFmtId="0" fontId="0" fillId="0" borderId="0" xfId="0" applyFont="1"/>
    <xf numFmtId="0" fontId="14" fillId="42" borderId="10" xfId="0" applyFont="1" applyFill="1" applyBorder="1" applyAlignment="1">
      <alignment horizontal="left" vertical="top" wrapText="1"/>
    </xf>
    <xf numFmtId="0" fontId="0" fillId="0" borderId="0" xfId="0" applyFont="1" applyAlignment="1">
      <alignment wrapText="1"/>
    </xf>
    <xf numFmtId="0" fontId="0" fillId="0" borderId="10" xfId="0" applyBorder="1" applyAlignment="1">
      <alignment horizontal="center"/>
    </xf>
    <xf numFmtId="0" fontId="0" fillId="43" borderId="10" xfId="0" applyFont="1" applyFill="1" applyBorder="1" applyAlignment="1">
      <alignment horizontal="center" wrapText="1"/>
    </xf>
    <xf numFmtId="168" fontId="6" fillId="2" borderId="10" xfId="6" applyNumberFormat="1" applyBorder="1" applyAlignment="1">
      <alignment horizontal="center" wrapText="1"/>
    </xf>
    <xf numFmtId="170" fontId="6" fillId="2" borderId="10" xfId="6" applyNumberFormat="1" applyBorder="1" applyAlignment="1">
      <alignment horizontal="center" wrapText="1"/>
    </xf>
    <xf numFmtId="9" fontId="0" fillId="43" borderId="10" xfId="0" applyNumberFormat="1" applyFont="1" applyFill="1" applyBorder="1" applyAlignment="1">
      <alignment horizontal="center" wrapText="1"/>
    </xf>
    <xf numFmtId="0" fontId="6" fillId="2" borderId="10" xfId="6" applyBorder="1" applyAlignment="1">
      <alignment horizontal="center" wrapText="1"/>
    </xf>
    <xf numFmtId="0" fontId="0" fillId="45" borderId="10" xfId="0" applyFill="1" applyBorder="1" applyAlignment="1"/>
    <xf numFmtId="0" fontId="0" fillId="0" borderId="10" xfId="0" applyBorder="1" applyAlignment="1"/>
    <xf numFmtId="0" fontId="0" fillId="48" borderId="10" xfId="0" applyFont="1" applyFill="1" applyBorder="1" applyAlignment="1"/>
    <xf numFmtId="168" fontId="0" fillId="0" borderId="10" xfId="0" applyNumberFormat="1" applyBorder="1" applyAlignment="1">
      <alignment horizontal="right"/>
    </xf>
    <xf numFmtId="3" fontId="16" fillId="51" borderId="10" xfId="0" applyNumberFormat="1" applyFont="1" applyFill="1" applyBorder="1" applyAlignment="1">
      <alignment horizontal="center"/>
    </xf>
    <xf numFmtId="9" fontId="0" fillId="0" borderId="10" xfId="0" applyNumberFormat="1" applyBorder="1" applyAlignment="1">
      <alignment horizontal="center"/>
    </xf>
    <xf numFmtId="1" fontId="0" fillId="0" borderId="10" xfId="0" applyNumberFormat="1" applyBorder="1" applyAlignment="1">
      <alignment horizontal="right"/>
    </xf>
    <xf numFmtId="0" fontId="0" fillId="0" borderId="10" xfId="0" applyBorder="1" applyAlignment="1">
      <alignment horizontal="right" indent="1"/>
    </xf>
    <xf numFmtId="0" fontId="16" fillId="34" borderId="10" xfId="0" applyFont="1" applyFill="1" applyBorder="1" applyAlignment="1"/>
    <xf numFmtId="168" fontId="16" fillId="34" borderId="10" xfId="0" applyNumberFormat="1" applyFont="1" applyFill="1" applyBorder="1" applyAlignment="1">
      <alignment horizontal="right"/>
    </xf>
    <xf numFmtId="9" fontId="16" fillId="34" borderId="10" xfId="0" applyNumberFormat="1" applyFont="1" applyFill="1" applyBorder="1" applyAlignment="1">
      <alignment horizontal="center"/>
    </xf>
    <xf numFmtId="1" fontId="16" fillId="34" borderId="10" xfId="0" applyNumberFormat="1" applyFont="1" applyFill="1" applyBorder="1" applyAlignment="1">
      <alignment horizontal="right"/>
    </xf>
    <xf numFmtId="0" fontId="16" fillId="34" borderId="10" xfId="0" applyFont="1" applyFill="1" applyBorder="1" applyAlignment="1">
      <alignment horizontal="right" indent="1"/>
    </xf>
    <xf numFmtId="168" fontId="0" fillId="0" borderId="0" xfId="0" applyNumberFormat="1"/>
    <xf numFmtId="9" fontId="0" fillId="0" borderId="0" xfId="0" applyNumberFormat="1" applyAlignment="1">
      <alignment horizontal="center"/>
    </xf>
    <xf numFmtId="1" fontId="0" fillId="0" borderId="0" xfId="0" applyNumberFormat="1"/>
    <xf numFmtId="1" fontId="0" fillId="42" borderId="10" xfId="0" applyNumberFormat="1" applyFill="1" applyBorder="1" applyAlignment="1">
      <alignment wrapText="1"/>
    </xf>
    <xf numFmtId="1" fontId="0" fillId="43" borderId="10" xfId="0" applyNumberFormat="1" applyFont="1" applyFill="1" applyBorder="1" applyAlignment="1">
      <alignment horizontal="center" wrapText="1"/>
    </xf>
    <xf numFmtId="0" fontId="0" fillId="0" borderId="10" xfId="0" applyNumberFormat="1" applyBorder="1"/>
    <xf numFmtId="0" fontId="16" fillId="34" borderId="10" xfId="0" applyNumberFormat="1" applyFont="1" applyFill="1" applyBorder="1"/>
    <xf numFmtId="0" fontId="16" fillId="0" borderId="0" xfId="0" applyFont="1"/>
    <xf numFmtId="0" fontId="0" fillId="0" borderId="0" xfId="0" applyFill="1" applyAlignment="1">
      <alignment horizontal="center"/>
    </xf>
    <xf numFmtId="0" fontId="0" fillId="0" borderId="10" xfId="0" applyFill="1" applyBorder="1" applyAlignment="1">
      <alignment horizontal="center" wrapText="1"/>
    </xf>
    <xf numFmtId="3" fontId="0" fillId="0" borderId="10" xfId="0" applyNumberFormat="1" applyFill="1" applyBorder="1"/>
    <xf numFmtId="0" fontId="0" fillId="0" borderId="0" xfId="0" applyAlignment="1">
      <alignment horizontal="left"/>
    </xf>
    <xf numFmtId="0" fontId="16" fillId="43" borderId="10" xfId="0" applyFont="1" applyFill="1" applyBorder="1" applyAlignment="1">
      <alignment horizontal="center" wrapText="1"/>
    </xf>
    <xf numFmtId="0" fontId="16" fillId="43" borderId="11" xfId="0" applyFont="1" applyFill="1" applyBorder="1" applyAlignment="1">
      <alignment horizontal="center" wrapText="1"/>
    </xf>
    <xf numFmtId="0" fontId="16" fillId="34" borderId="11" xfId="0" applyFont="1" applyFill="1" applyBorder="1"/>
    <xf numFmtId="14" fontId="16" fillId="34" borderId="10" xfId="0" applyNumberFormat="1" applyFont="1" applyFill="1" applyBorder="1" applyAlignment="1">
      <alignment horizontal="left"/>
    </xf>
    <xf numFmtId="0" fontId="16" fillId="34" borderId="10" xfId="0" applyFont="1" applyFill="1" applyBorder="1" applyAlignment="1">
      <alignment horizontal="left"/>
    </xf>
    <xf numFmtId="0" fontId="0" fillId="0" borderId="11" xfId="0" applyBorder="1"/>
    <xf numFmtId="0" fontId="0" fillId="0" borderId="10" xfId="0" applyBorder="1" applyAlignment="1">
      <alignment horizontal="left"/>
    </xf>
    <xf numFmtId="14" fontId="0" fillId="0" borderId="10" xfId="0" applyNumberFormat="1" applyBorder="1" applyAlignment="1">
      <alignment horizontal="left"/>
    </xf>
    <xf numFmtId="0" fontId="0" fillId="0" borderId="18" xfId="0" applyBorder="1"/>
    <xf numFmtId="0" fontId="0" fillId="43" borderId="0" xfId="0" applyFill="1"/>
    <xf numFmtId="0" fontId="0" fillId="52" borderId="0" xfId="0" applyFill="1"/>
    <xf numFmtId="170" fontId="0" fillId="0" borderId="0" xfId="0" applyNumberFormat="1" applyAlignment="1">
      <alignment horizontal="right"/>
    </xf>
    <xf numFmtId="171" fontId="0" fillId="0" borderId="0" xfId="0" applyNumberFormat="1"/>
    <xf numFmtId="10" fontId="0" fillId="0" borderId="0" xfId="0" applyNumberFormat="1"/>
    <xf numFmtId="1" fontId="0" fillId="0" borderId="0" xfId="0" applyNumberFormat="1" applyAlignment="1">
      <alignment horizontal="right"/>
    </xf>
    <xf numFmtId="14" fontId="0" fillId="0" borderId="0" xfId="0" applyNumberFormat="1"/>
    <xf numFmtId="0" fontId="0" fillId="0" borderId="0" xfId="0" applyAlignment="1">
      <alignment horizontal="right" indent="1"/>
    </xf>
    <xf numFmtId="14" fontId="0" fillId="0" borderId="0" xfId="0" applyNumberFormat="1" applyAlignment="1">
      <alignment horizontal="right"/>
    </xf>
    <xf numFmtId="0" fontId="0" fillId="52" borderId="19" xfId="0" applyFill="1" applyBorder="1"/>
    <xf numFmtId="0" fontId="16" fillId="0" borderId="10" xfId="0" applyFont="1" applyBorder="1" applyAlignment="1">
      <alignment horizontal="left" wrapText="1"/>
    </xf>
    <xf numFmtId="0" fontId="16" fillId="45" borderId="10" xfId="0" applyFont="1" applyFill="1" applyBorder="1" applyAlignment="1">
      <alignment horizontal="left" wrapText="1"/>
    </xf>
    <xf numFmtId="0" fontId="16" fillId="50" borderId="10" xfId="0" applyFont="1" applyFill="1" applyBorder="1" applyAlignment="1">
      <alignment horizontal="left" wrapText="1"/>
    </xf>
    <xf numFmtId="170" fontId="16" fillId="45" borderId="10" xfId="0" applyNumberFormat="1" applyFont="1" applyFill="1" applyBorder="1" applyAlignment="1">
      <alignment horizontal="left" wrapText="1"/>
    </xf>
    <xf numFmtId="171" fontId="16" fillId="45" borderId="10" xfId="0" applyNumberFormat="1" applyFont="1" applyFill="1" applyBorder="1" applyAlignment="1">
      <alignment horizontal="left" wrapText="1"/>
    </xf>
    <xf numFmtId="10" fontId="16" fillId="45" borderId="10" xfId="0" applyNumberFormat="1" applyFont="1" applyFill="1" applyBorder="1" applyAlignment="1">
      <alignment horizontal="left" wrapText="1"/>
    </xf>
    <xf numFmtId="1" fontId="16" fillId="45" borderId="10" xfId="0" applyNumberFormat="1" applyFont="1" applyFill="1" applyBorder="1" applyAlignment="1">
      <alignment horizontal="left" wrapText="1"/>
    </xf>
    <xf numFmtId="14" fontId="16" fillId="0" borderId="10" xfId="0" applyNumberFormat="1" applyFont="1" applyBorder="1" applyAlignment="1">
      <alignment horizontal="left" wrapText="1"/>
    </xf>
    <xf numFmtId="2" fontId="16" fillId="45" borderId="10" xfId="0" applyNumberFormat="1" applyFont="1" applyFill="1" applyBorder="1" applyAlignment="1">
      <alignment horizontal="left" wrapText="1"/>
    </xf>
    <xf numFmtId="14" fontId="16" fillId="45" borderId="10" xfId="0" applyNumberFormat="1" applyFont="1" applyFill="1" applyBorder="1" applyAlignment="1">
      <alignment horizontal="left" wrapText="1"/>
    </xf>
    <xf numFmtId="0" fontId="11" fillId="6" borderId="10" xfId="11" applyBorder="1" applyAlignment="1">
      <alignment horizontal="left" wrapText="1"/>
    </xf>
    <xf numFmtId="0" fontId="16" fillId="52" borderId="19" xfId="0" applyFont="1" applyFill="1" applyBorder="1" applyAlignment="1">
      <alignment horizontal="left" wrapText="1"/>
    </xf>
    <xf numFmtId="0" fontId="16" fillId="0" borderId="0" xfId="0" applyFont="1" applyAlignment="1">
      <alignment horizontal="left" wrapText="1"/>
    </xf>
    <xf numFmtId="170" fontId="0" fillId="0" borderId="10" xfId="0" applyNumberFormat="1" applyBorder="1" applyAlignment="1">
      <alignment horizontal="right"/>
    </xf>
    <xf numFmtId="171" fontId="0" fillId="0" borderId="10" xfId="0" applyNumberFormat="1" applyBorder="1"/>
    <xf numFmtId="10" fontId="0" fillId="0" borderId="10" xfId="0" applyNumberFormat="1" applyBorder="1"/>
    <xf numFmtId="2" fontId="0" fillId="0" borderId="10" xfId="0" applyNumberFormat="1" applyBorder="1"/>
    <xf numFmtId="14" fontId="0" fillId="0" borderId="10" xfId="0" applyNumberFormat="1" applyBorder="1" applyAlignment="1">
      <alignment horizontal="right"/>
    </xf>
    <xf numFmtId="0" fontId="11" fillId="6" borderId="10" xfId="11" applyBorder="1"/>
    <xf numFmtId="0" fontId="0" fillId="41" borderId="10" xfId="0" applyFill="1" applyBorder="1"/>
    <xf numFmtId="0" fontId="0" fillId="41" borderId="10" xfId="0" applyFill="1" applyBorder="1" applyAlignment="1">
      <alignment horizontal="right"/>
    </xf>
    <xf numFmtId="170" fontId="0" fillId="41" borderId="10" xfId="0" applyNumberFormat="1" applyFill="1" applyBorder="1" applyAlignment="1">
      <alignment horizontal="right"/>
    </xf>
    <xf numFmtId="171" fontId="0" fillId="41" borderId="10" xfId="0" applyNumberFormat="1" applyFill="1" applyBorder="1"/>
    <xf numFmtId="10" fontId="0" fillId="41" borderId="10" xfId="0" applyNumberFormat="1" applyFill="1" applyBorder="1"/>
    <xf numFmtId="1" fontId="0" fillId="41" borderId="10" xfId="0" applyNumberFormat="1" applyFill="1" applyBorder="1" applyAlignment="1">
      <alignment horizontal="right"/>
    </xf>
    <xf numFmtId="14" fontId="0" fillId="41" borderId="10" xfId="0" applyNumberFormat="1" applyFill="1" applyBorder="1"/>
    <xf numFmtId="2" fontId="0" fillId="41" borderId="10" xfId="0" applyNumberFormat="1" applyFill="1" applyBorder="1"/>
    <xf numFmtId="0" fontId="0" fillId="41" borderId="10" xfId="0" applyFill="1" applyBorder="1" applyAlignment="1">
      <alignment horizontal="right" indent="1"/>
    </xf>
    <xf numFmtId="14" fontId="0" fillId="41" borderId="10" xfId="0" applyNumberFormat="1" applyFill="1" applyBorder="1" applyAlignment="1">
      <alignment horizontal="right"/>
    </xf>
    <xf numFmtId="0" fontId="0" fillId="44" borderId="10" xfId="0" applyFill="1" applyBorder="1" applyAlignment="1">
      <alignment horizontal="right"/>
    </xf>
    <xf numFmtId="170" fontId="0" fillId="44" borderId="10" xfId="0" applyNumberFormat="1" applyFill="1" applyBorder="1" applyAlignment="1">
      <alignment horizontal="right"/>
    </xf>
    <xf numFmtId="171" fontId="0" fillId="44" borderId="10" xfId="0" applyNumberFormat="1" applyFill="1" applyBorder="1"/>
    <xf numFmtId="10" fontId="0" fillId="44" borderId="10" xfId="0" applyNumberFormat="1" applyFill="1" applyBorder="1"/>
    <xf numFmtId="1" fontId="0" fillId="44" borderId="10" xfId="0" applyNumberFormat="1" applyFill="1" applyBorder="1" applyAlignment="1">
      <alignment horizontal="right"/>
    </xf>
    <xf numFmtId="14" fontId="0" fillId="44" borderId="10" xfId="0" applyNumberFormat="1" applyFill="1" applyBorder="1"/>
    <xf numFmtId="2" fontId="0" fillId="44" borderId="10" xfId="0" applyNumberFormat="1" applyFill="1" applyBorder="1"/>
    <xf numFmtId="0" fontId="0" fillId="44" borderId="10" xfId="0" applyFill="1" applyBorder="1" applyAlignment="1">
      <alignment horizontal="right" indent="1"/>
    </xf>
    <xf numFmtId="14" fontId="0" fillId="44" borderId="10" xfId="0" applyNumberFormat="1" applyFill="1" applyBorder="1" applyAlignment="1">
      <alignment horizontal="right"/>
    </xf>
    <xf numFmtId="0" fontId="0" fillId="49" borderId="10" xfId="0" applyFill="1" applyBorder="1"/>
    <xf numFmtId="0" fontId="0" fillId="49" borderId="10" xfId="0" applyFill="1" applyBorder="1" applyAlignment="1">
      <alignment horizontal="right"/>
    </xf>
    <xf numFmtId="170" fontId="0" fillId="49" borderId="10" xfId="0" applyNumberFormat="1" applyFill="1" applyBorder="1" applyAlignment="1">
      <alignment horizontal="right"/>
    </xf>
    <xf numFmtId="171" fontId="0" fillId="49" borderId="10" xfId="0" applyNumberFormat="1" applyFill="1" applyBorder="1"/>
    <xf numFmtId="10" fontId="0" fillId="49" borderId="10" xfId="0" applyNumberFormat="1" applyFill="1" applyBorder="1"/>
    <xf numFmtId="1" fontId="0" fillId="49" borderId="10" xfId="0" applyNumberFormat="1" applyFill="1" applyBorder="1" applyAlignment="1">
      <alignment horizontal="right"/>
    </xf>
    <xf numFmtId="14" fontId="0" fillId="49" borderId="10" xfId="0" applyNumberFormat="1" applyFill="1" applyBorder="1"/>
    <xf numFmtId="2" fontId="0" fillId="49" borderId="10" xfId="0" applyNumberFormat="1" applyFill="1" applyBorder="1"/>
    <xf numFmtId="0" fontId="0" fillId="49" borderId="10" xfId="0" applyFill="1" applyBorder="1" applyAlignment="1">
      <alignment horizontal="right" indent="1"/>
    </xf>
    <xf numFmtId="14" fontId="0" fillId="49" borderId="10" xfId="0" applyNumberFormat="1" applyFill="1" applyBorder="1" applyAlignment="1">
      <alignment horizontal="right"/>
    </xf>
    <xf numFmtId="0" fontId="11" fillId="49" borderId="10" xfId="11" applyFill="1" applyBorder="1"/>
    <xf numFmtId="0" fontId="0" fillId="52" borderId="20" xfId="0" applyFill="1" applyBorder="1"/>
    <xf numFmtId="0" fontId="16" fillId="0" borderId="10" xfId="0" applyFont="1" applyBorder="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wrapText="1"/>
    </xf>
    <xf numFmtId="0" fontId="0" fillId="53" borderId="10" xfId="0" applyFill="1" applyBorder="1"/>
    <xf numFmtId="0" fontId="0" fillId="50" borderId="10" xfId="0" applyFill="1" applyBorder="1"/>
    <xf numFmtId="0" fontId="0" fillId="0" borderId="0" xfId="0" applyAlignment="1"/>
    <xf numFmtId="0" fontId="16" fillId="45" borderId="10" xfId="0" applyFont="1" applyFill="1" applyBorder="1" applyAlignment="1"/>
    <xf numFmtId="0" fontId="0" fillId="0" borderId="10" xfId="0" applyBorder="1" applyAlignment="1">
      <alignment horizontal="center"/>
    </xf>
    <xf numFmtId="0" fontId="0" fillId="0" borderId="10" xfId="0" applyBorder="1" applyAlignment="1">
      <alignment horizontal="left" vertical="center"/>
    </xf>
    <xf numFmtId="0" fontId="16" fillId="43" borderId="10" xfId="0" applyFont="1" applyFill="1" applyBorder="1" applyAlignment="1">
      <alignment horizontal="left"/>
    </xf>
    <xf numFmtId="0" fontId="0" fillId="0" borderId="16" xfId="0" applyBorder="1" applyAlignment="1">
      <alignment horizontal="left"/>
    </xf>
    <xf numFmtId="0" fontId="16" fillId="0" borderId="10" xfId="0" applyFont="1" applyBorder="1" applyAlignment="1">
      <alignment horizontal="left"/>
    </xf>
    <xf numFmtId="0" fontId="0" fillId="0" borderId="15" xfId="0" applyBorder="1" applyAlignment="1">
      <alignment horizontal="left"/>
    </xf>
    <xf numFmtId="0" fontId="16" fillId="45" borderId="10" xfId="0" applyFont="1" applyFill="1" applyBorder="1" applyAlignment="1">
      <alignment horizontal="left"/>
    </xf>
    <xf numFmtId="0" fontId="0" fillId="45" borderId="10" xfId="0" applyFill="1" applyBorder="1" applyAlignment="1">
      <alignment horizontal="left"/>
    </xf>
    <xf numFmtId="0" fontId="0" fillId="45" borderId="16" xfId="0" applyFill="1" applyBorder="1" applyAlignment="1">
      <alignment horizontal="left"/>
    </xf>
    <xf numFmtId="0" fontId="0" fillId="45" borderId="15" xfId="0" applyFill="1" applyBorder="1" applyAlignment="1">
      <alignment horizontal="left"/>
    </xf>
    <xf numFmtId="0" fontId="16" fillId="0" borderId="10" xfId="0" applyFont="1" applyFill="1" applyBorder="1" applyAlignment="1">
      <alignment horizontal="left"/>
    </xf>
    <xf numFmtId="0" fontId="0" fillId="0" borderId="10" xfId="0" applyFill="1" applyBorder="1" applyAlignment="1">
      <alignment horizontal="left"/>
    </xf>
    <xf numFmtId="0" fontId="0" fillId="0" borderId="16" xfId="0" applyFill="1" applyBorder="1" applyAlignment="1">
      <alignment horizontal="left"/>
    </xf>
    <xf numFmtId="0" fontId="0" fillId="0" borderId="15" xfId="0" applyFill="1" applyBorder="1" applyAlignment="1">
      <alignment horizontal="left"/>
    </xf>
    <xf numFmtId="14" fontId="16" fillId="0" borderId="10" xfId="0" applyNumberFormat="1" applyFont="1" applyBorder="1"/>
    <xf numFmtId="0" fontId="16" fillId="50" borderId="10" xfId="0" applyFont="1" applyFill="1" applyBorder="1"/>
    <xf numFmtId="168" fontId="16" fillId="34" borderId="10" xfId="0" applyNumberFormat="1" applyFont="1" applyFill="1" applyBorder="1"/>
    <xf numFmtId="168" fontId="0" fillId="54" borderId="10" xfId="0" applyNumberFormat="1" applyFill="1" applyBorder="1"/>
    <xf numFmtId="0" fontId="0" fillId="34" borderId="10" xfId="0" applyFill="1" applyBorder="1"/>
    <xf numFmtId="168" fontId="0" fillId="34" borderId="10" xfId="0" applyNumberFormat="1" applyFill="1" applyBorder="1"/>
    <xf numFmtId="168" fontId="16" fillId="54" borderId="10" xfId="0" applyNumberFormat="1" applyFont="1" applyFill="1" applyBorder="1"/>
    <xf numFmtId="11" fontId="0" fillId="0" borderId="10" xfId="0" applyNumberFormat="1" applyBorder="1"/>
    <xf numFmtId="0" fontId="0" fillId="36" borderId="17" xfId="0" applyFill="1" applyBorder="1" applyAlignment="1">
      <alignment horizontal="center" wrapText="1"/>
    </xf>
    <xf numFmtId="0" fontId="0" fillId="0" borderId="16" xfId="0" applyBorder="1"/>
    <xf numFmtId="0" fontId="0" fillId="50" borderId="16" xfId="0" applyFill="1" applyBorder="1"/>
    <xf numFmtId="0" fontId="0" fillId="0" borderId="0" xfId="0" applyFill="1" applyBorder="1"/>
    <xf numFmtId="167" fontId="0" fillId="0" borderId="0" xfId="44" applyNumberFormat="1" applyFont="1" applyFill="1" applyBorder="1"/>
    <xf numFmtId="10" fontId="0" fillId="0" borderId="0" xfId="43" applyNumberFormat="1" applyFont="1" applyFill="1" applyBorder="1"/>
    <xf numFmtId="0" fontId="0" fillId="37" borderId="0" xfId="0" applyFill="1"/>
    <xf numFmtId="0" fontId="0" fillId="37" borderId="10" xfId="0" applyFill="1" applyBorder="1" applyAlignment="1">
      <alignment horizontal="center" vertical="center" wrapText="1"/>
    </xf>
    <xf numFmtId="0" fontId="0" fillId="37" borderId="10" xfId="0" applyFill="1" applyBorder="1"/>
    <xf numFmtId="0" fontId="16" fillId="37" borderId="10" xfId="0" applyFont="1" applyFill="1" applyBorder="1" applyAlignment="1">
      <alignment vertical="center" wrapText="1"/>
    </xf>
    <xf numFmtId="0" fontId="29" fillId="0" borderId="10" xfId="45" applyBorder="1" applyAlignment="1">
      <alignment horizontal="left" vertical="center"/>
    </xf>
    <xf numFmtId="0" fontId="16" fillId="45" borderId="10" xfId="0" applyFont="1" applyFill="1" applyBorder="1" applyAlignment="1">
      <alignment horizontal="left" vertical="top"/>
    </xf>
    <xf numFmtId="0" fontId="0" fillId="0" borderId="10" xfId="0" applyBorder="1" applyAlignment="1">
      <alignment horizontal="left" vertical="top"/>
    </xf>
    <xf numFmtId="0" fontId="0" fillId="45" borderId="10" xfId="0" applyFill="1" applyBorder="1" applyAlignment="1">
      <alignment horizontal="left" vertical="top"/>
    </xf>
    <xf numFmtId="0" fontId="0" fillId="0" borderId="10" xfId="0" applyFill="1" applyBorder="1"/>
    <xf numFmtId="0" fontId="0" fillId="46" borderId="13" xfId="0" applyFill="1" applyBorder="1" applyAlignment="1">
      <alignment horizontal="center" wrapText="1"/>
    </xf>
    <xf numFmtId="0" fontId="0" fillId="0" borderId="13" xfId="0" applyBorder="1"/>
    <xf numFmtId="9" fontId="0" fillId="0" borderId="10" xfId="43" applyFont="1" applyFill="1" applyBorder="1" applyAlignment="1">
      <alignment horizontal="center"/>
    </xf>
    <xf numFmtId="0" fontId="16" fillId="43" borderId="13" xfId="0" applyFont="1" applyFill="1" applyBorder="1"/>
    <xf numFmtId="0" fontId="0" fillId="43" borderId="10" xfId="0" applyFill="1" applyBorder="1"/>
    <xf numFmtId="9" fontId="16" fillId="0" borderId="10" xfId="43" applyFont="1" applyFill="1" applyBorder="1" applyAlignment="1">
      <alignment horizontal="center"/>
    </xf>
    <xf numFmtId="0" fontId="0" fillId="42" borderId="11" xfId="0" applyFill="1" applyBorder="1"/>
    <xf numFmtId="0" fontId="0" fillId="42" borderId="11" xfId="0" applyFill="1" applyBorder="1" applyAlignment="1">
      <alignment vertical="top"/>
    </xf>
    <xf numFmtId="0" fontId="0" fillId="42" borderId="11" xfId="0" applyFill="1" applyBorder="1" applyAlignment="1">
      <alignment horizontal="left" vertical="top"/>
    </xf>
    <xf numFmtId="0" fontId="0" fillId="42" borderId="11" xfId="0" applyFill="1" applyBorder="1" applyAlignment="1">
      <alignment horizontal="left" vertical="top" wrapText="1"/>
    </xf>
    <xf numFmtId="0" fontId="0" fillId="36" borderId="10" xfId="0" applyFont="1" applyFill="1" applyBorder="1" applyAlignment="1">
      <alignment horizontal="center"/>
    </xf>
    <xf numFmtId="0" fontId="0" fillId="36" borderId="10" xfId="0" applyFont="1" applyFill="1" applyBorder="1" applyAlignment="1">
      <alignment horizontal="center" vertical="top"/>
    </xf>
    <xf numFmtId="0" fontId="0" fillId="0" borderId="10" xfId="0" applyFont="1" applyFill="1" applyBorder="1" applyAlignment="1">
      <alignment horizontal="center"/>
    </xf>
    <xf numFmtId="0" fontId="0" fillId="36" borderId="10" xfId="0" applyFont="1" applyFill="1" applyBorder="1" applyAlignment="1">
      <alignment horizontal="center" vertical="center"/>
    </xf>
    <xf numFmtId="0" fontId="16" fillId="55" borderId="10" xfId="0" applyFont="1" applyFill="1" applyBorder="1"/>
    <xf numFmtId="0" fontId="0" fillId="47" borderId="10" xfId="0" applyFill="1" applyBorder="1"/>
    <xf numFmtId="0" fontId="0" fillId="47" borderId="10" xfId="0" applyFont="1" applyFill="1" applyBorder="1"/>
    <xf numFmtId="0" fontId="29" fillId="0" borderId="0" xfId="45"/>
    <xf numFmtId="0" fontId="16" fillId="47" borderId="10" xfId="0" applyFont="1" applyFill="1" applyBorder="1"/>
    <xf numFmtId="10" fontId="16" fillId="47" borderId="10" xfId="0" applyNumberFormat="1" applyFont="1" applyFill="1" applyBorder="1"/>
    <xf numFmtId="0" fontId="0" fillId="0" borderId="15" xfId="0" applyBorder="1"/>
    <xf numFmtId="0" fontId="0" fillId="0" borderId="10" xfId="0" applyFont="1" applyFill="1" applyBorder="1"/>
    <xf numFmtId="10" fontId="0" fillId="0" borderId="10" xfId="0" applyNumberFormat="1" applyFont="1" applyFill="1" applyBorder="1"/>
    <xf numFmtId="0" fontId="0" fillId="0" borderId="0" xfId="0" applyFont="1" applyFill="1" applyAlignment="1">
      <alignment horizontal="center" vertical="center"/>
    </xf>
    <xf numFmtId="0" fontId="0" fillId="0" borderId="0" xfId="0" applyFont="1" applyFill="1" applyAlignment="1">
      <alignment horizontal="center"/>
    </xf>
    <xf numFmtId="10" fontId="0" fillId="0" borderId="0" xfId="0" applyNumberFormat="1" applyFont="1" applyFill="1" applyAlignment="1">
      <alignment horizontal="center" vertical="center"/>
    </xf>
    <xf numFmtId="0" fontId="0" fillId="0" borderId="0" xfId="0" applyFont="1" applyFill="1"/>
    <xf numFmtId="0" fontId="0" fillId="37" borderId="0" xfId="0" applyFont="1" applyFill="1" applyAlignment="1">
      <alignment horizontal="center"/>
    </xf>
    <xf numFmtId="0" fontId="0" fillId="0" borderId="0" xfId="0" applyNumberFormat="1" applyFont="1" applyFill="1" applyAlignment="1">
      <alignment horizontal="center" vertical="center"/>
    </xf>
    <xf numFmtId="9" fontId="0" fillId="0" borderId="0" xfId="0" applyNumberFormat="1"/>
    <xf numFmtId="165" fontId="0" fillId="0" borderId="10" xfId="0" applyNumberFormat="1" applyBorder="1"/>
    <xf numFmtId="169" fontId="0" fillId="0" borderId="10" xfId="0" applyNumberFormat="1" applyBorder="1"/>
    <xf numFmtId="0" fontId="16" fillId="56" borderId="10" xfId="0" applyFont="1" applyFill="1" applyBorder="1"/>
    <xf numFmtId="0" fontId="16" fillId="56" borderId="10" xfId="0" applyNumberFormat="1" applyFont="1" applyFill="1" applyBorder="1"/>
    <xf numFmtId="165" fontId="16" fillId="56" borderId="10" xfId="0" applyNumberFormat="1" applyFont="1" applyFill="1" applyBorder="1"/>
    <xf numFmtId="169" fontId="16" fillId="56" borderId="10" xfId="0" applyNumberFormat="1" applyFont="1" applyFill="1" applyBorder="1"/>
    <xf numFmtId="0" fontId="0" fillId="55" borderId="10" xfId="0" applyFill="1" applyBorder="1"/>
    <xf numFmtId="169" fontId="16" fillId="47" borderId="10" xfId="0" applyNumberFormat="1" applyFont="1" applyFill="1" applyBorder="1"/>
    <xf numFmtId="3" fontId="0" fillId="0" borderId="0" xfId="0" applyNumberFormat="1"/>
    <xf numFmtId="0" fontId="16" fillId="55" borderId="10" xfId="0" applyFont="1" applyFill="1" applyBorder="1" applyAlignment="1">
      <alignment horizontal="center" vertical="center" wrapText="1"/>
    </xf>
    <xf numFmtId="0" fontId="0" fillId="0" borderId="10" xfId="0" applyBorder="1" applyAlignment="1">
      <alignment horizontal="center"/>
    </xf>
    <xf numFmtId="9" fontId="0" fillId="0" borderId="10" xfId="0" applyNumberFormat="1" applyBorder="1"/>
    <xf numFmtId="9" fontId="16" fillId="56" borderId="10" xfId="0" applyNumberFormat="1" applyFont="1" applyFill="1" applyBorder="1"/>
    <xf numFmtId="0" fontId="16" fillId="49" borderId="10" xfId="0" applyFont="1" applyFill="1" applyBorder="1"/>
    <xf numFmtId="0" fontId="16" fillId="53" borderId="10" xfId="0" applyFont="1" applyFill="1" applyBorder="1" applyAlignment="1">
      <alignment horizontal="left"/>
    </xf>
    <xf numFmtId="0" fontId="9" fillId="5" borderId="4" xfId="9" applyNumberFormat="1" applyAlignment="1">
      <alignment horizontal="right"/>
    </xf>
    <xf numFmtId="0" fontId="30" fillId="5" borderId="4" xfId="9" applyFont="1" applyAlignment="1">
      <alignment horizontal="center"/>
    </xf>
    <xf numFmtId="0" fontId="9" fillId="5" borderId="4" xfId="9" applyAlignment="1">
      <alignment horizontal="left"/>
    </xf>
    <xf numFmtId="172" fontId="16" fillId="53" borderId="10" xfId="0" applyNumberFormat="1" applyFont="1" applyFill="1" applyBorder="1" applyAlignment="1">
      <alignment horizontal="left"/>
    </xf>
    <xf numFmtId="3" fontId="8" fillId="4" borderId="10" xfId="8" applyNumberFormat="1" applyBorder="1" applyAlignment="1">
      <alignment horizontal="left"/>
    </xf>
    <xf numFmtId="2" fontId="8" fillId="4" borderId="10" xfId="8" applyNumberFormat="1" applyBorder="1" applyAlignment="1">
      <alignment horizontal="left"/>
    </xf>
    <xf numFmtId="3" fontId="16" fillId="53" borderId="10" xfId="0" applyNumberFormat="1" applyFont="1" applyFill="1" applyBorder="1" applyAlignment="1">
      <alignment horizontal="left"/>
    </xf>
    <xf numFmtId="2" fontId="16" fillId="33" borderId="10" xfId="0" applyNumberFormat="1" applyFont="1" applyFill="1" applyBorder="1" applyAlignment="1">
      <alignment horizontal="left"/>
    </xf>
    <xf numFmtId="3" fontId="7" fillId="3" borderId="10" xfId="7" applyNumberFormat="1" applyBorder="1" applyAlignment="1">
      <alignment horizontal="left"/>
    </xf>
    <xf numFmtId="169" fontId="16" fillId="53" borderId="10" xfId="0" applyNumberFormat="1" applyFont="1" applyFill="1" applyBorder="1" applyAlignment="1">
      <alignment horizontal="left"/>
    </xf>
    <xf numFmtId="169" fontId="8" fillId="4" borderId="10" xfId="8" applyNumberFormat="1" applyBorder="1" applyAlignment="1">
      <alignment horizontal="left"/>
    </xf>
    <xf numFmtId="0" fontId="16" fillId="53" borderId="0" xfId="0" applyFont="1" applyFill="1"/>
    <xf numFmtId="0" fontId="0" fillId="54" borderId="10" xfId="0" applyFill="1" applyBorder="1" applyAlignment="1">
      <alignment horizontal="left"/>
    </xf>
    <xf numFmtId="0" fontId="0" fillId="54" borderId="10" xfId="0" applyNumberFormat="1" applyFill="1" applyBorder="1" applyAlignment="1">
      <alignment horizontal="right"/>
    </xf>
    <xf numFmtId="0" fontId="0" fillId="54" borderId="10" xfId="0" applyFill="1" applyBorder="1" applyAlignment="1">
      <alignment horizontal="center"/>
    </xf>
    <xf numFmtId="172" fontId="0" fillId="54" borderId="10" xfId="0" applyNumberFormat="1" applyFill="1" applyBorder="1" applyAlignment="1">
      <alignment horizontal="left"/>
    </xf>
    <xf numFmtId="3" fontId="0" fillId="54" borderId="10" xfId="0" applyNumberFormat="1" applyFill="1" applyBorder="1" applyAlignment="1">
      <alignment horizontal="left"/>
    </xf>
    <xf numFmtId="2" fontId="0" fillId="54" borderId="10" xfId="0" applyNumberFormat="1" applyFill="1" applyBorder="1" applyAlignment="1">
      <alignment horizontal="left"/>
    </xf>
    <xf numFmtId="169" fontId="0" fillId="54" borderId="10" xfId="0" applyNumberFormat="1" applyFill="1" applyBorder="1" applyAlignment="1">
      <alignment horizontal="left"/>
    </xf>
    <xf numFmtId="0" fontId="31" fillId="0" borderId="10" xfId="0" applyFont="1" applyBorder="1" applyAlignment="1">
      <alignment horizontal="left"/>
    </xf>
    <xf numFmtId="0" fontId="31" fillId="0" borderId="10" xfId="0" applyNumberFormat="1" applyFont="1" applyBorder="1" applyAlignment="1">
      <alignment horizontal="right"/>
    </xf>
    <xf numFmtId="0" fontId="31" fillId="0" borderId="10" xfId="0" applyFont="1" applyBorder="1" applyAlignment="1">
      <alignment horizontal="center"/>
    </xf>
    <xf numFmtId="172" fontId="31" fillId="0" borderId="10" xfId="0" applyNumberFormat="1" applyFont="1" applyBorder="1" applyAlignment="1">
      <alignment horizontal="left"/>
    </xf>
    <xf numFmtId="3" fontId="31" fillId="0" borderId="10" xfId="0" applyNumberFormat="1" applyFont="1" applyBorder="1" applyAlignment="1">
      <alignment horizontal="left"/>
    </xf>
    <xf numFmtId="2" fontId="31" fillId="0" borderId="10" xfId="0" applyNumberFormat="1" applyFont="1" applyBorder="1" applyAlignment="1">
      <alignment horizontal="left"/>
    </xf>
    <xf numFmtId="169" fontId="31" fillId="0" borderId="10" xfId="0" applyNumberFormat="1" applyFont="1" applyBorder="1" applyAlignment="1">
      <alignment horizontal="left"/>
    </xf>
    <xf numFmtId="0" fontId="31" fillId="0" borderId="0" xfId="0" applyFont="1"/>
    <xf numFmtId="0" fontId="0" fillId="0" borderId="10" xfId="0" applyNumberFormat="1" applyBorder="1" applyAlignment="1">
      <alignment horizontal="right"/>
    </xf>
    <xf numFmtId="172" fontId="0" fillId="0" borderId="10" xfId="0" applyNumberFormat="1" applyBorder="1" applyAlignment="1">
      <alignment horizontal="left"/>
    </xf>
    <xf numFmtId="3" fontId="0" fillId="0" borderId="10" xfId="0" applyNumberFormat="1" applyBorder="1" applyAlignment="1">
      <alignment horizontal="left"/>
    </xf>
    <xf numFmtId="2" fontId="0" fillId="0" borderId="10" xfId="0" applyNumberFormat="1" applyBorder="1" applyAlignment="1">
      <alignment horizontal="left"/>
    </xf>
    <xf numFmtId="169" fontId="0" fillId="0" borderId="10" xfId="0" applyNumberFormat="1" applyBorder="1" applyAlignment="1">
      <alignment horizontal="left"/>
    </xf>
    <xf numFmtId="0" fontId="32" fillId="34" borderId="10" xfId="0" applyFont="1" applyFill="1" applyBorder="1" applyAlignment="1">
      <alignment horizontal="left"/>
    </xf>
    <xf numFmtId="0" fontId="33" fillId="34" borderId="10" xfId="0" applyFont="1" applyFill="1" applyBorder="1" applyAlignment="1">
      <alignment horizontal="right"/>
    </xf>
    <xf numFmtId="0" fontId="32" fillId="34" borderId="10" xfId="0" applyNumberFormat="1" applyFont="1" applyFill="1" applyBorder="1" applyAlignment="1">
      <alignment horizontal="right"/>
    </xf>
    <xf numFmtId="0" fontId="32" fillId="34" borderId="10" xfId="0" applyFont="1" applyFill="1" applyBorder="1" applyAlignment="1">
      <alignment horizontal="center"/>
    </xf>
    <xf numFmtId="172" fontId="32" fillId="34" borderId="10" xfId="0" applyNumberFormat="1" applyFont="1" applyFill="1" applyBorder="1" applyAlignment="1">
      <alignment horizontal="left"/>
    </xf>
    <xf numFmtId="3" fontId="32" fillId="34" borderId="10" xfId="0" applyNumberFormat="1" applyFont="1" applyFill="1" applyBorder="1" applyAlignment="1">
      <alignment horizontal="left"/>
    </xf>
    <xf numFmtId="2" fontId="32" fillId="34" borderId="10" xfId="0" applyNumberFormat="1" applyFont="1" applyFill="1" applyBorder="1" applyAlignment="1">
      <alignment horizontal="left"/>
    </xf>
    <xf numFmtId="169" fontId="32" fillId="34" borderId="10" xfId="0" applyNumberFormat="1" applyFont="1" applyFill="1" applyBorder="1" applyAlignment="1">
      <alignment horizontal="left"/>
    </xf>
    <xf numFmtId="0" fontId="32" fillId="0" borderId="0" xfId="0" applyFont="1"/>
    <xf numFmtId="0" fontId="14" fillId="0" borderId="10" xfId="0" applyFont="1" applyBorder="1" applyAlignment="1">
      <alignment horizontal="left"/>
    </xf>
    <xf numFmtId="0" fontId="14" fillId="0" borderId="10" xfId="0" applyNumberFormat="1" applyFont="1" applyBorder="1" applyAlignment="1">
      <alignment horizontal="right"/>
    </xf>
    <xf numFmtId="0" fontId="14" fillId="0" borderId="10" xfId="0" applyFont="1" applyBorder="1" applyAlignment="1">
      <alignment horizontal="center"/>
    </xf>
    <xf numFmtId="172" fontId="14" fillId="0" borderId="10" xfId="0" applyNumberFormat="1" applyFont="1" applyBorder="1" applyAlignment="1">
      <alignment horizontal="left"/>
    </xf>
    <xf numFmtId="3" fontId="14" fillId="0" borderId="10" xfId="0" applyNumberFormat="1" applyFont="1" applyBorder="1" applyAlignment="1">
      <alignment horizontal="left"/>
    </xf>
    <xf numFmtId="2" fontId="14" fillId="0" borderId="10" xfId="0" applyNumberFormat="1" applyFont="1" applyBorder="1" applyAlignment="1">
      <alignment horizontal="left"/>
    </xf>
    <xf numFmtId="169" fontId="14" fillId="0" borderId="10" xfId="0" applyNumberFormat="1" applyFont="1" applyBorder="1" applyAlignment="1">
      <alignment horizontal="left"/>
    </xf>
    <xf numFmtId="0" fontId="14" fillId="0" borderId="0" xfId="0" applyFont="1"/>
    <xf numFmtId="0" fontId="31" fillId="45" borderId="10" xfId="0" applyFont="1" applyFill="1" applyBorder="1" applyAlignment="1">
      <alignment horizontal="left"/>
    </xf>
    <xf numFmtId="0" fontId="31" fillId="45" borderId="10" xfId="0" applyNumberFormat="1" applyFont="1" applyFill="1" applyBorder="1" applyAlignment="1">
      <alignment horizontal="right"/>
    </xf>
    <xf numFmtId="0" fontId="31" fillId="45" borderId="10" xfId="0" applyFont="1" applyFill="1" applyBorder="1" applyAlignment="1">
      <alignment horizontal="center"/>
    </xf>
    <xf numFmtId="172" fontId="31" fillId="45" borderId="10" xfId="0" applyNumberFormat="1" applyFont="1" applyFill="1" applyBorder="1" applyAlignment="1">
      <alignment horizontal="left"/>
    </xf>
    <xf numFmtId="3" fontId="31" fillId="45" borderId="10" xfId="0" applyNumberFormat="1" applyFont="1" applyFill="1" applyBorder="1" applyAlignment="1">
      <alignment horizontal="left"/>
    </xf>
    <xf numFmtId="2" fontId="31" fillId="45" borderId="10" xfId="0" applyNumberFormat="1" applyFont="1" applyFill="1" applyBorder="1" applyAlignment="1">
      <alignment horizontal="left"/>
    </xf>
    <xf numFmtId="169" fontId="31" fillId="45" borderId="10" xfId="0" applyNumberFormat="1" applyFont="1" applyFill="1" applyBorder="1" applyAlignment="1">
      <alignment horizontal="left"/>
    </xf>
    <xf numFmtId="0" fontId="31" fillId="45" borderId="0" xfId="0" applyFont="1" applyFill="1"/>
    <xf numFmtId="0" fontId="0" fillId="0" borderId="10" xfId="0" applyNumberFormat="1" applyFill="1" applyBorder="1" applyAlignment="1">
      <alignment horizontal="right"/>
    </xf>
    <xf numFmtId="0" fontId="0" fillId="0" borderId="10" xfId="0" applyFill="1" applyBorder="1" applyAlignment="1">
      <alignment horizontal="center"/>
    </xf>
    <xf numFmtId="172" fontId="0" fillId="0" borderId="10" xfId="0" applyNumberFormat="1" applyFill="1" applyBorder="1" applyAlignment="1">
      <alignment horizontal="left"/>
    </xf>
    <xf numFmtId="3" fontId="0" fillId="0" borderId="10" xfId="0" applyNumberFormat="1" applyFill="1" applyBorder="1" applyAlignment="1">
      <alignment horizontal="left"/>
    </xf>
    <xf numFmtId="2" fontId="0" fillId="0" borderId="10" xfId="0" applyNumberFormat="1" applyFill="1" applyBorder="1" applyAlignment="1">
      <alignment horizontal="left"/>
    </xf>
    <xf numFmtId="169" fontId="0" fillId="0" borderId="10" xfId="0" applyNumberFormat="1" applyFill="1" applyBorder="1" applyAlignment="1">
      <alignment horizontal="left"/>
    </xf>
    <xf numFmtId="0" fontId="14" fillId="0" borderId="10" xfId="0" applyFont="1" applyBorder="1" applyAlignment="1">
      <alignment horizontal="left" wrapText="1"/>
    </xf>
    <xf numFmtId="0" fontId="0" fillId="0" borderId="0" xfId="0" applyNumberFormat="1" applyAlignment="1">
      <alignment horizontal="right"/>
    </xf>
    <xf numFmtId="172" fontId="0" fillId="0" borderId="0" xfId="0" applyNumberFormat="1" applyAlignment="1">
      <alignment horizontal="left"/>
    </xf>
    <xf numFmtId="3" fontId="0" fillId="0" borderId="0" xfId="0" applyNumberFormat="1" applyAlignment="1">
      <alignment horizontal="left"/>
    </xf>
    <xf numFmtId="2" fontId="0" fillId="0" borderId="0" xfId="0" applyNumberFormat="1" applyAlignment="1">
      <alignment horizontal="left"/>
    </xf>
    <xf numFmtId="169" fontId="0" fillId="0" borderId="0" xfId="0" applyNumberFormat="1" applyAlignment="1">
      <alignment horizontal="left"/>
    </xf>
    <xf numFmtId="165" fontId="0" fillId="49" borderId="10" xfId="0" applyNumberFormat="1" applyFill="1" applyBorder="1"/>
    <xf numFmtId="10" fontId="16" fillId="56" borderId="10" xfId="0" applyNumberFormat="1" applyFont="1" applyFill="1" applyBorder="1"/>
    <xf numFmtId="0" fontId="0" fillId="45" borderId="10" xfId="0" applyNumberFormat="1" applyFill="1" applyBorder="1"/>
    <xf numFmtId="10" fontId="0" fillId="45" borderId="10" xfId="0" applyNumberFormat="1" applyFill="1" applyBorder="1"/>
    <xf numFmtId="165" fontId="0" fillId="45" borderId="10" xfId="0" applyNumberFormat="1" applyFill="1" applyBorder="1"/>
    <xf numFmtId="0" fontId="0" fillId="36" borderId="0" xfId="0" applyFill="1"/>
    <xf numFmtId="0" fontId="0" fillId="42" borderId="0" xfId="0" applyFill="1" applyBorder="1" applyAlignment="1">
      <alignment horizontal="left" vertical="top" wrapText="1"/>
    </xf>
    <xf numFmtId="0" fontId="0" fillId="36" borderId="10" xfId="0" applyFill="1" applyBorder="1" applyAlignment="1">
      <alignment horizontal="left" vertical="top"/>
    </xf>
    <xf numFmtId="0" fontId="16" fillId="0" borderId="10" xfId="0" applyFont="1" applyFill="1" applyBorder="1" applyAlignment="1">
      <alignment horizontal="left" vertical="center" wrapText="1"/>
    </xf>
    <xf numFmtId="0" fontId="0" fillId="0" borderId="10" xfId="0" applyFont="1" applyFill="1" applyBorder="1" applyAlignment="1">
      <alignment horizontal="left" vertical="top" wrapText="1"/>
    </xf>
    <xf numFmtId="0" fontId="16" fillId="0" borderId="10" xfId="0" applyFont="1" applyFill="1" applyBorder="1" applyAlignment="1">
      <alignment horizontal="left" vertical="top" wrapText="1"/>
    </xf>
    <xf numFmtId="0" fontId="14" fillId="0" borderId="10" xfId="0" applyFont="1" applyFill="1" applyBorder="1" applyAlignment="1">
      <alignment horizontal="left" vertical="top" wrapText="1"/>
    </xf>
    <xf numFmtId="0" fontId="0" fillId="0" borderId="10" xfId="0" applyFill="1" applyBorder="1" applyAlignment="1">
      <alignment horizontal="left" vertical="top" wrapText="1"/>
    </xf>
    <xf numFmtId="0" fontId="0" fillId="0" borderId="11" xfId="0" applyFill="1" applyBorder="1" applyAlignment="1">
      <alignment horizontal="left" vertical="top"/>
    </xf>
    <xf numFmtId="0" fontId="0" fillId="0" borderId="0" xfId="0" applyFont="1" applyFill="1" applyBorder="1" applyAlignment="1">
      <alignment horizontal="center" vertical="top"/>
    </xf>
    <xf numFmtId="0" fontId="0" fillId="36" borderId="10" xfId="0" applyFill="1" applyBorder="1" applyAlignment="1">
      <alignment horizontal="left" vertical="center"/>
    </xf>
    <xf numFmtId="0" fontId="0" fillId="36" borderId="10" xfId="0" applyFill="1" applyBorder="1"/>
    <xf numFmtId="0" fontId="0" fillId="36" borderId="10" xfId="0" applyFont="1" applyFill="1" applyBorder="1"/>
    <xf numFmtId="0" fontId="0" fillId="36" borderId="10" xfId="0" applyFont="1" applyFill="1" applyBorder="1" applyAlignment="1">
      <alignment wrapText="1"/>
    </xf>
    <xf numFmtId="0" fontId="0" fillId="0" borderId="17" xfId="0" applyBorder="1" applyAlignment="1">
      <alignment horizontal="left" vertical="center"/>
    </xf>
    <xf numFmtId="0" fontId="16" fillId="36" borderId="10" xfId="0" applyFont="1" applyFill="1" applyBorder="1"/>
    <xf numFmtId="0" fontId="0" fillId="36" borderId="10" xfId="0" applyFill="1" applyBorder="1" applyAlignment="1">
      <alignment wrapText="1"/>
    </xf>
    <xf numFmtId="0" fontId="0" fillId="0" borderId="0" xfId="0" applyFill="1" applyBorder="1" applyAlignment="1">
      <alignment wrapText="1"/>
    </xf>
    <xf numFmtId="0" fontId="16" fillId="0" borderId="0" xfId="0" applyFont="1" applyFill="1" applyBorder="1"/>
    <xf numFmtId="0" fontId="0" fillId="36" borderId="10" xfId="0" applyFill="1" applyBorder="1" applyAlignment="1">
      <alignment vertical="center"/>
    </xf>
    <xf numFmtId="0" fontId="16" fillId="36" borderId="10" xfId="0" applyFont="1" applyFill="1" applyBorder="1" applyAlignment="1">
      <alignment wrapText="1"/>
    </xf>
    <xf numFmtId="0" fontId="16" fillId="0" borderId="0" xfId="0" applyFont="1" applyFill="1" applyBorder="1" applyAlignment="1">
      <alignment wrapText="1"/>
    </xf>
    <xf numFmtId="0" fontId="16" fillId="0" borderId="0" xfId="0" applyFont="1" applyFill="1" applyBorder="1" applyAlignment="1">
      <alignment horizontal="left" vertical="center" wrapText="1"/>
    </xf>
    <xf numFmtId="0" fontId="0" fillId="0" borderId="0" xfId="0" applyFont="1" applyFill="1" applyBorder="1" applyAlignment="1">
      <alignment horizontal="left" vertical="top" wrapText="1"/>
    </xf>
    <xf numFmtId="0" fontId="16" fillId="0" borderId="0" xfId="0" applyFont="1" applyFill="1" applyBorder="1" applyAlignment="1">
      <alignment horizontal="left" vertical="top" wrapText="1"/>
    </xf>
    <xf numFmtId="0" fontId="21"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0" fillId="36" borderId="10" xfId="0" applyFont="1" applyFill="1" applyBorder="1" applyAlignment="1">
      <alignment horizontal="left" vertical="center" wrapText="1"/>
    </xf>
    <xf numFmtId="0" fontId="0" fillId="36" borderId="10" xfId="0" applyFont="1" applyFill="1" applyBorder="1" applyAlignment="1">
      <alignment horizontal="left" vertical="top" wrapText="1"/>
    </xf>
    <xf numFmtId="0" fontId="21" fillId="36" borderId="10" xfId="0" applyFont="1" applyFill="1" applyBorder="1" applyAlignment="1">
      <alignment horizontal="left" vertical="top" wrapText="1"/>
    </xf>
    <xf numFmtId="0" fontId="16" fillId="36" borderId="10" xfId="0" applyFont="1" applyFill="1" applyBorder="1" applyAlignment="1">
      <alignment horizontal="left" vertical="center" wrapText="1"/>
    </xf>
    <xf numFmtId="0" fontId="14" fillId="36" borderId="10" xfId="0" applyFont="1" applyFill="1" applyBorder="1" applyAlignment="1">
      <alignment wrapText="1"/>
    </xf>
    <xf numFmtId="0" fontId="0" fillId="36" borderId="10" xfId="0" applyFill="1" applyBorder="1" applyAlignment="1">
      <alignment vertical="center" wrapText="1"/>
    </xf>
    <xf numFmtId="0" fontId="29" fillId="45" borderId="10" xfId="45" applyFill="1" applyBorder="1" applyAlignment="1">
      <alignment horizontal="left" vertical="top"/>
    </xf>
    <xf numFmtId="0" fontId="0" fillId="45" borderId="10" xfId="0" applyFill="1" applyBorder="1" applyAlignment="1">
      <alignment horizontal="left" vertical="center"/>
    </xf>
    <xf numFmtId="0" fontId="29" fillId="45" borderId="0" xfId="45" applyFill="1"/>
    <xf numFmtId="0" fontId="29" fillId="45" borderId="10" xfId="45" applyFill="1" applyBorder="1" applyAlignment="1">
      <alignment horizontal="left" vertical="center"/>
    </xf>
    <xf numFmtId="0" fontId="29" fillId="45" borderId="10" xfId="45" applyFill="1" applyBorder="1"/>
    <xf numFmtId="0" fontId="16" fillId="45" borderId="10" xfId="0" applyFont="1" applyFill="1" applyBorder="1" applyAlignment="1">
      <alignment horizontal="center"/>
    </xf>
    <xf numFmtId="0" fontId="16" fillId="42" borderId="16" xfId="0" applyFont="1" applyFill="1" applyBorder="1" applyAlignment="1">
      <alignment horizontal="left" vertical="center" wrapText="1"/>
    </xf>
    <xf numFmtId="0" fontId="16" fillId="42" borderId="15" xfId="0" applyFont="1" applyFill="1" applyBorder="1" applyAlignment="1">
      <alignment horizontal="left" vertical="center" wrapText="1"/>
    </xf>
    <xf numFmtId="0" fontId="18" fillId="35" borderId="0" xfId="0" applyFont="1" applyFill="1" applyAlignment="1">
      <alignment horizontal="left"/>
    </xf>
    <xf numFmtId="0" fontId="16" fillId="0" borderId="10" xfId="0" applyFont="1"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25" fillId="0" borderId="0" xfId="0" applyFont="1" applyAlignment="1">
      <alignment horizontal="left" vertical="top" wrapText="1"/>
    </xf>
    <xf numFmtId="0" fontId="19" fillId="0" borderId="0" xfId="0" applyFont="1" applyAlignment="1">
      <alignment horizontal="left" vertical="top" wrapText="1"/>
    </xf>
    <xf numFmtId="0" fontId="27" fillId="35" borderId="0" xfId="0" applyFont="1" applyFill="1" applyAlignment="1">
      <alignment horizontal="left"/>
    </xf>
    <xf numFmtId="0" fontId="28" fillId="35" borderId="0" xfId="0" applyFont="1" applyFill="1" applyAlignment="1">
      <alignment horizontal="left"/>
    </xf>
    <xf numFmtId="0" fontId="0" fillId="55" borderId="10" xfId="0" applyFill="1" applyBorder="1" applyAlignment="1">
      <alignment horizontal="center" vertical="center" wrapText="1"/>
    </xf>
    <xf numFmtId="164" fontId="0" fillId="55" borderId="10" xfId="42" applyNumberFormat="1" applyFont="1" applyFill="1" applyBorder="1" applyAlignment="1">
      <alignment horizontal="center" vertical="center" wrapText="1"/>
    </xf>
    <xf numFmtId="165" fontId="0" fillId="55" borderId="10" xfId="43" applyNumberFormat="1" applyFont="1" applyFill="1" applyBorder="1" applyAlignment="1">
      <alignment horizontal="center" vertical="center" wrapText="1"/>
    </xf>
    <xf numFmtId="165" fontId="0" fillId="47" borderId="10" xfId="0" applyNumberFormat="1" applyFill="1" applyBorder="1"/>
    <xf numFmtId="0" fontId="29" fillId="0" borderId="0" xfId="45" applyAlignment="1"/>
    <xf numFmtId="1" fontId="0" fillId="0" borderId="10" xfId="0" applyNumberFormat="1" applyBorder="1"/>
    <xf numFmtId="2" fontId="0" fillId="47" borderId="10" xfId="0" applyNumberFormat="1" applyFill="1" applyBorder="1"/>
    <xf numFmtId="0" fontId="0" fillId="0" borderId="0" xfId="0" applyAlignment="1">
      <alignment vertical="center"/>
    </xf>
    <xf numFmtId="0" fontId="29" fillId="0" borderId="0" xfId="45" applyAlignment="1">
      <alignment vertical="center"/>
    </xf>
    <xf numFmtId="2" fontId="0" fillId="47" borderId="10" xfId="0" applyNumberFormat="1" applyFont="1" applyFill="1" applyBorder="1"/>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4"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5"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C8B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66</xdr:row>
      <xdr:rowOff>10702</xdr:rowOff>
    </xdr:from>
    <xdr:to>
      <xdr:col>5</xdr:col>
      <xdr:colOff>731906</xdr:colOff>
      <xdr:row>103</xdr:row>
      <xdr:rowOff>25862</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42472" y="9878174"/>
          <a:ext cx="9485714" cy="7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374</xdr:row>
      <xdr:rowOff>139002</xdr:rowOff>
    </xdr:from>
    <xdr:to>
      <xdr:col>12</xdr:col>
      <xdr:colOff>766316</xdr:colOff>
      <xdr:row>415</xdr:row>
      <xdr:rowOff>28265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14300" y="71995602"/>
          <a:ext cx="10157966" cy="7699763"/>
        </a:xfrm>
        <a:prstGeom prst="rect">
          <a:avLst/>
        </a:prstGeom>
      </xdr:spPr>
    </xdr:pic>
    <xdr:clientData/>
  </xdr:twoCellAnchor>
  <xdr:twoCellAnchor editAs="oneCell">
    <xdr:from>
      <xdr:col>13</xdr:col>
      <xdr:colOff>126653</xdr:colOff>
      <xdr:row>374</xdr:row>
      <xdr:rowOff>184220</xdr:rowOff>
    </xdr:from>
    <xdr:to>
      <xdr:col>28</xdr:col>
      <xdr:colOff>1505721</xdr:colOff>
      <xdr:row>414</xdr:row>
      <xdr:rowOff>88775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0413653" y="72040820"/>
          <a:ext cx="9856318" cy="75245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245806</xdr:colOff>
      <xdr:row>373</xdr:row>
      <xdr:rowOff>153628</xdr:rowOff>
    </xdr:from>
    <xdr:to>
      <xdr:col>11</xdr:col>
      <xdr:colOff>223731</xdr:colOff>
      <xdr:row>405</xdr:row>
      <xdr:rowOff>181439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45806" y="73864838"/>
          <a:ext cx="9963812" cy="6254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9</xdr:col>
      <xdr:colOff>217878</xdr:colOff>
      <xdr:row>46</xdr:row>
      <xdr:rowOff>65762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1533525"/>
          <a:ext cx="9571428"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R%202020\Risk%20Indicators%20Resilience%202019\CEP-T\834450_2019-08-06_CEP_Tool_Draft_MVP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ding Page"/>
      <sheetName val="User Instructions"/>
      <sheetName val="Report Set Up"/>
      <sheetName val="Regions and States"/>
      <sheetName val="Data Selection"/>
      <sheetName val="Sort &amp; Filter"/>
      <sheetName val="Custom Weighting"/>
      <sheetName val="Custom Ranking"/>
      <sheetName val="Full Database"/>
      <sheetName val="Sheet1"/>
      <sheetName val="Data Dictionary"/>
      <sheetName val="834450_2019-08-06_CEP_Tool_Draf"/>
    </sheetNames>
    <sheetDataSet>
      <sheetData sheetId="0" refreshError="1"/>
      <sheetData sheetId="1" refreshError="1"/>
      <sheetData sheetId="2"/>
      <sheetData sheetId="3" refreshError="1"/>
      <sheetData sheetId="4" refreshError="1"/>
      <sheetData sheetId="5" refreshError="1"/>
      <sheetData sheetId="6">
        <row r="31">
          <cell r="D31">
            <v>100</v>
          </cell>
        </row>
      </sheetData>
      <sheetData sheetId="7" refreshError="1"/>
      <sheetData sheetId="8"/>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file:///\\gistc-filesrv2\HazardData\Working\aSFHA_bSF\Data\script_outputs\Community_Reports\bSF_by_flood_zones_Dams_20191105_final.csv"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file:///\\gistc-filesrv2\HazardData\Working\aSFHA_bSF\Data\script_outputs\Community_Reports\bSF_by_flood_zones_Levees_20191105_final.csv"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Data/script_outputs/Community_Reports/bSF_Riparian_20200406_final.csv"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file:///\\gistc-filesrv2\HazardData\Working\aSFHA_bSF\Data\script_outputs\Community_Reports\CRS_422_a_20200914_final.csv"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gistc-filesrv2\HazardData\Working\aSFHA_bSF\Data\script_outputs\Community_Reports\CRS_422_b_20200914_final.csv"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_Reports\CRS_422_c_20200416_final.csv"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file:///\\gistc-filesrv2\HazardData\Working\aSFHA_bSF\Data\script_outputs\Community_Reports\CRS_432_b_20200605_final.csv"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file:///\\gistc-filesrv2\HazardData\Working\aSFHA_bSF\Data\script_outputs\Community_Reports\CRS_520_20200501.xlsx" TargetMode="External"/><Relationship Id="rId1" Type="http://schemas.openxmlformats.org/officeDocument/2006/relationships/hyperlink" Target="file:///\\gistc-filesrv2\HazardData\Working\aSFHA_bSF\Data\script_outputs\CRS_520_20200428.xlsx"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_Reports\Natural_Floodplain_Function_20200527.xlsx"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ile:///\\gistc-filesrv2\HazardData\Working\aSFHA_bSF\Data\script_outputs\Community%20Reports\landUse_20200807.xlsx"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gistc-filesrv2\HazardData\Working\aSFHA_bSF\Data\script_outputs\Community_Reports\bSF_20191105_final.csv"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20Reports\DepthGrid_WSEL_20200715.xlsx"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From-FEMA-Region%20III/CommunitiesMinusRatedAgg/CommunitiesMinusRatedAgg.sh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file:///\\gistc-filesrv2\HazardData\Working\aSFHA_bSF\Documents\From-FEMA-Region%20III\SeptemberReportfromCEP.xlsx"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file:///\\gistc-filesrv2\HazardData\Working\aSFHA_bSF\Documents\FromKurt\WV_CEP_Report_2019.xlsx"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file:///\\gistc-filesrv2\HazardData\Working\aSFHA_bSF\Data\script_outputs\Community%20Reports\Transportation_Roads_20200814.xlsx" TargetMode="External"/><Relationship Id="rId1" Type="http://schemas.openxmlformats.org/officeDocument/2006/relationships/hyperlink" Target="file:///\\gistc-filesrv2\HazardData\Working\aSFHA_bSF\Data\script_outputs\Transportation_Roads_20200729.xlsx"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file:///\\gistc-filesrv2\HazardData\Working\aSFHA_bSF\Data\script_outputs\Community%20Reports\Transportation_Railroads_20200814.xlsx"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20Reports\Transportation_Bridges_20200728.xlsx"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file:///\\gistc-filesrv2\HazardData\Working\aSFHA_bSF\Data\script_outputs\Community_Reports\Stream_Length_20200417.csv"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file:///\\gistc-filesrv2\HazardData\Working\aSFHA_bSF\Data\script_outputs\Community_Reports\Stream_Length_20200417.csv"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_Reports\aSFHA_20200921_final.csv"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file:///\\gistc-filesrv2\Hazarddata\Working\aSFHA_bSF\Data\script_outputs\Landslide_reports\landslides_report_20200918.xlsx"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file:///\\gistc-filesrv2\HazardData\Working\aSFHA_bSF\Data\script_outputs\Landslide_reports\landslides_flood_report_20200918.xlsx"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file:///\\gistc-filesrv2\HazardData\Working\aSFHA_bSF\Data\script_outputs\Landslide_reports\landslides_moves_report_20200707.xlsx"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file:///\\gistc-filesrv2\HazardData\userFiles\Behrang\Demographic_Inventory\WV\Final_Demographic_WV\WV_Demographic_Data_10222019.xls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_Reports\WV%20Community%20Status%20Book%20Report%20September%2020190924%20Jefferson%20Formatted.xlsx"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gistc-filesrv2\HazardData\Working\aSFHA_bSF\Data\script_outputs\Community_Reports\bSF_building_exposure_20191031_final.cs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_Reports\bSF_by_flood_zones_CI_20200421.cs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zoomScale="68" zoomScaleNormal="68" workbookViewId="0">
      <pane ySplit="3" topLeftCell="A4" activePane="bottomLeft" state="frozen"/>
      <selection pane="bottomLeft" activeCell="E61" sqref="E61"/>
    </sheetView>
  </sheetViews>
  <sheetFormatPr defaultRowHeight="15" x14ac:dyDescent="0.25"/>
  <cols>
    <col min="1" max="1" width="26.28515625" customWidth="1"/>
    <col min="2" max="3" width="26" customWidth="1"/>
    <col min="4" max="4" width="26.140625" style="15" customWidth="1"/>
    <col min="5" max="5" width="25.7109375" customWidth="1"/>
    <col min="6" max="6" width="15.42578125" customWidth="1"/>
    <col min="7" max="8" width="37.7109375" customWidth="1"/>
    <col min="9" max="9" width="51.42578125" bestFit="1" customWidth="1"/>
  </cols>
  <sheetData>
    <row r="1" spans="1:9" ht="18.75" x14ac:dyDescent="0.3">
      <c r="A1" s="397" t="s">
        <v>478</v>
      </c>
      <c r="B1" s="397"/>
      <c r="C1" s="397"/>
      <c r="D1" s="397"/>
      <c r="E1" s="397"/>
      <c r="F1" s="397"/>
      <c r="G1" s="397"/>
    </row>
    <row r="3" spans="1:9" ht="45" x14ac:dyDescent="0.25">
      <c r="A3" s="60" t="s">
        <v>477</v>
      </c>
      <c r="B3" s="60" t="s">
        <v>476</v>
      </c>
      <c r="C3" s="60" t="s">
        <v>570</v>
      </c>
      <c r="D3" s="60" t="s">
        <v>564</v>
      </c>
      <c r="E3" s="60" t="s">
        <v>475</v>
      </c>
      <c r="F3" s="60" t="s">
        <v>474</v>
      </c>
      <c r="G3" s="60" t="s">
        <v>473</v>
      </c>
      <c r="H3" s="60" t="s">
        <v>574</v>
      </c>
      <c r="I3" s="60" t="s">
        <v>1361</v>
      </c>
    </row>
    <row r="4" spans="1:9" x14ac:dyDescent="0.25">
      <c r="A4" s="36"/>
      <c r="B4" s="36"/>
      <c r="C4" s="36"/>
      <c r="D4" s="36"/>
      <c r="E4" s="36"/>
      <c r="F4" s="36"/>
      <c r="G4" s="36"/>
    </row>
    <row r="5" spans="1:9" ht="45" x14ac:dyDescent="0.25">
      <c r="A5" s="395" t="s">
        <v>557</v>
      </c>
      <c r="B5" s="88" t="s">
        <v>464</v>
      </c>
      <c r="C5" s="87" t="s">
        <v>559</v>
      </c>
      <c r="D5" s="91" t="s">
        <v>592</v>
      </c>
      <c r="E5" s="37" t="s">
        <v>562</v>
      </c>
      <c r="F5" s="37" t="s">
        <v>472</v>
      </c>
      <c r="G5" s="82" t="s">
        <v>581</v>
      </c>
      <c r="H5" s="243" t="s">
        <v>571</v>
      </c>
      <c r="I5" s="248" t="s">
        <v>1386</v>
      </c>
    </row>
    <row r="6" spans="1:9" ht="60" x14ac:dyDescent="0.25">
      <c r="A6" s="396"/>
      <c r="B6" s="88"/>
      <c r="C6" s="37"/>
      <c r="D6" s="88" t="s">
        <v>566</v>
      </c>
      <c r="E6" s="37" t="s">
        <v>566</v>
      </c>
      <c r="F6" s="37"/>
      <c r="G6" s="37" t="s">
        <v>565</v>
      </c>
      <c r="H6" s="243"/>
      <c r="I6" s="249"/>
    </row>
    <row r="7" spans="1:9" x14ac:dyDescent="0.25">
      <c r="A7" s="58"/>
      <c r="B7" s="89"/>
      <c r="C7" s="38"/>
      <c r="D7" s="89"/>
      <c r="E7" s="38"/>
      <c r="F7" s="38"/>
      <c r="G7" s="38"/>
      <c r="I7" s="249"/>
    </row>
    <row r="8" spans="1:9" x14ac:dyDescent="0.25">
      <c r="A8" s="395" t="s">
        <v>558</v>
      </c>
      <c r="B8" s="88" t="s">
        <v>464</v>
      </c>
      <c r="C8" s="87" t="s">
        <v>559</v>
      </c>
      <c r="D8" s="88" t="s">
        <v>460</v>
      </c>
      <c r="E8" s="37" t="s">
        <v>460</v>
      </c>
      <c r="F8" s="37" t="s">
        <v>471</v>
      </c>
      <c r="G8" s="37" t="s">
        <v>470</v>
      </c>
      <c r="H8" s="243" t="s">
        <v>572</v>
      </c>
      <c r="I8" s="250" t="s">
        <v>470</v>
      </c>
    </row>
    <row r="9" spans="1:9" x14ac:dyDescent="0.25">
      <c r="A9" s="396"/>
      <c r="B9" s="88"/>
      <c r="C9" s="79"/>
      <c r="D9" s="88"/>
      <c r="E9" s="37"/>
      <c r="F9" s="37" t="s">
        <v>469</v>
      </c>
      <c r="G9" s="37"/>
      <c r="H9" s="243"/>
      <c r="I9" s="249"/>
    </row>
    <row r="10" spans="1:9" x14ac:dyDescent="0.25">
      <c r="A10" s="58"/>
      <c r="B10" s="89"/>
      <c r="C10" s="38"/>
      <c r="D10" s="89"/>
      <c r="E10" s="38"/>
      <c r="F10" s="38"/>
      <c r="G10" s="38"/>
      <c r="I10" s="249"/>
    </row>
    <row r="11" spans="1:9" ht="51" customHeight="1" x14ac:dyDescent="0.25">
      <c r="A11" s="395" t="s">
        <v>468</v>
      </c>
      <c r="B11" s="88" t="s">
        <v>514</v>
      </c>
      <c r="C11" s="81" t="s">
        <v>586</v>
      </c>
      <c r="D11" s="91" t="s">
        <v>590</v>
      </c>
      <c r="E11" s="37" t="s">
        <v>461</v>
      </c>
      <c r="F11" s="37" t="s">
        <v>563</v>
      </c>
      <c r="G11" s="37" t="s">
        <v>568</v>
      </c>
      <c r="H11" s="244" t="s">
        <v>573</v>
      </c>
      <c r="I11" s="247" t="s">
        <v>5559</v>
      </c>
    </row>
    <row r="12" spans="1:9" ht="45" x14ac:dyDescent="0.25">
      <c r="A12" s="396"/>
      <c r="B12" s="88" t="s">
        <v>552</v>
      </c>
      <c r="C12" s="80" t="s">
        <v>567</v>
      </c>
      <c r="D12" s="88" t="s">
        <v>556</v>
      </c>
      <c r="E12" s="37" t="s">
        <v>463</v>
      </c>
      <c r="F12" s="37"/>
      <c r="G12" s="37" t="s">
        <v>569</v>
      </c>
      <c r="H12" s="243"/>
      <c r="I12" s="249"/>
    </row>
    <row r="13" spans="1:9" x14ac:dyDescent="0.25">
      <c r="A13" s="58"/>
      <c r="B13" s="89"/>
      <c r="C13" s="38"/>
      <c r="D13" s="89"/>
      <c r="E13" s="38"/>
      <c r="F13" s="38"/>
      <c r="G13" s="38"/>
      <c r="I13" s="249"/>
    </row>
    <row r="14" spans="1:9" ht="45" x14ac:dyDescent="0.25">
      <c r="A14" s="59" t="s">
        <v>467</v>
      </c>
      <c r="B14" s="88" t="s">
        <v>514</v>
      </c>
      <c r="C14" s="81" t="s">
        <v>586</v>
      </c>
      <c r="D14" s="91" t="s">
        <v>590</v>
      </c>
      <c r="E14" s="37" t="s">
        <v>461</v>
      </c>
      <c r="F14" s="37"/>
      <c r="G14" s="37" t="s">
        <v>466</v>
      </c>
      <c r="H14" s="248" t="s">
        <v>1337</v>
      </c>
      <c r="I14" s="245" t="s">
        <v>5562</v>
      </c>
    </row>
    <row r="15" spans="1:9" ht="45" x14ac:dyDescent="0.25">
      <c r="A15" s="59"/>
      <c r="B15" s="88"/>
      <c r="C15" s="81"/>
      <c r="D15" s="91"/>
      <c r="E15" s="37"/>
      <c r="F15" s="37"/>
      <c r="G15" s="37" t="s">
        <v>5558</v>
      </c>
      <c r="H15" s="357" t="s">
        <v>1339</v>
      </c>
      <c r="I15" s="248" t="s">
        <v>5560</v>
      </c>
    </row>
    <row r="16" spans="1:9" x14ac:dyDescent="0.25">
      <c r="A16" s="58"/>
      <c r="B16" s="89"/>
      <c r="C16" s="38"/>
      <c r="D16" s="89"/>
      <c r="E16" s="38"/>
      <c r="F16" s="38"/>
      <c r="G16" s="38"/>
      <c r="I16" s="249"/>
    </row>
    <row r="17" spans="1:9" ht="60" x14ac:dyDescent="0.25">
      <c r="A17" s="395" t="s">
        <v>549</v>
      </c>
      <c r="B17" s="88" t="s">
        <v>514</v>
      </c>
      <c r="C17" s="81" t="s">
        <v>561</v>
      </c>
      <c r="D17" s="88" t="s">
        <v>591</v>
      </c>
      <c r="E17" s="37" t="s">
        <v>460</v>
      </c>
      <c r="F17" s="37" t="s">
        <v>459</v>
      </c>
      <c r="G17" s="37" t="s">
        <v>582</v>
      </c>
      <c r="H17" s="245" t="s">
        <v>5561</v>
      </c>
      <c r="I17" s="358" t="s">
        <v>1342</v>
      </c>
    </row>
    <row r="18" spans="1:9" ht="30" x14ac:dyDescent="0.25">
      <c r="A18" s="396"/>
      <c r="B18" s="88"/>
      <c r="C18" s="37"/>
      <c r="D18" s="88" t="s">
        <v>575</v>
      </c>
      <c r="E18" s="37"/>
      <c r="F18" s="37"/>
      <c r="G18" s="37" t="s">
        <v>576</v>
      </c>
      <c r="H18" s="243"/>
      <c r="I18" s="249"/>
    </row>
    <row r="19" spans="1:9" x14ac:dyDescent="0.25">
      <c r="A19" s="58"/>
      <c r="B19" s="89"/>
      <c r="C19" s="38"/>
      <c r="D19" s="89"/>
      <c r="E19" s="38"/>
      <c r="F19" s="38"/>
      <c r="G19" s="38"/>
      <c r="I19" s="249"/>
    </row>
    <row r="20" spans="1:9" ht="45" x14ac:dyDescent="0.25">
      <c r="A20" s="59" t="s">
        <v>465</v>
      </c>
      <c r="B20" s="88" t="s">
        <v>514</v>
      </c>
      <c r="C20" s="81" t="s">
        <v>561</v>
      </c>
      <c r="D20" s="91" t="s">
        <v>590</v>
      </c>
      <c r="E20" s="37" t="s">
        <v>461</v>
      </c>
      <c r="F20" s="37" t="s">
        <v>515</v>
      </c>
      <c r="G20" s="37" t="s">
        <v>462</v>
      </c>
      <c r="H20" s="245" t="s">
        <v>583</v>
      </c>
      <c r="I20" s="248" t="s">
        <v>5563</v>
      </c>
    </row>
    <row r="21" spans="1:9" s="16" customFormat="1" x14ac:dyDescent="0.25">
      <c r="A21" s="359"/>
      <c r="B21" s="360"/>
      <c r="C21" s="361"/>
      <c r="D21" s="362"/>
      <c r="E21" s="363"/>
      <c r="F21" s="363"/>
      <c r="G21" s="363"/>
      <c r="H21" s="364"/>
      <c r="I21" s="365"/>
    </row>
    <row r="22" spans="1:9" ht="45" x14ac:dyDescent="0.25">
      <c r="A22" s="59" t="s">
        <v>458</v>
      </c>
      <c r="B22" s="88" t="s">
        <v>551</v>
      </c>
      <c r="C22" s="80" t="s">
        <v>560</v>
      </c>
      <c r="D22" s="91" t="s">
        <v>5566</v>
      </c>
      <c r="E22" s="37" t="s">
        <v>457</v>
      </c>
      <c r="F22" s="37"/>
      <c r="G22" s="37" t="s">
        <v>513</v>
      </c>
      <c r="H22" s="356" t="s">
        <v>1382</v>
      </c>
      <c r="I22" s="367" t="s">
        <v>458</v>
      </c>
    </row>
    <row r="23" spans="1:9" s="16" customFormat="1" x14ac:dyDescent="0.25">
      <c r="A23" s="359"/>
      <c r="B23" s="360"/>
      <c r="C23" s="361"/>
      <c r="D23" s="362"/>
      <c r="E23" s="363"/>
      <c r="F23" s="363"/>
      <c r="G23" s="363"/>
      <c r="H23" s="364"/>
    </row>
    <row r="24" spans="1:9" ht="30" x14ac:dyDescent="0.25">
      <c r="A24" s="59" t="s">
        <v>550</v>
      </c>
      <c r="B24" s="88"/>
      <c r="C24" s="65"/>
      <c r="D24" s="78" t="s">
        <v>460</v>
      </c>
      <c r="E24" s="37"/>
      <c r="F24" s="37" t="s">
        <v>550</v>
      </c>
      <c r="G24" s="246" t="s">
        <v>553</v>
      </c>
      <c r="H24" s="366" t="s">
        <v>1352</v>
      </c>
      <c r="I24" s="366" t="s">
        <v>5564</v>
      </c>
    </row>
    <row r="25" spans="1:9" x14ac:dyDescent="0.25">
      <c r="B25" s="90"/>
      <c r="D25" s="92"/>
      <c r="H25" s="367"/>
      <c r="I25" s="366" t="s">
        <v>5565</v>
      </c>
    </row>
    <row r="26" spans="1:9" x14ac:dyDescent="0.25">
      <c r="B26" s="90"/>
      <c r="D26" s="92"/>
      <c r="E26" t="s">
        <v>5597</v>
      </c>
      <c r="I26" s="370"/>
    </row>
    <row r="27" spans="1:9" x14ac:dyDescent="0.25">
      <c r="A27" s="371" t="s">
        <v>5567</v>
      </c>
      <c r="B27" s="88" t="s">
        <v>464</v>
      </c>
      <c r="C27" s="87" t="s">
        <v>559</v>
      </c>
      <c r="D27" s="387" t="s">
        <v>5599</v>
      </c>
      <c r="E27" s="369" t="s">
        <v>5598</v>
      </c>
      <c r="F27" s="372"/>
      <c r="G27" s="372" t="s">
        <v>5600</v>
      </c>
      <c r="H27" s="372" t="s">
        <v>5568</v>
      </c>
      <c r="I27" s="366" t="s">
        <v>5569</v>
      </c>
    </row>
    <row r="28" spans="1:9" x14ac:dyDescent="0.25">
      <c r="B28" s="90"/>
      <c r="D28" s="92"/>
      <c r="E28" s="15"/>
      <c r="F28" s="15"/>
      <c r="G28" s="15"/>
      <c r="H28" s="15"/>
      <c r="I28" s="370"/>
    </row>
    <row r="29" spans="1:9" ht="30" x14ac:dyDescent="0.25">
      <c r="A29" s="371" t="s">
        <v>5570</v>
      </c>
      <c r="B29" s="88" t="s">
        <v>464</v>
      </c>
      <c r="C29" s="87" t="s">
        <v>559</v>
      </c>
      <c r="D29" s="372"/>
      <c r="E29" s="372"/>
      <c r="F29" s="372"/>
      <c r="G29" s="372" t="s">
        <v>5601</v>
      </c>
      <c r="H29" s="372" t="s">
        <v>1371</v>
      </c>
      <c r="I29" s="367" t="s">
        <v>5571</v>
      </c>
    </row>
    <row r="30" spans="1:9" s="16" customFormat="1" x14ac:dyDescent="0.25">
      <c r="A30" s="374"/>
      <c r="B30" s="225"/>
      <c r="C30" s="225"/>
      <c r="D30" s="373"/>
      <c r="E30" s="373"/>
      <c r="F30" s="373"/>
      <c r="G30" s="373"/>
      <c r="H30" s="373"/>
      <c r="I30" s="225"/>
    </row>
    <row r="31" spans="1:9" x14ac:dyDescent="0.25">
      <c r="A31" s="371" t="s">
        <v>5572</v>
      </c>
      <c r="B31" s="88" t="s">
        <v>464</v>
      </c>
      <c r="C31" s="87" t="s">
        <v>559</v>
      </c>
      <c r="D31" s="372"/>
      <c r="E31" s="372"/>
      <c r="F31" s="372"/>
      <c r="G31" s="372" t="s">
        <v>5602</v>
      </c>
      <c r="H31" s="388" t="s">
        <v>1370</v>
      </c>
      <c r="I31" s="375" t="s">
        <v>5573</v>
      </c>
    </row>
    <row r="32" spans="1:9" x14ac:dyDescent="0.25">
      <c r="A32" s="119"/>
      <c r="E32" s="15"/>
      <c r="F32" s="15"/>
      <c r="G32" s="15"/>
      <c r="H32" s="15"/>
    </row>
    <row r="33" spans="1:9" ht="30" x14ac:dyDescent="0.25">
      <c r="A33" s="371" t="s">
        <v>5574</v>
      </c>
      <c r="B33" s="88" t="s">
        <v>464</v>
      </c>
      <c r="C33" s="87" t="s">
        <v>559</v>
      </c>
      <c r="D33" s="372"/>
      <c r="E33" s="372"/>
      <c r="F33" s="372"/>
      <c r="G33" s="372" t="s">
        <v>5603</v>
      </c>
      <c r="H33" s="372" t="s">
        <v>1369</v>
      </c>
      <c r="I33" s="367" t="s">
        <v>5574</v>
      </c>
    </row>
    <row r="34" spans="1:9" x14ac:dyDescent="0.25">
      <c r="A34" s="119"/>
      <c r="E34" s="15"/>
      <c r="F34" s="15"/>
      <c r="G34" s="15"/>
      <c r="H34" s="15"/>
    </row>
    <row r="35" spans="1:9" x14ac:dyDescent="0.25">
      <c r="A35" s="371" t="s">
        <v>5575</v>
      </c>
      <c r="B35" s="88" t="s">
        <v>464</v>
      </c>
      <c r="C35" s="87" t="s">
        <v>559</v>
      </c>
      <c r="D35" s="372"/>
      <c r="E35" s="372"/>
      <c r="F35" s="372"/>
      <c r="G35" s="372" t="s">
        <v>5604</v>
      </c>
      <c r="H35" s="372" t="s">
        <v>2213</v>
      </c>
      <c r="I35" s="367" t="s">
        <v>5575</v>
      </c>
    </row>
    <row r="36" spans="1:9" x14ac:dyDescent="0.25">
      <c r="A36" s="119"/>
      <c r="E36" s="15"/>
      <c r="F36" s="15"/>
      <c r="G36" s="15"/>
      <c r="H36" s="15"/>
    </row>
    <row r="37" spans="1:9" ht="30" x14ac:dyDescent="0.25">
      <c r="A37" s="371" t="s">
        <v>5576</v>
      </c>
      <c r="B37" s="88" t="s">
        <v>464</v>
      </c>
      <c r="C37" s="87" t="s">
        <v>559</v>
      </c>
      <c r="D37" s="372"/>
      <c r="E37" s="372" t="s">
        <v>5606</v>
      </c>
      <c r="F37" s="372" t="s">
        <v>5607</v>
      </c>
      <c r="G37" s="372" t="s">
        <v>5605</v>
      </c>
      <c r="H37" s="372" t="s">
        <v>1688</v>
      </c>
      <c r="I37" s="367" t="s">
        <v>5576</v>
      </c>
    </row>
    <row r="38" spans="1:9" s="16" customFormat="1" x14ac:dyDescent="0.25">
      <c r="A38" s="374"/>
      <c r="B38" s="225"/>
      <c r="C38" s="225"/>
      <c r="D38" s="373"/>
      <c r="E38" s="225"/>
      <c r="F38" s="225"/>
      <c r="G38" s="225"/>
      <c r="H38" s="225"/>
      <c r="I38" s="225"/>
    </row>
    <row r="39" spans="1:9" s="16" customFormat="1" ht="75" x14ac:dyDescent="0.25">
      <c r="A39" s="376" t="s">
        <v>5578</v>
      </c>
      <c r="B39" s="88" t="s">
        <v>464</v>
      </c>
      <c r="C39" s="87" t="s">
        <v>559</v>
      </c>
      <c r="D39" s="372"/>
      <c r="E39" s="367"/>
      <c r="F39" s="372" t="s">
        <v>5608</v>
      </c>
      <c r="G39" s="372" t="s">
        <v>5609</v>
      </c>
      <c r="H39" s="367" t="s">
        <v>1692</v>
      </c>
      <c r="I39" s="367" t="s">
        <v>5577</v>
      </c>
    </row>
    <row r="40" spans="1:9" s="16" customFormat="1" x14ac:dyDescent="0.25">
      <c r="A40" s="374"/>
      <c r="B40" s="225"/>
      <c r="C40" s="225"/>
      <c r="D40" s="373"/>
      <c r="E40" s="225"/>
      <c r="F40" s="373"/>
      <c r="G40" s="373"/>
      <c r="H40" s="225"/>
      <c r="I40" s="225"/>
    </row>
    <row r="41" spans="1:9" s="16" customFormat="1" ht="45.75" customHeight="1" x14ac:dyDescent="0.25">
      <c r="A41" s="376" t="s">
        <v>5579</v>
      </c>
      <c r="B41" s="88" t="s">
        <v>464</v>
      </c>
      <c r="C41" s="87" t="s">
        <v>559</v>
      </c>
      <c r="D41" s="387" t="s">
        <v>5599</v>
      </c>
      <c r="E41" s="369" t="s">
        <v>5598</v>
      </c>
      <c r="F41" s="372" t="s">
        <v>5610</v>
      </c>
      <c r="G41" s="372" t="s">
        <v>5611</v>
      </c>
      <c r="H41" s="367" t="s">
        <v>5580</v>
      </c>
      <c r="I41" s="367" t="s">
        <v>5581</v>
      </c>
    </row>
    <row r="42" spans="1:9" s="16" customFormat="1" x14ac:dyDescent="0.25">
      <c r="A42" s="377"/>
      <c r="B42" s="225"/>
      <c r="C42" s="225"/>
      <c r="D42" s="373"/>
      <c r="E42" s="225"/>
      <c r="F42" s="373"/>
      <c r="G42" s="373"/>
      <c r="H42" s="225"/>
      <c r="I42" s="225"/>
    </row>
    <row r="43" spans="1:9" s="16" customFormat="1" ht="45" x14ac:dyDescent="0.25">
      <c r="A43" s="376" t="s">
        <v>5582</v>
      </c>
      <c r="B43" s="88" t="s">
        <v>514</v>
      </c>
      <c r="C43" s="81" t="s">
        <v>561</v>
      </c>
      <c r="D43" s="372"/>
      <c r="E43" s="367"/>
      <c r="F43" s="372"/>
      <c r="G43" s="372" t="s">
        <v>5612</v>
      </c>
      <c r="H43" s="367" t="s">
        <v>2306</v>
      </c>
      <c r="I43" s="367" t="s">
        <v>5582</v>
      </c>
    </row>
    <row r="44" spans="1:9" s="16" customFormat="1" x14ac:dyDescent="0.25">
      <c r="A44" s="377"/>
      <c r="B44" s="225"/>
      <c r="C44" s="225"/>
      <c r="D44" s="373"/>
      <c r="E44" s="225"/>
      <c r="F44" s="373"/>
      <c r="G44" s="373"/>
      <c r="H44" s="225"/>
      <c r="I44" s="225"/>
    </row>
    <row r="45" spans="1:9" s="16" customFormat="1" ht="30" x14ac:dyDescent="0.25">
      <c r="A45" s="376" t="s">
        <v>5583</v>
      </c>
      <c r="B45" s="367"/>
      <c r="C45" s="367"/>
      <c r="D45" s="372"/>
      <c r="E45" s="367"/>
      <c r="F45" s="372"/>
      <c r="G45" s="372"/>
      <c r="H45" s="367" t="s">
        <v>1356</v>
      </c>
      <c r="I45" s="367" t="s">
        <v>5583</v>
      </c>
    </row>
    <row r="46" spans="1:9" s="16" customFormat="1" x14ac:dyDescent="0.25">
      <c r="A46" s="377"/>
      <c r="B46" s="225"/>
      <c r="C46" s="225"/>
      <c r="D46" s="373"/>
      <c r="E46" s="225"/>
      <c r="F46" s="373"/>
      <c r="G46" s="373"/>
      <c r="H46" s="225"/>
      <c r="I46" s="225"/>
    </row>
    <row r="47" spans="1:9" s="16" customFormat="1" ht="29.25" customHeight="1" x14ac:dyDescent="0.25">
      <c r="A47" s="376" t="s">
        <v>5584</v>
      </c>
      <c r="B47" s="367"/>
      <c r="C47" s="367"/>
      <c r="D47" s="372"/>
      <c r="E47" s="367"/>
      <c r="F47" s="372"/>
      <c r="G47" s="372"/>
      <c r="H47" s="367" t="s">
        <v>1358</v>
      </c>
      <c r="I47" s="367" t="s">
        <v>5584</v>
      </c>
    </row>
    <row r="48" spans="1:9" s="16" customFormat="1" x14ac:dyDescent="0.25">
      <c r="A48" s="377"/>
      <c r="B48" s="225"/>
      <c r="C48" s="225"/>
      <c r="D48" s="373"/>
      <c r="E48" s="225"/>
      <c r="F48" s="225"/>
      <c r="G48" s="225"/>
      <c r="H48" s="225"/>
      <c r="I48" s="225"/>
    </row>
    <row r="49" spans="1:9" s="16" customFormat="1" ht="28.5" customHeight="1" x14ac:dyDescent="0.25">
      <c r="A49" s="376" t="s">
        <v>5585</v>
      </c>
      <c r="B49" s="88" t="s">
        <v>514</v>
      </c>
      <c r="C49" s="81" t="s">
        <v>561</v>
      </c>
      <c r="D49" s="372"/>
      <c r="E49" s="367"/>
      <c r="F49" s="367" t="s">
        <v>5613</v>
      </c>
      <c r="G49" s="367" t="s">
        <v>5616</v>
      </c>
      <c r="H49" s="367" t="s">
        <v>5540</v>
      </c>
      <c r="I49" s="367" t="s">
        <v>5585</v>
      </c>
    </row>
    <row r="50" spans="1:9" s="16" customFormat="1" ht="28.5" customHeight="1" x14ac:dyDescent="0.25">
      <c r="A50" s="376" t="s">
        <v>5586</v>
      </c>
      <c r="B50" s="88" t="s">
        <v>514</v>
      </c>
      <c r="C50" s="81" t="s">
        <v>561</v>
      </c>
      <c r="D50" s="372"/>
      <c r="E50" s="367"/>
      <c r="F50" s="367" t="s">
        <v>5614</v>
      </c>
      <c r="G50" s="367" t="s">
        <v>5616</v>
      </c>
      <c r="H50" s="367" t="s">
        <v>5543</v>
      </c>
      <c r="I50" s="367" t="s">
        <v>5588</v>
      </c>
    </row>
    <row r="51" spans="1:9" s="16" customFormat="1" ht="28.5" customHeight="1" x14ac:dyDescent="0.25">
      <c r="A51" s="376" t="s">
        <v>5587</v>
      </c>
      <c r="B51" s="88" t="s">
        <v>514</v>
      </c>
      <c r="C51" s="81" t="s">
        <v>561</v>
      </c>
      <c r="D51" s="372"/>
      <c r="E51" s="367"/>
      <c r="F51" s="367" t="s">
        <v>5615</v>
      </c>
      <c r="G51" s="367" t="s">
        <v>5617</v>
      </c>
      <c r="H51" s="367" t="s">
        <v>5544</v>
      </c>
      <c r="I51" s="367" t="s">
        <v>5587</v>
      </c>
    </row>
    <row r="52" spans="1:9" s="16" customFormat="1" x14ac:dyDescent="0.25">
      <c r="A52" s="377"/>
      <c r="B52" s="225"/>
      <c r="C52" s="225"/>
      <c r="D52" s="373"/>
      <c r="E52" s="225"/>
      <c r="F52" s="225"/>
      <c r="G52" s="225"/>
      <c r="H52" s="225"/>
      <c r="I52" s="225"/>
    </row>
    <row r="53" spans="1:9" ht="45" x14ac:dyDescent="0.25">
      <c r="A53" s="59" t="s">
        <v>554</v>
      </c>
      <c r="B53" s="88" t="s">
        <v>514</v>
      </c>
      <c r="C53" s="81" t="s">
        <v>561</v>
      </c>
      <c r="D53" s="91" t="s">
        <v>555</v>
      </c>
      <c r="E53" s="37"/>
      <c r="F53" s="37" t="s">
        <v>585</v>
      </c>
      <c r="G53" s="37" t="s">
        <v>553</v>
      </c>
      <c r="H53" s="246" t="s">
        <v>584</v>
      </c>
      <c r="I53" s="236"/>
    </row>
    <row r="54" spans="1:9" x14ac:dyDescent="0.25">
      <c r="B54" s="90"/>
      <c r="D54" s="92"/>
      <c r="I54" s="236"/>
    </row>
    <row r="55" spans="1:9" x14ac:dyDescent="0.25">
      <c r="A55" s="59" t="s">
        <v>587</v>
      </c>
      <c r="B55" s="88" t="s">
        <v>464</v>
      </c>
      <c r="C55" s="87" t="s">
        <v>559</v>
      </c>
      <c r="D55" s="78" t="s">
        <v>460</v>
      </c>
      <c r="E55" s="37" t="s">
        <v>460</v>
      </c>
      <c r="F55" s="37" t="s">
        <v>588</v>
      </c>
      <c r="G55" s="37" t="s">
        <v>589</v>
      </c>
      <c r="H55" s="37" t="s">
        <v>1379</v>
      </c>
      <c r="I55" s="236" t="s">
        <v>5589</v>
      </c>
    </row>
    <row r="56" spans="1:9" x14ac:dyDescent="0.25">
      <c r="A56" s="59"/>
      <c r="B56" s="88"/>
      <c r="C56" s="87"/>
      <c r="D56" s="78"/>
      <c r="E56" s="37"/>
      <c r="F56" s="37"/>
      <c r="G56" s="37"/>
      <c r="H56" s="37" t="s">
        <v>1379</v>
      </c>
      <c r="I56" s="236" t="s">
        <v>5590</v>
      </c>
    </row>
    <row r="57" spans="1:9" x14ac:dyDescent="0.25">
      <c r="A57" s="59"/>
      <c r="B57" s="88"/>
      <c r="C57" s="87"/>
      <c r="D57" s="78"/>
      <c r="E57" s="37"/>
      <c r="F57" s="37"/>
      <c r="G57" s="37"/>
      <c r="H57" s="37"/>
      <c r="I57" s="236" t="s">
        <v>5591</v>
      </c>
    </row>
    <row r="58" spans="1:9" s="16" customFormat="1" x14ac:dyDescent="0.25">
      <c r="A58" s="378"/>
      <c r="B58" s="379"/>
      <c r="C58" s="380"/>
      <c r="D58" s="381"/>
      <c r="E58" s="382"/>
      <c r="F58" s="382"/>
      <c r="G58" s="382"/>
      <c r="H58" s="382"/>
      <c r="I58" s="225"/>
    </row>
    <row r="59" spans="1:9" s="16" customFormat="1" ht="26.25" customHeight="1" x14ac:dyDescent="0.25">
      <c r="A59" s="386" t="s">
        <v>5618</v>
      </c>
      <c r="B59" s="384"/>
      <c r="C59" s="384"/>
      <c r="D59" s="385"/>
      <c r="E59" s="384" t="s">
        <v>5620</v>
      </c>
      <c r="F59" s="384" t="s">
        <v>5619</v>
      </c>
      <c r="G59" s="384"/>
      <c r="H59" s="384" t="s">
        <v>5596</v>
      </c>
      <c r="I59" s="368"/>
    </row>
    <row r="60" spans="1:9" s="16" customFormat="1" ht="32.25" customHeight="1" x14ac:dyDescent="0.25">
      <c r="A60" s="386" t="s">
        <v>5592</v>
      </c>
      <c r="B60" s="88" t="s">
        <v>514</v>
      </c>
      <c r="C60" s="81" t="s">
        <v>561</v>
      </c>
      <c r="D60" s="385"/>
      <c r="E60" s="384" t="s">
        <v>5620</v>
      </c>
      <c r="F60" s="384" t="s">
        <v>5619</v>
      </c>
      <c r="G60" s="384"/>
      <c r="H60" s="384" t="s">
        <v>5596</v>
      </c>
      <c r="I60" s="368"/>
    </row>
    <row r="61" spans="1:9" s="16" customFormat="1" ht="29.25" customHeight="1" x14ac:dyDescent="0.25">
      <c r="A61" s="386" t="s">
        <v>5593</v>
      </c>
      <c r="B61" s="384"/>
      <c r="C61" s="384"/>
      <c r="D61" s="385"/>
      <c r="E61" s="384"/>
      <c r="F61" s="384" t="s">
        <v>5619</v>
      </c>
      <c r="G61" s="384"/>
      <c r="H61" s="384" t="s">
        <v>5554</v>
      </c>
      <c r="I61" s="383" t="s">
        <v>5593</v>
      </c>
    </row>
    <row r="62" spans="1:9" s="16" customFormat="1" ht="29.25" customHeight="1" x14ac:dyDescent="0.25">
      <c r="A62" s="378"/>
      <c r="B62" s="379"/>
      <c r="C62" s="380"/>
      <c r="D62" s="381"/>
      <c r="E62" s="382"/>
      <c r="F62" s="382"/>
      <c r="G62" s="382"/>
      <c r="H62" s="382"/>
      <c r="I62" s="225"/>
    </row>
    <row r="63" spans="1:9" s="16" customFormat="1" ht="29.25" customHeight="1" x14ac:dyDescent="0.25">
      <c r="A63" s="386" t="s">
        <v>5595</v>
      </c>
      <c r="B63" s="384"/>
      <c r="C63" s="384"/>
      <c r="D63" s="385"/>
      <c r="E63" s="384"/>
      <c r="F63" s="384"/>
      <c r="G63" s="384"/>
      <c r="H63" s="384" t="s">
        <v>5556</v>
      </c>
      <c r="I63" s="383" t="s">
        <v>5594</v>
      </c>
    </row>
    <row r="64" spans="1:9" s="16" customFormat="1" ht="29.25" customHeight="1" x14ac:dyDescent="0.25">
      <c r="A64" s="378"/>
      <c r="B64" s="379"/>
      <c r="C64" s="380"/>
      <c r="D64" s="381"/>
      <c r="E64" s="382"/>
      <c r="F64" s="382"/>
      <c r="G64" s="382"/>
      <c r="H64" s="382"/>
      <c r="I64" s="225"/>
    </row>
    <row r="65" spans="1:9" s="16" customFormat="1" x14ac:dyDescent="0.25">
      <c r="A65" s="378"/>
      <c r="B65" s="379"/>
      <c r="C65" s="380"/>
      <c r="D65" s="381"/>
      <c r="E65" s="382"/>
      <c r="F65" s="382"/>
      <c r="G65" s="382"/>
      <c r="H65" s="382"/>
      <c r="I65" s="225"/>
    </row>
  </sheetData>
  <mergeCells count="5">
    <mergeCell ref="A5:A6"/>
    <mergeCell ref="A8:A9"/>
    <mergeCell ref="A11:A12"/>
    <mergeCell ref="A17:A18"/>
    <mergeCell ref="A1:G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0"/>
  <sheetViews>
    <sheetView topLeftCell="K1" workbookViewId="0">
      <pane ySplit="1" topLeftCell="A2" activePane="bottomLeft" state="frozen"/>
      <selection pane="bottomLeft" activeCell="R1" sqref="R1:S2"/>
    </sheetView>
  </sheetViews>
  <sheetFormatPr defaultRowHeight="15" x14ac:dyDescent="0.25"/>
  <cols>
    <col min="1" max="1" width="19.140625" style="39" bestFit="1" customWidth="1"/>
    <col min="2" max="2" width="38.42578125" style="39" bestFit="1" customWidth="1"/>
    <col min="3" max="3" width="38.7109375" style="39" bestFit="1" customWidth="1"/>
    <col min="4" max="4" width="27.85546875" style="39" bestFit="1" customWidth="1"/>
    <col min="5" max="5" width="16.140625" style="39" bestFit="1" customWidth="1"/>
    <col min="6" max="6" width="11.140625" style="39" bestFit="1" customWidth="1"/>
    <col min="7" max="7" width="14.7109375" style="39" bestFit="1" customWidth="1"/>
    <col min="8" max="8" width="12.42578125" style="39" bestFit="1" customWidth="1"/>
    <col min="9" max="9" width="24.42578125" style="39" bestFit="1" customWidth="1"/>
    <col min="10" max="10" width="19.5703125" style="39" bestFit="1" customWidth="1"/>
    <col min="11" max="11" width="14.28515625" style="39" bestFit="1" customWidth="1"/>
    <col min="12" max="12" width="16.5703125" style="39" bestFit="1" customWidth="1"/>
    <col min="13" max="13" width="11.42578125" style="39" bestFit="1" customWidth="1"/>
    <col min="14" max="14" width="16.85546875" style="39" bestFit="1" customWidth="1"/>
    <col min="15" max="15" width="11" style="39" bestFit="1" customWidth="1"/>
    <col min="16" max="16" width="20.85546875" style="39" bestFit="1" customWidth="1"/>
    <col min="17" max="18" width="9.140625" style="39"/>
    <col min="19" max="20" width="127.28515625" style="39" bestFit="1" customWidth="1"/>
    <col min="21" max="16384" width="9.140625" style="39"/>
  </cols>
  <sheetData>
    <row r="1" spans="1:19" x14ac:dyDescent="0.25">
      <c r="A1" s="193" t="s">
        <v>0</v>
      </c>
      <c r="B1" s="193" t="s">
        <v>1</v>
      </c>
      <c r="C1" s="193" t="s">
        <v>2</v>
      </c>
      <c r="D1" s="193" t="s">
        <v>512</v>
      </c>
      <c r="E1" s="193" t="s">
        <v>403</v>
      </c>
      <c r="F1" s="193" t="s">
        <v>1310</v>
      </c>
      <c r="G1" s="193" t="s">
        <v>1309</v>
      </c>
      <c r="H1" s="193" t="s">
        <v>1308</v>
      </c>
      <c r="I1" s="193" t="s">
        <v>1307</v>
      </c>
      <c r="J1" s="193" t="s">
        <v>1306</v>
      </c>
      <c r="K1" s="193" t="s">
        <v>1305</v>
      </c>
      <c r="L1" s="193" t="s">
        <v>1304</v>
      </c>
      <c r="M1" s="193" t="s">
        <v>1303</v>
      </c>
      <c r="N1" s="193" t="s">
        <v>1302</v>
      </c>
      <c r="O1" s="193" t="s">
        <v>1301</v>
      </c>
      <c r="P1" s="193" t="s">
        <v>1300</v>
      </c>
      <c r="R1" s="206" t="s">
        <v>1325</v>
      </c>
      <c r="S1" s="390" t="s">
        <v>1352</v>
      </c>
    </row>
    <row r="2" spans="1:19" x14ac:dyDescent="0.25">
      <c r="A2" s="40">
        <v>540001</v>
      </c>
      <c r="B2" s="40" t="s">
        <v>3</v>
      </c>
      <c r="C2" s="40" t="s">
        <v>4</v>
      </c>
      <c r="D2" s="40" t="s">
        <v>5</v>
      </c>
      <c r="E2" s="40">
        <v>7</v>
      </c>
      <c r="F2" s="40">
        <v>4</v>
      </c>
      <c r="G2" s="40">
        <v>0</v>
      </c>
      <c r="H2" s="40">
        <v>1</v>
      </c>
      <c r="I2" s="40">
        <v>2</v>
      </c>
      <c r="J2" s="40">
        <v>0</v>
      </c>
      <c r="K2" s="40">
        <v>0</v>
      </c>
      <c r="L2" s="40">
        <v>1</v>
      </c>
      <c r="M2" s="40">
        <v>2</v>
      </c>
      <c r="N2" s="40">
        <v>1</v>
      </c>
      <c r="O2" s="40">
        <v>0</v>
      </c>
      <c r="P2" s="40">
        <v>0</v>
      </c>
      <c r="R2" s="206" t="s">
        <v>1326</v>
      </c>
      <c r="S2" s="392" t="s">
        <v>1353</v>
      </c>
    </row>
    <row r="3" spans="1:19" x14ac:dyDescent="0.25">
      <c r="A3" s="40">
        <v>540002</v>
      </c>
      <c r="B3" s="40" t="s">
        <v>114</v>
      </c>
      <c r="C3" s="40" t="s">
        <v>4</v>
      </c>
      <c r="D3" s="40" t="s">
        <v>115</v>
      </c>
      <c r="E3" s="40">
        <v>7</v>
      </c>
      <c r="F3" s="40">
        <v>0</v>
      </c>
      <c r="G3" s="40">
        <v>0</v>
      </c>
      <c r="H3" s="40">
        <v>0</v>
      </c>
      <c r="I3" s="40">
        <v>0</v>
      </c>
      <c r="J3" s="40">
        <v>0</v>
      </c>
      <c r="K3" s="40">
        <v>0</v>
      </c>
      <c r="L3" s="40">
        <v>0</v>
      </c>
      <c r="M3" s="40">
        <v>0</v>
      </c>
      <c r="N3" s="40">
        <v>0</v>
      </c>
      <c r="O3" s="40">
        <v>0</v>
      </c>
      <c r="P3" s="40">
        <v>0</v>
      </c>
    </row>
    <row r="4" spans="1:19" x14ac:dyDescent="0.25">
      <c r="A4" s="40">
        <v>540003</v>
      </c>
      <c r="B4" s="40" t="s">
        <v>116</v>
      </c>
      <c r="C4" s="40" t="s">
        <v>4</v>
      </c>
      <c r="D4" s="40" t="s">
        <v>115</v>
      </c>
      <c r="E4" s="40">
        <v>7</v>
      </c>
      <c r="F4" s="40">
        <v>0</v>
      </c>
      <c r="G4" s="40">
        <v>0</v>
      </c>
      <c r="H4" s="40">
        <v>0</v>
      </c>
      <c r="I4" s="40">
        <v>0</v>
      </c>
      <c r="J4" s="40">
        <v>0</v>
      </c>
      <c r="K4" s="40">
        <v>0</v>
      </c>
      <c r="L4" s="40">
        <v>0</v>
      </c>
      <c r="M4" s="40">
        <v>0</v>
      </c>
      <c r="N4" s="40">
        <v>0</v>
      </c>
      <c r="O4" s="40">
        <v>0</v>
      </c>
      <c r="P4" s="40">
        <v>0</v>
      </c>
    </row>
    <row r="5" spans="1:19" x14ac:dyDescent="0.25">
      <c r="A5" s="40">
        <v>540004</v>
      </c>
      <c r="B5" s="40" t="s">
        <v>117</v>
      </c>
      <c r="C5" s="40" t="s">
        <v>4</v>
      </c>
      <c r="D5" s="40" t="s">
        <v>115</v>
      </c>
      <c r="E5" s="40">
        <v>7</v>
      </c>
      <c r="F5" s="40">
        <v>0</v>
      </c>
      <c r="G5" s="40">
        <v>0</v>
      </c>
      <c r="H5" s="40">
        <v>0</v>
      </c>
      <c r="I5" s="40">
        <v>0</v>
      </c>
      <c r="J5" s="40">
        <v>0</v>
      </c>
      <c r="K5" s="40">
        <v>0</v>
      </c>
      <c r="L5" s="40">
        <v>0</v>
      </c>
      <c r="M5" s="40">
        <v>0</v>
      </c>
      <c r="N5" s="40">
        <v>0</v>
      </c>
      <c r="O5" s="40">
        <v>0</v>
      </c>
      <c r="P5" s="40">
        <v>0</v>
      </c>
    </row>
    <row r="6" spans="1:19" x14ac:dyDescent="0.25">
      <c r="A6" s="40"/>
      <c r="B6" s="40"/>
      <c r="C6" s="40" t="s">
        <v>4</v>
      </c>
      <c r="D6" s="40"/>
      <c r="E6" s="40"/>
      <c r="F6" s="40">
        <v>4</v>
      </c>
      <c r="G6" s="40">
        <v>0</v>
      </c>
      <c r="H6" s="40">
        <v>1</v>
      </c>
      <c r="I6" s="40">
        <v>2</v>
      </c>
      <c r="J6" s="40">
        <v>0</v>
      </c>
      <c r="K6" s="40">
        <v>0</v>
      </c>
      <c r="L6" s="40">
        <v>1</v>
      </c>
      <c r="M6" s="40">
        <v>2</v>
      </c>
      <c r="N6" s="40">
        <v>1</v>
      </c>
      <c r="O6" s="40">
        <v>0</v>
      </c>
      <c r="P6" s="40">
        <v>0</v>
      </c>
    </row>
    <row r="7" spans="1:19" x14ac:dyDescent="0.25">
      <c r="A7" s="40">
        <v>540007</v>
      </c>
      <c r="B7" s="40" t="s">
        <v>6</v>
      </c>
      <c r="C7" s="40" t="s">
        <v>7</v>
      </c>
      <c r="D7" s="40" t="s">
        <v>5</v>
      </c>
      <c r="E7" s="40">
        <v>3</v>
      </c>
      <c r="F7" s="40">
        <v>2</v>
      </c>
      <c r="G7" s="40">
        <v>0</v>
      </c>
      <c r="H7" s="40">
        <v>0</v>
      </c>
      <c r="I7" s="40">
        <v>0</v>
      </c>
      <c r="J7" s="40">
        <v>0</v>
      </c>
      <c r="K7" s="40">
        <v>1</v>
      </c>
      <c r="L7" s="40">
        <v>1</v>
      </c>
      <c r="M7" s="40">
        <v>1</v>
      </c>
      <c r="N7" s="40">
        <v>0</v>
      </c>
      <c r="O7" s="40">
        <v>0</v>
      </c>
      <c r="P7" s="40">
        <v>0</v>
      </c>
    </row>
    <row r="8" spans="1:19" x14ac:dyDescent="0.25">
      <c r="A8" s="40">
        <v>540008</v>
      </c>
      <c r="B8" s="40" t="s">
        <v>120</v>
      </c>
      <c r="C8" s="40" t="s">
        <v>7</v>
      </c>
      <c r="D8" s="40" t="s">
        <v>115</v>
      </c>
      <c r="E8" s="40">
        <v>3</v>
      </c>
      <c r="F8" s="40">
        <v>0</v>
      </c>
      <c r="G8" s="40">
        <v>0</v>
      </c>
      <c r="H8" s="40">
        <v>0</v>
      </c>
      <c r="I8" s="40">
        <v>0</v>
      </c>
      <c r="J8" s="40">
        <v>0</v>
      </c>
      <c r="K8" s="40">
        <v>0</v>
      </c>
      <c r="L8" s="40">
        <v>0</v>
      </c>
      <c r="M8" s="40">
        <v>0</v>
      </c>
      <c r="N8" s="40">
        <v>0</v>
      </c>
      <c r="O8" s="40">
        <v>0</v>
      </c>
      <c r="P8" s="40">
        <v>0</v>
      </c>
    </row>
    <row r="9" spans="1:19" x14ac:dyDescent="0.25">
      <c r="A9" s="40">
        <v>540229</v>
      </c>
      <c r="B9" s="40" t="s">
        <v>279</v>
      </c>
      <c r="C9" s="40" t="s">
        <v>7</v>
      </c>
      <c r="D9" s="40" t="s">
        <v>115</v>
      </c>
      <c r="E9" s="40">
        <v>3</v>
      </c>
      <c r="F9" s="40">
        <v>0</v>
      </c>
      <c r="G9" s="40">
        <v>0</v>
      </c>
      <c r="H9" s="40">
        <v>0</v>
      </c>
      <c r="I9" s="40">
        <v>0</v>
      </c>
      <c r="J9" s="40">
        <v>0</v>
      </c>
      <c r="K9" s="40">
        <v>0</v>
      </c>
      <c r="L9" s="40">
        <v>0</v>
      </c>
      <c r="M9" s="40">
        <v>0</v>
      </c>
      <c r="N9" s="40">
        <v>0</v>
      </c>
      <c r="O9" s="40">
        <v>0</v>
      </c>
      <c r="P9" s="40">
        <v>0</v>
      </c>
    </row>
    <row r="10" spans="1:19" x14ac:dyDescent="0.25">
      <c r="A10" s="40">
        <v>540230</v>
      </c>
      <c r="B10" s="40" t="s">
        <v>280</v>
      </c>
      <c r="C10" s="40" t="s">
        <v>7</v>
      </c>
      <c r="D10" s="40" t="s">
        <v>115</v>
      </c>
      <c r="E10" s="40">
        <v>3</v>
      </c>
      <c r="F10" s="40">
        <v>0</v>
      </c>
      <c r="G10" s="40">
        <v>0</v>
      </c>
      <c r="H10" s="40">
        <v>0</v>
      </c>
      <c r="I10" s="40">
        <v>0</v>
      </c>
      <c r="J10" s="40">
        <v>0</v>
      </c>
      <c r="K10" s="40">
        <v>0</v>
      </c>
      <c r="L10" s="40">
        <v>0</v>
      </c>
      <c r="M10" s="40">
        <v>0</v>
      </c>
      <c r="N10" s="40">
        <v>0</v>
      </c>
      <c r="O10" s="40">
        <v>0</v>
      </c>
      <c r="P10" s="40">
        <v>0</v>
      </c>
    </row>
    <row r="11" spans="1:19" x14ac:dyDescent="0.25">
      <c r="A11" s="40">
        <v>540238</v>
      </c>
      <c r="B11" s="40" t="s">
        <v>286</v>
      </c>
      <c r="C11" s="40" t="s">
        <v>7</v>
      </c>
      <c r="D11" s="40" t="s">
        <v>115</v>
      </c>
      <c r="E11" s="40">
        <v>3</v>
      </c>
      <c r="F11" s="40">
        <v>0</v>
      </c>
      <c r="G11" s="40">
        <v>0</v>
      </c>
      <c r="H11" s="40">
        <v>0</v>
      </c>
      <c r="I11" s="40">
        <v>0</v>
      </c>
      <c r="J11" s="40">
        <v>0</v>
      </c>
      <c r="K11" s="40">
        <v>0</v>
      </c>
      <c r="L11" s="40">
        <v>0</v>
      </c>
      <c r="M11" s="40">
        <v>0</v>
      </c>
      <c r="N11" s="40">
        <v>0</v>
      </c>
      <c r="O11" s="40">
        <v>0</v>
      </c>
      <c r="P11" s="40">
        <v>0</v>
      </c>
    </row>
    <row r="12" spans="1:19" x14ac:dyDescent="0.25">
      <c r="A12" s="40"/>
      <c r="B12" s="40"/>
      <c r="C12" s="40" t="s">
        <v>7</v>
      </c>
      <c r="D12" s="40"/>
      <c r="E12" s="40"/>
      <c r="F12" s="40">
        <v>2</v>
      </c>
      <c r="G12" s="40">
        <v>0</v>
      </c>
      <c r="H12" s="40">
        <v>0</v>
      </c>
      <c r="I12" s="40">
        <v>0</v>
      </c>
      <c r="J12" s="40">
        <v>0</v>
      </c>
      <c r="K12" s="40">
        <v>1</v>
      </c>
      <c r="L12" s="40">
        <v>1</v>
      </c>
      <c r="M12" s="40">
        <v>1</v>
      </c>
      <c r="N12" s="40">
        <v>0</v>
      </c>
      <c r="O12" s="40">
        <v>0</v>
      </c>
      <c r="P12" s="40">
        <v>0</v>
      </c>
    </row>
    <row r="13" spans="1:19" x14ac:dyDescent="0.25">
      <c r="A13" s="40">
        <v>540009</v>
      </c>
      <c r="B13" s="40" t="s">
        <v>8</v>
      </c>
      <c r="C13" s="40" t="s">
        <v>9</v>
      </c>
      <c r="D13" s="40" t="s">
        <v>5</v>
      </c>
      <c r="E13" s="40">
        <v>7</v>
      </c>
      <c r="F13" s="40">
        <v>8</v>
      </c>
      <c r="G13" s="40">
        <v>2</v>
      </c>
      <c r="H13" s="40">
        <v>0</v>
      </c>
      <c r="I13" s="40">
        <v>5</v>
      </c>
      <c r="J13" s="40">
        <v>0</v>
      </c>
      <c r="K13" s="40">
        <v>0</v>
      </c>
      <c r="L13" s="40">
        <v>1</v>
      </c>
      <c r="M13" s="40">
        <v>7</v>
      </c>
      <c r="N13" s="40">
        <v>0</v>
      </c>
      <c r="O13" s="40">
        <v>0</v>
      </c>
      <c r="P13" s="40">
        <v>0</v>
      </c>
    </row>
    <row r="14" spans="1:19" x14ac:dyDescent="0.25">
      <c r="A14" s="40">
        <v>540010</v>
      </c>
      <c r="B14" s="40" t="s">
        <v>121</v>
      </c>
      <c r="C14" s="40" t="s">
        <v>9</v>
      </c>
      <c r="D14" s="40" t="s">
        <v>115</v>
      </c>
      <c r="E14" s="40">
        <v>7</v>
      </c>
      <c r="F14" s="40">
        <v>0</v>
      </c>
      <c r="G14" s="40">
        <v>0</v>
      </c>
      <c r="H14" s="40">
        <v>0</v>
      </c>
      <c r="I14" s="40">
        <v>0</v>
      </c>
      <c r="J14" s="40">
        <v>0</v>
      </c>
      <c r="K14" s="40">
        <v>0</v>
      </c>
      <c r="L14" s="40">
        <v>0</v>
      </c>
      <c r="M14" s="40">
        <v>0</v>
      </c>
      <c r="N14" s="40">
        <v>0</v>
      </c>
      <c r="O14" s="40">
        <v>0</v>
      </c>
      <c r="P14" s="40">
        <v>0</v>
      </c>
    </row>
    <row r="15" spans="1:19" x14ac:dyDescent="0.25">
      <c r="A15" s="40">
        <v>540235</v>
      </c>
      <c r="B15" s="40" t="s">
        <v>283</v>
      </c>
      <c r="C15" s="40" t="s">
        <v>9</v>
      </c>
      <c r="D15" s="40" t="s">
        <v>115</v>
      </c>
      <c r="E15" s="40">
        <v>7</v>
      </c>
      <c r="F15" s="40">
        <v>0</v>
      </c>
      <c r="G15" s="40">
        <v>0</v>
      </c>
      <c r="H15" s="40">
        <v>0</v>
      </c>
      <c r="I15" s="40">
        <v>0</v>
      </c>
      <c r="J15" s="40">
        <v>0</v>
      </c>
      <c r="K15" s="40">
        <v>0</v>
      </c>
      <c r="L15" s="40">
        <v>0</v>
      </c>
      <c r="M15" s="40">
        <v>0</v>
      </c>
      <c r="N15" s="40">
        <v>0</v>
      </c>
      <c r="O15" s="40">
        <v>0</v>
      </c>
      <c r="P15" s="40">
        <v>0</v>
      </c>
    </row>
    <row r="16" spans="1:19" x14ac:dyDescent="0.25">
      <c r="A16" s="40">
        <v>540236</v>
      </c>
      <c r="B16" s="40" t="s">
        <v>284</v>
      </c>
      <c r="C16" s="40" t="s">
        <v>9</v>
      </c>
      <c r="D16" s="40" t="s">
        <v>115</v>
      </c>
      <c r="E16" s="40">
        <v>7</v>
      </c>
      <c r="F16" s="40">
        <v>0</v>
      </c>
      <c r="G16" s="40">
        <v>0</v>
      </c>
      <c r="H16" s="40">
        <v>0</v>
      </c>
      <c r="I16" s="40">
        <v>0</v>
      </c>
      <c r="J16" s="40">
        <v>0</v>
      </c>
      <c r="K16" s="40">
        <v>0</v>
      </c>
      <c r="L16" s="40">
        <v>0</v>
      </c>
      <c r="M16" s="40">
        <v>0</v>
      </c>
      <c r="N16" s="40">
        <v>0</v>
      </c>
      <c r="O16" s="40">
        <v>0</v>
      </c>
      <c r="P16" s="40">
        <v>0</v>
      </c>
    </row>
    <row r="17" spans="1:16" x14ac:dyDescent="0.25">
      <c r="A17" s="40">
        <v>540237</v>
      </c>
      <c r="B17" s="40" t="s">
        <v>285</v>
      </c>
      <c r="C17" s="40" t="s">
        <v>9</v>
      </c>
      <c r="D17" s="40" t="s">
        <v>115</v>
      </c>
      <c r="E17" s="40">
        <v>7</v>
      </c>
      <c r="F17" s="40">
        <v>0</v>
      </c>
      <c r="G17" s="40">
        <v>0</v>
      </c>
      <c r="H17" s="40">
        <v>0</v>
      </c>
      <c r="I17" s="40">
        <v>0</v>
      </c>
      <c r="J17" s="40">
        <v>0</v>
      </c>
      <c r="K17" s="40">
        <v>0</v>
      </c>
      <c r="L17" s="40">
        <v>0</v>
      </c>
      <c r="M17" s="40">
        <v>0</v>
      </c>
      <c r="N17" s="40">
        <v>0</v>
      </c>
      <c r="O17" s="40">
        <v>0</v>
      </c>
      <c r="P17" s="40">
        <v>0</v>
      </c>
    </row>
    <row r="18" spans="1:16" x14ac:dyDescent="0.25">
      <c r="A18" s="40"/>
      <c r="B18" s="40"/>
      <c r="C18" s="40" t="s">
        <v>9</v>
      </c>
      <c r="D18" s="40"/>
      <c r="E18" s="40"/>
      <c r="F18" s="40">
        <v>8</v>
      </c>
      <c r="G18" s="40">
        <v>2</v>
      </c>
      <c r="H18" s="40">
        <v>0</v>
      </c>
      <c r="I18" s="40">
        <v>5</v>
      </c>
      <c r="J18" s="40">
        <v>0</v>
      </c>
      <c r="K18" s="40">
        <v>0</v>
      </c>
      <c r="L18" s="40">
        <v>1</v>
      </c>
      <c r="M18" s="40">
        <v>7</v>
      </c>
      <c r="N18" s="40">
        <v>0</v>
      </c>
      <c r="O18" s="40">
        <v>0</v>
      </c>
      <c r="P18" s="40">
        <v>0</v>
      </c>
    </row>
    <row r="19" spans="1:16" x14ac:dyDescent="0.25">
      <c r="A19" s="40">
        <v>540011</v>
      </c>
      <c r="B19" s="40" t="s">
        <v>10</v>
      </c>
      <c r="C19" s="40" t="s">
        <v>11</v>
      </c>
      <c r="D19" s="40" t="s">
        <v>5</v>
      </c>
      <c r="E19" s="40">
        <v>11</v>
      </c>
      <c r="F19" s="40">
        <v>7</v>
      </c>
      <c r="G19" s="40">
        <v>0</v>
      </c>
      <c r="H19" s="40">
        <v>1</v>
      </c>
      <c r="I19" s="40">
        <v>4</v>
      </c>
      <c r="J19" s="40">
        <v>0</v>
      </c>
      <c r="K19" s="40">
        <v>1</v>
      </c>
      <c r="L19" s="40">
        <v>1</v>
      </c>
      <c r="M19" s="40">
        <v>6</v>
      </c>
      <c r="N19" s="40">
        <v>0</v>
      </c>
      <c r="O19" s="40">
        <v>0</v>
      </c>
      <c r="P19" s="40">
        <v>0</v>
      </c>
    </row>
    <row r="20" spans="1:16" x14ac:dyDescent="0.25">
      <c r="A20" s="40">
        <v>540012</v>
      </c>
      <c r="B20" s="40" t="s">
        <v>122</v>
      </c>
      <c r="C20" s="40" t="s">
        <v>11</v>
      </c>
      <c r="D20" s="40" t="s">
        <v>115</v>
      </c>
      <c r="E20" s="40">
        <v>11</v>
      </c>
      <c r="F20" s="40">
        <v>0</v>
      </c>
      <c r="G20" s="40">
        <v>0</v>
      </c>
      <c r="H20" s="40">
        <v>0</v>
      </c>
      <c r="I20" s="40">
        <v>0</v>
      </c>
      <c r="J20" s="40">
        <v>0</v>
      </c>
      <c r="K20" s="40">
        <v>0</v>
      </c>
      <c r="L20" s="40">
        <v>0</v>
      </c>
      <c r="M20" s="40">
        <v>0</v>
      </c>
      <c r="N20" s="40">
        <v>0</v>
      </c>
      <c r="O20" s="40">
        <v>0</v>
      </c>
      <c r="P20" s="40">
        <v>0</v>
      </c>
    </row>
    <row r="21" spans="1:16" x14ac:dyDescent="0.25">
      <c r="A21" s="40">
        <v>540013</v>
      </c>
      <c r="B21" s="40" t="s">
        <v>123</v>
      </c>
      <c r="C21" s="40" t="s">
        <v>11</v>
      </c>
      <c r="D21" s="40" t="s">
        <v>115</v>
      </c>
      <c r="E21" s="40">
        <v>11</v>
      </c>
      <c r="F21" s="40">
        <v>0</v>
      </c>
      <c r="G21" s="40">
        <v>0</v>
      </c>
      <c r="H21" s="40">
        <v>0</v>
      </c>
      <c r="I21" s="40">
        <v>0</v>
      </c>
      <c r="J21" s="40">
        <v>0</v>
      </c>
      <c r="K21" s="40">
        <v>0</v>
      </c>
      <c r="L21" s="40">
        <v>0</v>
      </c>
      <c r="M21" s="40">
        <v>0</v>
      </c>
      <c r="N21" s="40">
        <v>0</v>
      </c>
      <c r="O21" s="40">
        <v>0</v>
      </c>
      <c r="P21" s="40">
        <v>0</v>
      </c>
    </row>
    <row r="22" spans="1:16" x14ac:dyDescent="0.25">
      <c r="A22" s="40">
        <v>540014</v>
      </c>
      <c r="B22" s="40" t="s">
        <v>124</v>
      </c>
      <c r="C22" s="40" t="s">
        <v>11</v>
      </c>
      <c r="D22" s="40" t="s">
        <v>115</v>
      </c>
      <c r="E22" s="40">
        <v>11</v>
      </c>
      <c r="F22" s="40">
        <v>2</v>
      </c>
      <c r="G22" s="40">
        <v>0</v>
      </c>
      <c r="H22" s="40">
        <v>0</v>
      </c>
      <c r="I22" s="40">
        <v>2</v>
      </c>
      <c r="J22" s="40">
        <v>0</v>
      </c>
      <c r="K22" s="40">
        <v>0</v>
      </c>
      <c r="L22" s="40">
        <v>0</v>
      </c>
      <c r="M22" s="40">
        <v>2</v>
      </c>
      <c r="N22" s="40">
        <v>0</v>
      </c>
      <c r="O22" s="40">
        <v>0</v>
      </c>
      <c r="P22" s="40">
        <v>0</v>
      </c>
    </row>
    <row r="23" spans="1:16" x14ac:dyDescent="0.25">
      <c r="A23" s="40">
        <v>540015</v>
      </c>
      <c r="B23" s="40" t="s">
        <v>125</v>
      </c>
      <c r="C23" s="40" t="s">
        <v>11</v>
      </c>
      <c r="D23" s="40" t="s">
        <v>115</v>
      </c>
      <c r="E23" s="40">
        <v>11</v>
      </c>
      <c r="F23" s="40">
        <v>0</v>
      </c>
      <c r="G23" s="40">
        <v>0</v>
      </c>
      <c r="H23" s="40">
        <v>0</v>
      </c>
      <c r="I23" s="40">
        <v>0</v>
      </c>
      <c r="J23" s="40">
        <v>0</v>
      </c>
      <c r="K23" s="40">
        <v>0</v>
      </c>
      <c r="L23" s="40">
        <v>0</v>
      </c>
      <c r="M23" s="40">
        <v>0</v>
      </c>
      <c r="N23" s="40">
        <v>0</v>
      </c>
      <c r="O23" s="40">
        <v>0</v>
      </c>
      <c r="P23" s="40">
        <v>0</v>
      </c>
    </row>
    <row r="24" spans="1:16" x14ac:dyDescent="0.25">
      <c r="A24" s="40">
        <v>540093</v>
      </c>
      <c r="B24" s="40" t="s">
        <v>184</v>
      </c>
      <c r="C24" s="40" t="s">
        <v>11</v>
      </c>
      <c r="D24" s="40" t="s">
        <v>115</v>
      </c>
      <c r="E24" s="40">
        <v>11</v>
      </c>
      <c r="F24" s="40">
        <v>0</v>
      </c>
      <c r="G24" s="40">
        <v>0</v>
      </c>
      <c r="H24" s="40">
        <v>0</v>
      </c>
      <c r="I24" s="40">
        <v>0</v>
      </c>
      <c r="J24" s="40">
        <v>0</v>
      </c>
      <c r="K24" s="40">
        <v>0</v>
      </c>
      <c r="L24" s="40">
        <v>0</v>
      </c>
      <c r="M24" s="40">
        <v>0</v>
      </c>
      <c r="N24" s="40">
        <v>0</v>
      </c>
      <c r="O24" s="40">
        <v>0</v>
      </c>
      <c r="P24" s="40">
        <v>0</v>
      </c>
    </row>
    <row r="25" spans="1:16" x14ac:dyDescent="0.25">
      <c r="A25" s="40">
        <v>540084</v>
      </c>
      <c r="B25" s="40" t="s">
        <v>341</v>
      </c>
      <c r="C25" s="40" t="s">
        <v>11</v>
      </c>
      <c r="D25" s="40" t="s">
        <v>115</v>
      </c>
      <c r="E25" s="40">
        <v>11</v>
      </c>
      <c r="F25" s="40">
        <v>0</v>
      </c>
      <c r="G25" s="40">
        <v>0</v>
      </c>
      <c r="H25" s="40">
        <v>0</v>
      </c>
      <c r="I25" s="40">
        <v>0</v>
      </c>
      <c r="J25" s="40">
        <v>0</v>
      </c>
      <c r="K25" s="40">
        <v>0</v>
      </c>
      <c r="L25" s="40">
        <v>0</v>
      </c>
      <c r="M25" s="40">
        <v>0</v>
      </c>
      <c r="N25" s="40">
        <v>0</v>
      </c>
      <c r="O25" s="40">
        <v>0</v>
      </c>
      <c r="P25" s="40">
        <v>0</v>
      </c>
    </row>
    <row r="26" spans="1:16" x14ac:dyDescent="0.25">
      <c r="A26" s="40"/>
      <c r="B26" s="40"/>
      <c r="C26" s="40" t="s">
        <v>11</v>
      </c>
      <c r="D26" s="40"/>
      <c r="E26" s="40"/>
      <c r="F26" s="40">
        <v>9</v>
      </c>
      <c r="G26" s="40">
        <v>0</v>
      </c>
      <c r="H26" s="40">
        <v>1</v>
      </c>
      <c r="I26" s="40">
        <v>6</v>
      </c>
      <c r="J26" s="40">
        <v>0</v>
      </c>
      <c r="K26" s="40">
        <v>1</v>
      </c>
      <c r="L26" s="40">
        <v>1</v>
      </c>
      <c r="M26" s="40">
        <v>8</v>
      </c>
      <c r="N26" s="40">
        <v>0</v>
      </c>
      <c r="O26" s="40">
        <v>0</v>
      </c>
      <c r="P26" s="40">
        <v>0</v>
      </c>
    </row>
    <row r="27" spans="1:16" x14ac:dyDescent="0.25">
      <c r="A27" s="40">
        <v>540016</v>
      </c>
      <c r="B27" s="40" t="s">
        <v>12</v>
      </c>
      <c r="C27" s="40" t="s">
        <v>13</v>
      </c>
      <c r="D27" s="40" t="s">
        <v>5</v>
      </c>
      <c r="E27" s="40">
        <v>2</v>
      </c>
      <c r="F27" s="40">
        <v>7</v>
      </c>
      <c r="G27" s="40">
        <v>0</v>
      </c>
      <c r="H27" s="40">
        <v>0</v>
      </c>
      <c r="I27" s="40">
        <v>1</v>
      </c>
      <c r="J27" s="40">
        <v>0</v>
      </c>
      <c r="K27" s="40">
        <v>4</v>
      </c>
      <c r="L27" s="40">
        <v>2</v>
      </c>
      <c r="M27" s="40">
        <v>3</v>
      </c>
      <c r="N27" s="40">
        <v>0</v>
      </c>
      <c r="O27" s="40">
        <v>0</v>
      </c>
      <c r="P27" s="40">
        <v>2</v>
      </c>
    </row>
    <row r="28" spans="1:16" x14ac:dyDescent="0.25">
      <c r="A28" s="40">
        <v>540017</v>
      </c>
      <c r="B28" s="40" t="s">
        <v>126</v>
      </c>
      <c r="C28" s="40" t="s">
        <v>13</v>
      </c>
      <c r="D28" s="40" t="s">
        <v>115</v>
      </c>
      <c r="E28" s="40">
        <v>2</v>
      </c>
      <c r="F28" s="40">
        <v>1</v>
      </c>
      <c r="G28" s="40">
        <v>0</v>
      </c>
      <c r="H28" s="40">
        <v>0</v>
      </c>
      <c r="I28" s="40">
        <v>1</v>
      </c>
      <c r="J28" s="40">
        <v>0</v>
      </c>
      <c r="K28" s="40">
        <v>0</v>
      </c>
      <c r="L28" s="40">
        <v>0</v>
      </c>
      <c r="M28" s="40">
        <v>0</v>
      </c>
      <c r="N28" s="40">
        <v>0</v>
      </c>
      <c r="O28" s="40">
        <v>1</v>
      </c>
      <c r="P28" s="40">
        <v>0</v>
      </c>
    </row>
    <row r="29" spans="1:16" x14ac:dyDescent="0.25">
      <c r="A29" s="40">
        <v>540018</v>
      </c>
      <c r="B29" s="40" t="s">
        <v>127</v>
      </c>
      <c r="C29" s="40" t="s">
        <v>13</v>
      </c>
      <c r="D29" s="40" t="s">
        <v>115</v>
      </c>
      <c r="E29" s="40">
        <v>2</v>
      </c>
      <c r="F29" s="40">
        <v>0</v>
      </c>
      <c r="G29" s="40">
        <v>0</v>
      </c>
      <c r="H29" s="40">
        <v>0</v>
      </c>
      <c r="I29" s="40">
        <v>0</v>
      </c>
      <c r="J29" s="40">
        <v>0</v>
      </c>
      <c r="K29" s="40">
        <v>0</v>
      </c>
      <c r="L29" s="40">
        <v>0</v>
      </c>
      <c r="M29" s="40">
        <v>0</v>
      </c>
      <c r="N29" s="40">
        <v>0</v>
      </c>
      <c r="O29" s="40">
        <v>0</v>
      </c>
      <c r="P29" s="40">
        <v>0</v>
      </c>
    </row>
    <row r="30" spans="1:16" x14ac:dyDescent="0.25">
      <c r="A30" s="40">
        <v>540019</v>
      </c>
      <c r="B30" s="40" t="s">
        <v>128</v>
      </c>
      <c r="C30" s="40" t="s">
        <v>13</v>
      </c>
      <c r="D30" s="40" t="s">
        <v>115</v>
      </c>
      <c r="E30" s="40">
        <v>2</v>
      </c>
      <c r="F30" s="40">
        <v>0</v>
      </c>
      <c r="G30" s="40">
        <v>0</v>
      </c>
      <c r="H30" s="40">
        <v>0</v>
      </c>
      <c r="I30" s="40">
        <v>0</v>
      </c>
      <c r="J30" s="40">
        <v>0</v>
      </c>
      <c r="K30" s="40">
        <v>0</v>
      </c>
      <c r="L30" s="40">
        <v>0</v>
      </c>
      <c r="M30" s="40">
        <v>0</v>
      </c>
      <c r="N30" s="40">
        <v>0</v>
      </c>
      <c r="O30" s="40">
        <v>0</v>
      </c>
      <c r="P30" s="40">
        <v>0</v>
      </c>
    </row>
    <row r="31" spans="1:16" x14ac:dyDescent="0.25">
      <c r="A31" s="40"/>
      <c r="B31" s="40"/>
      <c r="C31" s="40" t="s">
        <v>13</v>
      </c>
      <c r="D31" s="40"/>
      <c r="E31" s="40"/>
      <c r="F31" s="40">
        <v>8</v>
      </c>
      <c r="G31" s="40">
        <v>0</v>
      </c>
      <c r="H31" s="40">
        <v>0</v>
      </c>
      <c r="I31" s="40">
        <v>2</v>
      </c>
      <c r="J31" s="40">
        <v>0</v>
      </c>
      <c r="K31" s="40">
        <v>4</v>
      </c>
      <c r="L31" s="40">
        <v>2</v>
      </c>
      <c r="M31" s="40">
        <v>3</v>
      </c>
      <c r="N31" s="40">
        <v>0</v>
      </c>
      <c r="O31" s="40">
        <v>1</v>
      </c>
      <c r="P31" s="40">
        <v>2</v>
      </c>
    </row>
    <row r="32" spans="1:16" x14ac:dyDescent="0.25">
      <c r="A32" s="40">
        <v>540020</v>
      </c>
      <c r="B32" s="40" t="s">
        <v>14</v>
      </c>
      <c r="C32" s="40" t="s">
        <v>15</v>
      </c>
      <c r="D32" s="40" t="s">
        <v>5</v>
      </c>
      <c r="E32" s="40">
        <v>5</v>
      </c>
      <c r="F32" s="40">
        <v>1</v>
      </c>
      <c r="G32" s="40">
        <v>0</v>
      </c>
      <c r="H32" s="40">
        <v>0</v>
      </c>
      <c r="I32" s="40">
        <v>0</v>
      </c>
      <c r="J32" s="40">
        <v>0</v>
      </c>
      <c r="K32" s="40">
        <v>0</v>
      </c>
      <c r="L32" s="40">
        <v>1</v>
      </c>
      <c r="M32" s="40">
        <v>0</v>
      </c>
      <c r="N32" s="40">
        <v>0</v>
      </c>
      <c r="O32" s="40">
        <v>0</v>
      </c>
      <c r="P32" s="40">
        <v>0</v>
      </c>
    </row>
    <row r="33" spans="1:16" x14ac:dyDescent="0.25">
      <c r="A33" s="40">
        <v>540021</v>
      </c>
      <c r="B33" s="40" t="s">
        <v>129</v>
      </c>
      <c r="C33" s="40" t="s">
        <v>15</v>
      </c>
      <c r="D33" s="40" t="s">
        <v>115</v>
      </c>
      <c r="E33" s="40">
        <v>5</v>
      </c>
      <c r="F33" s="40">
        <v>0</v>
      </c>
      <c r="G33" s="40">
        <v>0</v>
      </c>
      <c r="H33" s="40">
        <v>0</v>
      </c>
      <c r="I33" s="40">
        <v>0</v>
      </c>
      <c r="J33" s="40">
        <v>0</v>
      </c>
      <c r="K33" s="40">
        <v>0</v>
      </c>
      <c r="L33" s="40">
        <v>0</v>
      </c>
      <c r="M33" s="40">
        <v>0</v>
      </c>
      <c r="N33" s="40">
        <v>0</v>
      </c>
      <c r="O33" s="40">
        <v>0</v>
      </c>
      <c r="P33" s="40">
        <v>0</v>
      </c>
    </row>
    <row r="34" spans="1:16" x14ac:dyDescent="0.25">
      <c r="A34" s="40"/>
      <c r="B34" s="40"/>
      <c r="C34" s="40" t="s">
        <v>15</v>
      </c>
      <c r="D34" s="40"/>
      <c r="E34" s="40"/>
      <c r="F34" s="40">
        <v>1</v>
      </c>
      <c r="G34" s="40">
        <v>0</v>
      </c>
      <c r="H34" s="40">
        <v>0</v>
      </c>
      <c r="I34" s="40">
        <v>0</v>
      </c>
      <c r="J34" s="40">
        <v>0</v>
      </c>
      <c r="K34" s="40">
        <v>0</v>
      </c>
      <c r="L34" s="40">
        <v>1</v>
      </c>
      <c r="M34" s="40">
        <v>0</v>
      </c>
      <c r="N34" s="40">
        <v>0</v>
      </c>
      <c r="O34" s="40">
        <v>0</v>
      </c>
      <c r="P34" s="40">
        <v>0</v>
      </c>
    </row>
    <row r="35" spans="1:16" x14ac:dyDescent="0.25">
      <c r="A35" s="40">
        <v>540022</v>
      </c>
      <c r="B35" s="40" t="s">
        <v>16</v>
      </c>
      <c r="C35" s="40" t="s">
        <v>17</v>
      </c>
      <c r="D35" s="40" t="s">
        <v>5</v>
      </c>
      <c r="E35" s="40">
        <v>3</v>
      </c>
      <c r="F35" s="40">
        <v>6</v>
      </c>
      <c r="G35" s="40">
        <v>0</v>
      </c>
      <c r="H35" s="40">
        <v>0</v>
      </c>
      <c r="I35" s="40">
        <v>0</v>
      </c>
      <c r="J35" s="40">
        <v>0</v>
      </c>
      <c r="K35" s="40">
        <v>2</v>
      </c>
      <c r="L35" s="40">
        <v>4</v>
      </c>
      <c r="M35" s="40">
        <v>1</v>
      </c>
      <c r="N35" s="40">
        <v>0</v>
      </c>
      <c r="O35" s="40">
        <v>0</v>
      </c>
      <c r="P35" s="40">
        <v>1</v>
      </c>
    </row>
    <row r="36" spans="1:16" x14ac:dyDescent="0.25">
      <c r="A36" s="40">
        <v>540023</v>
      </c>
      <c r="B36" s="40" t="s">
        <v>130</v>
      </c>
      <c r="C36" s="40" t="s">
        <v>17</v>
      </c>
      <c r="D36" s="40" t="s">
        <v>115</v>
      </c>
      <c r="E36" s="40">
        <v>3</v>
      </c>
      <c r="F36" s="40">
        <v>0</v>
      </c>
      <c r="G36" s="40">
        <v>0</v>
      </c>
      <c r="H36" s="40">
        <v>0</v>
      </c>
      <c r="I36" s="40">
        <v>0</v>
      </c>
      <c r="J36" s="40">
        <v>0</v>
      </c>
      <c r="K36" s="40">
        <v>0</v>
      </c>
      <c r="L36" s="40">
        <v>0</v>
      </c>
      <c r="M36" s="40">
        <v>0</v>
      </c>
      <c r="N36" s="40">
        <v>0</v>
      </c>
      <c r="O36" s="40">
        <v>0</v>
      </c>
      <c r="P36" s="40">
        <v>0</v>
      </c>
    </row>
    <row r="37" spans="1:16" x14ac:dyDescent="0.25">
      <c r="A37" s="40"/>
      <c r="B37" s="40"/>
      <c r="C37" s="40" t="s">
        <v>17</v>
      </c>
      <c r="D37" s="40"/>
      <c r="E37" s="40"/>
      <c r="F37" s="40">
        <v>6</v>
      </c>
      <c r="G37" s="40">
        <v>0</v>
      </c>
      <c r="H37" s="40">
        <v>0</v>
      </c>
      <c r="I37" s="40">
        <v>0</v>
      </c>
      <c r="J37" s="40">
        <v>0</v>
      </c>
      <c r="K37" s="40">
        <v>2</v>
      </c>
      <c r="L37" s="40">
        <v>4</v>
      </c>
      <c r="M37" s="40">
        <v>1</v>
      </c>
      <c r="N37" s="40">
        <v>0</v>
      </c>
      <c r="O37" s="40">
        <v>0</v>
      </c>
      <c r="P37" s="40">
        <v>1</v>
      </c>
    </row>
    <row r="38" spans="1:16" x14ac:dyDescent="0.25">
      <c r="A38" s="40">
        <v>540024</v>
      </c>
      <c r="B38" s="40" t="s">
        <v>18</v>
      </c>
      <c r="C38" s="40" t="s">
        <v>19</v>
      </c>
      <c r="D38" s="40" t="s">
        <v>5</v>
      </c>
      <c r="E38" s="40">
        <v>6</v>
      </c>
      <c r="F38" s="40">
        <v>2</v>
      </c>
      <c r="G38" s="40">
        <v>0</v>
      </c>
      <c r="H38" s="40">
        <v>1</v>
      </c>
      <c r="I38" s="40">
        <v>0</v>
      </c>
      <c r="J38" s="40">
        <v>0</v>
      </c>
      <c r="K38" s="40">
        <v>1</v>
      </c>
      <c r="L38" s="40">
        <v>0</v>
      </c>
      <c r="M38" s="40">
        <v>0</v>
      </c>
      <c r="N38" s="40">
        <v>1</v>
      </c>
      <c r="O38" s="40">
        <v>0</v>
      </c>
      <c r="P38" s="40">
        <v>1</v>
      </c>
    </row>
    <row r="39" spans="1:16" x14ac:dyDescent="0.25">
      <c r="A39" s="40">
        <v>540025</v>
      </c>
      <c r="B39" s="40" t="s">
        <v>131</v>
      </c>
      <c r="C39" s="40" t="s">
        <v>19</v>
      </c>
      <c r="D39" s="40" t="s">
        <v>115</v>
      </c>
      <c r="E39" s="40">
        <v>6</v>
      </c>
      <c r="F39" s="40">
        <v>0</v>
      </c>
      <c r="G39" s="40">
        <v>0</v>
      </c>
      <c r="H39" s="40">
        <v>0</v>
      </c>
      <c r="I39" s="40">
        <v>0</v>
      </c>
      <c r="J39" s="40">
        <v>0</v>
      </c>
      <c r="K39" s="40">
        <v>0</v>
      </c>
      <c r="L39" s="40">
        <v>0</v>
      </c>
      <c r="M39" s="40">
        <v>0</v>
      </c>
      <c r="N39" s="40">
        <v>0</v>
      </c>
      <c r="O39" s="40">
        <v>0</v>
      </c>
      <c r="P39" s="40">
        <v>0</v>
      </c>
    </row>
    <row r="40" spans="1:16" x14ac:dyDescent="0.25">
      <c r="A40" s="40"/>
      <c r="B40" s="40"/>
      <c r="C40" s="40" t="s">
        <v>19</v>
      </c>
      <c r="D40" s="40"/>
      <c r="E40" s="40"/>
      <c r="F40" s="40">
        <v>2</v>
      </c>
      <c r="G40" s="40">
        <v>0</v>
      </c>
      <c r="H40" s="40">
        <v>1</v>
      </c>
      <c r="I40" s="40">
        <v>0</v>
      </c>
      <c r="J40" s="40">
        <v>0</v>
      </c>
      <c r="K40" s="40">
        <v>1</v>
      </c>
      <c r="L40" s="40">
        <v>0</v>
      </c>
      <c r="M40" s="40">
        <v>0</v>
      </c>
      <c r="N40" s="40">
        <v>1</v>
      </c>
      <c r="O40" s="40">
        <v>0</v>
      </c>
      <c r="P40" s="40">
        <v>1</v>
      </c>
    </row>
    <row r="41" spans="1:16" x14ac:dyDescent="0.25">
      <c r="A41" s="40">
        <v>540035</v>
      </c>
      <c r="B41" s="40" t="s">
        <v>22</v>
      </c>
      <c r="C41" s="40" t="s">
        <v>23</v>
      </c>
      <c r="D41" s="40" t="s">
        <v>5</v>
      </c>
      <c r="E41" s="40">
        <v>7</v>
      </c>
      <c r="F41" s="40">
        <v>0</v>
      </c>
      <c r="G41" s="40">
        <v>0</v>
      </c>
      <c r="H41" s="40">
        <v>0</v>
      </c>
      <c r="I41" s="40">
        <v>0</v>
      </c>
      <c r="J41" s="40">
        <v>0</v>
      </c>
      <c r="K41" s="40">
        <v>0</v>
      </c>
      <c r="L41" s="40">
        <v>0</v>
      </c>
      <c r="M41" s="40">
        <v>0</v>
      </c>
      <c r="N41" s="40">
        <v>0</v>
      </c>
      <c r="O41" s="40">
        <v>0</v>
      </c>
      <c r="P41" s="40">
        <v>0</v>
      </c>
    </row>
    <row r="42" spans="1:16" x14ac:dyDescent="0.25">
      <c r="A42" s="40">
        <v>540036</v>
      </c>
      <c r="B42" s="40" t="s">
        <v>139</v>
      </c>
      <c r="C42" s="40" t="s">
        <v>23</v>
      </c>
      <c r="D42" s="40" t="s">
        <v>115</v>
      </c>
      <c r="E42" s="40">
        <v>7</v>
      </c>
      <c r="F42" s="40">
        <v>0</v>
      </c>
      <c r="G42" s="40">
        <v>0</v>
      </c>
      <c r="H42" s="40">
        <v>0</v>
      </c>
      <c r="I42" s="40">
        <v>0</v>
      </c>
      <c r="J42" s="40">
        <v>0</v>
      </c>
      <c r="K42" s="40">
        <v>0</v>
      </c>
      <c r="L42" s="40">
        <v>0</v>
      </c>
      <c r="M42" s="40">
        <v>0</v>
      </c>
      <c r="N42" s="40">
        <v>0</v>
      </c>
      <c r="O42" s="40">
        <v>0</v>
      </c>
      <c r="P42" s="40">
        <v>0</v>
      </c>
    </row>
    <row r="43" spans="1:16" x14ac:dyDescent="0.25">
      <c r="A43" s="40">
        <v>540037</v>
      </c>
      <c r="B43" s="40" t="s">
        <v>140</v>
      </c>
      <c r="C43" s="40" t="s">
        <v>23</v>
      </c>
      <c r="D43" s="40" t="s">
        <v>115</v>
      </c>
      <c r="E43" s="40">
        <v>7</v>
      </c>
      <c r="F43" s="40">
        <v>0</v>
      </c>
      <c r="G43" s="40">
        <v>0</v>
      </c>
      <c r="H43" s="40">
        <v>0</v>
      </c>
      <c r="I43" s="40">
        <v>0</v>
      </c>
      <c r="J43" s="40">
        <v>0</v>
      </c>
      <c r="K43" s="40">
        <v>0</v>
      </c>
      <c r="L43" s="40">
        <v>0</v>
      </c>
      <c r="M43" s="40">
        <v>0</v>
      </c>
      <c r="N43" s="40">
        <v>0</v>
      </c>
      <c r="O43" s="40">
        <v>0</v>
      </c>
      <c r="P43" s="40">
        <v>0</v>
      </c>
    </row>
    <row r="44" spans="1:16" x14ac:dyDescent="0.25">
      <c r="A44" s="40"/>
      <c r="B44" s="40"/>
      <c r="C44" s="40" t="s">
        <v>23</v>
      </c>
      <c r="D44" s="40"/>
      <c r="E44" s="40"/>
      <c r="F44" s="40">
        <v>0</v>
      </c>
      <c r="G44" s="40">
        <v>0</v>
      </c>
      <c r="H44" s="40">
        <v>0</v>
      </c>
      <c r="I44" s="40">
        <v>0</v>
      </c>
      <c r="J44" s="40">
        <v>0</v>
      </c>
      <c r="K44" s="40">
        <v>0</v>
      </c>
      <c r="L44" s="40">
        <v>0</v>
      </c>
      <c r="M44" s="40">
        <v>0</v>
      </c>
      <c r="N44" s="40">
        <v>0</v>
      </c>
      <c r="O44" s="40">
        <v>0</v>
      </c>
      <c r="P44" s="40">
        <v>0</v>
      </c>
    </row>
    <row r="45" spans="1:16" x14ac:dyDescent="0.25">
      <c r="A45" s="40">
        <v>540038</v>
      </c>
      <c r="B45" s="40" t="s">
        <v>24</v>
      </c>
      <c r="C45" s="40" t="s">
        <v>25</v>
      </c>
      <c r="D45" s="40" t="s">
        <v>5</v>
      </c>
      <c r="E45" s="40">
        <v>8</v>
      </c>
      <c r="F45" s="40">
        <v>24</v>
      </c>
      <c r="G45" s="40">
        <v>0</v>
      </c>
      <c r="H45" s="40">
        <v>0</v>
      </c>
      <c r="I45" s="40">
        <v>18</v>
      </c>
      <c r="J45" s="40">
        <v>2</v>
      </c>
      <c r="K45" s="40">
        <v>2</v>
      </c>
      <c r="L45" s="40">
        <v>2</v>
      </c>
      <c r="M45" s="40">
        <v>15</v>
      </c>
      <c r="N45" s="40">
        <v>7</v>
      </c>
      <c r="O45" s="40">
        <v>0</v>
      </c>
      <c r="P45" s="40">
        <v>0</v>
      </c>
    </row>
    <row r="46" spans="1:16" x14ac:dyDescent="0.25">
      <c r="A46" s="40">
        <v>540039</v>
      </c>
      <c r="B46" s="40" t="s">
        <v>141</v>
      </c>
      <c r="C46" s="40" t="s">
        <v>25</v>
      </c>
      <c r="D46" s="40" t="s">
        <v>115</v>
      </c>
      <c r="E46" s="40">
        <v>8</v>
      </c>
      <c r="F46" s="40">
        <v>0</v>
      </c>
      <c r="G46" s="40">
        <v>0</v>
      </c>
      <c r="H46" s="40">
        <v>0</v>
      </c>
      <c r="I46" s="40">
        <v>0</v>
      </c>
      <c r="J46" s="40">
        <v>0</v>
      </c>
      <c r="K46" s="40">
        <v>0</v>
      </c>
      <c r="L46" s="40">
        <v>0</v>
      </c>
      <c r="M46" s="40">
        <v>0</v>
      </c>
      <c r="N46" s="40">
        <v>0</v>
      </c>
      <c r="O46" s="40">
        <v>0</v>
      </c>
      <c r="P46" s="40">
        <v>0</v>
      </c>
    </row>
    <row r="47" spans="1:16" x14ac:dyDescent="0.25">
      <c r="A47" s="40">
        <v>540240</v>
      </c>
      <c r="B47" s="40" t="s">
        <v>287</v>
      </c>
      <c r="C47" s="40" t="s">
        <v>25</v>
      </c>
      <c r="D47" s="40" t="s">
        <v>115</v>
      </c>
      <c r="E47" s="40">
        <v>8</v>
      </c>
      <c r="F47" s="40">
        <v>0</v>
      </c>
      <c r="G47" s="40">
        <v>0</v>
      </c>
      <c r="H47" s="40">
        <v>0</v>
      </c>
      <c r="I47" s="40">
        <v>0</v>
      </c>
      <c r="J47" s="40">
        <v>0</v>
      </c>
      <c r="K47" s="40">
        <v>0</v>
      </c>
      <c r="L47" s="40">
        <v>0</v>
      </c>
      <c r="M47" s="40">
        <v>0</v>
      </c>
      <c r="N47" s="40">
        <v>0</v>
      </c>
      <c r="O47" s="40">
        <v>0</v>
      </c>
      <c r="P47" s="40">
        <v>0</v>
      </c>
    </row>
    <row r="48" spans="1:16" x14ac:dyDescent="0.25">
      <c r="A48" s="40"/>
      <c r="B48" s="40"/>
      <c r="C48" s="40" t="s">
        <v>25</v>
      </c>
      <c r="D48" s="40"/>
      <c r="E48" s="40"/>
      <c r="F48" s="40">
        <v>24</v>
      </c>
      <c r="G48" s="40">
        <v>0</v>
      </c>
      <c r="H48" s="40">
        <v>0</v>
      </c>
      <c r="I48" s="40">
        <v>18</v>
      </c>
      <c r="J48" s="40">
        <v>2</v>
      </c>
      <c r="K48" s="40">
        <v>2</v>
      </c>
      <c r="L48" s="40">
        <v>2</v>
      </c>
      <c r="M48" s="40">
        <v>15</v>
      </c>
      <c r="N48" s="40">
        <v>7</v>
      </c>
      <c r="O48" s="40">
        <v>0</v>
      </c>
      <c r="P48" s="40">
        <v>0</v>
      </c>
    </row>
    <row r="49" spans="1:16" x14ac:dyDescent="0.25">
      <c r="A49" s="40">
        <v>540040</v>
      </c>
      <c r="B49" s="40" t="s">
        <v>26</v>
      </c>
      <c r="C49" s="40" t="s">
        <v>27</v>
      </c>
      <c r="D49" s="40" t="s">
        <v>5</v>
      </c>
      <c r="E49" s="40">
        <v>4</v>
      </c>
      <c r="F49" s="40">
        <v>5</v>
      </c>
      <c r="G49" s="40">
        <v>2</v>
      </c>
      <c r="H49" s="40">
        <v>0</v>
      </c>
      <c r="I49" s="40">
        <v>1</v>
      </c>
      <c r="J49" s="40">
        <v>0</v>
      </c>
      <c r="K49" s="40">
        <v>1</v>
      </c>
      <c r="L49" s="40">
        <v>1</v>
      </c>
      <c r="M49" s="40">
        <v>3</v>
      </c>
      <c r="N49" s="40">
        <v>0</v>
      </c>
      <c r="O49" s="40">
        <v>1</v>
      </c>
      <c r="P49" s="40">
        <v>0</v>
      </c>
    </row>
    <row r="50" spans="1:16" x14ac:dyDescent="0.25">
      <c r="A50" s="40">
        <v>540041</v>
      </c>
      <c r="B50" s="40" t="s">
        <v>142</v>
      </c>
      <c r="C50" s="40" t="s">
        <v>27</v>
      </c>
      <c r="D50" s="40" t="s">
        <v>115</v>
      </c>
      <c r="E50" s="40">
        <v>4</v>
      </c>
      <c r="F50" s="40">
        <v>0</v>
      </c>
      <c r="G50" s="40">
        <v>0</v>
      </c>
      <c r="H50" s="40">
        <v>0</v>
      </c>
      <c r="I50" s="40">
        <v>0</v>
      </c>
      <c r="J50" s="40">
        <v>0</v>
      </c>
      <c r="K50" s="40">
        <v>0</v>
      </c>
      <c r="L50" s="40">
        <v>0</v>
      </c>
      <c r="M50" s="40">
        <v>0</v>
      </c>
      <c r="N50" s="40">
        <v>0</v>
      </c>
      <c r="O50" s="40">
        <v>0</v>
      </c>
      <c r="P50" s="40">
        <v>0</v>
      </c>
    </row>
    <row r="51" spans="1:16" x14ac:dyDescent="0.25">
      <c r="A51" s="40">
        <v>540043</v>
      </c>
      <c r="B51" s="40" t="s">
        <v>144</v>
      </c>
      <c r="C51" s="40" t="s">
        <v>27</v>
      </c>
      <c r="D51" s="40" t="s">
        <v>115</v>
      </c>
      <c r="E51" s="40">
        <v>4</v>
      </c>
      <c r="F51" s="40">
        <v>0</v>
      </c>
      <c r="G51" s="40">
        <v>0</v>
      </c>
      <c r="H51" s="40">
        <v>0</v>
      </c>
      <c r="I51" s="40">
        <v>0</v>
      </c>
      <c r="J51" s="40">
        <v>0</v>
      </c>
      <c r="K51" s="40">
        <v>0</v>
      </c>
      <c r="L51" s="40">
        <v>0</v>
      </c>
      <c r="M51" s="40">
        <v>0</v>
      </c>
      <c r="N51" s="40">
        <v>0</v>
      </c>
      <c r="O51" s="40">
        <v>0</v>
      </c>
      <c r="P51" s="40">
        <v>0</v>
      </c>
    </row>
    <row r="52" spans="1:16" x14ac:dyDescent="0.25">
      <c r="A52" s="40">
        <v>540044</v>
      </c>
      <c r="B52" s="40" t="s">
        <v>145</v>
      </c>
      <c r="C52" s="40" t="s">
        <v>27</v>
      </c>
      <c r="D52" s="40" t="s">
        <v>115</v>
      </c>
      <c r="E52" s="40">
        <v>4</v>
      </c>
      <c r="F52" s="40">
        <v>0</v>
      </c>
      <c r="G52" s="40">
        <v>0</v>
      </c>
      <c r="H52" s="40">
        <v>0</v>
      </c>
      <c r="I52" s="40">
        <v>0</v>
      </c>
      <c r="J52" s="40">
        <v>0</v>
      </c>
      <c r="K52" s="40">
        <v>0</v>
      </c>
      <c r="L52" s="40">
        <v>0</v>
      </c>
      <c r="M52" s="40">
        <v>0</v>
      </c>
      <c r="N52" s="40">
        <v>0</v>
      </c>
      <c r="O52" s="40">
        <v>0</v>
      </c>
      <c r="P52" s="40">
        <v>0</v>
      </c>
    </row>
    <row r="53" spans="1:16" x14ac:dyDescent="0.25">
      <c r="A53" s="40">
        <v>540045</v>
      </c>
      <c r="B53" s="40" t="s">
        <v>146</v>
      </c>
      <c r="C53" s="40" t="s">
        <v>27</v>
      </c>
      <c r="D53" s="40" t="s">
        <v>115</v>
      </c>
      <c r="E53" s="40">
        <v>4</v>
      </c>
      <c r="F53" s="40">
        <v>0</v>
      </c>
      <c r="G53" s="40">
        <v>0</v>
      </c>
      <c r="H53" s="40">
        <v>0</v>
      </c>
      <c r="I53" s="40">
        <v>0</v>
      </c>
      <c r="J53" s="40">
        <v>0</v>
      </c>
      <c r="K53" s="40">
        <v>0</v>
      </c>
      <c r="L53" s="40">
        <v>0</v>
      </c>
      <c r="M53" s="40">
        <v>0</v>
      </c>
      <c r="N53" s="40">
        <v>0</v>
      </c>
      <c r="O53" s="40">
        <v>0</v>
      </c>
      <c r="P53" s="40">
        <v>0</v>
      </c>
    </row>
    <row r="54" spans="1:16" x14ac:dyDescent="0.25">
      <c r="A54" s="40">
        <v>540228</v>
      </c>
      <c r="B54" s="40" t="s">
        <v>278</v>
      </c>
      <c r="C54" s="40" t="s">
        <v>27</v>
      </c>
      <c r="D54" s="40" t="s">
        <v>115</v>
      </c>
      <c r="E54" s="40">
        <v>4</v>
      </c>
      <c r="F54" s="40">
        <v>0</v>
      </c>
      <c r="G54" s="40">
        <v>0</v>
      </c>
      <c r="H54" s="40">
        <v>0</v>
      </c>
      <c r="I54" s="40">
        <v>0</v>
      </c>
      <c r="J54" s="40">
        <v>0</v>
      </c>
      <c r="K54" s="40">
        <v>0</v>
      </c>
      <c r="L54" s="40">
        <v>0</v>
      </c>
      <c r="M54" s="40">
        <v>0</v>
      </c>
      <c r="N54" s="40">
        <v>0</v>
      </c>
      <c r="O54" s="40">
        <v>0</v>
      </c>
      <c r="P54" s="40">
        <v>0</v>
      </c>
    </row>
    <row r="55" spans="1:16" x14ac:dyDescent="0.25">
      <c r="A55" s="40">
        <v>540243</v>
      </c>
      <c r="B55" s="40" t="s">
        <v>290</v>
      </c>
      <c r="C55" s="40" t="s">
        <v>27</v>
      </c>
      <c r="D55" s="40" t="s">
        <v>115</v>
      </c>
      <c r="E55" s="40">
        <v>4</v>
      </c>
      <c r="F55" s="40">
        <v>0</v>
      </c>
      <c r="G55" s="40">
        <v>0</v>
      </c>
      <c r="H55" s="40">
        <v>0</v>
      </c>
      <c r="I55" s="40">
        <v>0</v>
      </c>
      <c r="J55" s="40">
        <v>0</v>
      </c>
      <c r="K55" s="40">
        <v>0</v>
      </c>
      <c r="L55" s="40">
        <v>0</v>
      </c>
      <c r="M55" s="40">
        <v>0</v>
      </c>
      <c r="N55" s="40">
        <v>0</v>
      </c>
      <c r="O55" s="40">
        <v>0</v>
      </c>
      <c r="P55" s="40">
        <v>0</v>
      </c>
    </row>
    <row r="56" spans="1:16" x14ac:dyDescent="0.25">
      <c r="A56" s="40">
        <v>540244</v>
      </c>
      <c r="B56" s="40" t="s">
        <v>291</v>
      </c>
      <c r="C56" s="40" t="s">
        <v>27</v>
      </c>
      <c r="D56" s="40" t="s">
        <v>115</v>
      </c>
      <c r="E56" s="40">
        <v>4</v>
      </c>
      <c r="F56" s="40">
        <v>0</v>
      </c>
      <c r="G56" s="40">
        <v>0</v>
      </c>
      <c r="H56" s="40">
        <v>0</v>
      </c>
      <c r="I56" s="40">
        <v>0</v>
      </c>
      <c r="J56" s="40">
        <v>0</v>
      </c>
      <c r="K56" s="40">
        <v>0</v>
      </c>
      <c r="L56" s="40">
        <v>0</v>
      </c>
      <c r="M56" s="40">
        <v>0</v>
      </c>
      <c r="N56" s="40">
        <v>0</v>
      </c>
      <c r="O56" s="40">
        <v>0</v>
      </c>
      <c r="P56" s="40">
        <v>0</v>
      </c>
    </row>
    <row r="57" spans="1:16" x14ac:dyDescent="0.25">
      <c r="A57" s="40">
        <v>540281</v>
      </c>
      <c r="B57" s="40" t="s">
        <v>322</v>
      </c>
      <c r="C57" s="40" t="s">
        <v>27</v>
      </c>
      <c r="D57" s="40" t="s">
        <v>115</v>
      </c>
      <c r="E57" s="40">
        <v>4</v>
      </c>
      <c r="F57" s="40">
        <v>0</v>
      </c>
      <c r="G57" s="40">
        <v>0</v>
      </c>
      <c r="H57" s="40">
        <v>0</v>
      </c>
      <c r="I57" s="40">
        <v>0</v>
      </c>
      <c r="J57" s="40">
        <v>0</v>
      </c>
      <c r="K57" s="40">
        <v>0</v>
      </c>
      <c r="L57" s="40">
        <v>0</v>
      </c>
      <c r="M57" s="40">
        <v>0</v>
      </c>
      <c r="N57" s="40">
        <v>0</v>
      </c>
      <c r="O57" s="40">
        <v>0</v>
      </c>
      <c r="P57" s="40">
        <v>0</v>
      </c>
    </row>
    <row r="58" spans="1:16" x14ac:dyDescent="0.25">
      <c r="A58" s="40"/>
      <c r="B58" s="40"/>
      <c r="C58" s="40" t="s">
        <v>27</v>
      </c>
      <c r="D58" s="40"/>
      <c r="E58" s="40"/>
      <c r="F58" s="40">
        <v>5</v>
      </c>
      <c r="G58" s="40">
        <v>2</v>
      </c>
      <c r="H58" s="40">
        <v>0</v>
      </c>
      <c r="I58" s="40">
        <v>1</v>
      </c>
      <c r="J58" s="40">
        <v>0</v>
      </c>
      <c r="K58" s="40">
        <v>1</v>
      </c>
      <c r="L58" s="40">
        <v>1</v>
      </c>
      <c r="M58" s="40">
        <v>3</v>
      </c>
      <c r="N58" s="40">
        <v>0</v>
      </c>
      <c r="O58" s="40">
        <v>1</v>
      </c>
      <c r="P58" s="40">
        <v>0</v>
      </c>
    </row>
    <row r="59" spans="1:16" x14ac:dyDescent="0.25">
      <c r="A59" s="40">
        <v>540047</v>
      </c>
      <c r="B59" s="40" t="s">
        <v>28</v>
      </c>
      <c r="C59" s="40" t="s">
        <v>29</v>
      </c>
      <c r="D59" s="40" t="s">
        <v>5</v>
      </c>
      <c r="E59" s="40">
        <v>11</v>
      </c>
      <c r="F59" s="40">
        <v>4</v>
      </c>
      <c r="G59" s="40">
        <v>0</v>
      </c>
      <c r="H59" s="40">
        <v>1</v>
      </c>
      <c r="I59" s="40">
        <v>0</v>
      </c>
      <c r="J59" s="40">
        <v>0</v>
      </c>
      <c r="K59" s="40">
        <v>2</v>
      </c>
      <c r="L59" s="40">
        <v>1</v>
      </c>
      <c r="M59" s="40">
        <v>1</v>
      </c>
      <c r="N59" s="40">
        <v>1</v>
      </c>
      <c r="O59" s="40">
        <v>0</v>
      </c>
      <c r="P59" s="40">
        <v>1</v>
      </c>
    </row>
    <row r="60" spans="1:16" x14ac:dyDescent="0.25">
      <c r="A60" s="40">
        <v>540014</v>
      </c>
      <c r="B60" s="40" t="s">
        <v>124</v>
      </c>
      <c r="C60" s="40" t="s">
        <v>29</v>
      </c>
      <c r="D60" s="40" t="s">
        <v>115</v>
      </c>
      <c r="E60" s="40">
        <v>11</v>
      </c>
      <c r="F60" s="40">
        <v>0</v>
      </c>
      <c r="G60" s="40">
        <v>0</v>
      </c>
      <c r="H60" s="40">
        <v>0</v>
      </c>
      <c r="I60" s="40">
        <v>0</v>
      </c>
      <c r="J60" s="40">
        <v>0</v>
      </c>
      <c r="K60" s="40">
        <v>0</v>
      </c>
      <c r="L60" s="40">
        <v>0</v>
      </c>
      <c r="M60" s="40">
        <v>0</v>
      </c>
      <c r="N60" s="40">
        <v>0</v>
      </c>
      <c r="O60" s="40">
        <v>0</v>
      </c>
      <c r="P60" s="40">
        <v>0</v>
      </c>
    </row>
    <row r="61" spans="1:16" x14ac:dyDescent="0.25">
      <c r="A61" s="40">
        <v>540048</v>
      </c>
      <c r="B61" s="40" t="s">
        <v>148</v>
      </c>
      <c r="C61" s="40" t="s">
        <v>29</v>
      </c>
      <c r="D61" s="40" t="s">
        <v>115</v>
      </c>
      <c r="E61" s="40">
        <v>11</v>
      </c>
      <c r="F61" s="40">
        <v>0</v>
      </c>
      <c r="G61" s="40">
        <v>0</v>
      </c>
      <c r="H61" s="40">
        <v>0</v>
      </c>
      <c r="I61" s="40">
        <v>0</v>
      </c>
      <c r="J61" s="40">
        <v>0</v>
      </c>
      <c r="K61" s="40">
        <v>0</v>
      </c>
      <c r="L61" s="40">
        <v>0</v>
      </c>
      <c r="M61" s="40">
        <v>0</v>
      </c>
      <c r="N61" s="40">
        <v>0</v>
      </c>
      <c r="O61" s="40">
        <v>0</v>
      </c>
      <c r="P61" s="40">
        <v>0</v>
      </c>
    </row>
    <row r="62" spans="1:16" x14ac:dyDescent="0.25">
      <c r="A62" s="40">
        <v>540049</v>
      </c>
      <c r="B62" s="40" t="s">
        <v>149</v>
      </c>
      <c r="C62" s="40" t="s">
        <v>29</v>
      </c>
      <c r="D62" s="40" t="s">
        <v>115</v>
      </c>
      <c r="E62" s="40">
        <v>11</v>
      </c>
      <c r="F62" s="40">
        <v>1</v>
      </c>
      <c r="G62" s="40">
        <v>1</v>
      </c>
      <c r="H62" s="40">
        <v>0</v>
      </c>
      <c r="I62" s="40">
        <v>0</v>
      </c>
      <c r="J62" s="40">
        <v>0</v>
      </c>
      <c r="K62" s="40">
        <v>0</v>
      </c>
      <c r="L62" s="40">
        <v>0</v>
      </c>
      <c r="M62" s="40">
        <v>0</v>
      </c>
      <c r="N62" s="40">
        <v>1</v>
      </c>
      <c r="O62" s="40">
        <v>0</v>
      </c>
      <c r="P62" s="40">
        <v>0</v>
      </c>
    </row>
    <row r="63" spans="1:16" x14ac:dyDescent="0.25">
      <c r="A63" s="40"/>
      <c r="B63" s="40"/>
      <c r="C63" s="40" t="s">
        <v>29</v>
      </c>
      <c r="D63" s="40"/>
      <c r="E63" s="40"/>
      <c r="F63" s="40">
        <v>5</v>
      </c>
      <c r="G63" s="40">
        <v>1</v>
      </c>
      <c r="H63" s="40">
        <v>1</v>
      </c>
      <c r="I63" s="40">
        <v>0</v>
      </c>
      <c r="J63" s="40">
        <v>0</v>
      </c>
      <c r="K63" s="40">
        <v>2</v>
      </c>
      <c r="L63" s="40">
        <v>1</v>
      </c>
      <c r="M63" s="40">
        <v>1</v>
      </c>
      <c r="N63" s="40">
        <v>2</v>
      </c>
      <c r="O63" s="40">
        <v>0</v>
      </c>
      <c r="P63" s="40">
        <v>1</v>
      </c>
    </row>
    <row r="64" spans="1:16" x14ac:dyDescent="0.25">
      <c r="A64" s="40">
        <v>540051</v>
      </c>
      <c r="B64" s="40" t="s">
        <v>30</v>
      </c>
      <c r="C64" s="40" t="s">
        <v>31</v>
      </c>
      <c r="D64" s="40" t="s">
        <v>5</v>
      </c>
      <c r="E64" s="40">
        <v>8</v>
      </c>
      <c r="F64" s="40">
        <v>12</v>
      </c>
      <c r="G64" s="40">
        <v>0</v>
      </c>
      <c r="H64" s="40">
        <v>1</v>
      </c>
      <c r="I64" s="40">
        <v>7</v>
      </c>
      <c r="J64" s="40">
        <v>0</v>
      </c>
      <c r="K64" s="40">
        <v>1</v>
      </c>
      <c r="L64" s="40">
        <v>3</v>
      </c>
      <c r="M64" s="40">
        <v>8</v>
      </c>
      <c r="N64" s="40">
        <v>0</v>
      </c>
      <c r="O64" s="40">
        <v>0</v>
      </c>
      <c r="P64" s="40">
        <v>1</v>
      </c>
    </row>
    <row r="65" spans="1:16" x14ac:dyDescent="0.25">
      <c r="A65" s="40">
        <v>540052</v>
      </c>
      <c r="B65" s="40" t="s">
        <v>151</v>
      </c>
      <c r="C65" s="40" t="s">
        <v>31</v>
      </c>
      <c r="D65" s="40" t="s">
        <v>115</v>
      </c>
      <c r="E65" s="40">
        <v>8</v>
      </c>
      <c r="F65" s="40">
        <v>0</v>
      </c>
      <c r="G65" s="40">
        <v>0</v>
      </c>
      <c r="H65" s="40">
        <v>0</v>
      </c>
      <c r="I65" s="40">
        <v>0</v>
      </c>
      <c r="J65" s="40">
        <v>0</v>
      </c>
      <c r="K65" s="40">
        <v>0</v>
      </c>
      <c r="L65" s="40">
        <v>0</v>
      </c>
      <c r="M65" s="40">
        <v>0</v>
      </c>
      <c r="N65" s="40">
        <v>0</v>
      </c>
      <c r="O65" s="40">
        <v>0</v>
      </c>
      <c r="P65" s="40">
        <v>0</v>
      </c>
    </row>
    <row r="66" spans="1:16" x14ac:dyDescent="0.25">
      <c r="A66" s="40">
        <v>540245</v>
      </c>
      <c r="B66" s="40" t="s">
        <v>292</v>
      </c>
      <c r="C66" s="40" t="s">
        <v>31</v>
      </c>
      <c r="D66" s="40" t="s">
        <v>115</v>
      </c>
      <c r="E66" s="40">
        <v>8</v>
      </c>
      <c r="F66" s="40">
        <v>0</v>
      </c>
      <c r="G66" s="40">
        <v>0</v>
      </c>
      <c r="H66" s="40">
        <v>0</v>
      </c>
      <c r="I66" s="40">
        <v>0</v>
      </c>
      <c r="J66" s="40">
        <v>0</v>
      </c>
      <c r="K66" s="40">
        <v>0</v>
      </c>
      <c r="L66" s="40">
        <v>0</v>
      </c>
      <c r="M66" s="40">
        <v>0</v>
      </c>
      <c r="N66" s="40">
        <v>0</v>
      </c>
      <c r="O66" s="40">
        <v>0</v>
      </c>
      <c r="P66" s="40">
        <v>0</v>
      </c>
    </row>
    <row r="67" spans="1:16" x14ac:dyDescent="0.25">
      <c r="A67" s="40"/>
      <c r="B67" s="40"/>
      <c r="C67" s="40" t="s">
        <v>31</v>
      </c>
      <c r="D67" s="40"/>
      <c r="E67" s="40"/>
      <c r="F67" s="40">
        <v>12</v>
      </c>
      <c r="G67" s="40">
        <v>0</v>
      </c>
      <c r="H67" s="40">
        <v>1</v>
      </c>
      <c r="I67" s="40">
        <v>7</v>
      </c>
      <c r="J67" s="40">
        <v>0</v>
      </c>
      <c r="K67" s="40">
        <v>1</v>
      </c>
      <c r="L67" s="40">
        <v>3</v>
      </c>
      <c r="M67" s="40">
        <v>8</v>
      </c>
      <c r="N67" s="40">
        <v>0</v>
      </c>
      <c r="O67" s="40">
        <v>0</v>
      </c>
      <c r="P67" s="40">
        <v>1</v>
      </c>
    </row>
    <row r="68" spans="1:16" x14ac:dyDescent="0.25">
      <c r="A68" s="40">
        <v>540053</v>
      </c>
      <c r="B68" s="40" t="s">
        <v>32</v>
      </c>
      <c r="C68" s="40" t="s">
        <v>33</v>
      </c>
      <c r="D68" s="40" t="s">
        <v>5</v>
      </c>
      <c r="E68" s="40">
        <v>6</v>
      </c>
      <c r="F68" s="40">
        <v>29</v>
      </c>
      <c r="G68" s="40">
        <v>0</v>
      </c>
      <c r="H68" s="40">
        <v>0</v>
      </c>
      <c r="I68" s="40">
        <v>10</v>
      </c>
      <c r="J68" s="40">
        <v>2</v>
      </c>
      <c r="K68" s="40">
        <v>8</v>
      </c>
      <c r="L68" s="40">
        <v>9</v>
      </c>
      <c r="M68" s="40">
        <v>15</v>
      </c>
      <c r="N68" s="40">
        <v>4</v>
      </c>
      <c r="O68" s="40">
        <v>0</v>
      </c>
      <c r="P68" s="40">
        <v>1</v>
      </c>
    </row>
    <row r="69" spans="1:16" x14ac:dyDescent="0.25">
      <c r="A69" s="40">
        <v>540054</v>
      </c>
      <c r="B69" s="40" t="s">
        <v>152</v>
      </c>
      <c r="C69" s="40" t="s">
        <v>33</v>
      </c>
      <c r="D69" s="40" t="s">
        <v>115</v>
      </c>
      <c r="E69" s="40">
        <v>6</v>
      </c>
      <c r="F69" s="40">
        <v>0</v>
      </c>
      <c r="G69" s="40">
        <v>0</v>
      </c>
      <c r="H69" s="40">
        <v>0</v>
      </c>
      <c r="I69" s="40">
        <v>0</v>
      </c>
      <c r="J69" s="40">
        <v>0</v>
      </c>
      <c r="K69" s="40">
        <v>0</v>
      </c>
      <c r="L69" s="40">
        <v>0</v>
      </c>
      <c r="M69" s="40">
        <v>0</v>
      </c>
      <c r="N69" s="40">
        <v>0</v>
      </c>
      <c r="O69" s="40">
        <v>0</v>
      </c>
      <c r="P69" s="40">
        <v>0</v>
      </c>
    </row>
    <row r="70" spans="1:16" x14ac:dyDescent="0.25">
      <c r="A70" s="40">
        <v>540055</v>
      </c>
      <c r="B70" s="40" t="s">
        <v>153</v>
      </c>
      <c r="C70" s="40" t="s">
        <v>33</v>
      </c>
      <c r="D70" s="40" t="s">
        <v>115</v>
      </c>
      <c r="E70" s="40">
        <v>6</v>
      </c>
      <c r="F70" s="40">
        <v>3</v>
      </c>
      <c r="G70" s="40">
        <v>0</v>
      </c>
      <c r="H70" s="40">
        <v>0</v>
      </c>
      <c r="I70" s="40">
        <v>2</v>
      </c>
      <c r="J70" s="40">
        <v>0</v>
      </c>
      <c r="K70" s="40">
        <v>0</v>
      </c>
      <c r="L70" s="40">
        <v>1</v>
      </c>
      <c r="M70" s="40">
        <v>2</v>
      </c>
      <c r="N70" s="40">
        <v>0</v>
      </c>
      <c r="O70" s="40">
        <v>0</v>
      </c>
      <c r="P70" s="40">
        <v>0</v>
      </c>
    </row>
    <row r="71" spans="1:16" x14ac:dyDescent="0.25">
      <c r="A71" s="40">
        <v>540056</v>
      </c>
      <c r="B71" s="40" t="s">
        <v>154</v>
      </c>
      <c r="C71" s="40" t="s">
        <v>33</v>
      </c>
      <c r="D71" s="40" t="s">
        <v>115</v>
      </c>
      <c r="E71" s="40">
        <v>6</v>
      </c>
      <c r="F71" s="40">
        <v>1</v>
      </c>
      <c r="G71" s="40">
        <v>0</v>
      </c>
      <c r="H71" s="40">
        <v>0</v>
      </c>
      <c r="I71" s="40">
        <v>1</v>
      </c>
      <c r="J71" s="40">
        <v>0</v>
      </c>
      <c r="K71" s="40">
        <v>0</v>
      </c>
      <c r="L71" s="40">
        <v>0</v>
      </c>
      <c r="M71" s="40">
        <v>0</v>
      </c>
      <c r="N71" s="40">
        <v>0</v>
      </c>
      <c r="O71" s="40">
        <v>1</v>
      </c>
      <c r="P71" s="40">
        <v>0</v>
      </c>
    </row>
    <row r="72" spans="1:16" x14ac:dyDescent="0.25">
      <c r="A72" s="40">
        <v>540057</v>
      </c>
      <c r="B72" s="40" t="s">
        <v>155</v>
      </c>
      <c r="C72" s="40" t="s">
        <v>33</v>
      </c>
      <c r="D72" s="40" t="s">
        <v>115</v>
      </c>
      <c r="E72" s="40">
        <v>6</v>
      </c>
      <c r="F72" s="40">
        <v>0</v>
      </c>
      <c r="G72" s="40">
        <v>0</v>
      </c>
      <c r="H72" s="40">
        <v>0</v>
      </c>
      <c r="I72" s="40">
        <v>0</v>
      </c>
      <c r="J72" s="40">
        <v>0</v>
      </c>
      <c r="K72" s="40">
        <v>0</v>
      </c>
      <c r="L72" s="40">
        <v>0</v>
      </c>
      <c r="M72" s="40">
        <v>0</v>
      </c>
      <c r="N72" s="40">
        <v>0</v>
      </c>
      <c r="O72" s="40">
        <v>0</v>
      </c>
      <c r="P72" s="40">
        <v>0</v>
      </c>
    </row>
    <row r="73" spans="1:16" x14ac:dyDescent="0.25">
      <c r="A73" s="40">
        <v>540058</v>
      </c>
      <c r="B73" s="40" t="s">
        <v>156</v>
      </c>
      <c r="C73" s="40" t="s">
        <v>33</v>
      </c>
      <c r="D73" s="40" t="s">
        <v>115</v>
      </c>
      <c r="E73" s="40">
        <v>6</v>
      </c>
      <c r="F73" s="40">
        <v>0</v>
      </c>
      <c r="G73" s="40">
        <v>0</v>
      </c>
      <c r="H73" s="40">
        <v>0</v>
      </c>
      <c r="I73" s="40">
        <v>0</v>
      </c>
      <c r="J73" s="40">
        <v>0</v>
      </c>
      <c r="K73" s="40">
        <v>0</v>
      </c>
      <c r="L73" s="40">
        <v>0</v>
      </c>
      <c r="M73" s="40">
        <v>0</v>
      </c>
      <c r="N73" s="40">
        <v>0</v>
      </c>
      <c r="O73" s="40">
        <v>0</v>
      </c>
      <c r="P73" s="40">
        <v>0</v>
      </c>
    </row>
    <row r="74" spans="1:16" x14ac:dyDescent="0.25">
      <c r="A74" s="40">
        <v>540059</v>
      </c>
      <c r="B74" s="40" t="s">
        <v>157</v>
      </c>
      <c r="C74" s="40" t="s">
        <v>33</v>
      </c>
      <c r="D74" s="40" t="s">
        <v>115</v>
      </c>
      <c r="E74" s="40">
        <v>6</v>
      </c>
      <c r="F74" s="40">
        <v>0</v>
      </c>
      <c r="G74" s="40">
        <v>0</v>
      </c>
      <c r="H74" s="40">
        <v>0</v>
      </c>
      <c r="I74" s="40">
        <v>0</v>
      </c>
      <c r="J74" s="40">
        <v>0</v>
      </c>
      <c r="K74" s="40">
        <v>0</v>
      </c>
      <c r="L74" s="40">
        <v>0</v>
      </c>
      <c r="M74" s="40">
        <v>0</v>
      </c>
      <c r="N74" s="40">
        <v>0</v>
      </c>
      <c r="O74" s="40">
        <v>0</v>
      </c>
      <c r="P74" s="40">
        <v>0</v>
      </c>
    </row>
    <row r="75" spans="1:16" x14ac:dyDescent="0.25">
      <c r="A75" s="40">
        <v>540060</v>
      </c>
      <c r="B75" s="40" t="s">
        <v>158</v>
      </c>
      <c r="C75" s="40" t="s">
        <v>33</v>
      </c>
      <c r="D75" s="40" t="s">
        <v>115</v>
      </c>
      <c r="E75" s="40">
        <v>6</v>
      </c>
      <c r="F75" s="40">
        <v>0</v>
      </c>
      <c r="G75" s="40">
        <v>0</v>
      </c>
      <c r="H75" s="40">
        <v>0</v>
      </c>
      <c r="I75" s="40">
        <v>0</v>
      </c>
      <c r="J75" s="40">
        <v>0</v>
      </c>
      <c r="K75" s="40">
        <v>0</v>
      </c>
      <c r="L75" s="40">
        <v>0</v>
      </c>
      <c r="M75" s="40">
        <v>0</v>
      </c>
      <c r="N75" s="40">
        <v>0</v>
      </c>
      <c r="O75" s="40">
        <v>0</v>
      </c>
      <c r="P75" s="40">
        <v>0</v>
      </c>
    </row>
    <row r="76" spans="1:16" x14ac:dyDescent="0.25">
      <c r="A76" s="40">
        <v>540061</v>
      </c>
      <c r="B76" s="40" t="s">
        <v>159</v>
      </c>
      <c r="C76" s="40" t="s">
        <v>33</v>
      </c>
      <c r="D76" s="40" t="s">
        <v>115</v>
      </c>
      <c r="E76" s="40">
        <v>6</v>
      </c>
      <c r="F76" s="40">
        <v>0</v>
      </c>
      <c r="G76" s="40">
        <v>0</v>
      </c>
      <c r="H76" s="40">
        <v>0</v>
      </c>
      <c r="I76" s="40">
        <v>0</v>
      </c>
      <c r="J76" s="40">
        <v>0</v>
      </c>
      <c r="K76" s="40">
        <v>0</v>
      </c>
      <c r="L76" s="40">
        <v>0</v>
      </c>
      <c r="M76" s="40">
        <v>0</v>
      </c>
      <c r="N76" s="40">
        <v>0</v>
      </c>
      <c r="O76" s="40">
        <v>0</v>
      </c>
      <c r="P76" s="40">
        <v>0</v>
      </c>
    </row>
    <row r="77" spans="1:16" x14ac:dyDescent="0.25">
      <c r="A77" s="40">
        <v>540062</v>
      </c>
      <c r="B77" s="40" t="s">
        <v>160</v>
      </c>
      <c r="C77" s="40" t="s">
        <v>33</v>
      </c>
      <c r="D77" s="40" t="s">
        <v>115</v>
      </c>
      <c r="E77" s="40">
        <v>6</v>
      </c>
      <c r="F77" s="40">
        <v>0</v>
      </c>
      <c r="G77" s="40">
        <v>0</v>
      </c>
      <c r="H77" s="40">
        <v>0</v>
      </c>
      <c r="I77" s="40">
        <v>0</v>
      </c>
      <c r="J77" s="40">
        <v>0</v>
      </c>
      <c r="K77" s="40">
        <v>0</v>
      </c>
      <c r="L77" s="40">
        <v>0</v>
      </c>
      <c r="M77" s="40">
        <v>0</v>
      </c>
      <c r="N77" s="40">
        <v>0</v>
      </c>
      <c r="O77" s="40">
        <v>0</v>
      </c>
      <c r="P77" s="40">
        <v>0</v>
      </c>
    </row>
    <row r="78" spans="1:16" x14ac:dyDescent="0.25">
      <c r="A78" s="40">
        <v>540242</v>
      </c>
      <c r="B78" s="40" t="s">
        <v>289</v>
      </c>
      <c r="C78" s="40" t="s">
        <v>33</v>
      </c>
      <c r="D78" s="40" t="s">
        <v>115</v>
      </c>
      <c r="E78" s="40">
        <v>6</v>
      </c>
      <c r="F78" s="40">
        <v>0</v>
      </c>
      <c r="G78" s="40">
        <v>0</v>
      </c>
      <c r="H78" s="40">
        <v>0</v>
      </c>
      <c r="I78" s="40">
        <v>0</v>
      </c>
      <c r="J78" s="40">
        <v>0</v>
      </c>
      <c r="K78" s="40">
        <v>0</v>
      </c>
      <c r="L78" s="40">
        <v>0</v>
      </c>
      <c r="M78" s="40">
        <v>0</v>
      </c>
      <c r="N78" s="40">
        <v>0</v>
      </c>
      <c r="O78" s="40">
        <v>0</v>
      </c>
      <c r="P78" s="40">
        <v>0</v>
      </c>
    </row>
    <row r="79" spans="1:16" x14ac:dyDescent="0.25">
      <c r="A79" s="40"/>
      <c r="B79" s="40"/>
      <c r="C79" s="40" t="s">
        <v>33</v>
      </c>
      <c r="D79" s="40"/>
      <c r="E79" s="40"/>
      <c r="F79" s="40">
        <v>33</v>
      </c>
      <c r="G79" s="40">
        <v>0</v>
      </c>
      <c r="H79" s="40">
        <v>0</v>
      </c>
      <c r="I79" s="40">
        <v>13</v>
      </c>
      <c r="J79" s="40">
        <v>2</v>
      </c>
      <c r="K79" s="40">
        <v>8</v>
      </c>
      <c r="L79" s="40">
        <v>10</v>
      </c>
      <c r="M79" s="40">
        <v>17</v>
      </c>
      <c r="N79" s="40">
        <v>4</v>
      </c>
      <c r="O79" s="40">
        <v>1</v>
      </c>
      <c r="P79" s="40">
        <v>1</v>
      </c>
    </row>
    <row r="80" spans="1:16" x14ac:dyDescent="0.25">
      <c r="A80" s="40">
        <v>540063</v>
      </c>
      <c r="B80" s="40" t="s">
        <v>34</v>
      </c>
      <c r="C80" s="40" t="s">
        <v>35</v>
      </c>
      <c r="D80" s="40" t="s">
        <v>5</v>
      </c>
      <c r="E80" s="40">
        <v>5</v>
      </c>
      <c r="F80" s="40">
        <v>25</v>
      </c>
      <c r="G80" s="40">
        <v>0</v>
      </c>
      <c r="H80" s="40">
        <v>5</v>
      </c>
      <c r="I80" s="40">
        <v>5</v>
      </c>
      <c r="J80" s="40">
        <v>0</v>
      </c>
      <c r="K80" s="40">
        <v>2</v>
      </c>
      <c r="L80" s="40">
        <v>13</v>
      </c>
      <c r="M80" s="40">
        <v>8</v>
      </c>
      <c r="N80" s="40">
        <v>2</v>
      </c>
      <c r="O80" s="40">
        <v>0</v>
      </c>
      <c r="P80" s="40">
        <v>2</v>
      </c>
    </row>
    <row r="81" spans="1:16" x14ac:dyDescent="0.25">
      <c r="A81" s="40">
        <v>540064</v>
      </c>
      <c r="B81" s="40" t="s">
        <v>161</v>
      </c>
      <c r="C81" s="40" t="s">
        <v>35</v>
      </c>
      <c r="D81" s="40" t="s">
        <v>115</v>
      </c>
      <c r="E81" s="40">
        <v>5</v>
      </c>
      <c r="F81" s="40">
        <v>3</v>
      </c>
      <c r="G81" s="40">
        <v>0</v>
      </c>
      <c r="H81" s="40">
        <v>0</v>
      </c>
      <c r="I81" s="40">
        <v>0</v>
      </c>
      <c r="J81" s="40">
        <v>0</v>
      </c>
      <c r="K81" s="40">
        <v>0</v>
      </c>
      <c r="L81" s="40">
        <v>3</v>
      </c>
      <c r="M81" s="40">
        <v>0</v>
      </c>
      <c r="N81" s="40">
        <v>0</v>
      </c>
      <c r="O81" s="40">
        <v>0</v>
      </c>
      <c r="P81" s="40">
        <v>0</v>
      </c>
    </row>
    <row r="82" spans="1:16" x14ac:dyDescent="0.25">
      <c r="A82" s="40">
        <v>540241</v>
      </c>
      <c r="B82" s="40" t="s">
        <v>288</v>
      </c>
      <c r="C82" s="40" t="s">
        <v>35</v>
      </c>
      <c r="D82" s="40" t="s">
        <v>115</v>
      </c>
      <c r="E82" s="40">
        <v>5</v>
      </c>
      <c r="F82" s="40">
        <v>0</v>
      </c>
      <c r="G82" s="40">
        <v>0</v>
      </c>
      <c r="H82" s="40">
        <v>0</v>
      </c>
      <c r="I82" s="40">
        <v>0</v>
      </c>
      <c r="J82" s="40">
        <v>0</v>
      </c>
      <c r="K82" s="40">
        <v>0</v>
      </c>
      <c r="L82" s="40">
        <v>0</v>
      </c>
      <c r="M82" s="40">
        <v>0</v>
      </c>
      <c r="N82" s="40">
        <v>0</v>
      </c>
      <c r="O82" s="40">
        <v>0</v>
      </c>
      <c r="P82" s="40">
        <v>0</v>
      </c>
    </row>
    <row r="83" spans="1:16" x14ac:dyDescent="0.25">
      <c r="A83" s="40"/>
      <c r="B83" s="40"/>
      <c r="C83" s="40" t="s">
        <v>35</v>
      </c>
      <c r="D83" s="40"/>
      <c r="E83" s="40"/>
      <c r="F83" s="40">
        <v>28</v>
      </c>
      <c r="G83" s="40">
        <v>0</v>
      </c>
      <c r="H83" s="40">
        <v>5</v>
      </c>
      <c r="I83" s="40">
        <v>5</v>
      </c>
      <c r="J83" s="40">
        <v>0</v>
      </c>
      <c r="K83" s="40">
        <v>2</v>
      </c>
      <c r="L83" s="40">
        <v>16</v>
      </c>
      <c r="M83" s="40">
        <v>8</v>
      </c>
      <c r="N83" s="40">
        <v>2</v>
      </c>
      <c r="O83" s="40">
        <v>0</v>
      </c>
      <c r="P83" s="40">
        <v>2</v>
      </c>
    </row>
    <row r="84" spans="1:16" x14ac:dyDescent="0.25">
      <c r="A84" s="40">
        <v>540065</v>
      </c>
      <c r="B84" s="40" t="s">
        <v>36</v>
      </c>
      <c r="C84" s="40" t="s">
        <v>37</v>
      </c>
      <c r="D84" s="40" t="s">
        <v>5</v>
      </c>
      <c r="E84" s="40">
        <v>9</v>
      </c>
      <c r="F84" s="40">
        <v>6</v>
      </c>
      <c r="G84" s="40">
        <v>0</v>
      </c>
      <c r="H84" s="40">
        <v>0</v>
      </c>
      <c r="I84" s="40">
        <v>0</v>
      </c>
      <c r="J84" s="40">
        <v>1</v>
      </c>
      <c r="K84" s="40">
        <v>3</v>
      </c>
      <c r="L84" s="40">
        <v>2</v>
      </c>
      <c r="M84" s="40">
        <v>0</v>
      </c>
      <c r="N84" s="40">
        <v>1</v>
      </c>
      <c r="O84" s="40">
        <v>2</v>
      </c>
      <c r="P84" s="40">
        <v>1</v>
      </c>
    </row>
    <row r="85" spans="1:16" x14ac:dyDescent="0.25">
      <c r="A85" s="40">
        <v>540030</v>
      </c>
      <c r="B85" s="40" t="s">
        <v>135</v>
      </c>
      <c r="C85" s="40" t="s">
        <v>37</v>
      </c>
      <c r="D85" s="40" t="s">
        <v>115</v>
      </c>
      <c r="E85" s="40">
        <v>9</v>
      </c>
      <c r="F85" s="40">
        <v>0</v>
      </c>
      <c r="G85" s="40">
        <v>0</v>
      </c>
      <c r="H85" s="40">
        <v>0</v>
      </c>
      <c r="I85" s="40">
        <v>0</v>
      </c>
      <c r="J85" s="40">
        <v>0</v>
      </c>
      <c r="K85" s="40">
        <v>0</v>
      </c>
      <c r="L85" s="40">
        <v>0</v>
      </c>
      <c r="M85" s="40">
        <v>0</v>
      </c>
      <c r="N85" s="40">
        <v>0</v>
      </c>
      <c r="O85" s="40">
        <v>0</v>
      </c>
      <c r="P85" s="40">
        <v>0</v>
      </c>
    </row>
    <row r="86" spans="1:16" x14ac:dyDescent="0.25">
      <c r="A86" s="40">
        <v>540066</v>
      </c>
      <c r="B86" s="40" t="s">
        <v>162</v>
      </c>
      <c r="C86" s="40" t="s">
        <v>37</v>
      </c>
      <c r="D86" s="40" t="s">
        <v>115</v>
      </c>
      <c r="E86" s="40">
        <v>9</v>
      </c>
      <c r="F86" s="40">
        <v>0</v>
      </c>
      <c r="G86" s="40">
        <v>0</v>
      </c>
      <c r="H86" s="40">
        <v>0</v>
      </c>
      <c r="I86" s="40">
        <v>0</v>
      </c>
      <c r="J86" s="40">
        <v>0</v>
      </c>
      <c r="K86" s="40">
        <v>0</v>
      </c>
      <c r="L86" s="40">
        <v>0</v>
      </c>
      <c r="M86" s="40">
        <v>0</v>
      </c>
      <c r="N86" s="40">
        <v>0</v>
      </c>
      <c r="O86" s="40">
        <v>0</v>
      </c>
      <c r="P86" s="40">
        <v>0</v>
      </c>
    </row>
    <row r="87" spans="1:16" x14ac:dyDescent="0.25">
      <c r="A87" s="40">
        <v>540067</v>
      </c>
      <c r="B87" s="40" t="s">
        <v>163</v>
      </c>
      <c r="C87" s="40" t="s">
        <v>37</v>
      </c>
      <c r="D87" s="40" t="s">
        <v>115</v>
      </c>
      <c r="E87" s="40">
        <v>9</v>
      </c>
      <c r="F87" s="40">
        <v>0</v>
      </c>
      <c r="G87" s="40">
        <v>0</v>
      </c>
      <c r="H87" s="40">
        <v>0</v>
      </c>
      <c r="I87" s="40">
        <v>0</v>
      </c>
      <c r="J87" s="40">
        <v>0</v>
      </c>
      <c r="K87" s="40">
        <v>0</v>
      </c>
      <c r="L87" s="40">
        <v>0</v>
      </c>
      <c r="M87" s="40">
        <v>0</v>
      </c>
      <c r="N87" s="40">
        <v>0</v>
      </c>
      <c r="O87" s="40">
        <v>0</v>
      </c>
      <c r="P87" s="40">
        <v>0</v>
      </c>
    </row>
    <row r="88" spans="1:16" x14ac:dyDescent="0.25">
      <c r="A88" s="40">
        <v>540068</v>
      </c>
      <c r="B88" s="40" t="s">
        <v>164</v>
      </c>
      <c r="C88" s="40" t="s">
        <v>37</v>
      </c>
      <c r="D88" s="40" t="s">
        <v>115</v>
      </c>
      <c r="E88" s="40">
        <v>9</v>
      </c>
      <c r="F88" s="40">
        <v>0</v>
      </c>
      <c r="G88" s="40">
        <v>0</v>
      </c>
      <c r="H88" s="40">
        <v>0</v>
      </c>
      <c r="I88" s="40">
        <v>0</v>
      </c>
      <c r="J88" s="40">
        <v>0</v>
      </c>
      <c r="K88" s="40">
        <v>0</v>
      </c>
      <c r="L88" s="40">
        <v>0</v>
      </c>
      <c r="M88" s="40">
        <v>0</v>
      </c>
      <c r="N88" s="40">
        <v>0</v>
      </c>
      <c r="O88" s="40">
        <v>0</v>
      </c>
      <c r="P88" s="40">
        <v>0</v>
      </c>
    </row>
    <row r="89" spans="1:16" x14ac:dyDescent="0.25">
      <c r="A89" s="40">
        <v>540069</v>
      </c>
      <c r="B89" s="40" t="s">
        <v>165</v>
      </c>
      <c r="C89" s="40" t="s">
        <v>37</v>
      </c>
      <c r="D89" s="40" t="s">
        <v>115</v>
      </c>
      <c r="E89" s="40">
        <v>9</v>
      </c>
      <c r="F89" s="40">
        <v>0</v>
      </c>
      <c r="G89" s="40">
        <v>0</v>
      </c>
      <c r="H89" s="40">
        <v>0</v>
      </c>
      <c r="I89" s="40">
        <v>0</v>
      </c>
      <c r="J89" s="40">
        <v>0</v>
      </c>
      <c r="K89" s="40">
        <v>0</v>
      </c>
      <c r="L89" s="40">
        <v>0</v>
      </c>
      <c r="M89" s="40">
        <v>0</v>
      </c>
      <c r="N89" s="40">
        <v>0</v>
      </c>
      <c r="O89" s="40">
        <v>0</v>
      </c>
      <c r="P89" s="40">
        <v>0</v>
      </c>
    </row>
    <row r="90" spans="1:16" x14ac:dyDescent="0.25">
      <c r="A90" s="40"/>
      <c r="B90" s="40"/>
      <c r="C90" s="40" t="s">
        <v>37</v>
      </c>
      <c r="D90" s="40"/>
      <c r="E90" s="40"/>
      <c r="F90" s="40">
        <v>6</v>
      </c>
      <c r="G90" s="40">
        <v>0</v>
      </c>
      <c r="H90" s="40">
        <v>0</v>
      </c>
      <c r="I90" s="40">
        <v>0</v>
      </c>
      <c r="J90" s="40">
        <v>1</v>
      </c>
      <c r="K90" s="40">
        <v>3</v>
      </c>
      <c r="L90" s="40">
        <v>2</v>
      </c>
      <c r="M90" s="40">
        <v>0</v>
      </c>
      <c r="N90" s="40">
        <v>1</v>
      </c>
      <c r="O90" s="40">
        <v>2</v>
      </c>
      <c r="P90" s="40">
        <v>1</v>
      </c>
    </row>
    <row r="91" spans="1:16" x14ac:dyDescent="0.25">
      <c r="A91" s="40">
        <v>540070</v>
      </c>
      <c r="B91" s="40" t="s">
        <v>38</v>
      </c>
      <c r="C91" s="40" t="s">
        <v>39</v>
      </c>
      <c r="D91" s="40" t="s">
        <v>5</v>
      </c>
      <c r="E91" s="40">
        <v>3</v>
      </c>
      <c r="F91" s="40">
        <v>20</v>
      </c>
      <c r="G91" s="40">
        <v>1</v>
      </c>
      <c r="H91" s="40">
        <v>0</v>
      </c>
      <c r="I91" s="40">
        <v>3</v>
      </c>
      <c r="J91" s="40">
        <v>0</v>
      </c>
      <c r="K91" s="40">
        <v>6</v>
      </c>
      <c r="L91" s="40">
        <v>10</v>
      </c>
      <c r="M91" s="40">
        <v>6</v>
      </c>
      <c r="N91" s="40">
        <v>3</v>
      </c>
      <c r="O91" s="40">
        <v>1</v>
      </c>
      <c r="P91" s="40">
        <v>0</v>
      </c>
    </row>
    <row r="92" spans="1:16" x14ac:dyDescent="0.25">
      <c r="A92" s="40">
        <v>540029</v>
      </c>
      <c r="B92" s="40" t="s">
        <v>134</v>
      </c>
      <c r="C92" s="40" t="s">
        <v>39</v>
      </c>
      <c r="D92" s="40" t="s">
        <v>115</v>
      </c>
      <c r="E92" s="40">
        <v>3</v>
      </c>
      <c r="F92" s="40">
        <v>0</v>
      </c>
      <c r="G92" s="40">
        <v>0</v>
      </c>
      <c r="H92" s="40">
        <v>0</v>
      </c>
      <c r="I92" s="40">
        <v>0</v>
      </c>
      <c r="J92" s="40">
        <v>0</v>
      </c>
      <c r="K92" s="40">
        <v>0</v>
      </c>
      <c r="L92" s="40">
        <v>0</v>
      </c>
      <c r="M92" s="40">
        <v>0</v>
      </c>
      <c r="N92" s="40">
        <v>0</v>
      </c>
      <c r="O92" s="40">
        <v>0</v>
      </c>
      <c r="P92" s="40">
        <v>0</v>
      </c>
    </row>
    <row r="93" spans="1:16" x14ac:dyDescent="0.25">
      <c r="A93" s="40">
        <v>540071</v>
      </c>
      <c r="B93" s="40" t="s">
        <v>166</v>
      </c>
      <c r="C93" s="40" t="s">
        <v>39</v>
      </c>
      <c r="D93" s="40" t="s">
        <v>115</v>
      </c>
      <c r="E93" s="40">
        <v>3</v>
      </c>
      <c r="F93" s="40">
        <v>0</v>
      </c>
      <c r="G93" s="40">
        <v>0</v>
      </c>
      <c r="H93" s="40">
        <v>0</v>
      </c>
      <c r="I93" s="40">
        <v>0</v>
      </c>
      <c r="J93" s="40">
        <v>0</v>
      </c>
      <c r="K93" s="40">
        <v>0</v>
      </c>
      <c r="L93" s="40">
        <v>0</v>
      </c>
      <c r="M93" s="40">
        <v>0</v>
      </c>
      <c r="N93" s="40">
        <v>0</v>
      </c>
      <c r="O93" s="40">
        <v>0</v>
      </c>
      <c r="P93" s="40">
        <v>0</v>
      </c>
    </row>
    <row r="94" spans="1:16" x14ac:dyDescent="0.25">
      <c r="A94" s="40">
        <v>540072</v>
      </c>
      <c r="B94" s="40" t="s">
        <v>167</v>
      </c>
      <c r="C94" s="40" t="s">
        <v>39</v>
      </c>
      <c r="D94" s="40" t="s">
        <v>115</v>
      </c>
      <c r="E94" s="40">
        <v>3</v>
      </c>
      <c r="F94" s="40">
        <v>0</v>
      </c>
      <c r="G94" s="40">
        <v>0</v>
      </c>
      <c r="H94" s="40">
        <v>0</v>
      </c>
      <c r="I94" s="40">
        <v>0</v>
      </c>
      <c r="J94" s="40">
        <v>0</v>
      </c>
      <c r="K94" s="40">
        <v>0</v>
      </c>
      <c r="L94" s="40">
        <v>0</v>
      </c>
      <c r="M94" s="40">
        <v>0</v>
      </c>
      <c r="N94" s="40">
        <v>0</v>
      </c>
      <c r="O94" s="40">
        <v>0</v>
      </c>
      <c r="P94" s="40">
        <v>0</v>
      </c>
    </row>
    <row r="95" spans="1:16" x14ac:dyDescent="0.25">
      <c r="A95" s="40">
        <v>540073</v>
      </c>
      <c r="B95" s="40" t="s">
        <v>168</v>
      </c>
      <c r="C95" s="40" t="s">
        <v>39</v>
      </c>
      <c r="D95" s="40" t="s">
        <v>115</v>
      </c>
      <c r="E95" s="40">
        <v>3</v>
      </c>
      <c r="F95" s="40">
        <v>1</v>
      </c>
      <c r="G95" s="40">
        <v>0</v>
      </c>
      <c r="H95" s="40">
        <v>0</v>
      </c>
      <c r="I95" s="40">
        <v>0</v>
      </c>
      <c r="J95" s="40">
        <v>0</v>
      </c>
      <c r="K95" s="40">
        <v>1</v>
      </c>
      <c r="L95" s="40">
        <v>0</v>
      </c>
      <c r="M95" s="40">
        <v>1</v>
      </c>
      <c r="N95" s="40">
        <v>0</v>
      </c>
      <c r="O95" s="40">
        <v>0</v>
      </c>
      <c r="P95" s="40">
        <v>0</v>
      </c>
    </row>
    <row r="96" spans="1:16" x14ac:dyDescent="0.25">
      <c r="A96" s="40">
        <v>540074</v>
      </c>
      <c r="B96" s="40" t="s">
        <v>169</v>
      </c>
      <c r="C96" s="40" t="s">
        <v>39</v>
      </c>
      <c r="D96" s="40" t="s">
        <v>115</v>
      </c>
      <c r="E96" s="40">
        <v>3</v>
      </c>
      <c r="F96" s="40">
        <v>0</v>
      </c>
      <c r="G96" s="40">
        <v>0</v>
      </c>
      <c r="H96" s="40">
        <v>0</v>
      </c>
      <c r="I96" s="40">
        <v>0</v>
      </c>
      <c r="J96" s="40">
        <v>0</v>
      </c>
      <c r="K96" s="40">
        <v>0</v>
      </c>
      <c r="L96" s="40">
        <v>0</v>
      </c>
      <c r="M96" s="40">
        <v>0</v>
      </c>
      <c r="N96" s="40">
        <v>0</v>
      </c>
      <c r="O96" s="40">
        <v>0</v>
      </c>
      <c r="P96" s="40">
        <v>0</v>
      </c>
    </row>
    <row r="97" spans="1:16" x14ac:dyDescent="0.25">
      <c r="A97" s="40">
        <v>540075</v>
      </c>
      <c r="B97" s="40" t="s">
        <v>170</v>
      </c>
      <c r="C97" s="40" t="s">
        <v>39</v>
      </c>
      <c r="D97" s="40" t="s">
        <v>115</v>
      </c>
      <c r="E97" s="40">
        <v>3</v>
      </c>
      <c r="F97" s="40">
        <v>0</v>
      </c>
      <c r="G97" s="40">
        <v>0</v>
      </c>
      <c r="H97" s="40">
        <v>0</v>
      </c>
      <c r="I97" s="40">
        <v>0</v>
      </c>
      <c r="J97" s="40">
        <v>0</v>
      </c>
      <c r="K97" s="40">
        <v>0</v>
      </c>
      <c r="L97" s="40">
        <v>0</v>
      </c>
      <c r="M97" s="40">
        <v>0</v>
      </c>
      <c r="N97" s="40">
        <v>0</v>
      </c>
      <c r="O97" s="40">
        <v>0</v>
      </c>
      <c r="P97" s="40">
        <v>0</v>
      </c>
    </row>
    <row r="98" spans="1:16" x14ac:dyDescent="0.25">
      <c r="A98" s="40">
        <v>540076</v>
      </c>
      <c r="B98" s="40" t="s">
        <v>171</v>
      </c>
      <c r="C98" s="40" t="s">
        <v>39</v>
      </c>
      <c r="D98" s="40" t="s">
        <v>115</v>
      </c>
      <c r="E98" s="40">
        <v>3</v>
      </c>
      <c r="F98" s="40">
        <v>1</v>
      </c>
      <c r="G98" s="40">
        <v>0</v>
      </c>
      <c r="H98" s="40">
        <v>0</v>
      </c>
      <c r="I98" s="40">
        <v>1</v>
      </c>
      <c r="J98" s="40">
        <v>0</v>
      </c>
      <c r="K98" s="40">
        <v>0</v>
      </c>
      <c r="L98" s="40">
        <v>0</v>
      </c>
      <c r="M98" s="40">
        <v>1</v>
      </c>
      <c r="N98" s="40">
        <v>0</v>
      </c>
      <c r="O98" s="40">
        <v>0</v>
      </c>
      <c r="P98" s="40">
        <v>0</v>
      </c>
    </row>
    <row r="99" spans="1:16" x14ac:dyDescent="0.25">
      <c r="A99" s="40">
        <v>540077</v>
      </c>
      <c r="B99" s="40" t="s">
        <v>172</v>
      </c>
      <c r="C99" s="40" t="s">
        <v>39</v>
      </c>
      <c r="D99" s="40" t="s">
        <v>115</v>
      </c>
      <c r="E99" s="40">
        <v>3</v>
      </c>
      <c r="F99" s="40">
        <v>0</v>
      </c>
      <c r="G99" s="40">
        <v>0</v>
      </c>
      <c r="H99" s="40">
        <v>0</v>
      </c>
      <c r="I99" s="40">
        <v>0</v>
      </c>
      <c r="J99" s="40">
        <v>0</v>
      </c>
      <c r="K99" s="40">
        <v>0</v>
      </c>
      <c r="L99" s="40">
        <v>0</v>
      </c>
      <c r="M99" s="40">
        <v>0</v>
      </c>
      <c r="N99" s="40">
        <v>0</v>
      </c>
      <c r="O99" s="40">
        <v>0</v>
      </c>
      <c r="P99" s="40">
        <v>0</v>
      </c>
    </row>
    <row r="100" spans="1:16" x14ac:dyDescent="0.25">
      <c r="A100" s="40">
        <v>540078</v>
      </c>
      <c r="B100" s="40" t="s">
        <v>173</v>
      </c>
      <c r="C100" s="40" t="s">
        <v>39</v>
      </c>
      <c r="D100" s="40" t="s">
        <v>115</v>
      </c>
      <c r="E100" s="40">
        <v>3</v>
      </c>
      <c r="F100" s="40">
        <v>0</v>
      </c>
      <c r="G100" s="40">
        <v>0</v>
      </c>
      <c r="H100" s="40">
        <v>0</v>
      </c>
      <c r="I100" s="40">
        <v>0</v>
      </c>
      <c r="J100" s="40">
        <v>0</v>
      </c>
      <c r="K100" s="40">
        <v>0</v>
      </c>
      <c r="L100" s="40">
        <v>0</v>
      </c>
      <c r="M100" s="40">
        <v>0</v>
      </c>
      <c r="N100" s="40">
        <v>0</v>
      </c>
      <c r="O100" s="40">
        <v>0</v>
      </c>
      <c r="P100" s="40">
        <v>0</v>
      </c>
    </row>
    <row r="101" spans="1:16" x14ac:dyDescent="0.25">
      <c r="A101" s="40">
        <v>540079</v>
      </c>
      <c r="B101" s="40" t="s">
        <v>174</v>
      </c>
      <c r="C101" s="40" t="s">
        <v>39</v>
      </c>
      <c r="D101" s="40" t="s">
        <v>115</v>
      </c>
      <c r="E101" s="40">
        <v>3</v>
      </c>
      <c r="F101" s="40">
        <v>1</v>
      </c>
      <c r="G101" s="40">
        <v>1</v>
      </c>
      <c r="H101" s="40">
        <v>0</v>
      </c>
      <c r="I101" s="40">
        <v>0</v>
      </c>
      <c r="J101" s="40">
        <v>0</v>
      </c>
      <c r="K101" s="40">
        <v>0</v>
      </c>
      <c r="L101" s="40">
        <v>0</v>
      </c>
      <c r="M101" s="40">
        <v>0</v>
      </c>
      <c r="N101" s="40">
        <v>1</v>
      </c>
      <c r="O101" s="40">
        <v>0</v>
      </c>
      <c r="P101" s="40">
        <v>0</v>
      </c>
    </row>
    <row r="102" spans="1:16" x14ac:dyDescent="0.25">
      <c r="A102" s="40">
        <v>540081</v>
      </c>
      <c r="B102" s="40" t="s">
        <v>176</v>
      </c>
      <c r="C102" s="40" t="s">
        <v>39</v>
      </c>
      <c r="D102" s="40" t="s">
        <v>115</v>
      </c>
      <c r="E102" s="40">
        <v>3</v>
      </c>
      <c r="F102" s="40">
        <v>1</v>
      </c>
      <c r="G102" s="40">
        <v>0</v>
      </c>
      <c r="H102" s="40">
        <v>0</v>
      </c>
      <c r="I102" s="40">
        <v>1</v>
      </c>
      <c r="J102" s="40">
        <v>0</v>
      </c>
      <c r="K102" s="40">
        <v>0</v>
      </c>
      <c r="L102" s="40">
        <v>0</v>
      </c>
      <c r="M102" s="40">
        <v>1</v>
      </c>
      <c r="N102" s="40">
        <v>0</v>
      </c>
      <c r="O102" s="40">
        <v>0</v>
      </c>
      <c r="P102" s="40">
        <v>0</v>
      </c>
    </row>
    <row r="103" spans="1:16" x14ac:dyDescent="0.25">
      <c r="A103" s="40">
        <v>540082</v>
      </c>
      <c r="B103" s="40" t="s">
        <v>177</v>
      </c>
      <c r="C103" s="40" t="s">
        <v>39</v>
      </c>
      <c r="D103" s="40" t="s">
        <v>115</v>
      </c>
      <c r="E103" s="40">
        <v>3</v>
      </c>
      <c r="F103" s="40">
        <v>0</v>
      </c>
      <c r="G103" s="40">
        <v>0</v>
      </c>
      <c r="H103" s="40">
        <v>0</v>
      </c>
      <c r="I103" s="40">
        <v>0</v>
      </c>
      <c r="J103" s="40">
        <v>0</v>
      </c>
      <c r="K103" s="40">
        <v>0</v>
      </c>
      <c r="L103" s="40">
        <v>0</v>
      </c>
      <c r="M103" s="40">
        <v>0</v>
      </c>
      <c r="N103" s="40">
        <v>0</v>
      </c>
      <c r="O103" s="40">
        <v>0</v>
      </c>
      <c r="P103" s="40">
        <v>0</v>
      </c>
    </row>
    <row r="104" spans="1:16" x14ac:dyDescent="0.25">
      <c r="A104" s="40">
        <v>540083</v>
      </c>
      <c r="B104" s="40" t="s">
        <v>178</v>
      </c>
      <c r="C104" s="40" t="s">
        <v>39</v>
      </c>
      <c r="D104" s="40" t="s">
        <v>115</v>
      </c>
      <c r="E104" s="40">
        <v>3</v>
      </c>
      <c r="F104" s="40">
        <v>0</v>
      </c>
      <c r="G104" s="40">
        <v>0</v>
      </c>
      <c r="H104" s="40">
        <v>0</v>
      </c>
      <c r="I104" s="40">
        <v>0</v>
      </c>
      <c r="J104" s="40">
        <v>0</v>
      </c>
      <c r="K104" s="40">
        <v>0</v>
      </c>
      <c r="L104" s="40">
        <v>0</v>
      </c>
      <c r="M104" s="40">
        <v>0</v>
      </c>
      <c r="N104" s="40">
        <v>0</v>
      </c>
      <c r="O104" s="40">
        <v>0</v>
      </c>
      <c r="P104" s="40">
        <v>0</v>
      </c>
    </row>
    <row r="105" spans="1:16" x14ac:dyDescent="0.25">
      <c r="A105" s="40">
        <v>540223</v>
      </c>
      <c r="B105" s="40" t="s">
        <v>277</v>
      </c>
      <c r="C105" s="40" t="s">
        <v>39</v>
      </c>
      <c r="D105" s="40" t="s">
        <v>115</v>
      </c>
      <c r="E105" s="40">
        <v>3</v>
      </c>
      <c r="F105" s="40">
        <v>4</v>
      </c>
      <c r="G105" s="40">
        <v>0</v>
      </c>
      <c r="H105" s="40">
        <v>0</v>
      </c>
      <c r="I105" s="40">
        <v>0</v>
      </c>
      <c r="J105" s="40">
        <v>0</v>
      </c>
      <c r="K105" s="40">
        <v>4</v>
      </c>
      <c r="L105" s="40">
        <v>0</v>
      </c>
      <c r="M105" s="40">
        <v>3</v>
      </c>
      <c r="N105" s="40">
        <v>1</v>
      </c>
      <c r="O105" s="40">
        <v>0</v>
      </c>
      <c r="P105" s="40">
        <v>0</v>
      </c>
    </row>
    <row r="106" spans="1:16" x14ac:dyDescent="0.25">
      <c r="A106" s="40">
        <v>540279</v>
      </c>
      <c r="B106" s="40" t="s">
        <v>320</v>
      </c>
      <c r="C106" s="40" t="s">
        <v>39</v>
      </c>
      <c r="D106" s="40" t="s">
        <v>115</v>
      </c>
      <c r="E106" s="40">
        <v>3</v>
      </c>
      <c r="F106" s="40">
        <v>0</v>
      </c>
      <c r="G106" s="40">
        <v>0</v>
      </c>
      <c r="H106" s="40">
        <v>0</v>
      </c>
      <c r="I106" s="40">
        <v>0</v>
      </c>
      <c r="J106" s="40">
        <v>0</v>
      </c>
      <c r="K106" s="40">
        <v>0</v>
      </c>
      <c r="L106" s="40">
        <v>0</v>
      </c>
      <c r="M106" s="40">
        <v>0</v>
      </c>
      <c r="N106" s="40">
        <v>0</v>
      </c>
      <c r="O106" s="40">
        <v>0</v>
      </c>
      <c r="P106" s="40">
        <v>0</v>
      </c>
    </row>
    <row r="107" spans="1:16" x14ac:dyDescent="0.25">
      <c r="A107" s="40">
        <v>540033</v>
      </c>
      <c r="B107" s="40" t="s">
        <v>138</v>
      </c>
      <c r="C107" s="40" t="s">
        <v>39</v>
      </c>
      <c r="D107" s="40" t="s">
        <v>115</v>
      </c>
      <c r="E107" s="40">
        <v>3</v>
      </c>
      <c r="F107" s="40">
        <v>0</v>
      </c>
      <c r="G107" s="40">
        <v>0</v>
      </c>
      <c r="H107" s="40">
        <v>0</v>
      </c>
      <c r="I107" s="40">
        <v>0</v>
      </c>
      <c r="J107" s="40">
        <v>0</v>
      </c>
      <c r="K107" s="40">
        <v>0</v>
      </c>
      <c r="L107" s="40">
        <v>0</v>
      </c>
      <c r="M107" s="40">
        <v>0</v>
      </c>
      <c r="N107" s="40">
        <v>0</v>
      </c>
      <c r="O107" s="40">
        <v>0</v>
      </c>
      <c r="P107" s="40">
        <v>0</v>
      </c>
    </row>
    <row r="108" spans="1:16" x14ac:dyDescent="0.25">
      <c r="A108" s="40"/>
      <c r="B108" s="40"/>
      <c r="C108" s="40" t="s">
        <v>39</v>
      </c>
      <c r="D108" s="40"/>
      <c r="E108" s="40"/>
      <c r="F108" s="40">
        <v>28</v>
      </c>
      <c r="G108" s="40">
        <v>2</v>
      </c>
      <c r="H108" s="40">
        <v>0</v>
      </c>
      <c r="I108" s="40">
        <v>5</v>
      </c>
      <c r="J108" s="40">
        <v>0</v>
      </c>
      <c r="K108" s="40">
        <v>11</v>
      </c>
      <c r="L108" s="40">
        <v>10</v>
      </c>
      <c r="M108" s="40">
        <v>12</v>
      </c>
      <c r="N108" s="40">
        <v>5</v>
      </c>
      <c r="O108" s="40">
        <v>1</v>
      </c>
      <c r="P108" s="40">
        <v>0</v>
      </c>
    </row>
    <row r="109" spans="1:16" x14ac:dyDescent="0.25">
      <c r="A109" s="40">
        <v>540085</v>
      </c>
      <c r="B109" s="40" t="s">
        <v>40</v>
      </c>
      <c r="C109" s="40" t="s">
        <v>41</v>
      </c>
      <c r="D109" s="40" t="s">
        <v>5</v>
      </c>
      <c r="E109" s="40">
        <v>7</v>
      </c>
      <c r="F109" s="40">
        <v>15</v>
      </c>
      <c r="G109" s="40">
        <v>1</v>
      </c>
      <c r="H109" s="40">
        <v>1</v>
      </c>
      <c r="I109" s="40">
        <v>8</v>
      </c>
      <c r="J109" s="40">
        <v>1</v>
      </c>
      <c r="K109" s="40">
        <v>3</v>
      </c>
      <c r="L109" s="40">
        <v>1</v>
      </c>
      <c r="M109" s="40">
        <v>9</v>
      </c>
      <c r="N109" s="40">
        <v>1</v>
      </c>
      <c r="O109" s="40">
        <v>1</v>
      </c>
      <c r="P109" s="40">
        <v>3</v>
      </c>
    </row>
    <row r="110" spans="1:16" x14ac:dyDescent="0.25">
      <c r="A110" s="40">
        <v>540086</v>
      </c>
      <c r="B110" s="40" t="s">
        <v>179</v>
      </c>
      <c r="C110" s="40" t="s">
        <v>41</v>
      </c>
      <c r="D110" s="40" t="s">
        <v>115</v>
      </c>
      <c r="E110" s="40">
        <v>7</v>
      </c>
      <c r="F110" s="40">
        <v>0</v>
      </c>
      <c r="G110" s="40">
        <v>0</v>
      </c>
      <c r="H110" s="40">
        <v>0</v>
      </c>
      <c r="I110" s="40">
        <v>0</v>
      </c>
      <c r="J110" s="40">
        <v>0</v>
      </c>
      <c r="K110" s="40">
        <v>0</v>
      </c>
      <c r="L110" s="40">
        <v>0</v>
      </c>
      <c r="M110" s="40">
        <v>0</v>
      </c>
      <c r="N110" s="40">
        <v>0</v>
      </c>
      <c r="O110" s="40">
        <v>0</v>
      </c>
      <c r="P110" s="40">
        <v>0</v>
      </c>
    </row>
    <row r="111" spans="1:16" x14ac:dyDescent="0.25">
      <c r="A111" s="40">
        <v>540087</v>
      </c>
      <c r="B111" s="40" t="s">
        <v>180</v>
      </c>
      <c r="C111" s="40" t="s">
        <v>41</v>
      </c>
      <c r="D111" s="40" t="s">
        <v>115</v>
      </c>
      <c r="E111" s="40">
        <v>7</v>
      </c>
      <c r="F111" s="40">
        <v>1</v>
      </c>
      <c r="G111" s="40">
        <v>0</v>
      </c>
      <c r="H111" s="40">
        <v>0</v>
      </c>
      <c r="I111" s="40">
        <v>0</v>
      </c>
      <c r="J111" s="40">
        <v>1</v>
      </c>
      <c r="K111" s="40">
        <v>0</v>
      </c>
      <c r="L111" s="40">
        <v>0</v>
      </c>
      <c r="M111" s="40">
        <v>0</v>
      </c>
      <c r="N111" s="40">
        <v>0</v>
      </c>
      <c r="O111" s="40">
        <v>1</v>
      </c>
      <c r="P111" s="40">
        <v>0</v>
      </c>
    </row>
    <row r="112" spans="1:16" x14ac:dyDescent="0.25">
      <c r="A112" s="40"/>
      <c r="B112" s="40"/>
      <c r="C112" s="40" t="s">
        <v>41</v>
      </c>
      <c r="D112" s="40"/>
      <c r="E112" s="40"/>
      <c r="F112" s="40">
        <v>16</v>
      </c>
      <c r="G112" s="40">
        <v>1</v>
      </c>
      <c r="H112" s="40">
        <v>1</v>
      </c>
      <c r="I112" s="40">
        <v>8</v>
      </c>
      <c r="J112" s="40">
        <v>2</v>
      </c>
      <c r="K112" s="40">
        <v>3</v>
      </c>
      <c r="L112" s="40">
        <v>1</v>
      </c>
      <c r="M112" s="40">
        <v>9</v>
      </c>
      <c r="N112" s="40">
        <v>1</v>
      </c>
      <c r="O112" s="40">
        <v>2</v>
      </c>
      <c r="P112" s="40">
        <v>3</v>
      </c>
    </row>
    <row r="113" spans="1:16" x14ac:dyDescent="0.25">
      <c r="A113" s="40">
        <v>540088</v>
      </c>
      <c r="B113" s="40" t="s">
        <v>42</v>
      </c>
      <c r="C113" s="40" t="s">
        <v>43</v>
      </c>
      <c r="D113" s="40" t="s">
        <v>5</v>
      </c>
      <c r="E113" s="40">
        <v>2</v>
      </c>
      <c r="F113" s="40">
        <v>7</v>
      </c>
      <c r="G113" s="40">
        <v>0</v>
      </c>
      <c r="H113" s="40">
        <v>0</v>
      </c>
      <c r="I113" s="40">
        <v>1</v>
      </c>
      <c r="J113" s="40">
        <v>0</v>
      </c>
      <c r="K113" s="40">
        <v>1</v>
      </c>
      <c r="L113" s="40">
        <v>5</v>
      </c>
      <c r="M113" s="40">
        <v>2</v>
      </c>
      <c r="N113" s="40">
        <v>0</v>
      </c>
      <c r="O113" s="40">
        <v>0</v>
      </c>
      <c r="P113" s="40">
        <v>0</v>
      </c>
    </row>
    <row r="114" spans="1:16" x14ac:dyDescent="0.25">
      <c r="A114" s="40">
        <v>540089</v>
      </c>
      <c r="B114" s="40" t="s">
        <v>181</v>
      </c>
      <c r="C114" s="40" t="s">
        <v>43</v>
      </c>
      <c r="D114" s="40" t="s">
        <v>115</v>
      </c>
      <c r="E114" s="40">
        <v>2</v>
      </c>
      <c r="F114" s="40">
        <v>0</v>
      </c>
      <c r="G114" s="40">
        <v>0</v>
      </c>
      <c r="H114" s="40">
        <v>0</v>
      </c>
      <c r="I114" s="40">
        <v>0</v>
      </c>
      <c r="J114" s="40">
        <v>0</v>
      </c>
      <c r="K114" s="40">
        <v>0</v>
      </c>
      <c r="L114" s="40">
        <v>0</v>
      </c>
      <c r="M114" s="40">
        <v>0</v>
      </c>
      <c r="N114" s="40">
        <v>0</v>
      </c>
      <c r="O114" s="40">
        <v>0</v>
      </c>
      <c r="P114" s="40">
        <v>0</v>
      </c>
    </row>
    <row r="115" spans="1:16" x14ac:dyDescent="0.25">
      <c r="A115" s="40">
        <v>540090</v>
      </c>
      <c r="B115" s="40" t="s">
        <v>182</v>
      </c>
      <c r="C115" s="40" t="s">
        <v>43</v>
      </c>
      <c r="D115" s="40" t="s">
        <v>115</v>
      </c>
      <c r="E115" s="40">
        <v>2</v>
      </c>
      <c r="F115" s="40">
        <v>0</v>
      </c>
      <c r="G115" s="40">
        <v>0</v>
      </c>
      <c r="H115" s="40">
        <v>0</v>
      </c>
      <c r="I115" s="40">
        <v>0</v>
      </c>
      <c r="J115" s="40">
        <v>0</v>
      </c>
      <c r="K115" s="40">
        <v>0</v>
      </c>
      <c r="L115" s="40">
        <v>0</v>
      </c>
      <c r="M115" s="40">
        <v>0</v>
      </c>
      <c r="N115" s="40">
        <v>0</v>
      </c>
      <c r="O115" s="40">
        <v>0</v>
      </c>
      <c r="P115" s="40">
        <v>0</v>
      </c>
    </row>
    <row r="116" spans="1:16" x14ac:dyDescent="0.25">
      <c r="A116" s="40"/>
      <c r="B116" s="40"/>
      <c r="C116" s="40" t="s">
        <v>43</v>
      </c>
      <c r="D116" s="40"/>
      <c r="E116" s="40"/>
      <c r="F116" s="40">
        <v>7</v>
      </c>
      <c r="G116" s="40">
        <v>0</v>
      </c>
      <c r="H116" s="40">
        <v>0</v>
      </c>
      <c r="I116" s="40">
        <v>1</v>
      </c>
      <c r="J116" s="40">
        <v>0</v>
      </c>
      <c r="K116" s="40">
        <v>1</v>
      </c>
      <c r="L116" s="40">
        <v>5</v>
      </c>
      <c r="M116" s="40">
        <v>2</v>
      </c>
      <c r="N116" s="40">
        <v>0</v>
      </c>
      <c r="O116" s="40">
        <v>0</v>
      </c>
      <c r="P116" s="40">
        <v>0</v>
      </c>
    </row>
    <row r="117" spans="1:16" x14ac:dyDescent="0.25">
      <c r="A117" s="40">
        <v>540097</v>
      </c>
      <c r="B117" s="40" t="s">
        <v>44</v>
      </c>
      <c r="C117" s="40" t="s">
        <v>45</v>
      </c>
      <c r="D117" s="40" t="s">
        <v>5</v>
      </c>
      <c r="E117" s="40">
        <v>6</v>
      </c>
      <c r="F117" s="40">
        <v>14</v>
      </c>
      <c r="G117" s="40">
        <v>0</v>
      </c>
      <c r="H117" s="40">
        <v>0</v>
      </c>
      <c r="I117" s="40">
        <v>8</v>
      </c>
      <c r="J117" s="40">
        <v>0</v>
      </c>
      <c r="K117" s="40">
        <v>4</v>
      </c>
      <c r="L117" s="40">
        <v>2</v>
      </c>
      <c r="M117" s="40">
        <v>10</v>
      </c>
      <c r="N117" s="40">
        <v>1</v>
      </c>
      <c r="O117" s="40">
        <v>0</v>
      </c>
      <c r="P117" s="40">
        <v>1</v>
      </c>
    </row>
    <row r="118" spans="1:16" x14ac:dyDescent="0.25">
      <c r="A118" s="40">
        <v>540098</v>
      </c>
      <c r="B118" s="40" t="s">
        <v>187</v>
      </c>
      <c r="C118" s="40" t="s">
        <v>45</v>
      </c>
      <c r="D118" s="40" t="s">
        <v>115</v>
      </c>
      <c r="E118" s="40">
        <v>6</v>
      </c>
      <c r="F118" s="40">
        <v>0</v>
      </c>
      <c r="G118" s="40">
        <v>0</v>
      </c>
      <c r="H118" s="40">
        <v>0</v>
      </c>
      <c r="I118" s="40">
        <v>0</v>
      </c>
      <c r="J118" s="40">
        <v>0</v>
      </c>
      <c r="K118" s="40">
        <v>0</v>
      </c>
      <c r="L118" s="40">
        <v>0</v>
      </c>
      <c r="M118" s="40">
        <v>0</v>
      </c>
      <c r="N118" s="40">
        <v>0</v>
      </c>
      <c r="O118" s="40">
        <v>0</v>
      </c>
      <c r="P118" s="40">
        <v>0</v>
      </c>
    </row>
    <row r="119" spans="1:16" x14ac:dyDescent="0.25">
      <c r="A119" s="40">
        <v>540099</v>
      </c>
      <c r="B119" s="40" t="s">
        <v>188</v>
      </c>
      <c r="C119" s="40" t="s">
        <v>45</v>
      </c>
      <c r="D119" s="40" t="s">
        <v>115</v>
      </c>
      <c r="E119" s="40">
        <v>6</v>
      </c>
      <c r="F119" s="40">
        <v>0</v>
      </c>
      <c r="G119" s="40">
        <v>0</v>
      </c>
      <c r="H119" s="40">
        <v>0</v>
      </c>
      <c r="I119" s="40">
        <v>0</v>
      </c>
      <c r="J119" s="40">
        <v>0</v>
      </c>
      <c r="K119" s="40">
        <v>0</v>
      </c>
      <c r="L119" s="40">
        <v>0</v>
      </c>
      <c r="M119" s="40">
        <v>0</v>
      </c>
      <c r="N119" s="40">
        <v>0</v>
      </c>
      <c r="O119" s="40">
        <v>0</v>
      </c>
      <c r="P119" s="40">
        <v>0</v>
      </c>
    </row>
    <row r="120" spans="1:16" x14ac:dyDescent="0.25">
      <c r="A120" s="40">
        <v>540100</v>
      </c>
      <c r="B120" s="40" t="s">
        <v>189</v>
      </c>
      <c r="C120" s="40" t="s">
        <v>45</v>
      </c>
      <c r="D120" s="40" t="s">
        <v>115</v>
      </c>
      <c r="E120" s="40">
        <v>6</v>
      </c>
      <c r="F120" s="40">
        <v>0</v>
      </c>
      <c r="G120" s="40">
        <v>0</v>
      </c>
      <c r="H120" s="40">
        <v>0</v>
      </c>
      <c r="I120" s="40">
        <v>0</v>
      </c>
      <c r="J120" s="40">
        <v>0</v>
      </c>
      <c r="K120" s="40">
        <v>0</v>
      </c>
      <c r="L120" s="40">
        <v>0</v>
      </c>
      <c r="M120" s="40">
        <v>0</v>
      </c>
      <c r="N120" s="40">
        <v>0</v>
      </c>
      <c r="O120" s="40">
        <v>0</v>
      </c>
      <c r="P120" s="40">
        <v>0</v>
      </c>
    </row>
    <row r="121" spans="1:16" x14ac:dyDescent="0.25">
      <c r="A121" s="40">
        <v>540101</v>
      </c>
      <c r="B121" s="40" t="s">
        <v>190</v>
      </c>
      <c r="C121" s="40" t="s">
        <v>45</v>
      </c>
      <c r="D121" s="40" t="s">
        <v>115</v>
      </c>
      <c r="E121" s="40">
        <v>6</v>
      </c>
      <c r="F121" s="40">
        <v>0</v>
      </c>
      <c r="G121" s="40">
        <v>0</v>
      </c>
      <c r="H121" s="40">
        <v>0</v>
      </c>
      <c r="I121" s="40">
        <v>0</v>
      </c>
      <c r="J121" s="40">
        <v>0</v>
      </c>
      <c r="K121" s="40">
        <v>0</v>
      </c>
      <c r="L121" s="40">
        <v>0</v>
      </c>
      <c r="M121" s="40">
        <v>0</v>
      </c>
      <c r="N121" s="40">
        <v>0</v>
      </c>
      <c r="O121" s="40">
        <v>0</v>
      </c>
      <c r="P121" s="40">
        <v>0</v>
      </c>
    </row>
    <row r="122" spans="1:16" x14ac:dyDescent="0.25">
      <c r="A122" s="40">
        <v>540102</v>
      </c>
      <c r="B122" s="40" t="s">
        <v>191</v>
      </c>
      <c r="C122" s="40" t="s">
        <v>45</v>
      </c>
      <c r="D122" s="40" t="s">
        <v>115</v>
      </c>
      <c r="E122" s="40">
        <v>6</v>
      </c>
      <c r="F122" s="40">
        <v>0</v>
      </c>
      <c r="G122" s="40">
        <v>0</v>
      </c>
      <c r="H122" s="40">
        <v>0</v>
      </c>
      <c r="I122" s="40">
        <v>0</v>
      </c>
      <c r="J122" s="40">
        <v>0</v>
      </c>
      <c r="K122" s="40">
        <v>0</v>
      </c>
      <c r="L122" s="40">
        <v>0</v>
      </c>
      <c r="M122" s="40">
        <v>0</v>
      </c>
      <c r="N122" s="40">
        <v>0</v>
      </c>
      <c r="O122" s="40">
        <v>0</v>
      </c>
      <c r="P122" s="40">
        <v>0</v>
      </c>
    </row>
    <row r="123" spans="1:16" x14ac:dyDescent="0.25">
      <c r="A123" s="40">
        <v>540103</v>
      </c>
      <c r="B123" s="40" t="s">
        <v>192</v>
      </c>
      <c r="C123" s="40" t="s">
        <v>45</v>
      </c>
      <c r="D123" s="40" t="s">
        <v>115</v>
      </c>
      <c r="E123" s="40">
        <v>6</v>
      </c>
      <c r="F123" s="40">
        <v>0</v>
      </c>
      <c r="G123" s="40">
        <v>0</v>
      </c>
      <c r="H123" s="40">
        <v>0</v>
      </c>
      <c r="I123" s="40">
        <v>0</v>
      </c>
      <c r="J123" s="40">
        <v>0</v>
      </c>
      <c r="K123" s="40">
        <v>0</v>
      </c>
      <c r="L123" s="40">
        <v>0</v>
      </c>
      <c r="M123" s="40">
        <v>0</v>
      </c>
      <c r="N123" s="40">
        <v>0</v>
      </c>
      <c r="O123" s="40">
        <v>0</v>
      </c>
      <c r="P123" s="40">
        <v>0</v>
      </c>
    </row>
    <row r="124" spans="1:16" x14ac:dyDescent="0.25">
      <c r="A124" s="40">
        <v>540104</v>
      </c>
      <c r="B124" s="40" t="s">
        <v>193</v>
      </c>
      <c r="C124" s="40" t="s">
        <v>45</v>
      </c>
      <c r="D124" s="40" t="s">
        <v>115</v>
      </c>
      <c r="E124" s="40">
        <v>6</v>
      </c>
      <c r="F124" s="40">
        <v>1</v>
      </c>
      <c r="G124" s="40">
        <v>0</v>
      </c>
      <c r="H124" s="40">
        <v>0</v>
      </c>
      <c r="I124" s="40">
        <v>0</v>
      </c>
      <c r="J124" s="40">
        <v>0</v>
      </c>
      <c r="K124" s="40">
        <v>0</v>
      </c>
      <c r="L124" s="40">
        <v>1</v>
      </c>
      <c r="M124" s="40">
        <v>0</v>
      </c>
      <c r="N124" s="40">
        <v>0</v>
      </c>
      <c r="O124" s="40">
        <v>0</v>
      </c>
      <c r="P124" s="40">
        <v>0</v>
      </c>
    </row>
    <row r="125" spans="1:16" x14ac:dyDescent="0.25">
      <c r="A125" s="40">
        <v>540105</v>
      </c>
      <c r="B125" s="40" t="s">
        <v>194</v>
      </c>
      <c r="C125" s="40" t="s">
        <v>45</v>
      </c>
      <c r="D125" s="40" t="s">
        <v>115</v>
      </c>
      <c r="E125" s="40">
        <v>6</v>
      </c>
      <c r="F125" s="40">
        <v>0</v>
      </c>
      <c r="G125" s="40">
        <v>0</v>
      </c>
      <c r="H125" s="40">
        <v>0</v>
      </c>
      <c r="I125" s="40">
        <v>0</v>
      </c>
      <c r="J125" s="40">
        <v>0</v>
      </c>
      <c r="K125" s="40">
        <v>0</v>
      </c>
      <c r="L125" s="40">
        <v>0</v>
      </c>
      <c r="M125" s="40">
        <v>0</v>
      </c>
      <c r="N125" s="40">
        <v>0</v>
      </c>
      <c r="O125" s="40">
        <v>0</v>
      </c>
      <c r="P125" s="40">
        <v>0</v>
      </c>
    </row>
    <row r="126" spans="1:16" x14ac:dyDescent="0.25">
      <c r="A126" s="40">
        <v>540106</v>
      </c>
      <c r="B126" s="40" t="s">
        <v>195</v>
      </c>
      <c r="C126" s="40" t="s">
        <v>45</v>
      </c>
      <c r="D126" s="40" t="s">
        <v>115</v>
      </c>
      <c r="E126" s="40">
        <v>6</v>
      </c>
      <c r="F126" s="40">
        <v>1</v>
      </c>
      <c r="G126" s="40">
        <v>0</v>
      </c>
      <c r="H126" s="40">
        <v>0</v>
      </c>
      <c r="I126" s="40">
        <v>0</v>
      </c>
      <c r="J126" s="40">
        <v>0</v>
      </c>
      <c r="K126" s="40">
        <v>0</v>
      </c>
      <c r="L126" s="40">
        <v>1</v>
      </c>
      <c r="M126" s="40">
        <v>0</v>
      </c>
      <c r="N126" s="40">
        <v>0</v>
      </c>
      <c r="O126" s="40">
        <v>0</v>
      </c>
      <c r="P126" s="40">
        <v>0</v>
      </c>
    </row>
    <row r="127" spans="1:16" x14ac:dyDescent="0.25">
      <c r="A127" s="40">
        <v>540292</v>
      </c>
      <c r="B127" s="40" t="s">
        <v>329</v>
      </c>
      <c r="C127" s="40" t="s">
        <v>45</v>
      </c>
      <c r="D127" s="40" t="s">
        <v>115</v>
      </c>
      <c r="E127" s="40">
        <v>6</v>
      </c>
      <c r="F127" s="40">
        <v>0</v>
      </c>
      <c r="G127" s="40">
        <v>0</v>
      </c>
      <c r="H127" s="40">
        <v>0</v>
      </c>
      <c r="I127" s="40">
        <v>0</v>
      </c>
      <c r="J127" s="40">
        <v>0</v>
      </c>
      <c r="K127" s="40">
        <v>0</v>
      </c>
      <c r="L127" s="40">
        <v>0</v>
      </c>
      <c r="M127" s="40">
        <v>0</v>
      </c>
      <c r="N127" s="40">
        <v>0</v>
      </c>
      <c r="O127" s="40">
        <v>0</v>
      </c>
      <c r="P127" s="40">
        <v>0</v>
      </c>
    </row>
    <row r="128" spans="1:16" x14ac:dyDescent="0.25">
      <c r="A128" s="40">
        <v>545556</v>
      </c>
      <c r="B128" s="40" t="s">
        <v>337</v>
      </c>
      <c r="C128" s="40" t="s">
        <v>45</v>
      </c>
      <c r="D128" s="40" t="s">
        <v>115</v>
      </c>
      <c r="E128" s="40">
        <v>6</v>
      </c>
      <c r="F128" s="40">
        <v>0</v>
      </c>
      <c r="G128" s="40">
        <v>0</v>
      </c>
      <c r="H128" s="40">
        <v>0</v>
      </c>
      <c r="I128" s="40">
        <v>0</v>
      </c>
      <c r="J128" s="40">
        <v>0</v>
      </c>
      <c r="K128" s="40">
        <v>0</v>
      </c>
      <c r="L128" s="40">
        <v>0</v>
      </c>
      <c r="M128" s="40">
        <v>0</v>
      </c>
      <c r="N128" s="40">
        <v>0</v>
      </c>
      <c r="O128" s="40">
        <v>0</v>
      </c>
      <c r="P128" s="40">
        <v>0</v>
      </c>
    </row>
    <row r="129" spans="1:16" x14ac:dyDescent="0.25">
      <c r="A129" s="40"/>
      <c r="B129" s="40"/>
      <c r="C129" s="40" t="s">
        <v>45</v>
      </c>
      <c r="D129" s="40"/>
      <c r="E129" s="40"/>
      <c r="F129" s="40">
        <v>16</v>
      </c>
      <c r="G129" s="40">
        <v>0</v>
      </c>
      <c r="H129" s="40">
        <v>0</v>
      </c>
      <c r="I129" s="40">
        <v>8</v>
      </c>
      <c r="J129" s="40">
        <v>0</v>
      </c>
      <c r="K129" s="40">
        <v>4</v>
      </c>
      <c r="L129" s="40">
        <v>4</v>
      </c>
      <c r="M129" s="40">
        <v>10</v>
      </c>
      <c r="N129" s="40">
        <v>1</v>
      </c>
      <c r="O129" s="40">
        <v>0</v>
      </c>
      <c r="P129" s="40">
        <v>1</v>
      </c>
    </row>
    <row r="130" spans="1:16" x14ac:dyDescent="0.25">
      <c r="A130" s="40">
        <v>540107</v>
      </c>
      <c r="B130" s="40" t="s">
        <v>46</v>
      </c>
      <c r="C130" s="40" t="s">
        <v>47</v>
      </c>
      <c r="D130" s="40" t="s">
        <v>5</v>
      </c>
      <c r="E130" s="40">
        <v>10</v>
      </c>
      <c r="F130" s="40">
        <v>19</v>
      </c>
      <c r="G130" s="40">
        <v>0</v>
      </c>
      <c r="H130" s="40">
        <v>0</v>
      </c>
      <c r="I130" s="40">
        <v>9</v>
      </c>
      <c r="J130" s="40">
        <v>2</v>
      </c>
      <c r="K130" s="40">
        <v>4</v>
      </c>
      <c r="L130" s="40">
        <v>4</v>
      </c>
      <c r="M130" s="40">
        <v>12</v>
      </c>
      <c r="N130" s="40">
        <v>2</v>
      </c>
      <c r="O130" s="40">
        <v>1</v>
      </c>
      <c r="P130" s="40">
        <v>0</v>
      </c>
    </row>
    <row r="131" spans="1:16" x14ac:dyDescent="0.25">
      <c r="A131" s="40">
        <v>540108</v>
      </c>
      <c r="B131" s="40" t="s">
        <v>196</v>
      </c>
      <c r="C131" s="40" t="s">
        <v>47</v>
      </c>
      <c r="D131" s="40" t="s">
        <v>115</v>
      </c>
      <c r="E131" s="40">
        <v>10</v>
      </c>
      <c r="F131" s="40">
        <v>0</v>
      </c>
      <c r="G131" s="40">
        <v>0</v>
      </c>
      <c r="H131" s="40">
        <v>0</v>
      </c>
      <c r="I131" s="40">
        <v>0</v>
      </c>
      <c r="J131" s="40">
        <v>0</v>
      </c>
      <c r="K131" s="40">
        <v>0</v>
      </c>
      <c r="L131" s="40">
        <v>0</v>
      </c>
      <c r="M131" s="40">
        <v>0</v>
      </c>
      <c r="N131" s="40">
        <v>0</v>
      </c>
      <c r="O131" s="40">
        <v>0</v>
      </c>
      <c r="P131" s="40">
        <v>0</v>
      </c>
    </row>
    <row r="132" spans="1:16" x14ac:dyDescent="0.25">
      <c r="A132" s="40">
        <v>540109</v>
      </c>
      <c r="B132" s="40" t="s">
        <v>197</v>
      </c>
      <c r="C132" s="40" t="s">
        <v>47</v>
      </c>
      <c r="D132" s="40" t="s">
        <v>115</v>
      </c>
      <c r="E132" s="40">
        <v>10</v>
      </c>
      <c r="F132" s="40">
        <v>0</v>
      </c>
      <c r="G132" s="40">
        <v>0</v>
      </c>
      <c r="H132" s="40">
        <v>0</v>
      </c>
      <c r="I132" s="40">
        <v>0</v>
      </c>
      <c r="J132" s="40">
        <v>0</v>
      </c>
      <c r="K132" s="40">
        <v>0</v>
      </c>
      <c r="L132" s="40">
        <v>0</v>
      </c>
      <c r="M132" s="40">
        <v>0</v>
      </c>
      <c r="N132" s="40">
        <v>0</v>
      </c>
      <c r="O132" s="40">
        <v>0</v>
      </c>
      <c r="P132" s="40">
        <v>0</v>
      </c>
    </row>
    <row r="133" spans="1:16" x14ac:dyDescent="0.25">
      <c r="A133" s="40">
        <v>540110</v>
      </c>
      <c r="B133" s="40" t="s">
        <v>198</v>
      </c>
      <c r="C133" s="40" t="s">
        <v>47</v>
      </c>
      <c r="D133" s="40" t="s">
        <v>115</v>
      </c>
      <c r="E133" s="40">
        <v>10</v>
      </c>
      <c r="F133" s="40">
        <v>0</v>
      </c>
      <c r="G133" s="40">
        <v>0</v>
      </c>
      <c r="H133" s="40">
        <v>0</v>
      </c>
      <c r="I133" s="40">
        <v>0</v>
      </c>
      <c r="J133" s="40">
        <v>0</v>
      </c>
      <c r="K133" s="40">
        <v>0</v>
      </c>
      <c r="L133" s="40">
        <v>0</v>
      </c>
      <c r="M133" s="40">
        <v>0</v>
      </c>
      <c r="N133" s="40">
        <v>0</v>
      </c>
      <c r="O133" s="40">
        <v>0</v>
      </c>
      <c r="P133" s="40">
        <v>0</v>
      </c>
    </row>
    <row r="134" spans="1:16" x14ac:dyDescent="0.25">
      <c r="A134" s="40">
        <v>540111</v>
      </c>
      <c r="B134" s="40" t="s">
        <v>199</v>
      </c>
      <c r="C134" s="40" t="s">
        <v>47</v>
      </c>
      <c r="D134" s="40" t="s">
        <v>115</v>
      </c>
      <c r="E134" s="40">
        <v>10</v>
      </c>
      <c r="F134" s="40">
        <v>0</v>
      </c>
      <c r="G134" s="40">
        <v>0</v>
      </c>
      <c r="H134" s="40">
        <v>0</v>
      </c>
      <c r="I134" s="40">
        <v>0</v>
      </c>
      <c r="J134" s="40">
        <v>0</v>
      </c>
      <c r="K134" s="40">
        <v>0</v>
      </c>
      <c r="L134" s="40">
        <v>0</v>
      </c>
      <c r="M134" s="40">
        <v>0</v>
      </c>
      <c r="N134" s="40">
        <v>0</v>
      </c>
      <c r="O134" s="40">
        <v>0</v>
      </c>
      <c r="P134" s="40">
        <v>0</v>
      </c>
    </row>
    <row r="135" spans="1:16" x14ac:dyDescent="0.25">
      <c r="A135" s="40">
        <v>540287</v>
      </c>
      <c r="B135" s="40" t="s">
        <v>326</v>
      </c>
      <c r="C135" s="40" t="s">
        <v>47</v>
      </c>
      <c r="D135" s="40" t="s">
        <v>115</v>
      </c>
      <c r="E135" s="40">
        <v>10</v>
      </c>
      <c r="F135" s="40">
        <v>2</v>
      </c>
      <c r="G135" s="40">
        <v>0</v>
      </c>
      <c r="H135" s="40">
        <v>0</v>
      </c>
      <c r="I135" s="40">
        <v>2</v>
      </c>
      <c r="J135" s="40">
        <v>0</v>
      </c>
      <c r="K135" s="40">
        <v>0</v>
      </c>
      <c r="L135" s="40">
        <v>0</v>
      </c>
      <c r="M135" s="40">
        <v>2</v>
      </c>
      <c r="N135" s="40">
        <v>0</v>
      </c>
      <c r="O135" s="40">
        <v>0</v>
      </c>
      <c r="P135" s="40">
        <v>0</v>
      </c>
    </row>
    <row r="136" spans="1:16" x14ac:dyDescent="0.25">
      <c r="A136" s="40">
        <v>540152</v>
      </c>
      <c r="B136" s="40" t="s">
        <v>229</v>
      </c>
      <c r="C136" s="40" t="s">
        <v>47</v>
      </c>
      <c r="D136" s="40" t="s">
        <v>115</v>
      </c>
      <c r="E136" s="40">
        <v>10</v>
      </c>
      <c r="F136" s="40">
        <v>0</v>
      </c>
      <c r="G136" s="40">
        <v>0</v>
      </c>
      <c r="H136" s="40">
        <v>0</v>
      </c>
      <c r="I136" s="40">
        <v>0</v>
      </c>
      <c r="J136" s="40">
        <v>0</v>
      </c>
      <c r="K136" s="40">
        <v>0</v>
      </c>
      <c r="L136" s="40">
        <v>0</v>
      </c>
      <c r="M136" s="40">
        <v>0</v>
      </c>
      <c r="N136" s="40">
        <v>0</v>
      </c>
      <c r="O136" s="40">
        <v>0</v>
      </c>
      <c r="P136" s="40">
        <v>0</v>
      </c>
    </row>
    <row r="137" spans="1:16" x14ac:dyDescent="0.25">
      <c r="A137" s="40"/>
      <c r="B137" s="40"/>
      <c r="C137" s="40" t="s">
        <v>47</v>
      </c>
      <c r="D137" s="40"/>
      <c r="E137" s="40"/>
      <c r="F137" s="40">
        <v>21</v>
      </c>
      <c r="G137" s="40">
        <v>0</v>
      </c>
      <c r="H137" s="40">
        <v>0</v>
      </c>
      <c r="I137" s="40">
        <v>11</v>
      </c>
      <c r="J137" s="40">
        <v>2</v>
      </c>
      <c r="K137" s="40">
        <v>4</v>
      </c>
      <c r="L137" s="40">
        <v>4</v>
      </c>
      <c r="M137" s="40">
        <v>14</v>
      </c>
      <c r="N137" s="40">
        <v>2</v>
      </c>
      <c r="O137" s="40">
        <v>1</v>
      </c>
      <c r="P137" s="40">
        <v>0</v>
      </c>
    </row>
    <row r="138" spans="1:16" x14ac:dyDescent="0.25">
      <c r="A138" s="40">
        <v>540112</v>
      </c>
      <c r="B138" s="40" t="s">
        <v>48</v>
      </c>
      <c r="C138" s="40" t="s">
        <v>49</v>
      </c>
      <c r="D138" s="40" t="s">
        <v>5</v>
      </c>
      <c r="E138" s="40">
        <v>2</v>
      </c>
      <c r="F138" s="40">
        <v>18</v>
      </c>
      <c r="G138" s="40">
        <v>2</v>
      </c>
      <c r="H138" s="40">
        <v>5</v>
      </c>
      <c r="I138" s="40">
        <v>0</v>
      </c>
      <c r="J138" s="40">
        <v>3</v>
      </c>
      <c r="K138" s="40">
        <v>3</v>
      </c>
      <c r="L138" s="40">
        <v>5</v>
      </c>
      <c r="M138" s="40">
        <v>6</v>
      </c>
      <c r="N138" s="40">
        <v>6</v>
      </c>
      <c r="O138" s="40">
        <v>0</v>
      </c>
      <c r="P138" s="40">
        <v>1</v>
      </c>
    </row>
    <row r="139" spans="1:16" x14ac:dyDescent="0.25">
      <c r="A139" s="40">
        <v>540113</v>
      </c>
      <c r="B139" s="40" t="s">
        <v>200</v>
      </c>
      <c r="C139" s="40" t="s">
        <v>49</v>
      </c>
      <c r="D139" s="40" t="s">
        <v>115</v>
      </c>
      <c r="E139" s="40">
        <v>2</v>
      </c>
      <c r="F139" s="40">
        <v>0</v>
      </c>
      <c r="G139" s="40">
        <v>0</v>
      </c>
      <c r="H139" s="40">
        <v>0</v>
      </c>
      <c r="I139" s="40">
        <v>0</v>
      </c>
      <c r="J139" s="40">
        <v>0</v>
      </c>
      <c r="K139" s="40">
        <v>0</v>
      </c>
      <c r="L139" s="40">
        <v>0</v>
      </c>
      <c r="M139" s="40">
        <v>0</v>
      </c>
      <c r="N139" s="40">
        <v>0</v>
      </c>
      <c r="O139" s="40">
        <v>0</v>
      </c>
      <c r="P139" s="40">
        <v>0</v>
      </c>
    </row>
    <row r="140" spans="1:16" x14ac:dyDescent="0.25">
      <c r="A140" s="40">
        <v>540247</v>
      </c>
      <c r="B140" s="40" t="s">
        <v>293</v>
      </c>
      <c r="C140" s="40" t="s">
        <v>49</v>
      </c>
      <c r="D140" s="40" t="s">
        <v>115</v>
      </c>
      <c r="E140" s="40">
        <v>2</v>
      </c>
      <c r="F140" s="40">
        <v>0</v>
      </c>
      <c r="G140" s="40">
        <v>0</v>
      </c>
      <c r="H140" s="40">
        <v>0</v>
      </c>
      <c r="I140" s="40">
        <v>0</v>
      </c>
      <c r="J140" s="40">
        <v>0</v>
      </c>
      <c r="K140" s="40">
        <v>0</v>
      </c>
      <c r="L140" s="40">
        <v>0</v>
      </c>
      <c r="M140" s="40">
        <v>0</v>
      </c>
      <c r="N140" s="40">
        <v>0</v>
      </c>
      <c r="O140" s="40">
        <v>0</v>
      </c>
      <c r="P140" s="40">
        <v>0</v>
      </c>
    </row>
    <row r="141" spans="1:16" x14ac:dyDescent="0.25">
      <c r="A141" s="40">
        <v>540248</v>
      </c>
      <c r="B141" s="40" t="s">
        <v>294</v>
      </c>
      <c r="C141" s="40" t="s">
        <v>49</v>
      </c>
      <c r="D141" s="40" t="s">
        <v>115</v>
      </c>
      <c r="E141" s="40">
        <v>2</v>
      </c>
      <c r="F141" s="40">
        <v>0</v>
      </c>
      <c r="G141" s="40">
        <v>0</v>
      </c>
      <c r="H141" s="40">
        <v>0</v>
      </c>
      <c r="I141" s="40">
        <v>0</v>
      </c>
      <c r="J141" s="40">
        <v>0</v>
      </c>
      <c r="K141" s="40">
        <v>0</v>
      </c>
      <c r="L141" s="40">
        <v>0</v>
      </c>
      <c r="M141" s="40">
        <v>0</v>
      </c>
      <c r="N141" s="40">
        <v>0</v>
      </c>
      <c r="O141" s="40">
        <v>0</v>
      </c>
      <c r="P141" s="40">
        <v>0</v>
      </c>
    </row>
    <row r="142" spans="1:16" x14ac:dyDescent="0.25">
      <c r="A142" s="40">
        <v>540249</v>
      </c>
      <c r="B142" s="40" t="s">
        <v>295</v>
      </c>
      <c r="C142" s="40" t="s">
        <v>49</v>
      </c>
      <c r="D142" s="40" t="s">
        <v>115</v>
      </c>
      <c r="E142" s="40">
        <v>2</v>
      </c>
      <c r="F142" s="40">
        <v>0</v>
      </c>
      <c r="G142" s="40">
        <v>0</v>
      </c>
      <c r="H142" s="40">
        <v>0</v>
      </c>
      <c r="I142" s="40">
        <v>0</v>
      </c>
      <c r="J142" s="40">
        <v>0</v>
      </c>
      <c r="K142" s="40">
        <v>0</v>
      </c>
      <c r="L142" s="40">
        <v>0</v>
      </c>
      <c r="M142" s="40">
        <v>0</v>
      </c>
      <c r="N142" s="40">
        <v>0</v>
      </c>
      <c r="O142" s="40">
        <v>0</v>
      </c>
      <c r="P142" s="40">
        <v>0</v>
      </c>
    </row>
    <row r="143" spans="1:16" x14ac:dyDescent="0.25">
      <c r="A143" s="40">
        <v>540250</v>
      </c>
      <c r="B143" s="40" t="s">
        <v>296</v>
      </c>
      <c r="C143" s="40" t="s">
        <v>49</v>
      </c>
      <c r="D143" s="40" t="s">
        <v>115</v>
      </c>
      <c r="E143" s="40">
        <v>2</v>
      </c>
      <c r="F143" s="40">
        <v>1</v>
      </c>
      <c r="G143" s="40">
        <v>0</v>
      </c>
      <c r="H143" s="40">
        <v>0</v>
      </c>
      <c r="I143" s="40">
        <v>0</v>
      </c>
      <c r="J143" s="40">
        <v>0</v>
      </c>
      <c r="K143" s="40">
        <v>0</v>
      </c>
      <c r="L143" s="40">
        <v>1</v>
      </c>
      <c r="M143" s="40">
        <v>0</v>
      </c>
      <c r="N143" s="40">
        <v>0</v>
      </c>
      <c r="O143" s="40">
        <v>0</v>
      </c>
      <c r="P143" s="40">
        <v>0</v>
      </c>
    </row>
    <row r="144" spans="1:16" x14ac:dyDescent="0.25">
      <c r="A144" s="40">
        <v>540251</v>
      </c>
      <c r="B144" s="40" t="s">
        <v>297</v>
      </c>
      <c r="C144" s="40" t="s">
        <v>49</v>
      </c>
      <c r="D144" s="40" t="s">
        <v>115</v>
      </c>
      <c r="E144" s="40">
        <v>2</v>
      </c>
      <c r="F144" s="40">
        <v>0</v>
      </c>
      <c r="G144" s="40">
        <v>0</v>
      </c>
      <c r="H144" s="40">
        <v>0</v>
      </c>
      <c r="I144" s="40">
        <v>0</v>
      </c>
      <c r="J144" s="40">
        <v>0</v>
      </c>
      <c r="K144" s="40">
        <v>0</v>
      </c>
      <c r="L144" s="40">
        <v>0</v>
      </c>
      <c r="M144" s="40">
        <v>0</v>
      </c>
      <c r="N144" s="40">
        <v>0</v>
      </c>
      <c r="O144" s="40">
        <v>0</v>
      </c>
      <c r="P144" s="40">
        <v>0</v>
      </c>
    </row>
    <row r="145" spans="1:16" x14ac:dyDescent="0.25">
      <c r="A145" s="40"/>
      <c r="B145" s="40"/>
      <c r="C145" s="40" t="s">
        <v>49</v>
      </c>
      <c r="D145" s="40"/>
      <c r="E145" s="40"/>
      <c r="F145" s="40">
        <v>19</v>
      </c>
      <c r="G145" s="40">
        <v>2</v>
      </c>
      <c r="H145" s="40">
        <v>5</v>
      </c>
      <c r="I145" s="40">
        <v>0</v>
      </c>
      <c r="J145" s="40">
        <v>3</v>
      </c>
      <c r="K145" s="40">
        <v>3</v>
      </c>
      <c r="L145" s="40">
        <v>6</v>
      </c>
      <c r="M145" s="40">
        <v>6</v>
      </c>
      <c r="N145" s="40">
        <v>6</v>
      </c>
      <c r="O145" s="40">
        <v>0</v>
      </c>
      <c r="P145" s="40">
        <v>1</v>
      </c>
    </row>
    <row r="146" spans="1:16" x14ac:dyDescent="0.25">
      <c r="A146" s="40">
        <v>540114</v>
      </c>
      <c r="B146" s="40" t="s">
        <v>50</v>
      </c>
      <c r="C146" s="40" t="s">
        <v>51</v>
      </c>
      <c r="D146" s="40" t="s">
        <v>5</v>
      </c>
      <c r="E146" s="40">
        <v>1</v>
      </c>
      <c r="F146" s="40">
        <v>10</v>
      </c>
      <c r="G146" s="40">
        <v>0</v>
      </c>
      <c r="H146" s="40">
        <v>2</v>
      </c>
      <c r="I146" s="40">
        <v>5</v>
      </c>
      <c r="J146" s="40">
        <v>0</v>
      </c>
      <c r="K146" s="40">
        <v>1</v>
      </c>
      <c r="L146" s="40">
        <v>2</v>
      </c>
      <c r="M146" s="40">
        <v>3</v>
      </c>
      <c r="N146" s="40">
        <v>0</v>
      </c>
      <c r="O146" s="40">
        <v>0</v>
      </c>
      <c r="P146" s="40">
        <v>4</v>
      </c>
    </row>
    <row r="147" spans="1:16" x14ac:dyDescent="0.25">
      <c r="A147" s="40">
        <v>540115</v>
      </c>
      <c r="B147" s="40" t="s">
        <v>201</v>
      </c>
      <c r="C147" s="40" t="s">
        <v>51</v>
      </c>
      <c r="D147" s="40" t="s">
        <v>115</v>
      </c>
      <c r="E147" s="40">
        <v>1</v>
      </c>
      <c r="F147" s="40">
        <v>0</v>
      </c>
      <c r="G147" s="40">
        <v>0</v>
      </c>
      <c r="H147" s="40">
        <v>0</v>
      </c>
      <c r="I147" s="40">
        <v>0</v>
      </c>
      <c r="J147" s="40">
        <v>0</v>
      </c>
      <c r="K147" s="40">
        <v>0</v>
      </c>
      <c r="L147" s="40">
        <v>0</v>
      </c>
      <c r="M147" s="40">
        <v>0</v>
      </c>
      <c r="N147" s="40">
        <v>0</v>
      </c>
      <c r="O147" s="40">
        <v>0</v>
      </c>
      <c r="P147" s="40">
        <v>0</v>
      </c>
    </row>
    <row r="148" spans="1:16" x14ac:dyDescent="0.25">
      <c r="A148" s="40">
        <v>540116</v>
      </c>
      <c r="B148" s="40" t="s">
        <v>202</v>
      </c>
      <c r="C148" s="40" t="s">
        <v>51</v>
      </c>
      <c r="D148" s="40" t="s">
        <v>115</v>
      </c>
      <c r="E148" s="40">
        <v>1</v>
      </c>
      <c r="F148" s="40">
        <v>0</v>
      </c>
      <c r="G148" s="40">
        <v>0</v>
      </c>
      <c r="H148" s="40">
        <v>0</v>
      </c>
      <c r="I148" s="40">
        <v>0</v>
      </c>
      <c r="J148" s="40">
        <v>0</v>
      </c>
      <c r="K148" s="40">
        <v>0</v>
      </c>
      <c r="L148" s="40">
        <v>0</v>
      </c>
      <c r="M148" s="40">
        <v>0</v>
      </c>
      <c r="N148" s="40">
        <v>0</v>
      </c>
      <c r="O148" s="40">
        <v>0</v>
      </c>
      <c r="P148" s="40">
        <v>0</v>
      </c>
    </row>
    <row r="149" spans="1:16" x14ac:dyDescent="0.25">
      <c r="A149" s="40">
        <v>540117</v>
      </c>
      <c r="B149" s="40" t="s">
        <v>203</v>
      </c>
      <c r="C149" s="40" t="s">
        <v>51</v>
      </c>
      <c r="D149" s="40" t="s">
        <v>115</v>
      </c>
      <c r="E149" s="40">
        <v>1</v>
      </c>
      <c r="F149" s="40">
        <v>0</v>
      </c>
      <c r="G149" s="40">
        <v>0</v>
      </c>
      <c r="H149" s="40">
        <v>0</v>
      </c>
      <c r="I149" s="40">
        <v>0</v>
      </c>
      <c r="J149" s="40">
        <v>0</v>
      </c>
      <c r="K149" s="40">
        <v>0</v>
      </c>
      <c r="L149" s="40">
        <v>0</v>
      </c>
      <c r="M149" s="40">
        <v>0</v>
      </c>
      <c r="N149" s="40">
        <v>0</v>
      </c>
      <c r="O149" s="40">
        <v>0</v>
      </c>
      <c r="P149" s="40">
        <v>0</v>
      </c>
    </row>
    <row r="150" spans="1:16" x14ac:dyDescent="0.25">
      <c r="A150" s="40">
        <v>540118</v>
      </c>
      <c r="B150" s="40" t="s">
        <v>204</v>
      </c>
      <c r="C150" s="40" t="s">
        <v>51</v>
      </c>
      <c r="D150" s="40" t="s">
        <v>115</v>
      </c>
      <c r="E150" s="40">
        <v>1</v>
      </c>
      <c r="F150" s="40">
        <v>0</v>
      </c>
      <c r="G150" s="40">
        <v>0</v>
      </c>
      <c r="H150" s="40">
        <v>0</v>
      </c>
      <c r="I150" s="40">
        <v>0</v>
      </c>
      <c r="J150" s="40">
        <v>0</v>
      </c>
      <c r="K150" s="40">
        <v>0</v>
      </c>
      <c r="L150" s="40">
        <v>0</v>
      </c>
      <c r="M150" s="40">
        <v>0</v>
      </c>
      <c r="N150" s="40">
        <v>0</v>
      </c>
      <c r="O150" s="40">
        <v>0</v>
      </c>
      <c r="P150" s="40">
        <v>0</v>
      </c>
    </row>
    <row r="151" spans="1:16" x14ac:dyDescent="0.25">
      <c r="A151" s="40">
        <v>540119</v>
      </c>
      <c r="B151" s="40" t="s">
        <v>205</v>
      </c>
      <c r="C151" s="40" t="s">
        <v>51</v>
      </c>
      <c r="D151" s="40" t="s">
        <v>115</v>
      </c>
      <c r="E151" s="40">
        <v>1</v>
      </c>
      <c r="F151" s="40">
        <v>0</v>
      </c>
      <c r="G151" s="40">
        <v>0</v>
      </c>
      <c r="H151" s="40">
        <v>0</v>
      </c>
      <c r="I151" s="40">
        <v>0</v>
      </c>
      <c r="J151" s="40">
        <v>0</v>
      </c>
      <c r="K151" s="40">
        <v>0</v>
      </c>
      <c r="L151" s="40">
        <v>0</v>
      </c>
      <c r="M151" s="40">
        <v>0</v>
      </c>
      <c r="N151" s="40">
        <v>0</v>
      </c>
      <c r="O151" s="40">
        <v>0</v>
      </c>
      <c r="P151" s="40">
        <v>0</v>
      </c>
    </row>
    <row r="152" spans="1:16" x14ac:dyDescent="0.25">
      <c r="A152" s="40">
        <v>540120</v>
      </c>
      <c r="B152" s="40" t="s">
        <v>206</v>
      </c>
      <c r="C152" s="40" t="s">
        <v>51</v>
      </c>
      <c r="D152" s="40" t="s">
        <v>115</v>
      </c>
      <c r="E152" s="40">
        <v>1</v>
      </c>
      <c r="F152" s="40">
        <v>0</v>
      </c>
      <c r="G152" s="40">
        <v>0</v>
      </c>
      <c r="H152" s="40">
        <v>0</v>
      </c>
      <c r="I152" s="40">
        <v>0</v>
      </c>
      <c r="J152" s="40">
        <v>0</v>
      </c>
      <c r="K152" s="40">
        <v>0</v>
      </c>
      <c r="L152" s="40">
        <v>0</v>
      </c>
      <c r="M152" s="40">
        <v>0</v>
      </c>
      <c r="N152" s="40">
        <v>0</v>
      </c>
      <c r="O152" s="40">
        <v>0</v>
      </c>
      <c r="P152" s="40">
        <v>0</v>
      </c>
    </row>
    <row r="153" spans="1:16" x14ac:dyDescent="0.25">
      <c r="A153" s="40">
        <v>540121</v>
      </c>
      <c r="B153" s="40" t="s">
        <v>207</v>
      </c>
      <c r="C153" s="40" t="s">
        <v>51</v>
      </c>
      <c r="D153" s="40" t="s">
        <v>115</v>
      </c>
      <c r="E153" s="40">
        <v>1</v>
      </c>
      <c r="F153" s="40">
        <v>0</v>
      </c>
      <c r="G153" s="40">
        <v>0</v>
      </c>
      <c r="H153" s="40">
        <v>0</v>
      </c>
      <c r="I153" s="40">
        <v>0</v>
      </c>
      <c r="J153" s="40">
        <v>0</v>
      </c>
      <c r="K153" s="40">
        <v>0</v>
      </c>
      <c r="L153" s="40">
        <v>0</v>
      </c>
      <c r="M153" s="40">
        <v>0</v>
      </c>
      <c r="N153" s="40">
        <v>0</v>
      </c>
      <c r="O153" s="40">
        <v>0</v>
      </c>
      <c r="P153" s="40">
        <v>0</v>
      </c>
    </row>
    <row r="154" spans="1:16" x14ac:dyDescent="0.25">
      <c r="A154" s="40">
        <v>540122</v>
      </c>
      <c r="B154" s="40" t="s">
        <v>208</v>
      </c>
      <c r="C154" s="40" t="s">
        <v>51</v>
      </c>
      <c r="D154" s="40" t="s">
        <v>115</v>
      </c>
      <c r="E154" s="40">
        <v>1</v>
      </c>
      <c r="F154" s="40">
        <v>0</v>
      </c>
      <c r="G154" s="40">
        <v>0</v>
      </c>
      <c r="H154" s="40">
        <v>0</v>
      </c>
      <c r="I154" s="40">
        <v>0</v>
      </c>
      <c r="J154" s="40">
        <v>0</v>
      </c>
      <c r="K154" s="40">
        <v>0</v>
      </c>
      <c r="L154" s="40">
        <v>0</v>
      </c>
      <c r="M154" s="40">
        <v>0</v>
      </c>
      <c r="N154" s="40">
        <v>0</v>
      </c>
      <c r="O154" s="40">
        <v>0</v>
      </c>
      <c r="P154" s="40">
        <v>0</v>
      </c>
    </row>
    <row r="155" spans="1:16" x14ac:dyDescent="0.25">
      <c r="A155" s="40">
        <v>540123</v>
      </c>
      <c r="B155" s="40" t="s">
        <v>209</v>
      </c>
      <c r="C155" s="40" t="s">
        <v>51</v>
      </c>
      <c r="D155" s="40" t="s">
        <v>115</v>
      </c>
      <c r="E155" s="40">
        <v>1</v>
      </c>
      <c r="F155" s="40">
        <v>0</v>
      </c>
      <c r="G155" s="40">
        <v>0</v>
      </c>
      <c r="H155" s="40">
        <v>0</v>
      </c>
      <c r="I155" s="40">
        <v>0</v>
      </c>
      <c r="J155" s="40">
        <v>0</v>
      </c>
      <c r="K155" s="40">
        <v>0</v>
      </c>
      <c r="L155" s="40">
        <v>0</v>
      </c>
      <c r="M155" s="40">
        <v>0</v>
      </c>
      <c r="N155" s="40">
        <v>0</v>
      </c>
      <c r="O155" s="40">
        <v>0</v>
      </c>
      <c r="P155" s="40">
        <v>0</v>
      </c>
    </row>
    <row r="156" spans="1:16" x14ac:dyDescent="0.25">
      <c r="A156" s="40">
        <v>540291</v>
      </c>
      <c r="B156" s="40" t="s">
        <v>328</v>
      </c>
      <c r="C156" s="40" t="s">
        <v>51</v>
      </c>
      <c r="D156" s="40" t="s">
        <v>115</v>
      </c>
      <c r="E156" s="40">
        <v>1</v>
      </c>
      <c r="F156" s="40">
        <v>0</v>
      </c>
      <c r="G156" s="40">
        <v>0</v>
      </c>
      <c r="H156" s="40">
        <v>0</v>
      </c>
      <c r="I156" s="40">
        <v>0</v>
      </c>
      <c r="J156" s="40">
        <v>0</v>
      </c>
      <c r="K156" s="40">
        <v>0</v>
      </c>
      <c r="L156" s="40">
        <v>0</v>
      </c>
      <c r="M156" s="40">
        <v>0</v>
      </c>
      <c r="N156" s="40">
        <v>0</v>
      </c>
      <c r="O156" s="40">
        <v>0</v>
      </c>
      <c r="P156" s="40">
        <v>0</v>
      </c>
    </row>
    <row r="157" spans="1:16" x14ac:dyDescent="0.25">
      <c r="A157" s="40"/>
      <c r="B157" s="40"/>
      <c r="C157" s="40" t="s">
        <v>51</v>
      </c>
      <c r="D157" s="40"/>
      <c r="E157" s="40"/>
      <c r="F157" s="40">
        <v>10</v>
      </c>
      <c r="G157" s="40">
        <v>0</v>
      </c>
      <c r="H157" s="40">
        <v>2</v>
      </c>
      <c r="I157" s="40">
        <v>5</v>
      </c>
      <c r="J157" s="40">
        <v>0</v>
      </c>
      <c r="K157" s="40">
        <v>1</v>
      </c>
      <c r="L157" s="40">
        <v>2</v>
      </c>
      <c r="M157" s="40">
        <v>3</v>
      </c>
      <c r="N157" s="40">
        <v>0</v>
      </c>
      <c r="O157" s="40">
        <v>0</v>
      </c>
      <c r="P157" s="40">
        <v>4</v>
      </c>
    </row>
    <row r="158" spans="1:16" x14ac:dyDescent="0.25">
      <c r="A158" s="40">
        <v>540124</v>
      </c>
      <c r="B158" s="40" t="s">
        <v>52</v>
      </c>
      <c r="C158" s="40" t="s">
        <v>53</v>
      </c>
      <c r="D158" s="40" t="s">
        <v>5</v>
      </c>
      <c r="E158" s="40">
        <v>1</v>
      </c>
      <c r="F158" s="40">
        <v>22</v>
      </c>
      <c r="G158" s="40">
        <v>0</v>
      </c>
      <c r="H158" s="40">
        <v>1</v>
      </c>
      <c r="I158" s="40">
        <v>17</v>
      </c>
      <c r="J158" s="40">
        <v>2</v>
      </c>
      <c r="K158" s="40">
        <v>0</v>
      </c>
      <c r="L158" s="40">
        <v>2</v>
      </c>
      <c r="M158" s="40">
        <v>19</v>
      </c>
      <c r="N158" s="40">
        <v>1</v>
      </c>
      <c r="O158" s="40">
        <v>0</v>
      </c>
      <c r="P158" s="40">
        <v>0</v>
      </c>
    </row>
    <row r="159" spans="1:16" x14ac:dyDescent="0.25">
      <c r="A159" s="40">
        <v>540125</v>
      </c>
      <c r="B159" s="40" t="s">
        <v>210</v>
      </c>
      <c r="C159" s="40" t="s">
        <v>53</v>
      </c>
      <c r="D159" s="40" t="s">
        <v>115</v>
      </c>
      <c r="E159" s="40">
        <v>1</v>
      </c>
      <c r="F159" s="40">
        <v>0</v>
      </c>
      <c r="G159" s="40">
        <v>0</v>
      </c>
      <c r="H159" s="40">
        <v>0</v>
      </c>
      <c r="I159" s="40">
        <v>0</v>
      </c>
      <c r="J159" s="40">
        <v>0</v>
      </c>
      <c r="K159" s="40">
        <v>0</v>
      </c>
      <c r="L159" s="40">
        <v>0</v>
      </c>
      <c r="M159" s="40">
        <v>0</v>
      </c>
      <c r="N159" s="40">
        <v>0</v>
      </c>
      <c r="O159" s="40">
        <v>0</v>
      </c>
      <c r="P159" s="40">
        <v>0</v>
      </c>
    </row>
    <row r="160" spans="1:16" x14ac:dyDescent="0.25">
      <c r="A160" s="40">
        <v>540126</v>
      </c>
      <c r="B160" s="40" t="s">
        <v>211</v>
      </c>
      <c r="C160" s="40" t="s">
        <v>53</v>
      </c>
      <c r="D160" s="40" t="s">
        <v>115</v>
      </c>
      <c r="E160" s="40">
        <v>1</v>
      </c>
      <c r="F160" s="40">
        <v>0</v>
      </c>
      <c r="G160" s="40">
        <v>0</v>
      </c>
      <c r="H160" s="40">
        <v>0</v>
      </c>
      <c r="I160" s="40">
        <v>0</v>
      </c>
      <c r="J160" s="40">
        <v>0</v>
      </c>
      <c r="K160" s="40">
        <v>0</v>
      </c>
      <c r="L160" s="40">
        <v>0</v>
      </c>
      <c r="M160" s="40">
        <v>0</v>
      </c>
      <c r="N160" s="40">
        <v>0</v>
      </c>
      <c r="O160" s="40">
        <v>0</v>
      </c>
      <c r="P160" s="40">
        <v>0</v>
      </c>
    </row>
    <row r="161" spans="1:16" x14ac:dyDescent="0.25">
      <c r="A161" s="40">
        <v>540127</v>
      </c>
      <c r="B161" s="40" t="s">
        <v>212</v>
      </c>
      <c r="C161" s="40" t="s">
        <v>53</v>
      </c>
      <c r="D161" s="40" t="s">
        <v>115</v>
      </c>
      <c r="E161" s="40">
        <v>1</v>
      </c>
      <c r="F161" s="40">
        <v>0</v>
      </c>
      <c r="G161" s="40">
        <v>0</v>
      </c>
      <c r="H161" s="40">
        <v>0</v>
      </c>
      <c r="I161" s="40">
        <v>0</v>
      </c>
      <c r="J161" s="40">
        <v>0</v>
      </c>
      <c r="K161" s="40">
        <v>0</v>
      </c>
      <c r="L161" s="40">
        <v>0</v>
      </c>
      <c r="M161" s="40">
        <v>0</v>
      </c>
      <c r="N161" s="40">
        <v>0</v>
      </c>
      <c r="O161" s="40">
        <v>0</v>
      </c>
      <c r="P161" s="40">
        <v>0</v>
      </c>
    </row>
    <row r="162" spans="1:16" x14ac:dyDescent="0.25">
      <c r="A162" s="40">
        <v>540128</v>
      </c>
      <c r="B162" s="40" t="s">
        <v>213</v>
      </c>
      <c r="C162" s="40" t="s">
        <v>53</v>
      </c>
      <c r="D162" s="40" t="s">
        <v>115</v>
      </c>
      <c r="E162" s="40">
        <v>1</v>
      </c>
      <c r="F162" s="40">
        <v>0</v>
      </c>
      <c r="G162" s="40">
        <v>0</v>
      </c>
      <c r="H162" s="40">
        <v>0</v>
      </c>
      <c r="I162" s="40">
        <v>0</v>
      </c>
      <c r="J162" s="40">
        <v>0</v>
      </c>
      <c r="K162" s="40">
        <v>0</v>
      </c>
      <c r="L162" s="40">
        <v>0</v>
      </c>
      <c r="M162" s="40">
        <v>0</v>
      </c>
      <c r="N162" s="40">
        <v>0</v>
      </c>
      <c r="O162" s="40">
        <v>0</v>
      </c>
      <c r="P162" s="40">
        <v>0</v>
      </c>
    </row>
    <row r="163" spans="1:16" x14ac:dyDescent="0.25">
      <c r="A163" s="40">
        <v>540172</v>
      </c>
      <c r="B163" s="40" t="s">
        <v>244</v>
      </c>
      <c r="C163" s="40" t="s">
        <v>53</v>
      </c>
      <c r="D163" s="40" t="s">
        <v>115</v>
      </c>
      <c r="E163" s="40">
        <v>1</v>
      </c>
      <c r="F163" s="40">
        <v>0</v>
      </c>
      <c r="G163" s="40">
        <v>0</v>
      </c>
      <c r="H163" s="40">
        <v>0</v>
      </c>
      <c r="I163" s="40">
        <v>0</v>
      </c>
      <c r="J163" s="40">
        <v>0</v>
      </c>
      <c r="K163" s="40">
        <v>0</v>
      </c>
      <c r="L163" s="40">
        <v>0</v>
      </c>
      <c r="M163" s="40">
        <v>0</v>
      </c>
      <c r="N163" s="40">
        <v>0</v>
      </c>
      <c r="O163" s="40">
        <v>0</v>
      </c>
      <c r="P163" s="40">
        <v>0</v>
      </c>
    </row>
    <row r="164" spans="1:16" x14ac:dyDescent="0.25">
      <c r="A164" s="40">
        <v>540285</v>
      </c>
      <c r="B164" s="40" t="s">
        <v>324</v>
      </c>
      <c r="C164" s="40" t="s">
        <v>53</v>
      </c>
      <c r="D164" s="40" t="s">
        <v>115</v>
      </c>
      <c r="E164" s="40">
        <v>1</v>
      </c>
      <c r="F164" s="40">
        <v>0</v>
      </c>
      <c r="G164" s="40">
        <v>0</v>
      </c>
      <c r="H164" s="40">
        <v>0</v>
      </c>
      <c r="I164" s="40">
        <v>0</v>
      </c>
      <c r="J164" s="40">
        <v>0</v>
      </c>
      <c r="K164" s="40">
        <v>0</v>
      </c>
      <c r="L164" s="40">
        <v>0</v>
      </c>
      <c r="M164" s="40">
        <v>0</v>
      </c>
      <c r="N164" s="40">
        <v>0</v>
      </c>
      <c r="O164" s="40">
        <v>0</v>
      </c>
      <c r="P164" s="40">
        <v>0</v>
      </c>
    </row>
    <row r="165" spans="1:16" x14ac:dyDescent="0.25">
      <c r="A165" s="40"/>
      <c r="B165" s="40"/>
      <c r="C165" s="40" t="s">
        <v>53</v>
      </c>
      <c r="D165" s="40"/>
      <c r="E165" s="40"/>
      <c r="F165" s="40">
        <v>22</v>
      </c>
      <c r="G165" s="40">
        <v>0</v>
      </c>
      <c r="H165" s="40">
        <v>1</v>
      </c>
      <c r="I165" s="40">
        <v>17</v>
      </c>
      <c r="J165" s="40">
        <v>2</v>
      </c>
      <c r="K165" s="40">
        <v>0</v>
      </c>
      <c r="L165" s="40">
        <v>2</v>
      </c>
      <c r="M165" s="40">
        <v>19</v>
      </c>
      <c r="N165" s="40">
        <v>1</v>
      </c>
      <c r="O165" s="40">
        <v>0</v>
      </c>
      <c r="P165" s="40">
        <v>0</v>
      </c>
    </row>
    <row r="166" spans="1:16" x14ac:dyDescent="0.25">
      <c r="A166" s="40">
        <v>540129</v>
      </c>
      <c r="B166" s="40" t="s">
        <v>54</v>
      </c>
      <c r="C166" s="40" t="s">
        <v>55</v>
      </c>
      <c r="D166" s="40" t="s">
        <v>5</v>
      </c>
      <c r="E166" s="40">
        <v>8</v>
      </c>
      <c r="F166" s="40">
        <v>32</v>
      </c>
      <c r="G166" s="40">
        <v>0</v>
      </c>
      <c r="H166" s="40">
        <v>0</v>
      </c>
      <c r="I166" s="40">
        <v>29</v>
      </c>
      <c r="J166" s="40">
        <v>0</v>
      </c>
      <c r="K166" s="40">
        <v>2</v>
      </c>
      <c r="L166" s="40">
        <v>1</v>
      </c>
      <c r="M166" s="40">
        <v>25</v>
      </c>
      <c r="N166" s="40">
        <v>5</v>
      </c>
      <c r="O166" s="40">
        <v>1</v>
      </c>
      <c r="P166" s="40">
        <v>0</v>
      </c>
    </row>
    <row r="167" spans="1:16" x14ac:dyDescent="0.25">
      <c r="A167" s="40">
        <v>540130</v>
      </c>
      <c r="B167" s="40" t="s">
        <v>214</v>
      </c>
      <c r="C167" s="40" t="s">
        <v>55</v>
      </c>
      <c r="D167" s="40" t="s">
        <v>115</v>
      </c>
      <c r="E167" s="40">
        <v>8</v>
      </c>
      <c r="F167" s="40">
        <v>1</v>
      </c>
      <c r="G167" s="40">
        <v>0</v>
      </c>
      <c r="H167" s="40">
        <v>0</v>
      </c>
      <c r="I167" s="40">
        <v>1</v>
      </c>
      <c r="J167" s="40">
        <v>0</v>
      </c>
      <c r="K167" s="40">
        <v>0</v>
      </c>
      <c r="L167" s="40">
        <v>0</v>
      </c>
      <c r="M167" s="40">
        <v>1</v>
      </c>
      <c r="N167" s="40">
        <v>0</v>
      </c>
      <c r="O167" s="40">
        <v>0</v>
      </c>
      <c r="P167" s="40">
        <v>0</v>
      </c>
    </row>
    <row r="168" spans="1:16" x14ac:dyDescent="0.25">
      <c r="A168" s="40">
        <v>540131</v>
      </c>
      <c r="B168" s="40" t="s">
        <v>215</v>
      </c>
      <c r="C168" s="40" t="s">
        <v>55</v>
      </c>
      <c r="D168" s="40" t="s">
        <v>115</v>
      </c>
      <c r="E168" s="40">
        <v>8</v>
      </c>
      <c r="F168" s="40">
        <v>0</v>
      </c>
      <c r="G168" s="40">
        <v>0</v>
      </c>
      <c r="H168" s="40">
        <v>0</v>
      </c>
      <c r="I168" s="40">
        <v>0</v>
      </c>
      <c r="J168" s="40">
        <v>0</v>
      </c>
      <c r="K168" s="40">
        <v>0</v>
      </c>
      <c r="L168" s="40">
        <v>0</v>
      </c>
      <c r="M168" s="40">
        <v>0</v>
      </c>
      <c r="N168" s="40">
        <v>0</v>
      </c>
      <c r="O168" s="40">
        <v>0</v>
      </c>
      <c r="P168" s="40">
        <v>0</v>
      </c>
    </row>
    <row r="169" spans="1:16" x14ac:dyDescent="0.25">
      <c r="A169" s="40">
        <v>540155</v>
      </c>
      <c r="B169" s="40" t="s">
        <v>231</v>
      </c>
      <c r="C169" s="40" t="s">
        <v>55</v>
      </c>
      <c r="D169" s="40" t="s">
        <v>115</v>
      </c>
      <c r="E169" s="40">
        <v>8</v>
      </c>
      <c r="F169" s="40">
        <v>0</v>
      </c>
      <c r="G169" s="40">
        <v>0</v>
      </c>
      <c r="H169" s="40">
        <v>0</v>
      </c>
      <c r="I169" s="40">
        <v>0</v>
      </c>
      <c r="J169" s="40">
        <v>0</v>
      </c>
      <c r="K169" s="40">
        <v>0</v>
      </c>
      <c r="L169" s="40">
        <v>0</v>
      </c>
      <c r="M169" s="40">
        <v>0</v>
      </c>
      <c r="N169" s="40">
        <v>0</v>
      </c>
      <c r="O169" s="40">
        <v>0</v>
      </c>
      <c r="P169" s="40">
        <v>0</v>
      </c>
    </row>
    <row r="170" spans="1:16" x14ac:dyDescent="0.25">
      <c r="A170" s="40">
        <v>545555</v>
      </c>
      <c r="B170" s="40" t="s">
        <v>336</v>
      </c>
      <c r="C170" s="40" t="s">
        <v>55</v>
      </c>
      <c r="D170" s="40" t="s">
        <v>115</v>
      </c>
      <c r="E170" s="40">
        <v>8</v>
      </c>
      <c r="F170" s="40">
        <v>0</v>
      </c>
      <c r="G170" s="40">
        <v>0</v>
      </c>
      <c r="H170" s="40">
        <v>0</v>
      </c>
      <c r="I170" s="40">
        <v>0</v>
      </c>
      <c r="J170" s="40">
        <v>0</v>
      </c>
      <c r="K170" s="40">
        <v>0</v>
      </c>
      <c r="L170" s="40">
        <v>0</v>
      </c>
      <c r="M170" s="40">
        <v>0</v>
      </c>
      <c r="N170" s="40">
        <v>0</v>
      </c>
      <c r="O170" s="40">
        <v>0</v>
      </c>
      <c r="P170" s="40">
        <v>0</v>
      </c>
    </row>
    <row r="171" spans="1:16" x14ac:dyDescent="0.25">
      <c r="A171" s="40">
        <v>540091</v>
      </c>
      <c r="B171" s="40" t="s">
        <v>338</v>
      </c>
      <c r="C171" s="40" t="s">
        <v>55</v>
      </c>
      <c r="D171" s="40" t="s">
        <v>115</v>
      </c>
      <c r="E171" s="40">
        <v>8</v>
      </c>
      <c r="F171" s="40">
        <v>0</v>
      </c>
      <c r="G171" s="40">
        <v>0</v>
      </c>
      <c r="H171" s="40">
        <v>0</v>
      </c>
      <c r="I171" s="40">
        <v>0</v>
      </c>
      <c r="J171" s="40">
        <v>0</v>
      </c>
      <c r="K171" s="40">
        <v>0</v>
      </c>
      <c r="L171" s="40">
        <v>0</v>
      </c>
      <c r="M171" s="40">
        <v>0</v>
      </c>
      <c r="N171" s="40">
        <v>0</v>
      </c>
      <c r="O171" s="40">
        <v>0</v>
      </c>
      <c r="P171" s="40">
        <v>0</v>
      </c>
    </row>
    <row r="172" spans="1:16" x14ac:dyDescent="0.25">
      <c r="A172" s="40"/>
      <c r="B172" s="40"/>
      <c r="C172" s="40" t="s">
        <v>55</v>
      </c>
      <c r="D172" s="40"/>
      <c r="E172" s="40"/>
      <c r="F172" s="40">
        <v>33</v>
      </c>
      <c r="G172" s="40">
        <v>0</v>
      </c>
      <c r="H172" s="40">
        <v>0</v>
      </c>
      <c r="I172" s="40">
        <v>30</v>
      </c>
      <c r="J172" s="40">
        <v>0</v>
      </c>
      <c r="K172" s="40">
        <v>2</v>
      </c>
      <c r="L172" s="40">
        <v>1</v>
      </c>
      <c r="M172" s="40">
        <v>26</v>
      </c>
      <c r="N172" s="40">
        <v>5</v>
      </c>
      <c r="O172" s="40">
        <v>1</v>
      </c>
      <c r="P172" s="40">
        <v>0</v>
      </c>
    </row>
    <row r="173" spans="1:16" x14ac:dyDescent="0.25">
      <c r="A173" s="40">
        <v>540133</v>
      </c>
      <c r="B173" s="40" t="s">
        <v>56</v>
      </c>
      <c r="C173" s="40" t="s">
        <v>57</v>
      </c>
      <c r="D173" s="40" t="s">
        <v>5</v>
      </c>
      <c r="E173" s="40">
        <v>2</v>
      </c>
      <c r="F173" s="40">
        <v>5</v>
      </c>
      <c r="G173" s="40">
        <v>0</v>
      </c>
      <c r="H173" s="40">
        <v>1</v>
      </c>
      <c r="I173" s="40">
        <v>0</v>
      </c>
      <c r="J173" s="40">
        <v>0</v>
      </c>
      <c r="K173" s="40">
        <v>2</v>
      </c>
      <c r="L173" s="40">
        <v>2</v>
      </c>
      <c r="M173" s="40">
        <v>3</v>
      </c>
      <c r="N173" s="40">
        <v>0</v>
      </c>
      <c r="O173" s="40">
        <v>0</v>
      </c>
      <c r="P173" s="40">
        <v>0</v>
      </c>
    </row>
    <row r="174" spans="1:16" x14ac:dyDescent="0.25">
      <c r="A174" s="40">
        <v>540134</v>
      </c>
      <c r="B174" s="40" t="s">
        <v>217</v>
      </c>
      <c r="C174" s="40" t="s">
        <v>57</v>
      </c>
      <c r="D174" s="40" t="s">
        <v>115</v>
      </c>
      <c r="E174" s="40">
        <v>2</v>
      </c>
      <c r="F174" s="40">
        <v>0</v>
      </c>
      <c r="G174" s="40">
        <v>0</v>
      </c>
      <c r="H174" s="40">
        <v>0</v>
      </c>
      <c r="I174" s="40">
        <v>0</v>
      </c>
      <c r="J174" s="40">
        <v>0</v>
      </c>
      <c r="K174" s="40">
        <v>0</v>
      </c>
      <c r="L174" s="40">
        <v>0</v>
      </c>
      <c r="M174" s="40">
        <v>0</v>
      </c>
      <c r="N174" s="40">
        <v>0</v>
      </c>
      <c r="O174" s="40">
        <v>0</v>
      </c>
      <c r="P174" s="40">
        <v>0</v>
      </c>
    </row>
    <row r="175" spans="1:16" x14ac:dyDescent="0.25">
      <c r="A175" s="40">
        <v>540135</v>
      </c>
      <c r="B175" s="40" t="s">
        <v>218</v>
      </c>
      <c r="C175" s="40" t="s">
        <v>57</v>
      </c>
      <c r="D175" s="40" t="s">
        <v>115</v>
      </c>
      <c r="E175" s="40">
        <v>2</v>
      </c>
      <c r="F175" s="40">
        <v>0</v>
      </c>
      <c r="G175" s="40">
        <v>0</v>
      </c>
      <c r="H175" s="40">
        <v>0</v>
      </c>
      <c r="I175" s="40">
        <v>0</v>
      </c>
      <c r="J175" s="40">
        <v>0</v>
      </c>
      <c r="K175" s="40">
        <v>0</v>
      </c>
      <c r="L175" s="40">
        <v>0</v>
      </c>
      <c r="M175" s="40">
        <v>0</v>
      </c>
      <c r="N175" s="40">
        <v>0</v>
      </c>
      <c r="O175" s="40">
        <v>0</v>
      </c>
      <c r="P175" s="40">
        <v>0</v>
      </c>
    </row>
    <row r="176" spans="1:16" x14ac:dyDescent="0.25">
      <c r="A176" s="40">
        <v>540136</v>
      </c>
      <c r="B176" s="40" t="s">
        <v>219</v>
      </c>
      <c r="C176" s="40" t="s">
        <v>57</v>
      </c>
      <c r="D176" s="40" t="s">
        <v>115</v>
      </c>
      <c r="E176" s="40">
        <v>2</v>
      </c>
      <c r="F176" s="40">
        <v>0</v>
      </c>
      <c r="G176" s="40">
        <v>0</v>
      </c>
      <c r="H176" s="40">
        <v>0</v>
      </c>
      <c r="I176" s="40">
        <v>0</v>
      </c>
      <c r="J176" s="40">
        <v>0</v>
      </c>
      <c r="K176" s="40">
        <v>0</v>
      </c>
      <c r="L176" s="40">
        <v>0</v>
      </c>
      <c r="M176" s="40">
        <v>0</v>
      </c>
      <c r="N176" s="40">
        <v>0</v>
      </c>
      <c r="O176" s="40">
        <v>0</v>
      </c>
      <c r="P176" s="40">
        <v>0</v>
      </c>
    </row>
    <row r="177" spans="1:16" x14ac:dyDescent="0.25">
      <c r="A177" s="40">
        <v>540138</v>
      </c>
      <c r="B177" s="40" t="s">
        <v>221</v>
      </c>
      <c r="C177" s="40" t="s">
        <v>57</v>
      </c>
      <c r="D177" s="40" t="s">
        <v>115</v>
      </c>
      <c r="E177" s="40">
        <v>2</v>
      </c>
      <c r="F177" s="40">
        <v>0</v>
      </c>
      <c r="G177" s="40">
        <v>0</v>
      </c>
      <c r="H177" s="40">
        <v>0</v>
      </c>
      <c r="I177" s="40">
        <v>0</v>
      </c>
      <c r="J177" s="40">
        <v>0</v>
      </c>
      <c r="K177" s="40">
        <v>0</v>
      </c>
      <c r="L177" s="40">
        <v>0</v>
      </c>
      <c r="M177" s="40">
        <v>0</v>
      </c>
      <c r="N177" s="40">
        <v>0</v>
      </c>
      <c r="O177" s="40">
        <v>0</v>
      </c>
      <c r="P177" s="40">
        <v>0</v>
      </c>
    </row>
    <row r="178" spans="1:16" x14ac:dyDescent="0.25">
      <c r="A178" s="40">
        <v>545538</v>
      </c>
      <c r="B178" s="40" t="s">
        <v>334</v>
      </c>
      <c r="C178" s="40" t="s">
        <v>57</v>
      </c>
      <c r="D178" s="40" t="s">
        <v>115</v>
      </c>
      <c r="E178" s="40">
        <v>2</v>
      </c>
      <c r="F178" s="40">
        <v>0</v>
      </c>
      <c r="G178" s="40">
        <v>0</v>
      </c>
      <c r="H178" s="40">
        <v>0</v>
      </c>
      <c r="I178" s="40">
        <v>0</v>
      </c>
      <c r="J178" s="40">
        <v>0</v>
      </c>
      <c r="K178" s="40">
        <v>0</v>
      </c>
      <c r="L178" s="40">
        <v>0</v>
      </c>
      <c r="M178" s="40">
        <v>0</v>
      </c>
      <c r="N178" s="40">
        <v>0</v>
      </c>
      <c r="O178" s="40">
        <v>0</v>
      </c>
      <c r="P178" s="40">
        <v>0</v>
      </c>
    </row>
    <row r="179" spans="1:16" x14ac:dyDescent="0.25">
      <c r="A179" s="40"/>
      <c r="B179" s="40"/>
      <c r="C179" s="40" t="s">
        <v>57</v>
      </c>
      <c r="D179" s="40"/>
      <c r="E179" s="40"/>
      <c r="F179" s="40">
        <v>5</v>
      </c>
      <c r="G179" s="40">
        <v>0</v>
      </c>
      <c r="H179" s="40">
        <v>1</v>
      </c>
      <c r="I179" s="40">
        <v>0</v>
      </c>
      <c r="J179" s="40">
        <v>0</v>
      </c>
      <c r="K179" s="40">
        <v>2</v>
      </c>
      <c r="L179" s="40">
        <v>2</v>
      </c>
      <c r="M179" s="40">
        <v>3</v>
      </c>
      <c r="N179" s="40">
        <v>0</v>
      </c>
      <c r="O179" s="40">
        <v>0</v>
      </c>
      <c r="P179" s="40">
        <v>0</v>
      </c>
    </row>
    <row r="180" spans="1:16" x14ac:dyDescent="0.25">
      <c r="A180" s="40">
        <v>540139</v>
      </c>
      <c r="B180" s="40" t="s">
        <v>58</v>
      </c>
      <c r="C180" s="40" t="s">
        <v>59</v>
      </c>
      <c r="D180" s="40" t="s">
        <v>5</v>
      </c>
      <c r="E180" s="40">
        <v>6</v>
      </c>
      <c r="F180" s="40">
        <v>25</v>
      </c>
      <c r="G180" s="40">
        <v>2</v>
      </c>
      <c r="H180" s="40">
        <v>1</v>
      </c>
      <c r="I180" s="40">
        <v>0</v>
      </c>
      <c r="J180" s="40">
        <v>2</v>
      </c>
      <c r="K180" s="40">
        <v>5</v>
      </c>
      <c r="L180" s="40">
        <v>15</v>
      </c>
      <c r="M180" s="40">
        <v>4</v>
      </c>
      <c r="N180" s="40">
        <v>4</v>
      </c>
      <c r="O180" s="40">
        <v>1</v>
      </c>
      <c r="P180" s="40">
        <v>1</v>
      </c>
    </row>
    <row r="181" spans="1:16" x14ac:dyDescent="0.25">
      <c r="A181" s="40">
        <v>540140</v>
      </c>
      <c r="B181" s="40" t="s">
        <v>222</v>
      </c>
      <c r="C181" s="40" t="s">
        <v>59</v>
      </c>
      <c r="D181" s="40" t="s">
        <v>115</v>
      </c>
      <c r="E181" s="40">
        <v>6</v>
      </c>
      <c r="F181" s="40">
        <v>0</v>
      </c>
      <c r="G181" s="40">
        <v>0</v>
      </c>
      <c r="H181" s="40">
        <v>0</v>
      </c>
      <c r="I181" s="40">
        <v>0</v>
      </c>
      <c r="J181" s="40">
        <v>0</v>
      </c>
      <c r="K181" s="40">
        <v>0</v>
      </c>
      <c r="L181" s="40">
        <v>0</v>
      </c>
      <c r="M181" s="40">
        <v>0</v>
      </c>
      <c r="N181" s="40">
        <v>0</v>
      </c>
      <c r="O181" s="40">
        <v>0</v>
      </c>
      <c r="P181" s="40">
        <v>0</v>
      </c>
    </row>
    <row r="182" spans="1:16" x14ac:dyDescent="0.25">
      <c r="A182" s="40">
        <v>540141</v>
      </c>
      <c r="B182" s="40" t="s">
        <v>223</v>
      </c>
      <c r="C182" s="40" t="s">
        <v>59</v>
      </c>
      <c r="D182" s="40" t="s">
        <v>115</v>
      </c>
      <c r="E182" s="40">
        <v>6</v>
      </c>
      <c r="F182" s="40">
        <v>3</v>
      </c>
      <c r="G182" s="40">
        <v>1</v>
      </c>
      <c r="H182" s="40">
        <v>0</v>
      </c>
      <c r="I182" s="40">
        <v>0</v>
      </c>
      <c r="J182" s="40">
        <v>1</v>
      </c>
      <c r="K182" s="40">
        <v>0</v>
      </c>
      <c r="L182" s="40">
        <v>1</v>
      </c>
      <c r="M182" s="40">
        <v>0</v>
      </c>
      <c r="N182" s="40">
        <v>2</v>
      </c>
      <c r="O182" s="40">
        <v>0</v>
      </c>
      <c r="P182" s="40">
        <v>0</v>
      </c>
    </row>
    <row r="183" spans="1:16" x14ac:dyDescent="0.25">
      <c r="A183" s="40">
        <v>540272</v>
      </c>
      <c r="B183" s="40" t="s">
        <v>315</v>
      </c>
      <c r="C183" s="40" t="s">
        <v>59</v>
      </c>
      <c r="D183" s="40" t="s">
        <v>115</v>
      </c>
      <c r="E183" s="40">
        <v>6</v>
      </c>
      <c r="F183" s="40">
        <v>0</v>
      </c>
      <c r="G183" s="40">
        <v>0</v>
      </c>
      <c r="H183" s="40">
        <v>0</v>
      </c>
      <c r="I183" s="40">
        <v>0</v>
      </c>
      <c r="J183" s="40">
        <v>0</v>
      </c>
      <c r="K183" s="40">
        <v>0</v>
      </c>
      <c r="L183" s="40">
        <v>0</v>
      </c>
      <c r="M183" s="40">
        <v>0</v>
      </c>
      <c r="N183" s="40">
        <v>0</v>
      </c>
      <c r="O183" s="40">
        <v>0</v>
      </c>
      <c r="P183" s="40">
        <v>0</v>
      </c>
    </row>
    <row r="184" spans="1:16" x14ac:dyDescent="0.25">
      <c r="A184" s="40">
        <v>540273</v>
      </c>
      <c r="B184" s="40" t="s">
        <v>316</v>
      </c>
      <c r="C184" s="40" t="s">
        <v>59</v>
      </c>
      <c r="D184" s="40" t="s">
        <v>115</v>
      </c>
      <c r="E184" s="40">
        <v>6</v>
      </c>
      <c r="F184" s="40">
        <v>0</v>
      </c>
      <c r="G184" s="40">
        <v>0</v>
      </c>
      <c r="H184" s="40">
        <v>0</v>
      </c>
      <c r="I184" s="40">
        <v>0</v>
      </c>
      <c r="J184" s="40">
        <v>0</v>
      </c>
      <c r="K184" s="40">
        <v>0</v>
      </c>
      <c r="L184" s="40">
        <v>0</v>
      </c>
      <c r="M184" s="40">
        <v>0</v>
      </c>
      <c r="N184" s="40">
        <v>0</v>
      </c>
      <c r="O184" s="40">
        <v>0</v>
      </c>
      <c r="P184" s="40">
        <v>0</v>
      </c>
    </row>
    <row r="185" spans="1:16" x14ac:dyDescent="0.25">
      <c r="A185" s="40">
        <v>540274</v>
      </c>
      <c r="B185" s="40" t="s">
        <v>317</v>
      </c>
      <c r="C185" s="40" t="s">
        <v>59</v>
      </c>
      <c r="D185" s="40" t="s">
        <v>115</v>
      </c>
      <c r="E185" s="40">
        <v>6</v>
      </c>
      <c r="F185" s="40">
        <v>0</v>
      </c>
      <c r="G185" s="40">
        <v>0</v>
      </c>
      <c r="H185" s="40">
        <v>0</v>
      </c>
      <c r="I185" s="40">
        <v>0</v>
      </c>
      <c r="J185" s="40">
        <v>0</v>
      </c>
      <c r="K185" s="40">
        <v>0</v>
      </c>
      <c r="L185" s="40">
        <v>0</v>
      </c>
      <c r="M185" s="40">
        <v>0</v>
      </c>
      <c r="N185" s="40">
        <v>0</v>
      </c>
      <c r="O185" s="40">
        <v>0</v>
      </c>
      <c r="P185" s="40">
        <v>0</v>
      </c>
    </row>
    <row r="186" spans="1:16" x14ac:dyDescent="0.25">
      <c r="A186" s="40"/>
      <c r="B186" s="40"/>
      <c r="C186" s="40" t="s">
        <v>59</v>
      </c>
      <c r="D186" s="40"/>
      <c r="E186" s="40"/>
      <c r="F186" s="40">
        <v>28</v>
      </c>
      <c r="G186" s="40">
        <v>3</v>
      </c>
      <c r="H186" s="40">
        <v>1</v>
      </c>
      <c r="I186" s="40">
        <v>0</v>
      </c>
      <c r="J186" s="40">
        <v>3</v>
      </c>
      <c r="K186" s="40">
        <v>5</v>
      </c>
      <c r="L186" s="40">
        <v>16</v>
      </c>
      <c r="M186" s="40">
        <v>4</v>
      </c>
      <c r="N186" s="40">
        <v>6</v>
      </c>
      <c r="O186" s="40">
        <v>1</v>
      </c>
      <c r="P186" s="40">
        <v>1</v>
      </c>
    </row>
    <row r="187" spans="1:16" x14ac:dyDescent="0.25">
      <c r="A187" s="40">
        <v>540144</v>
      </c>
      <c r="B187" s="40" t="s">
        <v>60</v>
      </c>
      <c r="C187" s="40" t="s">
        <v>61</v>
      </c>
      <c r="D187" s="40" t="s">
        <v>5</v>
      </c>
      <c r="E187" s="40">
        <v>9</v>
      </c>
      <c r="F187" s="40">
        <v>24</v>
      </c>
      <c r="G187" s="40">
        <v>0</v>
      </c>
      <c r="H187" s="40">
        <v>3</v>
      </c>
      <c r="I187" s="40">
        <v>8</v>
      </c>
      <c r="J187" s="40">
        <v>0</v>
      </c>
      <c r="K187" s="40">
        <v>6</v>
      </c>
      <c r="L187" s="40">
        <v>7</v>
      </c>
      <c r="M187" s="40">
        <v>12</v>
      </c>
      <c r="N187" s="40">
        <v>3</v>
      </c>
      <c r="O187" s="40">
        <v>1</v>
      </c>
      <c r="P187" s="40">
        <v>1</v>
      </c>
    </row>
    <row r="188" spans="1:16" x14ac:dyDescent="0.25">
      <c r="A188" s="40">
        <v>540005</v>
      </c>
      <c r="B188" s="40" t="s">
        <v>118</v>
      </c>
      <c r="C188" s="40" t="s">
        <v>61</v>
      </c>
      <c r="D188" s="40" t="s">
        <v>115</v>
      </c>
      <c r="E188" s="40">
        <v>9</v>
      </c>
      <c r="F188" s="40">
        <v>0</v>
      </c>
      <c r="G188" s="40">
        <v>0</v>
      </c>
      <c r="H188" s="40">
        <v>0</v>
      </c>
      <c r="I188" s="40">
        <v>0</v>
      </c>
      <c r="J188" s="40">
        <v>0</v>
      </c>
      <c r="K188" s="40">
        <v>0</v>
      </c>
      <c r="L188" s="40">
        <v>0</v>
      </c>
      <c r="M188" s="40">
        <v>0</v>
      </c>
      <c r="N188" s="40">
        <v>0</v>
      </c>
      <c r="O188" s="40">
        <v>0</v>
      </c>
      <c r="P188" s="40">
        <v>0</v>
      </c>
    </row>
    <row r="189" spans="1:16" x14ac:dyDescent="0.25">
      <c r="A189" s="40">
        <v>540252</v>
      </c>
      <c r="B189" s="40" t="s">
        <v>298</v>
      </c>
      <c r="C189" s="40" t="s">
        <v>61</v>
      </c>
      <c r="D189" s="40" t="s">
        <v>115</v>
      </c>
      <c r="E189" s="40">
        <v>9</v>
      </c>
      <c r="F189" s="40">
        <v>0</v>
      </c>
      <c r="G189" s="40">
        <v>0</v>
      </c>
      <c r="H189" s="40">
        <v>0</v>
      </c>
      <c r="I189" s="40">
        <v>0</v>
      </c>
      <c r="J189" s="40">
        <v>0</v>
      </c>
      <c r="K189" s="40">
        <v>0</v>
      </c>
      <c r="L189" s="40">
        <v>0</v>
      </c>
      <c r="M189" s="40">
        <v>0</v>
      </c>
      <c r="N189" s="40">
        <v>0</v>
      </c>
      <c r="O189" s="40">
        <v>0</v>
      </c>
      <c r="P189" s="40">
        <v>0</v>
      </c>
    </row>
    <row r="190" spans="1:16" x14ac:dyDescent="0.25">
      <c r="A190" s="40"/>
      <c r="B190" s="40"/>
      <c r="C190" s="40" t="s">
        <v>61</v>
      </c>
      <c r="D190" s="40"/>
      <c r="E190" s="40"/>
      <c r="F190" s="40">
        <v>24</v>
      </c>
      <c r="G190" s="40">
        <v>0</v>
      </c>
      <c r="H190" s="40">
        <v>3</v>
      </c>
      <c r="I190" s="40">
        <v>8</v>
      </c>
      <c r="J190" s="40">
        <v>0</v>
      </c>
      <c r="K190" s="40">
        <v>6</v>
      </c>
      <c r="L190" s="40">
        <v>7</v>
      </c>
      <c r="M190" s="40">
        <v>12</v>
      </c>
      <c r="N190" s="40">
        <v>3</v>
      </c>
      <c r="O190" s="40">
        <v>1</v>
      </c>
      <c r="P190" s="40">
        <v>1</v>
      </c>
    </row>
    <row r="191" spans="1:16" x14ac:dyDescent="0.25">
      <c r="A191" s="40">
        <v>540146</v>
      </c>
      <c r="B191" s="40" t="s">
        <v>62</v>
      </c>
      <c r="C191" s="40" t="s">
        <v>63</v>
      </c>
      <c r="D191" s="40" t="s">
        <v>5</v>
      </c>
      <c r="E191" s="40">
        <v>4</v>
      </c>
      <c r="F191" s="40">
        <v>6</v>
      </c>
      <c r="G191" s="40">
        <v>3</v>
      </c>
      <c r="H191" s="40">
        <v>0</v>
      </c>
      <c r="I191" s="40">
        <v>0</v>
      </c>
      <c r="J191" s="40">
        <v>0</v>
      </c>
      <c r="K191" s="40">
        <v>2</v>
      </c>
      <c r="L191" s="40">
        <v>1</v>
      </c>
      <c r="M191" s="40">
        <v>5</v>
      </c>
      <c r="N191" s="40">
        <v>0</v>
      </c>
      <c r="O191" s="40">
        <v>0</v>
      </c>
      <c r="P191" s="40">
        <v>0</v>
      </c>
    </row>
    <row r="192" spans="1:16" x14ac:dyDescent="0.25">
      <c r="A192" s="40">
        <v>540147</v>
      </c>
      <c r="B192" s="40" t="s">
        <v>225</v>
      </c>
      <c r="C192" s="40" t="s">
        <v>63</v>
      </c>
      <c r="D192" s="40" t="s">
        <v>115</v>
      </c>
      <c r="E192" s="40">
        <v>4</v>
      </c>
      <c r="F192" s="40">
        <v>0</v>
      </c>
      <c r="G192" s="40">
        <v>0</v>
      </c>
      <c r="H192" s="40">
        <v>0</v>
      </c>
      <c r="I192" s="40">
        <v>0</v>
      </c>
      <c r="J192" s="40">
        <v>0</v>
      </c>
      <c r="K192" s="40">
        <v>0</v>
      </c>
      <c r="L192" s="40">
        <v>0</v>
      </c>
      <c r="M192" s="40">
        <v>0</v>
      </c>
      <c r="N192" s="40">
        <v>0</v>
      </c>
      <c r="O192" s="40">
        <v>0</v>
      </c>
      <c r="P192" s="40">
        <v>0</v>
      </c>
    </row>
    <row r="193" spans="1:16" x14ac:dyDescent="0.25">
      <c r="A193" s="40">
        <v>540148</v>
      </c>
      <c r="B193" s="40" t="s">
        <v>226</v>
      </c>
      <c r="C193" s="40" t="s">
        <v>63</v>
      </c>
      <c r="D193" s="40" t="s">
        <v>115</v>
      </c>
      <c r="E193" s="40">
        <v>4</v>
      </c>
      <c r="F193" s="40">
        <v>0</v>
      </c>
      <c r="G193" s="40">
        <v>0</v>
      </c>
      <c r="H193" s="40">
        <v>0</v>
      </c>
      <c r="I193" s="40">
        <v>0</v>
      </c>
      <c r="J193" s="40">
        <v>0</v>
      </c>
      <c r="K193" s="40">
        <v>0</v>
      </c>
      <c r="L193" s="40">
        <v>0</v>
      </c>
      <c r="M193" s="40">
        <v>0</v>
      </c>
      <c r="N193" s="40">
        <v>0</v>
      </c>
      <c r="O193" s="40">
        <v>0</v>
      </c>
      <c r="P193" s="40">
        <v>0</v>
      </c>
    </row>
    <row r="194" spans="1:16" x14ac:dyDescent="0.25">
      <c r="A194" s="40"/>
      <c r="B194" s="40"/>
      <c r="C194" s="40" t="s">
        <v>63</v>
      </c>
      <c r="D194" s="40"/>
      <c r="E194" s="40"/>
      <c r="F194" s="40">
        <v>6</v>
      </c>
      <c r="G194" s="40">
        <v>3</v>
      </c>
      <c r="H194" s="40">
        <v>0</v>
      </c>
      <c r="I194" s="40">
        <v>0</v>
      </c>
      <c r="J194" s="40">
        <v>0</v>
      </c>
      <c r="K194" s="40">
        <v>2</v>
      </c>
      <c r="L194" s="40">
        <v>1</v>
      </c>
      <c r="M194" s="40">
        <v>5</v>
      </c>
      <c r="N194" s="40">
        <v>0</v>
      </c>
      <c r="O194" s="40">
        <v>0</v>
      </c>
      <c r="P194" s="40">
        <v>0</v>
      </c>
    </row>
    <row r="195" spans="1:16" x14ac:dyDescent="0.25">
      <c r="A195" s="40">
        <v>540149</v>
      </c>
      <c r="B195" s="40" t="s">
        <v>64</v>
      </c>
      <c r="C195" s="40" t="s">
        <v>65</v>
      </c>
      <c r="D195" s="40" t="s">
        <v>5</v>
      </c>
      <c r="E195" s="40">
        <v>10</v>
      </c>
      <c r="F195" s="40">
        <v>9</v>
      </c>
      <c r="G195" s="40">
        <v>1</v>
      </c>
      <c r="H195" s="40">
        <v>3</v>
      </c>
      <c r="I195" s="40">
        <v>2</v>
      </c>
      <c r="J195" s="40">
        <v>0</v>
      </c>
      <c r="K195" s="40">
        <v>1</v>
      </c>
      <c r="L195" s="40">
        <v>2</v>
      </c>
      <c r="M195" s="40">
        <v>6</v>
      </c>
      <c r="N195" s="40">
        <v>1</v>
      </c>
      <c r="O195" s="40">
        <v>0</v>
      </c>
      <c r="P195" s="40">
        <v>0</v>
      </c>
    </row>
    <row r="196" spans="1:16" x14ac:dyDescent="0.25">
      <c r="A196" s="40">
        <v>540080</v>
      </c>
      <c r="B196" s="40" t="s">
        <v>175</v>
      </c>
      <c r="C196" s="40" t="s">
        <v>65</v>
      </c>
      <c r="D196" s="40" t="s">
        <v>115</v>
      </c>
      <c r="E196" s="40">
        <v>10</v>
      </c>
      <c r="F196" s="40">
        <v>0</v>
      </c>
      <c r="G196" s="40">
        <v>0</v>
      </c>
      <c r="H196" s="40">
        <v>0</v>
      </c>
      <c r="I196" s="40">
        <v>0</v>
      </c>
      <c r="J196" s="40">
        <v>0</v>
      </c>
      <c r="K196" s="40">
        <v>0</v>
      </c>
      <c r="L196" s="40">
        <v>0</v>
      </c>
      <c r="M196" s="40">
        <v>0</v>
      </c>
      <c r="N196" s="40">
        <v>0</v>
      </c>
      <c r="O196" s="40">
        <v>0</v>
      </c>
      <c r="P196" s="40">
        <v>0</v>
      </c>
    </row>
    <row r="197" spans="1:16" x14ac:dyDescent="0.25">
      <c r="A197" s="40">
        <v>540094</v>
      </c>
      <c r="B197" s="40" t="s">
        <v>185</v>
      </c>
      <c r="C197" s="40" t="s">
        <v>65</v>
      </c>
      <c r="D197" s="40" t="s">
        <v>115</v>
      </c>
      <c r="E197" s="40">
        <v>10</v>
      </c>
      <c r="F197" s="40">
        <v>1</v>
      </c>
      <c r="G197" s="40">
        <v>0</v>
      </c>
      <c r="H197" s="40">
        <v>0</v>
      </c>
      <c r="I197" s="40">
        <v>0</v>
      </c>
      <c r="J197" s="40">
        <v>0</v>
      </c>
      <c r="K197" s="40">
        <v>0</v>
      </c>
      <c r="L197" s="40">
        <v>1</v>
      </c>
      <c r="M197" s="40">
        <v>0</v>
      </c>
      <c r="N197" s="40">
        <v>0</v>
      </c>
      <c r="O197" s="40">
        <v>0</v>
      </c>
      <c r="P197" s="40">
        <v>0</v>
      </c>
    </row>
    <row r="198" spans="1:16" x14ac:dyDescent="0.25">
      <c r="A198" s="40">
        <v>540150</v>
      </c>
      <c r="B198" s="40" t="s">
        <v>227</v>
      </c>
      <c r="C198" s="40" t="s">
        <v>65</v>
      </c>
      <c r="D198" s="40" t="s">
        <v>115</v>
      </c>
      <c r="E198" s="40">
        <v>10</v>
      </c>
      <c r="F198" s="40">
        <v>0</v>
      </c>
      <c r="G198" s="40">
        <v>0</v>
      </c>
      <c r="H198" s="40">
        <v>0</v>
      </c>
      <c r="I198" s="40">
        <v>0</v>
      </c>
      <c r="J198" s="40">
        <v>0</v>
      </c>
      <c r="K198" s="40">
        <v>0</v>
      </c>
      <c r="L198" s="40">
        <v>0</v>
      </c>
      <c r="M198" s="40">
        <v>0</v>
      </c>
      <c r="N198" s="40">
        <v>0</v>
      </c>
      <c r="O198" s="40">
        <v>0</v>
      </c>
      <c r="P198" s="40">
        <v>0</v>
      </c>
    </row>
    <row r="199" spans="1:16" x14ac:dyDescent="0.25">
      <c r="A199" s="40">
        <v>540151</v>
      </c>
      <c r="B199" s="40" t="s">
        <v>228</v>
      </c>
      <c r="C199" s="40" t="s">
        <v>65</v>
      </c>
      <c r="D199" s="40" t="s">
        <v>115</v>
      </c>
      <c r="E199" s="40">
        <v>10</v>
      </c>
      <c r="F199" s="40">
        <v>0</v>
      </c>
      <c r="G199" s="40">
        <v>0</v>
      </c>
      <c r="H199" s="40">
        <v>0</v>
      </c>
      <c r="I199" s="40">
        <v>0</v>
      </c>
      <c r="J199" s="40">
        <v>0</v>
      </c>
      <c r="K199" s="40">
        <v>0</v>
      </c>
      <c r="L199" s="40">
        <v>0</v>
      </c>
      <c r="M199" s="40">
        <v>0</v>
      </c>
      <c r="N199" s="40">
        <v>0</v>
      </c>
      <c r="O199" s="40">
        <v>0</v>
      </c>
      <c r="P199" s="40">
        <v>0</v>
      </c>
    </row>
    <row r="200" spans="1:16" x14ac:dyDescent="0.25">
      <c r="A200" s="40">
        <v>540152</v>
      </c>
      <c r="B200" s="40" t="s">
        <v>229</v>
      </c>
      <c r="C200" s="40" t="s">
        <v>65</v>
      </c>
      <c r="D200" s="40" t="s">
        <v>115</v>
      </c>
      <c r="E200" s="40">
        <v>10</v>
      </c>
      <c r="F200" s="40">
        <v>0</v>
      </c>
      <c r="G200" s="40">
        <v>0</v>
      </c>
      <c r="H200" s="40">
        <v>0</v>
      </c>
      <c r="I200" s="40">
        <v>0</v>
      </c>
      <c r="J200" s="40">
        <v>0</v>
      </c>
      <c r="K200" s="40">
        <v>0</v>
      </c>
      <c r="L200" s="40">
        <v>0</v>
      </c>
      <c r="M200" s="40">
        <v>0</v>
      </c>
      <c r="N200" s="40">
        <v>0</v>
      </c>
      <c r="O200" s="40">
        <v>0</v>
      </c>
      <c r="P200" s="40">
        <v>0</v>
      </c>
    </row>
    <row r="201" spans="1:16" x14ac:dyDescent="0.25">
      <c r="A201" s="40">
        <v>540275</v>
      </c>
      <c r="B201" s="40" t="s">
        <v>318</v>
      </c>
      <c r="C201" s="40" t="s">
        <v>65</v>
      </c>
      <c r="D201" s="40" t="s">
        <v>115</v>
      </c>
      <c r="E201" s="40">
        <v>10</v>
      </c>
      <c r="F201" s="40">
        <v>0</v>
      </c>
      <c r="G201" s="40">
        <v>0</v>
      </c>
      <c r="H201" s="40">
        <v>0</v>
      </c>
      <c r="I201" s="40">
        <v>0</v>
      </c>
      <c r="J201" s="40">
        <v>0</v>
      </c>
      <c r="K201" s="40">
        <v>0</v>
      </c>
      <c r="L201" s="40">
        <v>0</v>
      </c>
      <c r="M201" s="40">
        <v>0</v>
      </c>
      <c r="N201" s="40">
        <v>0</v>
      </c>
      <c r="O201" s="40">
        <v>0</v>
      </c>
      <c r="P201" s="40">
        <v>0</v>
      </c>
    </row>
    <row r="202" spans="1:16" x14ac:dyDescent="0.25">
      <c r="A202" s="40"/>
      <c r="B202" s="40"/>
      <c r="C202" s="40" t="s">
        <v>65</v>
      </c>
      <c r="D202" s="40"/>
      <c r="E202" s="40"/>
      <c r="F202" s="40">
        <v>10</v>
      </c>
      <c r="G202" s="40">
        <v>1</v>
      </c>
      <c r="H202" s="40">
        <v>3</v>
      </c>
      <c r="I202" s="40">
        <v>2</v>
      </c>
      <c r="J202" s="40">
        <v>0</v>
      </c>
      <c r="K202" s="40">
        <v>1</v>
      </c>
      <c r="L202" s="40">
        <v>3</v>
      </c>
      <c r="M202" s="40">
        <v>6</v>
      </c>
      <c r="N202" s="40">
        <v>1</v>
      </c>
      <c r="O202" s="40">
        <v>0</v>
      </c>
      <c r="P202" s="40">
        <v>0</v>
      </c>
    </row>
    <row r="203" spans="1:16" x14ac:dyDescent="0.25">
      <c r="A203" s="40">
        <v>540153</v>
      </c>
      <c r="B203" s="40" t="s">
        <v>66</v>
      </c>
      <c r="C203" s="40" t="s">
        <v>67</v>
      </c>
      <c r="D203" s="40" t="s">
        <v>5</v>
      </c>
      <c r="E203" s="40">
        <v>8</v>
      </c>
      <c r="F203" s="40">
        <v>19</v>
      </c>
      <c r="G203" s="40">
        <v>0</v>
      </c>
      <c r="H203" s="40">
        <v>0</v>
      </c>
      <c r="I203" s="40">
        <v>19</v>
      </c>
      <c r="J203" s="40">
        <v>0</v>
      </c>
      <c r="K203" s="40">
        <v>0</v>
      </c>
      <c r="L203" s="40">
        <v>0</v>
      </c>
      <c r="M203" s="40">
        <v>19</v>
      </c>
      <c r="N203" s="40">
        <v>0</v>
      </c>
      <c r="O203" s="40">
        <v>0</v>
      </c>
      <c r="P203" s="40">
        <v>0</v>
      </c>
    </row>
    <row r="204" spans="1:16" x14ac:dyDescent="0.25">
      <c r="A204" s="40">
        <v>540154</v>
      </c>
      <c r="B204" s="40" t="s">
        <v>230</v>
      </c>
      <c r="C204" s="40" t="s">
        <v>67</v>
      </c>
      <c r="D204" s="40" t="s">
        <v>115</v>
      </c>
      <c r="E204" s="40">
        <v>8</v>
      </c>
      <c r="F204" s="40">
        <v>0</v>
      </c>
      <c r="G204" s="40">
        <v>0</v>
      </c>
      <c r="H204" s="40">
        <v>0</v>
      </c>
      <c r="I204" s="40">
        <v>0</v>
      </c>
      <c r="J204" s="40">
        <v>0</v>
      </c>
      <c r="K204" s="40">
        <v>0</v>
      </c>
      <c r="L204" s="40">
        <v>0</v>
      </c>
      <c r="M204" s="40">
        <v>0</v>
      </c>
      <c r="N204" s="40">
        <v>0</v>
      </c>
      <c r="O204" s="40">
        <v>0</v>
      </c>
      <c r="P204" s="40">
        <v>0</v>
      </c>
    </row>
    <row r="205" spans="1:16" x14ac:dyDescent="0.25">
      <c r="A205" s="40"/>
      <c r="B205" s="40"/>
      <c r="C205" s="40" t="s">
        <v>67</v>
      </c>
      <c r="D205" s="40"/>
      <c r="E205" s="40"/>
      <c r="F205" s="40">
        <v>19</v>
      </c>
      <c r="G205" s="40">
        <v>0</v>
      </c>
      <c r="H205" s="40">
        <v>0</v>
      </c>
      <c r="I205" s="40">
        <v>19</v>
      </c>
      <c r="J205" s="40">
        <v>0</v>
      </c>
      <c r="K205" s="40">
        <v>0</v>
      </c>
      <c r="L205" s="40">
        <v>0</v>
      </c>
      <c r="M205" s="40">
        <v>19</v>
      </c>
      <c r="N205" s="40">
        <v>0</v>
      </c>
      <c r="O205" s="40">
        <v>0</v>
      </c>
      <c r="P205" s="40">
        <v>0</v>
      </c>
    </row>
    <row r="206" spans="1:16" x14ac:dyDescent="0.25">
      <c r="A206" s="40">
        <v>540160</v>
      </c>
      <c r="B206" s="40" t="s">
        <v>68</v>
      </c>
      <c r="C206" s="40" t="s">
        <v>69</v>
      </c>
      <c r="D206" s="40" t="s">
        <v>5</v>
      </c>
      <c r="E206" s="40">
        <v>6</v>
      </c>
      <c r="F206" s="40">
        <v>30</v>
      </c>
      <c r="G206" s="40">
        <v>0</v>
      </c>
      <c r="H206" s="40">
        <v>3</v>
      </c>
      <c r="I206" s="40">
        <v>6</v>
      </c>
      <c r="J206" s="40">
        <v>0</v>
      </c>
      <c r="K206" s="40">
        <v>10</v>
      </c>
      <c r="L206" s="40">
        <v>11</v>
      </c>
      <c r="M206" s="40">
        <v>11</v>
      </c>
      <c r="N206" s="40">
        <v>6</v>
      </c>
      <c r="O206" s="40">
        <v>2</v>
      </c>
      <c r="P206" s="40">
        <v>0</v>
      </c>
    </row>
    <row r="207" spans="1:16" x14ac:dyDescent="0.25">
      <c r="A207" s="40">
        <v>540137</v>
      </c>
      <c r="B207" s="40" t="s">
        <v>220</v>
      </c>
      <c r="C207" s="40" t="s">
        <v>69</v>
      </c>
      <c r="D207" s="40" t="s">
        <v>115</v>
      </c>
      <c r="E207" s="40">
        <v>6</v>
      </c>
      <c r="F207" s="40">
        <v>0</v>
      </c>
      <c r="G207" s="40">
        <v>0</v>
      </c>
      <c r="H207" s="40">
        <v>0</v>
      </c>
      <c r="I207" s="40">
        <v>0</v>
      </c>
      <c r="J207" s="40">
        <v>0</v>
      </c>
      <c r="K207" s="40">
        <v>0</v>
      </c>
      <c r="L207" s="40">
        <v>0</v>
      </c>
      <c r="M207" s="40">
        <v>0</v>
      </c>
      <c r="N207" s="40">
        <v>0</v>
      </c>
      <c r="O207" s="40">
        <v>0</v>
      </c>
      <c r="P207" s="40">
        <v>0</v>
      </c>
    </row>
    <row r="208" spans="1:16" x14ac:dyDescent="0.25">
      <c r="A208" s="40">
        <v>540161</v>
      </c>
      <c r="B208" s="40" t="s">
        <v>235</v>
      </c>
      <c r="C208" s="40" t="s">
        <v>69</v>
      </c>
      <c r="D208" s="40" t="s">
        <v>115</v>
      </c>
      <c r="E208" s="40">
        <v>6</v>
      </c>
      <c r="F208" s="40">
        <v>1</v>
      </c>
      <c r="G208" s="40">
        <v>0</v>
      </c>
      <c r="H208" s="40">
        <v>0</v>
      </c>
      <c r="I208" s="40">
        <v>0</v>
      </c>
      <c r="J208" s="40">
        <v>1</v>
      </c>
      <c r="K208" s="40">
        <v>0</v>
      </c>
      <c r="L208" s="40">
        <v>0</v>
      </c>
      <c r="M208" s="40">
        <v>0</v>
      </c>
      <c r="N208" s="40">
        <v>1</v>
      </c>
      <c r="O208" s="40">
        <v>0</v>
      </c>
      <c r="P208" s="40">
        <v>0</v>
      </c>
    </row>
    <row r="209" spans="1:16" x14ac:dyDescent="0.25">
      <c r="A209" s="40">
        <v>540162</v>
      </c>
      <c r="B209" s="40" t="s">
        <v>236</v>
      </c>
      <c r="C209" s="40" t="s">
        <v>69</v>
      </c>
      <c r="D209" s="40" t="s">
        <v>115</v>
      </c>
      <c r="E209" s="40">
        <v>6</v>
      </c>
      <c r="F209" s="40">
        <v>0</v>
      </c>
      <c r="G209" s="40">
        <v>0</v>
      </c>
      <c r="H209" s="40">
        <v>0</v>
      </c>
      <c r="I209" s="40">
        <v>0</v>
      </c>
      <c r="J209" s="40">
        <v>0</v>
      </c>
      <c r="K209" s="40">
        <v>0</v>
      </c>
      <c r="L209" s="40">
        <v>0</v>
      </c>
      <c r="M209" s="40">
        <v>0</v>
      </c>
      <c r="N209" s="40">
        <v>0</v>
      </c>
      <c r="O209" s="40">
        <v>0</v>
      </c>
      <c r="P209" s="40">
        <v>0</v>
      </c>
    </row>
    <row r="210" spans="1:16" x14ac:dyDescent="0.25">
      <c r="A210" s="40">
        <v>540163</v>
      </c>
      <c r="B210" s="40" t="s">
        <v>237</v>
      </c>
      <c r="C210" s="40" t="s">
        <v>69</v>
      </c>
      <c r="D210" s="40" t="s">
        <v>115</v>
      </c>
      <c r="E210" s="40">
        <v>6</v>
      </c>
      <c r="F210" s="40">
        <v>0</v>
      </c>
      <c r="G210" s="40">
        <v>0</v>
      </c>
      <c r="H210" s="40">
        <v>0</v>
      </c>
      <c r="I210" s="40">
        <v>0</v>
      </c>
      <c r="J210" s="40">
        <v>0</v>
      </c>
      <c r="K210" s="40">
        <v>0</v>
      </c>
      <c r="L210" s="40">
        <v>0</v>
      </c>
      <c r="M210" s="40">
        <v>0</v>
      </c>
      <c r="N210" s="40">
        <v>0</v>
      </c>
      <c r="O210" s="40">
        <v>0</v>
      </c>
      <c r="P210" s="40">
        <v>0</v>
      </c>
    </row>
    <row r="211" spans="1:16" x14ac:dyDescent="0.25">
      <c r="A211" s="40">
        <v>540254</v>
      </c>
      <c r="B211" s="40" t="s">
        <v>300</v>
      </c>
      <c r="C211" s="40" t="s">
        <v>69</v>
      </c>
      <c r="D211" s="40" t="s">
        <v>115</v>
      </c>
      <c r="E211" s="40">
        <v>6</v>
      </c>
      <c r="F211" s="40">
        <v>0</v>
      </c>
      <c r="G211" s="40">
        <v>0</v>
      </c>
      <c r="H211" s="40">
        <v>0</v>
      </c>
      <c r="I211" s="40">
        <v>0</v>
      </c>
      <c r="J211" s="40">
        <v>0</v>
      </c>
      <c r="K211" s="40">
        <v>0</v>
      </c>
      <c r="L211" s="40">
        <v>0</v>
      </c>
      <c r="M211" s="40">
        <v>0</v>
      </c>
      <c r="N211" s="40">
        <v>0</v>
      </c>
      <c r="O211" s="40">
        <v>0</v>
      </c>
      <c r="P211" s="40">
        <v>0</v>
      </c>
    </row>
    <row r="212" spans="1:16" x14ac:dyDescent="0.25">
      <c r="A212" s="40">
        <v>540257</v>
      </c>
      <c r="B212" s="40" t="s">
        <v>302</v>
      </c>
      <c r="C212" s="40" t="s">
        <v>69</v>
      </c>
      <c r="D212" s="40" t="s">
        <v>115</v>
      </c>
      <c r="E212" s="40">
        <v>6</v>
      </c>
      <c r="F212" s="40">
        <v>0</v>
      </c>
      <c r="G212" s="40">
        <v>0</v>
      </c>
      <c r="H212" s="40">
        <v>0</v>
      </c>
      <c r="I212" s="40">
        <v>0</v>
      </c>
      <c r="J212" s="40">
        <v>0</v>
      </c>
      <c r="K212" s="40">
        <v>0</v>
      </c>
      <c r="L212" s="40">
        <v>0</v>
      </c>
      <c r="M212" s="40">
        <v>0</v>
      </c>
      <c r="N212" s="40">
        <v>0</v>
      </c>
      <c r="O212" s="40">
        <v>0</v>
      </c>
      <c r="P212" s="40">
        <v>0</v>
      </c>
    </row>
    <row r="213" spans="1:16" x14ac:dyDescent="0.25">
      <c r="A213" s="40">
        <v>540268</v>
      </c>
      <c r="B213" s="40" t="s">
        <v>311</v>
      </c>
      <c r="C213" s="40" t="s">
        <v>69</v>
      </c>
      <c r="D213" s="40" t="s">
        <v>115</v>
      </c>
      <c r="E213" s="40">
        <v>6</v>
      </c>
      <c r="F213" s="40">
        <v>0</v>
      </c>
      <c r="G213" s="40">
        <v>0</v>
      </c>
      <c r="H213" s="40">
        <v>0</v>
      </c>
      <c r="I213" s="40">
        <v>0</v>
      </c>
      <c r="J213" s="40">
        <v>0</v>
      </c>
      <c r="K213" s="40">
        <v>0</v>
      </c>
      <c r="L213" s="40">
        <v>0</v>
      </c>
      <c r="M213" s="40">
        <v>0</v>
      </c>
      <c r="N213" s="40">
        <v>0</v>
      </c>
      <c r="O213" s="40">
        <v>0</v>
      </c>
      <c r="P213" s="40">
        <v>0</v>
      </c>
    </row>
    <row r="214" spans="1:16" x14ac:dyDescent="0.25">
      <c r="A214" s="40">
        <v>540269</v>
      </c>
      <c r="B214" s="40" t="s">
        <v>312</v>
      </c>
      <c r="C214" s="40" t="s">
        <v>69</v>
      </c>
      <c r="D214" s="40" t="s">
        <v>115</v>
      </c>
      <c r="E214" s="40">
        <v>6</v>
      </c>
      <c r="F214" s="40">
        <v>0</v>
      </c>
      <c r="G214" s="40">
        <v>0</v>
      </c>
      <c r="H214" s="40">
        <v>0</v>
      </c>
      <c r="I214" s="40">
        <v>0</v>
      </c>
      <c r="J214" s="40">
        <v>0</v>
      </c>
      <c r="K214" s="40">
        <v>0</v>
      </c>
      <c r="L214" s="40">
        <v>0</v>
      </c>
      <c r="M214" s="40">
        <v>0</v>
      </c>
      <c r="N214" s="40">
        <v>0</v>
      </c>
      <c r="O214" s="40">
        <v>0</v>
      </c>
      <c r="P214" s="40">
        <v>0</v>
      </c>
    </row>
    <row r="215" spans="1:16" x14ac:dyDescent="0.25">
      <c r="A215" s="40">
        <v>540270</v>
      </c>
      <c r="B215" s="40" t="s">
        <v>313</v>
      </c>
      <c r="C215" s="40" t="s">
        <v>69</v>
      </c>
      <c r="D215" s="40" t="s">
        <v>115</v>
      </c>
      <c r="E215" s="40">
        <v>6</v>
      </c>
      <c r="F215" s="40">
        <v>0</v>
      </c>
      <c r="G215" s="40">
        <v>0</v>
      </c>
      <c r="H215" s="40">
        <v>0</v>
      </c>
      <c r="I215" s="40">
        <v>0</v>
      </c>
      <c r="J215" s="40">
        <v>0</v>
      </c>
      <c r="K215" s="40">
        <v>0</v>
      </c>
      <c r="L215" s="40">
        <v>0</v>
      </c>
      <c r="M215" s="40">
        <v>0</v>
      </c>
      <c r="N215" s="40">
        <v>0</v>
      </c>
      <c r="O215" s="40">
        <v>0</v>
      </c>
      <c r="P215" s="40">
        <v>0</v>
      </c>
    </row>
    <row r="216" spans="1:16" x14ac:dyDescent="0.25">
      <c r="A216" s="40">
        <v>540284</v>
      </c>
      <c r="B216" s="40" t="s">
        <v>323</v>
      </c>
      <c r="C216" s="40" t="s">
        <v>69</v>
      </c>
      <c r="D216" s="40" t="s">
        <v>115</v>
      </c>
      <c r="E216" s="40">
        <v>6</v>
      </c>
      <c r="F216" s="40">
        <v>0</v>
      </c>
      <c r="G216" s="40">
        <v>0</v>
      </c>
      <c r="H216" s="40">
        <v>0</v>
      </c>
      <c r="I216" s="40">
        <v>0</v>
      </c>
      <c r="J216" s="40">
        <v>0</v>
      </c>
      <c r="K216" s="40">
        <v>0</v>
      </c>
      <c r="L216" s="40">
        <v>0</v>
      </c>
      <c r="M216" s="40">
        <v>0</v>
      </c>
      <c r="N216" s="40">
        <v>0</v>
      </c>
      <c r="O216" s="40">
        <v>0</v>
      </c>
      <c r="P216" s="40">
        <v>0</v>
      </c>
    </row>
    <row r="217" spans="1:16" x14ac:dyDescent="0.25">
      <c r="A217" s="40"/>
      <c r="B217" s="40"/>
      <c r="C217" s="40" t="s">
        <v>69</v>
      </c>
      <c r="D217" s="40"/>
      <c r="E217" s="40"/>
      <c r="F217" s="40">
        <v>31</v>
      </c>
      <c r="G217" s="40">
        <v>0</v>
      </c>
      <c r="H217" s="40">
        <v>3</v>
      </c>
      <c r="I217" s="40">
        <v>6</v>
      </c>
      <c r="J217" s="40">
        <v>1</v>
      </c>
      <c r="K217" s="40">
        <v>10</v>
      </c>
      <c r="L217" s="40">
        <v>11</v>
      </c>
      <c r="M217" s="40">
        <v>11</v>
      </c>
      <c r="N217" s="40">
        <v>7</v>
      </c>
      <c r="O217" s="40">
        <v>2</v>
      </c>
      <c r="P217" s="40">
        <v>0</v>
      </c>
    </row>
    <row r="218" spans="1:16" x14ac:dyDescent="0.25">
      <c r="A218" s="40">
        <v>540164</v>
      </c>
      <c r="B218" s="40" t="s">
        <v>70</v>
      </c>
      <c r="C218" s="40" t="s">
        <v>71</v>
      </c>
      <c r="D218" s="40" t="s">
        <v>5</v>
      </c>
      <c r="E218" s="40">
        <v>3</v>
      </c>
      <c r="F218" s="40">
        <v>20</v>
      </c>
      <c r="G218" s="40">
        <v>1</v>
      </c>
      <c r="H218" s="40">
        <v>0</v>
      </c>
      <c r="I218" s="40">
        <v>2</v>
      </c>
      <c r="J218" s="40">
        <v>2</v>
      </c>
      <c r="K218" s="40">
        <v>4</v>
      </c>
      <c r="L218" s="40">
        <v>11</v>
      </c>
      <c r="M218" s="40">
        <v>4</v>
      </c>
      <c r="N218" s="40">
        <v>3</v>
      </c>
      <c r="O218" s="40">
        <v>0</v>
      </c>
      <c r="P218" s="40">
        <v>2</v>
      </c>
    </row>
    <row r="219" spans="1:16" x14ac:dyDescent="0.25">
      <c r="A219" s="40">
        <v>540081</v>
      </c>
      <c r="B219" s="40" t="s">
        <v>176</v>
      </c>
      <c r="C219" s="40" t="s">
        <v>71</v>
      </c>
      <c r="D219" s="40" t="s">
        <v>115</v>
      </c>
      <c r="E219" s="40">
        <v>3</v>
      </c>
      <c r="F219" s="40">
        <v>0</v>
      </c>
      <c r="G219" s="40">
        <v>0</v>
      </c>
      <c r="H219" s="40">
        <v>0</v>
      </c>
      <c r="I219" s="40">
        <v>0</v>
      </c>
      <c r="J219" s="40">
        <v>0</v>
      </c>
      <c r="K219" s="40">
        <v>0</v>
      </c>
      <c r="L219" s="40">
        <v>0</v>
      </c>
      <c r="M219" s="40">
        <v>0</v>
      </c>
      <c r="N219" s="40">
        <v>0</v>
      </c>
      <c r="O219" s="40">
        <v>0</v>
      </c>
      <c r="P219" s="40">
        <v>0</v>
      </c>
    </row>
    <row r="220" spans="1:16" x14ac:dyDescent="0.25">
      <c r="A220" s="40">
        <v>540165</v>
      </c>
      <c r="B220" s="40" t="s">
        <v>238</v>
      </c>
      <c r="C220" s="40" t="s">
        <v>71</v>
      </c>
      <c r="D220" s="40" t="s">
        <v>115</v>
      </c>
      <c r="E220" s="40">
        <v>3</v>
      </c>
      <c r="F220" s="40">
        <v>0</v>
      </c>
      <c r="G220" s="40">
        <v>0</v>
      </c>
      <c r="H220" s="40">
        <v>0</v>
      </c>
      <c r="I220" s="40">
        <v>0</v>
      </c>
      <c r="J220" s="40">
        <v>0</v>
      </c>
      <c r="K220" s="40">
        <v>0</v>
      </c>
      <c r="L220" s="40">
        <v>0</v>
      </c>
      <c r="M220" s="40">
        <v>0</v>
      </c>
      <c r="N220" s="40">
        <v>0</v>
      </c>
      <c r="O220" s="40">
        <v>0</v>
      </c>
      <c r="P220" s="40">
        <v>0</v>
      </c>
    </row>
    <row r="221" spans="1:16" x14ac:dyDescent="0.25">
      <c r="A221" s="40">
        <v>540166</v>
      </c>
      <c r="B221" s="40" t="s">
        <v>239</v>
      </c>
      <c r="C221" s="40" t="s">
        <v>71</v>
      </c>
      <c r="D221" s="40" t="s">
        <v>115</v>
      </c>
      <c r="E221" s="40">
        <v>3</v>
      </c>
      <c r="F221" s="40">
        <v>0</v>
      </c>
      <c r="G221" s="40">
        <v>0</v>
      </c>
      <c r="H221" s="40">
        <v>0</v>
      </c>
      <c r="I221" s="40">
        <v>0</v>
      </c>
      <c r="J221" s="40">
        <v>0</v>
      </c>
      <c r="K221" s="40">
        <v>0</v>
      </c>
      <c r="L221" s="40">
        <v>0</v>
      </c>
      <c r="M221" s="40">
        <v>0</v>
      </c>
      <c r="N221" s="40">
        <v>0</v>
      </c>
      <c r="O221" s="40">
        <v>0</v>
      </c>
      <c r="P221" s="40">
        <v>0</v>
      </c>
    </row>
    <row r="222" spans="1:16" x14ac:dyDescent="0.25">
      <c r="A222" s="40">
        <v>540167</v>
      </c>
      <c r="B222" s="40" t="s">
        <v>240</v>
      </c>
      <c r="C222" s="40" t="s">
        <v>71</v>
      </c>
      <c r="D222" s="40" t="s">
        <v>115</v>
      </c>
      <c r="E222" s="40">
        <v>3</v>
      </c>
      <c r="F222" s="40">
        <v>1</v>
      </c>
      <c r="G222" s="40">
        <v>0</v>
      </c>
      <c r="H222" s="40">
        <v>0</v>
      </c>
      <c r="I222" s="40">
        <v>1</v>
      </c>
      <c r="J222" s="40">
        <v>0</v>
      </c>
      <c r="K222" s="40">
        <v>0</v>
      </c>
      <c r="L222" s="40">
        <v>0</v>
      </c>
      <c r="M222" s="40">
        <v>0</v>
      </c>
      <c r="N222" s="40">
        <v>0</v>
      </c>
      <c r="O222" s="40">
        <v>1</v>
      </c>
      <c r="P222" s="40">
        <v>0</v>
      </c>
    </row>
    <row r="223" spans="1:16" x14ac:dyDescent="0.25">
      <c r="A223" s="40">
        <v>540168</v>
      </c>
      <c r="B223" s="40" t="s">
        <v>241</v>
      </c>
      <c r="C223" s="40" t="s">
        <v>71</v>
      </c>
      <c r="D223" s="40" t="s">
        <v>115</v>
      </c>
      <c r="E223" s="40">
        <v>3</v>
      </c>
      <c r="F223" s="40">
        <v>0</v>
      </c>
      <c r="G223" s="40">
        <v>0</v>
      </c>
      <c r="H223" s="40">
        <v>0</v>
      </c>
      <c r="I223" s="40">
        <v>0</v>
      </c>
      <c r="J223" s="40">
        <v>0</v>
      </c>
      <c r="K223" s="40">
        <v>0</v>
      </c>
      <c r="L223" s="40">
        <v>0</v>
      </c>
      <c r="M223" s="40">
        <v>0</v>
      </c>
      <c r="N223" s="40">
        <v>0</v>
      </c>
      <c r="O223" s="40">
        <v>0</v>
      </c>
      <c r="P223" s="40">
        <v>0</v>
      </c>
    </row>
    <row r="224" spans="1:16" x14ac:dyDescent="0.25">
      <c r="A224" s="40">
        <v>540222</v>
      </c>
      <c r="B224" s="40" t="s">
        <v>276</v>
      </c>
      <c r="C224" s="40" t="s">
        <v>71</v>
      </c>
      <c r="D224" s="40" t="s">
        <v>115</v>
      </c>
      <c r="E224" s="40">
        <v>3</v>
      </c>
      <c r="F224" s="40">
        <v>0</v>
      </c>
      <c r="G224" s="40">
        <v>0</v>
      </c>
      <c r="H224" s="40">
        <v>0</v>
      </c>
      <c r="I224" s="40">
        <v>0</v>
      </c>
      <c r="J224" s="40">
        <v>0</v>
      </c>
      <c r="K224" s="40">
        <v>0</v>
      </c>
      <c r="L224" s="40">
        <v>0</v>
      </c>
      <c r="M224" s="40">
        <v>0</v>
      </c>
      <c r="N224" s="40">
        <v>0</v>
      </c>
      <c r="O224" s="40">
        <v>0</v>
      </c>
      <c r="P224" s="40">
        <v>0</v>
      </c>
    </row>
    <row r="225" spans="1:16" x14ac:dyDescent="0.25">
      <c r="A225" s="40">
        <v>540271</v>
      </c>
      <c r="B225" s="40" t="s">
        <v>314</v>
      </c>
      <c r="C225" s="40" t="s">
        <v>71</v>
      </c>
      <c r="D225" s="40" t="s">
        <v>115</v>
      </c>
      <c r="E225" s="40">
        <v>3</v>
      </c>
      <c r="F225" s="40">
        <v>1</v>
      </c>
      <c r="G225" s="40">
        <v>0</v>
      </c>
      <c r="H225" s="40">
        <v>0</v>
      </c>
      <c r="I225" s="40">
        <v>0</v>
      </c>
      <c r="J225" s="40">
        <v>0</v>
      </c>
      <c r="K225" s="40">
        <v>1</v>
      </c>
      <c r="L225" s="40">
        <v>0</v>
      </c>
      <c r="M225" s="40">
        <v>0</v>
      </c>
      <c r="N225" s="40">
        <v>1</v>
      </c>
      <c r="O225" s="40">
        <v>0</v>
      </c>
      <c r="P225" s="40">
        <v>0</v>
      </c>
    </row>
    <row r="226" spans="1:16" x14ac:dyDescent="0.25">
      <c r="A226" s="40"/>
      <c r="B226" s="40"/>
      <c r="C226" s="40" t="s">
        <v>71</v>
      </c>
      <c r="D226" s="40"/>
      <c r="E226" s="40"/>
      <c r="F226" s="40">
        <v>22</v>
      </c>
      <c r="G226" s="40">
        <v>1</v>
      </c>
      <c r="H226" s="40">
        <v>0</v>
      </c>
      <c r="I226" s="40">
        <v>3</v>
      </c>
      <c r="J226" s="40">
        <v>2</v>
      </c>
      <c r="K226" s="40">
        <v>5</v>
      </c>
      <c r="L226" s="40">
        <v>11</v>
      </c>
      <c r="M226" s="40">
        <v>4</v>
      </c>
      <c r="N226" s="40">
        <v>4</v>
      </c>
      <c r="O226" s="40">
        <v>1</v>
      </c>
      <c r="P226" s="40">
        <v>2</v>
      </c>
    </row>
    <row r="227" spans="1:16" x14ac:dyDescent="0.25">
      <c r="A227" s="40">
        <v>540169</v>
      </c>
      <c r="B227" s="40" t="s">
        <v>72</v>
      </c>
      <c r="C227" s="40" t="s">
        <v>73</v>
      </c>
      <c r="D227" s="40" t="s">
        <v>5</v>
      </c>
      <c r="E227" s="40">
        <v>1</v>
      </c>
      <c r="F227" s="40">
        <v>15</v>
      </c>
      <c r="G227" s="40">
        <v>0</v>
      </c>
      <c r="H227" s="40">
        <v>1</v>
      </c>
      <c r="I227" s="40">
        <v>1</v>
      </c>
      <c r="J227" s="40">
        <v>2</v>
      </c>
      <c r="K227" s="40">
        <v>9</v>
      </c>
      <c r="L227" s="40">
        <v>2</v>
      </c>
      <c r="M227" s="40">
        <v>10</v>
      </c>
      <c r="N227" s="40">
        <v>2</v>
      </c>
      <c r="O227" s="40">
        <v>0</v>
      </c>
      <c r="P227" s="40">
        <v>1</v>
      </c>
    </row>
    <row r="228" spans="1:16" x14ac:dyDescent="0.25">
      <c r="A228" s="40">
        <v>540170</v>
      </c>
      <c r="B228" s="40" t="s">
        <v>242</v>
      </c>
      <c r="C228" s="40" t="s">
        <v>73</v>
      </c>
      <c r="D228" s="40" t="s">
        <v>115</v>
      </c>
      <c r="E228" s="40">
        <v>1</v>
      </c>
      <c r="F228" s="40">
        <v>0</v>
      </c>
      <c r="G228" s="40">
        <v>0</v>
      </c>
      <c r="H228" s="40">
        <v>0</v>
      </c>
      <c r="I228" s="40">
        <v>0</v>
      </c>
      <c r="J228" s="40">
        <v>0</v>
      </c>
      <c r="K228" s="40">
        <v>0</v>
      </c>
      <c r="L228" s="40">
        <v>0</v>
      </c>
      <c r="M228" s="40">
        <v>0</v>
      </c>
      <c r="N228" s="40">
        <v>0</v>
      </c>
      <c r="O228" s="40">
        <v>0</v>
      </c>
      <c r="P228" s="40">
        <v>0</v>
      </c>
    </row>
    <row r="229" spans="1:16" x14ac:dyDescent="0.25">
      <c r="A229" s="40">
        <v>540171</v>
      </c>
      <c r="B229" s="40" t="s">
        <v>243</v>
      </c>
      <c r="C229" s="40" t="s">
        <v>73</v>
      </c>
      <c r="D229" s="40" t="s">
        <v>115</v>
      </c>
      <c r="E229" s="40">
        <v>1</v>
      </c>
      <c r="F229" s="40">
        <v>0</v>
      </c>
      <c r="G229" s="40">
        <v>0</v>
      </c>
      <c r="H229" s="40">
        <v>0</v>
      </c>
      <c r="I229" s="40">
        <v>0</v>
      </c>
      <c r="J229" s="40">
        <v>0</v>
      </c>
      <c r="K229" s="40">
        <v>0</v>
      </c>
      <c r="L229" s="40">
        <v>0</v>
      </c>
      <c r="M229" s="40">
        <v>0</v>
      </c>
      <c r="N229" s="40">
        <v>0</v>
      </c>
      <c r="O229" s="40">
        <v>0</v>
      </c>
      <c r="P229" s="40">
        <v>0</v>
      </c>
    </row>
    <row r="230" spans="1:16" x14ac:dyDescent="0.25">
      <c r="A230" s="40">
        <v>540173</v>
      </c>
      <c r="B230" s="40" t="s">
        <v>245</v>
      </c>
      <c r="C230" s="40" t="s">
        <v>73</v>
      </c>
      <c r="D230" s="40" t="s">
        <v>115</v>
      </c>
      <c r="E230" s="40">
        <v>1</v>
      </c>
      <c r="F230" s="40">
        <v>0</v>
      </c>
      <c r="G230" s="40">
        <v>0</v>
      </c>
      <c r="H230" s="40">
        <v>0</v>
      </c>
      <c r="I230" s="40">
        <v>0</v>
      </c>
      <c r="J230" s="40">
        <v>0</v>
      </c>
      <c r="K230" s="40">
        <v>0</v>
      </c>
      <c r="L230" s="40">
        <v>0</v>
      </c>
      <c r="M230" s="40">
        <v>0</v>
      </c>
      <c r="N230" s="40">
        <v>0</v>
      </c>
      <c r="O230" s="40">
        <v>0</v>
      </c>
      <c r="P230" s="40">
        <v>0</v>
      </c>
    </row>
    <row r="231" spans="1:16" x14ac:dyDescent="0.25">
      <c r="A231" s="40">
        <v>540174</v>
      </c>
      <c r="B231" s="40" t="s">
        <v>246</v>
      </c>
      <c r="C231" s="40" t="s">
        <v>73</v>
      </c>
      <c r="D231" s="40" t="s">
        <v>115</v>
      </c>
      <c r="E231" s="40">
        <v>1</v>
      </c>
      <c r="F231" s="40">
        <v>0</v>
      </c>
      <c r="G231" s="40">
        <v>0</v>
      </c>
      <c r="H231" s="40">
        <v>0</v>
      </c>
      <c r="I231" s="40">
        <v>0</v>
      </c>
      <c r="J231" s="40">
        <v>0</v>
      </c>
      <c r="K231" s="40">
        <v>0</v>
      </c>
      <c r="L231" s="40">
        <v>0</v>
      </c>
      <c r="M231" s="40">
        <v>0</v>
      </c>
      <c r="N231" s="40">
        <v>0</v>
      </c>
      <c r="O231" s="40">
        <v>0</v>
      </c>
      <c r="P231" s="40">
        <v>0</v>
      </c>
    </row>
    <row r="232" spans="1:16" x14ac:dyDescent="0.25">
      <c r="A232" s="40">
        <v>540286</v>
      </c>
      <c r="B232" s="40" t="s">
        <v>325</v>
      </c>
      <c r="C232" s="40" t="s">
        <v>73</v>
      </c>
      <c r="D232" s="40" t="s">
        <v>115</v>
      </c>
      <c r="E232" s="40">
        <v>1</v>
      </c>
      <c r="F232" s="40">
        <v>0</v>
      </c>
      <c r="G232" s="40">
        <v>0</v>
      </c>
      <c r="H232" s="40">
        <v>0</v>
      </c>
      <c r="I232" s="40">
        <v>0</v>
      </c>
      <c r="J232" s="40">
        <v>0</v>
      </c>
      <c r="K232" s="40">
        <v>0</v>
      </c>
      <c r="L232" s="40">
        <v>0</v>
      </c>
      <c r="M232" s="40">
        <v>0</v>
      </c>
      <c r="N232" s="40">
        <v>0</v>
      </c>
      <c r="O232" s="40">
        <v>0</v>
      </c>
      <c r="P232" s="40">
        <v>0</v>
      </c>
    </row>
    <row r="233" spans="1:16" x14ac:dyDescent="0.25">
      <c r="A233" s="40"/>
      <c r="B233" s="40"/>
      <c r="C233" s="40" t="s">
        <v>73</v>
      </c>
      <c r="D233" s="40"/>
      <c r="E233" s="40"/>
      <c r="F233" s="40">
        <v>15</v>
      </c>
      <c r="G233" s="40">
        <v>0</v>
      </c>
      <c r="H233" s="40">
        <v>1</v>
      </c>
      <c r="I233" s="40">
        <v>1</v>
      </c>
      <c r="J233" s="40">
        <v>2</v>
      </c>
      <c r="K233" s="40">
        <v>9</v>
      </c>
      <c r="L233" s="40">
        <v>2</v>
      </c>
      <c r="M233" s="40">
        <v>10</v>
      </c>
      <c r="N233" s="40">
        <v>2</v>
      </c>
      <c r="O233" s="40">
        <v>0</v>
      </c>
      <c r="P233" s="40">
        <v>1</v>
      </c>
    </row>
    <row r="234" spans="1:16" x14ac:dyDescent="0.25">
      <c r="A234" s="40">
        <v>540183</v>
      </c>
      <c r="B234" s="40" t="s">
        <v>76</v>
      </c>
      <c r="C234" s="40" t="s">
        <v>77</v>
      </c>
      <c r="D234" s="40" t="s">
        <v>5</v>
      </c>
      <c r="E234" s="40">
        <v>5</v>
      </c>
      <c r="F234" s="40">
        <v>8</v>
      </c>
      <c r="G234" s="40">
        <v>0</v>
      </c>
      <c r="H234" s="40">
        <v>1</v>
      </c>
      <c r="I234" s="40">
        <v>3</v>
      </c>
      <c r="J234" s="40">
        <v>0</v>
      </c>
      <c r="K234" s="40">
        <v>2</v>
      </c>
      <c r="L234" s="40">
        <v>2</v>
      </c>
      <c r="M234" s="40">
        <v>3</v>
      </c>
      <c r="N234" s="40">
        <v>1</v>
      </c>
      <c r="O234" s="40">
        <v>0</v>
      </c>
      <c r="P234" s="40">
        <v>2</v>
      </c>
    </row>
    <row r="235" spans="1:16" x14ac:dyDescent="0.25">
      <c r="A235" s="40">
        <v>540184</v>
      </c>
      <c r="B235" s="40" t="s">
        <v>253</v>
      </c>
      <c r="C235" s="40" t="s">
        <v>77</v>
      </c>
      <c r="D235" s="40" t="s">
        <v>115</v>
      </c>
      <c r="E235" s="40">
        <v>5</v>
      </c>
      <c r="F235" s="40">
        <v>0</v>
      </c>
      <c r="G235" s="40">
        <v>0</v>
      </c>
      <c r="H235" s="40">
        <v>0</v>
      </c>
      <c r="I235" s="40">
        <v>0</v>
      </c>
      <c r="J235" s="40">
        <v>0</v>
      </c>
      <c r="K235" s="40">
        <v>0</v>
      </c>
      <c r="L235" s="40">
        <v>0</v>
      </c>
      <c r="M235" s="40">
        <v>0</v>
      </c>
      <c r="N235" s="40">
        <v>0</v>
      </c>
      <c r="O235" s="40">
        <v>0</v>
      </c>
      <c r="P235" s="40">
        <v>0</v>
      </c>
    </row>
    <row r="236" spans="1:16" x14ac:dyDescent="0.25">
      <c r="A236" s="40">
        <v>540185</v>
      </c>
      <c r="B236" s="40" t="s">
        <v>254</v>
      </c>
      <c r="C236" s="40" t="s">
        <v>77</v>
      </c>
      <c r="D236" s="40" t="s">
        <v>115</v>
      </c>
      <c r="E236" s="40">
        <v>5</v>
      </c>
      <c r="F236" s="40">
        <v>2</v>
      </c>
      <c r="G236" s="40">
        <v>0</v>
      </c>
      <c r="H236" s="40">
        <v>0</v>
      </c>
      <c r="I236" s="40">
        <v>2</v>
      </c>
      <c r="J236" s="40">
        <v>0</v>
      </c>
      <c r="K236" s="40">
        <v>0</v>
      </c>
      <c r="L236" s="40">
        <v>0</v>
      </c>
      <c r="M236" s="40">
        <v>1</v>
      </c>
      <c r="N236" s="40">
        <v>0</v>
      </c>
      <c r="O236" s="40">
        <v>1</v>
      </c>
      <c r="P236" s="40">
        <v>0</v>
      </c>
    </row>
    <row r="237" spans="1:16" x14ac:dyDescent="0.25">
      <c r="A237" s="40"/>
      <c r="B237" s="40"/>
      <c r="C237" s="40" t="s">
        <v>77</v>
      </c>
      <c r="D237" s="40"/>
      <c r="E237" s="40"/>
      <c r="F237" s="40">
        <v>10</v>
      </c>
      <c r="G237" s="40">
        <v>0</v>
      </c>
      <c r="H237" s="40">
        <v>1</v>
      </c>
      <c r="I237" s="40">
        <v>5</v>
      </c>
      <c r="J237" s="40">
        <v>0</v>
      </c>
      <c r="K237" s="40">
        <v>2</v>
      </c>
      <c r="L237" s="40">
        <v>2</v>
      </c>
      <c r="M237" s="40">
        <v>4</v>
      </c>
      <c r="N237" s="40">
        <v>1</v>
      </c>
      <c r="O237" s="40">
        <v>1</v>
      </c>
      <c r="P237" s="40">
        <v>2</v>
      </c>
    </row>
    <row r="238" spans="1:16" x14ac:dyDescent="0.25">
      <c r="A238" s="40">
        <v>540186</v>
      </c>
      <c r="B238" s="40" t="s">
        <v>78</v>
      </c>
      <c r="C238" s="40" t="s">
        <v>79</v>
      </c>
      <c r="D238" s="40" t="s">
        <v>5</v>
      </c>
      <c r="E238" s="40">
        <v>1</v>
      </c>
      <c r="F238" s="40">
        <v>4</v>
      </c>
      <c r="G238" s="40">
        <v>0</v>
      </c>
      <c r="H238" s="40">
        <v>1</v>
      </c>
      <c r="I238" s="40">
        <v>1</v>
      </c>
      <c r="J238" s="40">
        <v>0</v>
      </c>
      <c r="K238" s="40">
        <v>1</v>
      </c>
      <c r="L238" s="40">
        <v>1</v>
      </c>
      <c r="M238" s="40">
        <v>2</v>
      </c>
      <c r="N238" s="40">
        <v>1</v>
      </c>
      <c r="O238" s="40">
        <v>0</v>
      </c>
      <c r="P238" s="40">
        <v>0</v>
      </c>
    </row>
    <row r="239" spans="1:16" x14ac:dyDescent="0.25">
      <c r="A239" s="40">
        <v>540187</v>
      </c>
      <c r="B239" s="40" t="s">
        <v>255</v>
      </c>
      <c r="C239" s="40" t="s">
        <v>79</v>
      </c>
      <c r="D239" s="40" t="s">
        <v>115</v>
      </c>
      <c r="E239" s="40">
        <v>1</v>
      </c>
      <c r="F239" s="40">
        <v>1</v>
      </c>
      <c r="G239" s="40">
        <v>1</v>
      </c>
      <c r="H239" s="40">
        <v>0</v>
      </c>
      <c r="I239" s="40">
        <v>0</v>
      </c>
      <c r="J239" s="40">
        <v>0</v>
      </c>
      <c r="K239" s="40">
        <v>0</v>
      </c>
      <c r="L239" s="40">
        <v>0</v>
      </c>
      <c r="M239" s="40">
        <v>1</v>
      </c>
      <c r="N239" s="40">
        <v>0</v>
      </c>
      <c r="O239" s="40">
        <v>0</v>
      </c>
      <c r="P239" s="40">
        <v>0</v>
      </c>
    </row>
    <row r="240" spans="1:16" x14ac:dyDescent="0.25">
      <c r="A240" s="40"/>
      <c r="B240" s="40"/>
      <c r="C240" s="40" t="s">
        <v>79</v>
      </c>
      <c r="D240" s="40"/>
      <c r="E240" s="40"/>
      <c r="F240" s="40">
        <v>5</v>
      </c>
      <c r="G240" s="40">
        <v>1</v>
      </c>
      <c r="H240" s="40">
        <v>1</v>
      </c>
      <c r="I240" s="40">
        <v>1</v>
      </c>
      <c r="J240" s="40">
        <v>0</v>
      </c>
      <c r="K240" s="40">
        <v>1</v>
      </c>
      <c r="L240" s="40">
        <v>1</v>
      </c>
      <c r="M240" s="40">
        <v>3</v>
      </c>
      <c r="N240" s="40">
        <v>1</v>
      </c>
      <c r="O240" s="40">
        <v>0</v>
      </c>
      <c r="P240" s="40">
        <v>0</v>
      </c>
    </row>
    <row r="241" spans="1:16" x14ac:dyDescent="0.25">
      <c r="A241" s="40">
        <v>540188</v>
      </c>
      <c r="B241" s="40" t="s">
        <v>80</v>
      </c>
      <c r="C241" s="40" t="s">
        <v>81</v>
      </c>
      <c r="D241" s="40" t="s">
        <v>5</v>
      </c>
      <c r="E241" s="40">
        <v>6</v>
      </c>
      <c r="F241" s="40">
        <v>8</v>
      </c>
      <c r="G241" s="40">
        <v>1</v>
      </c>
      <c r="H241" s="40">
        <v>0</v>
      </c>
      <c r="I241" s="40">
        <v>0</v>
      </c>
      <c r="J241" s="40">
        <v>0</v>
      </c>
      <c r="K241" s="40">
        <v>0</v>
      </c>
      <c r="L241" s="40">
        <v>7</v>
      </c>
      <c r="M241" s="40">
        <v>1</v>
      </c>
      <c r="N241" s="40">
        <v>0</v>
      </c>
      <c r="O241" s="40">
        <v>0</v>
      </c>
      <c r="P241" s="40">
        <v>0</v>
      </c>
    </row>
    <row r="242" spans="1:16" x14ac:dyDescent="0.25">
      <c r="A242" s="40">
        <v>540189</v>
      </c>
      <c r="B242" s="40" t="s">
        <v>256</v>
      </c>
      <c r="C242" s="40" t="s">
        <v>81</v>
      </c>
      <c r="D242" s="40" t="s">
        <v>115</v>
      </c>
      <c r="E242" s="40">
        <v>6</v>
      </c>
      <c r="F242" s="40">
        <v>0</v>
      </c>
      <c r="G242" s="40">
        <v>0</v>
      </c>
      <c r="H242" s="40">
        <v>0</v>
      </c>
      <c r="I242" s="40">
        <v>0</v>
      </c>
      <c r="J242" s="40">
        <v>0</v>
      </c>
      <c r="K242" s="40">
        <v>0</v>
      </c>
      <c r="L242" s="40">
        <v>0</v>
      </c>
      <c r="M242" s="40">
        <v>0</v>
      </c>
      <c r="N242" s="40">
        <v>0</v>
      </c>
      <c r="O242" s="40">
        <v>0</v>
      </c>
      <c r="P242" s="40">
        <v>0</v>
      </c>
    </row>
    <row r="243" spans="1:16" x14ac:dyDescent="0.25">
      <c r="A243" s="40">
        <v>540190</v>
      </c>
      <c r="B243" s="40" t="s">
        <v>257</v>
      </c>
      <c r="C243" s="40" t="s">
        <v>81</v>
      </c>
      <c r="D243" s="40" t="s">
        <v>115</v>
      </c>
      <c r="E243" s="40">
        <v>6</v>
      </c>
      <c r="F243" s="40">
        <v>0</v>
      </c>
      <c r="G243" s="40">
        <v>0</v>
      </c>
      <c r="H243" s="40">
        <v>0</v>
      </c>
      <c r="I243" s="40">
        <v>0</v>
      </c>
      <c r="J243" s="40">
        <v>0</v>
      </c>
      <c r="K243" s="40">
        <v>0</v>
      </c>
      <c r="L243" s="40">
        <v>0</v>
      </c>
      <c r="M243" s="40">
        <v>0</v>
      </c>
      <c r="N243" s="40">
        <v>0</v>
      </c>
      <c r="O243" s="40">
        <v>0</v>
      </c>
      <c r="P243" s="40">
        <v>0</v>
      </c>
    </row>
    <row r="244" spans="1:16" x14ac:dyDescent="0.25">
      <c r="A244" s="40"/>
      <c r="B244" s="40"/>
      <c r="C244" s="40" t="s">
        <v>81</v>
      </c>
      <c r="D244" s="40"/>
      <c r="E244" s="40"/>
      <c r="F244" s="40">
        <v>8</v>
      </c>
      <c r="G244" s="40">
        <v>1</v>
      </c>
      <c r="H244" s="40">
        <v>0</v>
      </c>
      <c r="I244" s="40">
        <v>0</v>
      </c>
      <c r="J244" s="40">
        <v>0</v>
      </c>
      <c r="K244" s="40">
        <v>0</v>
      </c>
      <c r="L244" s="40">
        <v>7</v>
      </c>
      <c r="M244" s="40">
        <v>1</v>
      </c>
      <c r="N244" s="40">
        <v>0</v>
      </c>
      <c r="O244" s="40">
        <v>0</v>
      </c>
      <c r="P244" s="40">
        <v>0</v>
      </c>
    </row>
    <row r="245" spans="1:16" x14ac:dyDescent="0.25">
      <c r="A245" s="40">
        <v>540198</v>
      </c>
      <c r="B245" s="40" t="s">
        <v>82</v>
      </c>
      <c r="C245" s="40" t="s">
        <v>83</v>
      </c>
      <c r="D245" s="40" t="s">
        <v>5</v>
      </c>
      <c r="E245" s="40">
        <v>7</v>
      </c>
      <c r="F245" s="40">
        <v>7</v>
      </c>
      <c r="G245" s="40">
        <v>0</v>
      </c>
      <c r="H245" s="40">
        <v>0</v>
      </c>
      <c r="I245" s="40">
        <v>0</v>
      </c>
      <c r="J245" s="40">
        <v>0</v>
      </c>
      <c r="K245" s="40">
        <v>2</v>
      </c>
      <c r="L245" s="40">
        <v>5</v>
      </c>
      <c r="M245" s="40">
        <v>1</v>
      </c>
      <c r="N245" s="40">
        <v>1</v>
      </c>
      <c r="O245" s="40">
        <v>0</v>
      </c>
      <c r="P245" s="40">
        <v>0</v>
      </c>
    </row>
    <row r="246" spans="1:16" x14ac:dyDescent="0.25">
      <c r="A246" s="40">
        <v>540199</v>
      </c>
      <c r="B246" s="40" t="s">
        <v>261</v>
      </c>
      <c r="C246" s="40" t="s">
        <v>83</v>
      </c>
      <c r="D246" s="40" t="s">
        <v>115</v>
      </c>
      <c r="E246" s="40">
        <v>7</v>
      </c>
      <c r="F246" s="40">
        <v>1</v>
      </c>
      <c r="G246" s="40">
        <v>0</v>
      </c>
      <c r="H246" s="40">
        <v>0</v>
      </c>
      <c r="I246" s="40">
        <v>0</v>
      </c>
      <c r="J246" s="40">
        <v>0</v>
      </c>
      <c r="K246" s="40">
        <v>0</v>
      </c>
      <c r="L246" s="40">
        <v>1</v>
      </c>
      <c r="M246" s="40">
        <v>0</v>
      </c>
      <c r="N246" s="40">
        <v>0</v>
      </c>
      <c r="O246" s="40">
        <v>0</v>
      </c>
      <c r="P246" s="40">
        <v>0</v>
      </c>
    </row>
    <row r="247" spans="1:16" x14ac:dyDescent="0.25">
      <c r="A247" s="40"/>
      <c r="B247" s="40"/>
      <c r="C247" s="40" t="s">
        <v>83</v>
      </c>
      <c r="D247" s="40"/>
      <c r="E247" s="40"/>
      <c r="F247" s="40">
        <v>8</v>
      </c>
      <c r="G247" s="40">
        <v>0</v>
      </c>
      <c r="H247" s="40">
        <v>0</v>
      </c>
      <c r="I247" s="40">
        <v>0</v>
      </c>
      <c r="J247" s="40">
        <v>0</v>
      </c>
      <c r="K247" s="40">
        <v>2</v>
      </c>
      <c r="L247" s="40">
        <v>6</v>
      </c>
      <c r="M247" s="40">
        <v>1</v>
      </c>
      <c r="N247" s="40">
        <v>1</v>
      </c>
      <c r="O247" s="40">
        <v>0</v>
      </c>
      <c r="P247" s="40">
        <v>0</v>
      </c>
    </row>
    <row r="248" spans="1:16" x14ac:dyDescent="0.25">
      <c r="A248" s="40">
        <v>540200</v>
      </c>
      <c r="B248" s="40" t="s">
        <v>84</v>
      </c>
      <c r="C248" s="40" t="s">
        <v>85</v>
      </c>
      <c r="D248" s="40" t="s">
        <v>5</v>
      </c>
      <c r="E248" s="40">
        <v>2</v>
      </c>
      <c r="F248" s="40">
        <v>9</v>
      </c>
      <c r="G248" s="40">
        <v>2</v>
      </c>
      <c r="H248" s="40">
        <v>0</v>
      </c>
      <c r="I248" s="40">
        <v>0</v>
      </c>
      <c r="J248" s="40">
        <v>0</v>
      </c>
      <c r="K248" s="40">
        <v>4</v>
      </c>
      <c r="L248" s="40">
        <v>3</v>
      </c>
      <c r="M248" s="40">
        <v>5</v>
      </c>
      <c r="N248" s="40">
        <v>0</v>
      </c>
      <c r="O248" s="40">
        <v>1</v>
      </c>
      <c r="P248" s="40">
        <v>0</v>
      </c>
    </row>
    <row r="249" spans="1:16" x14ac:dyDescent="0.25">
      <c r="A249" s="40">
        <v>540018</v>
      </c>
      <c r="B249" s="40" t="s">
        <v>127</v>
      </c>
      <c r="C249" s="40" t="s">
        <v>85</v>
      </c>
      <c r="D249" s="40" t="s">
        <v>115</v>
      </c>
      <c r="E249" s="40">
        <v>2</v>
      </c>
      <c r="F249" s="40">
        <v>0</v>
      </c>
      <c r="G249" s="40">
        <v>0</v>
      </c>
      <c r="H249" s="40">
        <v>0</v>
      </c>
      <c r="I249" s="40">
        <v>0</v>
      </c>
      <c r="J249" s="40">
        <v>0</v>
      </c>
      <c r="K249" s="40">
        <v>0</v>
      </c>
      <c r="L249" s="40">
        <v>0</v>
      </c>
      <c r="M249" s="40">
        <v>0</v>
      </c>
      <c r="N249" s="40">
        <v>0</v>
      </c>
      <c r="O249" s="40">
        <v>0</v>
      </c>
      <c r="P249" s="40">
        <v>0</v>
      </c>
    </row>
    <row r="250" spans="1:16" x14ac:dyDescent="0.25">
      <c r="A250" s="40">
        <v>540202</v>
      </c>
      <c r="B250" s="40" t="s">
        <v>262</v>
      </c>
      <c r="C250" s="40" t="s">
        <v>85</v>
      </c>
      <c r="D250" s="40" t="s">
        <v>115</v>
      </c>
      <c r="E250" s="40">
        <v>2</v>
      </c>
      <c r="F250" s="40">
        <v>0</v>
      </c>
      <c r="G250" s="40">
        <v>0</v>
      </c>
      <c r="H250" s="40">
        <v>0</v>
      </c>
      <c r="I250" s="40">
        <v>0</v>
      </c>
      <c r="J250" s="40">
        <v>0</v>
      </c>
      <c r="K250" s="40">
        <v>0</v>
      </c>
      <c r="L250" s="40">
        <v>0</v>
      </c>
      <c r="M250" s="40">
        <v>0</v>
      </c>
      <c r="N250" s="40">
        <v>0</v>
      </c>
      <c r="O250" s="40">
        <v>0</v>
      </c>
      <c r="P250" s="40">
        <v>0</v>
      </c>
    </row>
    <row r="251" spans="1:16" x14ac:dyDescent="0.25">
      <c r="A251" s="40">
        <v>540221</v>
      </c>
      <c r="B251" s="40" t="s">
        <v>275</v>
      </c>
      <c r="C251" s="40" t="s">
        <v>85</v>
      </c>
      <c r="D251" s="40" t="s">
        <v>115</v>
      </c>
      <c r="E251" s="40">
        <v>2</v>
      </c>
      <c r="F251" s="40">
        <v>0</v>
      </c>
      <c r="G251" s="40">
        <v>0</v>
      </c>
      <c r="H251" s="40">
        <v>0</v>
      </c>
      <c r="I251" s="40">
        <v>0</v>
      </c>
      <c r="J251" s="40">
        <v>0</v>
      </c>
      <c r="K251" s="40">
        <v>0</v>
      </c>
      <c r="L251" s="40">
        <v>0</v>
      </c>
      <c r="M251" s="40">
        <v>0</v>
      </c>
      <c r="N251" s="40">
        <v>0</v>
      </c>
      <c r="O251" s="40">
        <v>0</v>
      </c>
      <c r="P251" s="40">
        <v>0</v>
      </c>
    </row>
    <row r="252" spans="1:16" x14ac:dyDescent="0.25">
      <c r="A252" s="40">
        <v>540231</v>
      </c>
      <c r="B252" s="40" t="s">
        <v>281</v>
      </c>
      <c r="C252" s="40" t="s">
        <v>85</v>
      </c>
      <c r="D252" s="40" t="s">
        <v>115</v>
      </c>
      <c r="E252" s="40">
        <v>2</v>
      </c>
      <c r="F252" s="40">
        <v>0</v>
      </c>
      <c r="G252" s="40">
        <v>0</v>
      </c>
      <c r="H252" s="40">
        <v>0</v>
      </c>
      <c r="I252" s="40">
        <v>0</v>
      </c>
      <c r="J252" s="40">
        <v>0</v>
      </c>
      <c r="K252" s="40">
        <v>0</v>
      </c>
      <c r="L252" s="40">
        <v>0</v>
      </c>
      <c r="M252" s="40">
        <v>0</v>
      </c>
      <c r="N252" s="40">
        <v>0</v>
      </c>
      <c r="O252" s="40">
        <v>0</v>
      </c>
      <c r="P252" s="40">
        <v>0</v>
      </c>
    </row>
    <row r="253" spans="1:16" x14ac:dyDescent="0.25">
      <c r="A253" s="40">
        <v>540232</v>
      </c>
      <c r="B253" s="40" t="s">
        <v>282</v>
      </c>
      <c r="C253" s="40" t="s">
        <v>85</v>
      </c>
      <c r="D253" s="40" t="s">
        <v>115</v>
      </c>
      <c r="E253" s="40">
        <v>2</v>
      </c>
      <c r="F253" s="40">
        <v>1</v>
      </c>
      <c r="G253" s="40">
        <v>0</v>
      </c>
      <c r="H253" s="40">
        <v>0</v>
      </c>
      <c r="I253" s="40">
        <v>0</v>
      </c>
      <c r="J253" s="40">
        <v>0</v>
      </c>
      <c r="K253" s="40">
        <v>1</v>
      </c>
      <c r="L253" s="40">
        <v>0</v>
      </c>
      <c r="M253" s="40">
        <v>0</v>
      </c>
      <c r="N253" s="40">
        <v>0</v>
      </c>
      <c r="O253" s="40">
        <v>0</v>
      </c>
      <c r="P253" s="40">
        <v>1</v>
      </c>
    </row>
    <row r="254" spans="1:16" x14ac:dyDescent="0.25">
      <c r="A254" s="40"/>
      <c r="B254" s="40"/>
      <c r="C254" s="40" t="s">
        <v>85</v>
      </c>
      <c r="D254" s="40"/>
      <c r="E254" s="40"/>
      <c r="F254" s="40">
        <v>10</v>
      </c>
      <c r="G254" s="40">
        <v>2</v>
      </c>
      <c r="H254" s="40">
        <v>0</v>
      </c>
      <c r="I254" s="40">
        <v>0</v>
      </c>
      <c r="J254" s="40">
        <v>0</v>
      </c>
      <c r="K254" s="40">
        <v>5</v>
      </c>
      <c r="L254" s="40">
        <v>3</v>
      </c>
      <c r="M254" s="40">
        <v>5</v>
      </c>
      <c r="N254" s="40">
        <v>0</v>
      </c>
      <c r="O254" s="40">
        <v>1</v>
      </c>
      <c r="P254" s="40">
        <v>1</v>
      </c>
    </row>
    <row r="255" spans="1:16" x14ac:dyDescent="0.25">
      <c r="A255" s="40">
        <v>540203</v>
      </c>
      <c r="B255" s="40" t="s">
        <v>86</v>
      </c>
      <c r="C255" s="40" t="s">
        <v>87</v>
      </c>
      <c r="D255" s="40" t="s">
        <v>5</v>
      </c>
      <c r="E255" s="40">
        <v>4</v>
      </c>
      <c r="F255" s="40">
        <v>4</v>
      </c>
      <c r="G255" s="40">
        <v>1</v>
      </c>
      <c r="H255" s="40">
        <v>0</v>
      </c>
      <c r="I255" s="40">
        <v>2</v>
      </c>
      <c r="J255" s="40">
        <v>0</v>
      </c>
      <c r="K255" s="40">
        <v>1</v>
      </c>
      <c r="L255" s="40">
        <v>0</v>
      </c>
      <c r="M255" s="40">
        <v>1</v>
      </c>
      <c r="N255" s="40">
        <v>1</v>
      </c>
      <c r="O255" s="40">
        <v>0</v>
      </c>
      <c r="P255" s="40">
        <v>2</v>
      </c>
    </row>
    <row r="256" spans="1:16" x14ac:dyDescent="0.25">
      <c r="A256" s="40">
        <v>540204</v>
      </c>
      <c r="B256" s="40" t="s">
        <v>263</v>
      </c>
      <c r="C256" s="40" t="s">
        <v>87</v>
      </c>
      <c r="D256" s="40" t="s">
        <v>115</v>
      </c>
      <c r="E256" s="40">
        <v>4</v>
      </c>
      <c r="F256" s="40">
        <v>0</v>
      </c>
      <c r="G256" s="40">
        <v>0</v>
      </c>
      <c r="H256" s="40">
        <v>0</v>
      </c>
      <c r="I256" s="40">
        <v>0</v>
      </c>
      <c r="J256" s="40">
        <v>0</v>
      </c>
      <c r="K256" s="40">
        <v>0</v>
      </c>
      <c r="L256" s="40">
        <v>0</v>
      </c>
      <c r="M256" s="40">
        <v>0</v>
      </c>
      <c r="N256" s="40">
        <v>0</v>
      </c>
      <c r="O256" s="40">
        <v>0</v>
      </c>
      <c r="P256" s="40">
        <v>0</v>
      </c>
    </row>
    <row r="257" spans="1:16" x14ac:dyDescent="0.25">
      <c r="A257" s="40">
        <v>540205</v>
      </c>
      <c r="B257" s="40" t="s">
        <v>264</v>
      </c>
      <c r="C257" s="40" t="s">
        <v>87</v>
      </c>
      <c r="D257" s="40" t="s">
        <v>115</v>
      </c>
      <c r="E257" s="40">
        <v>4</v>
      </c>
      <c r="F257" s="40">
        <v>0</v>
      </c>
      <c r="G257" s="40">
        <v>0</v>
      </c>
      <c r="H257" s="40">
        <v>0</v>
      </c>
      <c r="I257" s="40">
        <v>0</v>
      </c>
      <c r="J257" s="40">
        <v>0</v>
      </c>
      <c r="K257" s="40">
        <v>0</v>
      </c>
      <c r="L257" s="40">
        <v>0</v>
      </c>
      <c r="M257" s="40">
        <v>0</v>
      </c>
      <c r="N257" s="40">
        <v>0</v>
      </c>
      <c r="O257" s="40">
        <v>0</v>
      </c>
      <c r="P257" s="40">
        <v>0</v>
      </c>
    </row>
    <row r="258" spans="1:16" x14ac:dyDescent="0.25">
      <c r="A258" s="40">
        <v>540206</v>
      </c>
      <c r="B258" s="40" t="s">
        <v>265</v>
      </c>
      <c r="C258" s="40" t="s">
        <v>87</v>
      </c>
      <c r="D258" s="40" t="s">
        <v>115</v>
      </c>
      <c r="E258" s="40">
        <v>4</v>
      </c>
      <c r="F258" s="40">
        <v>0</v>
      </c>
      <c r="G258" s="40">
        <v>0</v>
      </c>
      <c r="H258" s="40">
        <v>0</v>
      </c>
      <c r="I258" s="40">
        <v>0</v>
      </c>
      <c r="J258" s="40">
        <v>0</v>
      </c>
      <c r="K258" s="40">
        <v>0</v>
      </c>
      <c r="L258" s="40">
        <v>0</v>
      </c>
      <c r="M258" s="40">
        <v>0</v>
      </c>
      <c r="N258" s="40">
        <v>0</v>
      </c>
      <c r="O258" s="40">
        <v>0</v>
      </c>
      <c r="P258" s="40">
        <v>0</v>
      </c>
    </row>
    <row r="259" spans="1:16" x14ac:dyDescent="0.25">
      <c r="A259" s="40"/>
      <c r="B259" s="40"/>
      <c r="C259" s="40" t="s">
        <v>87</v>
      </c>
      <c r="D259" s="40"/>
      <c r="E259" s="40"/>
      <c r="F259" s="40">
        <v>4</v>
      </c>
      <c r="G259" s="40">
        <v>1</v>
      </c>
      <c r="H259" s="40">
        <v>0</v>
      </c>
      <c r="I259" s="40">
        <v>2</v>
      </c>
      <c r="J259" s="40">
        <v>0</v>
      </c>
      <c r="K259" s="40">
        <v>1</v>
      </c>
      <c r="L259" s="40">
        <v>0</v>
      </c>
      <c r="M259" s="40">
        <v>1</v>
      </c>
      <c r="N259" s="40">
        <v>1</v>
      </c>
      <c r="O259" s="40">
        <v>0</v>
      </c>
      <c r="P259" s="40">
        <v>2</v>
      </c>
    </row>
    <row r="260" spans="1:16" x14ac:dyDescent="0.25">
      <c r="A260" s="40">
        <v>540207</v>
      </c>
      <c r="B260" s="40" t="s">
        <v>88</v>
      </c>
      <c r="C260" s="40" t="s">
        <v>89</v>
      </c>
      <c r="D260" s="40" t="s">
        <v>5</v>
      </c>
      <c r="E260" s="40">
        <v>10</v>
      </c>
      <c r="F260" s="40">
        <v>6</v>
      </c>
      <c r="G260" s="40">
        <v>1</v>
      </c>
      <c r="H260" s="40">
        <v>0</v>
      </c>
      <c r="I260" s="40">
        <v>0</v>
      </c>
      <c r="J260" s="40">
        <v>1</v>
      </c>
      <c r="K260" s="40">
        <v>0</v>
      </c>
      <c r="L260" s="40">
        <v>4</v>
      </c>
      <c r="M260" s="40">
        <v>1</v>
      </c>
      <c r="N260" s="40">
        <v>1</v>
      </c>
      <c r="O260" s="40">
        <v>0</v>
      </c>
      <c r="P260" s="40">
        <v>0</v>
      </c>
    </row>
    <row r="261" spans="1:16" x14ac:dyDescent="0.25">
      <c r="A261" s="40">
        <v>540196</v>
      </c>
      <c r="B261" s="40" t="s">
        <v>259</v>
      </c>
      <c r="C261" s="40" t="s">
        <v>89</v>
      </c>
      <c r="D261" s="40" t="s">
        <v>115</v>
      </c>
      <c r="E261" s="40">
        <v>5</v>
      </c>
      <c r="F261" s="40">
        <v>0</v>
      </c>
      <c r="G261" s="40">
        <v>0</v>
      </c>
      <c r="H261" s="40">
        <v>0</v>
      </c>
      <c r="I261" s="40">
        <v>0</v>
      </c>
      <c r="J261" s="40">
        <v>0</v>
      </c>
      <c r="K261" s="40">
        <v>0</v>
      </c>
      <c r="L261" s="40">
        <v>0</v>
      </c>
      <c r="M261" s="40">
        <v>0</v>
      </c>
      <c r="N261" s="40">
        <v>0</v>
      </c>
      <c r="O261" s="40">
        <v>0</v>
      </c>
      <c r="P261" s="40">
        <v>0</v>
      </c>
    </row>
    <row r="262" spans="1:16" x14ac:dyDescent="0.25">
      <c r="A262" s="40">
        <v>540208</v>
      </c>
      <c r="B262" s="40" t="s">
        <v>266</v>
      </c>
      <c r="C262" s="40" t="s">
        <v>89</v>
      </c>
      <c r="D262" s="40" t="s">
        <v>115</v>
      </c>
      <c r="E262" s="40">
        <v>10</v>
      </c>
      <c r="F262" s="40">
        <v>0</v>
      </c>
      <c r="G262" s="40">
        <v>0</v>
      </c>
      <c r="H262" s="40">
        <v>0</v>
      </c>
      <c r="I262" s="40">
        <v>0</v>
      </c>
      <c r="J262" s="40">
        <v>0</v>
      </c>
      <c r="K262" s="40">
        <v>0</v>
      </c>
      <c r="L262" s="40">
        <v>0</v>
      </c>
      <c r="M262" s="40">
        <v>0</v>
      </c>
      <c r="N262" s="40">
        <v>0</v>
      </c>
      <c r="O262" s="40">
        <v>0</v>
      </c>
      <c r="P262" s="40">
        <v>0</v>
      </c>
    </row>
    <row r="263" spans="1:16" x14ac:dyDescent="0.25">
      <c r="A263" s="40">
        <v>540210</v>
      </c>
      <c r="B263" s="40" t="s">
        <v>267</v>
      </c>
      <c r="C263" s="40" t="s">
        <v>89</v>
      </c>
      <c r="D263" s="40" t="s">
        <v>115</v>
      </c>
      <c r="E263" s="40">
        <v>10</v>
      </c>
      <c r="F263" s="40">
        <v>0</v>
      </c>
      <c r="G263" s="40">
        <v>0</v>
      </c>
      <c r="H263" s="40">
        <v>0</v>
      </c>
      <c r="I263" s="40">
        <v>0</v>
      </c>
      <c r="J263" s="40">
        <v>0</v>
      </c>
      <c r="K263" s="40">
        <v>0</v>
      </c>
      <c r="L263" s="40">
        <v>0</v>
      </c>
      <c r="M263" s="40">
        <v>0</v>
      </c>
      <c r="N263" s="40">
        <v>0</v>
      </c>
      <c r="O263" s="40">
        <v>0</v>
      </c>
      <c r="P263" s="40">
        <v>0</v>
      </c>
    </row>
    <row r="264" spans="1:16" x14ac:dyDescent="0.25">
      <c r="A264" s="40">
        <v>540256</v>
      </c>
      <c r="B264" s="40" t="s">
        <v>301</v>
      </c>
      <c r="C264" s="40" t="s">
        <v>89</v>
      </c>
      <c r="D264" s="40" t="s">
        <v>115</v>
      </c>
      <c r="E264" s="40">
        <v>10</v>
      </c>
      <c r="F264" s="40">
        <v>0</v>
      </c>
      <c r="G264" s="40">
        <v>0</v>
      </c>
      <c r="H264" s="40">
        <v>0</v>
      </c>
      <c r="I264" s="40">
        <v>0</v>
      </c>
      <c r="J264" s="40">
        <v>0</v>
      </c>
      <c r="K264" s="40">
        <v>0</v>
      </c>
      <c r="L264" s="40">
        <v>0</v>
      </c>
      <c r="M264" s="40">
        <v>0</v>
      </c>
      <c r="N264" s="40">
        <v>0</v>
      </c>
      <c r="O264" s="40">
        <v>0</v>
      </c>
      <c r="P264" s="40">
        <v>0</v>
      </c>
    </row>
    <row r="265" spans="1:16" x14ac:dyDescent="0.25">
      <c r="A265" s="40">
        <v>540258</v>
      </c>
      <c r="B265" s="40" t="s">
        <v>303</v>
      </c>
      <c r="C265" s="40" t="s">
        <v>89</v>
      </c>
      <c r="D265" s="40" t="s">
        <v>115</v>
      </c>
      <c r="E265" s="40">
        <v>10</v>
      </c>
      <c r="F265" s="40">
        <v>0</v>
      </c>
      <c r="G265" s="40">
        <v>0</v>
      </c>
      <c r="H265" s="40">
        <v>0</v>
      </c>
      <c r="I265" s="40">
        <v>0</v>
      </c>
      <c r="J265" s="40">
        <v>0</v>
      </c>
      <c r="K265" s="40">
        <v>0</v>
      </c>
      <c r="L265" s="40">
        <v>0</v>
      </c>
      <c r="M265" s="40">
        <v>0</v>
      </c>
      <c r="N265" s="40">
        <v>0</v>
      </c>
      <c r="O265" s="40">
        <v>0</v>
      </c>
      <c r="P265" s="40">
        <v>0</v>
      </c>
    </row>
    <row r="266" spans="1:16" x14ac:dyDescent="0.25">
      <c r="A266" s="40"/>
      <c r="B266" s="40"/>
      <c r="C266" s="40" t="s">
        <v>89</v>
      </c>
      <c r="D266" s="40"/>
      <c r="E266" s="40"/>
      <c r="F266" s="40">
        <v>6</v>
      </c>
      <c r="G266" s="40">
        <v>1</v>
      </c>
      <c r="H266" s="40">
        <v>0</v>
      </c>
      <c r="I266" s="40">
        <v>0</v>
      </c>
      <c r="J266" s="40">
        <v>1</v>
      </c>
      <c r="K266" s="40">
        <v>0</v>
      </c>
      <c r="L266" s="40">
        <v>4</v>
      </c>
      <c r="M266" s="40">
        <v>1</v>
      </c>
      <c r="N266" s="40">
        <v>1</v>
      </c>
      <c r="O266" s="40">
        <v>0</v>
      </c>
      <c r="P266" s="40">
        <v>0</v>
      </c>
    </row>
    <row r="267" spans="1:16" x14ac:dyDescent="0.25">
      <c r="A267" s="40">
        <v>540211</v>
      </c>
      <c r="B267" s="40" t="s">
        <v>90</v>
      </c>
      <c r="C267" s="40" t="s">
        <v>91</v>
      </c>
      <c r="D267" s="40" t="s">
        <v>5</v>
      </c>
      <c r="E267" s="40">
        <v>5</v>
      </c>
      <c r="F267" s="40">
        <v>1</v>
      </c>
      <c r="G267" s="40">
        <v>0</v>
      </c>
      <c r="H267" s="40">
        <v>0</v>
      </c>
      <c r="I267" s="40">
        <v>0</v>
      </c>
      <c r="J267" s="40">
        <v>0</v>
      </c>
      <c r="K267" s="40">
        <v>0</v>
      </c>
      <c r="L267" s="40">
        <v>1</v>
      </c>
      <c r="M267" s="40">
        <v>0</v>
      </c>
      <c r="N267" s="40">
        <v>0</v>
      </c>
      <c r="O267" s="40">
        <v>0</v>
      </c>
      <c r="P267" s="40">
        <v>0</v>
      </c>
    </row>
    <row r="268" spans="1:16" x14ac:dyDescent="0.25">
      <c r="A268" s="40">
        <v>540212</v>
      </c>
      <c r="B268" s="40" t="s">
        <v>268</v>
      </c>
      <c r="C268" s="40" t="s">
        <v>91</v>
      </c>
      <c r="D268" s="40" t="s">
        <v>115</v>
      </c>
      <c r="E268" s="40">
        <v>5</v>
      </c>
      <c r="F268" s="40">
        <v>0</v>
      </c>
      <c r="G268" s="40">
        <v>0</v>
      </c>
      <c r="H268" s="40">
        <v>0</v>
      </c>
      <c r="I268" s="40">
        <v>0</v>
      </c>
      <c r="J268" s="40">
        <v>0</v>
      </c>
      <c r="K268" s="40">
        <v>0</v>
      </c>
      <c r="L268" s="40">
        <v>0</v>
      </c>
      <c r="M268" s="40">
        <v>0</v>
      </c>
      <c r="N268" s="40">
        <v>0</v>
      </c>
      <c r="O268" s="40">
        <v>0</v>
      </c>
      <c r="P268" s="40">
        <v>0</v>
      </c>
    </row>
    <row r="269" spans="1:16" x14ac:dyDescent="0.25">
      <c r="A269" s="40"/>
      <c r="B269" s="40"/>
      <c r="C269" s="40" t="s">
        <v>91</v>
      </c>
      <c r="D269" s="40"/>
      <c r="E269" s="40"/>
      <c r="F269" s="40">
        <v>1</v>
      </c>
      <c r="G269" s="40">
        <v>0</v>
      </c>
      <c r="H269" s="40">
        <v>0</v>
      </c>
      <c r="I269" s="40">
        <v>0</v>
      </c>
      <c r="J269" s="40">
        <v>0</v>
      </c>
      <c r="K269" s="40">
        <v>0</v>
      </c>
      <c r="L269" s="40">
        <v>1</v>
      </c>
      <c r="M269" s="40">
        <v>0</v>
      </c>
      <c r="N269" s="40">
        <v>0</v>
      </c>
      <c r="O269" s="40">
        <v>0</v>
      </c>
      <c r="P269" s="40">
        <v>0</v>
      </c>
    </row>
    <row r="270" spans="1:16" x14ac:dyDescent="0.25">
      <c r="A270" s="40">
        <v>540213</v>
      </c>
      <c r="B270" s="40" t="s">
        <v>92</v>
      </c>
      <c r="C270" s="40" t="s">
        <v>93</v>
      </c>
      <c r="D270" s="40" t="s">
        <v>5</v>
      </c>
      <c r="E270" s="40">
        <v>5</v>
      </c>
      <c r="F270" s="40">
        <v>7</v>
      </c>
      <c r="G270" s="40">
        <v>1</v>
      </c>
      <c r="H270" s="40">
        <v>0</v>
      </c>
      <c r="I270" s="40">
        <v>2</v>
      </c>
      <c r="J270" s="40">
        <v>0</v>
      </c>
      <c r="K270" s="40">
        <v>4</v>
      </c>
      <c r="L270" s="40">
        <v>0</v>
      </c>
      <c r="M270" s="40">
        <v>6</v>
      </c>
      <c r="N270" s="40">
        <v>1</v>
      </c>
      <c r="O270" s="40">
        <v>0</v>
      </c>
      <c r="P270" s="40">
        <v>0</v>
      </c>
    </row>
    <row r="271" spans="1:16" x14ac:dyDescent="0.25">
      <c r="A271" s="40">
        <v>540042</v>
      </c>
      <c r="B271" s="40" t="s">
        <v>143</v>
      </c>
      <c r="C271" s="40" t="s">
        <v>93</v>
      </c>
      <c r="D271" s="40" t="s">
        <v>115</v>
      </c>
      <c r="E271" s="40">
        <v>5</v>
      </c>
      <c r="F271" s="40">
        <v>0</v>
      </c>
      <c r="G271" s="40">
        <v>0</v>
      </c>
      <c r="H271" s="40">
        <v>0</v>
      </c>
      <c r="I271" s="40">
        <v>0</v>
      </c>
      <c r="J271" s="40">
        <v>0</v>
      </c>
      <c r="K271" s="40">
        <v>0</v>
      </c>
      <c r="L271" s="40">
        <v>0</v>
      </c>
      <c r="M271" s="40">
        <v>0</v>
      </c>
      <c r="N271" s="40">
        <v>0</v>
      </c>
      <c r="O271" s="40">
        <v>0</v>
      </c>
      <c r="P271" s="40">
        <v>0</v>
      </c>
    </row>
    <row r="272" spans="1:16" x14ac:dyDescent="0.25">
      <c r="A272" s="40">
        <v>540214</v>
      </c>
      <c r="B272" s="40" t="s">
        <v>269</v>
      </c>
      <c r="C272" s="40" t="s">
        <v>93</v>
      </c>
      <c r="D272" s="40" t="s">
        <v>115</v>
      </c>
      <c r="E272" s="40">
        <v>5</v>
      </c>
      <c r="F272" s="40">
        <v>0</v>
      </c>
      <c r="G272" s="40">
        <v>0</v>
      </c>
      <c r="H272" s="40">
        <v>0</v>
      </c>
      <c r="I272" s="40">
        <v>0</v>
      </c>
      <c r="J272" s="40">
        <v>0</v>
      </c>
      <c r="K272" s="40">
        <v>0</v>
      </c>
      <c r="L272" s="40">
        <v>0</v>
      </c>
      <c r="M272" s="40">
        <v>0</v>
      </c>
      <c r="N272" s="40">
        <v>0</v>
      </c>
      <c r="O272" s="40">
        <v>0</v>
      </c>
      <c r="P272" s="40">
        <v>0</v>
      </c>
    </row>
    <row r="273" spans="1:16" x14ac:dyDescent="0.25">
      <c r="A273" s="40">
        <v>540215</v>
      </c>
      <c r="B273" s="40" t="s">
        <v>270</v>
      </c>
      <c r="C273" s="40" t="s">
        <v>93</v>
      </c>
      <c r="D273" s="40" t="s">
        <v>115</v>
      </c>
      <c r="E273" s="40">
        <v>5</v>
      </c>
      <c r="F273" s="40">
        <v>0</v>
      </c>
      <c r="G273" s="40">
        <v>0</v>
      </c>
      <c r="H273" s="40">
        <v>0</v>
      </c>
      <c r="I273" s="40">
        <v>0</v>
      </c>
      <c r="J273" s="40">
        <v>0</v>
      </c>
      <c r="K273" s="40">
        <v>0</v>
      </c>
      <c r="L273" s="40">
        <v>0</v>
      </c>
      <c r="M273" s="40">
        <v>0</v>
      </c>
      <c r="N273" s="40">
        <v>0</v>
      </c>
      <c r="O273" s="40">
        <v>0</v>
      </c>
      <c r="P273" s="40">
        <v>0</v>
      </c>
    </row>
    <row r="274" spans="1:16" x14ac:dyDescent="0.25">
      <c r="A274" s="40">
        <v>540216</v>
      </c>
      <c r="B274" s="40" t="s">
        <v>271</v>
      </c>
      <c r="C274" s="40" t="s">
        <v>93</v>
      </c>
      <c r="D274" s="40" t="s">
        <v>115</v>
      </c>
      <c r="E274" s="40">
        <v>5</v>
      </c>
      <c r="F274" s="40">
        <v>0</v>
      </c>
      <c r="G274" s="40">
        <v>0</v>
      </c>
      <c r="H274" s="40">
        <v>0</v>
      </c>
      <c r="I274" s="40">
        <v>0</v>
      </c>
      <c r="J274" s="40">
        <v>0</v>
      </c>
      <c r="K274" s="40">
        <v>0</v>
      </c>
      <c r="L274" s="40">
        <v>0</v>
      </c>
      <c r="M274" s="40">
        <v>0</v>
      </c>
      <c r="N274" s="40">
        <v>0</v>
      </c>
      <c r="O274" s="40">
        <v>0</v>
      </c>
      <c r="P274" s="40">
        <v>0</v>
      </c>
    </row>
    <row r="275" spans="1:16" x14ac:dyDescent="0.25">
      <c r="A275" s="40"/>
      <c r="B275" s="40"/>
      <c r="C275" s="40" t="s">
        <v>93</v>
      </c>
      <c r="D275" s="40"/>
      <c r="E275" s="40"/>
      <c r="F275" s="40">
        <v>7</v>
      </c>
      <c r="G275" s="40">
        <v>1</v>
      </c>
      <c r="H275" s="40">
        <v>0</v>
      </c>
      <c r="I275" s="40">
        <v>2</v>
      </c>
      <c r="J275" s="40">
        <v>0</v>
      </c>
      <c r="K275" s="40">
        <v>4</v>
      </c>
      <c r="L275" s="40">
        <v>0</v>
      </c>
      <c r="M275" s="40">
        <v>6</v>
      </c>
      <c r="N275" s="40">
        <v>1</v>
      </c>
      <c r="O275" s="40">
        <v>0</v>
      </c>
      <c r="P275" s="40">
        <v>0</v>
      </c>
    </row>
    <row r="276" spans="1:16" x14ac:dyDescent="0.25">
      <c r="A276" s="40">
        <v>540224</v>
      </c>
      <c r="B276" s="40" t="s">
        <v>96</v>
      </c>
      <c r="C276" s="40" t="s">
        <v>97</v>
      </c>
      <c r="D276" s="40" t="s">
        <v>5</v>
      </c>
      <c r="E276" s="40">
        <v>5</v>
      </c>
      <c r="F276" s="40">
        <v>10</v>
      </c>
      <c r="G276" s="40">
        <v>0</v>
      </c>
      <c r="H276" s="40">
        <v>0</v>
      </c>
      <c r="I276" s="40">
        <v>3</v>
      </c>
      <c r="J276" s="40">
        <v>0</v>
      </c>
      <c r="K276" s="40">
        <v>3</v>
      </c>
      <c r="L276" s="40">
        <v>4</v>
      </c>
      <c r="M276" s="40">
        <v>3</v>
      </c>
      <c r="N276" s="40">
        <v>1</v>
      </c>
      <c r="O276" s="40">
        <v>1</v>
      </c>
      <c r="P276" s="40">
        <v>1</v>
      </c>
    </row>
    <row r="277" spans="1:16" x14ac:dyDescent="0.25">
      <c r="A277" s="40">
        <v>540132</v>
      </c>
      <c r="B277" s="40" t="s">
        <v>216</v>
      </c>
      <c r="C277" s="40" t="s">
        <v>97</v>
      </c>
      <c r="D277" s="40" t="s">
        <v>115</v>
      </c>
      <c r="E277" s="40">
        <v>5</v>
      </c>
      <c r="F277" s="40">
        <v>0</v>
      </c>
      <c r="G277" s="40">
        <v>0</v>
      </c>
      <c r="H277" s="40">
        <v>0</v>
      </c>
      <c r="I277" s="40">
        <v>0</v>
      </c>
      <c r="J277" s="40">
        <v>0</v>
      </c>
      <c r="K277" s="40">
        <v>0</v>
      </c>
      <c r="L277" s="40">
        <v>0</v>
      </c>
      <c r="M277" s="40">
        <v>0</v>
      </c>
      <c r="N277" s="40">
        <v>0</v>
      </c>
      <c r="O277" s="40">
        <v>0</v>
      </c>
      <c r="P277" s="40">
        <v>0</v>
      </c>
    </row>
    <row r="278" spans="1:16" x14ac:dyDescent="0.25">
      <c r="A278" s="40">
        <v>540179</v>
      </c>
      <c r="B278" s="40" t="s">
        <v>250</v>
      </c>
      <c r="C278" s="40" t="s">
        <v>97</v>
      </c>
      <c r="D278" s="40" t="s">
        <v>115</v>
      </c>
      <c r="E278" s="40">
        <v>5</v>
      </c>
      <c r="F278" s="40">
        <v>0</v>
      </c>
      <c r="G278" s="40">
        <v>0</v>
      </c>
      <c r="H278" s="40">
        <v>0</v>
      </c>
      <c r="I278" s="40">
        <v>0</v>
      </c>
      <c r="J278" s="40">
        <v>0</v>
      </c>
      <c r="K278" s="40">
        <v>0</v>
      </c>
      <c r="L278" s="40">
        <v>0</v>
      </c>
      <c r="M278" s="40">
        <v>0</v>
      </c>
      <c r="N278" s="40">
        <v>0</v>
      </c>
      <c r="O278" s="40">
        <v>0</v>
      </c>
      <c r="P278" s="40">
        <v>0</v>
      </c>
    </row>
    <row r="279" spans="1:16" x14ac:dyDescent="0.25">
      <c r="A279" s="40">
        <v>540180</v>
      </c>
      <c r="B279" s="40" t="s">
        <v>251</v>
      </c>
      <c r="C279" s="40" t="s">
        <v>97</v>
      </c>
      <c r="D279" s="40" t="s">
        <v>115</v>
      </c>
      <c r="E279" s="40">
        <v>5</v>
      </c>
      <c r="F279" s="40">
        <v>0</v>
      </c>
      <c r="G279" s="40">
        <v>0</v>
      </c>
      <c r="H279" s="40">
        <v>0</v>
      </c>
      <c r="I279" s="40">
        <v>0</v>
      </c>
      <c r="J279" s="40">
        <v>0</v>
      </c>
      <c r="K279" s="40">
        <v>0</v>
      </c>
      <c r="L279" s="40">
        <v>0</v>
      </c>
      <c r="M279" s="40">
        <v>0</v>
      </c>
      <c r="N279" s="40">
        <v>0</v>
      </c>
      <c r="O279" s="40">
        <v>0</v>
      </c>
      <c r="P279" s="40">
        <v>0</v>
      </c>
    </row>
    <row r="280" spans="1:16" x14ac:dyDescent="0.25">
      <c r="A280" s="40">
        <v>540182</v>
      </c>
      <c r="B280" s="40" t="s">
        <v>252</v>
      </c>
      <c r="C280" s="40" t="s">
        <v>97</v>
      </c>
      <c r="D280" s="40" t="s">
        <v>115</v>
      </c>
      <c r="E280" s="40">
        <v>5</v>
      </c>
      <c r="F280" s="40">
        <v>2</v>
      </c>
      <c r="G280" s="40">
        <v>0</v>
      </c>
      <c r="H280" s="40">
        <v>0</v>
      </c>
      <c r="I280" s="40">
        <v>1</v>
      </c>
      <c r="J280" s="40">
        <v>0</v>
      </c>
      <c r="K280" s="40">
        <v>0</v>
      </c>
      <c r="L280" s="40">
        <v>1</v>
      </c>
      <c r="M280" s="40">
        <v>0</v>
      </c>
      <c r="N280" s="40">
        <v>1</v>
      </c>
      <c r="O280" s="40">
        <v>0</v>
      </c>
      <c r="P280" s="40">
        <v>0</v>
      </c>
    </row>
    <row r="281" spans="1:16" x14ac:dyDescent="0.25">
      <c r="A281" s="40">
        <v>540262</v>
      </c>
      <c r="B281" s="40" t="s">
        <v>305</v>
      </c>
      <c r="C281" s="40" t="s">
        <v>97</v>
      </c>
      <c r="D281" s="40" t="s">
        <v>115</v>
      </c>
      <c r="E281" s="40">
        <v>5</v>
      </c>
      <c r="F281" s="40">
        <v>0</v>
      </c>
      <c r="G281" s="40">
        <v>0</v>
      </c>
      <c r="H281" s="40">
        <v>0</v>
      </c>
      <c r="I281" s="40">
        <v>0</v>
      </c>
      <c r="J281" s="40">
        <v>0</v>
      </c>
      <c r="K281" s="40">
        <v>0</v>
      </c>
      <c r="L281" s="40">
        <v>0</v>
      </c>
      <c r="M281" s="40">
        <v>0</v>
      </c>
      <c r="N281" s="40">
        <v>0</v>
      </c>
      <c r="O281" s="40">
        <v>0</v>
      </c>
      <c r="P281" s="40">
        <v>0</v>
      </c>
    </row>
    <row r="282" spans="1:16" x14ac:dyDescent="0.25">
      <c r="A282" s="40">
        <v>540263</v>
      </c>
      <c r="B282" s="40" t="s">
        <v>306</v>
      </c>
      <c r="C282" s="40" t="s">
        <v>97</v>
      </c>
      <c r="D282" s="40" t="s">
        <v>115</v>
      </c>
      <c r="E282" s="40">
        <v>5</v>
      </c>
      <c r="F282" s="40">
        <v>0</v>
      </c>
      <c r="G282" s="40">
        <v>0</v>
      </c>
      <c r="H282" s="40">
        <v>0</v>
      </c>
      <c r="I282" s="40">
        <v>0</v>
      </c>
      <c r="J282" s="40">
        <v>0</v>
      </c>
      <c r="K282" s="40">
        <v>0</v>
      </c>
      <c r="L282" s="40">
        <v>0</v>
      </c>
      <c r="M282" s="40">
        <v>0</v>
      </c>
      <c r="N282" s="40">
        <v>0</v>
      </c>
      <c r="O282" s="40">
        <v>0</v>
      </c>
      <c r="P282" s="40">
        <v>0</v>
      </c>
    </row>
    <row r="283" spans="1:16" x14ac:dyDescent="0.25">
      <c r="A283" s="40"/>
      <c r="B283" s="40"/>
      <c r="C283" s="40" t="s">
        <v>97</v>
      </c>
      <c r="D283" s="40"/>
      <c r="E283" s="40"/>
      <c r="F283" s="40">
        <v>12</v>
      </c>
      <c r="G283" s="40">
        <v>0</v>
      </c>
      <c r="H283" s="40">
        <v>0</v>
      </c>
      <c r="I283" s="40">
        <v>4</v>
      </c>
      <c r="J283" s="40">
        <v>0</v>
      </c>
      <c r="K283" s="40">
        <v>3</v>
      </c>
      <c r="L283" s="40">
        <v>5</v>
      </c>
      <c r="M283" s="40">
        <v>3</v>
      </c>
      <c r="N283" s="40">
        <v>2</v>
      </c>
      <c r="O283" s="40">
        <v>1</v>
      </c>
      <c r="P283" s="40">
        <v>1</v>
      </c>
    </row>
    <row r="284" spans="1:16" x14ac:dyDescent="0.25">
      <c r="A284" s="40">
        <v>540225</v>
      </c>
      <c r="B284" s="40" t="s">
        <v>98</v>
      </c>
      <c r="C284" s="40" t="s">
        <v>99</v>
      </c>
      <c r="D284" s="40" t="s">
        <v>5</v>
      </c>
      <c r="E284" s="40">
        <v>5</v>
      </c>
      <c r="F284" s="40">
        <v>3</v>
      </c>
      <c r="G284" s="40">
        <v>1</v>
      </c>
      <c r="H284" s="40">
        <v>0</v>
      </c>
      <c r="I284" s="40">
        <v>0</v>
      </c>
      <c r="J284" s="40">
        <v>1</v>
      </c>
      <c r="K284" s="40">
        <v>0</v>
      </c>
      <c r="L284" s="40">
        <v>1</v>
      </c>
      <c r="M284" s="40">
        <v>1</v>
      </c>
      <c r="N284" s="40">
        <v>1</v>
      </c>
      <c r="O284" s="40">
        <v>0</v>
      </c>
      <c r="P284" s="40">
        <v>0</v>
      </c>
    </row>
    <row r="285" spans="1:16" x14ac:dyDescent="0.25">
      <c r="A285" s="40">
        <v>540156</v>
      </c>
      <c r="B285" s="40" t="s">
        <v>232</v>
      </c>
      <c r="C285" s="40" t="s">
        <v>99</v>
      </c>
      <c r="D285" s="40" t="s">
        <v>115</v>
      </c>
      <c r="E285" s="40">
        <v>5</v>
      </c>
      <c r="F285" s="40">
        <v>0</v>
      </c>
      <c r="G285" s="40">
        <v>0</v>
      </c>
      <c r="H285" s="40">
        <v>0</v>
      </c>
      <c r="I285" s="40">
        <v>0</v>
      </c>
      <c r="J285" s="40">
        <v>0</v>
      </c>
      <c r="K285" s="40">
        <v>0</v>
      </c>
      <c r="L285" s="40">
        <v>0</v>
      </c>
      <c r="M285" s="40">
        <v>0</v>
      </c>
      <c r="N285" s="40">
        <v>0</v>
      </c>
      <c r="O285" s="40">
        <v>0</v>
      </c>
      <c r="P285" s="40">
        <v>0</v>
      </c>
    </row>
    <row r="286" spans="1:16" x14ac:dyDescent="0.25">
      <c r="A286" s="40">
        <v>540253</v>
      </c>
      <c r="B286" s="40" t="s">
        <v>299</v>
      </c>
      <c r="C286" s="40" t="s">
        <v>99</v>
      </c>
      <c r="D286" s="40" t="s">
        <v>115</v>
      </c>
      <c r="E286" s="40">
        <v>5</v>
      </c>
      <c r="F286" s="40">
        <v>0</v>
      </c>
      <c r="G286" s="40">
        <v>0</v>
      </c>
      <c r="H286" s="40">
        <v>0</v>
      </c>
      <c r="I286" s="40">
        <v>0</v>
      </c>
      <c r="J286" s="40">
        <v>0</v>
      </c>
      <c r="K286" s="40">
        <v>0</v>
      </c>
      <c r="L286" s="40">
        <v>0</v>
      </c>
      <c r="M286" s="40">
        <v>0</v>
      </c>
      <c r="N286" s="40">
        <v>0</v>
      </c>
      <c r="O286" s="40">
        <v>0</v>
      </c>
      <c r="P286" s="40">
        <v>0</v>
      </c>
    </row>
    <row r="287" spans="1:16" x14ac:dyDescent="0.25">
      <c r="A287" s="40"/>
      <c r="B287" s="40"/>
      <c r="C287" s="40" t="s">
        <v>99</v>
      </c>
      <c r="D287" s="40"/>
      <c r="E287" s="40"/>
      <c r="F287" s="40">
        <v>3</v>
      </c>
      <c r="G287" s="40">
        <v>1</v>
      </c>
      <c r="H287" s="40">
        <v>0</v>
      </c>
      <c r="I287" s="40">
        <v>0</v>
      </c>
      <c r="J287" s="40">
        <v>1</v>
      </c>
      <c r="K287" s="40">
        <v>0</v>
      </c>
      <c r="L287" s="40">
        <v>1</v>
      </c>
      <c r="M287" s="40">
        <v>1</v>
      </c>
      <c r="N287" s="40">
        <v>1</v>
      </c>
      <c r="O287" s="40">
        <v>0</v>
      </c>
      <c r="P287" s="40">
        <v>0</v>
      </c>
    </row>
    <row r="288" spans="1:16" x14ac:dyDescent="0.25">
      <c r="A288" s="40">
        <v>540226</v>
      </c>
      <c r="B288" s="40" t="s">
        <v>100</v>
      </c>
      <c r="C288" s="40" t="s">
        <v>101</v>
      </c>
      <c r="D288" s="40" t="s">
        <v>5</v>
      </c>
      <c r="E288" s="40">
        <v>8</v>
      </c>
      <c r="F288" s="40">
        <v>8</v>
      </c>
      <c r="G288" s="40">
        <v>0</v>
      </c>
      <c r="H288" s="40">
        <v>0</v>
      </c>
      <c r="I288" s="40">
        <v>0</v>
      </c>
      <c r="J288" s="40">
        <v>0</v>
      </c>
      <c r="K288" s="40">
        <v>4</v>
      </c>
      <c r="L288" s="40">
        <v>4</v>
      </c>
      <c r="M288" s="40">
        <v>0</v>
      </c>
      <c r="N288" s="40">
        <v>4</v>
      </c>
      <c r="O288" s="40">
        <v>0</v>
      </c>
      <c r="P288" s="40">
        <v>0</v>
      </c>
    </row>
    <row r="289" spans="1:16" x14ac:dyDescent="0.25">
      <c r="A289" s="40">
        <v>540046</v>
      </c>
      <c r="B289" s="40" t="s">
        <v>147</v>
      </c>
      <c r="C289" s="40" t="s">
        <v>101</v>
      </c>
      <c r="D289" s="40" t="s">
        <v>115</v>
      </c>
      <c r="E289" s="40">
        <v>8</v>
      </c>
      <c r="F289" s="40">
        <v>0</v>
      </c>
      <c r="G289" s="40">
        <v>0</v>
      </c>
      <c r="H289" s="40">
        <v>0</v>
      </c>
      <c r="I289" s="40">
        <v>0</v>
      </c>
      <c r="J289" s="40">
        <v>0</v>
      </c>
      <c r="K289" s="40">
        <v>0</v>
      </c>
      <c r="L289" s="40">
        <v>0</v>
      </c>
      <c r="M289" s="40">
        <v>0</v>
      </c>
      <c r="N289" s="40">
        <v>0</v>
      </c>
      <c r="O289" s="40">
        <v>0</v>
      </c>
      <c r="P289" s="40">
        <v>0</v>
      </c>
    </row>
    <row r="290" spans="1:16" x14ac:dyDescent="0.25">
      <c r="A290" s="40">
        <v>540276</v>
      </c>
      <c r="B290" s="40" t="s">
        <v>319</v>
      </c>
      <c r="C290" s="40" t="s">
        <v>101</v>
      </c>
      <c r="D290" s="40" t="s">
        <v>115</v>
      </c>
      <c r="E290" s="40">
        <v>8</v>
      </c>
      <c r="F290" s="40">
        <v>0</v>
      </c>
      <c r="G290" s="40">
        <v>0</v>
      </c>
      <c r="H290" s="40">
        <v>0</v>
      </c>
      <c r="I290" s="40">
        <v>0</v>
      </c>
      <c r="J290" s="40">
        <v>0</v>
      </c>
      <c r="K290" s="40">
        <v>0</v>
      </c>
      <c r="L290" s="40">
        <v>0</v>
      </c>
      <c r="M290" s="40">
        <v>0</v>
      </c>
      <c r="N290" s="40">
        <v>0</v>
      </c>
      <c r="O290" s="40">
        <v>0</v>
      </c>
      <c r="P290" s="40">
        <v>0</v>
      </c>
    </row>
    <row r="291" spans="1:16" x14ac:dyDescent="0.25">
      <c r="A291" s="40"/>
      <c r="B291" s="40"/>
      <c r="C291" s="40" t="s">
        <v>101</v>
      </c>
      <c r="D291" s="40"/>
      <c r="E291" s="40"/>
      <c r="F291" s="40">
        <v>8</v>
      </c>
      <c r="G291" s="40">
        <v>0</v>
      </c>
      <c r="H291" s="40">
        <v>0</v>
      </c>
      <c r="I291" s="40">
        <v>0</v>
      </c>
      <c r="J291" s="40">
        <v>0</v>
      </c>
      <c r="K291" s="40">
        <v>4</v>
      </c>
      <c r="L291" s="40">
        <v>4</v>
      </c>
      <c r="M291" s="40">
        <v>0</v>
      </c>
      <c r="N291" s="40">
        <v>4</v>
      </c>
      <c r="O291" s="40">
        <v>0</v>
      </c>
      <c r="P291" s="40">
        <v>0</v>
      </c>
    </row>
    <row r="292" spans="1:16" x14ac:dyDescent="0.25">
      <c r="A292" s="40">
        <v>540277</v>
      </c>
      <c r="B292" s="40" t="s">
        <v>102</v>
      </c>
      <c r="C292" s="40" t="s">
        <v>103</v>
      </c>
      <c r="D292" s="40" t="s">
        <v>5</v>
      </c>
      <c r="E292" s="40">
        <v>5</v>
      </c>
      <c r="F292" s="40">
        <v>4</v>
      </c>
      <c r="G292" s="40">
        <v>0</v>
      </c>
      <c r="H292" s="40">
        <v>1</v>
      </c>
      <c r="I292" s="40">
        <v>0</v>
      </c>
      <c r="J292" s="40">
        <v>0</v>
      </c>
      <c r="K292" s="40">
        <v>1</v>
      </c>
      <c r="L292" s="40">
        <v>2</v>
      </c>
      <c r="M292" s="40">
        <v>2</v>
      </c>
      <c r="N292" s="40">
        <v>0</v>
      </c>
      <c r="O292" s="40">
        <v>0</v>
      </c>
      <c r="P292" s="40">
        <v>0</v>
      </c>
    </row>
    <row r="293" spans="1:16" x14ac:dyDescent="0.25">
      <c r="A293" s="40">
        <v>540195</v>
      </c>
      <c r="B293" s="40" t="s">
        <v>258</v>
      </c>
      <c r="C293" s="40" t="s">
        <v>103</v>
      </c>
      <c r="D293" s="40" t="s">
        <v>115</v>
      </c>
      <c r="E293" s="40">
        <v>5</v>
      </c>
      <c r="F293" s="40">
        <v>0</v>
      </c>
      <c r="G293" s="40">
        <v>0</v>
      </c>
      <c r="H293" s="40">
        <v>0</v>
      </c>
      <c r="I293" s="40">
        <v>0</v>
      </c>
      <c r="J293" s="40">
        <v>0</v>
      </c>
      <c r="K293" s="40">
        <v>0</v>
      </c>
      <c r="L293" s="40">
        <v>0</v>
      </c>
      <c r="M293" s="40">
        <v>0</v>
      </c>
      <c r="N293" s="40">
        <v>0</v>
      </c>
      <c r="O293" s="40">
        <v>0</v>
      </c>
      <c r="P293" s="40">
        <v>0</v>
      </c>
    </row>
    <row r="294" spans="1:16" x14ac:dyDescent="0.25">
      <c r="A294" s="40">
        <v>540196</v>
      </c>
      <c r="B294" s="40" t="s">
        <v>259</v>
      </c>
      <c r="C294" s="40" t="s">
        <v>103</v>
      </c>
      <c r="D294" s="40" t="s">
        <v>115</v>
      </c>
      <c r="E294" s="40">
        <v>5</v>
      </c>
      <c r="F294" s="40">
        <v>0</v>
      </c>
      <c r="G294" s="40">
        <v>0</v>
      </c>
      <c r="H294" s="40">
        <v>0</v>
      </c>
      <c r="I294" s="40">
        <v>0</v>
      </c>
      <c r="J294" s="40">
        <v>0</v>
      </c>
      <c r="K294" s="40">
        <v>0</v>
      </c>
      <c r="L294" s="40">
        <v>0</v>
      </c>
      <c r="M294" s="40">
        <v>0</v>
      </c>
      <c r="N294" s="40">
        <v>0</v>
      </c>
      <c r="O294" s="40">
        <v>0</v>
      </c>
      <c r="P294" s="40">
        <v>0</v>
      </c>
    </row>
    <row r="295" spans="1:16" x14ac:dyDescent="0.25">
      <c r="A295" s="40">
        <v>540197</v>
      </c>
      <c r="B295" s="40" t="s">
        <v>260</v>
      </c>
      <c r="C295" s="40" t="s">
        <v>103</v>
      </c>
      <c r="D295" s="40" t="s">
        <v>115</v>
      </c>
      <c r="E295" s="40">
        <v>5</v>
      </c>
      <c r="F295" s="40">
        <v>0</v>
      </c>
      <c r="G295" s="40">
        <v>0</v>
      </c>
      <c r="H295" s="40">
        <v>0</v>
      </c>
      <c r="I295" s="40">
        <v>0</v>
      </c>
      <c r="J295" s="40">
        <v>0</v>
      </c>
      <c r="K295" s="40">
        <v>0</v>
      </c>
      <c r="L295" s="40">
        <v>0</v>
      </c>
      <c r="M295" s="40">
        <v>0</v>
      </c>
      <c r="N295" s="40">
        <v>0</v>
      </c>
      <c r="O295" s="40">
        <v>0</v>
      </c>
      <c r="P295" s="40">
        <v>0</v>
      </c>
    </row>
    <row r="296" spans="1:16" x14ac:dyDescent="0.25">
      <c r="A296" s="40">
        <v>540259</v>
      </c>
      <c r="B296" s="40" t="s">
        <v>304</v>
      </c>
      <c r="C296" s="40" t="s">
        <v>103</v>
      </c>
      <c r="D296" s="40" t="s">
        <v>115</v>
      </c>
      <c r="E296" s="40">
        <v>5</v>
      </c>
      <c r="F296" s="40">
        <v>0</v>
      </c>
      <c r="G296" s="40">
        <v>0</v>
      </c>
      <c r="H296" s="40">
        <v>0</v>
      </c>
      <c r="I296" s="40">
        <v>0</v>
      </c>
      <c r="J296" s="40">
        <v>0</v>
      </c>
      <c r="K296" s="40">
        <v>0</v>
      </c>
      <c r="L296" s="40">
        <v>0</v>
      </c>
      <c r="M296" s="40">
        <v>0</v>
      </c>
      <c r="N296" s="40">
        <v>0</v>
      </c>
      <c r="O296" s="40">
        <v>0</v>
      </c>
      <c r="P296" s="40">
        <v>0</v>
      </c>
    </row>
    <row r="297" spans="1:16" x14ac:dyDescent="0.25">
      <c r="A297" s="40"/>
      <c r="B297" s="40"/>
      <c r="C297" s="40" t="s">
        <v>103</v>
      </c>
      <c r="D297" s="40"/>
      <c r="E297" s="40"/>
      <c r="F297" s="40">
        <v>4</v>
      </c>
      <c r="G297" s="40">
        <v>0</v>
      </c>
      <c r="H297" s="40">
        <v>1</v>
      </c>
      <c r="I297" s="40">
        <v>0</v>
      </c>
      <c r="J297" s="40">
        <v>0</v>
      </c>
      <c r="K297" s="40">
        <v>1</v>
      </c>
      <c r="L297" s="40">
        <v>2</v>
      </c>
      <c r="M297" s="40">
        <v>2</v>
      </c>
      <c r="N297" s="40">
        <v>0</v>
      </c>
      <c r="O297" s="40">
        <v>0</v>
      </c>
      <c r="P297" s="40">
        <v>0</v>
      </c>
    </row>
    <row r="298" spans="1:16" x14ac:dyDescent="0.25">
      <c r="A298" s="40">
        <v>540278</v>
      </c>
      <c r="B298" s="40" t="s">
        <v>104</v>
      </c>
      <c r="C298" s="40" t="s">
        <v>105</v>
      </c>
      <c r="D298" s="40" t="s">
        <v>5</v>
      </c>
      <c r="E298" s="40">
        <v>1</v>
      </c>
      <c r="F298" s="40">
        <v>3</v>
      </c>
      <c r="G298" s="40">
        <v>0</v>
      </c>
      <c r="H298" s="40">
        <v>1</v>
      </c>
      <c r="I298" s="40">
        <v>0</v>
      </c>
      <c r="J298" s="40">
        <v>0</v>
      </c>
      <c r="K298" s="40">
        <v>2</v>
      </c>
      <c r="L298" s="40">
        <v>0</v>
      </c>
      <c r="M298" s="40">
        <v>1</v>
      </c>
      <c r="N298" s="40">
        <v>0</v>
      </c>
      <c r="O298" s="40">
        <v>0</v>
      </c>
      <c r="P298" s="40">
        <v>2</v>
      </c>
    </row>
    <row r="299" spans="1:16" x14ac:dyDescent="0.25">
      <c r="A299" s="40">
        <v>540041</v>
      </c>
      <c r="B299" s="40" t="s">
        <v>142</v>
      </c>
      <c r="C299" s="40" t="s">
        <v>105</v>
      </c>
      <c r="D299" s="40" t="s">
        <v>115</v>
      </c>
      <c r="E299" s="40">
        <v>1</v>
      </c>
      <c r="F299" s="40">
        <v>0</v>
      </c>
      <c r="G299" s="40">
        <v>0</v>
      </c>
      <c r="H299" s="40">
        <v>0</v>
      </c>
      <c r="I299" s="40">
        <v>0</v>
      </c>
      <c r="J299" s="40">
        <v>0</v>
      </c>
      <c r="K299" s="40">
        <v>0</v>
      </c>
      <c r="L299" s="40">
        <v>0</v>
      </c>
      <c r="M299" s="40">
        <v>0</v>
      </c>
      <c r="N299" s="40">
        <v>0</v>
      </c>
      <c r="O299" s="40">
        <v>0</v>
      </c>
      <c r="P299" s="40">
        <v>0</v>
      </c>
    </row>
    <row r="300" spans="1:16" x14ac:dyDescent="0.25">
      <c r="A300" s="40">
        <v>540143</v>
      </c>
      <c r="B300" s="40" t="s">
        <v>224</v>
      </c>
      <c r="C300" s="40" t="s">
        <v>105</v>
      </c>
      <c r="D300" s="40" t="s">
        <v>115</v>
      </c>
      <c r="E300" s="40">
        <v>1</v>
      </c>
      <c r="F300" s="40">
        <v>0</v>
      </c>
      <c r="G300" s="40">
        <v>0</v>
      </c>
      <c r="H300" s="40">
        <v>0</v>
      </c>
      <c r="I300" s="40">
        <v>0</v>
      </c>
      <c r="J300" s="40">
        <v>0</v>
      </c>
      <c r="K300" s="40">
        <v>0</v>
      </c>
      <c r="L300" s="40">
        <v>0</v>
      </c>
      <c r="M300" s="40">
        <v>0</v>
      </c>
      <c r="N300" s="40">
        <v>0</v>
      </c>
      <c r="O300" s="40">
        <v>0</v>
      </c>
      <c r="P300" s="40">
        <v>0</v>
      </c>
    </row>
    <row r="301" spans="1:16" x14ac:dyDescent="0.25">
      <c r="A301" s="40">
        <v>540290</v>
      </c>
      <c r="B301" s="40" t="s">
        <v>327</v>
      </c>
      <c r="C301" s="40" t="s">
        <v>105</v>
      </c>
      <c r="D301" s="40" t="s">
        <v>115</v>
      </c>
      <c r="E301" s="40">
        <v>1</v>
      </c>
      <c r="F301" s="40">
        <v>0</v>
      </c>
      <c r="G301" s="40">
        <v>0</v>
      </c>
      <c r="H301" s="40">
        <v>0</v>
      </c>
      <c r="I301" s="40">
        <v>0</v>
      </c>
      <c r="J301" s="40">
        <v>0</v>
      </c>
      <c r="K301" s="40">
        <v>0</v>
      </c>
      <c r="L301" s="40">
        <v>0</v>
      </c>
      <c r="M301" s="40">
        <v>0</v>
      </c>
      <c r="N301" s="40">
        <v>0</v>
      </c>
      <c r="O301" s="40">
        <v>0</v>
      </c>
      <c r="P301" s="40">
        <v>0</v>
      </c>
    </row>
    <row r="302" spans="1:16" x14ac:dyDescent="0.25">
      <c r="A302" s="40"/>
      <c r="B302" s="40"/>
      <c r="C302" s="40" t="s">
        <v>105</v>
      </c>
      <c r="D302" s="40"/>
      <c r="E302" s="40"/>
      <c r="F302" s="40">
        <v>3</v>
      </c>
      <c r="G302" s="40">
        <v>0</v>
      </c>
      <c r="H302" s="40">
        <v>1</v>
      </c>
      <c r="I302" s="40">
        <v>0</v>
      </c>
      <c r="J302" s="40">
        <v>0</v>
      </c>
      <c r="K302" s="40">
        <v>2</v>
      </c>
      <c r="L302" s="40">
        <v>0</v>
      </c>
      <c r="M302" s="40">
        <v>1</v>
      </c>
      <c r="N302" s="40">
        <v>0</v>
      </c>
      <c r="O302" s="40">
        <v>0</v>
      </c>
      <c r="P302" s="40">
        <v>2</v>
      </c>
    </row>
    <row r="303" spans="1:16" x14ac:dyDescent="0.25">
      <c r="A303" s="40">
        <v>540282</v>
      </c>
      <c r="B303" s="40" t="s">
        <v>106</v>
      </c>
      <c r="C303" s="40" t="s">
        <v>107</v>
      </c>
      <c r="D303" s="40" t="s">
        <v>5</v>
      </c>
      <c r="E303" s="40">
        <v>9</v>
      </c>
      <c r="F303" s="40">
        <v>11</v>
      </c>
      <c r="G303" s="40">
        <v>0</v>
      </c>
      <c r="H303" s="40">
        <v>1</v>
      </c>
      <c r="I303" s="40">
        <v>0</v>
      </c>
      <c r="J303" s="40">
        <v>1</v>
      </c>
      <c r="K303" s="40">
        <v>4</v>
      </c>
      <c r="L303" s="40">
        <v>5</v>
      </c>
      <c r="M303" s="40">
        <v>3</v>
      </c>
      <c r="N303" s="40">
        <v>3</v>
      </c>
      <c r="O303" s="40">
        <v>0</v>
      </c>
      <c r="P303" s="40">
        <v>0</v>
      </c>
    </row>
    <row r="304" spans="1:16" x14ac:dyDescent="0.25">
      <c r="A304" s="40">
        <v>540006</v>
      </c>
      <c r="B304" s="40" t="s">
        <v>119</v>
      </c>
      <c r="C304" s="40" t="s">
        <v>107</v>
      </c>
      <c r="D304" s="40" t="s">
        <v>115</v>
      </c>
      <c r="E304" s="40">
        <v>9</v>
      </c>
      <c r="F304" s="40">
        <v>0</v>
      </c>
      <c r="G304" s="40">
        <v>0</v>
      </c>
      <c r="H304" s="40">
        <v>0</v>
      </c>
      <c r="I304" s="40">
        <v>0</v>
      </c>
      <c r="J304" s="40">
        <v>0</v>
      </c>
      <c r="K304" s="40">
        <v>0</v>
      </c>
      <c r="L304" s="40">
        <v>0</v>
      </c>
      <c r="M304" s="40">
        <v>0</v>
      </c>
      <c r="N304" s="40">
        <v>0</v>
      </c>
      <c r="O304" s="40">
        <v>0</v>
      </c>
      <c r="P304" s="40">
        <v>0</v>
      </c>
    </row>
    <row r="305" spans="1:16" x14ac:dyDescent="0.25">
      <c r="A305" s="40">
        <v>545550</v>
      </c>
      <c r="B305" s="40" t="s">
        <v>339</v>
      </c>
      <c r="C305" s="40" t="s">
        <v>107</v>
      </c>
      <c r="D305" s="40" t="s">
        <v>115</v>
      </c>
      <c r="E305" s="40">
        <v>9</v>
      </c>
      <c r="F305" s="40">
        <v>0</v>
      </c>
      <c r="G305" s="40">
        <v>0</v>
      </c>
      <c r="H305" s="40">
        <v>0</v>
      </c>
      <c r="I305" s="40">
        <v>0</v>
      </c>
      <c r="J305" s="40">
        <v>0</v>
      </c>
      <c r="K305" s="40">
        <v>0</v>
      </c>
      <c r="L305" s="40">
        <v>0</v>
      </c>
      <c r="M305" s="40">
        <v>0</v>
      </c>
      <c r="N305" s="40">
        <v>0</v>
      </c>
      <c r="O305" s="40">
        <v>0</v>
      </c>
      <c r="P305" s="40">
        <v>0</v>
      </c>
    </row>
    <row r="306" spans="1:16" x14ac:dyDescent="0.25">
      <c r="A306" s="40"/>
      <c r="B306" s="40"/>
      <c r="C306" s="40" t="s">
        <v>107</v>
      </c>
      <c r="D306" s="40"/>
      <c r="E306" s="40"/>
      <c r="F306" s="40">
        <v>11</v>
      </c>
      <c r="G306" s="40">
        <v>0</v>
      </c>
      <c r="H306" s="40">
        <v>1</v>
      </c>
      <c r="I306" s="40">
        <v>0</v>
      </c>
      <c r="J306" s="40">
        <v>1</v>
      </c>
      <c r="K306" s="40">
        <v>4</v>
      </c>
      <c r="L306" s="40">
        <v>5</v>
      </c>
      <c r="M306" s="40">
        <v>3</v>
      </c>
      <c r="N306" s="40">
        <v>3</v>
      </c>
      <c r="O306" s="40">
        <v>0</v>
      </c>
      <c r="P306" s="40">
        <v>0</v>
      </c>
    </row>
    <row r="307" spans="1:16" x14ac:dyDescent="0.25">
      <c r="A307" s="40">
        <v>540283</v>
      </c>
      <c r="B307" s="40" t="s">
        <v>108</v>
      </c>
      <c r="C307" s="40" t="s">
        <v>109</v>
      </c>
      <c r="D307" s="40" t="s">
        <v>5</v>
      </c>
      <c r="E307" s="40">
        <v>4</v>
      </c>
      <c r="F307" s="40">
        <v>9</v>
      </c>
      <c r="G307" s="40">
        <v>1</v>
      </c>
      <c r="H307" s="40">
        <v>2</v>
      </c>
      <c r="I307" s="40">
        <v>0</v>
      </c>
      <c r="J307" s="40">
        <v>0</v>
      </c>
      <c r="K307" s="40">
        <v>4</v>
      </c>
      <c r="L307" s="40">
        <v>2</v>
      </c>
      <c r="M307" s="40">
        <v>1</v>
      </c>
      <c r="N307" s="40">
        <v>4</v>
      </c>
      <c r="O307" s="40">
        <v>1</v>
      </c>
      <c r="P307" s="40">
        <v>1</v>
      </c>
    </row>
    <row r="308" spans="1:16" x14ac:dyDescent="0.25">
      <c r="A308" s="40">
        <v>540158</v>
      </c>
      <c r="B308" s="40" t="s">
        <v>233</v>
      </c>
      <c r="C308" s="40" t="s">
        <v>109</v>
      </c>
      <c r="D308" s="40" t="s">
        <v>115</v>
      </c>
      <c r="E308" s="40">
        <v>4</v>
      </c>
      <c r="F308" s="40">
        <v>0</v>
      </c>
      <c r="G308" s="40">
        <v>0</v>
      </c>
      <c r="H308" s="40">
        <v>0</v>
      </c>
      <c r="I308" s="40">
        <v>0</v>
      </c>
      <c r="J308" s="40">
        <v>0</v>
      </c>
      <c r="K308" s="40">
        <v>0</v>
      </c>
      <c r="L308" s="40">
        <v>0</v>
      </c>
      <c r="M308" s="40">
        <v>0</v>
      </c>
      <c r="N308" s="40">
        <v>0</v>
      </c>
      <c r="O308" s="40">
        <v>0</v>
      </c>
      <c r="P308" s="40">
        <v>0</v>
      </c>
    </row>
    <row r="309" spans="1:16" x14ac:dyDescent="0.25">
      <c r="A309" s="40">
        <v>540159</v>
      </c>
      <c r="B309" s="40" t="s">
        <v>234</v>
      </c>
      <c r="C309" s="40" t="s">
        <v>109</v>
      </c>
      <c r="D309" s="40" t="s">
        <v>115</v>
      </c>
      <c r="E309" s="40">
        <v>4</v>
      </c>
      <c r="F309" s="40">
        <v>1</v>
      </c>
      <c r="G309" s="40">
        <v>0</v>
      </c>
      <c r="H309" s="40">
        <v>0</v>
      </c>
      <c r="I309" s="40">
        <v>1</v>
      </c>
      <c r="J309" s="40">
        <v>0</v>
      </c>
      <c r="K309" s="40">
        <v>0</v>
      </c>
      <c r="L309" s="40">
        <v>0</v>
      </c>
      <c r="M309" s="40">
        <v>1</v>
      </c>
      <c r="N309" s="40">
        <v>0</v>
      </c>
      <c r="O309" s="40">
        <v>0</v>
      </c>
      <c r="P309" s="40">
        <v>0</v>
      </c>
    </row>
    <row r="310" spans="1:16" x14ac:dyDescent="0.25">
      <c r="A310" s="40">
        <v>540288</v>
      </c>
      <c r="B310" s="40" t="s">
        <v>340</v>
      </c>
      <c r="C310" s="40" t="s">
        <v>109</v>
      </c>
      <c r="D310" s="40" t="s">
        <v>115</v>
      </c>
      <c r="E310" s="40">
        <v>4</v>
      </c>
      <c r="F310" s="40">
        <v>0</v>
      </c>
      <c r="G310" s="40">
        <v>0</v>
      </c>
      <c r="H310" s="40">
        <v>0</v>
      </c>
      <c r="I310" s="40">
        <v>0</v>
      </c>
      <c r="J310" s="40">
        <v>0</v>
      </c>
      <c r="K310" s="40">
        <v>0</v>
      </c>
      <c r="L310" s="40">
        <v>0</v>
      </c>
      <c r="M310" s="40">
        <v>0</v>
      </c>
      <c r="N310" s="40">
        <v>0</v>
      </c>
      <c r="O310" s="40">
        <v>0</v>
      </c>
      <c r="P310" s="40">
        <v>0</v>
      </c>
    </row>
    <row r="311" spans="1:16" x14ac:dyDescent="0.25">
      <c r="A311" s="40"/>
      <c r="B311" s="40"/>
      <c r="C311" s="40" t="s">
        <v>109</v>
      </c>
      <c r="D311" s="40"/>
      <c r="E311" s="40"/>
      <c r="F311" s="40">
        <v>10</v>
      </c>
      <c r="G311" s="40">
        <v>1</v>
      </c>
      <c r="H311" s="40">
        <v>2</v>
      </c>
      <c r="I311" s="40">
        <v>1</v>
      </c>
      <c r="J311" s="40">
        <v>0</v>
      </c>
      <c r="K311" s="40">
        <v>4</v>
      </c>
      <c r="L311" s="40">
        <v>2</v>
      </c>
      <c r="M311" s="40">
        <v>2</v>
      </c>
      <c r="N311" s="40">
        <v>4</v>
      </c>
      <c r="O311" s="40">
        <v>1</v>
      </c>
      <c r="P311" s="40">
        <v>1</v>
      </c>
    </row>
    <row r="312" spans="1:16" x14ac:dyDescent="0.25">
      <c r="A312" s="40">
        <v>545536</v>
      </c>
      <c r="B312" s="40" t="s">
        <v>110</v>
      </c>
      <c r="C312" s="40" t="s">
        <v>111</v>
      </c>
      <c r="D312" s="40" t="s">
        <v>5</v>
      </c>
      <c r="E312" s="40">
        <v>2</v>
      </c>
      <c r="F312" s="40">
        <v>4</v>
      </c>
      <c r="G312" s="40">
        <v>0</v>
      </c>
      <c r="H312" s="40">
        <v>0</v>
      </c>
      <c r="I312" s="40">
        <v>0</v>
      </c>
      <c r="J312" s="40">
        <v>0</v>
      </c>
      <c r="K312" s="40">
        <v>1</v>
      </c>
      <c r="L312" s="40">
        <v>3</v>
      </c>
      <c r="M312" s="40">
        <v>0</v>
      </c>
      <c r="N312" s="40">
        <v>0</v>
      </c>
      <c r="O312" s="40">
        <v>0</v>
      </c>
      <c r="P312" s="40">
        <v>1</v>
      </c>
    </row>
    <row r="313" spans="1:16" x14ac:dyDescent="0.25">
      <c r="A313" s="40">
        <v>540092</v>
      </c>
      <c r="B313" s="40" t="s">
        <v>183</v>
      </c>
      <c r="C313" s="40" t="s">
        <v>111</v>
      </c>
      <c r="D313" s="40" t="s">
        <v>115</v>
      </c>
      <c r="E313" s="40">
        <v>2</v>
      </c>
      <c r="F313" s="40">
        <v>0</v>
      </c>
      <c r="G313" s="40">
        <v>0</v>
      </c>
      <c r="H313" s="40">
        <v>0</v>
      </c>
      <c r="I313" s="40">
        <v>0</v>
      </c>
      <c r="J313" s="40">
        <v>0</v>
      </c>
      <c r="K313" s="40">
        <v>0</v>
      </c>
      <c r="L313" s="40">
        <v>0</v>
      </c>
      <c r="M313" s="40">
        <v>0</v>
      </c>
      <c r="N313" s="40">
        <v>0</v>
      </c>
      <c r="O313" s="40">
        <v>0</v>
      </c>
      <c r="P313" s="40">
        <v>0</v>
      </c>
    </row>
    <row r="314" spans="1:16" x14ac:dyDescent="0.25">
      <c r="A314" s="40">
        <v>540095</v>
      </c>
      <c r="B314" s="40" t="s">
        <v>186</v>
      </c>
      <c r="C314" s="40" t="s">
        <v>111</v>
      </c>
      <c r="D314" s="40" t="s">
        <v>115</v>
      </c>
      <c r="E314" s="40">
        <v>2</v>
      </c>
      <c r="F314" s="40">
        <v>0</v>
      </c>
      <c r="G314" s="40">
        <v>0</v>
      </c>
      <c r="H314" s="40">
        <v>0</v>
      </c>
      <c r="I314" s="40">
        <v>0</v>
      </c>
      <c r="J314" s="40">
        <v>0</v>
      </c>
      <c r="K314" s="40">
        <v>0</v>
      </c>
      <c r="L314" s="40">
        <v>0</v>
      </c>
      <c r="M314" s="40">
        <v>0</v>
      </c>
      <c r="N314" s="40">
        <v>0</v>
      </c>
      <c r="O314" s="40">
        <v>0</v>
      </c>
      <c r="P314" s="40">
        <v>0</v>
      </c>
    </row>
    <row r="315" spans="1:16" x14ac:dyDescent="0.25">
      <c r="A315" s="40">
        <v>545535</v>
      </c>
      <c r="B315" s="40" t="s">
        <v>332</v>
      </c>
      <c r="C315" s="40" t="s">
        <v>111</v>
      </c>
      <c r="D315" s="40" t="s">
        <v>115</v>
      </c>
      <c r="E315" s="40">
        <v>2</v>
      </c>
      <c r="F315" s="40">
        <v>0</v>
      </c>
      <c r="G315" s="40">
        <v>0</v>
      </c>
      <c r="H315" s="40">
        <v>0</v>
      </c>
      <c r="I315" s="40">
        <v>0</v>
      </c>
      <c r="J315" s="40">
        <v>0</v>
      </c>
      <c r="K315" s="40">
        <v>0</v>
      </c>
      <c r="L315" s="40">
        <v>0</v>
      </c>
      <c r="M315" s="40">
        <v>0</v>
      </c>
      <c r="N315" s="40">
        <v>0</v>
      </c>
      <c r="O315" s="40">
        <v>0</v>
      </c>
      <c r="P315" s="40">
        <v>0</v>
      </c>
    </row>
    <row r="316" spans="1:16" x14ac:dyDescent="0.25">
      <c r="A316" s="40">
        <v>545537</v>
      </c>
      <c r="B316" s="40" t="s">
        <v>333</v>
      </c>
      <c r="C316" s="40" t="s">
        <v>111</v>
      </c>
      <c r="D316" s="40" t="s">
        <v>115</v>
      </c>
      <c r="E316" s="40">
        <v>2</v>
      </c>
      <c r="F316" s="40">
        <v>0</v>
      </c>
      <c r="G316" s="40">
        <v>0</v>
      </c>
      <c r="H316" s="40">
        <v>0</v>
      </c>
      <c r="I316" s="40">
        <v>0</v>
      </c>
      <c r="J316" s="40">
        <v>0</v>
      </c>
      <c r="K316" s="40">
        <v>0</v>
      </c>
      <c r="L316" s="40">
        <v>0</v>
      </c>
      <c r="M316" s="40">
        <v>0</v>
      </c>
      <c r="N316" s="40">
        <v>0</v>
      </c>
      <c r="O316" s="40">
        <v>0</v>
      </c>
      <c r="P316" s="40">
        <v>0</v>
      </c>
    </row>
    <row r="317" spans="1:16" x14ac:dyDescent="0.25">
      <c r="A317" s="40">
        <v>545539</v>
      </c>
      <c r="B317" s="40" t="s">
        <v>335</v>
      </c>
      <c r="C317" s="40" t="s">
        <v>111</v>
      </c>
      <c r="D317" s="40" t="s">
        <v>115</v>
      </c>
      <c r="E317" s="40">
        <v>2</v>
      </c>
      <c r="F317" s="40">
        <v>0</v>
      </c>
      <c r="G317" s="40">
        <v>0</v>
      </c>
      <c r="H317" s="40">
        <v>0</v>
      </c>
      <c r="I317" s="40">
        <v>0</v>
      </c>
      <c r="J317" s="40">
        <v>0</v>
      </c>
      <c r="K317" s="40">
        <v>0</v>
      </c>
      <c r="L317" s="40">
        <v>0</v>
      </c>
      <c r="M317" s="40">
        <v>0</v>
      </c>
      <c r="N317" s="40">
        <v>0</v>
      </c>
      <c r="O317" s="40">
        <v>0</v>
      </c>
      <c r="P317" s="40">
        <v>0</v>
      </c>
    </row>
    <row r="318" spans="1:16" x14ac:dyDescent="0.25">
      <c r="A318" s="40"/>
      <c r="B318" s="40"/>
      <c r="C318" s="40" t="s">
        <v>111</v>
      </c>
      <c r="D318" s="40"/>
      <c r="E318" s="40"/>
      <c r="F318" s="40">
        <v>4</v>
      </c>
      <c r="G318" s="40">
        <v>0</v>
      </c>
      <c r="H318" s="40">
        <v>0</v>
      </c>
      <c r="I318" s="40">
        <v>0</v>
      </c>
      <c r="J318" s="40">
        <v>0</v>
      </c>
      <c r="K318" s="40">
        <v>1</v>
      </c>
      <c r="L318" s="40">
        <v>3</v>
      </c>
      <c r="M318" s="40">
        <v>0</v>
      </c>
      <c r="N318" s="40">
        <v>0</v>
      </c>
      <c r="O318" s="40">
        <v>0</v>
      </c>
      <c r="P318" s="40">
        <v>1</v>
      </c>
    </row>
    <row r="319" spans="1:16" x14ac:dyDescent="0.25">
      <c r="A319" s="40">
        <v>540191</v>
      </c>
      <c r="B319" s="40" t="s">
        <v>112</v>
      </c>
      <c r="C319" s="40" t="s">
        <v>113</v>
      </c>
      <c r="D319" s="40" t="s">
        <v>5</v>
      </c>
      <c r="E319" s="40">
        <v>7</v>
      </c>
      <c r="F319" s="40">
        <v>6</v>
      </c>
      <c r="G319" s="40">
        <v>0</v>
      </c>
      <c r="H319" s="40">
        <v>1</v>
      </c>
      <c r="I319" s="40">
        <v>0</v>
      </c>
      <c r="J319" s="40">
        <v>1</v>
      </c>
      <c r="K319" s="40">
        <v>2</v>
      </c>
      <c r="L319" s="40">
        <v>2</v>
      </c>
      <c r="M319" s="40">
        <v>1</v>
      </c>
      <c r="N319" s="40">
        <v>2</v>
      </c>
      <c r="O319" s="40">
        <v>1</v>
      </c>
      <c r="P319" s="40">
        <v>0</v>
      </c>
    </row>
    <row r="320" spans="1:16" x14ac:dyDescent="0.25">
      <c r="A320" s="40">
        <v>540193</v>
      </c>
      <c r="B320" s="40" t="s">
        <v>342</v>
      </c>
      <c r="C320" s="40" t="s">
        <v>113</v>
      </c>
      <c r="D320" s="40" t="s">
        <v>115</v>
      </c>
      <c r="E320" s="40">
        <v>7</v>
      </c>
      <c r="F320" s="40">
        <v>0</v>
      </c>
      <c r="G320" s="40">
        <v>0</v>
      </c>
      <c r="H320" s="40">
        <v>0</v>
      </c>
      <c r="I320" s="40">
        <v>0</v>
      </c>
      <c r="J320" s="40">
        <v>0</v>
      </c>
      <c r="K320" s="40">
        <v>0</v>
      </c>
      <c r="L320" s="40">
        <v>0</v>
      </c>
      <c r="M320" s="40">
        <v>0</v>
      </c>
      <c r="N320" s="40">
        <v>0</v>
      </c>
      <c r="O320" s="40">
        <v>0</v>
      </c>
      <c r="P320" s="40">
        <v>0</v>
      </c>
    </row>
    <row r="321" spans="1:16" x14ac:dyDescent="0.25">
      <c r="A321" s="40">
        <v>540192</v>
      </c>
      <c r="B321" s="40" t="s">
        <v>343</v>
      </c>
      <c r="C321" s="40" t="s">
        <v>113</v>
      </c>
      <c r="D321" s="40" t="s">
        <v>115</v>
      </c>
      <c r="E321" s="40">
        <v>7</v>
      </c>
      <c r="F321" s="40">
        <v>0</v>
      </c>
      <c r="G321" s="40">
        <v>0</v>
      </c>
      <c r="H321" s="40">
        <v>0</v>
      </c>
      <c r="I321" s="40">
        <v>0</v>
      </c>
      <c r="J321" s="40">
        <v>0</v>
      </c>
      <c r="K321" s="40">
        <v>0</v>
      </c>
      <c r="L321" s="40">
        <v>0</v>
      </c>
      <c r="M321" s="40">
        <v>0</v>
      </c>
      <c r="N321" s="40">
        <v>0</v>
      </c>
      <c r="O321" s="40">
        <v>0</v>
      </c>
      <c r="P321" s="40">
        <v>0</v>
      </c>
    </row>
    <row r="322" spans="1:16" x14ac:dyDescent="0.25">
      <c r="A322" s="40">
        <v>540194</v>
      </c>
      <c r="B322" s="40" t="s">
        <v>344</v>
      </c>
      <c r="C322" s="40" t="s">
        <v>113</v>
      </c>
      <c r="D322" s="40" t="s">
        <v>115</v>
      </c>
      <c r="E322" s="40">
        <v>7</v>
      </c>
      <c r="F322" s="40">
        <v>0</v>
      </c>
      <c r="G322" s="40">
        <v>0</v>
      </c>
      <c r="H322" s="40">
        <v>0</v>
      </c>
      <c r="I322" s="40">
        <v>0</v>
      </c>
      <c r="J322" s="40">
        <v>0</v>
      </c>
      <c r="K322" s="40">
        <v>0</v>
      </c>
      <c r="L322" s="40">
        <v>0</v>
      </c>
      <c r="M322" s="40">
        <v>0</v>
      </c>
      <c r="N322" s="40">
        <v>0</v>
      </c>
      <c r="O322" s="40">
        <v>0</v>
      </c>
      <c r="P322" s="40">
        <v>0</v>
      </c>
    </row>
    <row r="323" spans="1:16" x14ac:dyDescent="0.25">
      <c r="A323" s="40">
        <v>540261</v>
      </c>
      <c r="B323" s="40" t="s">
        <v>345</v>
      </c>
      <c r="C323" s="40" t="s">
        <v>113</v>
      </c>
      <c r="D323" s="40" t="s">
        <v>115</v>
      </c>
      <c r="E323" s="40">
        <v>7</v>
      </c>
      <c r="F323" s="40">
        <v>2</v>
      </c>
      <c r="G323" s="40">
        <v>0</v>
      </c>
      <c r="H323" s="40">
        <v>0</v>
      </c>
      <c r="I323" s="40">
        <v>2</v>
      </c>
      <c r="J323" s="40">
        <v>0</v>
      </c>
      <c r="K323" s="40">
        <v>0</v>
      </c>
      <c r="L323" s="40">
        <v>0</v>
      </c>
      <c r="M323" s="40">
        <v>2</v>
      </c>
      <c r="N323" s="40">
        <v>0</v>
      </c>
      <c r="O323" s="40">
        <v>0</v>
      </c>
      <c r="P323" s="40">
        <v>0</v>
      </c>
    </row>
    <row r="324" spans="1:16" x14ac:dyDescent="0.25">
      <c r="A324" s="40">
        <v>540260</v>
      </c>
      <c r="B324" s="40" t="s">
        <v>346</v>
      </c>
      <c r="C324" s="40" t="s">
        <v>113</v>
      </c>
      <c r="D324" s="40" t="s">
        <v>115</v>
      </c>
      <c r="E324" s="40">
        <v>7</v>
      </c>
      <c r="F324" s="40">
        <v>0</v>
      </c>
      <c r="G324" s="40">
        <v>0</v>
      </c>
      <c r="H324" s="40">
        <v>0</v>
      </c>
      <c r="I324" s="40">
        <v>0</v>
      </c>
      <c r="J324" s="40">
        <v>0</v>
      </c>
      <c r="K324" s="40">
        <v>0</v>
      </c>
      <c r="L324" s="40">
        <v>0</v>
      </c>
      <c r="M324" s="40">
        <v>0</v>
      </c>
      <c r="N324" s="40">
        <v>0</v>
      </c>
      <c r="O324" s="40">
        <v>0</v>
      </c>
      <c r="P324" s="40">
        <v>0</v>
      </c>
    </row>
    <row r="325" spans="1:16" x14ac:dyDescent="0.25">
      <c r="A325" s="40"/>
      <c r="B325" s="40"/>
      <c r="C325" s="40" t="s">
        <v>113</v>
      </c>
      <c r="D325" s="40"/>
      <c r="E325" s="40"/>
      <c r="F325" s="40">
        <v>8</v>
      </c>
      <c r="G325" s="40">
        <v>0</v>
      </c>
      <c r="H325" s="40">
        <v>1</v>
      </c>
      <c r="I325" s="40">
        <v>2</v>
      </c>
      <c r="J325" s="40">
        <v>1</v>
      </c>
      <c r="K325" s="40">
        <v>2</v>
      </c>
      <c r="L325" s="40">
        <v>2</v>
      </c>
      <c r="M325" s="40">
        <v>3</v>
      </c>
      <c r="N325" s="40">
        <v>2</v>
      </c>
      <c r="O325" s="40">
        <v>1</v>
      </c>
      <c r="P325" s="40">
        <v>0</v>
      </c>
    </row>
    <row r="326" spans="1:16" x14ac:dyDescent="0.25">
      <c r="A326" s="40">
        <v>540027</v>
      </c>
      <c r="B326" s="40" t="s">
        <v>132</v>
      </c>
      <c r="C326" s="40" t="s">
        <v>21</v>
      </c>
      <c r="D326" s="40" t="s">
        <v>115</v>
      </c>
      <c r="E326" s="40">
        <v>4</v>
      </c>
      <c r="F326" s="40">
        <v>0</v>
      </c>
      <c r="G326" s="40">
        <v>0</v>
      </c>
      <c r="H326" s="40">
        <v>0</v>
      </c>
      <c r="I326" s="40">
        <v>0</v>
      </c>
      <c r="J326" s="40">
        <v>0</v>
      </c>
      <c r="K326" s="40">
        <v>0</v>
      </c>
      <c r="L326" s="40">
        <v>0</v>
      </c>
      <c r="M326" s="40">
        <v>0</v>
      </c>
      <c r="N326" s="40">
        <v>0</v>
      </c>
      <c r="O326" s="40">
        <v>0</v>
      </c>
      <c r="P326" s="40">
        <v>0</v>
      </c>
    </row>
    <row r="327" spans="1:16" x14ac:dyDescent="0.25">
      <c r="A327" s="40">
        <v>540028</v>
      </c>
      <c r="B327" s="40" t="s">
        <v>133</v>
      </c>
      <c r="C327" s="40" t="s">
        <v>21</v>
      </c>
      <c r="D327" s="40" t="s">
        <v>115</v>
      </c>
      <c r="E327" s="40">
        <v>4</v>
      </c>
      <c r="F327" s="40">
        <v>0</v>
      </c>
      <c r="G327" s="40">
        <v>0</v>
      </c>
      <c r="H327" s="40">
        <v>0</v>
      </c>
      <c r="I327" s="40">
        <v>0</v>
      </c>
      <c r="J327" s="40">
        <v>0</v>
      </c>
      <c r="K327" s="40">
        <v>0</v>
      </c>
      <c r="L327" s="40">
        <v>0</v>
      </c>
      <c r="M327" s="40">
        <v>0</v>
      </c>
      <c r="N327" s="40">
        <v>0</v>
      </c>
      <c r="O327" s="40">
        <v>0</v>
      </c>
      <c r="P327" s="40">
        <v>0</v>
      </c>
    </row>
    <row r="328" spans="1:16" x14ac:dyDescent="0.25">
      <c r="A328" s="40">
        <v>540029</v>
      </c>
      <c r="B328" s="40" t="s">
        <v>134</v>
      </c>
      <c r="C328" s="40" t="s">
        <v>21</v>
      </c>
      <c r="D328" s="40" t="s">
        <v>115</v>
      </c>
      <c r="E328" s="40">
        <v>4</v>
      </c>
      <c r="F328" s="40">
        <v>0</v>
      </c>
      <c r="G328" s="40">
        <v>0</v>
      </c>
      <c r="H328" s="40">
        <v>0</v>
      </c>
      <c r="I328" s="40">
        <v>0</v>
      </c>
      <c r="J328" s="40">
        <v>0</v>
      </c>
      <c r="K328" s="40">
        <v>0</v>
      </c>
      <c r="L328" s="40">
        <v>0</v>
      </c>
      <c r="M328" s="40">
        <v>0</v>
      </c>
      <c r="N328" s="40">
        <v>0</v>
      </c>
      <c r="O328" s="40">
        <v>0</v>
      </c>
      <c r="P328" s="40">
        <v>0</v>
      </c>
    </row>
    <row r="329" spans="1:16" x14ac:dyDescent="0.25">
      <c r="A329" s="40">
        <v>540031</v>
      </c>
      <c r="B329" s="40" t="s">
        <v>136</v>
      </c>
      <c r="C329" s="40" t="s">
        <v>21</v>
      </c>
      <c r="D329" s="40" t="s">
        <v>115</v>
      </c>
      <c r="E329" s="40">
        <v>4</v>
      </c>
      <c r="F329" s="40">
        <v>0</v>
      </c>
      <c r="G329" s="40">
        <v>0</v>
      </c>
      <c r="H329" s="40">
        <v>0</v>
      </c>
      <c r="I329" s="40">
        <v>0</v>
      </c>
      <c r="J329" s="40">
        <v>0</v>
      </c>
      <c r="K329" s="40">
        <v>0</v>
      </c>
      <c r="L329" s="40">
        <v>0</v>
      </c>
      <c r="M329" s="40">
        <v>0</v>
      </c>
      <c r="N329" s="40">
        <v>0</v>
      </c>
      <c r="O329" s="40">
        <v>0</v>
      </c>
      <c r="P329" s="40">
        <v>0</v>
      </c>
    </row>
    <row r="330" spans="1:16" x14ac:dyDescent="0.25">
      <c r="A330" s="40">
        <v>540032</v>
      </c>
      <c r="B330" s="40" t="s">
        <v>137</v>
      </c>
      <c r="C330" s="40" t="s">
        <v>21</v>
      </c>
      <c r="D330" s="40" t="s">
        <v>115</v>
      </c>
      <c r="E330" s="40">
        <v>4</v>
      </c>
      <c r="F330" s="40">
        <v>0</v>
      </c>
      <c r="G330" s="40">
        <v>0</v>
      </c>
      <c r="H330" s="40">
        <v>0</v>
      </c>
      <c r="I330" s="40">
        <v>0</v>
      </c>
      <c r="J330" s="40">
        <v>0</v>
      </c>
      <c r="K330" s="40">
        <v>0</v>
      </c>
      <c r="L330" s="40">
        <v>0</v>
      </c>
      <c r="M330" s="40">
        <v>0</v>
      </c>
      <c r="N330" s="40">
        <v>0</v>
      </c>
      <c r="O330" s="40">
        <v>0</v>
      </c>
      <c r="P330" s="40">
        <v>0</v>
      </c>
    </row>
    <row r="331" spans="1:16" x14ac:dyDescent="0.25">
      <c r="A331" s="40">
        <v>540050</v>
      </c>
      <c r="B331" s="40" t="s">
        <v>150</v>
      </c>
      <c r="C331" s="40" t="s">
        <v>21</v>
      </c>
      <c r="D331" s="40" t="s">
        <v>115</v>
      </c>
      <c r="E331" s="40">
        <v>4</v>
      </c>
      <c r="F331" s="40">
        <v>0</v>
      </c>
      <c r="G331" s="40">
        <v>0</v>
      </c>
      <c r="H331" s="40">
        <v>0</v>
      </c>
      <c r="I331" s="40">
        <v>0</v>
      </c>
      <c r="J331" s="40">
        <v>0</v>
      </c>
      <c r="K331" s="40">
        <v>0</v>
      </c>
      <c r="L331" s="40">
        <v>0</v>
      </c>
      <c r="M331" s="40">
        <v>0</v>
      </c>
      <c r="N331" s="40">
        <v>0</v>
      </c>
      <c r="O331" s="40">
        <v>0</v>
      </c>
      <c r="P331" s="40">
        <v>0</v>
      </c>
    </row>
    <row r="332" spans="1:16" x14ac:dyDescent="0.25">
      <c r="A332" s="40">
        <v>540293</v>
      </c>
      <c r="B332" s="40" t="s">
        <v>330</v>
      </c>
      <c r="C332" s="40" t="s">
        <v>21</v>
      </c>
      <c r="D332" s="40" t="s">
        <v>115</v>
      </c>
      <c r="E332" s="40">
        <v>4</v>
      </c>
      <c r="F332" s="40">
        <v>0</v>
      </c>
      <c r="G332" s="40">
        <v>0</v>
      </c>
      <c r="H332" s="40">
        <v>0</v>
      </c>
      <c r="I332" s="40">
        <v>0</v>
      </c>
      <c r="J332" s="40">
        <v>0</v>
      </c>
      <c r="K332" s="40">
        <v>0</v>
      </c>
      <c r="L332" s="40">
        <v>0</v>
      </c>
      <c r="M332" s="40">
        <v>0</v>
      </c>
      <c r="N332" s="40">
        <v>0</v>
      </c>
      <c r="O332" s="40">
        <v>0</v>
      </c>
      <c r="P332" s="40">
        <v>0</v>
      </c>
    </row>
    <row r="333" spans="1:16" x14ac:dyDescent="0.25">
      <c r="A333" s="40">
        <v>540294</v>
      </c>
      <c r="B333" s="40" t="s">
        <v>331</v>
      </c>
      <c r="C333" s="40" t="s">
        <v>21</v>
      </c>
      <c r="D333" s="40" t="s">
        <v>115</v>
      </c>
      <c r="E333" s="40">
        <v>4</v>
      </c>
      <c r="F333" s="40">
        <v>0</v>
      </c>
      <c r="G333" s="40">
        <v>0</v>
      </c>
      <c r="H333" s="40">
        <v>0</v>
      </c>
      <c r="I333" s="40">
        <v>0</v>
      </c>
      <c r="J333" s="40">
        <v>0</v>
      </c>
      <c r="K333" s="40">
        <v>0</v>
      </c>
      <c r="L333" s="40">
        <v>0</v>
      </c>
      <c r="M333" s="40">
        <v>0</v>
      </c>
      <c r="N333" s="40">
        <v>0</v>
      </c>
      <c r="O333" s="40">
        <v>0</v>
      </c>
      <c r="P333" s="40">
        <v>0</v>
      </c>
    </row>
    <row r="334" spans="1:16" x14ac:dyDescent="0.25">
      <c r="A334" s="40">
        <v>540033</v>
      </c>
      <c r="B334" s="40" t="s">
        <v>138</v>
      </c>
      <c r="C334" s="40" t="s">
        <v>21</v>
      </c>
      <c r="D334" s="40" t="s">
        <v>115</v>
      </c>
      <c r="E334" s="40">
        <v>4</v>
      </c>
      <c r="F334" s="40">
        <v>0</v>
      </c>
      <c r="G334" s="40">
        <v>0</v>
      </c>
      <c r="H334" s="40">
        <v>0</v>
      </c>
      <c r="I334" s="40">
        <v>0</v>
      </c>
      <c r="J334" s="40">
        <v>0</v>
      </c>
      <c r="K334" s="40">
        <v>0</v>
      </c>
      <c r="L334" s="40">
        <v>0</v>
      </c>
      <c r="M334" s="40">
        <v>0</v>
      </c>
      <c r="N334" s="40">
        <v>0</v>
      </c>
      <c r="O334" s="40">
        <v>0</v>
      </c>
      <c r="P334" s="40">
        <v>0</v>
      </c>
    </row>
    <row r="335" spans="1:16" x14ac:dyDescent="0.25">
      <c r="A335" s="40">
        <v>540280</v>
      </c>
      <c r="B335" s="40" t="s">
        <v>321</v>
      </c>
      <c r="C335" s="40" t="s">
        <v>21</v>
      </c>
      <c r="D335" s="40" t="s">
        <v>115</v>
      </c>
      <c r="E335" s="40">
        <v>4</v>
      </c>
      <c r="F335" s="40">
        <v>0</v>
      </c>
      <c r="G335" s="40">
        <v>0</v>
      </c>
      <c r="H335" s="40">
        <v>0</v>
      </c>
      <c r="I335" s="40">
        <v>0</v>
      </c>
      <c r="J335" s="40">
        <v>0</v>
      </c>
      <c r="K335" s="40">
        <v>0</v>
      </c>
      <c r="L335" s="40">
        <v>0</v>
      </c>
      <c r="M335" s="40">
        <v>0</v>
      </c>
      <c r="N335" s="40">
        <v>0</v>
      </c>
      <c r="O335" s="40">
        <v>0</v>
      </c>
      <c r="P335" s="40">
        <v>0</v>
      </c>
    </row>
    <row r="336" spans="1:16" x14ac:dyDescent="0.25">
      <c r="A336" s="40">
        <v>540026</v>
      </c>
      <c r="B336" s="40" t="s">
        <v>20</v>
      </c>
      <c r="C336" s="40" t="s">
        <v>21</v>
      </c>
      <c r="D336" s="40" t="s">
        <v>5</v>
      </c>
      <c r="E336" s="40">
        <v>4</v>
      </c>
      <c r="F336" s="40">
        <v>11</v>
      </c>
      <c r="G336" s="40">
        <v>0</v>
      </c>
      <c r="H336" s="40">
        <v>2</v>
      </c>
      <c r="I336" s="40">
        <v>0</v>
      </c>
      <c r="J336" s="40">
        <v>0</v>
      </c>
      <c r="K336" s="40">
        <v>7</v>
      </c>
      <c r="L336" s="40">
        <v>2</v>
      </c>
      <c r="M336" s="40">
        <v>6</v>
      </c>
      <c r="N336" s="40">
        <v>0</v>
      </c>
      <c r="O336" s="40">
        <v>1</v>
      </c>
      <c r="P336" s="40">
        <v>2</v>
      </c>
    </row>
    <row r="337" spans="1:16" x14ac:dyDescent="0.25">
      <c r="A337" s="40"/>
      <c r="B337" s="40"/>
      <c r="C337" s="40" t="s">
        <v>21</v>
      </c>
      <c r="D337" s="40"/>
      <c r="E337" s="40"/>
      <c r="F337" s="40">
        <v>11</v>
      </c>
      <c r="G337" s="40">
        <v>0</v>
      </c>
      <c r="H337" s="40">
        <v>2</v>
      </c>
      <c r="I337" s="40">
        <v>0</v>
      </c>
      <c r="J337" s="40">
        <v>0</v>
      </c>
      <c r="K337" s="40">
        <v>7</v>
      </c>
      <c r="L337" s="40">
        <v>2</v>
      </c>
      <c r="M337" s="40">
        <v>6</v>
      </c>
      <c r="N337" s="40">
        <v>0</v>
      </c>
      <c r="O337" s="40">
        <v>1</v>
      </c>
      <c r="P337" s="40">
        <v>2</v>
      </c>
    </row>
    <row r="338" spans="1:16" x14ac:dyDescent="0.25">
      <c r="A338" s="40">
        <v>540176</v>
      </c>
      <c r="B338" s="40" t="s">
        <v>247</v>
      </c>
      <c r="C338" s="40" t="s">
        <v>75</v>
      </c>
      <c r="D338" s="40" t="s">
        <v>115</v>
      </c>
      <c r="E338" s="40">
        <v>7</v>
      </c>
      <c r="F338" s="40">
        <v>0</v>
      </c>
      <c r="G338" s="40">
        <v>0</v>
      </c>
      <c r="H338" s="40">
        <v>0</v>
      </c>
      <c r="I338" s="40">
        <v>0</v>
      </c>
      <c r="J338" s="40">
        <v>0</v>
      </c>
      <c r="K338" s="40">
        <v>0</v>
      </c>
      <c r="L338" s="40">
        <v>0</v>
      </c>
      <c r="M338" s="40">
        <v>0</v>
      </c>
      <c r="N338" s="40">
        <v>0</v>
      </c>
      <c r="O338" s="40">
        <v>0</v>
      </c>
      <c r="P338" s="40">
        <v>0</v>
      </c>
    </row>
    <row r="339" spans="1:16" x14ac:dyDescent="0.25">
      <c r="A339" s="40">
        <v>540178</v>
      </c>
      <c r="B339" s="40" t="s">
        <v>249</v>
      </c>
      <c r="C339" s="40" t="s">
        <v>75</v>
      </c>
      <c r="D339" s="40" t="s">
        <v>115</v>
      </c>
      <c r="E339" s="40">
        <v>7</v>
      </c>
      <c r="F339" s="40">
        <v>0</v>
      </c>
      <c r="G339" s="40">
        <v>0</v>
      </c>
      <c r="H339" s="40">
        <v>0</v>
      </c>
      <c r="I339" s="40">
        <v>0</v>
      </c>
      <c r="J339" s="40">
        <v>0</v>
      </c>
      <c r="K339" s="40">
        <v>0</v>
      </c>
      <c r="L339" s="40">
        <v>0</v>
      </c>
      <c r="M339" s="40">
        <v>0</v>
      </c>
      <c r="N339" s="40">
        <v>0</v>
      </c>
      <c r="O339" s="40">
        <v>0</v>
      </c>
      <c r="P339" s="40">
        <v>0</v>
      </c>
    </row>
    <row r="340" spans="1:16" x14ac:dyDescent="0.25">
      <c r="A340" s="40">
        <v>540264</v>
      </c>
      <c r="B340" s="40" t="s">
        <v>307</v>
      </c>
      <c r="C340" s="40" t="s">
        <v>75</v>
      </c>
      <c r="D340" s="40" t="s">
        <v>115</v>
      </c>
      <c r="E340" s="40">
        <v>7</v>
      </c>
      <c r="F340" s="40">
        <v>0</v>
      </c>
      <c r="G340" s="40">
        <v>0</v>
      </c>
      <c r="H340" s="40">
        <v>0</v>
      </c>
      <c r="I340" s="40">
        <v>0</v>
      </c>
      <c r="J340" s="40">
        <v>0</v>
      </c>
      <c r="K340" s="40">
        <v>0</v>
      </c>
      <c r="L340" s="40">
        <v>0</v>
      </c>
      <c r="M340" s="40">
        <v>0</v>
      </c>
      <c r="N340" s="40">
        <v>0</v>
      </c>
      <c r="O340" s="40">
        <v>0</v>
      </c>
      <c r="P340" s="40">
        <v>0</v>
      </c>
    </row>
    <row r="341" spans="1:16" x14ac:dyDescent="0.25">
      <c r="A341" s="40">
        <v>540265</v>
      </c>
      <c r="B341" s="40" t="s">
        <v>308</v>
      </c>
      <c r="C341" s="40" t="s">
        <v>75</v>
      </c>
      <c r="D341" s="40" t="s">
        <v>115</v>
      </c>
      <c r="E341" s="40">
        <v>7</v>
      </c>
      <c r="F341" s="40">
        <v>0</v>
      </c>
      <c r="G341" s="40">
        <v>0</v>
      </c>
      <c r="H341" s="40">
        <v>0</v>
      </c>
      <c r="I341" s="40">
        <v>0</v>
      </c>
      <c r="J341" s="40">
        <v>0</v>
      </c>
      <c r="K341" s="40">
        <v>0</v>
      </c>
      <c r="L341" s="40">
        <v>0</v>
      </c>
      <c r="M341" s="40">
        <v>0</v>
      </c>
      <c r="N341" s="40">
        <v>0</v>
      </c>
      <c r="O341" s="40">
        <v>0</v>
      </c>
      <c r="P341" s="40">
        <v>0</v>
      </c>
    </row>
    <row r="342" spans="1:16" x14ac:dyDescent="0.25">
      <c r="A342" s="40">
        <v>540266</v>
      </c>
      <c r="B342" s="40" t="s">
        <v>309</v>
      </c>
      <c r="C342" s="40" t="s">
        <v>75</v>
      </c>
      <c r="D342" s="40" t="s">
        <v>115</v>
      </c>
      <c r="E342" s="40">
        <v>7</v>
      </c>
      <c r="F342" s="40">
        <v>0</v>
      </c>
      <c r="G342" s="40">
        <v>0</v>
      </c>
      <c r="H342" s="40">
        <v>0</v>
      </c>
      <c r="I342" s="40">
        <v>0</v>
      </c>
      <c r="J342" s="40">
        <v>0</v>
      </c>
      <c r="K342" s="40">
        <v>0</v>
      </c>
      <c r="L342" s="40">
        <v>0</v>
      </c>
      <c r="M342" s="40">
        <v>0</v>
      </c>
      <c r="N342" s="40">
        <v>0</v>
      </c>
      <c r="O342" s="40">
        <v>0</v>
      </c>
      <c r="P342" s="40">
        <v>0</v>
      </c>
    </row>
    <row r="343" spans="1:16" x14ac:dyDescent="0.25">
      <c r="A343" s="40">
        <v>540267</v>
      </c>
      <c r="B343" s="40" t="s">
        <v>310</v>
      </c>
      <c r="C343" s="40" t="s">
        <v>75</v>
      </c>
      <c r="D343" s="40" t="s">
        <v>115</v>
      </c>
      <c r="E343" s="40">
        <v>7</v>
      </c>
      <c r="F343" s="40">
        <v>0</v>
      </c>
      <c r="G343" s="40">
        <v>0</v>
      </c>
      <c r="H343" s="40">
        <v>0</v>
      </c>
      <c r="I343" s="40">
        <v>0</v>
      </c>
      <c r="J343" s="40">
        <v>0</v>
      </c>
      <c r="K343" s="40">
        <v>0</v>
      </c>
      <c r="L343" s="40">
        <v>0</v>
      </c>
      <c r="M343" s="40">
        <v>0</v>
      </c>
      <c r="N343" s="40">
        <v>0</v>
      </c>
      <c r="O343" s="40">
        <v>0</v>
      </c>
      <c r="P343" s="40">
        <v>0</v>
      </c>
    </row>
    <row r="344" spans="1:16" x14ac:dyDescent="0.25">
      <c r="A344" s="40">
        <v>540177</v>
      </c>
      <c r="B344" s="40" t="s">
        <v>248</v>
      </c>
      <c r="C344" s="40" t="s">
        <v>75</v>
      </c>
      <c r="D344" s="40" t="s">
        <v>115</v>
      </c>
      <c r="E344" s="40">
        <v>7</v>
      </c>
      <c r="F344" s="40">
        <v>1</v>
      </c>
      <c r="G344" s="40">
        <v>0</v>
      </c>
      <c r="H344" s="40">
        <v>0</v>
      </c>
      <c r="I344" s="40">
        <v>1</v>
      </c>
      <c r="J344" s="40">
        <v>0</v>
      </c>
      <c r="K344" s="40">
        <v>0</v>
      </c>
      <c r="L344" s="40">
        <v>0</v>
      </c>
      <c r="M344" s="40">
        <v>0</v>
      </c>
      <c r="N344" s="40">
        <v>0</v>
      </c>
      <c r="O344" s="40">
        <v>1</v>
      </c>
      <c r="P344" s="40">
        <v>0</v>
      </c>
    </row>
    <row r="345" spans="1:16" x14ac:dyDescent="0.25">
      <c r="A345" s="40">
        <v>540175</v>
      </c>
      <c r="B345" s="40" t="s">
        <v>74</v>
      </c>
      <c r="C345" s="40" t="s">
        <v>75</v>
      </c>
      <c r="D345" s="40" t="s">
        <v>5</v>
      </c>
      <c r="E345" s="40">
        <v>7</v>
      </c>
      <c r="F345" s="40">
        <v>7</v>
      </c>
      <c r="G345" s="40">
        <v>1</v>
      </c>
      <c r="H345" s="40">
        <v>0</v>
      </c>
      <c r="I345" s="40">
        <v>1</v>
      </c>
      <c r="J345" s="40">
        <v>0</v>
      </c>
      <c r="K345" s="40">
        <v>3</v>
      </c>
      <c r="L345" s="40">
        <v>2</v>
      </c>
      <c r="M345" s="40">
        <v>3</v>
      </c>
      <c r="N345" s="40">
        <v>0</v>
      </c>
      <c r="O345" s="40">
        <v>1</v>
      </c>
      <c r="P345" s="40">
        <v>1</v>
      </c>
    </row>
    <row r="346" spans="1:16" x14ac:dyDescent="0.25">
      <c r="A346" s="40"/>
      <c r="B346" s="40"/>
      <c r="C346" s="40" t="s">
        <v>75</v>
      </c>
      <c r="D346" s="40"/>
      <c r="E346" s="40"/>
      <c r="F346" s="40">
        <v>8</v>
      </c>
      <c r="G346" s="40">
        <v>1</v>
      </c>
      <c r="H346" s="40">
        <v>0</v>
      </c>
      <c r="I346" s="40">
        <v>2</v>
      </c>
      <c r="J346" s="40">
        <v>0</v>
      </c>
      <c r="K346" s="40">
        <v>3</v>
      </c>
      <c r="L346" s="40">
        <v>2</v>
      </c>
      <c r="M346" s="40">
        <v>3</v>
      </c>
      <c r="N346" s="40">
        <v>0</v>
      </c>
      <c r="O346" s="40">
        <v>2</v>
      </c>
      <c r="P346" s="40">
        <v>1</v>
      </c>
    </row>
    <row r="347" spans="1:16" x14ac:dyDescent="0.25">
      <c r="A347" s="40">
        <v>540219</v>
      </c>
      <c r="B347" s="40" t="s">
        <v>273</v>
      </c>
      <c r="C347" s="40" t="s">
        <v>95</v>
      </c>
      <c r="D347" s="40" t="s">
        <v>115</v>
      </c>
      <c r="E347" s="40">
        <v>1</v>
      </c>
      <c r="F347" s="40">
        <v>0</v>
      </c>
      <c r="G347" s="40">
        <v>0</v>
      </c>
      <c r="H347" s="40">
        <v>0</v>
      </c>
      <c r="I347" s="40">
        <v>0</v>
      </c>
      <c r="J347" s="40">
        <v>0</v>
      </c>
      <c r="K347" s="40">
        <v>0</v>
      </c>
      <c r="L347" s="40">
        <v>0</v>
      </c>
      <c r="M347" s="40">
        <v>0</v>
      </c>
      <c r="N347" s="40">
        <v>0</v>
      </c>
      <c r="O347" s="40">
        <v>0</v>
      </c>
      <c r="P347" s="40">
        <v>0</v>
      </c>
    </row>
    <row r="348" spans="1:16" x14ac:dyDescent="0.25">
      <c r="A348" s="40">
        <v>540220</v>
      </c>
      <c r="B348" s="40" t="s">
        <v>274</v>
      </c>
      <c r="C348" s="40" t="s">
        <v>95</v>
      </c>
      <c r="D348" s="40" t="s">
        <v>115</v>
      </c>
      <c r="E348" s="40">
        <v>1</v>
      </c>
      <c r="F348" s="40">
        <v>0</v>
      </c>
      <c r="G348" s="40">
        <v>0</v>
      </c>
      <c r="H348" s="40">
        <v>0</v>
      </c>
      <c r="I348" s="40">
        <v>0</v>
      </c>
      <c r="J348" s="40">
        <v>0</v>
      </c>
      <c r="K348" s="40">
        <v>0</v>
      </c>
      <c r="L348" s="40">
        <v>0</v>
      </c>
      <c r="M348" s="40">
        <v>0</v>
      </c>
      <c r="N348" s="40">
        <v>0</v>
      </c>
      <c r="O348" s="40">
        <v>0</v>
      </c>
      <c r="P348" s="40">
        <v>0</v>
      </c>
    </row>
    <row r="349" spans="1:16" x14ac:dyDescent="0.25">
      <c r="A349" s="40">
        <v>540218</v>
      </c>
      <c r="B349" s="40" t="s">
        <v>272</v>
      </c>
      <c r="C349" s="40" t="s">
        <v>95</v>
      </c>
      <c r="D349" s="40" t="s">
        <v>115</v>
      </c>
      <c r="E349" s="40">
        <v>1</v>
      </c>
      <c r="F349" s="40">
        <v>0</v>
      </c>
      <c r="G349" s="40">
        <v>0</v>
      </c>
      <c r="H349" s="40">
        <v>0</v>
      </c>
      <c r="I349" s="40">
        <v>0</v>
      </c>
      <c r="J349" s="40">
        <v>0</v>
      </c>
      <c r="K349" s="40">
        <v>0</v>
      </c>
      <c r="L349" s="40">
        <v>0</v>
      </c>
      <c r="M349" s="40">
        <v>0</v>
      </c>
      <c r="N349" s="40">
        <v>0</v>
      </c>
      <c r="O349" s="40">
        <v>0</v>
      </c>
      <c r="P349" s="40">
        <v>0</v>
      </c>
    </row>
    <row r="350" spans="1:16" x14ac:dyDescent="0.25">
      <c r="A350" s="40">
        <v>540217</v>
      </c>
      <c r="B350" s="40" t="s">
        <v>94</v>
      </c>
      <c r="C350" s="40" t="s">
        <v>95</v>
      </c>
      <c r="D350" s="40" t="s">
        <v>5</v>
      </c>
      <c r="E350" s="40">
        <v>1</v>
      </c>
      <c r="F350" s="40">
        <v>6</v>
      </c>
      <c r="G350" s="40">
        <v>1</v>
      </c>
      <c r="H350" s="40">
        <v>1</v>
      </c>
      <c r="I350" s="40">
        <v>0</v>
      </c>
      <c r="J350" s="40">
        <v>0</v>
      </c>
      <c r="K350" s="40">
        <v>0</v>
      </c>
      <c r="L350" s="40">
        <v>4</v>
      </c>
      <c r="M350" s="40">
        <v>1</v>
      </c>
      <c r="N350" s="40">
        <v>0</v>
      </c>
      <c r="O350" s="40">
        <v>1</v>
      </c>
      <c r="P350" s="40">
        <v>0</v>
      </c>
    </row>
    <row r="351" spans="1:16" x14ac:dyDescent="0.25">
      <c r="A351" s="40"/>
      <c r="B351" s="40"/>
      <c r="C351" s="40" t="s">
        <v>95</v>
      </c>
      <c r="D351" s="40"/>
      <c r="E351" s="40"/>
      <c r="F351" s="40">
        <v>6</v>
      </c>
      <c r="G351" s="40">
        <v>1</v>
      </c>
      <c r="H351" s="40">
        <v>1</v>
      </c>
      <c r="I351" s="40">
        <v>0</v>
      </c>
      <c r="J351" s="40">
        <v>0</v>
      </c>
      <c r="K351" s="40">
        <v>0</v>
      </c>
      <c r="L351" s="40">
        <v>4</v>
      </c>
      <c r="M351" s="40">
        <v>1</v>
      </c>
      <c r="N351" s="40">
        <v>0</v>
      </c>
      <c r="O351" s="40">
        <v>1</v>
      </c>
      <c r="P351" s="40">
        <v>0</v>
      </c>
    </row>
    <row r="352" spans="1:16" x14ac:dyDescent="0.25">
      <c r="A352" s="40" t="s">
        <v>535</v>
      </c>
      <c r="B352" s="40"/>
      <c r="C352" s="40"/>
      <c r="D352" s="40"/>
      <c r="E352" s="40"/>
      <c r="F352" s="40"/>
      <c r="G352" s="40"/>
      <c r="H352" s="40"/>
      <c r="I352" s="40"/>
      <c r="J352" s="40"/>
      <c r="K352" s="40"/>
      <c r="L352" s="40"/>
      <c r="M352" s="40"/>
      <c r="N352" s="40"/>
      <c r="O352" s="40"/>
      <c r="P352" s="40"/>
    </row>
    <row r="353" spans="1:16" x14ac:dyDescent="0.25">
      <c r="A353" s="40">
        <v>540152</v>
      </c>
      <c r="B353" s="40" t="s">
        <v>229</v>
      </c>
      <c r="C353" s="40" t="s">
        <v>544</v>
      </c>
      <c r="D353" s="40" t="s">
        <v>115</v>
      </c>
      <c r="E353" s="40" t="s">
        <v>545</v>
      </c>
      <c r="F353" s="40">
        <v>0</v>
      </c>
      <c r="G353" s="40">
        <v>0</v>
      </c>
      <c r="H353" s="40">
        <v>0</v>
      </c>
      <c r="I353" s="40">
        <v>0</v>
      </c>
      <c r="J353" s="40">
        <v>0</v>
      </c>
      <c r="K353" s="40">
        <v>0</v>
      </c>
      <c r="L353" s="40">
        <v>0</v>
      </c>
      <c r="M353" s="40">
        <v>0</v>
      </c>
      <c r="N353" s="40">
        <v>0</v>
      </c>
      <c r="O353" s="40">
        <v>0</v>
      </c>
      <c r="P353" s="40">
        <v>0</v>
      </c>
    </row>
    <row r="354" spans="1:16" x14ac:dyDescent="0.25">
      <c r="A354" s="40">
        <v>540196</v>
      </c>
      <c r="B354" s="40" t="s">
        <v>259</v>
      </c>
      <c r="C354" s="40" t="s">
        <v>546</v>
      </c>
      <c r="D354" s="40" t="s">
        <v>115</v>
      </c>
      <c r="E354" s="40" t="s">
        <v>547</v>
      </c>
      <c r="F354" s="40">
        <v>0</v>
      </c>
      <c r="G354" s="40">
        <v>0</v>
      </c>
      <c r="H354" s="40">
        <v>0</v>
      </c>
      <c r="I354" s="40">
        <v>0</v>
      </c>
      <c r="J354" s="40">
        <v>0</v>
      </c>
      <c r="K354" s="40">
        <v>0</v>
      </c>
      <c r="L354" s="40">
        <v>0</v>
      </c>
      <c r="M354" s="40">
        <v>0</v>
      </c>
      <c r="N354" s="40">
        <v>0</v>
      </c>
      <c r="O354" s="40">
        <v>0</v>
      </c>
      <c r="P354" s="40">
        <v>0</v>
      </c>
    </row>
    <row r="355" spans="1:16" x14ac:dyDescent="0.25">
      <c r="A355" s="40">
        <v>540041</v>
      </c>
      <c r="B355" s="40" t="s">
        <v>142</v>
      </c>
      <c r="C355" s="40" t="s">
        <v>540</v>
      </c>
      <c r="D355" s="40" t="s">
        <v>115</v>
      </c>
      <c r="E355" s="40" t="s">
        <v>541</v>
      </c>
      <c r="F355" s="40">
        <v>0</v>
      </c>
      <c r="G355" s="40">
        <v>0</v>
      </c>
      <c r="H355" s="40">
        <v>0</v>
      </c>
      <c r="I355" s="40">
        <v>0</v>
      </c>
      <c r="J355" s="40">
        <v>0</v>
      </c>
      <c r="K355" s="40">
        <v>0</v>
      </c>
      <c r="L355" s="40">
        <v>0</v>
      </c>
      <c r="M355" s="40">
        <v>0</v>
      </c>
      <c r="N355" s="40">
        <v>0</v>
      </c>
      <c r="O355" s="40">
        <v>0</v>
      </c>
      <c r="P355" s="40">
        <v>0</v>
      </c>
    </row>
    <row r="356" spans="1:16" x14ac:dyDescent="0.25">
      <c r="A356" s="40">
        <v>540018</v>
      </c>
      <c r="B356" s="40" t="s">
        <v>127</v>
      </c>
      <c r="C356" s="40" t="s">
        <v>538</v>
      </c>
      <c r="D356" s="40" t="s">
        <v>115</v>
      </c>
      <c r="E356" s="40" t="s">
        <v>539</v>
      </c>
      <c r="F356" s="40">
        <v>0</v>
      </c>
      <c r="G356" s="40">
        <v>0</v>
      </c>
      <c r="H356" s="40">
        <v>0</v>
      </c>
      <c r="I356" s="40">
        <v>0</v>
      </c>
      <c r="J356" s="40">
        <v>0</v>
      </c>
      <c r="K356" s="40">
        <v>0</v>
      </c>
      <c r="L356" s="40">
        <v>0</v>
      </c>
      <c r="M356" s="40">
        <v>0</v>
      </c>
      <c r="N356" s="40">
        <v>0</v>
      </c>
      <c r="O356" s="40">
        <v>0</v>
      </c>
      <c r="P356" s="40">
        <v>0</v>
      </c>
    </row>
    <row r="357" spans="1:16" x14ac:dyDescent="0.25">
      <c r="A357" s="40">
        <v>540014</v>
      </c>
      <c r="B357" s="40" t="s">
        <v>124</v>
      </c>
      <c r="C357" s="40" t="s">
        <v>536</v>
      </c>
      <c r="D357" s="40" t="s">
        <v>115</v>
      </c>
      <c r="E357" s="40" t="s">
        <v>537</v>
      </c>
      <c r="F357" s="40">
        <v>2</v>
      </c>
      <c r="G357" s="40">
        <v>0</v>
      </c>
      <c r="H357" s="40">
        <v>0</v>
      </c>
      <c r="I357" s="40">
        <v>2</v>
      </c>
      <c r="J357" s="40">
        <v>0</v>
      </c>
      <c r="K357" s="40">
        <v>0</v>
      </c>
      <c r="L357" s="40">
        <v>0</v>
      </c>
      <c r="M357" s="40">
        <v>2</v>
      </c>
      <c r="N357" s="40">
        <v>0</v>
      </c>
      <c r="O357" s="40">
        <v>0</v>
      </c>
      <c r="P357" s="40">
        <v>0</v>
      </c>
    </row>
    <row r="358" spans="1:16" x14ac:dyDescent="0.25">
      <c r="A358" s="40">
        <v>540081</v>
      </c>
      <c r="B358" s="40" t="s">
        <v>176</v>
      </c>
      <c r="C358" s="40" t="s">
        <v>542</v>
      </c>
      <c r="D358" s="40" t="s">
        <v>115</v>
      </c>
      <c r="E358" s="40" t="s">
        <v>543</v>
      </c>
      <c r="F358" s="40">
        <v>1</v>
      </c>
      <c r="G358" s="40">
        <v>0</v>
      </c>
      <c r="H358" s="40">
        <v>0</v>
      </c>
      <c r="I358" s="40">
        <v>1</v>
      </c>
      <c r="J358" s="40">
        <v>0</v>
      </c>
      <c r="K358" s="40">
        <v>0</v>
      </c>
      <c r="L358" s="40">
        <v>0</v>
      </c>
      <c r="M358" s="40">
        <v>1</v>
      </c>
      <c r="N358" s="40">
        <v>0</v>
      </c>
      <c r="O358" s="40">
        <v>0</v>
      </c>
      <c r="P358" s="40">
        <v>0</v>
      </c>
    </row>
    <row r="359" spans="1:16" x14ac:dyDescent="0.25">
      <c r="A359" s="40">
        <v>540033</v>
      </c>
      <c r="B359" s="40" t="s">
        <v>138</v>
      </c>
      <c r="C359" s="40" t="s">
        <v>1299</v>
      </c>
      <c r="D359" s="40" t="s">
        <v>115</v>
      </c>
      <c r="E359" s="40" t="s">
        <v>1298</v>
      </c>
      <c r="F359" s="40">
        <v>0</v>
      </c>
      <c r="G359" s="40">
        <v>0</v>
      </c>
      <c r="H359" s="40">
        <v>0</v>
      </c>
      <c r="I359" s="40">
        <v>0</v>
      </c>
      <c r="J359" s="40">
        <v>0</v>
      </c>
      <c r="K359" s="40">
        <v>0</v>
      </c>
      <c r="L359" s="40">
        <v>0</v>
      </c>
      <c r="M359" s="40">
        <v>0</v>
      </c>
      <c r="N359" s="40">
        <v>0</v>
      </c>
      <c r="O359" s="40">
        <v>0</v>
      </c>
      <c r="P359" s="40">
        <v>0</v>
      </c>
    </row>
    <row r="360" spans="1:16" x14ac:dyDescent="0.25">
      <c r="A360" s="40">
        <v>540029</v>
      </c>
      <c r="B360" s="40" t="s">
        <v>134</v>
      </c>
      <c r="C360" s="40" t="s">
        <v>1299</v>
      </c>
      <c r="D360" s="40" t="s">
        <v>115</v>
      </c>
      <c r="E360" s="40" t="s">
        <v>1298</v>
      </c>
      <c r="F360" s="40">
        <v>0</v>
      </c>
      <c r="G360" s="40">
        <v>0</v>
      </c>
      <c r="H360" s="40">
        <v>0</v>
      </c>
      <c r="I360" s="40">
        <v>0</v>
      </c>
      <c r="J360" s="40">
        <v>0</v>
      </c>
      <c r="K360" s="40">
        <v>0</v>
      </c>
      <c r="L360" s="40">
        <v>0</v>
      </c>
      <c r="M360" s="40">
        <v>0</v>
      </c>
      <c r="N360" s="40">
        <v>0</v>
      </c>
      <c r="O360" s="40">
        <v>0</v>
      </c>
      <c r="P360" s="40">
        <v>0</v>
      </c>
    </row>
  </sheetData>
  <hyperlinks>
    <hyperlink ref="S2"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0"/>
  <sheetViews>
    <sheetView topLeftCell="D1" workbookViewId="0">
      <pane ySplit="1" topLeftCell="A2" activePane="bottomLeft" state="frozen"/>
      <selection activeCell="D1" sqref="D1"/>
      <selection pane="bottomLeft" activeCell="M1" sqref="M1:N2"/>
    </sheetView>
  </sheetViews>
  <sheetFormatPr defaultRowHeight="15" x14ac:dyDescent="0.25"/>
  <cols>
    <col min="1" max="1" width="19.140625" style="39" bestFit="1" customWidth="1"/>
    <col min="2" max="2" width="38.42578125" style="39" bestFit="1" customWidth="1"/>
    <col min="3" max="3" width="38.7109375" style="39" bestFit="1" customWidth="1"/>
    <col min="4" max="4" width="27.7109375" style="39" bestFit="1" customWidth="1"/>
    <col min="5" max="5" width="16" style="39" bestFit="1" customWidth="1"/>
    <col min="6" max="6" width="11.140625" style="39" bestFit="1" customWidth="1"/>
    <col min="7" max="7" width="13.7109375" style="39" bestFit="1" customWidth="1"/>
    <col min="8" max="8" width="10.5703125" style="39" bestFit="1" customWidth="1"/>
    <col min="9" max="9" width="22.85546875" style="39" bestFit="1" customWidth="1"/>
    <col min="10" max="10" width="14.42578125" style="39" bestFit="1" customWidth="1"/>
    <col min="11" max="11" width="13.5703125" style="39" bestFit="1" customWidth="1"/>
    <col min="12" max="13" width="9.140625" style="39"/>
    <col min="14" max="14" width="128.5703125" style="39" bestFit="1" customWidth="1"/>
    <col min="15" max="16384" width="9.140625" style="39"/>
  </cols>
  <sheetData>
    <row r="1" spans="1:14" s="194" customFormat="1" x14ac:dyDescent="0.25">
      <c r="A1" s="193" t="s">
        <v>0</v>
      </c>
      <c r="B1" s="193" t="s">
        <v>1</v>
      </c>
      <c r="C1" s="193" t="s">
        <v>2</v>
      </c>
      <c r="D1" s="193" t="s">
        <v>512</v>
      </c>
      <c r="E1" s="193" t="s">
        <v>403</v>
      </c>
      <c r="F1" s="193" t="s">
        <v>1310</v>
      </c>
      <c r="G1" s="193" t="s">
        <v>1311</v>
      </c>
      <c r="H1" s="193" t="s">
        <v>1312</v>
      </c>
      <c r="I1" s="193" t="s">
        <v>1313</v>
      </c>
      <c r="J1" s="193" t="s">
        <v>1314</v>
      </c>
      <c r="K1" s="193" t="s">
        <v>1315</v>
      </c>
      <c r="M1" s="206" t="s">
        <v>1325</v>
      </c>
      <c r="N1" s="390" t="s">
        <v>1354</v>
      </c>
    </row>
    <row r="2" spans="1:14" x14ac:dyDescent="0.25">
      <c r="A2" s="40">
        <v>540001</v>
      </c>
      <c r="B2" s="40" t="s">
        <v>3</v>
      </c>
      <c r="C2" s="40" t="s">
        <v>4</v>
      </c>
      <c r="D2" s="40" t="s">
        <v>5</v>
      </c>
      <c r="E2" s="40">
        <v>7</v>
      </c>
      <c r="F2" s="40">
        <v>0</v>
      </c>
      <c r="G2" s="40">
        <v>0</v>
      </c>
      <c r="H2" s="40">
        <v>0</v>
      </c>
      <c r="I2" s="40">
        <v>0</v>
      </c>
      <c r="J2" s="40">
        <v>0</v>
      </c>
      <c r="K2" s="40">
        <v>0</v>
      </c>
      <c r="M2" s="206" t="s">
        <v>1326</v>
      </c>
      <c r="N2" s="392" t="s">
        <v>1355</v>
      </c>
    </row>
    <row r="3" spans="1:14" x14ac:dyDescent="0.25">
      <c r="A3" s="40">
        <v>540002</v>
      </c>
      <c r="B3" s="40" t="s">
        <v>114</v>
      </c>
      <c r="C3" s="40" t="s">
        <v>4</v>
      </c>
      <c r="D3" s="40" t="s">
        <v>115</v>
      </c>
      <c r="E3" s="40">
        <v>7</v>
      </c>
      <c r="F3" s="40">
        <v>0</v>
      </c>
      <c r="G3" s="40">
        <v>0</v>
      </c>
      <c r="H3" s="40">
        <v>0</v>
      </c>
      <c r="I3" s="40">
        <v>0</v>
      </c>
      <c r="J3" s="40">
        <v>0</v>
      </c>
      <c r="K3" s="40">
        <v>0</v>
      </c>
    </row>
    <row r="4" spans="1:14" x14ac:dyDescent="0.25">
      <c r="A4" s="40">
        <v>540003</v>
      </c>
      <c r="B4" s="40" t="s">
        <v>116</v>
      </c>
      <c r="C4" s="40" t="s">
        <v>4</v>
      </c>
      <c r="D4" s="40" t="s">
        <v>115</v>
      </c>
      <c r="E4" s="40">
        <v>7</v>
      </c>
      <c r="F4" s="40">
        <v>0</v>
      </c>
      <c r="G4" s="40">
        <v>0</v>
      </c>
      <c r="H4" s="40">
        <v>0</v>
      </c>
      <c r="I4" s="40">
        <v>0</v>
      </c>
      <c r="J4" s="40">
        <v>0</v>
      </c>
      <c r="K4" s="40">
        <v>0</v>
      </c>
    </row>
    <row r="5" spans="1:14" x14ac:dyDescent="0.25">
      <c r="A5" s="40">
        <v>540004</v>
      </c>
      <c r="B5" s="40" t="s">
        <v>117</v>
      </c>
      <c r="C5" s="40" t="s">
        <v>4</v>
      </c>
      <c r="D5" s="40" t="s">
        <v>115</v>
      </c>
      <c r="E5" s="40">
        <v>7</v>
      </c>
      <c r="F5" s="40">
        <v>0</v>
      </c>
      <c r="G5" s="40">
        <v>0</v>
      </c>
      <c r="H5" s="40">
        <v>0</v>
      </c>
      <c r="I5" s="40">
        <v>0</v>
      </c>
      <c r="J5" s="40">
        <v>0</v>
      </c>
      <c r="K5" s="40">
        <v>0</v>
      </c>
    </row>
    <row r="6" spans="1:14" x14ac:dyDescent="0.25">
      <c r="A6" s="40"/>
      <c r="B6" s="40"/>
      <c r="C6" s="40" t="s">
        <v>4</v>
      </c>
      <c r="D6" s="40"/>
      <c r="E6" s="40"/>
      <c r="F6" s="40">
        <v>0</v>
      </c>
      <c r="G6" s="40">
        <v>0</v>
      </c>
      <c r="H6" s="40">
        <v>0</v>
      </c>
      <c r="I6" s="40">
        <v>0</v>
      </c>
      <c r="J6" s="40">
        <v>0</v>
      </c>
      <c r="K6" s="40">
        <v>0</v>
      </c>
    </row>
    <row r="7" spans="1:14" x14ac:dyDescent="0.25">
      <c r="A7" s="40">
        <v>540007</v>
      </c>
      <c r="B7" s="40" t="s">
        <v>6</v>
      </c>
      <c r="C7" s="40" t="s">
        <v>7</v>
      </c>
      <c r="D7" s="40" t="s">
        <v>5</v>
      </c>
      <c r="E7" s="40">
        <v>3</v>
      </c>
      <c r="F7" s="40">
        <v>0</v>
      </c>
      <c r="G7" s="40">
        <v>0</v>
      </c>
      <c r="H7" s="40">
        <v>0</v>
      </c>
      <c r="I7" s="40">
        <v>0</v>
      </c>
      <c r="J7" s="40">
        <v>0</v>
      </c>
      <c r="K7" s="40">
        <v>0</v>
      </c>
    </row>
    <row r="8" spans="1:14" x14ac:dyDescent="0.25">
      <c r="A8" s="40">
        <v>540008</v>
      </c>
      <c r="B8" s="40" t="s">
        <v>120</v>
      </c>
      <c r="C8" s="40" t="s">
        <v>7</v>
      </c>
      <c r="D8" s="40" t="s">
        <v>115</v>
      </c>
      <c r="E8" s="40">
        <v>3</v>
      </c>
      <c r="F8" s="40">
        <v>0</v>
      </c>
      <c r="G8" s="40">
        <v>0</v>
      </c>
      <c r="H8" s="40">
        <v>0</v>
      </c>
      <c r="I8" s="40">
        <v>0</v>
      </c>
      <c r="J8" s="40">
        <v>0</v>
      </c>
      <c r="K8" s="40">
        <v>0</v>
      </c>
    </row>
    <row r="9" spans="1:14" x14ac:dyDescent="0.25">
      <c r="A9" s="40">
        <v>540229</v>
      </c>
      <c r="B9" s="40" t="s">
        <v>279</v>
      </c>
      <c r="C9" s="40" t="s">
        <v>7</v>
      </c>
      <c r="D9" s="40" t="s">
        <v>115</v>
      </c>
      <c r="E9" s="40">
        <v>3</v>
      </c>
      <c r="F9" s="40">
        <v>0</v>
      </c>
      <c r="G9" s="40">
        <v>0</v>
      </c>
      <c r="H9" s="40">
        <v>0</v>
      </c>
      <c r="I9" s="40">
        <v>0</v>
      </c>
      <c r="J9" s="40">
        <v>0</v>
      </c>
      <c r="K9" s="40">
        <v>0</v>
      </c>
    </row>
    <row r="10" spans="1:14" x14ac:dyDescent="0.25">
      <c r="A10" s="40">
        <v>540230</v>
      </c>
      <c r="B10" s="40" t="s">
        <v>280</v>
      </c>
      <c r="C10" s="40" t="s">
        <v>7</v>
      </c>
      <c r="D10" s="40" t="s">
        <v>115</v>
      </c>
      <c r="E10" s="40">
        <v>3</v>
      </c>
      <c r="F10" s="40">
        <v>0</v>
      </c>
      <c r="G10" s="40">
        <v>0</v>
      </c>
      <c r="H10" s="40">
        <v>0</v>
      </c>
      <c r="I10" s="40">
        <v>0</v>
      </c>
      <c r="J10" s="40">
        <v>0</v>
      </c>
      <c r="K10" s="40">
        <v>0</v>
      </c>
    </row>
    <row r="11" spans="1:14" x14ac:dyDescent="0.25">
      <c r="A11" s="40">
        <v>540238</v>
      </c>
      <c r="B11" s="40" t="s">
        <v>286</v>
      </c>
      <c r="C11" s="40" t="s">
        <v>7</v>
      </c>
      <c r="D11" s="40" t="s">
        <v>115</v>
      </c>
      <c r="E11" s="40">
        <v>3</v>
      </c>
      <c r="F11" s="40">
        <v>0</v>
      </c>
      <c r="G11" s="40">
        <v>0</v>
      </c>
      <c r="H11" s="40">
        <v>0</v>
      </c>
      <c r="I11" s="40">
        <v>0</v>
      </c>
      <c r="J11" s="40">
        <v>0</v>
      </c>
      <c r="K11" s="40">
        <v>0</v>
      </c>
    </row>
    <row r="12" spans="1:14" x14ac:dyDescent="0.25">
      <c r="A12" s="40"/>
      <c r="B12" s="40"/>
      <c r="C12" s="40" t="s">
        <v>7</v>
      </c>
      <c r="D12" s="40"/>
      <c r="E12" s="40"/>
      <c r="F12" s="40">
        <v>0</v>
      </c>
      <c r="G12" s="40">
        <v>0</v>
      </c>
      <c r="H12" s="40">
        <v>0</v>
      </c>
      <c r="I12" s="40">
        <v>0</v>
      </c>
      <c r="J12" s="40">
        <v>0</v>
      </c>
      <c r="K12" s="40">
        <v>0</v>
      </c>
    </row>
    <row r="13" spans="1:14" x14ac:dyDescent="0.25">
      <c r="A13" s="40">
        <v>540009</v>
      </c>
      <c r="B13" s="40" t="s">
        <v>8</v>
      </c>
      <c r="C13" s="40" t="s">
        <v>9</v>
      </c>
      <c r="D13" s="40" t="s">
        <v>5</v>
      </c>
      <c r="E13" s="40">
        <v>7</v>
      </c>
      <c r="F13" s="40">
        <v>0</v>
      </c>
      <c r="G13" s="40">
        <v>0</v>
      </c>
      <c r="H13" s="40">
        <v>0</v>
      </c>
      <c r="I13" s="40">
        <v>0</v>
      </c>
      <c r="J13" s="40">
        <v>0</v>
      </c>
      <c r="K13" s="40">
        <v>0</v>
      </c>
    </row>
    <row r="14" spans="1:14" x14ac:dyDescent="0.25">
      <c r="A14" s="40">
        <v>540010</v>
      </c>
      <c r="B14" s="40" t="s">
        <v>121</v>
      </c>
      <c r="C14" s="40" t="s">
        <v>9</v>
      </c>
      <c r="D14" s="40" t="s">
        <v>115</v>
      </c>
      <c r="E14" s="40">
        <v>7</v>
      </c>
      <c r="F14" s="40">
        <v>0</v>
      </c>
      <c r="G14" s="40">
        <v>0</v>
      </c>
      <c r="H14" s="40">
        <v>0</v>
      </c>
      <c r="I14" s="40">
        <v>0</v>
      </c>
      <c r="J14" s="40">
        <v>0</v>
      </c>
      <c r="K14" s="40">
        <v>0</v>
      </c>
    </row>
    <row r="15" spans="1:14" x14ac:dyDescent="0.25">
      <c r="A15" s="40">
        <v>540235</v>
      </c>
      <c r="B15" s="40" t="s">
        <v>283</v>
      </c>
      <c r="C15" s="40" t="s">
        <v>9</v>
      </c>
      <c r="D15" s="40" t="s">
        <v>115</v>
      </c>
      <c r="E15" s="40">
        <v>7</v>
      </c>
      <c r="F15" s="40">
        <v>0</v>
      </c>
      <c r="G15" s="40">
        <v>0</v>
      </c>
      <c r="H15" s="40">
        <v>0</v>
      </c>
      <c r="I15" s="40">
        <v>0</v>
      </c>
      <c r="J15" s="40">
        <v>0</v>
      </c>
      <c r="K15" s="40">
        <v>0</v>
      </c>
    </row>
    <row r="16" spans="1:14" x14ac:dyDescent="0.25">
      <c r="A16" s="40">
        <v>540236</v>
      </c>
      <c r="B16" s="40" t="s">
        <v>284</v>
      </c>
      <c r="C16" s="40" t="s">
        <v>9</v>
      </c>
      <c r="D16" s="40" t="s">
        <v>115</v>
      </c>
      <c r="E16" s="40">
        <v>7</v>
      </c>
      <c r="F16" s="40">
        <v>0</v>
      </c>
      <c r="G16" s="40">
        <v>0</v>
      </c>
      <c r="H16" s="40">
        <v>0</v>
      </c>
      <c r="I16" s="40">
        <v>0</v>
      </c>
      <c r="J16" s="40">
        <v>0</v>
      </c>
      <c r="K16" s="40">
        <v>0</v>
      </c>
    </row>
    <row r="17" spans="1:11" x14ac:dyDescent="0.25">
      <c r="A17" s="40">
        <v>540237</v>
      </c>
      <c r="B17" s="40" t="s">
        <v>285</v>
      </c>
      <c r="C17" s="40" t="s">
        <v>9</v>
      </c>
      <c r="D17" s="40" t="s">
        <v>115</v>
      </c>
      <c r="E17" s="40">
        <v>7</v>
      </c>
      <c r="F17" s="40">
        <v>0</v>
      </c>
      <c r="G17" s="40">
        <v>0</v>
      </c>
      <c r="H17" s="40">
        <v>0</v>
      </c>
      <c r="I17" s="40">
        <v>0</v>
      </c>
      <c r="J17" s="40">
        <v>0</v>
      </c>
      <c r="K17" s="40">
        <v>0</v>
      </c>
    </row>
    <row r="18" spans="1:11" x14ac:dyDescent="0.25">
      <c r="A18" s="40"/>
      <c r="B18" s="40"/>
      <c r="C18" s="40" t="s">
        <v>9</v>
      </c>
      <c r="D18" s="40"/>
      <c r="E18" s="40"/>
      <c r="F18" s="40">
        <v>0</v>
      </c>
      <c r="G18" s="40">
        <v>0</v>
      </c>
      <c r="H18" s="40">
        <v>0</v>
      </c>
      <c r="I18" s="40">
        <v>0</v>
      </c>
      <c r="J18" s="40">
        <v>0</v>
      </c>
      <c r="K18" s="40">
        <v>0</v>
      </c>
    </row>
    <row r="19" spans="1:11" x14ac:dyDescent="0.25">
      <c r="A19" s="40">
        <v>540011</v>
      </c>
      <c r="B19" s="40" t="s">
        <v>10</v>
      </c>
      <c r="C19" s="40" t="s">
        <v>11</v>
      </c>
      <c r="D19" s="40" t="s">
        <v>5</v>
      </c>
      <c r="E19" s="40">
        <v>11</v>
      </c>
      <c r="F19" s="40">
        <v>0</v>
      </c>
      <c r="G19" s="40">
        <v>0</v>
      </c>
      <c r="H19" s="40">
        <v>0</v>
      </c>
      <c r="I19" s="40">
        <v>0</v>
      </c>
      <c r="J19" s="40">
        <v>0</v>
      </c>
      <c r="K19" s="40">
        <v>0</v>
      </c>
    </row>
    <row r="20" spans="1:11" x14ac:dyDescent="0.25">
      <c r="A20" s="40">
        <v>540012</v>
      </c>
      <c r="B20" s="40" t="s">
        <v>122</v>
      </c>
      <c r="C20" s="40" t="s">
        <v>11</v>
      </c>
      <c r="D20" s="40" t="s">
        <v>115</v>
      </c>
      <c r="E20" s="40">
        <v>11</v>
      </c>
      <c r="F20" s="40">
        <v>0</v>
      </c>
      <c r="G20" s="40">
        <v>0</v>
      </c>
      <c r="H20" s="40">
        <v>0</v>
      </c>
      <c r="I20" s="40">
        <v>0</v>
      </c>
      <c r="J20" s="40">
        <v>0</v>
      </c>
      <c r="K20" s="40">
        <v>0</v>
      </c>
    </row>
    <row r="21" spans="1:11" x14ac:dyDescent="0.25">
      <c r="A21" s="40">
        <v>540013</v>
      </c>
      <c r="B21" s="40" t="s">
        <v>123</v>
      </c>
      <c r="C21" s="40" t="s">
        <v>11</v>
      </c>
      <c r="D21" s="40" t="s">
        <v>115</v>
      </c>
      <c r="E21" s="40">
        <v>11</v>
      </c>
      <c r="F21" s="40">
        <v>0</v>
      </c>
      <c r="G21" s="40">
        <v>0</v>
      </c>
      <c r="H21" s="40">
        <v>0</v>
      </c>
      <c r="I21" s="40">
        <v>0</v>
      </c>
      <c r="J21" s="40">
        <v>0</v>
      </c>
      <c r="K21" s="40">
        <v>0</v>
      </c>
    </row>
    <row r="22" spans="1:11" x14ac:dyDescent="0.25">
      <c r="A22" s="40">
        <v>540014</v>
      </c>
      <c r="B22" s="40" t="s">
        <v>124</v>
      </c>
      <c r="C22" s="40" t="s">
        <v>11</v>
      </c>
      <c r="D22" s="40" t="s">
        <v>115</v>
      </c>
      <c r="E22" s="40">
        <v>11</v>
      </c>
      <c r="F22" s="40">
        <v>0</v>
      </c>
      <c r="G22" s="40">
        <v>0</v>
      </c>
      <c r="H22" s="40">
        <v>0</v>
      </c>
      <c r="I22" s="40">
        <v>0</v>
      </c>
      <c r="J22" s="40">
        <v>0</v>
      </c>
      <c r="K22" s="40">
        <v>0</v>
      </c>
    </row>
    <row r="23" spans="1:11" x14ac:dyDescent="0.25">
      <c r="A23" s="40">
        <v>540015</v>
      </c>
      <c r="B23" s="40" t="s">
        <v>125</v>
      </c>
      <c r="C23" s="40" t="s">
        <v>11</v>
      </c>
      <c r="D23" s="40" t="s">
        <v>115</v>
      </c>
      <c r="E23" s="40">
        <v>11</v>
      </c>
      <c r="F23" s="40">
        <v>0</v>
      </c>
      <c r="G23" s="40">
        <v>0</v>
      </c>
      <c r="H23" s="40">
        <v>0</v>
      </c>
      <c r="I23" s="40">
        <v>0</v>
      </c>
      <c r="J23" s="40">
        <v>0</v>
      </c>
      <c r="K23" s="40">
        <v>0</v>
      </c>
    </row>
    <row r="24" spans="1:11" x14ac:dyDescent="0.25">
      <c r="A24" s="40">
        <v>540093</v>
      </c>
      <c r="B24" s="40" t="s">
        <v>184</v>
      </c>
      <c r="C24" s="40" t="s">
        <v>11</v>
      </c>
      <c r="D24" s="40" t="s">
        <v>115</v>
      </c>
      <c r="E24" s="40">
        <v>11</v>
      </c>
      <c r="F24" s="40">
        <v>0</v>
      </c>
      <c r="G24" s="40">
        <v>0</v>
      </c>
      <c r="H24" s="40">
        <v>0</v>
      </c>
      <c r="I24" s="40">
        <v>0</v>
      </c>
      <c r="J24" s="40">
        <v>0</v>
      </c>
      <c r="K24" s="40">
        <v>0</v>
      </c>
    </row>
    <row r="25" spans="1:11" x14ac:dyDescent="0.25">
      <c r="A25" s="40">
        <v>540084</v>
      </c>
      <c r="B25" s="40" t="s">
        <v>341</v>
      </c>
      <c r="C25" s="40" t="s">
        <v>11</v>
      </c>
      <c r="D25" s="40" t="s">
        <v>115</v>
      </c>
      <c r="E25" s="40">
        <v>11</v>
      </c>
      <c r="F25" s="40">
        <v>0</v>
      </c>
      <c r="G25" s="40">
        <v>0</v>
      </c>
      <c r="H25" s="40">
        <v>0</v>
      </c>
      <c r="I25" s="40">
        <v>0</v>
      </c>
      <c r="J25" s="40">
        <v>0</v>
      </c>
      <c r="K25" s="40">
        <v>0</v>
      </c>
    </row>
    <row r="26" spans="1:11" x14ac:dyDescent="0.25">
      <c r="A26" s="40"/>
      <c r="B26" s="40"/>
      <c r="C26" s="40" t="s">
        <v>11</v>
      </c>
      <c r="D26" s="40"/>
      <c r="E26" s="40"/>
      <c r="F26" s="40">
        <v>0</v>
      </c>
      <c r="G26" s="40">
        <v>0</v>
      </c>
      <c r="H26" s="40">
        <v>0</v>
      </c>
      <c r="I26" s="40">
        <v>0</v>
      </c>
      <c r="J26" s="40">
        <v>0</v>
      </c>
      <c r="K26" s="40">
        <v>0</v>
      </c>
    </row>
    <row r="27" spans="1:11" x14ac:dyDescent="0.25">
      <c r="A27" s="40">
        <v>540016</v>
      </c>
      <c r="B27" s="40" t="s">
        <v>12</v>
      </c>
      <c r="C27" s="40" t="s">
        <v>13</v>
      </c>
      <c r="D27" s="40" t="s">
        <v>5</v>
      </c>
      <c r="E27" s="40">
        <v>2</v>
      </c>
      <c r="F27" s="40">
        <v>1</v>
      </c>
      <c r="G27" s="40">
        <v>0</v>
      </c>
      <c r="H27" s="40">
        <v>0</v>
      </c>
      <c r="I27" s="40">
        <v>1</v>
      </c>
      <c r="J27" s="40">
        <v>0</v>
      </c>
      <c r="K27" s="40">
        <v>0</v>
      </c>
    </row>
    <row r="28" spans="1:11" x14ac:dyDescent="0.25">
      <c r="A28" s="40">
        <v>540017</v>
      </c>
      <c r="B28" s="40" t="s">
        <v>126</v>
      </c>
      <c r="C28" s="40" t="s">
        <v>13</v>
      </c>
      <c r="D28" s="40" t="s">
        <v>115</v>
      </c>
      <c r="E28" s="40">
        <v>2</v>
      </c>
      <c r="F28" s="40">
        <v>0</v>
      </c>
      <c r="G28" s="40">
        <v>0</v>
      </c>
      <c r="H28" s="40">
        <v>0</v>
      </c>
      <c r="I28" s="40">
        <v>0</v>
      </c>
      <c r="J28" s="40">
        <v>0</v>
      </c>
      <c r="K28" s="40">
        <v>0</v>
      </c>
    </row>
    <row r="29" spans="1:11" x14ac:dyDescent="0.25">
      <c r="A29" s="40">
        <v>540018</v>
      </c>
      <c r="B29" s="40" t="s">
        <v>127</v>
      </c>
      <c r="C29" s="40" t="s">
        <v>13</v>
      </c>
      <c r="D29" s="40" t="s">
        <v>115</v>
      </c>
      <c r="E29" s="40">
        <v>2</v>
      </c>
      <c r="F29" s="40">
        <v>3</v>
      </c>
      <c r="G29" s="40">
        <v>0</v>
      </c>
      <c r="H29" s="40">
        <v>0</v>
      </c>
      <c r="I29" s="40">
        <v>3</v>
      </c>
      <c r="J29" s="40">
        <v>0</v>
      </c>
      <c r="K29" s="40">
        <v>0</v>
      </c>
    </row>
    <row r="30" spans="1:11" x14ac:dyDescent="0.25">
      <c r="A30" s="40">
        <v>540019</v>
      </c>
      <c r="B30" s="40" t="s">
        <v>128</v>
      </c>
      <c r="C30" s="40" t="s">
        <v>13</v>
      </c>
      <c r="D30" s="40" t="s">
        <v>115</v>
      </c>
      <c r="E30" s="40">
        <v>2</v>
      </c>
      <c r="F30" s="40">
        <v>0</v>
      </c>
      <c r="G30" s="40">
        <v>0</v>
      </c>
      <c r="H30" s="40">
        <v>0</v>
      </c>
      <c r="I30" s="40">
        <v>0</v>
      </c>
      <c r="J30" s="40">
        <v>0</v>
      </c>
      <c r="K30" s="40">
        <v>0</v>
      </c>
    </row>
    <row r="31" spans="1:11" x14ac:dyDescent="0.25">
      <c r="A31" s="40"/>
      <c r="B31" s="40"/>
      <c r="C31" s="40" t="s">
        <v>13</v>
      </c>
      <c r="D31" s="40"/>
      <c r="E31" s="40"/>
      <c r="F31" s="40">
        <v>4</v>
      </c>
      <c r="G31" s="40">
        <v>0</v>
      </c>
      <c r="H31" s="40">
        <v>0</v>
      </c>
      <c r="I31" s="40">
        <v>4</v>
      </c>
      <c r="J31" s="40">
        <v>0</v>
      </c>
      <c r="K31" s="40">
        <v>0</v>
      </c>
    </row>
    <row r="32" spans="1:11" x14ac:dyDescent="0.25">
      <c r="A32" s="40">
        <v>540020</v>
      </c>
      <c r="B32" s="40" t="s">
        <v>14</v>
      </c>
      <c r="C32" s="40" t="s">
        <v>15</v>
      </c>
      <c r="D32" s="40" t="s">
        <v>5</v>
      </c>
      <c r="E32" s="40">
        <v>5</v>
      </c>
      <c r="F32" s="40">
        <v>0</v>
      </c>
      <c r="G32" s="40">
        <v>0</v>
      </c>
      <c r="H32" s="40">
        <v>0</v>
      </c>
      <c r="I32" s="40">
        <v>0</v>
      </c>
      <c r="J32" s="40">
        <v>0</v>
      </c>
      <c r="K32" s="40">
        <v>0</v>
      </c>
    </row>
    <row r="33" spans="1:11" x14ac:dyDescent="0.25">
      <c r="A33" s="40">
        <v>540021</v>
      </c>
      <c r="B33" s="40" t="s">
        <v>129</v>
      </c>
      <c r="C33" s="40" t="s">
        <v>15</v>
      </c>
      <c r="D33" s="40" t="s">
        <v>115</v>
      </c>
      <c r="E33" s="40">
        <v>5</v>
      </c>
      <c r="F33" s="40">
        <v>0</v>
      </c>
      <c r="G33" s="40">
        <v>0</v>
      </c>
      <c r="H33" s="40">
        <v>0</v>
      </c>
      <c r="I33" s="40">
        <v>0</v>
      </c>
      <c r="J33" s="40">
        <v>0</v>
      </c>
      <c r="K33" s="40">
        <v>0</v>
      </c>
    </row>
    <row r="34" spans="1:11" x14ac:dyDescent="0.25">
      <c r="A34" s="40"/>
      <c r="B34" s="40"/>
      <c r="C34" s="40" t="s">
        <v>15</v>
      </c>
      <c r="D34" s="40"/>
      <c r="E34" s="40"/>
      <c r="F34" s="40">
        <v>0</v>
      </c>
      <c r="G34" s="40">
        <v>0</v>
      </c>
      <c r="H34" s="40">
        <v>0</v>
      </c>
      <c r="I34" s="40">
        <v>0</v>
      </c>
      <c r="J34" s="40">
        <v>0</v>
      </c>
      <c r="K34" s="40">
        <v>0</v>
      </c>
    </row>
    <row r="35" spans="1:11" x14ac:dyDescent="0.25">
      <c r="A35" s="40">
        <v>540022</v>
      </c>
      <c r="B35" s="40" t="s">
        <v>16</v>
      </c>
      <c r="C35" s="40" t="s">
        <v>17</v>
      </c>
      <c r="D35" s="40" t="s">
        <v>5</v>
      </c>
      <c r="E35" s="40">
        <v>3</v>
      </c>
      <c r="F35" s="40">
        <v>0</v>
      </c>
      <c r="G35" s="40">
        <v>0</v>
      </c>
      <c r="H35" s="40">
        <v>0</v>
      </c>
      <c r="I35" s="40">
        <v>0</v>
      </c>
      <c r="J35" s="40">
        <v>0</v>
      </c>
      <c r="K35" s="40">
        <v>0</v>
      </c>
    </row>
    <row r="36" spans="1:11" x14ac:dyDescent="0.25">
      <c r="A36" s="40">
        <v>540023</v>
      </c>
      <c r="B36" s="40" t="s">
        <v>130</v>
      </c>
      <c r="C36" s="40" t="s">
        <v>17</v>
      </c>
      <c r="D36" s="40" t="s">
        <v>115</v>
      </c>
      <c r="E36" s="40">
        <v>3</v>
      </c>
      <c r="F36" s="40">
        <v>0</v>
      </c>
      <c r="G36" s="40">
        <v>0</v>
      </c>
      <c r="H36" s="40">
        <v>0</v>
      </c>
      <c r="I36" s="40">
        <v>0</v>
      </c>
      <c r="J36" s="40">
        <v>0</v>
      </c>
      <c r="K36" s="40">
        <v>0</v>
      </c>
    </row>
    <row r="37" spans="1:11" x14ac:dyDescent="0.25">
      <c r="A37" s="40"/>
      <c r="B37" s="40"/>
      <c r="C37" s="40" t="s">
        <v>17</v>
      </c>
      <c r="D37" s="40"/>
      <c r="E37" s="40"/>
      <c r="F37" s="40">
        <v>0</v>
      </c>
      <c r="G37" s="40">
        <v>0</v>
      </c>
      <c r="H37" s="40">
        <v>0</v>
      </c>
      <c r="I37" s="40">
        <v>0</v>
      </c>
      <c r="J37" s="40">
        <v>0</v>
      </c>
      <c r="K37" s="40">
        <v>0</v>
      </c>
    </row>
    <row r="38" spans="1:11" x14ac:dyDescent="0.25">
      <c r="A38" s="40">
        <v>540024</v>
      </c>
      <c r="B38" s="40" t="s">
        <v>18</v>
      </c>
      <c r="C38" s="40" t="s">
        <v>19</v>
      </c>
      <c r="D38" s="40" t="s">
        <v>5</v>
      </c>
      <c r="E38" s="40">
        <v>6</v>
      </c>
      <c r="F38" s="40">
        <v>0</v>
      </c>
      <c r="G38" s="40">
        <v>0</v>
      </c>
      <c r="H38" s="40">
        <v>0</v>
      </c>
      <c r="I38" s="40">
        <v>0</v>
      </c>
      <c r="J38" s="40">
        <v>0</v>
      </c>
      <c r="K38" s="40">
        <v>0</v>
      </c>
    </row>
    <row r="39" spans="1:11" x14ac:dyDescent="0.25">
      <c r="A39" s="40">
        <v>540025</v>
      </c>
      <c r="B39" s="40" t="s">
        <v>131</v>
      </c>
      <c r="C39" s="40" t="s">
        <v>19</v>
      </c>
      <c r="D39" s="40" t="s">
        <v>115</v>
      </c>
      <c r="E39" s="40">
        <v>6</v>
      </c>
      <c r="F39" s="40">
        <v>0</v>
      </c>
      <c r="G39" s="40">
        <v>0</v>
      </c>
      <c r="H39" s="40">
        <v>0</v>
      </c>
      <c r="I39" s="40">
        <v>0</v>
      </c>
      <c r="J39" s="40">
        <v>0</v>
      </c>
      <c r="K39" s="40">
        <v>0</v>
      </c>
    </row>
    <row r="40" spans="1:11" x14ac:dyDescent="0.25">
      <c r="A40" s="40"/>
      <c r="B40" s="40"/>
      <c r="C40" s="40" t="s">
        <v>19</v>
      </c>
      <c r="D40" s="40"/>
      <c r="E40" s="40"/>
      <c r="F40" s="40">
        <v>0</v>
      </c>
      <c r="G40" s="40">
        <v>0</v>
      </c>
      <c r="H40" s="40">
        <v>0</v>
      </c>
      <c r="I40" s="40">
        <v>0</v>
      </c>
      <c r="J40" s="40">
        <v>0</v>
      </c>
      <c r="K40" s="40">
        <v>0</v>
      </c>
    </row>
    <row r="41" spans="1:11" x14ac:dyDescent="0.25">
      <c r="A41" s="40">
        <v>540035</v>
      </c>
      <c r="B41" s="40" t="s">
        <v>22</v>
      </c>
      <c r="C41" s="40" t="s">
        <v>23</v>
      </c>
      <c r="D41" s="40" t="s">
        <v>5</v>
      </c>
      <c r="E41" s="40">
        <v>7</v>
      </c>
      <c r="F41" s="40">
        <v>0</v>
      </c>
      <c r="G41" s="40">
        <v>0</v>
      </c>
      <c r="H41" s="40">
        <v>0</v>
      </c>
      <c r="I41" s="40">
        <v>0</v>
      </c>
      <c r="J41" s="40">
        <v>0</v>
      </c>
      <c r="K41" s="40">
        <v>0</v>
      </c>
    </row>
    <row r="42" spans="1:11" x14ac:dyDescent="0.25">
      <c r="A42" s="40">
        <v>540036</v>
      </c>
      <c r="B42" s="40" t="s">
        <v>139</v>
      </c>
      <c r="C42" s="40" t="s">
        <v>23</v>
      </c>
      <c r="D42" s="40" t="s">
        <v>115</v>
      </c>
      <c r="E42" s="40">
        <v>7</v>
      </c>
      <c r="F42" s="40">
        <v>0</v>
      </c>
      <c r="G42" s="40">
        <v>0</v>
      </c>
      <c r="H42" s="40">
        <v>0</v>
      </c>
      <c r="I42" s="40">
        <v>0</v>
      </c>
      <c r="J42" s="40">
        <v>0</v>
      </c>
      <c r="K42" s="40">
        <v>0</v>
      </c>
    </row>
    <row r="43" spans="1:11" x14ac:dyDescent="0.25">
      <c r="A43" s="40">
        <v>540037</v>
      </c>
      <c r="B43" s="40" t="s">
        <v>140</v>
      </c>
      <c r="C43" s="40" t="s">
        <v>23</v>
      </c>
      <c r="D43" s="40" t="s">
        <v>115</v>
      </c>
      <c r="E43" s="40">
        <v>7</v>
      </c>
      <c r="F43" s="40">
        <v>0</v>
      </c>
      <c r="G43" s="40">
        <v>0</v>
      </c>
      <c r="H43" s="40">
        <v>0</v>
      </c>
      <c r="I43" s="40">
        <v>0</v>
      </c>
      <c r="J43" s="40">
        <v>0</v>
      </c>
      <c r="K43" s="40">
        <v>0</v>
      </c>
    </row>
    <row r="44" spans="1:11" x14ac:dyDescent="0.25">
      <c r="A44" s="40"/>
      <c r="B44" s="40"/>
      <c r="C44" s="40" t="s">
        <v>23</v>
      </c>
      <c r="D44" s="40"/>
      <c r="E44" s="40"/>
      <c r="F44" s="40">
        <v>0</v>
      </c>
      <c r="G44" s="40">
        <v>0</v>
      </c>
      <c r="H44" s="40">
        <v>0</v>
      </c>
      <c r="I44" s="40">
        <v>0</v>
      </c>
      <c r="J44" s="40">
        <v>0</v>
      </c>
      <c r="K44" s="40">
        <v>0</v>
      </c>
    </row>
    <row r="45" spans="1:11" x14ac:dyDescent="0.25">
      <c r="A45" s="40">
        <v>540038</v>
      </c>
      <c r="B45" s="40" t="s">
        <v>24</v>
      </c>
      <c r="C45" s="40" t="s">
        <v>25</v>
      </c>
      <c r="D45" s="40" t="s">
        <v>5</v>
      </c>
      <c r="E45" s="40">
        <v>8</v>
      </c>
      <c r="F45" s="40">
        <v>1</v>
      </c>
      <c r="G45" s="40">
        <v>0</v>
      </c>
      <c r="H45" s="40">
        <v>0</v>
      </c>
      <c r="I45" s="40">
        <v>0</v>
      </c>
      <c r="J45" s="40">
        <v>0</v>
      </c>
      <c r="K45" s="40">
        <v>1</v>
      </c>
    </row>
    <row r="46" spans="1:11" x14ac:dyDescent="0.25">
      <c r="A46" s="40">
        <v>540039</v>
      </c>
      <c r="B46" s="40" t="s">
        <v>141</v>
      </c>
      <c r="C46" s="40" t="s">
        <v>25</v>
      </c>
      <c r="D46" s="40" t="s">
        <v>115</v>
      </c>
      <c r="E46" s="40">
        <v>8</v>
      </c>
      <c r="F46" s="40">
        <v>2</v>
      </c>
      <c r="G46" s="40">
        <v>0</v>
      </c>
      <c r="H46" s="40">
        <v>0</v>
      </c>
      <c r="I46" s="40">
        <v>0</v>
      </c>
      <c r="J46" s="40">
        <v>0</v>
      </c>
      <c r="K46" s="40">
        <v>2</v>
      </c>
    </row>
    <row r="47" spans="1:11" x14ac:dyDescent="0.25">
      <c r="A47" s="40">
        <v>540240</v>
      </c>
      <c r="B47" s="40" t="s">
        <v>287</v>
      </c>
      <c r="C47" s="40" t="s">
        <v>25</v>
      </c>
      <c r="D47" s="40" t="s">
        <v>115</v>
      </c>
      <c r="E47" s="40">
        <v>8</v>
      </c>
      <c r="F47" s="40">
        <v>2</v>
      </c>
      <c r="G47" s="40">
        <v>2</v>
      </c>
      <c r="H47" s="40">
        <v>0</v>
      </c>
      <c r="I47" s="40">
        <v>0</v>
      </c>
      <c r="J47" s="40">
        <v>2</v>
      </c>
      <c r="K47" s="40">
        <v>0</v>
      </c>
    </row>
    <row r="48" spans="1:11" x14ac:dyDescent="0.25">
      <c r="A48" s="40"/>
      <c r="B48" s="40"/>
      <c r="C48" s="40" t="s">
        <v>25</v>
      </c>
      <c r="D48" s="40"/>
      <c r="E48" s="40"/>
      <c r="F48" s="40">
        <v>5</v>
      </c>
      <c r="G48" s="40">
        <v>2</v>
      </c>
      <c r="H48" s="40">
        <v>0</v>
      </c>
      <c r="I48" s="40">
        <v>0</v>
      </c>
      <c r="J48" s="40">
        <v>2</v>
      </c>
      <c r="K48" s="40">
        <v>3</v>
      </c>
    </row>
    <row r="49" spans="1:11" x14ac:dyDescent="0.25">
      <c r="A49" s="40">
        <v>540040</v>
      </c>
      <c r="B49" s="40" t="s">
        <v>26</v>
      </c>
      <c r="C49" s="40" t="s">
        <v>27</v>
      </c>
      <c r="D49" s="40" t="s">
        <v>5</v>
      </c>
      <c r="E49" s="40">
        <v>4</v>
      </c>
      <c r="F49" s="40">
        <v>0</v>
      </c>
      <c r="G49" s="40">
        <v>0</v>
      </c>
      <c r="H49" s="40">
        <v>0</v>
      </c>
      <c r="I49" s="40">
        <v>0</v>
      </c>
      <c r="J49" s="40">
        <v>0</v>
      </c>
      <c r="K49" s="40">
        <v>0</v>
      </c>
    </row>
    <row r="50" spans="1:11" x14ac:dyDescent="0.25">
      <c r="A50" s="40">
        <v>540041</v>
      </c>
      <c r="B50" s="40" t="s">
        <v>142</v>
      </c>
      <c r="C50" s="40" t="s">
        <v>27</v>
      </c>
      <c r="D50" s="40" t="s">
        <v>115</v>
      </c>
      <c r="E50" s="40">
        <v>4</v>
      </c>
      <c r="F50" s="40">
        <v>0</v>
      </c>
      <c r="G50" s="40">
        <v>0</v>
      </c>
      <c r="H50" s="40">
        <v>0</v>
      </c>
      <c r="I50" s="40">
        <v>0</v>
      </c>
      <c r="J50" s="40">
        <v>0</v>
      </c>
      <c r="K50" s="40">
        <v>0</v>
      </c>
    </row>
    <row r="51" spans="1:11" x14ac:dyDescent="0.25">
      <c r="A51" s="40">
        <v>540043</v>
      </c>
      <c r="B51" s="40" t="s">
        <v>144</v>
      </c>
      <c r="C51" s="40" t="s">
        <v>27</v>
      </c>
      <c r="D51" s="40" t="s">
        <v>115</v>
      </c>
      <c r="E51" s="40">
        <v>4</v>
      </c>
      <c r="F51" s="40">
        <v>0</v>
      </c>
      <c r="G51" s="40">
        <v>0</v>
      </c>
      <c r="H51" s="40">
        <v>0</v>
      </c>
      <c r="I51" s="40">
        <v>0</v>
      </c>
      <c r="J51" s="40">
        <v>0</v>
      </c>
      <c r="K51" s="40">
        <v>0</v>
      </c>
    </row>
    <row r="52" spans="1:11" x14ac:dyDescent="0.25">
      <c r="A52" s="40">
        <v>540044</v>
      </c>
      <c r="B52" s="40" t="s">
        <v>145</v>
      </c>
      <c r="C52" s="40" t="s">
        <v>27</v>
      </c>
      <c r="D52" s="40" t="s">
        <v>115</v>
      </c>
      <c r="E52" s="40">
        <v>4</v>
      </c>
      <c r="F52" s="40">
        <v>0</v>
      </c>
      <c r="G52" s="40">
        <v>0</v>
      </c>
      <c r="H52" s="40">
        <v>0</v>
      </c>
      <c r="I52" s="40">
        <v>0</v>
      </c>
      <c r="J52" s="40">
        <v>0</v>
      </c>
      <c r="K52" s="40">
        <v>0</v>
      </c>
    </row>
    <row r="53" spans="1:11" x14ac:dyDescent="0.25">
      <c r="A53" s="40">
        <v>540045</v>
      </c>
      <c r="B53" s="40" t="s">
        <v>146</v>
      </c>
      <c r="C53" s="40" t="s">
        <v>27</v>
      </c>
      <c r="D53" s="40" t="s">
        <v>115</v>
      </c>
      <c r="E53" s="40">
        <v>4</v>
      </c>
      <c r="F53" s="40">
        <v>0</v>
      </c>
      <c r="G53" s="40">
        <v>0</v>
      </c>
      <c r="H53" s="40">
        <v>0</v>
      </c>
      <c r="I53" s="40">
        <v>0</v>
      </c>
      <c r="J53" s="40">
        <v>0</v>
      </c>
      <c r="K53" s="40">
        <v>0</v>
      </c>
    </row>
    <row r="54" spans="1:11" x14ac:dyDescent="0.25">
      <c r="A54" s="40">
        <v>540228</v>
      </c>
      <c r="B54" s="40" t="s">
        <v>278</v>
      </c>
      <c r="C54" s="40" t="s">
        <v>27</v>
      </c>
      <c r="D54" s="40" t="s">
        <v>115</v>
      </c>
      <c r="E54" s="40">
        <v>4</v>
      </c>
      <c r="F54" s="40">
        <v>0</v>
      </c>
      <c r="G54" s="40">
        <v>0</v>
      </c>
      <c r="H54" s="40">
        <v>0</v>
      </c>
      <c r="I54" s="40">
        <v>0</v>
      </c>
      <c r="J54" s="40">
        <v>0</v>
      </c>
      <c r="K54" s="40">
        <v>0</v>
      </c>
    </row>
    <row r="55" spans="1:11" x14ac:dyDescent="0.25">
      <c r="A55" s="40">
        <v>540243</v>
      </c>
      <c r="B55" s="40" t="s">
        <v>290</v>
      </c>
      <c r="C55" s="40" t="s">
        <v>27</v>
      </c>
      <c r="D55" s="40" t="s">
        <v>115</v>
      </c>
      <c r="E55" s="40">
        <v>4</v>
      </c>
      <c r="F55" s="40">
        <v>0</v>
      </c>
      <c r="G55" s="40">
        <v>0</v>
      </c>
      <c r="H55" s="40">
        <v>0</v>
      </c>
      <c r="I55" s="40">
        <v>0</v>
      </c>
      <c r="J55" s="40">
        <v>0</v>
      </c>
      <c r="K55" s="40">
        <v>0</v>
      </c>
    </row>
    <row r="56" spans="1:11" x14ac:dyDescent="0.25">
      <c r="A56" s="40">
        <v>540244</v>
      </c>
      <c r="B56" s="40" t="s">
        <v>291</v>
      </c>
      <c r="C56" s="40" t="s">
        <v>27</v>
      </c>
      <c r="D56" s="40" t="s">
        <v>115</v>
      </c>
      <c r="E56" s="40">
        <v>4</v>
      </c>
      <c r="F56" s="40">
        <v>0</v>
      </c>
      <c r="G56" s="40">
        <v>0</v>
      </c>
      <c r="H56" s="40">
        <v>0</v>
      </c>
      <c r="I56" s="40">
        <v>0</v>
      </c>
      <c r="J56" s="40">
        <v>0</v>
      </c>
      <c r="K56" s="40">
        <v>0</v>
      </c>
    </row>
    <row r="57" spans="1:11" x14ac:dyDescent="0.25">
      <c r="A57" s="40">
        <v>540281</v>
      </c>
      <c r="B57" s="40" t="s">
        <v>322</v>
      </c>
      <c r="C57" s="40" t="s">
        <v>27</v>
      </c>
      <c r="D57" s="40" t="s">
        <v>115</v>
      </c>
      <c r="E57" s="40">
        <v>4</v>
      </c>
      <c r="F57" s="40">
        <v>0</v>
      </c>
      <c r="G57" s="40">
        <v>0</v>
      </c>
      <c r="H57" s="40">
        <v>0</v>
      </c>
      <c r="I57" s="40">
        <v>0</v>
      </c>
      <c r="J57" s="40">
        <v>0</v>
      </c>
      <c r="K57" s="40">
        <v>0</v>
      </c>
    </row>
    <row r="58" spans="1:11" x14ac:dyDescent="0.25">
      <c r="A58" s="40"/>
      <c r="B58" s="40"/>
      <c r="C58" s="40" t="s">
        <v>27</v>
      </c>
      <c r="D58" s="40"/>
      <c r="E58" s="40"/>
      <c r="F58" s="40">
        <v>0</v>
      </c>
      <c r="G58" s="40">
        <v>0</v>
      </c>
      <c r="H58" s="40">
        <v>0</v>
      </c>
      <c r="I58" s="40">
        <v>0</v>
      </c>
      <c r="J58" s="40">
        <v>0</v>
      </c>
      <c r="K58" s="40">
        <v>0</v>
      </c>
    </row>
    <row r="59" spans="1:11" x14ac:dyDescent="0.25">
      <c r="A59" s="40">
        <v>540047</v>
      </c>
      <c r="B59" s="40" t="s">
        <v>28</v>
      </c>
      <c r="C59" s="40" t="s">
        <v>29</v>
      </c>
      <c r="D59" s="40" t="s">
        <v>5</v>
      </c>
      <c r="E59" s="40">
        <v>11</v>
      </c>
      <c r="F59" s="40">
        <v>0</v>
      </c>
      <c r="G59" s="40">
        <v>0</v>
      </c>
      <c r="H59" s="40">
        <v>0</v>
      </c>
      <c r="I59" s="40">
        <v>0</v>
      </c>
      <c r="J59" s="40">
        <v>0</v>
      </c>
      <c r="K59" s="40">
        <v>0</v>
      </c>
    </row>
    <row r="60" spans="1:11" x14ac:dyDescent="0.25">
      <c r="A60" s="40">
        <v>540014</v>
      </c>
      <c r="B60" s="40" t="s">
        <v>124</v>
      </c>
      <c r="C60" s="40" t="s">
        <v>29</v>
      </c>
      <c r="D60" s="40" t="s">
        <v>115</v>
      </c>
      <c r="E60" s="40">
        <v>11</v>
      </c>
      <c r="F60" s="40">
        <v>0</v>
      </c>
      <c r="G60" s="40">
        <v>0</v>
      </c>
      <c r="H60" s="40">
        <v>0</v>
      </c>
      <c r="I60" s="40">
        <v>0</v>
      </c>
      <c r="J60" s="40">
        <v>0</v>
      </c>
      <c r="K60" s="40">
        <v>0</v>
      </c>
    </row>
    <row r="61" spans="1:11" x14ac:dyDescent="0.25">
      <c r="A61" s="40">
        <v>540048</v>
      </c>
      <c r="B61" s="40" t="s">
        <v>148</v>
      </c>
      <c r="C61" s="40" t="s">
        <v>29</v>
      </c>
      <c r="D61" s="40" t="s">
        <v>115</v>
      </c>
      <c r="E61" s="40">
        <v>11</v>
      </c>
      <c r="F61" s="40">
        <v>0</v>
      </c>
      <c r="G61" s="40">
        <v>0</v>
      </c>
      <c r="H61" s="40">
        <v>0</v>
      </c>
      <c r="I61" s="40">
        <v>0</v>
      </c>
      <c r="J61" s="40">
        <v>0</v>
      </c>
      <c r="K61" s="40">
        <v>0</v>
      </c>
    </row>
    <row r="62" spans="1:11" x14ac:dyDescent="0.25">
      <c r="A62" s="40">
        <v>540049</v>
      </c>
      <c r="B62" s="40" t="s">
        <v>149</v>
      </c>
      <c r="C62" s="40" t="s">
        <v>29</v>
      </c>
      <c r="D62" s="40" t="s">
        <v>115</v>
      </c>
      <c r="E62" s="40">
        <v>11</v>
      </c>
      <c r="F62" s="40">
        <v>0</v>
      </c>
      <c r="G62" s="40">
        <v>0</v>
      </c>
      <c r="H62" s="40">
        <v>0</v>
      </c>
      <c r="I62" s="40">
        <v>0</v>
      </c>
      <c r="J62" s="40">
        <v>0</v>
      </c>
      <c r="K62" s="40">
        <v>0</v>
      </c>
    </row>
    <row r="63" spans="1:11" x14ac:dyDescent="0.25">
      <c r="A63" s="40"/>
      <c r="B63" s="40"/>
      <c r="C63" s="40" t="s">
        <v>29</v>
      </c>
      <c r="D63" s="40"/>
      <c r="E63" s="40"/>
      <c r="F63" s="40">
        <v>0</v>
      </c>
      <c r="G63" s="40">
        <v>0</v>
      </c>
      <c r="H63" s="40">
        <v>0</v>
      </c>
      <c r="I63" s="40">
        <v>0</v>
      </c>
      <c r="J63" s="40">
        <v>0</v>
      </c>
      <c r="K63" s="40">
        <v>0</v>
      </c>
    </row>
    <row r="64" spans="1:11" x14ac:dyDescent="0.25">
      <c r="A64" s="40">
        <v>540051</v>
      </c>
      <c r="B64" s="40" t="s">
        <v>30</v>
      </c>
      <c r="C64" s="40" t="s">
        <v>31</v>
      </c>
      <c r="D64" s="40" t="s">
        <v>5</v>
      </c>
      <c r="E64" s="40">
        <v>8</v>
      </c>
      <c r="F64" s="40">
        <v>1</v>
      </c>
      <c r="G64" s="40">
        <v>0</v>
      </c>
      <c r="H64" s="40">
        <v>0</v>
      </c>
      <c r="I64" s="40">
        <v>1</v>
      </c>
      <c r="J64" s="40">
        <v>0</v>
      </c>
      <c r="K64" s="40">
        <v>0</v>
      </c>
    </row>
    <row r="65" spans="1:11" x14ac:dyDescent="0.25">
      <c r="A65" s="40">
        <v>540052</v>
      </c>
      <c r="B65" s="40" t="s">
        <v>151</v>
      </c>
      <c r="C65" s="40" t="s">
        <v>31</v>
      </c>
      <c r="D65" s="40" t="s">
        <v>115</v>
      </c>
      <c r="E65" s="40">
        <v>8</v>
      </c>
      <c r="F65" s="40">
        <v>2</v>
      </c>
      <c r="G65" s="40">
        <v>0</v>
      </c>
      <c r="H65" s="40">
        <v>0</v>
      </c>
      <c r="I65" s="40">
        <v>2</v>
      </c>
      <c r="J65" s="40">
        <v>0</v>
      </c>
      <c r="K65" s="40">
        <v>0</v>
      </c>
    </row>
    <row r="66" spans="1:11" x14ac:dyDescent="0.25">
      <c r="A66" s="40">
        <v>540245</v>
      </c>
      <c r="B66" s="40" t="s">
        <v>292</v>
      </c>
      <c r="C66" s="40" t="s">
        <v>31</v>
      </c>
      <c r="D66" s="40" t="s">
        <v>115</v>
      </c>
      <c r="E66" s="40">
        <v>8</v>
      </c>
      <c r="F66" s="40">
        <v>0</v>
      </c>
      <c r="G66" s="40">
        <v>0</v>
      </c>
      <c r="H66" s="40">
        <v>0</v>
      </c>
      <c r="I66" s="40">
        <v>0</v>
      </c>
      <c r="J66" s="40">
        <v>0</v>
      </c>
      <c r="K66" s="40">
        <v>0</v>
      </c>
    </row>
    <row r="67" spans="1:11" x14ac:dyDescent="0.25">
      <c r="A67" s="40"/>
      <c r="B67" s="40"/>
      <c r="C67" s="40" t="s">
        <v>31</v>
      </c>
      <c r="D67" s="40"/>
      <c r="E67" s="40"/>
      <c r="F67" s="40">
        <v>3</v>
      </c>
      <c r="G67" s="40">
        <v>0</v>
      </c>
      <c r="H67" s="40">
        <v>0</v>
      </c>
      <c r="I67" s="40">
        <v>3</v>
      </c>
      <c r="J67" s="40">
        <v>0</v>
      </c>
      <c r="K67" s="40">
        <v>0</v>
      </c>
    </row>
    <row r="68" spans="1:11" x14ac:dyDescent="0.25">
      <c r="A68" s="40">
        <v>540053</v>
      </c>
      <c r="B68" s="40" t="s">
        <v>32</v>
      </c>
      <c r="C68" s="40" t="s">
        <v>33</v>
      </c>
      <c r="D68" s="40" t="s">
        <v>5</v>
      </c>
      <c r="E68" s="40">
        <v>6</v>
      </c>
      <c r="F68" s="40">
        <v>0</v>
      </c>
      <c r="G68" s="40">
        <v>0</v>
      </c>
      <c r="H68" s="40">
        <v>0</v>
      </c>
      <c r="I68" s="40">
        <v>0</v>
      </c>
      <c r="J68" s="40">
        <v>0</v>
      </c>
      <c r="K68" s="40">
        <v>0</v>
      </c>
    </row>
    <row r="69" spans="1:11" x14ac:dyDescent="0.25">
      <c r="A69" s="40">
        <v>540054</v>
      </c>
      <c r="B69" s="40" t="s">
        <v>152</v>
      </c>
      <c r="C69" s="40" t="s">
        <v>33</v>
      </c>
      <c r="D69" s="40" t="s">
        <v>115</v>
      </c>
      <c r="E69" s="40">
        <v>6</v>
      </c>
      <c r="F69" s="40">
        <v>0</v>
      </c>
      <c r="G69" s="40">
        <v>0</v>
      </c>
      <c r="H69" s="40">
        <v>0</v>
      </c>
      <c r="I69" s="40">
        <v>0</v>
      </c>
      <c r="J69" s="40">
        <v>0</v>
      </c>
      <c r="K69" s="40">
        <v>0</v>
      </c>
    </row>
    <row r="70" spans="1:11" x14ac:dyDescent="0.25">
      <c r="A70" s="40">
        <v>540055</v>
      </c>
      <c r="B70" s="40" t="s">
        <v>153</v>
      </c>
      <c r="C70" s="40" t="s">
        <v>33</v>
      </c>
      <c r="D70" s="40" t="s">
        <v>115</v>
      </c>
      <c r="E70" s="40">
        <v>6</v>
      </c>
      <c r="F70" s="40">
        <v>0</v>
      </c>
      <c r="G70" s="40">
        <v>0</v>
      </c>
      <c r="H70" s="40">
        <v>0</v>
      </c>
      <c r="I70" s="40">
        <v>0</v>
      </c>
      <c r="J70" s="40">
        <v>0</v>
      </c>
      <c r="K70" s="40">
        <v>0</v>
      </c>
    </row>
    <row r="71" spans="1:11" x14ac:dyDescent="0.25">
      <c r="A71" s="40">
        <v>540056</v>
      </c>
      <c r="B71" s="40" t="s">
        <v>154</v>
      </c>
      <c r="C71" s="40" t="s">
        <v>33</v>
      </c>
      <c r="D71" s="40" t="s">
        <v>115</v>
      </c>
      <c r="E71" s="40">
        <v>6</v>
      </c>
      <c r="F71" s="40">
        <v>0</v>
      </c>
      <c r="G71" s="40">
        <v>0</v>
      </c>
      <c r="H71" s="40">
        <v>0</v>
      </c>
      <c r="I71" s="40">
        <v>0</v>
      </c>
      <c r="J71" s="40">
        <v>0</v>
      </c>
      <c r="K71" s="40">
        <v>0</v>
      </c>
    </row>
    <row r="72" spans="1:11" x14ac:dyDescent="0.25">
      <c r="A72" s="40">
        <v>540057</v>
      </c>
      <c r="B72" s="40" t="s">
        <v>155</v>
      </c>
      <c r="C72" s="40" t="s">
        <v>33</v>
      </c>
      <c r="D72" s="40" t="s">
        <v>115</v>
      </c>
      <c r="E72" s="40">
        <v>6</v>
      </c>
      <c r="F72" s="40">
        <v>0</v>
      </c>
      <c r="G72" s="40">
        <v>0</v>
      </c>
      <c r="H72" s="40">
        <v>0</v>
      </c>
      <c r="I72" s="40">
        <v>0</v>
      </c>
      <c r="J72" s="40">
        <v>0</v>
      </c>
      <c r="K72" s="40">
        <v>0</v>
      </c>
    </row>
    <row r="73" spans="1:11" x14ac:dyDescent="0.25">
      <c r="A73" s="40">
        <v>540058</v>
      </c>
      <c r="B73" s="40" t="s">
        <v>156</v>
      </c>
      <c r="C73" s="40" t="s">
        <v>33</v>
      </c>
      <c r="D73" s="40" t="s">
        <v>115</v>
      </c>
      <c r="E73" s="40">
        <v>6</v>
      </c>
      <c r="F73" s="40">
        <v>0</v>
      </c>
      <c r="G73" s="40">
        <v>0</v>
      </c>
      <c r="H73" s="40">
        <v>0</v>
      </c>
      <c r="I73" s="40">
        <v>0</v>
      </c>
      <c r="J73" s="40">
        <v>0</v>
      </c>
      <c r="K73" s="40">
        <v>0</v>
      </c>
    </row>
    <row r="74" spans="1:11" x14ac:dyDescent="0.25">
      <c r="A74" s="40">
        <v>540059</v>
      </c>
      <c r="B74" s="40" t="s">
        <v>157</v>
      </c>
      <c r="C74" s="40" t="s">
        <v>33</v>
      </c>
      <c r="D74" s="40" t="s">
        <v>115</v>
      </c>
      <c r="E74" s="40">
        <v>6</v>
      </c>
      <c r="F74" s="40">
        <v>0</v>
      </c>
      <c r="G74" s="40">
        <v>0</v>
      </c>
      <c r="H74" s="40">
        <v>0</v>
      </c>
      <c r="I74" s="40">
        <v>0</v>
      </c>
      <c r="J74" s="40">
        <v>0</v>
      </c>
      <c r="K74" s="40">
        <v>0</v>
      </c>
    </row>
    <row r="75" spans="1:11" x14ac:dyDescent="0.25">
      <c r="A75" s="40">
        <v>540060</v>
      </c>
      <c r="B75" s="40" t="s">
        <v>158</v>
      </c>
      <c r="C75" s="40" t="s">
        <v>33</v>
      </c>
      <c r="D75" s="40" t="s">
        <v>115</v>
      </c>
      <c r="E75" s="40">
        <v>6</v>
      </c>
      <c r="F75" s="40">
        <v>0</v>
      </c>
      <c r="G75" s="40">
        <v>0</v>
      </c>
      <c r="H75" s="40">
        <v>0</v>
      </c>
      <c r="I75" s="40">
        <v>0</v>
      </c>
      <c r="J75" s="40">
        <v>0</v>
      </c>
      <c r="K75" s="40">
        <v>0</v>
      </c>
    </row>
    <row r="76" spans="1:11" x14ac:dyDescent="0.25">
      <c r="A76" s="40">
        <v>540061</v>
      </c>
      <c r="B76" s="40" t="s">
        <v>159</v>
      </c>
      <c r="C76" s="40" t="s">
        <v>33</v>
      </c>
      <c r="D76" s="40" t="s">
        <v>115</v>
      </c>
      <c r="E76" s="40">
        <v>6</v>
      </c>
      <c r="F76" s="40">
        <v>0</v>
      </c>
      <c r="G76" s="40">
        <v>0</v>
      </c>
      <c r="H76" s="40">
        <v>0</v>
      </c>
      <c r="I76" s="40">
        <v>0</v>
      </c>
      <c r="J76" s="40">
        <v>0</v>
      </c>
      <c r="K76" s="40">
        <v>0</v>
      </c>
    </row>
    <row r="77" spans="1:11" x14ac:dyDescent="0.25">
      <c r="A77" s="40">
        <v>540062</v>
      </c>
      <c r="B77" s="40" t="s">
        <v>160</v>
      </c>
      <c r="C77" s="40" t="s">
        <v>33</v>
      </c>
      <c r="D77" s="40" t="s">
        <v>115</v>
      </c>
      <c r="E77" s="40">
        <v>6</v>
      </c>
      <c r="F77" s="40">
        <v>0</v>
      </c>
      <c r="G77" s="40">
        <v>0</v>
      </c>
      <c r="H77" s="40">
        <v>0</v>
      </c>
      <c r="I77" s="40">
        <v>0</v>
      </c>
      <c r="J77" s="40">
        <v>0</v>
      </c>
      <c r="K77" s="40">
        <v>0</v>
      </c>
    </row>
    <row r="78" spans="1:11" x14ac:dyDescent="0.25">
      <c r="A78" s="40">
        <v>540242</v>
      </c>
      <c r="B78" s="40" t="s">
        <v>289</v>
      </c>
      <c r="C78" s="40" t="s">
        <v>33</v>
      </c>
      <c r="D78" s="40" t="s">
        <v>115</v>
      </c>
      <c r="E78" s="40">
        <v>6</v>
      </c>
      <c r="F78" s="40">
        <v>0</v>
      </c>
      <c r="G78" s="40">
        <v>0</v>
      </c>
      <c r="H78" s="40">
        <v>0</v>
      </c>
      <c r="I78" s="40">
        <v>0</v>
      </c>
      <c r="J78" s="40">
        <v>0</v>
      </c>
      <c r="K78" s="40">
        <v>0</v>
      </c>
    </row>
    <row r="79" spans="1:11" x14ac:dyDescent="0.25">
      <c r="A79" s="40"/>
      <c r="B79" s="40"/>
      <c r="C79" s="40" t="s">
        <v>33</v>
      </c>
      <c r="D79" s="40"/>
      <c r="E79" s="40"/>
      <c r="F79" s="40">
        <v>0</v>
      </c>
      <c r="G79" s="40">
        <v>0</v>
      </c>
      <c r="H79" s="40">
        <v>0</v>
      </c>
      <c r="I79" s="40">
        <v>0</v>
      </c>
      <c r="J79" s="40">
        <v>0</v>
      </c>
      <c r="K79" s="40">
        <v>0</v>
      </c>
    </row>
    <row r="80" spans="1:11" x14ac:dyDescent="0.25">
      <c r="A80" s="40">
        <v>540063</v>
      </c>
      <c r="B80" s="40" t="s">
        <v>34</v>
      </c>
      <c r="C80" s="40" t="s">
        <v>35</v>
      </c>
      <c r="D80" s="40" t="s">
        <v>5</v>
      </c>
      <c r="E80" s="40">
        <v>5</v>
      </c>
      <c r="F80" s="40">
        <v>0</v>
      </c>
      <c r="G80" s="40">
        <v>0</v>
      </c>
      <c r="H80" s="40">
        <v>0</v>
      </c>
      <c r="I80" s="40">
        <v>0</v>
      </c>
      <c r="J80" s="40">
        <v>0</v>
      </c>
      <c r="K80" s="40">
        <v>0</v>
      </c>
    </row>
    <row r="81" spans="1:11" x14ac:dyDescent="0.25">
      <c r="A81" s="40">
        <v>540064</v>
      </c>
      <c r="B81" s="40" t="s">
        <v>161</v>
      </c>
      <c r="C81" s="40" t="s">
        <v>35</v>
      </c>
      <c r="D81" s="40" t="s">
        <v>115</v>
      </c>
      <c r="E81" s="40">
        <v>5</v>
      </c>
      <c r="F81" s="40">
        <v>0</v>
      </c>
      <c r="G81" s="40">
        <v>0</v>
      </c>
      <c r="H81" s="40">
        <v>0</v>
      </c>
      <c r="I81" s="40">
        <v>0</v>
      </c>
      <c r="J81" s="40">
        <v>0</v>
      </c>
      <c r="K81" s="40">
        <v>0</v>
      </c>
    </row>
    <row r="82" spans="1:11" x14ac:dyDescent="0.25">
      <c r="A82" s="40">
        <v>540241</v>
      </c>
      <c r="B82" s="40" t="s">
        <v>288</v>
      </c>
      <c r="C82" s="40" t="s">
        <v>35</v>
      </c>
      <c r="D82" s="40" t="s">
        <v>115</v>
      </c>
      <c r="E82" s="40">
        <v>5</v>
      </c>
      <c r="F82" s="40">
        <v>0</v>
      </c>
      <c r="G82" s="40">
        <v>0</v>
      </c>
      <c r="H82" s="40">
        <v>0</v>
      </c>
      <c r="I82" s="40">
        <v>0</v>
      </c>
      <c r="J82" s="40">
        <v>0</v>
      </c>
      <c r="K82" s="40">
        <v>0</v>
      </c>
    </row>
    <row r="83" spans="1:11" x14ac:dyDescent="0.25">
      <c r="A83" s="40"/>
      <c r="B83" s="40"/>
      <c r="C83" s="40" t="s">
        <v>35</v>
      </c>
      <c r="D83" s="40"/>
      <c r="E83" s="40"/>
      <c r="F83" s="40">
        <v>0</v>
      </c>
      <c r="G83" s="40">
        <v>0</v>
      </c>
      <c r="H83" s="40">
        <v>0</v>
      </c>
      <c r="I83" s="40">
        <v>0</v>
      </c>
      <c r="J83" s="40">
        <v>0</v>
      </c>
      <c r="K83" s="40">
        <v>0</v>
      </c>
    </row>
    <row r="84" spans="1:11" x14ac:dyDescent="0.25">
      <c r="A84" s="40">
        <v>540065</v>
      </c>
      <c r="B84" s="40" t="s">
        <v>36</v>
      </c>
      <c r="C84" s="40" t="s">
        <v>37</v>
      </c>
      <c r="D84" s="40" t="s">
        <v>5</v>
      </c>
      <c r="E84" s="40">
        <v>9</v>
      </c>
      <c r="F84" s="40">
        <v>0</v>
      </c>
      <c r="G84" s="40">
        <v>0</v>
      </c>
      <c r="H84" s="40">
        <v>0</v>
      </c>
      <c r="I84" s="40">
        <v>0</v>
      </c>
      <c r="J84" s="40">
        <v>0</v>
      </c>
      <c r="K84" s="40">
        <v>0</v>
      </c>
    </row>
    <row r="85" spans="1:11" x14ac:dyDescent="0.25">
      <c r="A85" s="40">
        <v>540030</v>
      </c>
      <c r="B85" s="40" t="s">
        <v>135</v>
      </c>
      <c r="C85" s="40" t="s">
        <v>37</v>
      </c>
      <c r="D85" s="40" t="s">
        <v>115</v>
      </c>
      <c r="E85" s="40">
        <v>9</v>
      </c>
      <c r="F85" s="40">
        <v>0</v>
      </c>
      <c r="G85" s="40">
        <v>0</v>
      </c>
      <c r="H85" s="40">
        <v>0</v>
      </c>
      <c r="I85" s="40">
        <v>0</v>
      </c>
      <c r="J85" s="40">
        <v>0</v>
      </c>
      <c r="K85" s="40">
        <v>0</v>
      </c>
    </row>
    <row r="86" spans="1:11" x14ac:dyDescent="0.25">
      <c r="A86" s="40">
        <v>540066</v>
      </c>
      <c r="B86" s="40" t="s">
        <v>162</v>
      </c>
      <c r="C86" s="40" t="s">
        <v>37</v>
      </c>
      <c r="D86" s="40" t="s">
        <v>115</v>
      </c>
      <c r="E86" s="40">
        <v>9</v>
      </c>
      <c r="F86" s="40">
        <v>0</v>
      </c>
      <c r="G86" s="40">
        <v>0</v>
      </c>
      <c r="H86" s="40">
        <v>0</v>
      </c>
      <c r="I86" s="40">
        <v>0</v>
      </c>
      <c r="J86" s="40">
        <v>0</v>
      </c>
      <c r="K86" s="40">
        <v>0</v>
      </c>
    </row>
    <row r="87" spans="1:11" x14ac:dyDescent="0.25">
      <c r="A87" s="40">
        <v>540067</v>
      </c>
      <c r="B87" s="40" t="s">
        <v>163</v>
      </c>
      <c r="C87" s="40" t="s">
        <v>37</v>
      </c>
      <c r="D87" s="40" t="s">
        <v>115</v>
      </c>
      <c r="E87" s="40">
        <v>9</v>
      </c>
      <c r="F87" s="40">
        <v>0</v>
      </c>
      <c r="G87" s="40">
        <v>0</v>
      </c>
      <c r="H87" s="40">
        <v>0</v>
      </c>
      <c r="I87" s="40">
        <v>0</v>
      </c>
      <c r="J87" s="40">
        <v>0</v>
      </c>
      <c r="K87" s="40">
        <v>0</v>
      </c>
    </row>
    <row r="88" spans="1:11" x14ac:dyDescent="0.25">
      <c r="A88" s="40">
        <v>540068</v>
      </c>
      <c r="B88" s="40" t="s">
        <v>164</v>
      </c>
      <c r="C88" s="40" t="s">
        <v>37</v>
      </c>
      <c r="D88" s="40" t="s">
        <v>115</v>
      </c>
      <c r="E88" s="40">
        <v>9</v>
      </c>
      <c r="F88" s="40">
        <v>0</v>
      </c>
      <c r="G88" s="40">
        <v>0</v>
      </c>
      <c r="H88" s="40">
        <v>0</v>
      </c>
      <c r="I88" s="40">
        <v>0</v>
      </c>
      <c r="J88" s="40">
        <v>0</v>
      </c>
      <c r="K88" s="40">
        <v>0</v>
      </c>
    </row>
    <row r="89" spans="1:11" x14ac:dyDescent="0.25">
      <c r="A89" s="40">
        <v>540069</v>
      </c>
      <c r="B89" s="40" t="s">
        <v>165</v>
      </c>
      <c r="C89" s="40" t="s">
        <v>37</v>
      </c>
      <c r="D89" s="40" t="s">
        <v>115</v>
      </c>
      <c r="E89" s="40">
        <v>9</v>
      </c>
      <c r="F89" s="40">
        <v>0</v>
      </c>
      <c r="G89" s="40">
        <v>0</v>
      </c>
      <c r="H89" s="40">
        <v>0</v>
      </c>
      <c r="I89" s="40">
        <v>0</v>
      </c>
      <c r="J89" s="40">
        <v>0</v>
      </c>
      <c r="K89" s="40">
        <v>0</v>
      </c>
    </row>
    <row r="90" spans="1:11" x14ac:dyDescent="0.25">
      <c r="A90" s="40"/>
      <c r="B90" s="40"/>
      <c r="C90" s="40" t="s">
        <v>37</v>
      </c>
      <c r="D90" s="40"/>
      <c r="E90" s="40"/>
      <c r="F90" s="40">
        <v>0</v>
      </c>
      <c r="G90" s="40">
        <v>0</v>
      </c>
      <c r="H90" s="40">
        <v>0</v>
      </c>
      <c r="I90" s="40">
        <v>0</v>
      </c>
      <c r="J90" s="40">
        <v>0</v>
      </c>
      <c r="K90" s="40">
        <v>0</v>
      </c>
    </row>
    <row r="91" spans="1:11" x14ac:dyDescent="0.25">
      <c r="A91" s="40">
        <v>540070</v>
      </c>
      <c r="B91" s="40" t="s">
        <v>38</v>
      </c>
      <c r="C91" s="40" t="s">
        <v>39</v>
      </c>
      <c r="D91" s="40" t="s">
        <v>5</v>
      </c>
      <c r="E91" s="40">
        <v>3</v>
      </c>
      <c r="F91" s="40">
        <v>0</v>
      </c>
      <c r="G91" s="40">
        <v>0</v>
      </c>
      <c r="H91" s="40">
        <v>0</v>
      </c>
      <c r="I91" s="40">
        <v>0</v>
      </c>
      <c r="J91" s="40">
        <v>0</v>
      </c>
      <c r="K91" s="40">
        <v>0</v>
      </c>
    </row>
    <row r="92" spans="1:11" x14ac:dyDescent="0.25">
      <c r="A92" s="40">
        <v>540029</v>
      </c>
      <c r="B92" s="40" t="s">
        <v>134</v>
      </c>
      <c r="C92" s="40" t="s">
        <v>39</v>
      </c>
      <c r="D92" s="40" t="s">
        <v>115</v>
      </c>
      <c r="E92" s="40">
        <v>3</v>
      </c>
      <c r="F92" s="40">
        <v>0</v>
      </c>
      <c r="G92" s="40">
        <v>0</v>
      </c>
      <c r="H92" s="40">
        <v>0</v>
      </c>
      <c r="I92" s="40">
        <v>0</v>
      </c>
      <c r="J92" s="40">
        <v>0</v>
      </c>
      <c r="K92" s="40">
        <v>0</v>
      </c>
    </row>
    <row r="93" spans="1:11" x14ac:dyDescent="0.25">
      <c r="A93" s="40">
        <v>540071</v>
      </c>
      <c r="B93" s="40" t="s">
        <v>166</v>
      </c>
      <c r="C93" s="40" t="s">
        <v>39</v>
      </c>
      <c r="D93" s="40" t="s">
        <v>115</v>
      </c>
      <c r="E93" s="40">
        <v>3</v>
      </c>
      <c r="F93" s="40">
        <v>0</v>
      </c>
      <c r="G93" s="40">
        <v>0</v>
      </c>
      <c r="H93" s="40">
        <v>0</v>
      </c>
      <c r="I93" s="40">
        <v>0</v>
      </c>
      <c r="J93" s="40">
        <v>0</v>
      </c>
      <c r="K93" s="40">
        <v>0</v>
      </c>
    </row>
    <row r="94" spans="1:11" x14ac:dyDescent="0.25">
      <c r="A94" s="40">
        <v>540072</v>
      </c>
      <c r="B94" s="40" t="s">
        <v>167</v>
      </c>
      <c r="C94" s="40" t="s">
        <v>39</v>
      </c>
      <c r="D94" s="40" t="s">
        <v>115</v>
      </c>
      <c r="E94" s="40">
        <v>3</v>
      </c>
      <c r="F94" s="40">
        <v>0</v>
      </c>
      <c r="G94" s="40">
        <v>0</v>
      </c>
      <c r="H94" s="40">
        <v>0</v>
      </c>
      <c r="I94" s="40">
        <v>0</v>
      </c>
      <c r="J94" s="40">
        <v>0</v>
      </c>
      <c r="K94" s="40">
        <v>0</v>
      </c>
    </row>
    <row r="95" spans="1:11" x14ac:dyDescent="0.25">
      <c r="A95" s="40">
        <v>540073</v>
      </c>
      <c r="B95" s="40" t="s">
        <v>168</v>
      </c>
      <c r="C95" s="40" t="s">
        <v>39</v>
      </c>
      <c r="D95" s="40" t="s">
        <v>115</v>
      </c>
      <c r="E95" s="40">
        <v>3</v>
      </c>
      <c r="F95" s="40">
        <v>0</v>
      </c>
      <c r="G95" s="40">
        <v>0</v>
      </c>
      <c r="H95" s="40">
        <v>0</v>
      </c>
      <c r="I95" s="40">
        <v>0</v>
      </c>
      <c r="J95" s="40">
        <v>0</v>
      </c>
      <c r="K95" s="40">
        <v>0</v>
      </c>
    </row>
    <row r="96" spans="1:11" x14ac:dyDescent="0.25">
      <c r="A96" s="40">
        <v>540074</v>
      </c>
      <c r="B96" s="40" t="s">
        <v>169</v>
      </c>
      <c r="C96" s="40" t="s">
        <v>39</v>
      </c>
      <c r="D96" s="40" t="s">
        <v>115</v>
      </c>
      <c r="E96" s="40">
        <v>3</v>
      </c>
      <c r="F96" s="40">
        <v>0</v>
      </c>
      <c r="G96" s="40">
        <v>0</v>
      </c>
      <c r="H96" s="40">
        <v>0</v>
      </c>
      <c r="I96" s="40">
        <v>0</v>
      </c>
      <c r="J96" s="40">
        <v>0</v>
      </c>
      <c r="K96" s="40">
        <v>0</v>
      </c>
    </row>
    <row r="97" spans="1:11" x14ac:dyDescent="0.25">
      <c r="A97" s="40">
        <v>540075</v>
      </c>
      <c r="B97" s="40" t="s">
        <v>170</v>
      </c>
      <c r="C97" s="40" t="s">
        <v>39</v>
      </c>
      <c r="D97" s="40" t="s">
        <v>115</v>
      </c>
      <c r="E97" s="40">
        <v>3</v>
      </c>
      <c r="F97" s="40">
        <v>0</v>
      </c>
      <c r="G97" s="40">
        <v>0</v>
      </c>
      <c r="H97" s="40">
        <v>0</v>
      </c>
      <c r="I97" s="40">
        <v>0</v>
      </c>
      <c r="J97" s="40">
        <v>0</v>
      </c>
      <c r="K97" s="40">
        <v>0</v>
      </c>
    </row>
    <row r="98" spans="1:11" x14ac:dyDescent="0.25">
      <c r="A98" s="40">
        <v>540076</v>
      </c>
      <c r="B98" s="40" t="s">
        <v>171</v>
      </c>
      <c r="C98" s="40" t="s">
        <v>39</v>
      </c>
      <c r="D98" s="40" t="s">
        <v>115</v>
      </c>
      <c r="E98" s="40">
        <v>3</v>
      </c>
      <c r="F98" s="40">
        <v>0</v>
      </c>
      <c r="G98" s="40">
        <v>0</v>
      </c>
      <c r="H98" s="40">
        <v>0</v>
      </c>
      <c r="I98" s="40">
        <v>0</v>
      </c>
      <c r="J98" s="40">
        <v>0</v>
      </c>
      <c r="K98" s="40">
        <v>0</v>
      </c>
    </row>
    <row r="99" spans="1:11" x14ac:dyDescent="0.25">
      <c r="A99" s="40">
        <v>540077</v>
      </c>
      <c r="B99" s="40" t="s">
        <v>172</v>
      </c>
      <c r="C99" s="40" t="s">
        <v>39</v>
      </c>
      <c r="D99" s="40" t="s">
        <v>115</v>
      </c>
      <c r="E99" s="40">
        <v>3</v>
      </c>
      <c r="F99" s="40">
        <v>0</v>
      </c>
      <c r="G99" s="40">
        <v>0</v>
      </c>
      <c r="H99" s="40">
        <v>0</v>
      </c>
      <c r="I99" s="40">
        <v>0</v>
      </c>
      <c r="J99" s="40">
        <v>0</v>
      </c>
      <c r="K99" s="40">
        <v>0</v>
      </c>
    </row>
    <row r="100" spans="1:11" x14ac:dyDescent="0.25">
      <c r="A100" s="40">
        <v>540078</v>
      </c>
      <c r="B100" s="40" t="s">
        <v>173</v>
      </c>
      <c r="C100" s="40" t="s">
        <v>39</v>
      </c>
      <c r="D100" s="40" t="s">
        <v>115</v>
      </c>
      <c r="E100" s="40">
        <v>3</v>
      </c>
      <c r="F100" s="40">
        <v>0</v>
      </c>
      <c r="G100" s="40">
        <v>0</v>
      </c>
      <c r="H100" s="40">
        <v>0</v>
      </c>
      <c r="I100" s="40">
        <v>0</v>
      </c>
      <c r="J100" s="40">
        <v>0</v>
      </c>
      <c r="K100" s="40">
        <v>0</v>
      </c>
    </row>
    <row r="101" spans="1:11" x14ac:dyDescent="0.25">
      <c r="A101" s="40">
        <v>540079</v>
      </c>
      <c r="B101" s="40" t="s">
        <v>174</v>
      </c>
      <c r="C101" s="40" t="s">
        <v>39</v>
      </c>
      <c r="D101" s="40" t="s">
        <v>115</v>
      </c>
      <c r="E101" s="40">
        <v>3</v>
      </c>
      <c r="F101" s="40">
        <v>0</v>
      </c>
      <c r="G101" s="40">
        <v>0</v>
      </c>
      <c r="H101" s="40">
        <v>0</v>
      </c>
      <c r="I101" s="40">
        <v>0</v>
      </c>
      <c r="J101" s="40">
        <v>0</v>
      </c>
      <c r="K101" s="40">
        <v>0</v>
      </c>
    </row>
    <row r="102" spans="1:11" x14ac:dyDescent="0.25">
      <c r="A102" s="40">
        <v>540081</v>
      </c>
      <c r="B102" s="40" t="s">
        <v>176</v>
      </c>
      <c r="C102" s="40" t="s">
        <v>39</v>
      </c>
      <c r="D102" s="40" t="s">
        <v>115</v>
      </c>
      <c r="E102" s="40">
        <v>3</v>
      </c>
      <c r="F102" s="40">
        <v>0</v>
      </c>
      <c r="G102" s="40">
        <v>0</v>
      </c>
      <c r="H102" s="40">
        <v>0</v>
      </c>
      <c r="I102" s="40">
        <v>0</v>
      </c>
      <c r="J102" s="40">
        <v>0</v>
      </c>
      <c r="K102" s="40">
        <v>0</v>
      </c>
    </row>
    <row r="103" spans="1:11" x14ac:dyDescent="0.25">
      <c r="A103" s="40">
        <v>540082</v>
      </c>
      <c r="B103" s="40" t="s">
        <v>177</v>
      </c>
      <c r="C103" s="40" t="s">
        <v>39</v>
      </c>
      <c r="D103" s="40" t="s">
        <v>115</v>
      </c>
      <c r="E103" s="40">
        <v>3</v>
      </c>
      <c r="F103" s="40">
        <v>0</v>
      </c>
      <c r="G103" s="40">
        <v>0</v>
      </c>
      <c r="H103" s="40">
        <v>0</v>
      </c>
      <c r="I103" s="40">
        <v>0</v>
      </c>
      <c r="J103" s="40">
        <v>0</v>
      </c>
      <c r="K103" s="40">
        <v>0</v>
      </c>
    </row>
    <row r="104" spans="1:11" x14ac:dyDescent="0.25">
      <c r="A104" s="40">
        <v>540083</v>
      </c>
      <c r="B104" s="40" t="s">
        <v>178</v>
      </c>
      <c r="C104" s="40" t="s">
        <v>39</v>
      </c>
      <c r="D104" s="40" t="s">
        <v>115</v>
      </c>
      <c r="E104" s="40">
        <v>3</v>
      </c>
      <c r="F104" s="40">
        <v>0</v>
      </c>
      <c r="G104" s="40">
        <v>0</v>
      </c>
      <c r="H104" s="40">
        <v>0</v>
      </c>
      <c r="I104" s="40">
        <v>0</v>
      </c>
      <c r="J104" s="40">
        <v>0</v>
      </c>
      <c r="K104" s="40">
        <v>0</v>
      </c>
    </row>
    <row r="105" spans="1:11" x14ac:dyDescent="0.25">
      <c r="A105" s="40">
        <v>540223</v>
      </c>
      <c r="B105" s="40" t="s">
        <v>277</v>
      </c>
      <c r="C105" s="40" t="s">
        <v>39</v>
      </c>
      <c r="D105" s="40" t="s">
        <v>115</v>
      </c>
      <c r="E105" s="40">
        <v>3</v>
      </c>
      <c r="F105" s="40">
        <v>0</v>
      </c>
      <c r="G105" s="40">
        <v>0</v>
      </c>
      <c r="H105" s="40">
        <v>0</v>
      </c>
      <c r="I105" s="40">
        <v>0</v>
      </c>
      <c r="J105" s="40">
        <v>0</v>
      </c>
      <c r="K105" s="40">
        <v>0</v>
      </c>
    </row>
    <row r="106" spans="1:11" x14ac:dyDescent="0.25">
      <c r="A106" s="40">
        <v>540279</v>
      </c>
      <c r="B106" s="40" t="s">
        <v>320</v>
      </c>
      <c r="C106" s="40" t="s">
        <v>39</v>
      </c>
      <c r="D106" s="40" t="s">
        <v>115</v>
      </c>
      <c r="E106" s="40">
        <v>3</v>
      </c>
      <c r="F106" s="40">
        <v>0</v>
      </c>
      <c r="G106" s="40">
        <v>0</v>
      </c>
      <c r="H106" s="40">
        <v>0</v>
      </c>
      <c r="I106" s="40">
        <v>0</v>
      </c>
      <c r="J106" s="40">
        <v>0</v>
      </c>
      <c r="K106" s="40">
        <v>0</v>
      </c>
    </row>
    <row r="107" spans="1:11" x14ac:dyDescent="0.25">
      <c r="A107" s="40">
        <v>540033</v>
      </c>
      <c r="B107" s="40" t="s">
        <v>138</v>
      </c>
      <c r="C107" s="40" t="s">
        <v>39</v>
      </c>
      <c r="D107" s="40" t="s">
        <v>115</v>
      </c>
      <c r="E107" s="40">
        <v>3</v>
      </c>
      <c r="F107" s="40">
        <v>0</v>
      </c>
      <c r="G107" s="40">
        <v>0</v>
      </c>
      <c r="H107" s="40">
        <v>0</v>
      </c>
      <c r="I107" s="40">
        <v>0</v>
      </c>
      <c r="J107" s="40">
        <v>0</v>
      </c>
      <c r="K107" s="40">
        <v>0</v>
      </c>
    </row>
    <row r="108" spans="1:11" x14ac:dyDescent="0.25">
      <c r="A108" s="40"/>
      <c r="B108" s="40"/>
      <c r="C108" s="40" t="s">
        <v>39</v>
      </c>
      <c r="D108" s="40"/>
      <c r="E108" s="40"/>
      <c r="F108" s="40">
        <v>0</v>
      </c>
      <c r="G108" s="40">
        <v>0</v>
      </c>
      <c r="H108" s="40">
        <v>0</v>
      </c>
      <c r="I108" s="40">
        <v>0</v>
      </c>
      <c r="J108" s="40">
        <v>0</v>
      </c>
      <c r="K108" s="40">
        <v>0</v>
      </c>
    </row>
    <row r="109" spans="1:11" x14ac:dyDescent="0.25">
      <c r="A109" s="40">
        <v>540085</v>
      </c>
      <c r="B109" s="40" t="s">
        <v>40</v>
      </c>
      <c r="C109" s="40" t="s">
        <v>41</v>
      </c>
      <c r="D109" s="40" t="s">
        <v>5</v>
      </c>
      <c r="E109" s="40">
        <v>7</v>
      </c>
      <c r="F109" s="40">
        <v>0</v>
      </c>
      <c r="G109" s="40">
        <v>0</v>
      </c>
      <c r="H109" s="40">
        <v>0</v>
      </c>
      <c r="I109" s="40">
        <v>0</v>
      </c>
      <c r="J109" s="40">
        <v>0</v>
      </c>
      <c r="K109" s="40">
        <v>0</v>
      </c>
    </row>
    <row r="110" spans="1:11" x14ac:dyDescent="0.25">
      <c r="A110" s="40">
        <v>540086</v>
      </c>
      <c r="B110" s="40" t="s">
        <v>179</v>
      </c>
      <c r="C110" s="40" t="s">
        <v>41</v>
      </c>
      <c r="D110" s="40" t="s">
        <v>115</v>
      </c>
      <c r="E110" s="40">
        <v>7</v>
      </c>
      <c r="F110" s="40">
        <v>0</v>
      </c>
      <c r="G110" s="40">
        <v>0</v>
      </c>
      <c r="H110" s="40">
        <v>0</v>
      </c>
      <c r="I110" s="40">
        <v>0</v>
      </c>
      <c r="J110" s="40">
        <v>0</v>
      </c>
      <c r="K110" s="40">
        <v>0</v>
      </c>
    </row>
    <row r="111" spans="1:11" x14ac:dyDescent="0.25">
      <c r="A111" s="40">
        <v>540087</v>
      </c>
      <c r="B111" s="40" t="s">
        <v>180</v>
      </c>
      <c r="C111" s="40" t="s">
        <v>41</v>
      </c>
      <c r="D111" s="40" t="s">
        <v>115</v>
      </c>
      <c r="E111" s="40">
        <v>7</v>
      </c>
      <c r="F111" s="40">
        <v>0</v>
      </c>
      <c r="G111" s="40">
        <v>0</v>
      </c>
      <c r="H111" s="40">
        <v>0</v>
      </c>
      <c r="I111" s="40">
        <v>0</v>
      </c>
      <c r="J111" s="40">
        <v>0</v>
      </c>
      <c r="K111" s="40">
        <v>0</v>
      </c>
    </row>
    <row r="112" spans="1:11" x14ac:dyDescent="0.25">
      <c r="A112" s="40"/>
      <c r="B112" s="40"/>
      <c r="C112" s="40" t="s">
        <v>41</v>
      </c>
      <c r="D112" s="40"/>
      <c r="E112" s="40"/>
      <c r="F112" s="40">
        <v>0</v>
      </c>
      <c r="G112" s="40">
        <v>0</v>
      </c>
      <c r="H112" s="40">
        <v>0</v>
      </c>
      <c r="I112" s="40">
        <v>0</v>
      </c>
      <c r="J112" s="40">
        <v>0</v>
      </c>
      <c r="K112" s="40">
        <v>0</v>
      </c>
    </row>
    <row r="113" spans="1:11" x14ac:dyDescent="0.25">
      <c r="A113" s="40">
        <v>540088</v>
      </c>
      <c r="B113" s="40" t="s">
        <v>42</v>
      </c>
      <c r="C113" s="40" t="s">
        <v>43</v>
      </c>
      <c r="D113" s="40" t="s">
        <v>5</v>
      </c>
      <c r="E113" s="40">
        <v>2</v>
      </c>
      <c r="F113" s="40">
        <v>0</v>
      </c>
      <c r="G113" s="40">
        <v>0</v>
      </c>
      <c r="H113" s="40">
        <v>0</v>
      </c>
      <c r="I113" s="40">
        <v>0</v>
      </c>
      <c r="J113" s="40">
        <v>0</v>
      </c>
      <c r="K113" s="40">
        <v>0</v>
      </c>
    </row>
    <row r="114" spans="1:11" x14ac:dyDescent="0.25">
      <c r="A114" s="40">
        <v>540089</v>
      </c>
      <c r="B114" s="40" t="s">
        <v>181</v>
      </c>
      <c r="C114" s="40" t="s">
        <v>43</v>
      </c>
      <c r="D114" s="40" t="s">
        <v>115</v>
      </c>
      <c r="E114" s="40">
        <v>2</v>
      </c>
      <c r="F114" s="40">
        <v>0</v>
      </c>
      <c r="G114" s="40">
        <v>0</v>
      </c>
      <c r="H114" s="40">
        <v>0</v>
      </c>
      <c r="I114" s="40">
        <v>0</v>
      </c>
      <c r="J114" s="40">
        <v>0</v>
      </c>
      <c r="K114" s="40">
        <v>0</v>
      </c>
    </row>
    <row r="115" spans="1:11" x14ac:dyDescent="0.25">
      <c r="A115" s="40">
        <v>540090</v>
      </c>
      <c r="B115" s="40" t="s">
        <v>182</v>
      </c>
      <c r="C115" s="40" t="s">
        <v>43</v>
      </c>
      <c r="D115" s="40" t="s">
        <v>115</v>
      </c>
      <c r="E115" s="40">
        <v>2</v>
      </c>
      <c r="F115" s="40">
        <v>0</v>
      </c>
      <c r="G115" s="40">
        <v>0</v>
      </c>
      <c r="H115" s="40">
        <v>0</v>
      </c>
      <c r="I115" s="40">
        <v>0</v>
      </c>
      <c r="J115" s="40">
        <v>0</v>
      </c>
      <c r="K115" s="40">
        <v>0</v>
      </c>
    </row>
    <row r="116" spans="1:11" x14ac:dyDescent="0.25">
      <c r="A116" s="40"/>
      <c r="B116" s="40"/>
      <c r="C116" s="40" t="s">
        <v>43</v>
      </c>
      <c r="D116" s="40"/>
      <c r="E116" s="40"/>
      <c r="F116" s="40">
        <v>0</v>
      </c>
      <c r="G116" s="40">
        <v>0</v>
      </c>
      <c r="H116" s="40">
        <v>0</v>
      </c>
      <c r="I116" s="40">
        <v>0</v>
      </c>
      <c r="J116" s="40">
        <v>0</v>
      </c>
      <c r="K116" s="40">
        <v>0</v>
      </c>
    </row>
    <row r="117" spans="1:11" x14ac:dyDescent="0.25">
      <c r="A117" s="40">
        <v>540097</v>
      </c>
      <c r="B117" s="40" t="s">
        <v>44</v>
      </c>
      <c r="C117" s="40" t="s">
        <v>45</v>
      </c>
      <c r="D117" s="40" t="s">
        <v>5</v>
      </c>
      <c r="E117" s="40">
        <v>6</v>
      </c>
      <c r="F117" s="40">
        <v>0</v>
      </c>
      <c r="G117" s="40">
        <v>0</v>
      </c>
      <c r="H117" s="40">
        <v>0</v>
      </c>
      <c r="I117" s="40">
        <v>0</v>
      </c>
      <c r="J117" s="40">
        <v>0</v>
      </c>
      <c r="K117" s="40">
        <v>0</v>
      </c>
    </row>
    <row r="118" spans="1:11" x14ac:dyDescent="0.25">
      <c r="A118" s="40">
        <v>540098</v>
      </c>
      <c r="B118" s="40" t="s">
        <v>187</v>
      </c>
      <c r="C118" s="40" t="s">
        <v>45</v>
      </c>
      <c r="D118" s="40" t="s">
        <v>115</v>
      </c>
      <c r="E118" s="40">
        <v>6</v>
      </c>
      <c r="F118" s="40">
        <v>0</v>
      </c>
      <c r="G118" s="40">
        <v>0</v>
      </c>
      <c r="H118" s="40">
        <v>0</v>
      </c>
      <c r="I118" s="40">
        <v>0</v>
      </c>
      <c r="J118" s="40">
        <v>0</v>
      </c>
      <c r="K118" s="40">
        <v>0</v>
      </c>
    </row>
    <row r="119" spans="1:11" x14ac:dyDescent="0.25">
      <c r="A119" s="40">
        <v>540099</v>
      </c>
      <c r="B119" s="40" t="s">
        <v>188</v>
      </c>
      <c r="C119" s="40" t="s">
        <v>45</v>
      </c>
      <c r="D119" s="40" t="s">
        <v>115</v>
      </c>
      <c r="E119" s="40">
        <v>6</v>
      </c>
      <c r="F119" s="40">
        <v>0</v>
      </c>
      <c r="G119" s="40">
        <v>0</v>
      </c>
      <c r="H119" s="40">
        <v>0</v>
      </c>
      <c r="I119" s="40">
        <v>0</v>
      </c>
      <c r="J119" s="40">
        <v>0</v>
      </c>
      <c r="K119" s="40">
        <v>0</v>
      </c>
    </row>
    <row r="120" spans="1:11" x14ac:dyDescent="0.25">
      <c r="A120" s="40">
        <v>540100</v>
      </c>
      <c r="B120" s="40" t="s">
        <v>189</v>
      </c>
      <c r="C120" s="40" t="s">
        <v>45</v>
      </c>
      <c r="D120" s="40" t="s">
        <v>115</v>
      </c>
      <c r="E120" s="40">
        <v>6</v>
      </c>
      <c r="F120" s="40">
        <v>0</v>
      </c>
      <c r="G120" s="40">
        <v>0</v>
      </c>
      <c r="H120" s="40">
        <v>0</v>
      </c>
      <c r="I120" s="40">
        <v>0</v>
      </c>
      <c r="J120" s="40">
        <v>0</v>
      </c>
      <c r="K120" s="40">
        <v>0</v>
      </c>
    </row>
    <row r="121" spans="1:11" x14ac:dyDescent="0.25">
      <c r="A121" s="40">
        <v>540101</v>
      </c>
      <c r="B121" s="40" t="s">
        <v>190</v>
      </c>
      <c r="C121" s="40" t="s">
        <v>45</v>
      </c>
      <c r="D121" s="40" t="s">
        <v>115</v>
      </c>
      <c r="E121" s="40">
        <v>6</v>
      </c>
      <c r="F121" s="40">
        <v>0</v>
      </c>
      <c r="G121" s="40">
        <v>0</v>
      </c>
      <c r="H121" s="40">
        <v>0</v>
      </c>
      <c r="I121" s="40">
        <v>0</v>
      </c>
      <c r="J121" s="40">
        <v>0</v>
      </c>
      <c r="K121" s="40">
        <v>0</v>
      </c>
    </row>
    <row r="122" spans="1:11" x14ac:dyDescent="0.25">
      <c r="A122" s="40">
        <v>540102</v>
      </c>
      <c r="B122" s="40" t="s">
        <v>191</v>
      </c>
      <c r="C122" s="40" t="s">
        <v>45</v>
      </c>
      <c r="D122" s="40" t="s">
        <v>115</v>
      </c>
      <c r="E122" s="40">
        <v>6</v>
      </c>
      <c r="F122" s="40">
        <v>0</v>
      </c>
      <c r="G122" s="40">
        <v>0</v>
      </c>
      <c r="H122" s="40">
        <v>0</v>
      </c>
      <c r="I122" s="40">
        <v>0</v>
      </c>
      <c r="J122" s="40">
        <v>0</v>
      </c>
      <c r="K122" s="40">
        <v>0</v>
      </c>
    </row>
    <row r="123" spans="1:11" x14ac:dyDescent="0.25">
      <c r="A123" s="40">
        <v>540103</v>
      </c>
      <c r="B123" s="40" t="s">
        <v>192</v>
      </c>
      <c r="C123" s="40" t="s">
        <v>45</v>
      </c>
      <c r="D123" s="40" t="s">
        <v>115</v>
      </c>
      <c r="E123" s="40">
        <v>6</v>
      </c>
      <c r="F123" s="40">
        <v>0</v>
      </c>
      <c r="G123" s="40">
        <v>0</v>
      </c>
      <c r="H123" s="40">
        <v>0</v>
      </c>
      <c r="I123" s="40">
        <v>0</v>
      </c>
      <c r="J123" s="40">
        <v>0</v>
      </c>
      <c r="K123" s="40">
        <v>0</v>
      </c>
    </row>
    <row r="124" spans="1:11" x14ac:dyDescent="0.25">
      <c r="A124" s="40">
        <v>540104</v>
      </c>
      <c r="B124" s="40" t="s">
        <v>193</v>
      </c>
      <c r="C124" s="40" t="s">
        <v>45</v>
      </c>
      <c r="D124" s="40" t="s">
        <v>115</v>
      </c>
      <c r="E124" s="40">
        <v>6</v>
      </c>
      <c r="F124" s="40">
        <v>0</v>
      </c>
      <c r="G124" s="40">
        <v>0</v>
      </c>
      <c r="H124" s="40">
        <v>0</v>
      </c>
      <c r="I124" s="40">
        <v>0</v>
      </c>
      <c r="J124" s="40">
        <v>0</v>
      </c>
      <c r="K124" s="40">
        <v>0</v>
      </c>
    </row>
    <row r="125" spans="1:11" x14ac:dyDescent="0.25">
      <c r="A125" s="40">
        <v>540105</v>
      </c>
      <c r="B125" s="40" t="s">
        <v>194</v>
      </c>
      <c r="C125" s="40" t="s">
        <v>45</v>
      </c>
      <c r="D125" s="40" t="s">
        <v>115</v>
      </c>
      <c r="E125" s="40">
        <v>6</v>
      </c>
      <c r="F125" s="40">
        <v>0</v>
      </c>
      <c r="G125" s="40">
        <v>0</v>
      </c>
      <c r="H125" s="40">
        <v>0</v>
      </c>
      <c r="I125" s="40">
        <v>0</v>
      </c>
      <c r="J125" s="40">
        <v>0</v>
      </c>
      <c r="K125" s="40">
        <v>0</v>
      </c>
    </row>
    <row r="126" spans="1:11" x14ac:dyDescent="0.25">
      <c r="A126" s="40">
        <v>540106</v>
      </c>
      <c r="B126" s="40" t="s">
        <v>195</v>
      </c>
      <c r="C126" s="40" t="s">
        <v>45</v>
      </c>
      <c r="D126" s="40" t="s">
        <v>115</v>
      </c>
      <c r="E126" s="40">
        <v>6</v>
      </c>
      <c r="F126" s="40">
        <v>0</v>
      </c>
      <c r="G126" s="40">
        <v>0</v>
      </c>
      <c r="H126" s="40">
        <v>0</v>
      </c>
      <c r="I126" s="40">
        <v>0</v>
      </c>
      <c r="J126" s="40">
        <v>0</v>
      </c>
      <c r="K126" s="40">
        <v>0</v>
      </c>
    </row>
    <row r="127" spans="1:11" x14ac:dyDescent="0.25">
      <c r="A127" s="40">
        <v>540292</v>
      </c>
      <c r="B127" s="40" t="s">
        <v>329</v>
      </c>
      <c r="C127" s="40" t="s">
        <v>45</v>
      </c>
      <c r="D127" s="40" t="s">
        <v>115</v>
      </c>
      <c r="E127" s="40">
        <v>6</v>
      </c>
      <c r="F127" s="40">
        <v>0</v>
      </c>
      <c r="G127" s="40">
        <v>0</v>
      </c>
      <c r="H127" s="40">
        <v>0</v>
      </c>
      <c r="I127" s="40">
        <v>0</v>
      </c>
      <c r="J127" s="40">
        <v>0</v>
      </c>
      <c r="K127" s="40">
        <v>0</v>
      </c>
    </row>
    <row r="128" spans="1:11" x14ac:dyDescent="0.25">
      <c r="A128" s="40">
        <v>545556</v>
      </c>
      <c r="B128" s="40" t="s">
        <v>337</v>
      </c>
      <c r="C128" s="40" t="s">
        <v>45</v>
      </c>
      <c r="D128" s="40" t="s">
        <v>115</v>
      </c>
      <c r="E128" s="40">
        <v>6</v>
      </c>
      <c r="F128" s="40">
        <v>0</v>
      </c>
      <c r="G128" s="40">
        <v>0</v>
      </c>
      <c r="H128" s="40">
        <v>0</v>
      </c>
      <c r="I128" s="40">
        <v>0</v>
      </c>
      <c r="J128" s="40">
        <v>0</v>
      </c>
      <c r="K128" s="40">
        <v>0</v>
      </c>
    </row>
    <row r="129" spans="1:11" x14ac:dyDescent="0.25">
      <c r="A129" s="40"/>
      <c r="B129" s="40"/>
      <c r="C129" s="40" t="s">
        <v>45</v>
      </c>
      <c r="D129" s="40"/>
      <c r="E129" s="40"/>
      <c r="F129" s="40">
        <v>0</v>
      </c>
      <c r="G129" s="40">
        <v>0</v>
      </c>
      <c r="H129" s="40">
        <v>0</v>
      </c>
      <c r="I129" s="40">
        <v>0</v>
      </c>
      <c r="J129" s="40">
        <v>0</v>
      </c>
      <c r="K129" s="40">
        <v>0</v>
      </c>
    </row>
    <row r="130" spans="1:11" x14ac:dyDescent="0.25">
      <c r="A130" s="40">
        <v>540107</v>
      </c>
      <c r="B130" s="40" t="s">
        <v>46</v>
      </c>
      <c r="C130" s="40" t="s">
        <v>47</v>
      </c>
      <c r="D130" s="40" t="s">
        <v>5</v>
      </c>
      <c r="E130" s="40">
        <v>10</v>
      </c>
      <c r="F130" s="40">
        <v>0</v>
      </c>
      <c r="G130" s="40">
        <v>0</v>
      </c>
      <c r="H130" s="40">
        <v>0</v>
      </c>
      <c r="I130" s="40">
        <v>0</v>
      </c>
      <c r="J130" s="40">
        <v>0</v>
      </c>
      <c r="K130" s="40">
        <v>0</v>
      </c>
    </row>
    <row r="131" spans="1:11" x14ac:dyDescent="0.25">
      <c r="A131" s="40">
        <v>540108</v>
      </c>
      <c r="B131" s="40" t="s">
        <v>196</v>
      </c>
      <c r="C131" s="40" t="s">
        <v>47</v>
      </c>
      <c r="D131" s="40" t="s">
        <v>115</v>
      </c>
      <c r="E131" s="40">
        <v>10</v>
      </c>
      <c r="F131" s="40">
        <v>1</v>
      </c>
      <c r="G131" s="40">
        <v>0</v>
      </c>
      <c r="H131" s="40">
        <v>0</v>
      </c>
      <c r="I131" s="40">
        <v>0</v>
      </c>
      <c r="J131" s="40">
        <v>1</v>
      </c>
      <c r="K131" s="40">
        <v>0</v>
      </c>
    </row>
    <row r="132" spans="1:11" x14ac:dyDescent="0.25">
      <c r="A132" s="40">
        <v>540109</v>
      </c>
      <c r="B132" s="40" t="s">
        <v>197</v>
      </c>
      <c r="C132" s="40" t="s">
        <v>47</v>
      </c>
      <c r="D132" s="40" t="s">
        <v>115</v>
      </c>
      <c r="E132" s="40">
        <v>10</v>
      </c>
      <c r="F132" s="40">
        <v>0</v>
      </c>
      <c r="G132" s="40">
        <v>0</v>
      </c>
      <c r="H132" s="40">
        <v>0</v>
      </c>
      <c r="I132" s="40">
        <v>0</v>
      </c>
      <c r="J132" s="40">
        <v>0</v>
      </c>
      <c r="K132" s="40">
        <v>0</v>
      </c>
    </row>
    <row r="133" spans="1:11" x14ac:dyDescent="0.25">
      <c r="A133" s="40">
        <v>540110</v>
      </c>
      <c r="B133" s="40" t="s">
        <v>198</v>
      </c>
      <c r="C133" s="40" t="s">
        <v>47</v>
      </c>
      <c r="D133" s="40" t="s">
        <v>115</v>
      </c>
      <c r="E133" s="40">
        <v>10</v>
      </c>
      <c r="F133" s="40">
        <v>0</v>
      </c>
      <c r="G133" s="40">
        <v>0</v>
      </c>
      <c r="H133" s="40">
        <v>0</v>
      </c>
      <c r="I133" s="40">
        <v>0</v>
      </c>
      <c r="J133" s="40">
        <v>0</v>
      </c>
      <c r="K133" s="40">
        <v>0</v>
      </c>
    </row>
    <row r="134" spans="1:11" x14ac:dyDescent="0.25">
      <c r="A134" s="40">
        <v>540111</v>
      </c>
      <c r="B134" s="40" t="s">
        <v>199</v>
      </c>
      <c r="C134" s="40" t="s">
        <v>47</v>
      </c>
      <c r="D134" s="40" t="s">
        <v>115</v>
      </c>
      <c r="E134" s="40">
        <v>10</v>
      </c>
      <c r="F134" s="40">
        <v>0</v>
      </c>
      <c r="G134" s="40">
        <v>0</v>
      </c>
      <c r="H134" s="40">
        <v>0</v>
      </c>
      <c r="I134" s="40">
        <v>0</v>
      </c>
      <c r="J134" s="40">
        <v>0</v>
      </c>
      <c r="K134" s="40">
        <v>0</v>
      </c>
    </row>
    <row r="135" spans="1:11" x14ac:dyDescent="0.25">
      <c r="A135" s="40">
        <v>540287</v>
      </c>
      <c r="B135" s="40" t="s">
        <v>326</v>
      </c>
      <c r="C135" s="40" t="s">
        <v>47</v>
      </c>
      <c r="D135" s="40" t="s">
        <v>115</v>
      </c>
      <c r="E135" s="40">
        <v>10</v>
      </c>
      <c r="F135" s="40">
        <v>0</v>
      </c>
      <c r="G135" s="40">
        <v>0</v>
      </c>
      <c r="H135" s="40">
        <v>0</v>
      </c>
      <c r="I135" s="40">
        <v>0</v>
      </c>
      <c r="J135" s="40">
        <v>0</v>
      </c>
      <c r="K135" s="40">
        <v>0</v>
      </c>
    </row>
    <row r="136" spans="1:11" x14ac:dyDescent="0.25">
      <c r="A136" s="40">
        <v>540152</v>
      </c>
      <c r="B136" s="40" t="s">
        <v>229</v>
      </c>
      <c r="C136" s="40" t="s">
        <v>47</v>
      </c>
      <c r="D136" s="40" t="s">
        <v>115</v>
      </c>
      <c r="E136" s="40">
        <v>10</v>
      </c>
      <c r="F136" s="40">
        <v>0</v>
      </c>
      <c r="G136" s="40">
        <v>0</v>
      </c>
      <c r="H136" s="40">
        <v>0</v>
      </c>
      <c r="I136" s="40">
        <v>0</v>
      </c>
      <c r="J136" s="40">
        <v>0</v>
      </c>
      <c r="K136" s="40">
        <v>0</v>
      </c>
    </row>
    <row r="137" spans="1:11" x14ac:dyDescent="0.25">
      <c r="A137" s="40"/>
      <c r="B137" s="40"/>
      <c r="C137" s="40" t="s">
        <v>47</v>
      </c>
      <c r="D137" s="40"/>
      <c r="E137" s="40"/>
      <c r="F137" s="40">
        <v>1</v>
      </c>
      <c r="G137" s="40">
        <v>0</v>
      </c>
      <c r="H137" s="40">
        <v>0</v>
      </c>
      <c r="I137" s="40">
        <v>0</v>
      </c>
      <c r="J137" s="40">
        <v>1</v>
      </c>
      <c r="K137" s="40">
        <v>0</v>
      </c>
    </row>
    <row r="138" spans="1:11" x14ac:dyDescent="0.25">
      <c r="A138" s="40">
        <v>540112</v>
      </c>
      <c r="B138" s="40" t="s">
        <v>48</v>
      </c>
      <c r="C138" s="40" t="s">
        <v>49</v>
      </c>
      <c r="D138" s="40" t="s">
        <v>5</v>
      </c>
      <c r="E138" s="40">
        <v>2</v>
      </c>
      <c r="F138" s="40">
        <v>0</v>
      </c>
      <c r="G138" s="40">
        <v>0</v>
      </c>
      <c r="H138" s="40">
        <v>0</v>
      </c>
      <c r="I138" s="40">
        <v>0</v>
      </c>
      <c r="J138" s="40">
        <v>0</v>
      </c>
      <c r="K138" s="40">
        <v>0</v>
      </c>
    </row>
    <row r="139" spans="1:11" x14ac:dyDescent="0.25">
      <c r="A139" s="40">
        <v>540113</v>
      </c>
      <c r="B139" s="40" t="s">
        <v>200</v>
      </c>
      <c r="C139" s="40" t="s">
        <v>49</v>
      </c>
      <c r="D139" s="40" t="s">
        <v>115</v>
      </c>
      <c r="E139" s="40">
        <v>2</v>
      </c>
      <c r="F139" s="40">
        <v>0</v>
      </c>
      <c r="G139" s="40">
        <v>0</v>
      </c>
      <c r="H139" s="40">
        <v>0</v>
      </c>
      <c r="I139" s="40">
        <v>0</v>
      </c>
      <c r="J139" s="40">
        <v>0</v>
      </c>
      <c r="K139" s="40">
        <v>0</v>
      </c>
    </row>
    <row r="140" spans="1:11" x14ac:dyDescent="0.25">
      <c r="A140" s="40">
        <v>540247</v>
      </c>
      <c r="B140" s="40" t="s">
        <v>293</v>
      </c>
      <c r="C140" s="40" t="s">
        <v>49</v>
      </c>
      <c r="D140" s="40" t="s">
        <v>115</v>
      </c>
      <c r="E140" s="40">
        <v>2</v>
      </c>
      <c r="F140" s="40">
        <v>0</v>
      </c>
      <c r="G140" s="40">
        <v>0</v>
      </c>
      <c r="H140" s="40">
        <v>0</v>
      </c>
      <c r="I140" s="40">
        <v>0</v>
      </c>
      <c r="J140" s="40">
        <v>0</v>
      </c>
      <c r="K140" s="40">
        <v>0</v>
      </c>
    </row>
    <row r="141" spans="1:11" x14ac:dyDescent="0.25">
      <c r="A141" s="40">
        <v>540248</v>
      </c>
      <c r="B141" s="40" t="s">
        <v>294</v>
      </c>
      <c r="C141" s="40" t="s">
        <v>49</v>
      </c>
      <c r="D141" s="40" t="s">
        <v>115</v>
      </c>
      <c r="E141" s="40">
        <v>2</v>
      </c>
      <c r="F141" s="40">
        <v>0</v>
      </c>
      <c r="G141" s="40">
        <v>0</v>
      </c>
      <c r="H141" s="40">
        <v>0</v>
      </c>
      <c r="I141" s="40">
        <v>0</v>
      </c>
      <c r="J141" s="40">
        <v>0</v>
      </c>
      <c r="K141" s="40">
        <v>0</v>
      </c>
    </row>
    <row r="142" spans="1:11" x14ac:dyDescent="0.25">
      <c r="A142" s="40">
        <v>540249</v>
      </c>
      <c r="B142" s="40" t="s">
        <v>295</v>
      </c>
      <c r="C142" s="40" t="s">
        <v>49</v>
      </c>
      <c r="D142" s="40" t="s">
        <v>115</v>
      </c>
      <c r="E142" s="40">
        <v>2</v>
      </c>
      <c r="F142" s="40">
        <v>0</v>
      </c>
      <c r="G142" s="40">
        <v>0</v>
      </c>
      <c r="H142" s="40">
        <v>0</v>
      </c>
      <c r="I142" s="40">
        <v>0</v>
      </c>
      <c r="J142" s="40">
        <v>0</v>
      </c>
      <c r="K142" s="40">
        <v>0</v>
      </c>
    </row>
    <row r="143" spans="1:11" x14ac:dyDescent="0.25">
      <c r="A143" s="40">
        <v>540250</v>
      </c>
      <c r="B143" s="40" t="s">
        <v>296</v>
      </c>
      <c r="C143" s="40" t="s">
        <v>49</v>
      </c>
      <c r="D143" s="40" t="s">
        <v>115</v>
      </c>
      <c r="E143" s="40">
        <v>2</v>
      </c>
      <c r="F143" s="40">
        <v>1</v>
      </c>
      <c r="G143" s="40">
        <v>0</v>
      </c>
      <c r="H143" s="40">
        <v>0</v>
      </c>
      <c r="I143" s="40">
        <v>1</v>
      </c>
      <c r="J143" s="40">
        <v>0</v>
      </c>
      <c r="K143" s="40">
        <v>0</v>
      </c>
    </row>
    <row r="144" spans="1:11" x14ac:dyDescent="0.25">
      <c r="A144" s="40">
        <v>540251</v>
      </c>
      <c r="B144" s="40" t="s">
        <v>297</v>
      </c>
      <c r="C144" s="40" t="s">
        <v>49</v>
      </c>
      <c r="D144" s="40" t="s">
        <v>115</v>
      </c>
      <c r="E144" s="40">
        <v>2</v>
      </c>
      <c r="F144" s="40">
        <v>0</v>
      </c>
      <c r="G144" s="40">
        <v>0</v>
      </c>
      <c r="H144" s="40">
        <v>0</v>
      </c>
      <c r="I144" s="40">
        <v>0</v>
      </c>
      <c r="J144" s="40">
        <v>0</v>
      </c>
      <c r="K144" s="40">
        <v>0</v>
      </c>
    </row>
    <row r="145" spans="1:11" x14ac:dyDescent="0.25">
      <c r="A145" s="40"/>
      <c r="B145" s="40"/>
      <c r="C145" s="40" t="s">
        <v>49</v>
      </c>
      <c r="D145" s="40"/>
      <c r="E145" s="40"/>
      <c r="F145" s="40">
        <v>1</v>
      </c>
      <c r="G145" s="40">
        <v>0</v>
      </c>
      <c r="H145" s="40">
        <v>0</v>
      </c>
      <c r="I145" s="40">
        <v>1</v>
      </c>
      <c r="J145" s="40">
        <v>0</v>
      </c>
      <c r="K145" s="40">
        <v>0</v>
      </c>
    </row>
    <row r="146" spans="1:11" x14ac:dyDescent="0.25">
      <c r="A146" s="40">
        <v>540114</v>
      </c>
      <c r="B146" s="40" t="s">
        <v>50</v>
      </c>
      <c r="C146" s="40" t="s">
        <v>51</v>
      </c>
      <c r="D146" s="40" t="s">
        <v>5</v>
      </c>
      <c r="E146" s="40">
        <v>1</v>
      </c>
      <c r="F146" s="40">
        <v>0</v>
      </c>
      <c r="G146" s="40">
        <v>0</v>
      </c>
      <c r="H146" s="40">
        <v>0</v>
      </c>
      <c r="I146" s="40">
        <v>0</v>
      </c>
      <c r="J146" s="40">
        <v>0</v>
      </c>
      <c r="K146" s="40">
        <v>0</v>
      </c>
    </row>
    <row r="147" spans="1:11" x14ac:dyDescent="0.25">
      <c r="A147" s="40">
        <v>540115</v>
      </c>
      <c r="B147" s="40" t="s">
        <v>201</v>
      </c>
      <c r="C147" s="40" t="s">
        <v>51</v>
      </c>
      <c r="D147" s="40" t="s">
        <v>115</v>
      </c>
      <c r="E147" s="40">
        <v>1</v>
      </c>
      <c r="F147" s="40">
        <v>0</v>
      </c>
      <c r="G147" s="40">
        <v>0</v>
      </c>
      <c r="H147" s="40">
        <v>0</v>
      </c>
      <c r="I147" s="40">
        <v>0</v>
      </c>
      <c r="J147" s="40">
        <v>0</v>
      </c>
      <c r="K147" s="40">
        <v>0</v>
      </c>
    </row>
    <row r="148" spans="1:11" x14ac:dyDescent="0.25">
      <c r="A148" s="40">
        <v>540116</v>
      </c>
      <c r="B148" s="40" t="s">
        <v>202</v>
      </c>
      <c r="C148" s="40" t="s">
        <v>51</v>
      </c>
      <c r="D148" s="40" t="s">
        <v>115</v>
      </c>
      <c r="E148" s="40">
        <v>1</v>
      </c>
      <c r="F148" s="40">
        <v>0</v>
      </c>
      <c r="G148" s="40">
        <v>0</v>
      </c>
      <c r="H148" s="40">
        <v>0</v>
      </c>
      <c r="I148" s="40">
        <v>0</v>
      </c>
      <c r="J148" s="40">
        <v>0</v>
      </c>
      <c r="K148" s="40">
        <v>0</v>
      </c>
    </row>
    <row r="149" spans="1:11" x14ac:dyDescent="0.25">
      <c r="A149" s="40">
        <v>540117</v>
      </c>
      <c r="B149" s="40" t="s">
        <v>203</v>
      </c>
      <c r="C149" s="40" t="s">
        <v>51</v>
      </c>
      <c r="D149" s="40" t="s">
        <v>115</v>
      </c>
      <c r="E149" s="40">
        <v>1</v>
      </c>
      <c r="F149" s="40">
        <v>0</v>
      </c>
      <c r="G149" s="40">
        <v>0</v>
      </c>
      <c r="H149" s="40">
        <v>0</v>
      </c>
      <c r="I149" s="40">
        <v>0</v>
      </c>
      <c r="J149" s="40">
        <v>0</v>
      </c>
      <c r="K149" s="40">
        <v>0</v>
      </c>
    </row>
    <row r="150" spans="1:11" x14ac:dyDescent="0.25">
      <c r="A150" s="40">
        <v>540118</v>
      </c>
      <c r="B150" s="40" t="s">
        <v>204</v>
      </c>
      <c r="C150" s="40" t="s">
        <v>51</v>
      </c>
      <c r="D150" s="40" t="s">
        <v>115</v>
      </c>
      <c r="E150" s="40">
        <v>1</v>
      </c>
      <c r="F150" s="40">
        <v>0</v>
      </c>
      <c r="G150" s="40">
        <v>0</v>
      </c>
      <c r="H150" s="40">
        <v>0</v>
      </c>
      <c r="I150" s="40">
        <v>0</v>
      </c>
      <c r="J150" s="40">
        <v>0</v>
      </c>
      <c r="K150" s="40">
        <v>0</v>
      </c>
    </row>
    <row r="151" spans="1:11" x14ac:dyDescent="0.25">
      <c r="A151" s="40">
        <v>540119</v>
      </c>
      <c r="B151" s="40" t="s">
        <v>205</v>
      </c>
      <c r="C151" s="40" t="s">
        <v>51</v>
      </c>
      <c r="D151" s="40" t="s">
        <v>115</v>
      </c>
      <c r="E151" s="40">
        <v>1</v>
      </c>
      <c r="F151" s="40">
        <v>0</v>
      </c>
      <c r="G151" s="40">
        <v>0</v>
      </c>
      <c r="H151" s="40">
        <v>0</v>
      </c>
      <c r="I151" s="40">
        <v>0</v>
      </c>
      <c r="J151" s="40">
        <v>0</v>
      </c>
      <c r="K151" s="40">
        <v>0</v>
      </c>
    </row>
    <row r="152" spans="1:11" x14ac:dyDescent="0.25">
      <c r="A152" s="40">
        <v>540120</v>
      </c>
      <c r="B152" s="40" t="s">
        <v>206</v>
      </c>
      <c r="C152" s="40" t="s">
        <v>51</v>
      </c>
      <c r="D152" s="40" t="s">
        <v>115</v>
      </c>
      <c r="E152" s="40">
        <v>1</v>
      </c>
      <c r="F152" s="40">
        <v>0</v>
      </c>
      <c r="G152" s="40">
        <v>0</v>
      </c>
      <c r="H152" s="40">
        <v>0</v>
      </c>
      <c r="I152" s="40">
        <v>0</v>
      </c>
      <c r="J152" s="40">
        <v>0</v>
      </c>
      <c r="K152" s="40">
        <v>0</v>
      </c>
    </row>
    <row r="153" spans="1:11" x14ac:dyDescent="0.25">
      <c r="A153" s="40">
        <v>540121</v>
      </c>
      <c r="B153" s="40" t="s">
        <v>207</v>
      </c>
      <c r="C153" s="40" t="s">
        <v>51</v>
      </c>
      <c r="D153" s="40" t="s">
        <v>115</v>
      </c>
      <c r="E153" s="40">
        <v>1</v>
      </c>
      <c r="F153" s="40">
        <v>0</v>
      </c>
      <c r="G153" s="40">
        <v>0</v>
      </c>
      <c r="H153" s="40">
        <v>0</v>
      </c>
      <c r="I153" s="40">
        <v>0</v>
      </c>
      <c r="J153" s="40">
        <v>0</v>
      </c>
      <c r="K153" s="40">
        <v>0</v>
      </c>
    </row>
    <row r="154" spans="1:11" x14ac:dyDescent="0.25">
      <c r="A154" s="40">
        <v>540122</v>
      </c>
      <c r="B154" s="40" t="s">
        <v>208</v>
      </c>
      <c r="C154" s="40" t="s">
        <v>51</v>
      </c>
      <c r="D154" s="40" t="s">
        <v>115</v>
      </c>
      <c r="E154" s="40">
        <v>1</v>
      </c>
      <c r="F154" s="40">
        <v>0</v>
      </c>
      <c r="G154" s="40">
        <v>0</v>
      </c>
      <c r="H154" s="40">
        <v>0</v>
      </c>
      <c r="I154" s="40">
        <v>0</v>
      </c>
      <c r="J154" s="40">
        <v>0</v>
      </c>
      <c r="K154" s="40">
        <v>0</v>
      </c>
    </row>
    <row r="155" spans="1:11" x14ac:dyDescent="0.25">
      <c r="A155" s="40">
        <v>540123</v>
      </c>
      <c r="B155" s="40" t="s">
        <v>209</v>
      </c>
      <c r="C155" s="40" t="s">
        <v>51</v>
      </c>
      <c r="D155" s="40" t="s">
        <v>115</v>
      </c>
      <c r="E155" s="40">
        <v>1</v>
      </c>
      <c r="F155" s="40">
        <v>0</v>
      </c>
      <c r="G155" s="40">
        <v>0</v>
      </c>
      <c r="H155" s="40">
        <v>0</v>
      </c>
      <c r="I155" s="40">
        <v>0</v>
      </c>
      <c r="J155" s="40">
        <v>0</v>
      </c>
      <c r="K155" s="40">
        <v>0</v>
      </c>
    </row>
    <row r="156" spans="1:11" x14ac:dyDescent="0.25">
      <c r="A156" s="40">
        <v>540291</v>
      </c>
      <c r="B156" s="40" t="s">
        <v>328</v>
      </c>
      <c r="C156" s="40" t="s">
        <v>51</v>
      </c>
      <c r="D156" s="40" t="s">
        <v>115</v>
      </c>
      <c r="E156" s="40">
        <v>1</v>
      </c>
      <c r="F156" s="40">
        <v>0</v>
      </c>
      <c r="G156" s="40">
        <v>0</v>
      </c>
      <c r="H156" s="40">
        <v>0</v>
      </c>
      <c r="I156" s="40">
        <v>0</v>
      </c>
      <c r="J156" s="40">
        <v>0</v>
      </c>
      <c r="K156" s="40">
        <v>0</v>
      </c>
    </row>
    <row r="157" spans="1:11" x14ac:dyDescent="0.25">
      <c r="A157" s="40"/>
      <c r="B157" s="40"/>
      <c r="C157" s="40" t="s">
        <v>51</v>
      </c>
      <c r="D157" s="40"/>
      <c r="E157" s="40"/>
      <c r="F157" s="40">
        <v>0</v>
      </c>
      <c r="G157" s="40">
        <v>0</v>
      </c>
      <c r="H157" s="40">
        <v>0</v>
      </c>
      <c r="I157" s="40">
        <v>0</v>
      </c>
      <c r="J157" s="40">
        <v>0</v>
      </c>
      <c r="K157" s="40">
        <v>0</v>
      </c>
    </row>
    <row r="158" spans="1:11" x14ac:dyDescent="0.25">
      <c r="A158" s="40">
        <v>540124</v>
      </c>
      <c r="B158" s="40" t="s">
        <v>52</v>
      </c>
      <c r="C158" s="40" t="s">
        <v>53</v>
      </c>
      <c r="D158" s="40" t="s">
        <v>5</v>
      </c>
      <c r="E158" s="40">
        <v>1</v>
      </c>
      <c r="F158" s="40">
        <v>0</v>
      </c>
      <c r="G158" s="40">
        <v>0</v>
      </c>
      <c r="H158" s="40">
        <v>0</v>
      </c>
      <c r="I158" s="40">
        <v>0</v>
      </c>
      <c r="J158" s="40">
        <v>0</v>
      </c>
      <c r="K158" s="40">
        <v>0</v>
      </c>
    </row>
    <row r="159" spans="1:11" x14ac:dyDescent="0.25">
      <c r="A159" s="40">
        <v>540125</v>
      </c>
      <c r="B159" s="40" t="s">
        <v>210</v>
      </c>
      <c r="C159" s="40" t="s">
        <v>53</v>
      </c>
      <c r="D159" s="40" t="s">
        <v>115</v>
      </c>
      <c r="E159" s="40">
        <v>1</v>
      </c>
      <c r="F159" s="40">
        <v>0</v>
      </c>
      <c r="G159" s="40">
        <v>0</v>
      </c>
      <c r="H159" s="40">
        <v>0</v>
      </c>
      <c r="I159" s="40">
        <v>0</v>
      </c>
      <c r="J159" s="40">
        <v>0</v>
      </c>
      <c r="K159" s="40">
        <v>0</v>
      </c>
    </row>
    <row r="160" spans="1:11" x14ac:dyDescent="0.25">
      <c r="A160" s="40">
        <v>540126</v>
      </c>
      <c r="B160" s="40" t="s">
        <v>211</v>
      </c>
      <c r="C160" s="40" t="s">
        <v>53</v>
      </c>
      <c r="D160" s="40" t="s">
        <v>115</v>
      </c>
      <c r="E160" s="40">
        <v>1</v>
      </c>
      <c r="F160" s="40">
        <v>0</v>
      </c>
      <c r="G160" s="40">
        <v>0</v>
      </c>
      <c r="H160" s="40">
        <v>0</v>
      </c>
      <c r="I160" s="40">
        <v>0</v>
      </c>
      <c r="J160" s="40">
        <v>0</v>
      </c>
      <c r="K160" s="40">
        <v>0</v>
      </c>
    </row>
    <row r="161" spans="1:11" x14ac:dyDescent="0.25">
      <c r="A161" s="40">
        <v>540127</v>
      </c>
      <c r="B161" s="40" t="s">
        <v>212</v>
      </c>
      <c r="C161" s="40" t="s">
        <v>53</v>
      </c>
      <c r="D161" s="40" t="s">
        <v>115</v>
      </c>
      <c r="E161" s="40">
        <v>1</v>
      </c>
      <c r="F161" s="40">
        <v>0</v>
      </c>
      <c r="G161" s="40">
        <v>0</v>
      </c>
      <c r="H161" s="40">
        <v>0</v>
      </c>
      <c r="I161" s="40">
        <v>0</v>
      </c>
      <c r="J161" s="40">
        <v>0</v>
      </c>
      <c r="K161" s="40">
        <v>0</v>
      </c>
    </row>
    <row r="162" spans="1:11" x14ac:dyDescent="0.25">
      <c r="A162" s="40">
        <v>540128</v>
      </c>
      <c r="B162" s="40" t="s">
        <v>213</v>
      </c>
      <c r="C162" s="40" t="s">
        <v>53</v>
      </c>
      <c r="D162" s="40" t="s">
        <v>115</v>
      </c>
      <c r="E162" s="40">
        <v>1</v>
      </c>
      <c r="F162" s="40">
        <v>0</v>
      </c>
      <c r="G162" s="40">
        <v>0</v>
      </c>
      <c r="H162" s="40">
        <v>0</v>
      </c>
      <c r="I162" s="40">
        <v>0</v>
      </c>
      <c r="J162" s="40">
        <v>0</v>
      </c>
      <c r="K162" s="40">
        <v>0</v>
      </c>
    </row>
    <row r="163" spans="1:11" x14ac:dyDescent="0.25">
      <c r="A163" s="40">
        <v>540172</v>
      </c>
      <c r="B163" s="40" t="s">
        <v>244</v>
      </c>
      <c r="C163" s="40" t="s">
        <v>53</v>
      </c>
      <c r="D163" s="40" t="s">
        <v>115</v>
      </c>
      <c r="E163" s="40">
        <v>1</v>
      </c>
      <c r="F163" s="40">
        <v>0</v>
      </c>
      <c r="G163" s="40">
        <v>0</v>
      </c>
      <c r="H163" s="40">
        <v>0</v>
      </c>
      <c r="I163" s="40">
        <v>0</v>
      </c>
      <c r="J163" s="40">
        <v>0</v>
      </c>
      <c r="K163" s="40">
        <v>0</v>
      </c>
    </row>
    <row r="164" spans="1:11" x14ac:dyDescent="0.25">
      <c r="A164" s="40">
        <v>540285</v>
      </c>
      <c r="B164" s="40" t="s">
        <v>324</v>
      </c>
      <c r="C164" s="40" t="s">
        <v>53</v>
      </c>
      <c r="D164" s="40" t="s">
        <v>115</v>
      </c>
      <c r="E164" s="40">
        <v>1</v>
      </c>
      <c r="F164" s="40">
        <v>0</v>
      </c>
      <c r="G164" s="40">
        <v>0</v>
      </c>
      <c r="H164" s="40">
        <v>0</v>
      </c>
      <c r="I164" s="40">
        <v>0</v>
      </c>
      <c r="J164" s="40">
        <v>0</v>
      </c>
      <c r="K164" s="40">
        <v>0</v>
      </c>
    </row>
    <row r="165" spans="1:11" x14ac:dyDescent="0.25">
      <c r="A165" s="40"/>
      <c r="B165" s="40"/>
      <c r="C165" s="40" t="s">
        <v>53</v>
      </c>
      <c r="D165" s="40"/>
      <c r="E165" s="40"/>
      <c r="F165" s="40">
        <v>0</v>
      </c>
      <c r="G165" s="40">
        <v>0</v>
      </c>
      <c r="H165" s="40">
        <v>0</v>
      </c>
      <c r="I165" s="40">
        <v>0</v>
      </c>
      <c r="J165" s="40">
        <v>0</v>
      </c>
      <c r="K165" s="40">
        <v>0</v>
      </c>
    </row>
    <row r="166" spans="1:11" x14ac:dyDescent="0.25">
      <c r="A166" s="40">
        <v>540129</v>
      </c>
      <c r="B166" s="40" t="s">
        <v>54</v>
      </c>
      <c r="C166" s="40" t="s">
        <v>55</v>
      </c>
      <c r="D166" s="40" t="s">
        <v>5</v>
      </c>
      <c r="E166" s="40">
        <v>8</v>
      </c>
      <c r="F166" s="40">
        <v>1</v>
      </c>
      <c r="G166" s="40">
        <v>0</v>
      </c>
      <c r="H166" s="40">
        <v>0</v>
      </c>
      <c r="I166" s="40">
        <v>1</v>
      </c>
      <c r="J166" s="40">
        <v>0</v>
      </c>
      <c r="K166" s="40">
        <v>0</v>
      </c>
    </row>
    <row r="167" spans="1:11" x14ac:dyDescent="0.25">
      <c r="A167" s="40">
        <v>540130</v>
      </c>
      <c r="B167" s="40" t="s">
        <v>214</v>
      </c>
      <c r="C167" s="40" t="s">
        <v>55</v>
      </c>
      <c r="D167" s="40" t="s">
        <v>115</v>
      </c>
      <c r="E167" s="40">
        <v>8</v>
      </c>
      <c r="F167" s="40">
        <v>0</v>
      </c>
      <c r="G167" s="40">
        <v>0</v>
      </c>
      <c r="H167" s="40">
        <v>0</v>
      </c>
      <c r="I167" s="40">
        <v>0</v>
      </c>
      <c r="J167" s="40">
        <v>0</v>
      </c>
      <c r="K167" s="40">
        <v>0</v>
      </c>
    </row>
    <row r="168" spans="1:11" x14ac:dyDescent="0.25">
      <c r="A168" s="40">
        <v>540131</v>
      </c>
      <c r="B168" s="40" t="s">
        <v>215</v>
      </c>
      <c r="C168" s="40" t="s">
        <v>55</v>
      </c>
      <c r="D168" s="40" t="s">
        <v>115</v>
      </c>
      <c r="E168" s="40">
        <v>8</v>
      </c>
      <c r="F168" s="40">
        <v>0</v>
      </c>
      <c r="G168" s="40">
        <v>0</v>
      </c>
      <c r="H168" s="40">
        <v>0</v>
      </c>
      <c r="I168" s="40">
        <v>0</v>
      </c>
      <c r="J168" s="40">
        <v>0</v>
      </c>
      <c r="K168" s="40">
        <v>0</v>
      </c>
    </row>
    <row r="169" spans="1:11" x14ac:dyDescent="0.25">
      <c r="A169" s="40">
        <v>540155</v>
      </c>
      <c r="B169" s="40" t="s">
        <v>231</v>
      </c>
      <c r="C169" s="40" t="s">
        <v>55</v>
      </c>
      <c r="D169" s="40" t="s">
        <v>115</v>
      </c>
      <c r="E169" s="40">
        <v>8</v>
      </c>
      <c r="F169" s="40">
        <v>1</v>
      </c>
      <c r="G169" s="40">
        <v>0</v>
      </c>
      <c r="H169" s="40">
        <v>0</v>
      </c>
      <c r="I169" s="40">
        <v>1</v>
      </c>
      <c r="J169" s="40">
        <v>0</v>
      </c>
      <c r="K169" s="40">
        <v>0</v>
      </c>
    </row>
    <row r="170" spans="1:11" x14ac:dyDescent="0.25">
      <c r="A170" s="40">
        <v>545555</v>
      </c>
      <c r="B170" s="40" t="s">
        <v>336</v>
      </c>
      <c r="C170" s="40" t="s">
        <v>55</v>
      </c>
      <c r="D170" s="40" t="s">
        <v>115</v>
      </c>
      <c r="E170" s="40">
        <v>8</v>
      </c>
      <c r="F170" s="40">
        <v>0</v>
      </c>
      <c r="G170" s="40">
        <v>0</v>
      </c>
      <c r="H170" s="40">
        <v>0</v>
      </c>
      <c r="I170" s="40">
        <v>0</v>
      </c>
      <c r="J170" s="40">
        <v>0</v>
      </c>
      <c r="K170" s="40">
        <v>0</v>
      </c>
    </row>
    <row r="171" spans="1:11" x14ac:dyDescent="0.25">
      <c r="A171" s="40">
        <v>540091</v>
      </c>
      <c r="B171" s="40" t="s">
        <v>338</v>
      </c>
      <c r="C171" s="40" t="s">
        <v>55</v>
      </c>
      <c r="D171" s="40" t="s">
        <v>115</v>
      </c>
      <c r="E171" s="40">
        <v>8</v>
      </c>
      <c r="F171" s="40">
        <v>0</v>
      </c>
      <c r="G171" s="40">
        <v>0</v>
      </c>
      <c r="H171" s="40">
        <v>0</v>
      </c>
      <c r="I171" s="40">
        <v>0</v>
      </c>
      <c r="J171" s="40">
        <v>0</v>
      </c>
      <c r="K171" s="40">
        <v>0</v>
      </c>
    </row>
    <row r="172" spans="1:11" x14ac:dyDescent="0.25">
      <c r="A172" s="40"/>
      <c r="B172" s="40"/>
      <c r="C172" s="40" t="s">
        <v>55</v>
      </c>
      <c r="D172" s="40"/>
      <c r="E172" s="40"/>
      <c r="F172" s="40">
        <v>2</v>
      </c>
      <c r="G172" s="40">
        <v>0</v>
      </c>
      <c r="H172" s="40">
        <v>0</v>
      </c>
      <c r="I172" s="40">
        <v>2</v>
      </c>
      <c r="J172" s="40">
        <v>0</v>
      </c>
      <c r="K172" s="40">
        <v>0</v>
      </c>
    </row>
    <row r="173" spans="1:11" x14ac:dyDescent="0.25">
      <c r="A173" s="40">
        <v>540133</v>
      </c>
      <c r="B173" s="40" t="s">
        <v>56</v>
      </c>
      <c r="C173" s="40" t="s">
        <v>57</v>
      </c>
      <c r="D173" s="40" t="s">
        <v>5</v>
      </c>
      <c r="E173" s="40">
        <v>2</v>
      </c>
      <c r="F173" s="40">
        <v>0</v>
      </c>
      <c r="G173" s="40">
        <v>0</v>
      </c>
      <c r="H173" s="40">
        <v>0</v>
      </c>
      <c r="I173" s="40">
        <v>0</v>
      </c>
      <c r="J173" s="40">
        <v>0</v>
      </c>
      <c r="K173" s="40">
        <v>0</v>
      </c>
    </row>
    <row r="174" spans="1:11" x14ac:dyDescent="0.25">
      <c r="A174" s="40">
        <v>540134</v>
      </c>
      <c r="B174" s="40" t="s">
        <v>217</v>
      </c>
      <c r="C174" s="40" t="s">
        <v>57</v>
      </c>
      <c r="D174" s="40" t="s">
        <v>115</v>
      </c>
      <c r="E174" s="40">
        <v>2</v>
      </c>
      <c r="F174" s="40">
        <v>0</v>
      </c>
      <c r="G174" s="40">
        <v>0</v>
      </c>
      <c r="H174" s="40">
        <v>0</v>
      </c>
      <c r="I174" s="40">
        <v>0</v>
      </c>
      <c r="J174" s="40">
        <v>0</v>
      </c>
      <c r="K174" s="40">
        <v>0</v>
      </c>
    </row>
    <row r="175" spans="1:11" x14ac:dyDescent="0.25">
      <c r="A175" s="40">
        <v>540135</v>
      </c>
      <c r="B175" s="40" t="s">
        <v>218</v>
      </c>
      <c r="C175" s="40" t="s">
        <v>57</v>
      </c>
      <c r="D175" s="40" t="s">
        <v>115</v>
      </c>
      <c r="E175" s="40">
        <v>2</v>
      </c>
      <c r="F175" s="40">
        <v>0</v>
      </c>
      <c r="G175" s="40">
        <v>0</v>
      </c>
      <c r="H175" s="40">
        <v>0</v>
      </c>
      <c r="I175" s="40">
        <v>0</v>
      </c>
      <c r="J175" s="40">
        <v>0</v>
      </c>
      <c r="K175" s="40">
        <v>0</v>
      </c>
    </row>
    <row r="176" spans="1:11" x14ac:dyDescent="0.25">
      <c r="A176" s="40">
        <v>540136</v>
      </c>
      <c r="B176" s="40" t="s">
        <v>219</v>
      </c>
      <c r="C176" s="40" t="s">
        <v>57</v>
      </c>
      <c r="D176" s="40" t="s">
        <v>115</v>
      </c>
      <c r="E176" s="40">
        <v>2</v>
      </c>
      <c r="F176" s="40">
        <v>0</v>
      </c>
      <c r="G176" s="40">
        <v>0</v>
      </c>
      <c r="H176" s="40">
        <v>0</v>
      </c>
      <c r="I176" s="40">
        <v>0</v>
      </c>
      <c r="J176" s="40">
        <v>0</v>
      </c>
      <c r="K176" s="40">
        <v>0</v>
      </c>
    </row>
    <row r="177" spans="1:11" x14ac:dyDescent="0.25">
      <c r="A177" s="40">
        <v>540138</v>
      </c>
      <c r="B177" s="40" t="s">
        <v>221</v>
      </c>
      <c r="C177" s="40" t="s">
        <v>57</v>
      </c>
      <c r="D177" s="40" t="s">
        <v>115</v>
      </c>
      <c r="E177" s="40">
        <v>2</v>
      </c>
      <c r="F177" s="40">
        <v>2</v>
      </c>
      <c r="G177" s="40">
        <v>0</v>
      </c>
      <c r="H177" s="40">
        <v>2</v>
      </c>
      <c r="I177" s="40">
        <v>0</v>
      </c>
      <c r="J177" s="40">
        <v>0</v>
      </c>
      <c r="K177" s="40">
        <v>0</v>
      </c>
    </row>
    <row r="178" spans="1:11" x14ac:dyDescent="0.25">
      <c r="A178" s="40">
        <v>545538</v>
      </c>
      <c r="B178" s="40" t="s">
        <v>334</v>
      </c>
      <c r="C178" s="40" t="s">
        <v>57</v>
      </c>
      <c r="D178" s="40" t="s">
        <v>115</v>
      </c>
      <c r="E178" s="40">
        <v>2</v>
      </c>
      <c r="F178" s="40">
        <v>2</v>
      </c>
      <c r="G178" s="40">
        <v>0</v>
      </c>
      <c r="H178" s="40">
        <v>1</v>
      </c>
      <c r="I178" s="40">
        <v>0</v>
      </c>
      <c r="J178" s="40">
        <v>1</v>
      </c>
      <c r="K178" s="40">
        <v>0</v>
      </c>
    </row>
    <row r="179" spans="1:11" x14ac:dyDescent="0.25">
      <c r="A179" s="40"/>
      <c r="B179" s="40"/>
      <c r="C179" s="40" t="s">
        <v>57</v>
      </c>
      <c r="D179" s="40"/>
      <c r="E179" s="40"/>
      <c r="F179" s="40">
        <v>4</v>
      </c>
      <c r="G179" s="40">
        <v>0</v>
      </c>
      <c r="H179" s="40">
        <v>3</v>
      </c>
      <c r="I179" s="40">
        <v>0</v>
      </c>
      <c r="J179" s="40">
        <v>1</v>
      </c>
      <c r="K179" s="40">
        <v>0</v>
      </c>
    </row>
    <row r="180" spans="1:11" x14ac:dyDescent="0.25">
      <c r="A180" s="40">
        <v>540139</v>
      </c>
      <c r="B180" s="40" t="s">
        <v>58</v>
      </c>
      <c r="C180" s="40" t="s">
        <v>59</v>
      </c>
      <c r="D180" s="40" t="s">
        <v>5</v>
      </c>
      <c r="E180" s="40">
        <v>6</v>
      </c>
      <c r="F180" s="40">
        <v>0</v>
      </c>
      <c r="G180" s="40">
        <v>0</v>
      </c>
      <c r="H180" s="40">
        <v>0</v>
      </c>
      <c r="I180" s="40">
        <v>0</v>
      </c>
      <c r="J180" s="40">
        <v>0</v>
      </c>
      <c r="K180" s="40">
        <v>0</v>
      </c>
    </row>
    <row r="181" spans="1:11" x14ac:dyDescent="0.25">
      <c r="A181" s="40">
        <v>540140</v>
      </c>
      <c r="B181" s="40" t="s">
        <v>222</v>
      </c>
      <c r="C181" s="40" t="s">
        <v>59</v>
      </c>
      <c r="D181" s="40" t="s">
        <v>115</v>
      </c>
      <c r="E181" s="40">
        <v>6</v>
      </c>
      <c r="F181" s="40">
        <v>0</v>
      </c>
      <c r="G181" s="40">
        <v>0</v>
      </c>
      <c r="H181" s="40">
        <v>0</v>
      </c>
      <c r="I181" s="40">
        <v>0</v>
      </c>
      <c r="J181" s="40">
        <v>0</v>
      </c>
      <c r="K181" s="40">
        <v>0</v>
      </c>
    </row>
    <row r="182" spans="1:11" x14ac:dyDescent="0.25">
      <c r="A182" s="40">
        <v>540141</v>
      </c>
      <c r="B182" s="40" t="s">
        <v>223</v>
      </c>
      <c r="C182" s="40" t="s">
        <v>59</v>
      </c>
      <c r="D182" s="40" t="s">
        <v>115</v>
      </c>
      <c r="E182" s="40">
        <v>6</v>
      </c>
      <c r="F182" s="40">
        <v>0</v>
      </c>
      <c r="G182" s="40">
        <v>0</v>
      </c>
      <c r="H182" s="40">
        <v>0</v>
      </c>
      <c r="I182" s="40">
        <v>0</v>
      </c>
      <c r="J182" s="40">
        <v>0</v>
      </c>
      <c r="K182" s="40">
        <v>0</v>
      </c>
    </row>
    <row r="183" spans="1:11" x14ac:dyDescent="0.25">
      <c r="A183" s="40">
        <v>540272</v>
      </c>
      <c r="B183" s="40" t="s">
        <v>315</v>
      </c>
      <c r="C183" s="40" t="s">
        <v>59</v>
      </c>
      <c r="D183" s="40" t="s">
        <v>115</v>
      </c>
      <c r="E183" s="40">
        <v>6</v>
      </c>
      <c r="F183" s="40">
        <v>0</v>
      </c>
      <c r="G183" s="40">
        <v>0</v>
      </c>
      <c r="H183" s="40">
        <v>0</v>
      </c>
      <c r="I183" s="40">
        <v>0</v>
      </c>
      <c r="J183" s="40">
        <v>0</v>
      </c>
      <c r="K183" s="40">
        <v>0</v>
      </c>
    </row>
    <row r="184" spans="1:11" x14ac:dyDescent="0.25">
      <c r="A184" s="40">
        <v>540273</v>
      </c>
      <c r="B184" s="40" t="s">
        <v>316</v>
      </c>
      <c r="C184" s="40" t="s">
        <v>59</v>
      </c>
      <c r="D184" s="40" t="s">
        <v>115</v>
      </c>
      <c r="E184" s="40">
        <v>6</v>
      </c>
      <c r="F184" s="40">
        <v>0</v>
      </c>
      <c r="G184" s="40">
        <v>0</v>
      </c>
      <c r="H184" s="40">
        <v>0</v>
      </c>
      <c r="I184" s="40">
        <v>0</v>
      </c>
      <c r="J184" s="40">
        <v>0</v>
      </c>
      <c r="K184" s="40">
        <v>0</v>
      </c>
    </row>
    <row r="185" spans="1:11" x14ac:dyDescent="0.25">
      <c r="A185" s="40">
        <v>540274</v>
      </c>
      <c r="B185" s="40" t="s">
        <v>317</v>
      </c>
      <c r="C185" s="40" t="s">
        <v>59</v>
      </c>
      <c r="D185" s="40" t="s">
        <v>115</v>
      </c>
      <c r="E185" s="40">
        <v>6</v>
      </c>
      <c r="F185" s="40">
        <v>0</v>
      </c>
      <c r="G185" s="40">
        <v>0</v>
      </c>
      <c r="H185" s="40">
        <v>0</v>
      </c>
      <c r="I185" s="40">
        <v>0</v>
      </c>
      <c r="J185" s="40">
        <v>0</v>
      </c>
      <c r="K185" s="40">
        <v>0</v>
      </c>
    </row>
    <row r="186" spans="1:11" x14ac:dyDescent="0.25">
      <c r="A186" s="40"/>
      <c r="B186" s="40"/>
      <c r="C186" s="40" t="s">
        <v>59</v>
      </c>
      <c r="D186" s="40"/>
      <c r="E186" s="40"/>
      <c r="F186" s="40">
        <v>0</v>
      </c>
      <c r="G186" s="40">
        <v>0</v>
      </c>
      <c r="H186" s="40">
        <v>0</v>
      </c>
      <c r="I186" s="40">
        <v>0</v>
      </c>
      <c r="J186" s="40">
        <v>0</v>
      </c>
      <c r="K186" s="40">
        <v>0</v>
      </c>
    </row>
    <row r="187" spans="1:11" x14ac:dyDescent="0.25">
      <c r="A187" s="40">
        <v>540144</v>
      </c>
      <c r="B187" s="40" t="s">
        <v>60</v>
      </c>
      <c r="C187" s="40" t="s">
        <v>61</v>
      </c>
      <c r="D187" s="40" t="s">
        <v>5</v>
      </c>
      <c r="E187" s="40">
        <v>9</v>
      </c>
      <c r="F187" s="40">
        <v>0</v>
      </c>
      <c r="G187" s="40">
        <v>0</v>
      </c>
      <c r="H187" s="40">
        <v>0</v>
      </c>
      <c r="I187" s="40">
        <v>0</v>
      </c>
      <c r="J187" s="40">
        <v>0</v>
      </c>
      <c r="K187" s="40">
        <v>0</v>
      </c>
    </row>
    <row r="188" spans="1:11" x14ac:dyDescent="0.25">
      <c r="A188" s="40">
        <v>540005</v>
      </c>
      <c r="B188" s="40" t="s">
        <v>118</v>
      </c>
      <c r="C188" s="40" t="s">
        <v>61</v>
      </c>
      <c r="D188" s="40" t="s">
        <v>115</v>
      </c>
      <c r="E188" s="40">
        <v>9</v>
      </c>
      <c r="F188" s="40">
        <v>0</v>
      </c>
      <c r="G188" s="40">
        <v>0</v>
      </c>
      <c r="H188" s="40">
        <v>0</v>
      </c>
      <c r="I188" s="40">
        <v>0</v>
      </c>
      <c r="J188" s="40">
        <v>0</v>
      </c>
      <c r="K188" s="40">
        <v>0</v>
      </c>
    </row>
    <row r="189" spans="1:11" x14ac:dyDescent="0.25">
      <c r="A189" s="40">
        <v>540252</v>
      </c>
      <c r="B189" s="40" t="s">
        <v>298</v>
      </c>
      <c r="C189" s="40" t="s">
        <v>61</v>
      </c>
      <c r="D189" s="40" t="s">
        <v>115</v>
      </c>
      <c r="E189" s="40">
        <v>9</v>
      </c>
      <c r="F189" s="40">
        <v>0</v>
      </c>
      <c r="G189" s="40">
        <v>0</v>
      </c>
      <c r="H189" s="40">
        <v>0</v>
      </c>
      <c r="I189" s="40">
        <v>0</v>
      </c>
      <c r="J189" s="40">
        <v>0</v>
      </c>
      <c r="K189" s="40">
        <v>0</v>
      </c>
    </row>
    <row r="190" spans="1:11" x14ac:dyDescent="0.25">
      <c r="A190" s="40"/>
      <c r="B190" s="40"/>
      <c r="C190" s="40" t="s">
        <v>61</v>
      </c>
      <c r="D190" s="40"/>
      <c r="E190" s="40"/>
      <c r="F190" s="40">
        <v>0</v>
      </c>
      <c r="G190" s="40">
        <v>0</v>
      </c>
      <c r="H190" s="40">
        <v>0</v>
      </c>
      <c r="I190" s="40">
        <v>0</v>
      </c>
      <c r="J190" s="40">
        <v>0</v>
      </c>
      <c r="K190" s="40">
        <v>0</v>
      </c>
    </row>
    <row r="191" spans="1:11" x14ac:dyDescent="0.25">
      <c r="A191" s="40">
        <v>540146</v>
      </c>
      <c r="B191" s="40" t="s">
        <v>62</v>
      </c>
      <c r="C191" s="40" t="s">
        <v>63</v>
      </c>
      <c r="D191" s="40" t="s">
        <v>5</v>
      </c>
      <c r="E191" s="40">
        <v>4</v>
      </c>
      <c r="F191" s="40">
        <v>0</v>
      </c>
      <c r="G191" s="40">
        <v>0</v>
      </c>
      <c r="H191" s="40">
        <v>0</v>
      </c>
      <c r="I191" s="40">
        <v>0</v>
      </c>
      <c r="J191" s="40">
        <v>0</v>
      </c>
      <c r="K191" s="40">
        <v>0</v>
      </c>
    </row>
    <row r="192" spans="1:11" x14ac:dyDescent="0.25">
      <c r="A192" s="40">
        <v>540147</v>
      </c>
      <c r="B192" s="40" t="s">
        <v>225</v>
      </c>
      <c r="C192" s="40" t="s">
        <v>63</v>
      </c>
      <c r="D192" s="40" t="s">
        <v>115</v>
      </c>
      <c r="E192" s="40">
        <v>4</v>
      </c>
      <c r="F192" s="40">
        <v>0</v>
      </c>
      <c r="G192" s="40">
        <v>0</v>
      </c>
      <c r="H192" s="40">
        <v>0</v>
      </c>
      <c r="I192" s="40">
        <v>0</v>
      </c>
      <c r="J192" s="40">
        <v>0</v>
      </c>
      <c r="K192" s="40">
        <v>0</v>
      </c>
    </row>
    <row r="193" spans="1:11" x14ac:dyDescent="0.25">
      <c r="A193" s="40">
        <v>540148</v>
      </c>
      <c r="B193" s="40" t="s">
        <v>226</v>
      </c>
      <c r="C193" s="40" t="s">
        <v>63</v>
      </c>
      <c r="D193" s="40" t="s">
        <v>115</v>
      </c>
      <c r="E193" s="40">
        <v>4</v>
      </c>
      <c r="F193" s="40">
        <v>0</v>
      </c>
      <c r="G193" s="40">
        <v>0</v>
      </c>
      <c r="H193" s="40">
        <v>0</v>
      </c>
      <c r="I193" s="40">
        <v>0</v>
      </c>
      <c r="J193" s="40">
        <v>0</v>
      </c>
      <c r="K193" s="40">
        <v>0</v>
      </c>
    </row>
    <row r="194" spans="1:11" x14ac:dyDescent="0.25">
      <c r="A194" s="40"/>
      <c r="B194" s="40"/>
      <c r="C194" s="40" t="s">
        <v>63</v>
      </c>
      <c r="D194" s="40"/>
      <c r="E194" s="40"/>
      <c r="F194" s="40">
        <v>0</v>
      </c>
      <c r="G194" s="40">
        <v>0</v>
      </c>
      <c r="H194" s="40">
        <v>0</v>
      </c>
      <c r="I194" s="40">
        <v>0</v>
      </c>
      <c r="J194" s="40">
        <v>0</v>
      </c>
      <c r="K194" s="40">
        <v>0</v>
      </c>
    </row>
    <row r="195" spans="1:11" x14ac:dyDescent="0.25">
      <c r="A195" s="40">
        <v>540149</v>
      </c>
      <c r="B195" s="40" t="s">
        <v>64</v>
      </c>
      <c r="C195" s="40" t="s">
        <v>65</v>
      </c>
      <c r="D195" s="40" t="s">
        <v>5</v>
      </c>
      <c r="E195" s="40">
        <v>10</v>
      </c>
      <c r="F195" s="40">
        <v>0</v>
      </c>
      <c r="G195" s="40">
        <v>0</v>
      </c>
      <c r="H195" s="40">
        <v>0</v>
      </c>
      <c r="I195" s="40">
        <v>0</v>
      </c>
      <c r="J195" s="40">
        <v>0</v>
      </c>
      <c r="K195" s="40">
        <v>0</v>
      </c>
    </row>
    <row r="196" spans="1:11" x14ac:dyDescent="0.25">
      <c r="A196" s="40">
        <v>540080</v>
      </c>
      <c r="B196" s="40" t="s">
        <v>175</v>
      </c>
      <c r="C196" s="40" t="s">
        <v>65</v>
      </c>
      <c r="D196" s="40" t="s">
        <v>115</v>
      </c>
      <c r="E196" s="40">
        <v>10</v>
      </c>
      <c r="F196" s="40">
        <v>0</v>
      </c>
      <c r="G196" s="40">
        <v>0</v>
      </c>
      <c r="H196" s="40">
        <v>0</v>
      </c>
      <c r="I196" s="40">
        <v>0</v>
      </c>
      <c r="J196" s="40">
        <v>0</v>
      </c>
      <c r="K196" s="40">
        <v>0</v>
      </c>
    </row>
    <row r="197" spans="1:11" x14ac:dyDescent="0.25">
      <c r="A197" s="40">
        <v>540094</v>
      </c>
      <c r="B197" s="40" t="s">
        <v>185</v>
      </c>
      <c r="C197" s="40" t="s">
        <v>65</v>
      </c>
      <c r="D197" s="40" t="s">
        <v>115</v>
      </c>
      <c r="E197" s="40">
        <v>10</v>
      </c>
      <c r="F197" s="40">
        <v>0</v>
      </c>
      <c r="G197" s="40">
        <v>0</v>
      </c>
      <c r="H197" s="40">
        <v>0</v>
      </c>
      <c r="I197" s="40">
        <v>0</v>
      </c>
      <c r="J197" s="40">
        <v>0</v>
      </c>
      <c r="K197" s="40">
        <v>0</v>
      </c>
    </row>
    <row r="198" spans="1:11" x14ac:dyDescent="0.25">
      <c r="A198" s="40">
        <v>540150</v>
      </c>
      <c r="B198" s="40" t="s">
        <v>227</v>
      </c>
      <c r="C198" s="40" t="s">
        <v>65</v>
      </c>
      <c r="D198" s="40" t="s">
        <v>115</v>
      </c>
      <c r="E198" s="40">
        <v>10</v>
      </c>
      <c r="F198" s="40">
        <v>0</v>
      </c>
      <c r="G198" s="40">
        <v>0</v>
      </c>
      <c r="H198" s="40">
        <v>0</v>
      </c>
      <c r="I198" s="40">
        <v>0</v>
      </c>
      <c r="J198" s="40">
        <v>0</v>
      </c>
      <c r="K198" s="40">
        <v>0</v>
      </c>
    </row>
    <row r="199" spans="1:11" x14ac:dyDescent="0.25">
      <c r="A199" s="40">
        <v>540151</v>
      </c>
      <c r="B199" s="40" t="s">
        <v>228</v>
      </c>
      <c r="C199" s="40" t="s">
        <v>65</v>
      </c>
      <c r="D199" s="40" t="s">
        <v>115</v>
      </c>
      <c r="E199" s="40">
        <v>10</v>
      </c>
      <c r="F199" s="40">
        <v>0</v>
      </c>
      <c r="G199" s="40">
        <v>0</v>
      </c>
      <c r="H199" s="40">
        <v>0</v>
      </c>
      <c r="I199" s="40">
        <v>0</v>
      </c>
      <c r="J199" s="40">
        <v>0</v>
      </c>
      <c r="K199" s="40">
        <v>0</v>
      </c>
    </row>
    <row r="200" spans="1:11" x14ac:dyDescent="0.25">
      <c r="A200" s="40">
        <v>540152</v>
      </c>
      <c r="B200" s="40" t="s">
        <v>229</v>
      </c>
      <c r="C200" s="40" t="s">
        <v>65</v>
      </c>
      <c r="D200" s="40" t="s">
        <v>115</v>
      </c>
      <c r="E200" s="40">
        <v>10</v>
      </c>
      <c r="F200" s="40">
        <v>0</v>
      </c>
      <c r="G200" s="40">
        <v>0</v>
      </c>
      <c r="H200" s="40">
        <v>0</v>
      </c>
      <c r="I200" s="40">
        <v>0</v>
      </c>
      <c r="J200" s="40">
        <v>0</v>
      </c>
      <c r="K200" s="40">
        <v>0</v>
      </c>
    </row>
    <row r="201" spans="1:11" x14ac:dyDescent="0.25">
      <c r="A201" s="40">
        <v>540275</v>
      </c>
      <c r="B201" s="40" t="s">
        <v>318</v>
      </c>
      <c r="C201" s="40" t="s">
        <v>65</v>
      </c>
      <c r="D201" s="40" t="s">
        <v>115</v>
      </c>
      <c r="E201" s="40">
        <v>10</v>
      </c>
      <c r="F201" s="40">
        <v>0</v>
      </c>
      <c r="G201" s="40">
        <v>0</v>
      </c>
      <c r="H201" s="40">
        <v>0</v>
      </c>
      <c r="I201" s="40">
        <v>0</v>
      </c>
      <c r="J201" s="40">
        <v>0</v>
      </c>
      <c r="K201" s="40">
        <v>0</v>
      </c>
    </row>
    <row r="202" spans="1:11" x14ac:dyDescent="0.25">
      <c r="A202" s="40"/>
      <c r="B202" s="40"/>
      <c r="C202" s="40" t="s">
        <v>65</v>
      </c>
      <c r="D202" s="40"/>
      <c r="E202" s="40"/>
      <c r="F202" s="40">
        <v>0</v>
      </c>
      <c r="G202" s="40">
        <v>0</v>
      </c>
      <c r="H202" s="40">
        <v>0</v>
      </c>
      <c r="I202" s="40">
        <v>0</v>
      </c>
      <c r="J202" s="40">
        <v>0</v>
      </c>
      <c r="K202" s="40">
        <v>0</v>
      </c>
    </row>
    <row r="203" spans="1:11" x14ac:dyDescent="0.25">
      <c r="A203" s="40">
        <v>540153</v>
      </c>
      <c r="B203" s="40" t="s">
        <v>66</v>
      </c>
      <c r="C203" s="40" t="s">
        <v>67</v>
      </c>
      <c r="D203" s="40" t="s">
        <v>5</v>
      </c>
      <c r="E203" s="40">
        <v>8</v>
      </c>
      <c r="F203" s="40">
        <v>0</v>
      </c>
      <c r="G203" s="40">
        <v>0</v>
      </c>
      <c r="H203" s="40">
        <v>0</v>
      </c>
      <c r="I203" s="40">
        <v>0</v>
      </c>
      <c r="J203" s="40">
        <v>0</v>
      </c>
      <c r="K203" s="40">
        <v>0</v>
      </c>
    </row>
    <row r="204" spans="1:11" x14ac:dyDescent="0.25">
      <c r="A204" s="40">
        <v>540154</v>
      </c>
      <c r="B204" s="40" t="s">
        <v>230</v>
      </c>
      <c r="C204" s="40" t="s">
        <v>67</v>
      </c>
      <c r="D204" s="40" t="s">
        <v>115</v>
      </c>
      <c r="E204" s="40">
        <v>8</v>
      </c>
      <c r="F204" s="40">
        <v>0</v>
      </c>
      <c r="G204" s="40">
        <v>0</v>
      </c>
      <c r="H204" s="40">
        <v>0</v>
      </c>
      <c r="I204" s="40">
        <v>0</v>
      </c>
      <c r="J204" s="40">
        <v>0</v>
      </c>
      <c r="K204" s="40">
        <v>0</v>
      </c>
    </row>
    <row r="205" spans="1:11" x14ac:dyDescent="0.25">
      <c r="A205" s="40"/>
      <c r="B205" s="40"/>
      <c r="C205" s="40" t="s">
        <v>67</v>
      </c>
      <c r="D205" s="40"/>
      <c r="E205" s="40"/>
      <c r="F205" s="40">
        <v>0</v>
      </c>
      <c r="G205" s="40">
        <v>0</v>
      </c>
      <c r="H205" s="40">
        <v>0</v>
      </c>
      <c r="I205" s="40">
        <v>0</v>
      </c>
      <c r="J205" s="40">
        <v>0</v>
      </c>
      <c r="K205" s="40">
        <v>0</v>
      </c>
    </row>
    <row r="206" spans="1:11" x14ac:dyDescent="0.25">
      <c r="A206" s="40">
        <v>540160</v>
      </c>
      <c r="B206" s="40" t="s">
        <v>68</v>
      </c>
      <c r="C206" s="40" t="s">
        <v>69</v>
      </c>
      <c r="D206" s="40" t="s">
        <v>5</v>
      </c>
      <c r="E206" s="40">
        <v>6</v>
      </c>
      <c r="F206" s="40">
        <v>0</v>
      </c>
      <c r="G206" s="40">
        <v>0</v>
      </c>
      <c r="H206" s="40">
        <v>0</v>
      </c>
      <c r="I206" s="40">
        <v>0</v>
      </c>
      <c r="J206" s="40">
        <v>0</v>
      </c>
      <c r="K206" s="40">
        <v>0</v>
      </c>
    </row>
    <row r="207" spans="1:11" x14ac:dyDescent="0.25">
      <c r="A207" s="40">
        <v>540137</v>
      </c>
      <c r="B207" s="40" t="s">
        <v>220</v>
      </c>
      <c r="C207" s="40" t="s">
        <v>69</v>
      </c>
      <c r="D207" s="40" t="s">
        <v>115</v>
      </c>
      <c r="E207" s="40">
        <v>6</v>
      </c>
      <c r="F207" s="40">
        <v>0</v>
      </c>
      <c r="G207" s="40">
        <v>0</v>
      </c>
      <c r="H207" s="40">
        <v>0</v>
      </c>
      <c r="I207" s="40">
        <v>0</v>
      </c>
      <c r="J207" s="40">
        <v>0</v>
      </c>
      <c r="K207" s="40">
        <v>0</v>
      </c>
    </row>
    <row r="208" spans="1:11" x14ac:dyDescent="0.25">
      <c r="A208" s="40">
        <v>540161</v>
      </c>
      <c r="B208" s="40" t="s">
        <v>235</v>
      </c>
      <c r="C208" s="40" t="s">
        <v>69</v>
      </c>
      <c r="D208" s="40" t="s">
        <v>115</v>
      </c>
      <c r="E208" s="40">
        <v>6</v>
      </c>
      <c r="F208" s="40">
        <v>0</v>
      </c>
      <c r="G208" s="40">
        <v>0</v>
      </c>
      <c r="H208" s="40">
        <v>0</v>
      </c>
      <c r="I208" s="40">
        <v>0</v>
      </c>
      <c r="J208" s="40">
        <v>0</v>
      </c>
      <c r="K208" s="40">
        <v>0</v>
      </c>
    </row>
    <row r="209" spans="1:11" x14ac:dyDescent="0.25">
      <c r="A209" s="40">
        <v>540162</v>
      </c>
      <c r="B209" s="40" t="s">
        <v>236</v>
      </c>
      <c r="C209" s="40" t="s">
        <v>69</v>
      </c>
      <c r="D209" s="40" t="s">
        <v>115</v>
      </c>
      <c r="E209" s="40">
        <v>6</v>
      </c>
      <c r="F209" s="40">
        <v>0</v>
      </c>
      <c r="G209" s="40">
        <v>0</v>
      </c>
      <c r="H209" s="40">
        <v>0</v>
      </c>
      <c r="I209" s="40">
        <v>0</v>
      </c>
      <c r="J209" s="40">
        <v>0</v>
      </c>
      <c r="K209" s="40">
        <v>0</v>
      </c>
    </row>
    <row r="210" spans="1:11" x14ac:dyDescent="0.25">
      <c r="A210" s="40">
        <v>540163</v>
      </c>
      <c r="B210" s="40" t="s">
        <v>237</v>
      </c>
      <c r="C210" s="40" t="s">
        <v>69</v>
      </c>
      <c r="D210" s="40" t="s">
        <v>115</v>
      </c>
      <c r="E210" s="40">
        <v>6</v>
      </c>
      <c r="F210" s="40">
        <v>0</v>
      </c>
      <c r="G210" s="40">
        <v>0</v>
      </c>
      <c r="H210" s="40">
        <v>0</v>
      </c>
      <c r="I210" s="40">
        <v>0</v>
      </c>
      <c r="J210" s="40">
        <v>0</v>
      </c>
      <c r="K210" s="40">
        <v>0</v>
      </c>
    </row>
    <row r="211" spans="1:11" x14ac:dyDescent="0.25">
      <c r="A211" s="40">
        <v>540254</v>
      </c>
      <c r="B211" s="40" t="s">
        <v>300</v>
      </c>
      <c r="C211" s="40" t="s">
        <v>69</v>
      </c>
      <c r="D211" s="40" t="s">
        <v>115</v>
      </c>
      <c r="E211" s="40">
        <v>6</v>
      </c>
      <c r="F211" s="40">
        <v>0</v>
      </c>
      <c r="G211" s="40">
        <v>0</v>
      </c>
      <c r="H211" s="40">
        <v>0</v>
      </c>
      <c r="I211" s="40">
        <v>0</v>
      </c>
      <c r="J211" s="40">
        <v>0</v>
      </c>
      <c r="K211" s="40">
        <v>0</v>
      </c>
    </row>
    <row r="212" spans="1:11" x14ac:dyDescent="0.25">
      <c r="A212" s="40">
        <v>540257</v>
      </c>
      <c r="B212" s="40" t="s">
        <v>302</v>
      </c>
      <c r="C212" s="40" t="s">
        <v>69</v>
      </c>
      <c r="D212" s="40" t="s">
        <v>115</v>
      </c>
      <c r="E212" s="40">
        <v>6</v>
      </c>
      <c r="F212" s="40">
        <v>0</v>
      </c>
      <c r="G212" s="40">
        <v>0</v>
      </c>
      <c r="H212" s="40">
        <v>0</v>
      </c>
      <c r="I212" s="40">
        <v>0</v>
      </c>
      <c r="J212" s="40">
        <v>0</v>
      </c>
      <c r="K212" s="40">
        <v>0</v>
      </c>
    </row>
    <row r="213" spans="1:11" x14ac:dyDescent="0.25">
      <c r="A213" s="40">
        <v>540268</v>
      </c>
      <c r="B213" s="40" t="s">
        <v>311</v>
      </c>
      <c r="C213" s="40" t="s">
        <v>69</v>
      </c>
      <c r="D213" s="40" t="s">
        <v>115</v>
      </c>
      <c r="E213" s="40">
        <v>6</v>
      </c>
      <c r="F213" s="40">
        <v>0</v>
      </c>
      <c r="G213" s="40">
        <v>0</v>
      </c>
      <c r="H213" s="40">
        <v>0</v>
      </c>
      <c r="I213" s="40">
        <v>0</v>
      </c>
      <c r="J213" s="40">
        <v>0</v>
      </c>
      <c r="K213" s="40">
        <v>0</v>
      </c>
    </row>
    <row r="214" spans="1:11" x14ac:dyDescent="0.25">
      <c r="A214" s="40">
        <v>540269</v>
      </c>
      <c r="B214" s="40" t="s">
        <v>312</v>
      </c>
      <c r="C214" s="40" t="s">
        <v>69</v>
      </c>
      <c r="D214" s="40" t="s">
        <v>115</v>
      </c>
      <c r="E214" s="40">
        <v>6</v>
      </c>
      <c r="F214" s="40">
        <v>0</v>
      </c>
      <c r="G214" s="40">
        <v>0</v>
      </c>
      <c r="H214" s="40">
        <v>0</v>
      </c>
      <c r="I214" s="40">
        <v>0</v>
      </c>
      <c r="J214" s="40">
        <v>0</v>
      </c>
      <c r="K214" s="40">
        <v>0</v>
      </c>
    </row>
    <row r="215" spans="1:11" x14ac:dyDescent="0.25">
      <c r="A215" s="40">
        <v>540270</v>
      </c>
      <c r="B215" s="40" t="s">
        <v>313</v>
      </c>
      <c r="C215" s="40" t="s">
        <v>69</v>
      </c>
      <c r="D215" s="40" t="s">
        <v>115</v>
      </c>
      <c r="E215" s="40">
        <v>6</v>
      </c>
      <c r="F215" s="40">
        <v>0</v>
      </c>
      <c r="G215" s="40">
        <v>0</v>
      </c>
      <c r="H215" s="40">
        <v>0</v>
      </c>
      <c r="I215" s="40">
        <v>0</v>
      </c>
      <c r="J215" s="40">
        <v>0</v>
      </c>
      <c r="K215" s="40">
        <v>0</v>
      </c>
    </row>
    <row r="216" spans="1:11" x14ac:dyDescent="0.25">
      <c r="A216" s="40">
        <v>540284</v>
      </c>
      <c r="B216" s="40" t="s">
        <v>323</v>
      </c>
      <c r="C216" s="40" t="s">
        <v>69</v>
      </c>
      <c r="D216" s="40" t="s">
        <v>115</v>
      </c>
      <c r="E216" s="40">
        <v>6</v>
      </c>
      <c r="F216" s="40">
        <v>0</v>
      </c>
      <c r="G216" s="40">
        <v>0</v>
      </c>
      <c r="H216" s="40">
        <v>0</v>
      </c>
      <c r="I216" s="40">
        <v>0</v>
      </c>
      <c r="J216" s="40">
        <v>0</v>
      </c>
      <c r="K216" s="40">
        <v>0</v>
      </c>
    </row>
    <row r="217" spans="1:11" x14ac:dyDescent="0.25">
      <c r="A217" s="40"/>
      <c r="B217" s="40"/>
      <c r="C217" s="40" t="s">
        <v>69</v>
      </c>
      <c r="D217" s="40"/>
      <c r="E217" s="40"/>
      <c r="F217" s="40">
        <v>0</v>
      </c>
      <c r="G217" s="40">
        <v>0</v>
      </c>
      <c r="H217" s="40">
        <v>0</v>
      </c>
      <c r="I217" s="40">
        <v>0</v>
      </c>
      <c r="J217" s="40">
        <v>0</v>
      </c>
      <c r="K217" s="40">
        <v>0</v>
      </c>
    </row>
    <row r="218" spans="1:11" x14ac:dyDescent="0.25">
      <c r="A218" s="40">
        <v>540164</v>
      </c>
      <c r="B218" s="40" t="s">
        <v>70</v>
      </c>
      <c r="C218" s="40" t="s">
        <v>71</v>
      </c>
      <c r="D218" s="40" t="s">
        <v>5</v>
      </c>
      <c r="E218" s="40">
        <v>3</v>
      </c>
      <c r="F218" s="40">
        <v>0</v>
      </c>
      <c r="G218" s="40">
        <v>0</v>
      </c>
      <c r="H218" s="40">
        <v>0</v>
      </c>
      <c r="I218" s="40">
        <v>0</v>
      </c>
      <c r="J218" s="40">
        <v>0</v>
      </c>
      <c r="K218" s="40">
        <v>0</v>
      </c>
    </row>
    <row r="219" spans="1:11" x14ac:dyDescent="0.25">
      <c r="A219" s="40">
        <v>540081</v>
      </c>
      <c r="B219" s="40" t="s">
        <v>176</v>
      </c>
      <c r="C219" s="40" t="s">
        <v>71</v>
      </c>
      <c r="D219" s="40" t="s">
        <v>115</v>
      </c>
      <c r="E219" s="40">
        <v>3</v>
      </c>
      <c r="F219" s="40">
        <v>0</v>
      </c>
      <c r="G219" s="40">
        <v>0</v>
      </c>
      <c r="H219" s="40">
        <v>0</v>
      </c>
      <c r="I219" s="40">
        <v>0</v>
      </c>
      <c r="J219" s="40">
        <v>0</v>
      </c>
      <c r="K219" s="40">
        <v>0</v>
      </c>
    </row>
    <row r="220" spans="1:11" x14ac:dyDescent="0.25">
      <c r="A220" s="40">
        <v>540165</v>
      </c>
      <c r="B220" s="40" t="s">
        <v>238</v>
      </c>
      <c r="C220" s="40" t="s">
        <v>71</v>
      </c>
      <c r="D220" s="40" t="s">
        <v>115</v>
      </c>
      <c r="E220" s="40">
        <v>3</v>
      </c>
      <c r="F220" s="40">
        <v>0</v>
      </c>
      <c r="G220" s="40">
        <v>0</v>
      </c>
      <c r="H220" s="40">
        <v>0</v>
      </c>
      <c r="I220" s="40">
        <v>0</v>
      </c>
      <c r="J220" s="40">
        <v>0</v>
      </c>
      <c r="K220" s="40">
        <v>0</v>
      </c>
    </row>
    <row r="221" spans="1:11" x14ac:dyDescent="0.25">
      <c r="A221" s="40">
        <v>540166</v>
      </c>
      <c r="B221" s="40" t="s">
        <v>239</v>
      </c>
      <c r="C221" s="40" t="s">
        <v>71</v>
      </c>
      <c r="D221" s="40" t="s">
        <v>115</v>
      </c>
      <c r="E221" s="40">
        <v>3</v>
      </c>
      <c r="F221" s="40">
        <v>0</v>
      </c>
      <c r="G221" s="40">
        <v>0</v>
      </c>
      <c r="H221" s="40">
        <v>0</v>
      </c>
      <c r="I221" s="40">
        <v>0</v>
      </c>
      <c r="J221" s="40">
        <v>0</v>
      </c>
      <c r="K221" s="40">
        <v>0</v>
      </c>
    </row>
    <row r="222" spans="1:11" x14ac:dyDescent="0.25">
      <c r="A222" s="40">
        <v>540167</v>
      </c>
      <c r="B222" s="40" t="s">
        <v>240</v>
      </c>
      <c r="C222" s="40" t="s">
        <v>71</v>
      </c>
      <c r="D222" s="40" t="s">
        <v>115</v>
      </c>
      <c r="E222" s="40">
        <v>3</v>
      </c>
      <c r="F222" s="40">
        <v>0</v>
      </c>
      <c r="G222" s="40">
        <v>0</v>
      </c>
      <c r="H222" s="40">
        <v>0</v>
      </c>
      <c r="I222" s="40">
        <v>0</v>
      </c>
      <c r="J222" s="40">
        <v>0</v>
      </c>
      <c r="K222" s="40">
        <v>0</v>
      </c>
    </row>
    <row r="223" spans="1:11" x14ac:dyDescent="0.25">
      <c r="A223" s="40">
        <v>540168</v>
      </c>
      <c r="B223" s="40" t="s">
        <v>241</v>
      </c>
      <c r="C223" s="40" t="s">
        <v>71</v>
      </c>
      <c r="D223" s="40" t="s">
        <v>115</v>
      </c>
      <c r="E223" s="40">
        <v>3</v>
      </c>
      <c r="F223" s="40">
        <v>0</v>
      </c>
      <c r="G223" s="40">
        <v>0</v>
      </c>
      <c r="H223" s="40">
        <v>0</v>
      </c>
      <c r="I223" s="40">
        <v>0</v>
      </c>
      <c r="J223" s="40">
        <v>0</v>
      </c>
      <c r="K223" s="40">
        <v>0</v>
      </c>
    </row>
    <row r="224" spans="1:11" x14ac:dyDescent="0.25">
      <c r="A224" s="40">
        <v>540222</v>
      </c>
      <c r="B224" s="40" t="s">
        <v>276</v>
      </c>
      <c r="C224" s="40" t="s">
        <v>71</v>
      </c>
      <c r="D224" s="40" t="s">
        <v>115</v>
      </c>
      <c r="E224" s="40">
        <v>3</v>
      </c>
      <c r="F224" s="40">
        <v>0</v>
      </c>
      <c r="G224" s="40">
        <v>0</v>
      </c>
      <c r="H224" s="40">
        <v>0</v>
      </c>
      <c r="I224" s="40">
        <v>0</v>
      </c>
      <c r="J224" s="40">
        <v>0</v>
      </c>
      <c r="K224" s="40">
        <v>0</v>
      </c>
    </row>
    <row r="225" spans="1:11" x14ac:dyDescent="0.25">
      <c r="A225" s="40">
        <v>540271</v>
      </c>
      <c r="B225" s="40" t="s">
        <v>314</v>
      </c>
      <c r="C225" s="40" t="s">
        <v>71</v>
      </c>
      <c r="D225" s="40" t="s">
        <v>115</v>
      </c>
      <c r="E225" s="40">
        <v>3</v>
      </c>
      <c r="F225" s="40">
        <v>0</v>
      </c>
      <c r="G225" s="40">
        <v>0</v>
      </c>
      <c r="H225" s="40">
        <v>0</v>
      </c>
      <c r="I225" s="40">
        <v>0</v>
      </c>
      <c r="J225" s="40">
        <v>0</v>
      </c>
      <c r="K225" s="40">
        <v>0</v>
      </c>
    </row>
    <row r="226" spans="1:11" x14ac:dyDescent="0.25">
      <c r="A226" s="40"/>
      <c r="B226" s="40"/>
      <c r="C226" s="40" t="s">
        <v>71</v>
      </c>
      <c r="D226" s="40"/>
      <c r="E226" s="40"/>
      <c r="F226" s="40">
        <v>0</v>
      </c>
      <c r="G226" s="40">
        <v>0</v>
      </c>
      <c r="H226" s="40">
        <v>0</v>
      </c>
      <c r="I226" s="40">
        <v>0</v>
      </c>
      <c r="J226" s="40">
        <v>0</v>
      </c>
      <c r="K226" s="40">
        <v>0</v>
      </c>
    </row>
    <row r="227" spans="1:11" x14ac:dyDescent="0.25">
      <c r="A227" s="40">
        <v>540169</v>
      </c>
      <c r="B227" s="40" t="s">
        <v>72</v>
      </c>
      <c r="C227" s="40" t="s">
        <v>73</v>
      </c>
      <c r="D227" s="40" t="s">
        <v>5</v>
      </c>
      <c r="E227" s="40">
        <v>1</v>
      </c>
      <c r="F227" s="40">
        <v>0</v>
      </c>
      <c r="G227" s="40">
        <v>0</v>
      </c>
      <c r="H227" s="40">
        <v>0</v>
      </c>
      <c r="I227" s="40">
        <v>0</v>
      </c>
      <c r="J227" s="40">
        <v>0</v>
      </c>
      <c r="K227" s="40">
        <v>0</v>
      </c>
    </row>
    <row r="228" spans="1:11" x14ac:dyDescent="0.25">
      <c r="A228" s="40">
        <v>540170</v>
      </c>
      <c r="B228" s="40" t="s">
        <v>242</v>
      </c>
      <c r="C228" s="40" t="s">
        <v>73</v>
      </c>
      <c r="D228" s="40" t="s">
        <v>115</v>
      </c>
      <c r="E228" s="40">
        <v>1</v>
      </c>
      <c r="F228" s="40">
        <v>0</v>
      </c>
      <c r="G228" s="40">
        <v>0</v>
      </c>
      <c r="H228" s="40">
        <v>0</v>
      </c>
      <c r="I228" s="40">
        <v>0</v>
      </c>
      <c r="J228" s="40">
        <v>0</v>
      </c>
      <c r="K228" s="40">
        <v>0</v>
      </c>
    </row>
    <row r="229" spans="1:11" x14ac:dyDescent="0.25">
      <c r="A229" s="40">
        <v>540171</v>
      </c>
      <c r="B229" s="40" t="s">
        <v>243</v>
      </c>
      <c r="C229" s="40" t="s">
        <v>73</v>
      </c>
      <c r="D229" s="40" t="s">
        <v>115</v>
      </c>
      <c r="E229" s="40">
        <v>1</v>
      </c>
      <c r="F229" s="40">
        <v>0</v>
      </c>
      <c r="G229" s="40">
        <v>0</v>
      </c>
      <c r="H229" s="40">
        <v>0</v>
      </c>
      <c r="I229" s="40">
        <v>0</v>
      </c>
      <c r="J229" s="40">
        <v>0</v>
      </c>
      <c r="K229" s="40">
        <v>0</v>
      </c>
    </row>
    <row r="230" spans="1:11" x14ac:dyDescent="0.25">
      <c r="A230" s="40">
        <v>540173</v>
      </c>
      <c r="B230" s="40" t="s">
        <v>245</v>
      </c>
      <c r="C230" s="40" t="s">
        <v>73</v>
      </c>
      <c r="D230" s="40" t="s">
        <v>115</v>
      </c>
      <c r="E230" s="40">
        <v>1</v>
      </c>
      <c r="F230" s="40">
        <v>0</v>
      </c>
      <c r="G230" s="40">
        <v>0</v>
      </c>
      <c r="H230" s="40">
        <v>0</v>
      </c>
      <c r="I230" s="40">
        <v>0</v>
      </c>
      <c r="J230" s="40">
        <v>0</v>
      </c>
      <c r="K230" s="40">
        <v>0</v>
      </c>
    </row>
    <row r="231" spans="1:11" x14ac:dyDescent="0.25">
      <c r="A231" s="40">
        <v>540174</v>
      </c>
      <c r="B231" s="40" t="s">
        <v>246</v>
      </c>
      <c r="C231" s="40" t="s">
        <v>73</v>
      </c>
      <c r="D231" s="40" t="s">
        <v>115</v>
      </c>
      <c r="E231" s="40">
        <v>1</v>
      </c>
      <c r="F231" s="40">
        <v>0</v>
      </c>
      <c r="G231" s="40">
        <v>0</v>
      </c>
      <c r="H231" s="40">
        <v>0</v>
      </c>
      <c r="I231" s="40">
        <v>0</v>
      </c>
      <c r="J231" s="40">
        <v>0</v>
      </c>
      <c r="K231" s="40">
        <v>0</v>
      </c>
    </row>
    <row r="232" spans="1:11" x14ac:dyDescent="0.25">
      <c r="A232" s="40">
        <v>540286</v>
      </c>
      <c r="B232" s="40" t="s">
        <v>325</v>
      </c>
      <c r="C232" s="40" t="s">
        <v>73</v>
      </c>
      <c r="D232" s="40" t="s">
        <v>115</v>
      </c>
      <c r="E232" s="40">
        <v>1</v>
      </c>
      <c r="F232" s="40">
        <v>0</v>
      </c>
      <c r="G232" s="40">
        <v>0</v>
      </c>
      <c r="H232" s="40">
        <v>0</v>
      </c>
      <c r="I232" s="40">
        <v>0</v>
      </c>
      <c r="J232" s="40">
        <v>0</v>
      </c>
      <c r="K232" s="40">
        <v>0</v>
      </c>
    </row>
    <row r="233" spans="1:11" x14ac:dyDescent="0.25">
      <c r="A233" s="40"/>
      <c r="B233" s="40"/>
      <c r="C233" s="40" t="s">
        <v>73</v>
      </c>
      <c r="D233" s="40"/>
      <c r="E233" s="40"/>
      <c r="F233" s="40">
        <v>0</v>
      </c>
      <c r="G233" s="40">
        <v>0</v>
      </c>
      <c r="H233" s="40">
        <v>0</v>
      </c>
      <c r="I233" s="40">
        <v>0</v>
      </c>
      <c r="J233" s="40">
        <v>0</v>
      </c>
      <c r="K233" s="40">
        <v>0</v>
      </c>
    </row>
    <row r="234" spans="1:11" x14ac:dyDescent="0.25">
      <c r="A234" s="40">
        <v>540183</v>
      </c>
      <c r="B234" s="40" t="s">
        <v>76</v>
      </c>
      <c r="C234" s="40" t="s">
        <v>77</v>
      </c>
      <c r="D234" s="40" t="s">
        <v>5</v>
      </c>
      <c r="E234" s="40">
        <v>5</v>
      </c>
      <c r="F234" s="40">
        <v>0</v>
      </c>
      <c r="G234" s="40">
        <v>0</v>
      </c>
      <c r="H234" s="40">
        <v>0</v>
      </c>
      <c r="I234" s="40">
        <v>0</v>
      </c>
      <c r="J234" s="40">
        <v>0</v>
      </c>
      <c r="K234" s="40">
        <v>0</v>
      </c>
    </row>
    <row r="235" spans="1:11" x14ac:dyDescent="0.25">
      <c r="A235" s="40">
        <v>540184</v>
      </c>
      <c r="B235" s="40" t="s">
        <v>253</v>
      </c>
      <c r="C235" s="40" t="s">
        <v>77</v>
      </c>
      <c r="D235" s="40" t="s">
        <v>115</v>
      </c>
      <c r="E235" s="40">
        <v>5</v>
      </c>
      <c r="F235" s="40">
        <v>0</v>
      </c>
      <c r="G235" s="40">
        <v>0</v>
      </c>
      <c r="H235" s="40">
        <v>0</v>
      </c>
      <c r="I235" s="40">
        <v>0</v>
      </c>
      <c r="J235" s="40">
        <v>0</v>
      </c>
      <c r="K235" s="40">
        <v>0</v>
      </c>
    </row>
    <row r="236" spans="1:11" x14ac:dyDescent="0.25">
      <c r="A236" s="40">
        <v>540185</v>
      </c>
      <c r="B236" s="40" t="s">
        <v>254</v>
      </c>
      <c r="C236" s="40" t="s">
        <v>77</v>
      </c>
      <c r="D236" s="40" t="s">
        <v>115</v>
      </c>
      <c r="E236" s="40">
        <v>5</v>
      </c>
      <c r="F236" s="40">
        <v>0</v>
      </c>
      <c r="G236" s="40">
        <v>0</v>
      </c>
      <c r="H236" s="40">
        <v>0</v>
      </c>
      <c r="I236" s="40">
        <v>0</v>
      </c>
      <c r="J236" s="40">
        <v>0</v>
      </c>
      <c r="K236" s="40">
        <v>0</v>
      </c>
    </row>
    <row r="237" spans="1:11" x14ac:dyDescent="0.25">
      <c r="A237" s="40"/>
      <c r="B237" s="40"/>
      <c r="C237" s="40" t="s">
        <v>77</v>
      </c>
      <c r="D237" s="40"/>
      <c r="E237" s="40"/>
      <c r="F237" s="40">
        <v>0</v>
      </c>
      <c r="G237" s="40">
        <v>0</v>
      </c>
      <c r="H237" s="40">
        <v>0</v>
      </c>
      <c r="I237" s="40">
        <v>0</v>
      </c>
      <c r="J237" s="40">
        <v>0</v>
      </c>
      <c r="K237" s="40">
        <v>0</v>
      </c>
    </row>
    <row r="238" spans="1:11" x14ac:dyDescent="0.25">
      <c r="A238" s="40">
        <v>540186</v>
      </c>
      <c r="B238" s="40" t="s">
        <v>78</v>
      </c>
      <c r="C238" s="40" t="s">
        <v>79</v>
      </c>
      <c r="D238" s="40" t="s">
        <v>5</v>
      </c>
      <c r="E238" s="40">
        <v>1</v>
      </c>
      <c r="F238" s="40">
        <v>0</v>
      </c>
      <c r="G238" s="40">
        <v>0</v>
      </c>
      <c r="H238" s="40">
        <v>0</v>
      </c>
      <c r="I238" s="40">
        <v>0</v>
      </c>
      <c r="J238" s="40">
        <v>0</v>
      </c>
      <c r="K238" s="40">
        <v>0</v>
      </c>
    </row>
    <row r="239" spans="1:11" x14ac:dyDescent="0.25">
      <c r="A239" s="40">
        <v>540187</v>
      </c>
      <c r="B239" s="40" t="s">
        <v>255</v>
      </c>
      <c r="C239" s="40" t="s">
        <v>79</v>
      </c>
      <c r="D239" s="40" t="s">
        <v>115</v>
      </c>
      <c r="E239" s="40">
        <v>1</v>
      </c>
      <c r="F239" s="40">
        <v>0</v>
      </c>
      <c r="G239" s="40">
        <v>0</v>
      </c>
      <c r="H239" s="40">
        <v>0</v>
      </c>
      <c r="I239" s="40">
        <v>0</v>
      </c>
      <c r="J239" s="40">
        <v>0</v>
      </c>
      <c r="K239" s="40">
        <v>0</v>
      </c>
    </row>
    <row r="240" spans="1:11" x14ac:dyDescent="0.25">
      <c r="A240" s="40"/>
      <c r="B240" s="40"/>
      <c r="C240" s="40" t="s">
        <v>79</v>
      </c>
      <c r="D240" s="40"/>
      <c r="E240" s="40"/>
      <c r="F240" s="40">
        <v>0</v>
      </c>
      <c r="G240" s="40">
        <v>0</v>
      </c>
      <c r="H240" s="40">
        <v>0</v>
      </c>
      <c r="I240" s="40">
        <v>0</v>
      </c>
      <c r="J240" s="40">
        <v>0</v>
      </c>
      <c r="K240" s="40">
        <v>0</v>
      </c>
    </row>
    <row r="241" spans="1:11" x14ac:dyDescent="0.25">
      <c r="A241" s="40">
        <v>540188</v>
      </c>
      <c r="B241" s="40" t="s">
        <v>80</v>
      </c>
      <c r="C241" s="40" t="s">
        <v>81</v>
      </c>
      <c r="D241" s="40" t="s">
        <v>5</v>
      </c>
      <c r="E241" s="40">
        <v>6</v>
      </c>
      <c r="F241" s="40">
        <v>0</v>
      </c>
      <c r="G241" s="40">
        <v>0</v>
      </c>
      <c r="H241" s="40">
        <v>0</v>
      </c>
      <c r="I241" s="40">
        <v>0</v>
      </c>
      <c r="J241" s="40">
        <v>0</v>
      </c>
      <c r="K241" s="40">
        <v>0</v>
      </c>
    </row>
    <row r="242" spans="1:11" x14ac:dyDescent="0.25">
      <c r="A242" s="40">
        <v>540189</v>
      </c>
      <c r="B242" s="40" t="s">
        <v>256</v>
      </c>
      <c r="C242" s="40" t="s">
        <v>81</v>
      </c>
      <c r="D242" s="40" t="s">
        <v>115</v>
      </c>
      <c r="E242" s="40">
        <v>6</v>
      </c>
      <c r="F242" s="40">
        <v>0</v>
      </c>
      <c r="G242" s="40">
        <v>0</v>
      </c>
      <c r="H242" s="40">
        <v>0</v>
      </c>
      <c r="I242" s="40">
        <v>0</v>
      </c>
      <c r="J242" s="40">
        <v>0</v>
      </c>
      <c r="K242" s="40">
        <v>0</v>
      </c>
    </row>
    <row r="243" spans="1:11" x14ac:dyDescent="0.25">
      <c r="A243" s="40">
        <v>540190</v>
      </c>
      <c r="B243" s="40" t="s">
        <v>257</v>
      </c>
      <c r="C243" s="40" t="s">
        <v>81</v>
      </c>
      <c r="D243" s="40" t="s">
        <v>115</v>
      </c>
      <c r="E243" s="40">
        <v>6</v>
      </c>
      <c r="F243" s="40">
        <v>0</v>
      </c>
      <c r="G243" s="40">
        <v>0</v>
      </c>
      <c r="H243" s="40">
        <v>0</v>
      </c>
      <c r="I243" s="40">
        <v>0</v>
      </c>
      <c r="J243" s="40">
        <v>0</v>
      </c>
      <c r="K243" s="40">
        <v>0</v>
      </c>
    </row>
    <row r="244" spans="1:11" x14ac:dyDescent="0.25">
      <c r="A244" s="40"/>
      <c r="B244" s="40"/>
      <c r="C244" s="40" t="s">
        <v>81</v>
      </c>
      <c r="D244" s="40"/>
      <c r="E244" s="40"/>
      <c r="F244" s="40">
        <v>0</v>
      </c>
      <c r="G244" s="40">
        <v>0</v>
      </c>
      <c r="H244" s="40">
        <v>0</v>
      </c>
      <c r="I244" s="40">
        <v>0</v>
      </c>
      <c r="J244" s="40">
        <v>0</v>
      </c>
      <c r="K244" s="40">
        <v>0</v>
      </c>
    </row>
    <row r="245" spans="1:11" x14ac:dyDescent="0.25">
      <c r="A245" s="40">
        <v>540198</v>
      </c>
      <c r="B245" s="40" t="s">
        <v>82</v>
      </c>
      <c r="C245" s="40" t="s">
        <v>83</v>
      </c>
      <c r="D245" s="40" t="s">
        <v>5</v>
      </c>
      <c r="E245" s="40">
        <v>7</v>
      </c>
      <c r="F245" s="40">
        <v>0</v>
      </c>
      <c r="G245" s="40">
        <v>0</v>
      </c>
      <c r="H245" s="40">
        <v>0</v>
      </c>
      <c r="I245" s="40">
        <v>0</v>
      </c>
      <c r="J245" s="40">
        <v>0</v>
      </c>
      <c r="K245" s="40">
        <v>0</v>
      </c>
    </row>
    <row r="246" spans="1:11" x14ac:dyDescent="0.25">
      <c r="A246" s="40">
        <v>540199</v>
      </c>
      <c r="B246" s="40" t="s">
        <v>261</v>
      </c>
      <c r="C246" s="40" t="s">
        <v>83</v>
      </c>
      <c r="D246" s="40" t="s">
        <v>115</v>
      </c>
      <c r="E246" s="40">
        <v>7</v>
      </c>
      <c r="F246" s="40">
        <v>0</v>
      </c>
      <c r="G246" s="40">
        <v>0</v>
      </c>
      <c r="H246" s="40">
        <v>0</v>
      </c>
      <c r="I246" s="40">
        <v>0</v>
      </c>
      <c r="J246" s="40">
        <v>0</v>
      </c>
      <c r="K246" s="40">
        <v>0</v>
      </c>
    </row>
    <row r="247" spans="1:11" x14ac:dyDescent="0.25">
      <c r="A247" s="40"/>
      <c r="B247" s="40"/>
      <c r="C247" s="40" t="s">
        <v>83</v>
      </c>
      <c r="D247" s="40"/>
      <c r="E247" s="40"/>
      <c r="F247" s="40">
        <v>0</v>
      </c>
      <c r="G247" s="40">
        <v>0</v>
      </c>
      <c r="H247" s="40">
        <v>0</v>
      </c>
      <c r="I247" s="40">
        <v>0</v>
      </c>
      <c r="J247" s="40">
        <v>0</v>
      </c>
      <c r="K247" s="40">
        <v>0</v>
      </c>
    </row>
    <row r="248" spans="1:11" x14ac:dyDescent="0.25">
      <c r="A248" s="40">
        <v>540200</v>
      </c>
      <c r="B248" s="40" t="s">
        <v>84</v>
      </c>
      <c r="C248" s="40" t="s">
        <v>85</v>
      </c>
      <c r="D248" s="40" t="s">
        <v>5</v>
      </c>
      <c r="E248" s="40">
        <v>2</v>
      </c>
      <c r="F248" s="40">
        <v>2</v>
      </c>
      <c r="G248" s="40">
        <v>0</v>
      </c>
      <c r="H248" s="40">
        <v>1</v>
      </c>
      <c r="I248" s="40">
        <v>1</v>
      </c>
      <c r="J248" s="40">
        <v>0</v>
      </c>
      <c r="K248" s="40">
        <v>0</v>
      </c>
    </row>
    <row r="249" spans="1:11" x14ac:dyDescent="0.25">
      <c r="A249" s="40">
        <v>540018</v>
      </c>
      <c r="B249" s="40" t="s">
        <v>127</v>
      </c>
      <c r="C249" s="40" t="s">
        <v>85</v>
      </c>
      <c r="D249" s="40" t="s">
        <v>115</v>
      </c>
      <c r="E249" s="40">
        <v>2</v>
      </c>
      <c r="F249" s="40">
        <v>1</v>
      </c>
      <c r="G249" s="40">
        <v>0</v>
      </c>
      <c r="H249" s="40">
        <v>0</v>
      </c>
      <c r="I249" s="40">
        <v>1</v>
      </c>
      <c r="J249" s="40">
        <v>0</v>
      </c>
      <c r="K249" s="40">
        <v>0</v>
      </c>
    </row>
    <row r="250" spans="1:11" x14ac:dyDescent="0.25">
      <c r="A250" s="40">
        <v>540202</v>
      </c>
      <c r="B250" s="40" t="s">
        <v>262</v>
      </c>
      <c r="C250" s="40" t="s">
        <v>85</v>
      </c>
      <c r="D250" s="40" t="s">
        <v>115</v>
      </c>
      <c r="E250" s="40">
        <v>2</v>
      </c>
      <c r="F250" s="40">
        <v>0</v>
      </c>
      <c r="G250" s="40">
        <v>0</v>
      </c>
      <c r="H250" s="40">
        <v>0</v>
      </c>
      <c r="I250" s="40">
        <v>0</v>
      </c>
      <c r="J250" s="40">
        <v>0</v>
      </c>
      <c r="K250" s="40">
        <v>0</v>
      </c>
    </row>
    <row r="251" spans="1:11" x14ac:dyDescent="0.25">
      <c r="A251" s="40">
        <v>540221</v>
      </c>
      <c r="B251" s="40" t="s">
        <v>275</v>
      </c>
      <c r="C251" s="40" t="s">
        <v>85</v>
      </c>
      <c r="D251" s="40" t="s">
        <v>115</v>
      </c>
      <c r="E251" s="40">
        <v>2</v>
      </c>
      <c r="F251" s="40">
        <v>1</v>
      </c>
      <c r="G251" s="40">
        <v>0</v>
      </c>
      <c r="H251" s="40">
        <v>1</v>
      </c>
      <c r="I251" s="40">
        <v>0</v>
      </c>
      <c r="J251" s="40">
        <v>0</v>
      </c>
      <c r="K251" s="40">
        <v>0</v>
      </c>
    </row>
    <row r="252" spans="1:11" x14ac:dyDescent="0.25">
      <c r="A252" s="40">
        <v>540231</v>
      </c>
      <c r="B252" s="40" t="s">
        <v>281</v>
      </c>
      <c r="C252" s="40" t="s">
        <v>85</v>
      </c>
      <c r="D252" s="40" t="s">
        <v>115</v>
      </c>
      <c r="E252" s="40">
        <v>2</v>
      </c>
      <c r="F252" s="40">
        <v>0</v>
      </c>
      <c r="G252" s="40">
        <v>0</v>
      </c>
      <c r="H252" s="40">
        <v>0</v>
      </c>
      <c r="I252" s="40">
        <v>0</v>
      </c>
      <c r="J252" s="40">
        <v>0</v>
      </c>
      <c r="K252" s="40">
        <v>0</v>
      </c>
    </row>
    <row r="253" spans="1:11" x14ac:dyDescent="0.25">
      <c r="A253" s="40">
        <v>540232</v>
      </c>
      <c r="B253" s="40" t="s">
        <v>282</v>
      </c>
      <c r="C253" s="40" t="s">
        <v>85</v>
      </c>
      <c r="D253" s="40" t="s">
        <v>115</v>
      </c>
      <c r="E253" s="40">
        <v>2</v>
      </c>
      <c r="F253" s="40">
        <v>2</v>
      </c>
      <c r="G253" s="40">
        <v>0</v>
      </c>
      <c r="H253" s="40">
        <v>1</v>
      </c>
      <c r="I253" s="40">
        <v>1</v>
      </c>
      <c r="J253" s="40">
        <v>0</v>
      </c>
      <c r="K253" s="40">
        <v>0</v>
      </c>
    </row>
    <row r="254" spans="1:11" x14ac:dyDescent="0.25">
      <c r="A254" s="40"/>
      <c r="B254" s="40"/>
      <c r="C254" s="40" t="s">
        <v>85</v>
      </c>
      <c r="D254" s="40"/>
      <c r="E254" s="40"/>
      <c r="F254" s="40">
        <v>6</v>
      </c>
      <c r="G254" s="40">
        <v>0</v>
      </c>
      <c r="H254" s="40">
        <v>3</v>
      </c>
      <c r="I254" s="40">
        <v>3</v>
      </c>
      <c r="J254" s="40">
        <v>0</v>
      </c>
      <c r="K254" s="40">
        <v>0</v>
      </c>
    </row>
    <row r="255" spans="1:11" x14ac:dyDescent="0.25">
      <c r="A255" s="40">
        <v>540203</v>
      </c>
      <c r="B255" s="40" t="s">
        <v>86</v>
      </c>
      <c r="C255" s="40" t="s">
        <v>87</v>
      </c>
      <c r="D255" s="40" t="s">
        <v>5</v>
      </c>
      <c r="E255" s="40">
        <v>4</v>
      </c>
      <c r="F255" s="40">
        <v>0</v>
      </c>
      <c r="G255" s="40">
        <v>0</v>
      </c>
      <c r="H255" s="40">
        <v>0</v>
      </c>
      <c r="I255" s="40">
        <v>0</v>
      </c>
      <c r="J255" s="40">
        <v>0</v>
      </c>
      <c r="K255" s="40">
        <v>0</v>
      </c>
    </row>
    <row r="256" spans="1:11" x14ac:dyDescent="0.25">
      <c r="A256" s="40">
        <v>540204</v>
      </c>
      <c r="B256" s="40" t="s">
        <v>263</v>
      </c>
      <c r="C256" s="40" t="s">
        <v>87</v>
      </c>
      <c r="D256" s="40" t="s">
        <v>115</v>
      </c>
      <c r="E256" s="40">
        <v>4</v>
      </c>
      <c r="F256" s="40">
        <v>0</v>
      </c>
      <c r="G256" s="40">
        <v>0</v>
      </c>
      <c r="H256" s="40">
        <v>0</v>
      </c>
      <c r="I256" s="40">
        <v>0</v>
      </c>
      <c r="J256" s="40">
        <v>0</v>
      </c>
      <c r="K256" s="40">
        <v>0</v>
      </c>
    </row>
    <row r="257" spans="1:11" x14ac:dyDescent="0.25">
      <c r="A257" s="40">
        <v>540205</v>
      </c>
      <c r="B257" s="40" t="s">
        <v>264</v>
      </c>
      <c r="C257" s="40" t="s">
        <v>87</v>
      </c>
      <c r="D257" s="40" t="s">
        <v>115</v>
      </c>
      <c r="E257" s="40">
        <v>4</v>
      </c>
      <c r="F257" s="40">
        <v>0</v>
      </c>
      <c r="G257" s="40">
        <v>0</v>
      </c>
      <c r="H257" s="40">
        <v>0</v>
      </c>
      <c r="I257" s="40">
        <v>0</v>
      </c>
      <c r="J257" s="40">
        <v>0</v>
      </c>
      <c r="K257" s="40">
        <v>0</v>
      </c>
    </row>
    <row r="258" spans="1:11" x14ac:dyDescent="0.25">
      <c r="A258" s="40">
        <v>540206</v>
      </c>
      <c r="B258" s="40" t="s">
        <v>265</v>
      </c>
      <c r="C258" s="40" t="s">
        <v>87</v>
      </c>
      <c r="D258" s="40" t="s">
        <v>115</v>
      </c>
      <c r="E258" s="40">
        <v>4</v>
      </c>
      <c r="F258" s="40">
        <v>0</v>
      </c>
      <c r="G258" s="40">
        <v>0</v>
      </c>
      <c r="H258" s="40">
        <v>0</v>
      </c>
      <c r="I258" s="40">
        <v>0</v>
      </c>
      <c r="J258" s="40">
        <v>0</v>
      </c>
      <c r="K258" s="40">
        <v>0</v>
      </c>
    </row>
    <row r="259" spans="1:11" x14ac:dyDescent="0.25">
      <c r="A259" s="40"/>
      <c r="B259" s="40"/>
      <c r="C259" s="40" t="s">
        <v>87</v>
      </c>
      <c r="D259" s="40"/>
      <c r="E259" s="40"/>
      <c r="F259" s="40">
        <v>0</v>
      </c>
      <c r="G259" s="40">
        <v>0</v>
      </c>
      <c r="H259" s="40">
        <v>0</v>
      </c>
      <c r="I259" s="40">
        <v>0</v>
      </c>
      <c r="J259" s="40">
        <v>0</v>
      </c>
      <c r="K259" s="40">
        <v>0</v>
      </c>
    </row>
    <row r="260" spans="1:11" x14ac:dyDescent="0.25">
      <c r="A260" s="40">
        <v>540207</v>
      </c>
      <c r="B260" s="40" t="s">
        <v>88</v>
      </c>
      <c r="C260" s="40" t="s">
        <v>89</v>
      </c>
      <c r="D260" s="40" t="s">
        <v>5</v>
      </c>
      <c r="E260" s="40">
        <v>10</v>
      </c>
      <c r="F260" s="40">
        <v>0</v>
      </c>
      <c r="G260" s="40">
        <v>0</v>
      </c>
      <c r="H260" s="40">
        <v>0</v>
      </c>
      <c r="I260" s="40">
        <v>0</v>
      </c>
      <c r="J260" s="40">
        <v>0</v>
      </c>
      <c r="K260" s="40">
        <v>0</v>
      </c>
    </row>
    <row r="261" spans="1:11" x14ac:dyDescent="0.25">
      <c r="A261" s="40">
        <v>540196</v>
      </c>
      <c r="B261" s="40" t="s">
        <v>259</v>
      </c>
      <c r="C261" s="40" t="s">
        <v>89</v>
      </c>
      <c r="D261" s="40" t="s">
        <v>115</v>
      </c>
      <c r="E261" s="40">
        <v>5</v>
      </c>
      <c r="F261" s="40">
        <v>0</v>
      </c>
      <c r="G261" s="40">
        <v>0</v>
      </c>
      <c r="H261" s="40">
        <v>0</v>
      </c>
      <c r="I261" s="40">
        <v>0</v>
      </c>
      <c r="J261" s="40">
        <v>0</v>
      </c>
      <c r="K261" s="40">
        <v>0</v>
      </c>
    </row>
    <row r="262" spans="1:11" x14ac:dyDescent="0.25">
      <c r="A262" s="40">
        <v>540208</v>
      </c>
      <c r="B262" s="40" t="s">
        <v>266</v>
      </c>
      <c r="C262" s="40" t="s">
        <v>89</v>
      </c>
      <c r="D262" s="40" t="s">
        <v>115</v>
      </c>
      <c r="E262" s="40">
        <v>10</v>
      </c>
      <c r="F262" s="40">
        <v>0</v>
      </c>
      <c r="G262" s="40">
        <v>0</v>
      </c>
      <c r="H262" s="40">
        <v>0</v>
      </c>
      <c r="I262" s="40">
        <v>0</v>
      </c>
      <c r="J262" s="40">
        <v>0</v>
      </c>
      <c r="K262" s="40">
        <v>0</v>
      </c>
    </row>
    <row r="263" spans="1:11" x14ac:dyDescent="0.25">
      <c r="A263" s="40">
        <v>540210</v>
      </c>
      <c r="B263" s="40" t="s">
        <v>267</v>
      </c>
      <c r="C263" s="40" t="s">
        <v>89</v>
      </c>
      <c r="D263" s="40" t="s">
        <v>115</v>
      </c>
      <c r="E263" s="40">
        <v>10</v>
      </c>
      <c r="F263" s="40">
        <v>0</v>
      </c>
      <c r="G263" s="40">
        <v>0</v>
      </c>
      <c r="H263" s="40">
        <v>0</v>
      </c>
      <c r="I263" s="40">
        <v>0</v>
      </c>
      <c r="J263" s="40">
        <v>0</v>
      </c>
      <c r="K263" s="40">
        <v>0</v>
      </c>
    </row>
    <row r="264" spans="1:11" x14ac:dyDescent="0.25">
      <c r="A264" s="40">
        <v>540256</v>
      </c>
      <c r="B264" s="40" t="s">
        <v>301</v>
      </c>
      <c r="C264" s="40" t="s">
        <v>89</v>
      </c>
      <c r="D264" s="40" t="s">
        <v>115</v>
      </c>
      <c r="E264" s="40">
        <v>10</v>
      </c>
      <c r="F264" s="40">
        <v>0</v>
      </c>
      <c r="G264" s="40">
        <v>0</v>
      </c>
      <c r="H264" s="40">
        <v>0</v>
      </c>
      <c r="I264" s="40">
        <v>0</v>
      </c>
      <c r="J264" s="40">
        <v>0</v>
      </c>
      <c r="K264" s="40">
        <v>0</v>
      </c>
    </row>
    <row r="265" spans="1:11" x14ac:dyDescent="0.25">
      <c r="A265" s="40">
        <v>540258</v>
      </c>
      <c r="B265" s="40" t="s">
        <v>303</v>
      </c>
      <c r="C265" s="40" t="s">
        <v>89</v>
      </c>
      <c r="D265" s="40" t="s">
        <v>115</v>
      </c>
      <c r="E265" s="40">
        <v>10</v>
      </c>
      <c r="F265" s="40">
        <v>0</v>
      </c>
      <c r="G265" s="40">
        <v>0</v>
      </c>
      <c r="H265" s="40">
        <v>0</v>
      </c>
      <c r="I265" s="40">
        <v>0</v>
      </c>
      <c r="J265" s="40">
        <v>0</v>
      </c>
      <c r="K265" s="40">
        <v>0</v>
      </c>
    </row>
    <row r="266" spans="1:11" x14ac:dyDescent="0.25">
      <c r="A266" s="40"/>
      <c r="B266" s="40"/>
      <c r="C266" s="40" t="s">
        <v>89</v>
      </c>
      <c r="D266" s="40"/>
      <c r="E266" s="40"/>
      <c r="F266" s="40">
        <v>0</v>
      </c>
      <c r="G266" s="40">
        <v>0</v>
      </c>
      <c r="H266" s="40">
        <v>0</v>
      </c>
      <c r="I266" s="40">
        <v>0</v>
      </c>
      <c r="J266" s="40">
        <v>0</v>
      </c>
      <c r="K266" s="40">
        <v>0</v>
      </c>
    </row>
    <row r="267" spans="1:11" x14ac:dyDescent="0.25">
      <c r="A267" s="40">
        <v>540211</v>
      </c>
      <c r="B267" s="40" t="s">
        <v>90</v>
      </c>
      <c r="C267" s="40" t="s">
        <v>91</v>
      </c>
      <c r="D267" s="40" t="s">
        <v>5</v>
      </c>
      <c r="E267" s="40">
        <v>5</v>
      </c>
      <c r="F267" s="40">
        <v>0</v>
      </c>
      <c r="G267" s="40">
        <v>0</v>
      </c>
      <c r="H267" s="40">
        <v>0</v>
      </c>
      <c r="I267" s="40">
        <v>0</v>
      </c>
      <c r="J267" s="40">
        <v>0</v>
      </c>
      <c r="K267" s="40">
        <v>0</v>
      </c>
    </row>
    <row r="268" spans="1:11" x14ac:dyDescent="0.25">
      <c r="A268" s="40">
        <v>540212</v>
      </c>
      <c r="B268" s="40" t="s">
        <v>268</v>
      </c>
      <c r="C268" s="40" t="s">
        <v>91</v>
      </c>
      <c r="D268" s="40" t="s">
        <v>115</v>
      </c>
      <c r="E268" s="40">
        <v>5</v>
      </c>
      <c r="F268" s="40">
        <v>0</v>
      </c>
      <c r="G268" s="40">
        <v>0</v>
      </c>
      <c r="H268" s="40">
        <v>0</v>
      </c>
      <c r="I268" s="40">
        <v>0</v>
      </c>
      <c r="J268" s="40">
        <v>0</v>
      </c>
      <c r="K268" s="40">
        <v>0</v>
      </c>
    </row>
    <row r="269" spans="1:11" x14ac:dyDescent="0.25">
      <c r="A269" s="40"/>
      <c r="B269" s="40"/>
      <c r="C269" s="40" t="s">
        <v>91</v>
      </c>
      <c r="D269" s="40"/>
      <c r="E269" s="40"/>
      <c r="F269" s="40">
        <v>0</v>
      </c>
      <c r="G269" s="40">
        <v>0</v>
      </c>
      <c r="H269" s="40">
        <v>0</v>
      </c>
      <c r="I269" s="40">
        <v>0</v>
      </c>
      <c r="J269" s="40">
        <v>0</v>
      </c>
      <c r="K269" s="40">
        <v>0</v>
      </c>
    </row>
    <row r="270" spans="1:11" x14ac:dyDescent="0.25">
      <c r="A270" s="40">
        <v>540213</v>
      </c>
      <c r="B270" s="40" t="s">
        <v>92</v>
      </c>
      <c r="C270" s="40" t="s">
        <v>93</v>
      </c>
      <c r="D270" s="40" t="s">
        <v>5</v>
      </c>
      <c r="E270" s="40">
        <v>5</v>
      </c>
      <c r="F270" s="40">
        <v>1</v>
      </c>
      <c r="G270" s="40">
        <v>0</v>
      </c>
      <c r="H270" s="40">
        <v>0</v>
      </c>
      <c r="I270" s="40">
        <v>1</v>
      </c>
      <c r="J270" s="40">
        <v>0</v>
      </c>
      <c r="K270" s="40">
        <v>0</v>
      </c>
    </row>
    <row r="271" spans="1:11" x14ac:dyDescent="0.25">
      <c r="A271" s="40">
        <v>540042</v>
      </c>
      <c r="B271" s="40" t="s">
        <v>143</v>
      </c>
      <c r="C271" s="40" t="s">
        <v>93</v>
      </c>
      <c r="D271" s="40" t="s">
        <v>115</v>
      </c>
      <c r="E271" s="40">
        <v>5</v>
      </c>
      <c r="F271" s="40">
        <v>0</v>
      </c>
      <c r="G271" s="40">
        <v>0</v>
      </c>
      <c r="H271" s="40">
        <v>0</v>
      </c>
      <c r="I271" s="40">
        <v>0</v>
      </c>
      <c r="J271" s="40">
        <v>0</v>
      </c>
      <c r="K271" s="40">
        <v>0</v>
      </c>
    </row>
    <row r="272" spans="1:11" x14ac:dyDescent="0.25">
      <c r="A272" s="40">
        <v>540214</v>
      </c>
      <c r="B272" s="40" t="s">
        <v>269</v>
      </c>
      <c r="C272" s="40" t="s">
        <v>93</v>
      </c>
      <c r="D272" s="40" t="s">
        <v>115</v>
      </c>
      <c r="E272" s="40">
        <v>5</v>
      </c>
      <c r="F272" s="40">
        <v>1</v>
      </c>
      <c r="G272" s="40">
        <v>0</v>
      </c>
      <c r="H272" s="40">
        <v>0</v>
      </c>
      <c r="I272" s="40">
        <v>1</v>
      </c>
      <c r="J272" s="40">
        <v>0</v>
      </c>
      <c r="K272" s="40">
        <v>0</v>
      </c>
    </row>
    <row r="273" spans="1:11" x14ac:dyDescent="0.25">
      <c r="A273" s="40">
        <v>540215</v>
      </c>
      <c r="B273" s="40" t="s">
        <v>270</v>
      </c>
      <c r="C273" s="40" t="s">
        <v>93</v>
      </c>
      <c r="D273" s="40" t="s">
        <v>115</v>
      </c>
      <c r="E273" s="40">
        <v>5</v>
      </c>
      <c r="F273" s="40">
        <v>0</v>
      </c>
      <c r="G273" s="40">
        <v>0</v>
      </c>
      <c r="H273" s="40">
        <v>0</v>
      </c>
      <c r="I273" s="40">
        <v>0</v>
      </c>
      <c r="J273" s="40">
        <v>0</v>
      </c>
      <c r="K273" s="40">
        <v>0</v>
      </c>
    </row>
    <row r="274" spans="1:11" x14ac:dyDescent="0.25">
      <c r="A274" s="40">
        <v>540216</v>
      </c>
      <c r="B274" s="40" t="s">
        <v>271</v>
      </c>
      <c r="C274" s="40" t="s">
        <v>93</v>
      </c>
      <c r="D274" s="40" t="s">
        <v>115</v>
      </c>
      <c r="E274" s="40">
        <v>5</v>
      </c>
      <c r="F274" s="40">
        <v>0</v>
      </c>
      <c r="G274" s="40">
        <v>0</v>
      </c>
      <c r="H274" s="40">
        <v>0</v>
      </c>
      <c r="I274" s="40">
        <v>0</v>
      </c>
      <c r="J274" s="40">
        <v>0</v>
      </c>
      <c r="K274" s="40">
        <v>0</v>
      </c>
    </row>
    <row r="275" spans="1:11" x14ac:dyDescent="0.25">
      <c r="A275" s="40"/>
      <c r="B275" s="40"/>
      <c r="C275" s="40" t="s">
        <v>93</v>
      </c>
      <c r="D275" s="40"/>
      <c r="E275" s="40"/>
      <c r="F275" s="40">
        <v>2</v>
      </c>
      <c r="G275" s="40">
        <v>0</v>
      </c>
      <c r="H275" s="40">
        <v>0</v>
      </c>
      <c r="I275" s="40">
        <v>2</v>
      </c>
      <c r="J275" s="40">
        <v>0</v>
      </c>
      <c r="K275" s="40">
        <v>0</v>
      </c>
    </row>
    <row r="276" spans="1:11" x14ac:dyDescent="0.25">
      <c r="A276" s="40">
        <v>540224</v>
      </c>
      <c r="B276" s="40" t="s">
        <v>96</v>
      </c>
      <c r="C276" s="40" t="s">
        <v>97</v>
      </c>
      <c r="D276" s="40" t="s">
        <v>5</v>
      </c>
      <c r="E276" s="40">
        <v>5</v>
      </c>
      <c r="F276" s="40">
        <v>0</v>
      </c>
      <c r="G276" s="40">
        <v>0</v>
      </c>
      <c r="H276" s="40">
        <v>0</v>
      </c>
      <c r="I276" s="40">
        <v>0</v>
      </c>
      <c r="J276" s="40">
        <v>0</v>
      </c>
      <c r="K276" s="40">
        <v>0</v>
      </c>
    </row>
    <row r="277" spans="1:11" x14ac:dyDescent="0.25">
      <c r="A277" s="40">
        <v>540132</v>
      </c>
      <c r="B277" s="40" t="s">
        <v>216</v>
      </c>
      <c r="C277" s="40" t="s">
        <v>97</v>
      </c>
      <c r="D277" s="40" t="s">
        <v>115</v>
      </c>
      <c r="E277" s="40">
        <v>5</v>
      </c>
      <c r="F277" s="40">
        <v>0</v>
      </c>
      <c r="G277" s="40">
        <v>0</v>
      </c>
      <c r="H277" s="40">
        <v>0</v>
      </c>
      <c r="I277" s="40">
        <v>0</v>
      </c>
      <c r="J277" s="40">
        <v>0</v>
      </c>
      <c r="K277" s="40">
        <v>0</v>
      </c>
    </row>
    <row r="278" spans="1:11" x14ac:dyDescent="0.25">
      <c r="A278" s="40">
        <v>540179</v>
      </c>
      <c r="B278" s="40" t="s">
        <v>250</v>
      </c>
      <c r="C278" s="40" t="s">
        <v>97</v>
      </c>
      <c r="D278" s="40" t="s">
        <v>115</v>
      </c>
      <c r="E278" s="40">
        <v>5</v>
      </c>
      <c r="F278" s="40">
        <v>0</v>
      </c>
      <c r="G278" s="40">
        <v>0</v>
      </c>
      <c r="H278" s="40">
        <v>0</v>
      </c>
      <c r="I278" s="40">
        <v>0</v>
      </c>
      <c r="J278" s="40">
        <v>0</v>
      </c>
      <c r="K278" s="40">
        <v>0</v>
      </c>
    </row>
    <row r="279" spans="1:11" x14ac:dyDescent="0.25">
      <c r="A279" s="40">
        <v>540180</v>
      </c>
      <c r="B279" s="40" t="s">
        <v>251</v>
      </c>
      <c r="C279" s="40" t="s">
        <v>97</v>
      </c>
      <c r="D279" s="40" t="s">
        <v>115</v>
      </c>
      <c r="E279" s="40">
        <v>5</v>
      </c>
      <c r="F279" s="40">
        <v>0</v>
      </c>
      <c r="G279" s="40">
        <v>0</v>
      </c>
      <c r="H279" s="40">
        <v>0</v>
      </c>
      <c r="I279" s="40">
        <v>0</v>
      </c>
      <c r="J279" s="40">
        <v>0</v>
      </c>
      <c r="K279" s="40">
        <v>0</v>
      </c>
    </row>
    <row r="280" spans="1:11" x14ac:dyDescent="0.25">
      <c r="A280" s="40">
        <v>540182</v>
      </c>
      <c r="B280" s="40" t="s">
        <v>252</v>
      </c>
      <c r="C280" s="40" t="s">
        <v>97</v>
      </c>
      <c r="D280" s="40" t="s">
        <v>115</v>
      </c>
      <c r="E280" s="40">
        <v>5</v>
      </c>
      <c r="F280" s="40">
        <v>0</v>
      </c>
      <c r="G280" s="40">
        <v>0</v>
      </c>
      <c r="H280" s="40">
        <v>0</v>
      </c>
      <c r="I280" s="40">
        <v>0</v>
      </c>
      <c r="J280" s="40">
        <v>0</v>
      </c>
      <c r="K280" s="40">
        <v>0</v>
      </c>
    </row>
    <row r="281" spans="1:11" x14ac:dyDescent="0.25">
      <c r="A281" s="40">
        <v>540262</v>
      </c>
      <c r="B281" s="40" t="s">
        <v>305</v>
      </c>
      <c r="C281" s="40" t="s">
        <v>97</v>
      </c>
      <c r="D281" s="40" t="s">
        <v>115</v>
      </c>
      <c r="E281" s="40">
        <v>5</v>
      </c>
      <c r="F281" s="40">
        <v>0</v>
      </c>
      <c r="G281" s="40">
        <v>0</v>
      </c>
      <c r="H281" s="40">
        <v>0</v>
      </c>
      <c r="I281" s="40">
        <v>0</v>
      </c>
      <c r="J281" s="40">
        <v>0</v>
      </c>
      <c r="K281" s="40">
        <v>0</v>
      </c>
    </row>
    <row r="282" spans="1:11" x14ac:dyDescent="0.25">
      <c r="A282" s="40">
        <v>540263</v>
      </c>
      <c r="B282" s="40" t="s">
        <v>306</v>
      </c>
      <c r="C282" s="40" t="s">
        <v>97</v>
      </c>
      <c r="D282" s="40" t="s">
        <v>115</v>
      </c>
      <c r="E282" s="40">
        <v>5</v>
      </c>
      <c r="F282" s="40">
        <v>0</v>
      </c>
      <c r="G282" s="40">
        <v>0</v>
      </c>
      <c r="H282" s="40">
        <v>0</v>
      </c>
      <c r="I282" s="40">
        <v>0</v>
      </c>
      <c r="J282" s="40">
        <v>0</v>
      </c>
      <c r="K282" s="40">
        <v>0</v>
      </c>
    </row>
    <row r="283" spans="1:11" x14ac:dyDescent="0.25">
      <c r="A283" s="40"/>
      <c r="B283" s="40"/>
      <c r="C283" s="40" t="s">
        <v>97</v>
      </c>
      <c r="D283" s="40"/>
      <c r="E283" s="40"/>
      <c r="F283" s="40">
        <v>0</v>
      </c>
      <c r="G283" s="40">
        <v>0</v>
      </c>
      <c r="H283" s="40">
        <v>0</v>
      </c>
      <c r="I283" s="40">
        <v>0</v>
      </c>
      <c r="J283" s="40">
        <v>0</v>
      </c>
      <c r="K283" s="40">
        <v>0</v>
      </c>
    </row>
    <row r="284" spans="1:11" x14ac:dyDescent="0.25">
      <c r="A284" s="40">
        <v>540225</v>
      </c>
      <c r="B284" s="40" t="s">
        <v>98</v>
      </c>
      <c r="C284" s="40" t="s">
        <v>99</v>
      </c>
      <c r="D284" s="40" t="s">
        <v>5</v>
      </c>
      <c r="E284" s="40">
        <v>5</v>
      </c>
      <c r="F284" s="40">
        <v>0</v>
      </c>
      <c r="G284" s="40">
        <v>0</v>
      </c>
      <c r="H284" s="40">
        <v>0</v>
      </c>
      <c r="I284" s="40">
        <v>0</v>
      </c>
      <c r="J284" s="40">
        <v>0</v>
      </c>
      <c r="K284" s="40">
        <v>0</v>
      </c>
    </row>
    <row r="285" spans="1:11" x14ac:dyDescent="0.25">
      <c r="A285" s="40">
        <v>540156</v>
      </c>
      <c r="B285" s="40" t="s">
        <v>232</v>
      </c>
      <c r="C285" s="40" t="s">
        <v>99</v>
      </c>
      <c r="D285" s="40" t="s">
        <v>115</v>
      </c>
      <c r="E285" s="40">
        <v>5</v>
      </c>
      <c r="F285" s="40">
        <v>0</v>
      </c>
      <c r="G285" s="40">
        <v>0</v>
      </c>
      <c r="H285" s="40">
        <v>0</v>
      </c>
      <c r="I285" s="40">
        <v>0</v>
      </c>
      <c r="J285" s="40">
        <v>0</v>
      </c>
      <c r="K285" s="40">
        <v>0</v>
      </c>
    </row>
    <row r="286" spans="1:11" x14ac:dyDescent="0.25">
      <c r="A286" s="40">
        <v>540253</v>
      </c>
      <c r="B286" s="40" t="s">
        <v>299</v>
      </c>
      <c r="C286" s="40" t="s">
        <v>99</v>
      </c>
      <c r="D286" s="40" t="s">
        <v>115</v>
      </c>
      <c r="E286" s="40">
        <v>5</v>
      </c>
      <c r="F286" s="40">
        <v>0</v>
      </c>
      <c r="G286" s="40">
        <v>0</v>
      </c>
      <c r="H286" s="40">
        <v>0</v>
      </c>
      <c r="I286" s="40">
        <v>0</v>
      </c>
      <c r="J286" s="40">
        <v>0</v>
      </c>
      <c r="K286" s="40">
        <v>0</v>
      </c>
    </row>
    <row r="287" spans="1:11" x14ac:dyDescent="0.25">
      <c r="A287" s="40"/>
      <c r="B287" s="40"/>
      <c r="C287" s="40" t="s">
        <v>99</v>
      </c>
      <c r="D287" s="40"/>
      <c r="E287" s="40"/>
      <c r="F287" s="40">
        <v>0</v>
      </c>
      <c r="G287" s="40">
        <v>0</v>
      </c>
      <c r="H287" s="40">
        <v>0</v>
      </c>
      <c r="I287" s="40">
        <v>0</v>
      </c>
      <c r="J287" s="40">
        <v>0</v>
      </c>
      <c r="K287" s="40">
        <v>0</v>
      </c>
    </row>
    <row r="288" spans="1:11" x14ac:dyDescent="0.25">
      <c r="A288" s="40">
        <v>540226</v>
      </c>
      <c r="B288" s="40" t="s">
        <v>100</v>
      </c>
      <c r="C288" s="40" t="s">
        <v>101</v>
      </c>
      <c r="D288" s="40" t="s">
        <v>5</v>
      </c>
      <c r="E288" s="40">
        <v>8</v>
      </c>
      <c r="F288" s="40">
        <v>0</v>
      </c>
      <c r="G288" s="40">
        <v>0</v>
      </c>
      <c r="H288" s="40">
        <v>0</v>
      </c>
      <c r="I288" s="40">
        <v>0</v>
      </c>
      <c r="J288" s="40">
        <v>0</v>
      </c>
      <c r="K288" s="40">
        <v>0</v>
      </c>
    </row>
    <row r="289" spans="1:11" x14ac:dyDescent="0.25">
      <c r="A289" s="40">
        <v>540046</v>
      </c>
      <c r="B289" s="40" t="s">
        <v>147</v>
      </c>
      <c r="C289" s="40" t="s">
        <v>101</v>
      </c>
      <c r="D289" s="40" t="s">
        <v>115</v>
      </c>
      <c r="E289" s="40">
        <v>8</v>
      </c>
      <c r="F289" s="40">
        <v>0</v>
      </c>
      <c r="G289" s="40">
        <v>0</v>
      </c>
      <c r="H289" s="40">
        <v>0</v>
      </c>
      <c r="I289" s="40">
        <v>0</v>
      </c>
      <c r="J289" s="40">
        <v>0</v>
      </c>
      <c r="K289" s="40">
        <v>0</v>
      </c>
    </row>
    <row r="290" spans="1:11" x14ac:dyDescent="0.25">
      <c r="A290" s="40">
        <v>540276</v>
      </c>
      <c r="B290" s="40" t="s">
        <v>319</v>
      </c>
      <c r="C290" s="40" t="s">
        <v>101</v>
      </c>
      <c r="D290" s="40" t="s">
        <v>115</v>
      </c>
      <c r="E290" s="40">
        <v>8</v>
      </c>
      <c r="F290" s="40">
        <v>0</v>
      </c>
      <c r="G290" s="40">
        <v>0</v>
      </c>
      <c r="H290" s="40">
        <v>0</v>
      </c>
      <c r="I290" s="40">
        <v>0</v>
      </c>
      <c r="J290" s="40">
        <v>0</v>
      </c>
      <c r="K290" s="40">
        <v>0</v>
      </c>
    </row>
    <row r="291" spans="1:11" x14ac:dyDescent="0.25">
      <c r="A291" s="40"/>
      <c r="B291" s="40"/>
      <c r="C291" s="40" t="s">
        <v>101</v>
      </c>
      <c r="D291" s="40"/>
      <c r="E291" s="40"/>
      <c r="F291" s="40">
        <v>0</v>
      </c>
      <c r="G291" s="40">
        <v>0</v>
      </c>
      <c r="H291" s="40">
        <v>0</v>
      </c>
      <c r="I291" s="40">
        <v>0</v>
      </c>
      <c r="J291" s="40">
        <v>0</v>
      </c>
      <c r="K291" s="40">
        <v>0</v>
      </c>
    </row>
    <row r="292" spans="1:11" x14ac:dyDescent="0.25">
      <c r="A292" s="40">
        <v>540277</v>
      </c>
      <c r="B292" s="40" t="s">
        <v>102</v>
      </c>
      <c r="C292" s="40" t="s">
        <v>103</v>
      </c>
      <c r="D292" s="40" t="s">
        <v>5</v>
      </c>
      <c r="E292" s="40">
        <v>5</v>
      </c>
      <c r="F292" s="40">
        <v>0</v>
      </c>
      <c r="G292" s="40">
        <v>0</v>
      </c>
      <c r="H292" s="40">
        <v>0</v>
      </c>
      <c r="I292" s="40">
        <v>0</v>
      </c>
      <c r="J292" s="40">
        <v>0</v>
      </c>
      <c r="K292" s="40">
        <v>0</v>
      </c>
    </row>
    <row r="293" spans="1:11" x14ac:dyDescent="0.25">
      <c r="A293" s="40">
        <v>540195</v>
      </c>
      <c r="B293" s="40" t="s">
        <v>258</v>
      </c>
      <c r="C293" s="40" t="s">
        <v>103</v>
      </c>
      <c r="D293" s="40" t="s">
        <v>115</v>
      </c>
      <c r="E293" s="40">
        <v>5</v>
      </c>
      <c r="F293" s="40">
        <v>0</v>
      </c>
      <c r="G293" s="40">
        <v>0</v>
      </c>
      <c r="H293" s="40">
        <v>0</v>
      </c>
      <c r="I293" s="40">
        <v>0</v>
      </c>
      <c r="J293" s="40">
        <v>0</v>
      </c>
      <c r="K293" s="40">
        <v>0</v>
      </c>
    </row>
    <row r="294" spans="1:11" x14ac:dyDescent="0.25">
      <c r="A294" s="40">
        <v>540196</v>
      </c>
      <c r="B294" s="40" t="s">
        <v>259</v>
      </c>
      <c r="C294" s="40" t="s">
        <v>103</v>
      </c>
      <c r="D294" s="40" t="s">
        <v>115</v>
      </c>
      <c r="E294" s="40">
        <v>5</v>
      </c>
      <c r="F294" s="40">
        <v>0</v>
      </c>
      <c r="G294" s="40">
        <v>0</v>
      </c>
      <c r="H294" s="40">
        <v>0</v>
      </c>
      <c r="I294" s="40">
        <v>0</v>
      </c>
      <c r="J294" s="40">
        <v>0</v>
      </c>
      <c r="K294" s="40">
        <v>0</v>
      </c>
    </row>
    <row r="295" spans="1:11" x14ac:dyDescent="0.25">
      <c r="A295" s="40">
        <v>540197</v>
      </c>
      <c r="B295" s="40" t="s">
        <v>260</v>
      </c>
      <c r="C295" s="40" t="s">
        <v>103</v>
      </c>
      <c r="D295" s="40" t="s">
        <v>115</v>
      </c>
      <c r="E295" s="40">
        <v>5</v>
      </c>
      <c r="F295" s="40">
        <v>0</v>
      </c>
      <c r="G295" s="40">
        <v>0</v>
      </c>
      <c r="H295" s="40">
        <v>0</v>
      </c>
      <c r="I295" s="40">
        <v>0</v>
      </c>
      <c r="J295" s="40">
        <v>0</v>
      </c>
      <c r="K295" s="40">
        <v>0</v>
      </c>
    </row>
    <row r="296" spans="1:11" x14ac:dyDescent="0.25">
      <c r="A296" s="40">
        <v>540259</v>
      </c>
      <c r="B296" s="40" t="s">
        <v>304</v>
      </c>
      <c r="C296" s="40" t="s">
        <v>103</v>
      </c>
      <c r="D296" s="40" t="s">
        <v>115</v>
      </c>
      <c r="E296" s="40">
        <v>5</v>
      </c>
      <c r="F296" s="40">
        <v>0</v>
      </c>
      <c r="G296" s="40">
        <v>0</v>
      </c>
      <c r="H296" s="40">
        <v>0</v>
      </c>
      <c r="I296" s="40">
        <v>0</v>
      </c>
      <c r="J296" s="40">
        <v>0</v>
      </c>
      <c r="K296" s="40">
        <v>0</v>
      </c>
    </row>
    <row r="297" spans="1:11" x14ac:dyDescent="0.25">
      <c r="A297" s="40"/>
      <c r="B297" s="40"/>
      <c r="C297" s="40" t="s">
        <v>103</v>
      </c>
      <c r="D297" s="40"/>
      <c r="E297" s="40"/>
      <c r="F297" s="40">
        <v>0</v>
      </c>
      <c r="G297" s="40">
        <v>0</v>
      </c>
      <c r="H297" s="40">
        <v>0</v>
      </c>
      <c r="I297" s="40">
        <v>0</v>
      </c>
      <c r="J297" s="40">
        <v>0</v>
      </c>
      <c r="K297" s="40">
        <v>0</v>
      </c>
    </row>
    <row r="298" spans="1:11" x14ac:dyDescent="0.25">
      <c r="A298" s="40">
        <v>540278</v>
      </c>
      <c r="B298" s="40" t="s">
        <v>104</v>
      </c>
      <c r="C298" s="40" t="s">
        <v>105</v>
      </c>
      <c r="D298" s="40" t="s">
        <v>5</v>
      </c>
      <c r="E298" s="40">
        <v>1</v>
      </c>
      <c r="F298" s="40">
        <v>0</v>
      </c>
      <c r="G298" s="40">
        <v>0</v>
      </c>
      <c r="H298" s="40">
        <v>0</v>
      </c>
      <c r="I298" s="40">
        <v>0</v>
      </c>
      <c r="J298" s="40">
        <v>0</v>
      </c>
      <c r="K298" s="40">
        <v>0</v>
      </c>
    </row>
    <row r="299" spans="1:11" x14ac:dyDescent="0.25">
      <c r="A299" s="40">
        <v>540041</v>
      </c>
      <c r="B299" s="40" t="s">
        <v>142</v>
      </c>
      <c r="C299" s="40" t="s">
        <v>105</v>
      </c>
      <c r="D299" s="40" t="s">
        <v>115</v>
      </c>
      <c r="E299" s="40">
        <v>1</v>
      </c>
      <c r="F299" s="40">
        <v>0</v>
      </c>
      <c r="G299" s="40">
        <v>0</v>
      </c>
      <c r="H299" s="40">
        <v>0</v>
      </c>
      <c r="I299" s="40">
        <v>0</v>
      </c>
      <c r="J299" s="40">
        <v>0</v>
      </c>
      <c r="K299" s="40">
        <v>0</v>
      </c>
    </row>
    <row r="300" spans="1:11" x14ac:dyDescent="0.25">
      <c r="A300" s="40">
        <v>540143</v>
      </c>
      <c r="B300" s="40" t="s">
        <v>224</v>
      </c>
      <c r="C300" s="40" t="s">
        <v>105</v>
      </c>
      <c r="D300" s="40" t="s">
        <v>115</v>
      </c>
      <c r="E300" s="40">
        <v>1</v>
      </c>
      <c r="F300" s="40">
        <v>0</v>
      </c>
      <c r="G300" s="40">
        <v>0</v>
      </c>
      <c r="H300" s="40">
        <v>0</v>
      </c>
      <c r="I300" s="40">
        <v>0</v>
      </c>
      <c r="J300" s="40">
        <v>0</v>
      </c>
      <c r="K300" s="40">
        <v>0</v>
      </c>
    </row>
    <row r="301" spans="1:11" x14ac:dyDescent="0.25">
      <c r="A301" s="40">
        <v>540290</v>
      </c>
      <c r="B301" s="40" t="s">
        <v>327</v>
      </c>
      <c r="C301" s="40" t="s">
        <v>105</v>
      </c>
      <c r="D301" s="40" t="s">
        <v>115</v>
      </c>
      <c r="E301" s="40">
        <v>1</v>
      </c>
      <c r="F301" s="40">
        <v>0</v>
      </c>
      <c r="G301" s="40">
        <v>0</v>
      </c>
      <c r="H301" s="40">
        <v>0</v>
      </c>
      <c r="I301" s="40">
        <v>0</v>
      </c>
      <c r="J301" s="40">
        <v>0</v>
      </c>
      <c r="K301" s="40">
        <v>0</v>
      </c>
    </row>
    <row r="302" spans="1:11" x14ac:dyDescent="0.25">
      <c r="A302" s="40"/>
      <c r="B302" s="40"/>
      <c r="C302" s="40" t="s">
        <v>105</v>
      </c>
      <c r="D302" s="40"/>
      <c r="E302" s="40"/>
      <c r="F302" s="40">
        <v>0</v>
      </c>
      <c r="G302" s="40">
        <v>0</v>
      </c>
      <c r="H302" s="40">
        <v>0</v>
      </c>
      <c r="I302" s="40">
        <v>0</v>
      </c>
      <c r="J302" s="40">
        <v>0</v>
      </c>
      <c r="K302" s="40">
        <v>0</v>
      </c>
    </row>
    <row r="303" spans="1:11" x14ac:dyDescent="0.25">
      <c r="A303" s="40">
        <v>540282</v>
      </c>
      <c r="B303" s="40" t="s">
        <v>106</v>
      </c>
      <c r="C303" s="40" t="s">
        <v>107</v>
      </c>
      <c r="D303" s="40" t="s">
        <v>5</v>
      </c>
      <c r="E303" s="40">
        <v>9</v>
      </c>
      <c r="F303" s="40">
        <v>0</v>
      </c>
      <c r="G303" s="40">
        <v>0</v>
      </c>
      <c r="H303" s="40">
        <v>0</v>
      </c>
      <c r="I303" s="40">
        <v>0</v>
      </c>
      <c r="J303" s="40">
        <v>0</v>
      </c>
      <c r="K303" s="40">
        <v>0</v>
      </c>
    </row>
    <row r="304" spans="1:11" x14ac:dyDescent="0.25">
      <c r="A304" s="40">
        <v>540006</v>
      </c>
      <c r="B304" s="40" t="s">
        <v>119</v>
      </c>
      <c r="C304" s="40" t="s">
        <v>107</v>
      </c>
      <c r="D304" s="40" t="s">
        <v>115</v>
      </c>
      <c r="E304" s="40">
        <v>9</v>
      </c>
      <c r="F304" s="40">
        <v>0</v>
      </c>
      <c r="G304" s="40">
        <v>0</v>
      </c>
      <c r="H304" s="40">
        <v>0</v>
      </c>
      <c r="I304" s="40">
        <v>0</v>
      </c>
      <c r="J304" s="40">
        <v>0</v>
      </c>
      <c r="K304" s="40">
        <v>0</v>
      </c>
    </row>
    <row r="305" spans="1:11" x14ac:dyDescent="0.25">
      <c r="A305" s="40">
        <v>545550</v>
      </c>
      <c r="B305" s="40" t="s">
        <v>339</v>
      </c>
      <c r="C305" s="40" t="s">
        <v>107</v>
      </c>
      <c r="D305" s="40" t="s">
        <v>115</v>
      </c>
      <c r="E305" s="40">
        <v>9</v>
      </c>
      <c r="F305" s="40">
        <v>0</v>
      </c>
      <c r="G305" s="40">
        <v>0</v>
      </c>
      <c r="H305" s="40">
        <v>0</v>
      </c>
      <c r="I305" s="40">
        <v>0</v>
      </c>
      <c r="J305" s="40">
        <v>0</v>
      </c>
      <c r="K305" s="40">
        <v>0</v>
      </c>
    </row>
    <row r="306" spans="1:11" x14ac:dyDescent="0.25">
      <c r="A306" s="40"/>
      <c r="B306" s="40"/>
      <c r="C306" s="40" t="s">
        <v>107</v>
      </c>
      <c r="D306" s="40"/>
      <c r="E306" s="40"/>
      <c r="F306" s="40">
        <v>0</v>
      </c>
      <c r="G306" s="40">
        <v>0</v>
      </c>
      <c r="H306" s="40">
        <v>0</v>
      </c>
      <c r="I306" s="40">
        <v>0</v>
      </c>
      <c r="J306" s="40">
        <v>0</v>
      </c>
      <c r="K306" s="40">
        <v>0</v>
      </c>
    </row>
    <row r="307" spans="1:11" x14ac:dyDescent="0.25">
      <c r="A307" s="40">
        <v>540283</v>
      </c>
      <c r="B307" s="40" t="s">
        <v>108</v>
      </c>
      <c r="C307" s="40" t="s">
        <v>109</v>
      </c>
      <c r="D307" s="40" t="s">
        <v>5</v>
      </c>
      <c r="E307" s="40">
        <v>4</v>
      </c>
      <c r="F307" s="40">
        <v>0</v>
      </c>
      <c r="G307" s="40">
        <v>0</v>
      </c>
      <c r="H307" s="40">
        <v>0</v>
      </c>
      <c r="I307" s="40">
        <v>0</v>
      </c>
      <c r="J307" s="40">
        <v>0</v>
      </c>
      <c r="K307" s="40">
        <v>0</v>
      </c>
    </row>
    <row r="308" spans="1:11" x14ac:dyDescent="0.25">
      <c r="A308" s="40">
        <v>540158</v>
      </c>
      <c r="B308" s="40" t="s">
        <v>233</v>
      </c>
      <c r="C308" s="40" t="s">
        <v>109</v>
      </c>
      <c r="D308" s="40" t="s">
        <v>115</v>
      </c>
      <c r="E308" s="40">
        <v>4</v>
      </c>
      <c r="F308" s="40">
        <v>0</v>
      </c>
      <c r="G308" s="40">
        <v>0</v>
      </c>
      <c r="H308" s="40">
        <v>0</v>
      </c>
      <c r="I308" s="40">
        <v>0</v>
      </c>
      <c r="J308" s="40">
        <v>0</v>
      </c>
      <c r="K308" s="40">
        <v>0</v>
      </c>
    </row>
    <row r="309" spans="1:11" x14ac:dyDescent="0.25">
      <c r="A309" s="40">
        <v>540159</v>
      </c>
      <c r="B309" s="40" t="s">
        <v>234</v>
      </c>
      <c r="C309" s="40" t="s">
        <v>109</v>
      </c>
      <c r="D309" s="40" t="s">
        <v>115</v>
      </c>
      <c r="E309" s="40">
        <v>4</v>
      </c>
      <c r="F309" s="40">
        <v>0</v>
      </c>
      <c r="G309" s="40">
        <v>0</v>
      </c>
      <c r="H309" s="40">
        <v>0</v>
      </c>
      <c r="I309" s="40">
        <v>0</v>
      </c>
      <c r="J309" s="40">
        <v>0</v>
      </c>
      <c r="K309" s="40">
        <v>0</v>
      </c>
    </row>
    <row r="310" spans="1:11" x14ac:dyDescent="0.25">
      <c r="A310" s="40">
        <v>540288</v>
      </c>
      <c r="B310" s="40" t="s">
        <v>340</v>
      </c>
      <c r="C310" s="40" t="s">
        <v>109</v>
      </c>
      <c r="D310" s="40" t="s">
        <v>115</v>
      </c>
      <c r="E310" s="40">
        <v>4</v>
      </c>
      <c r="F310" s="40">
        <v>0</v>
      </c>
      <c r="G310" s="40">
        <v>0</v>
      </c>
      <c r="H310" s="40">
        <v>0</v>
      </c>
      <c r="I310" s="40">
        <v>0</v>
      </c>
      <c r="J310" s="40">
        <v>0</v>
      </c>
      <c r="K310" s="40">
        <v>0</v>
      </c>
    </row>
    <row r="311" spans="1:11" x14ac:dyDescent="0.25">
      <c r="A311" s="40"/>
      <c r="B311" s="40"/>
      <c r="C311" s="40" t="s">
        <v>109</v>
      </c>
      <c r="D311" s="40"/>
      <c r="E311" s="40"/>
      <c r="F311" s="40">
        <v>0</v>
      </c>
      <c r="G311" s="40">
        <v>0</v>
      </c>
      <c r="H311" s="40">
        <v>0</v>
      </c>
      <c r="I311" s="40">
        <v>0</v>
      </c>
      <c r="J311" s="40">
        <v>0</v>
      </c>
      <c r="K311" s="40">
        <v>0</v>
      </c>
    </row>
    <row r="312" spans="1:11" x14ac:dyDescent="0.25">
      <c r="A312" s="40">
        <v>545536</v>
      </c>
      <c r="B312" s="40" t="s">
        <v>110</v>
      </c>
      <c r="C312" s="40" t="s">
        <v>111</v>
      </c>
      <c r="D312" s="40" t="s">
        <v>5</v>
      </c>
      <c r="E312" s="40">
        <v>2</v>
      </c>
      <c r="F312" s="40">
        <v>0</v>
      </c>
      <c r="G312" s="40">
        <v>0</v>
      </c>
      <c r="H312" s="40">
        <v>0</v>
      </c>
      <c r="I312" s="40">
        <v>0</v>
      </c>
      <c r="J312" s="40">
        <v>0</v>
      </c>
      <c r="K312" s="40">
        <v>0</v>
      </c>
    </row>
    <row r="313" spans="1:11" x14ac:dyDescent="0.25">
      <c r="A313" s="40">
        <v>540092</v>
      </c>
      <c r="B313" s="40" t="s">
        <v>183</v>
      </c>
      <c r="C313" s="40" t="s">
        <v>111</v>
      </c>
      <c r="D313" s="40" t="s">
        <v>115</v>
      </c>
      <c r="E313" s="40">
        <v>2</v>
      </c>
      <c r="F313" s="40">
        <v>0</v>
      </c>
      <c r="G313" s="40">
        <v>0</v>
      </c>
      <c r="H313" s="40">
        <v>0</v>
      </c>
      <c r="I313" s="40">
        <v>0</v>
      </c>
      <c r="J313" s="40">
        <v>0</v>
      </c>
      <c r="K313" s="40">
        <v>0</v>
      </c>
    </row>
    <row r="314" spans="1:11" x14ac:dyDescent="0.25">
      <c r="A314" s="40">
        <v>540095</v>
      </c>
      <c r="B314" s="40" t="s">
        <v>186</v>
      </c>
      <c r="C314" s="40" t="s">
        <v>111</v>
      </c>
      <c r="D314" s="40" t="s">
        <v>115</v>
      </c>
      <c r="E314" s="40">
        <v>2</v>
      </c>
      <c r="F314" s="40">
        <v>0</v>
      </c>
      <c r="G314" s="40">
        <v>0</v>
      </c>
      <c r="H314" s="40">
        <v>0</v>
      </c>
      <c r="I314" s="40">
        <v>0</v>
      </c>
      <c r="J314" s="40">
        <v>0</v>
      </c>
      <c r="K314" s="40">
        <v>0</v>
      </c>
    </row>
    <row r="315" spans="1:11" x14ac:dyDescent="0.25">
      <c r="A315" s="40">
        <v>545535</v>
      </c>
      <c r="B315" s="40" t="s">
        <v>332</v>
      </c>
      <c r="C315" s="40" t="s">
        <v>111</v>
      </c>
      <c r="D315" s="40" t="s">
        <v>115</v>
      </c>
      <c r="E315" s="40">
        <v>2</v>
      </c>
      <c r="F315" s="40">
        <v>0</v>
      </c>
      <c r="G315" s="40">
        <v>0</v>
      </c>
      <c r="H315" s="40">
        <v>0</v>
      </c>
      <c r="I315" s="40">
        <v>0</v>
      </c>
      <c r="J315" s="40">
        <v>0</v>
      </c>
      <c r="K315" s="40">
        <v>0</v>
      </c>
    </row>
    <row r="316" spans="1:11" x14ac:dyDescent="0.25">
      <c r="A316" s="40">
        <v>545537</v>
      </c>
      <c r="B316" s="40" t="s">
        <v>333</v>
      </c>
      <c r="C316" s="40" t="s">
        <v>111</v>
      </c>
      <c r="D316" s="40" t="s">
        <v>115</v>
      </c>
      <c r="E316" s="40">
        <v>2</v>
      </c>
      <c r="F316" s="40">
        <v>0</v>
      </c>
      <c r="G316" s="40">
        <v>0</v>
      </c>
      <c r="H316" s="40">
        <v>0</v>
      </c>
      <c r="I316" s="40">
        <v>0</v>
      </c>
      <c r="J316" s="40">
        <v>0</v>
      </c>
      <c r="K316" s="40">
        <v>0</v>
      </c>
    </row>
    <row r="317" spans="1:11" x14ac:dyDescent="0.25">
      <c r="A317" s="40">
        <v>545539</v>
      </c>
      <c r="B317" s="40" t="s">
        <v>335</v>
      </c>
      <c r="C317" s="40" t="s">
        <v>111</v>
      </c>
      <c r="D317" s="40" t="s">
        <v>115</v>
      </c>
      <c r="E317" s="40">
        <v>2</v>
      </c>
      <c r="F317" s="40">
        <v>0</v>
      </c>
      <c r="G317" s="40">
        <v>0</v>
      </c>
      <c r="H317" s="40">
        <v>0</v>
      </c>
      <c r="I317" s="40">
        <v>0</v>
      </c>
      <c r="J317" s="40">
        <v>0</v>
      </c>
      <c r="K317" s="40">
        <v>0</v>
      </c>
    </row>
    <row r="318" spans="1:11" x14ac:dyDescent="0.25">
      <c r="A318" s="40"/>
      <c r="B318" s="40"/>
      <c r="C318" s="40" t="s">
        <v>111</v>
      </c>
      <c r="D318" s="40"/>
      <c r="E318" s="40"/>
      <c r="F318" s="40">
        <v>0</v>
      </c>
      <c r="G318" s="40">
        <v>0</v>
      </c>
      <c r="H318" s="40">
        <v>0</v>
      </c>
      <c r="I318" s="40">
        <v>0</v>
      </c>
      <c r="J318" s="40">
        <v>0</v>
      </c>
      <c r="K318" s="40">
        <v>0</v>
      </c>
    </row>
    <row r="319" spans="1:11" x14ac:dyDescent="0.25">
      <c r="A319" s="40">
        <v>540191</v>
      </c>
      <c r="B319" s="40" t="s">
        <v>112</v>
      </c>
      <c r="C319" s="40" t="s">
        <v>113</v>
      </c>
      <c r="D319" s="40" t="s">
        <v>5</v>
      </c>
      <c r="E319" s="40">
        <v>7</v>
      </c>
      <c r="F319" s="40">
        <v>0</v>
      </c>
      <c r="G319" s="40">
        <v>0</v>
      </c>
      <c r="H319" s="40">
        <v>0</v>
      </c>
      <c r="I319" s="40">
        <v>0</v>
      </c>
      <c r="J319" s="40">
        <v>0</v>
      </c>
      <c r="K319" s="40">
        <v>0</v>
      </c>
    </row>
    <row r="320" spans="1:11" x14ac:dyDescent="0.25">
      <c r="A320" s="40">
        <v>540193</v>
      </c>
      <c r="B320" s="40" t="s">
        <v>342</v>
      </c>
      <c r="C320" s="40" t="s">
        <v>113</v>
      </c>
      <c r="D320" s="40" t="s">
        <v>115</v>
      </c>
      <c r="E320" s="40">
        <v>7</v>
      </c>
      <c r="F320" s="40">
        <v>2</v>
      </c>
      <c r="G320" s="40">
        <v>0</v>
      </c>
      <c r="H320" s="40">
        <v>0</v>
      </c>
      <c r="I320" s="40">
        <v>0</v>
      </c>
      <c r="J320" s="40">
        <v>2</v>
      </c>
      <c r="K320" s="40">
        <v>0</v>
      </c>
    </row>
    <row r="321" spans="1:11" x14ac:dyDescent="0.25">
      <c r="A321" s="40">
        <v>540192</v>
      </c>
      <c r="B321" s="40" t="s">
        <v>343</v>
      </c>
      <c r="C321" s="40" t="s">
        <v>113</v>
      </c>
      <c r="D321" s="40" t="s">
        <v>115</v>
      </c>
      <c r="E321" s="40">
        <v>7</v>
      </c>
      <c r="F321" s="40">
        <v>0</v>
      </c>
      <c r="G321" s="40">
        <v>0</v>
      </c>
      <c r="H321" s="40">
        <v>0</v>
      </c>
      <c r="I321" s="40">
        <v>0</v>
      </c>
      <c r="J321" s="40">
        <v>0</v>
      </c>
      <c r="K321" s="40">
        <v>0</v>
      </c>
    </row>
    <row r="322" spans="1:11" x14ac:dyDescent="0.25">
      <c r="A322" s="40">
        <v>540194</v>
      </c>
      <c r="B322" s="40" t="s">
        <v>344</v>
      </c>
      <c r="C322" s="40" t="s">
        <v>113</v>
      </c>
      <c r="D322" s="40" t="s">
        <v>115</v>
      </c>
      <c r="E322" s="40">
        <v>7</v>
      </c>
      <c r="F322" s="40">
        <v>0</v>
      </c>
      <c r="G322" s="40">
        <v>0</v>
      </c>
      <c r="H322" s="40">
        <v>0</v>
      </c>
      <c r="I322" s="40">
        <v>0</v>
      </c>
      <c r="J322" s="40">
        <v>0</v>
      </c>
      <c r="K322" s="40">
        <v>0</v>
      </c>
    </row>
    <row r="323" spans="1:11" x14ac:dyDescent="0.25">
      <c r="A323" s="40">
        <v>540261</v>
      </c>
      <c r="B323" s="40" t="s">
        <v>345</v>
      </c>
      <c r="C323" s="40" t="s">
        <v>113</v>
      </c>
      <c r="D323" s="40" t="s">
        <v>115</v>
      </c>
      <c r="E323" s="40">
        <v>7</v>
      </c>
      <c r="F323" s="40">
        <v>0</v>
      </c>
      <c r="G323" s="40">
        <v>0</v>
      </c>
      <c r="H323" s="40">
        <v>0</v>
      </c>
      <c r="I323" s="40">
        <v>0</v>
      </c>
      <c r="J323" s="40">
        <v>0</v>
      </c>
      <c r="K323" s="40">
        <v>0</v>
      </c>
    </row>
    <row r="324" spans="1:11" x14ac:dyDescent="0.25">
      <c r="A324" s="40">
        <v>540260</v>
      </c>
      <c r="B324" s="40" t="s">
        <v>346</v>
      </c>
      <c r="C324" s="40" t="s">
        <v>113</v>
      </c>
      <c r="D324" s="40" t="s">
        <v>115</v>
      </c>
      <c r="E324" s="40">
        <v>7</v>
      </c>
      <c r="F324" s="40">
        <v>0</v>
      </c>
      <c r="G324" s="40">
        <v>0</v>
      </c>
      <c r="H324" s="40">
        <v>0</v>
      </c>
      <c r="I324" s="40">
        <v>0</v>
      </c>
      <c r="J324" s="40">
        <v>0</v>
      </c>
      <c r="K324" s="40">
        <v>0</v>
      </c>
    </row>
    <row r="325" spans="1:11" x14ac:dyDescent="0.25">
      <c r="A325" s="40"/>
      <c r="B325" s="40"/>
      <c r="C325" s="40" t="s">
        <v>113</v>
      </c>
      <c r="D325" s="40"/>
      <c r="E325" s="40"/>
      <c r="F325" s="40">
        <v>2</v>
      </c>
      <c r="G325" s="40">
        <v>0</v>
      </c>
      <c r="H325" s="40">
        <v>0</v>
      </c>
      <c r="I325" s="40">
        <v>0</v>
      </c>
      <c r="J325" s="40">
        <v>2</v>
      </c>
      <c r="K325" s="40">
        <v>0</v>
      </c>
    </row>
    <row r="326" spans="1:11" x14ac:dyDescent="0.25">
      <c r="A326" s="40">
        <v>540027</v>
      </c>
      <c r="B326" s="40" t="s">
        <v>132</v>
      </c>
      <c r="C326" s="40" t="s">
        <v>21</v>
      </c>
      <c r="D326" s="40" t="s">
        <v>115</v>
      </c>
      <c r="E326" s="40">
        <v>4</v>
      </c>
      <c r="F326" s="40">
        <v>0</v>
      </c>
      <c r="G326" s="40">
        <v>0</v>
      </c>
      <c r="H326" s="40">
        <v>0</v>
      </c>
      <c r="I326" s="40">
        <v>0</v>
      </c>
      <c r="J326" s="40">
        <v>0</v>
      </c>
      <c r="K326" s="40">
        <v>0</v>
      </c>
    </row>
    <row r="327" spans="1:11" x14ac:dyDescent="0.25">
      <c r="A327" s="40">
        <v>540028</v>
      </c>
      <c r="B327" s="40" t="s">
        <v>133</v>
      </c>
      <c r="C327" s="40" t="s">
        <v>21</v>
      </c>
      <c r="D327" s="40" t="s">
        <v>115</v>
      </c>
      <c r="E327" s="40">
        <v>4</v>
      </c>
      <c r="F327" s="40">
        <v>0</v>
      </c>
      <c r="G327" s="40">
        <v>0</v>
      </c>
      <c r="H327" s="40">
        <v>0</v>
      </c>
      <c r="I327" s="40">
        <v>0</v>
      </c>
      <c r="J327" s="40">
        <v>0</v>
      </c>
      <c r="K327" s="40">
        <v>0</v>
      </c>
    </row>
    <row r="328" spans="1:11" x14ac:dyDescent="0.25">
      <c r="A328" s="40">
        <v>540029</v>
      </c>
      <c r="B328" s="40" t="s">
        <v>134</v>
      </c>
      <c r="C328" s="40" t="s">
        <v>21</v>
      </c>
      <c r="D328" s="40" t="s">
        <v>115</v>
      </c>
      <c r="E328" s="40">
        <v>4</v>
      </c>
      <c r="F328" s="40">
        <v>0</v>
      </c>
      <c r="G328" s="40">
        <v>0</v>
      </c>
      <c r="H328" s="40">
        <v>0</v>
      </c>
      <c r="I328" s="40">
        <v>0</v>
      </c>
      <c r="J328" s="40">
        <v>0</v>
      </c>
      <c r="K328" s="40">
        <v>0</v>
      </c>
    </row>
    <row r="329" spans="1:11" x14ac:dyDescent="0.25">
      <c r="A329" s="40">
        <v>540031</v>
      </c>
      <c r="B329" s="40" t="s">
        <v>136</v>
      </c>
      <c r="C329" s="40" t="s">
        <v>21</v>
      </c>
      <c r="D329" s="40" t="s">
        <v>115</v>
      </c>
      <c r="E329" s="40">
        <v>4</v>
      </c>
      <c r="F329" s="40">
        <v>0</v>
      </c>
      <c r="G329" s="40">
        <v>0</v>
      </c>
      <c r="H329" s="40">
        <v>0</v>
      </c>
      <c r="I329" s="40">
        <v>0</v>
      </c>
      <c r="J329" s="40">
        <v>0</v>
      </c>
      <c r="K329" s="40">
        <v>0</v>
      </c>
    </row>
    <row r="330" spans="1:11" x14ac:dyDescent="0.25">
      <c r="A330" s="40">
        <v>540032</v>
      </c>
      <c r="B330" s="40" t="s">
        <v>137</v>
      </c>
      <c r="C330" s="40" t="s">
        <v>21</v>
      </c>
      <c r="D330" s="40" t="s">
        <v>115</v>
      </c>
      <c r="E330" s="40">
        <v>4</v>
      </c>
      <c r="F330" s="40">
        <v>0</v>
      </c>
      <c r="G330" s="40">
        <v>0</v>
      </c>
      <c r="H330" s="40">
        <v>0</v>
      </c>
      <c r="I330" s="40">
        <v>0</v>
      </c>
      <c r="J330" s="40">
        <v>0</v>
      </c>
      <c r="K330" s="40">
        <v>0</v>
      </c>
    </row>
    <row r="331" spans="1:11" x14ac:dyDescent="0.25">
      <c r="A331" s="40">
        <v>540050</v>
      </c>
      <c r="B331" s="40" t="s">
        <v>150</v>
      </c>
      <c r="C331" s="40" t="s">
        <v>21</v>
      </c>
      <c r="D331" s="40" t="s">
        <v>115</v>
      </c>
      <c r="E331" s="40">
        <v>4</v>
      </c>
      <c r="F331" s="40">
        <v>0</v>
      </c>
      <c r="G331" s="40">
        <v>0</v>
      </c>
      <c r="H331" s="40">
        <v>0</v>
      </c>
      <c r="I331" s="40">
        <v>0</v>
      </c>
      <c r="J331" s="40">
        <v>0</v>
      </c>
      <c r="K331" s="40">
        <v>0</v>
      </c>
    </row>
    <row r="332" spans="1:11" x14ac:dyDescent="0.25">
      <c r="A332" s="40">
        <v>540293</v>
      </c>
      <c r="B332" s="40" t="s">
        <v>330</v>
      </c>
      <c r="C332" s="40" t="s">
        <v>21</v>
      </c>
      <c r="D332" s="40" t="s">
        <v>115</v>
      </c>
      <c r="E332" s="40">
        <v>4</v>
      </c>
      <c r="F332" s="40">
        <v>0</v>
      </c>
      <c r="G332" s="40">
        <v>0</v>
      </c>
      <c r="H332" s="40">
        <v>0</v>
      </c>
      <c r="I332" s="40">
        <v>0</v>
      </c>
      <c r="J332" s="40">
        <v>0</v>
      </c>
      <c r="K332" s="40">
        <v>0</v>
      </c>
    </row>
    <row r="333" spans="1:11" x14ac:dyDescent="0.25">
      <c r="A333" s="40">
        <v>540294</v>
      </c>
      <c r="B333" s="40" t="s">
        <v>331</v>
      </c>
      <c r="C333" s="40" t="s">
        <v>21</v>
      </c>
      <c r="D333" s="40" t="s">
        <v>115</v>
      </c>
      <c r="E333" s="40">
        <v>4</v>
      </c>
      <c r="F333" s="40">
        <v>0</v>
      </c>
      <c r="G333" s="40">
        <v>0</v>
      </c>
      <c r="H333" s="40">
        <v>0</v>
      </c>
      <c r="I333" s="40">
        <v>0</v>
      </c>
      <c r="J333" s="40">
        <v>0</v>
      </c>
      <c r="K333" s="40">
        <v>0</v>
      </c>
    </row>
    <row r="334" spans="1:11" x14ac:dyDescent="0.25">
      <c r="A334" s="40">
        <v>540033</v>
      </c>
      <c r="B334" s="40" t="s">
        <v>138</v>
      </c>
      <c r="C334" s="40" t="s">
        <v>21</v>
      </c>
      <c r="D334" s="40" t="s">
        <v>115</v>
      </c>
      <c r="E334" s="40">
        <v>4</v>
      </c>
      <c r="F334" s="40">
        <v>0</v>
      </c>
      <c r="G334" s="40">
        <v>0</v>
      </c>
      <c r="H334" s="40">
        <v>0</v>
      </c>
      <c r="I334" s="40">
        <v>0</v>
      </c>
      <c r="J334" s="40">
        <v>0</v>
      </c>
      <c r="K334" s="40">
        <v>0</v>
      </c>
    </row>
    <row r="335" spans="1:11" x14ac:dyDescent="0.25">
      <c r="A335" s="40">
        <v>540280</v>
      </c>
      <c r="B335" s="40" t="s">
        <v>321</v>
      </c>
      <c r="C335" s="40" t="s">
        <v>21</v>
      </c>
      <c r="D335" s="40" t="s">
        <v>115</v>
      </c>
      <c r="E335" s="40">
        <v>4</v>
      </c>
      <c r="F335" s="40">
        <v>0</v>
      </c>
      <c r="G335" s="40">
        <v>0</v>
      </c>
      <c r="H335" s="40">
        <v>0</v>
      </c>
      <c r="I335" s="40">
        <v>0</v>
      </c>
      <c r="J335" s="40">
        <v>0</v>
      </c>
      <c r="K335" s="40">
        <v>0</v>
      </c>
    </row>
    <row r="336" spans="1:11" x14ac:dyDescent="0.25">
      <c r="A336" s="40">
        <v>540026</v>
      </c>
      <c r="B336" s="40" t="s">
        <v>20</v>
      </c>
      <c r="C336" s="40" t="s">
        <v>21</v>
      </c>
      <c r="D336" s="40" t="s">
        <v>5</v>
      </c>
      <c r="E336" s="40">
        <v>4</v>
      </c>
      <c r="F336" s="40">
        <v>0</v>
      </c>
      <c r="G336" s="40">
        <v>0</v>
      </c>
      <c r="H336" s="40">
        <v>0</v>
      </c>
      <c r="I336" s="40">
        <v>0</v>
      </c>
      <c r="J336" s="40">
        <v>0</v>
      </c>
      <c r="K336" s="40">
        <v>0</v>
      </c>
    </row>
    <row r="337" spans="1:11" x14ac:dyDescent="0.25">
      <c r="A337" s="40"/>
      <c r="B337" s="40"/>
      <c r="C337" s="40" t="s">
        <v>21</v>
      </c>
      <c r="D337" s="40"/>
      <c r="E337" s="40"/>
      <c r="F337" s="40">
        <v>0</v>
      </c>
      <c r="G337" s="40">
        <v>0</v>
      </c>
      <c r="H337" s="40">
        <v>0</v>
      </c>
      <c r="I337" s="40">
        <v>0</v>
      </c>
      <c r="J337" s="40">
        <v>0</v>
      </c>
      <c r="K337" s="40">
        <v>0</v>
      </c>
    </row>
    <row r="338" spans="1:11" x14ac:dyDescent="0.25">
      <c r="A338" s="40">
        <v>540176</v>
      </c>
      <c r="B338" s="40" t="s">
        <v>247</v>
      </c>
      <c r="C338" s="40" t="s">
        <v>75</v>
      </c>
      <c r="D338" s="40" t="s">
        <v>115</v>
      </c>
      <c r="E338" s="40">
        <v>7</v>
      </c>
      <c r="F338" s="40">
        <v>0</v>
      </c>
      <c r="G338" s="40">
        <v>0</v>
      </c>
      <c r="H338" s="40">
        <v>0</v>
      </c>
      <c r="I338" s="40">
        <v>0</v>
      </c>
      <c r="J338" s="40">
        <v>0</v>
      </c>
      <c r="K338" s="40">
        <v>0</v>
      </c>
    </row>
    <row r="339" spans="1:11" x14ac:dyDescent="0.25">
      <c r="A339" s="40">
        <v>540178</v>
      </c>
      <c r="B339" s="40" t="s">
        <v>249</v>
      </c>
      <c r="C339" s="40" t="s">
        <v>75</v>
      </c>
      <c r="D339" s="40" t="s">
        <v>115</v>
      </c>
      <c r="E339" s="40">
        <v>7</v>
      </c>
      <c r="F339" s="40">
        <v>0</v>
      </c>
      <c r="G339" s="40">
        <v>0</v>
      </c>
      <c r="H339" s="40">
        <v>0</v>
      </c>
      <c r="I339" s="40">
        <v>0</v>
      </c>
      <c r="J339" s="40">
        <v>0</v>
      </c>
      <c r="K339" s="40">
        <v>0</v>
      </c>
    </row>
    <row r="340" spans="1:11" x14ac:dyDescent="0.25">
      <c r="A340" s="40">
        <v>540264</v>
      </c>
      <c r="B340" s="40" t="s">
        <v>307</v>
      </c>
      <c r="C340" s="40" t="s">
        <v>75</v>
      </c>
      <c r="D340" s="40" t="s">
        <v>115</v>
      </c>
      <c r="E340" s="40">
        <v>7</v>
      </c>
      <c r="F340" s="40">
        <v>0</v>
      </c>
      <c r="G340" s="40">
        <v>0</v>
      </c>
      <c r="H340" s="40">
        <v>0</v>
      </c>
      <c r="I340" s="40">
        <v>0</v>
      </c>
      <c r="J340" s="40">
        <v>0</v>
      </c>
      <c r="K340" s="40">
        <v>0</v>
      </c>
    </row>
    <row r="341" spans="1:11" x14ac:dyDescent="0.25">
      <c r="A341" s="40">
        <v>540265</v>
      </c>
      <c r="B341" s="40" t="s">
        <v>308</v>
      </c>
      <c r="C341" s="40" t="s">
        <v>75</v>
      </c>
      <c r="D341" s="40" t="s">
        <v>115</v>
      </c>
      <c r="E341" s="40">
        <v>7</v>
      </c>
      <c r="F341" s="40">
        <v>0</v>
      </c>
      <c r="G341" s="40">
        <v>0</v>
      </c>
      <c r="H341" s="40">
        <v>0</v>
      </c>
      <c r="I341" s="40">
        <v>0</v>
      </c>
      <c r="J341" s="40">
        <v>0</v>
      </c>
      <c r="K341" s="40">
        <v>0</v>
      </c>
    </row>
    <row r="342" spans="1:11" x14ac:dyDescent="0.25">
      <c r="A342" s="40">
        <v>540266</v>
      </c>
      <c r="B342" s="40" t="s">
        <v>309</v>
      </c>
      <c r="C342" s="40" t="s">
        <v>75</v>
      </c>
      <c r="D342" s="40" t="s">
        <v>115</v>
      </c>
      <c r="E342" s="40">
        <v>7</v>
      </c>
      <c r="F342" s="40">
        <v>0</v>
      </c>
      <c r="G342" s="40">
        <v>0</v>
      </c>
      <c r="H342" s="40">
        <v>0</v>
      </c>
      <c r="I342" s="40">
        <v>0</v>
      </c>
      <c r="J342" s="40">
        <v>0</v>
      </c>
      <c r="K342" s="40">
        <v>0</v>
      </c>
    </row>
    <row r="343" spans="1:11" x14ac:dyDescent="0.25">
      <c r="A343" s="40">
        <v>540267</v>
      </c>
      <c r="B343" s="40" t="s">
        <v>310</v>
      </c>
      <c r="C343" s="40" t="s">
        <v>75</v>
      </c>
      <c r="D343" s="40" t="s">
        <v>115</v>
      </c>
      <c r="E343" s="40">
        <v>7</v>
      </c>
      <c r="F343" s="40">
        <v>0</v>
      </c>
      <c r="G343" s="40">
        <v>0</v>
      </c>
      <c r="H343" s="40">
        <v>0</v>
      </c>
      <c r="I343" s="40">
        <v>0</v>
      </c>
      <c r="J343" s="40">
        <v>0</v>
      </c>
      <c r="K343" s="40">
        <v>0</v>
      </c>
    </row>
    <row r="344" spans="1:11" x14ac:dyDescent="0.25">
      <c r="A344" s="40">
        <v>540177</v>
      </c>
      <c r="B344" s="40" t="s">
        <v>248</v>
      </c>
      <c r="C344" s="40" t="s">
        <v>75</v>
      </c>
      <c r="D344" s="40" t="s">
        <v>115</v>
      </c>
      <c r="E344" s="40">
        <v>7</v>
      </c>
      <c r="F344" s="40">
        <v>1</v>
      </c>
      <c r="G344" s="40">
        <v>0</v>
      </c>
      <c r="H344" s="40">
        <v>0</v>
      </c>
      <c r="I344" s="40">
        <v>1</v>
      </c>
      <c r="J344" s="40">
        <v>0</v>
      </c>
      <c r="K344" s="40">
        <v>0</v>
      </c>
    </row>
    <row r="345" spans="1:11" x14ac:dyDescent="0.25">
      <c r="A345" s="40">
        <v>540175</v>
      </c>
      <c r="B345" s="40" t="s">
        <v>74</v>
      </c>
      <c r="C345" s="40" t="s">
        <v>75</v>
      </c>
      <c r="D345" s="40" t="s">
        <v>5</v>
      </c>
      <c r="E345" s="40">
        <v>7</v>
      </c>
      <c r="F345" s="40">
        <v>1</v>
      </c>
      <c r="G345" s="40">
        <v>0</v>
      </c>
      <c r="H345" s="40">
        <v>0</v>
      </c>
      <c r="I345" s="40">
        <v>1</v>
      </c>
      <c r="J345" s="40">
        <v>0</v>
      </c>
      <c r="K345" s="40">
        <v>0</v>
      </c>
    </row>
    <row r="346" spans="1:11" x14ac:dyDescent="0.25">
      <c r="A346" s="40"/>
      <c r="B346" s="40"/>
      <c r="C346" s="40" t="s">
        <v>75</v>
      </c>
      <c r="D346" s="40"/>
      <c r="E346" s="40"/>
      <c r="F346" s="40">
        <v>2</v>
      </c>
      <c r="G346" s="40">
        <v>0</v>
      </c>
      <c r="H346" s="40">
        <v>0</v>
      </c>
      <c r="I346" s="40">
        <v>2</v>
      </c>
      <c r="J346" s="40">
        <v>0</v>
      </c>
      <c r="K346" s="40">
        <v>0</v>
      </c>
    </row>
    <row r="347" spans="1:11" x14ac:dyDescent="0.25">
      <c r="A347" s="40">
        <v>540219</v>
      </c>
      <c r="B347" s="40" t="s">
        <v>273</v>
      </c>
      <c r="C347" s="40" t="s">
        <v>95</v>
      </c>
      <c r="D347" s="40" t="s">
        <v>115</v>
      </c>
      <c r="E347" s="40">
        <v>1</v>
      </c>
      <c r="F347" s="40">
        <v>0</v>
      </c>
      <c r="G347" s="40">
        <v>0</v>
      </c>
      <c r="H347" s="40">
        <v>0</v>
      </c>
      <c r="I347" s="40">
        <v>0</v>
      </c>
      <c r="J347" s="40">
        <v>0</v>
      </c>
      <c r="K347" s="40">
        <v>0</v>
      </c>
    </row>
    <row r="348" spans="1:11" x14ac:dyDescent="0.25">
      <c r="A348" s="40">
        <v>540220</v>
      </c>
      <c r="B348" s="40" t="s">
        <v>274</v>
      </c>
      <c r="C348" s="40" t="s">
        <v>95</v>
      </c>
      <c r="D348" s="40" t="s">
        <v>115</v>
      </c>
      <c r="E348" s="40">
        <v>1</v>
      </c>
      <c r="F348" s="40">
        <v>0</v>
      </c>
      <c r="G348" s="40">
        <v>0</v>
      </c>
      <c r="H348" s="40">
        <v>0</v>
      </c>
      <c r="I348" s="40">
        <v>0</v>
      </c>
      <c r="J348" s="40">
        <v>0</v>
      </c>
      <c r="K348" s="40">
        <v>0</v>
      </c>
    </row>
    <row r="349" spans="1:11" x14ac:dyDescent="0.25">
      <c r="A349" s="40">
        <v>540218</v>
      </c>
      <c r="B349" s="40" t="s">
        <v>272</v>
      </c>
      <c r="C349" s="40" t="s">
        <v>95</v>
      </c>
      <c r="D349" s="40" t="s">
        <v>115</v>
      </c>
      <c r="E349" s="40">
        <v>1</v>
      </c>
      <c r="F349" s="40">
        <v>0</v>
      </c>
      <c r="G349" s="40">
        <v>0</v>
      </c>
      <c r="H349" s="40">
        <v>0</v>
      </c>
      <c r="I349" s="40">
        <v>0</v>
      </c>
      <c r="J349" s="40">
        <v>0</v>
      </c>
      <c r="K349" s="40">
        <v>0</v>
      </c>
    </row>
    <row r="350" spans="1:11" x14ac:dyDescent="0.25">
      <c r="A350" s="40">
        <v>540217</v>
      </c>
      <c r="B350" s="40" t="s">
        <v>94</v>
      </c>
      <c r="C350" s="40" t="s">
        <v>95</v>
      </c>
      <c r="D350" s="40" t="s">
        <v>5</v>
      </c>
      <c r="E350" s="40">
        <v>1</v>
      </c>
      <c r="F350" s="40">
        <v>0</v>
      </c>
      <c r="G350" s="40">
        <v>0</v>
      </c>
      <c r="H350" s="40">
        <v>0</v>
      </c>
      <c r="I350" s="40">
        <v>0</v>
      </c>
      <c r="J350" s="40">
        <v>0</v>
      </c>
      <c r="K350" s="40">
        <v>0</v>
      </c>
    </row>
    <row r="351" spans="1:11" x14ac:dyDescent="0.25">
      <c r="A351" s="40"/>
      <c r="B351" s="40"/>
      <c r="C351" s="40" t="s">
        <v>95</v>
      </c>
      <c r="D351" s="40"/>
      <c r="E351" s="40"/>
      <c r="F351" s="40">
        <v>0</v>
      </c>
      <c r="G351" s="40">
        <v>0</v>
      </c>
      <c r="H351" s="40">
        <v>0</v>
      </c>
      <c r="I351" s="40">
        <v>0</v>
      </c>
      <c r="J351" s="40">
        <v>0</v>
      </c>
      <c r="K351" s="40">
        <v>0</v>
      </c>
    </row>
    <row r="352" spans="1:11" x14ac:dyDescent="0.25">
      <c r="A352" s="40" t="s">
        <v>535</v>
      </c>
      <c r="B352" s="40"/>
      <c r="C352" s="40"/>
      <c r="D352" s="40"/>
      <c r="E352" s="40"/>
      <c r="F352" s="40"/>
      <c r="G352" s="40"/>
      <c r="H352" s="40"/>
      <c r="I352" s="40"/>
      <c r="J352" s="40"/>
      <c r="K352" s="40"/>
    </row>
    <row r="353" spans="1:11" x14ac:dyDescent="0.25">
      <c r="A353" s="40">
        <v>540152</v>
      </c>
      <c r="B353" s="40" t="s">
        <v>229</v>
      </c>
      <c r="C353" s="40" t="s">
        <v>544</v>
      </c>
      <c r="D353" s="40" t="s">
        <v>115</v>
      </c>
      <c r="E353" s="40" t="s">
        <v>545</v>
      </c>
      <c r="F353" s="40">
        <v>0</v>
      </c>
      <c r="G353" s="40">
        <v>0</v>
      </c>
      <c r="H353" s="40">
        <v>0</v>
      </c>
      <c r="I353" s="40">
        <v>0</v>
      </c>
      <c r="J353" s="40">
        <v>0</v>
      </c>
      <c r="K353" s="40">
        <v>0</v>
      </c>
    </row>
    <row r="354" spans="1:11" x14ac:dyDescent="0.25">
      <c r="A354" s="40">
        <v>540196</v>
      </c>
      <c r="B354" s="40" t="s">
        <v>259</v>
      </c>
      <c r="C354" s="40" t="s">
        <v>546</v>
      </c>
      <c r="D354" s="40" t="s">
        <v>115</v>
      </c>
      <c r="E354" s="40" t="s">
        <v>547</v>
      </c>
      <c r="F354" s="40">
        <v>0</v>
      </c>
      <c r="G354" s="40">
        <v>0</v>
      </c>
      <c r="H354" s="40">
        <v>0</v>
      </c>
      <c r="I354" s="40">
        <v>0</v>
      </c>
      <c r="J354" s="40">
        <v>0</v>
      </c>
      <c r="K354" s="40">
        <v>0</v>
      </c>
    </row>
    <row r="355" spans="1:11" x14ac:dyDescent="0.25">
      <c r="A355" s="40">
        <v>540041</v>
      </c>
      <c r="B355" s="40" t="s">
        <v>142</v>
      </c>
      <c r="C355" s="40" t="s">
        <v>540</v>
      </c>
      <c r="D355" s="40" t="s">
        <v>115</v>
      </c>
      <c r="E355" s="40" t="s">
        <v>541</v>
      </c>
      <c r="F355" s="40">
        <v>0</v>
      </c>
      <c r="G355" s="40">
        <v>0</v>
      </c>
      <c r="H355" s="40">
        <v>0</v>
      </c>
      <c r="I355" s="40">
        <v>0</v>
      </c>
      <c r="J355" s="40">
        <v>0</v>
      </c>
      <c r="K355" s="40">
        <v>0</v>
      </c>
    </row>
    <row r="356" spans="1:11" x14ac:dyDescent="0.25">
      <c r="A356" s="40">
        <v>540018</v>
      </c>
      <c r="B356" s="40" t="s">
        <v>127</v>
      </c>
      <c r="C356" s="40" t="s">
        <v>538</v>
      </c>
      <c r="D356" s="40" t="s">
        <v>115</v>
      </c>
      <c r="E356" s="40" t="s">
        <v>539</v>
      </c>
      <c r="F356" s="40">
        <v>4</v>
      </c>
      <c r="G356" s="40">
        <v>0</v>
      </c>
      <c r="H356" s="40">
        <v>0</v>
      </c>
      <c r="I356" s="40">
        <v>4</v>
      </c>
      <c r="J356" s="40">
        <v>0</v>
      </c>
      <c r="K356" s="40">
        <v>0</v>
      </c>
    </row>
    <row r="357" spans="1:11" x14ac:dyDescent="0.25">
      <c r="A357" s="40">
        <v>540014</v>
      </c>
      <c r="B357" s="40" t="s">
        <v>124</v>
      </c>
      <c r="C357" s="40" t="s">
        <v>536</v>
      </c>
      <c r="D357" s="40" t="s">
        <v>115</v>
      </c>
      <c r="E357" s="40" t="s">
        <v>537</v>
      </c>
      <c r="F357" s="40">
        <v>0</v>
      </c>
      <c r="G357" s="40">
        <v>0</v>
      </c>
      <c r="H357" s="40">
        <v>0</v>
      </c>
      <c r="I357" s="40">
        <v>0</v>
      </c>
      <c r="J357" s="40">
        <v>0</v>
      </c>
      <c r="K357" s="40">
        <v>0</v>
      </c>
    </row>
    <row r="358" spans="1:11" x14ac:dyDescent="0.25">
      <c r="A358" s="40">
        <v>540081</v>
      </c>
      <c r="B358" s="40" t="s">
        <v>176</v>
      </c>
      <c r="C358" s="40" t="s">
        <v>542</v>
      </c>
      <c r="D358" s="40" t="s">
        <v>115</v>
      </c>
      <c r="E358" s="40" t="s">
        <v>543</v>
      </c>
      <c r="F358" s="40">
        <v>0</v>
      </c>
      <c r="G358" s="40">
        <v>0</v>
      </c>
      <c r="H358" s="40">
        <v>0</v>
      </c>
      <c r="I358" s="40">
        <v>0</v>
      </c>
      <c r="J358" s="40">
        <v>0</v>
      </c>
      <c r="K358" s="40">
        <v>0</v>
      </c>
    </row>
    <row r="359" spans="1:11" x14ac:dyDescent="0.25">
      <c r="A359" s="40">
        <v>540033</v>
      </c>
      <c r="B359" s="40" t="s">
        <v>138</v>
      </c>
      <c r="C359" s="40" t="s">
        <v>1299</v>
      </c>
      <c r="D359" s="40" t="s">
        <v>115</v>
      </c>
      <c r="E359" s="40" t="s">
        <v>1298</v>
      </c>
      <c r="F359" s="40">
        <v>0</v>
      </c>
      <c r="G359" s="40">
        <v>0</v>
      </c>
      <c r="H359" s="40">
        <v>0</v>
      </c>
      <c r="I359" s="40">
        <v>0</v>
      </c>
      <c r="J359" s="40">
        <v>0</v>
      </c>
      <c r="K359" s="40">
        <v>0</v>
      </c>
    </row>
    <row r="360" spans="1:11" x14ac:dyDescent="0.25">
      <c r="A360" s="40">
        <v>540029</v>
      </c>
      <c r="B360" s="40" t="s">
        <v>134</v>
      </c>
      <c r="C360" s="40" t="s">
        <v>1299</v>
      </c>
      <c r="D360" s="40" t="s">
        <v>115</v>
      </c>
      <c r="E360" s="40" t="s">
        <v>1298</v>
      </c>
      <c r="F360" s="40">
        <v>0</v>
      </c>
      <c r="G360" s="40">
        <v>0</v>
      </c>
      <c r="H360" s="40">
        <v>0</v>
      </c>
      <c r="I360" s="40">
        <v>0</v>
      </c>
      <c r="J360" s="40">
        <v>0</v>
      </c>
      <c r="K360" s="40">
        <v>0</v>
      </c>
    </row>
  </sheetData>
  <hyperlinks>
    <hyperlink ref="N2" r:id="rId1"/>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0"/>
  <sheetViews>
    <sheetView topLeftCell="D1" workbookViewId="0">
      <pane ySplit="1" topLeftCell="A2" activePane="bottomLeft" state="frozen"/>
      <selection activeCell="D1" sqref="D1"/>
      <selection pane="bottomLeft" activeCell="K1" sqref="K1:L2"/>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20.28515625" bestFit="1" customWidth="1"/>
    <col min="7" max="7" width="29.42578125" bestFit="1" customWidth="1"/>
    <col min="8" max="8" width="25.7109375" bestFit="1" customWidth="1"/>
    <col min="9" max="9" width="21.7109375" bestFit="1" customWidth="1"/>
    <col min="11" max="11" width="9.42578125" bestFit="1" customWidth="1"/>
    <col min="12" max="12" width="114.140625" bestFit="1" customWidth="1"/>
  </cols>
  <sheetData>
    <row r="1" spans="1:12" x14ac:dyDescent="0.25">
      <c r="A1" s="251" t="s">
        <v>0</v>
      </c>
      <c r="B1" s="251" t="s">
        <v>1</v>
      </c>
      <c r="C1" s="251" t="s">
        <v>2</v>
      </c>
      <c r="D1" s="251" t="s">
        <v>512</v>
      </c>
      <c r="E1" s="251" t="s">
        <v>403</v>
      </c>
      <c r="F1" s="251" t="s">
        <v>521</v>
      </c>
      <c r="G1" s="251" t="s">
        <v>522</v>
      </c>
      <c r="H1" s="251" t="s">
        <v>523</v>
      </c>
      <c r="I1" s="251" t="s">
        <v>577</v>
      </c>
      <c r="K1" s="206" t="s">
        <v>1325</v>
      </c>
      <c r="L1" s="62" t="s">
        <v>1362</v>
      </c>
    </row>
    <row r="2" spans="1:12" x14ac:dyDescent="0.25">
      <c r="A2" s="2">
        <v>540001</v>
      </c>
      <c r="B2" s="2" t="s">
        <v>3</v>
      </c>
      <c r="C2" s="2" t="s">
        <v>4</v>
      </c>
      <c r="D2" s="2" t="s">
        <v>5</v>
      </c>
      <c r="E2" s="2">
        <v>7</v>
      </c>
      <c r="F2" s="2">
        <v>393</v>
      </c>
      <c r="G2" s="2">
        <v>317</v>
      </c>
      <c r="H2" s="2">
        <v>355</v>
      </c>
      <c r="I2" s="2">
        <v>0</v>
      </c>
      <c r="K2" s="206" t="s">
        <v>1326</v>
      </c>
      <c r="L2" s="393" t="s">
        <v>1363</v>
      </c>
    </row>
    <row r="3" spans="1:12" x14ac:dyDescent="0.25">
      <c r="A3" s="2">
        <v>540002</v>
      </c>
      <c r="B3" s="2" t="s">
        <v>114</v>
      </c>
      <c r="C3" s="2" t="s">
        <v>4</v>
      </c>
      <c r="D3" s="2" t="s">
        <v>115</v>
      </c>
      <c r="E3" s="2">
        <v>7</v>
      </c>
      <c r="F3" s="2">
        <v>120</v>
      </c>
      <c r="G3" s="2">
        <v>93</v>
      </c>
      <c r="H3" s="2">
        <v>106.5</v>
      </c>
      <c r="I3" s="2">
        <v>0</v>
      </c>
    </row>
    <row r="4" spans="1:12" x14ac:dyDescent="0.25">
      <c r="A4" s="2">
        <v>540003</v>
      </c>
      <c r="B4" s="2" t="s">
        <v>116</v>
      </c>
      <c r="C4" s="2" t="s">
        <v>4</v>
      </c>
      <c r="D4" s="2" t="s">
        <v>115</v>
      </c>
      <c r="E4" s="2">
        <v>7</v>
      </c>
      <c r="F4" s="2">
        <v>12</v>
      </c>
      <c r="G4" s="2">
        <v>18</v>
      </c>
      <c r="H4" s="2">
        <v>15</v>
      </c>
      <c r="I4" s="2">
        <v>0</v>
      </c>
    </row>
    <row r="5" spans="1:12" x14ac:dyDescent="0.25">
      <c r="A5" s="2">
        <v>540004</v>
      </c>
      <c r="B5" s="2" t="s">
        <v>117</v>
      </c>
      <c r="C5" s="2" t="s">
        <v>4</v>
      </c>
      <c r="D5" s="2" t="s">
        <v>115</v>
      </c>
      <c r="E5" s="2">
        <v>7</v>
      </c>
      <c r="F5" s="2">
        <v>264</v>
      </c>
      <c r="G5" s="2">
        <v>223</v>
      </c>
      <c r="H5" s="2">
        <v>243.5</v>
      </c>
      <c r="I5" s="2">
        <v>0</v>
      </c>
    </row>
    <row r="6" spans="1:12" x14ac:dyDescent="0.25">
      <c r="A6" s="252"/>
      <c r="B6" s="252"/>
      <c r="C6" s="252" t="s">
        <v>4</v>
      </c>
      <c r="D6" s="252"/>
      <c r="E6" s="252"/>
      <c r="F6" s="252">
        <v>789</v>
      </c>
      <c r="G6" s="252">
        <v>651</v>
      </c>
      <c r="H6" s="252">
        <v>720</v>
      </c>
      <c r="I6" s="252">
        <v>0</v>
      </c>
    </row>
    <row r="7" spans="1:12" x14ac:dyDescent="0.25">
      <c r="A7" s="2">
        <v>540007</v>
      </c>
      <c r="B7" s="2" t="s">
        <v>6</v>
      </c>
      <c r="C7" s="2" t="s">
        <v>7</v>
      </c>
      <c r="D7" s="2" t="s">
        <v>5</v>
      </c>
      <c r="E7" s="2">
        <v>3</v>
      </c>
      <c r="F7" s="2">
        <v>2925</v>
      </c>
      <c r="G7" s="2">
        <v>3090</v>
      </c>
      <c r="H7" s="2">
        <v>3007.5</v>
      </c>
      <c r="I7" s="2">
        <v>0</v>
      </c>
    </row>
    <row r="8" spans="1:12" x14ac:dyDescent="0.25">
      <c r="A8" s="2">
        <v>540008</v>
      </c>
      <c r="B8" s="2" t="s">
        <v>120</v>
      </c>
      <c r="C8" s="2" t="s">
        <v>7</v>
      </c>
      <c r="D8" s="2" t="s">
        <v>115</v>
      </c>
      <c r="E8" s="2">
        <v>3</v>
      </c>
      <c r="F8" s="2">
        <v>324</v>
      </c>
      <c r="G8" s="2">
        <v>251</v>
      </c>
      <c r="H8" s="2">
        <v>287.5</v>
      </c>
      <c r="I8" s="2">
        <v>0</v>
      </c>
    </row>
    <row r="9" spans="1:12" x14ac:dyDescent="0.25">
      <c r="A9" s="2">
        <v>540229</v>
      </c>
      <c r="B9" s="2" t="s">
        <v>279</v>
      </c>
      <c r="C9" s="2" t="s">
        <v>7</v>
      </c>
      <c r="D9" s="2" t="s">
        <v>115</v>
      </c>
      <c r="E9" s="2">
        <v>3</v>
      </c>
      <c r="F9" s="2">
        <v>85</v>
      </c>
      <c r="G9" s="2">
        <v>109</v>
      </c>
      <c r="H9" s="2">
        <v>97</v>
      </c>
      <c r="I9" s="2">
        <v>0</v>
      </c>
    </row>
    <row r="10" spans="1:12" x14ac:dyDescent="0.25">
      <c r="A10" s="2">
        <v>540230</v>
      </c>
      <c r="B10" s="2" t="s">
        <v>280</v>
      </c>
      <c r="C10" s="2" t="s">
        <v>7</v>
      </c>
      <c r="D10" s="2" t="s">
        <v>115</v>
      </c>
      <c r="E10" s="2">
        <v>3</v>
      </c>
      <c r="F10" s="2">
        <v>155</v>
      </c>
      <c r="G10" s="2">
        <v>125</v>
      </c>
      <c r="H10" s="2">
        <v>140</v>
      </c>
      <c r="I10" s="2">
        <v>0</v>
      </c>
    </row>
    <row r="11" spans="1:12" x14ac:dyDescent="0.25">
      <c r="A11" s="2">
        <v>540238</v>
      </c>
      <c r="B11" s="2" t="s">
        <v>286</v>
      </c>
      <c r="C11" s="2" t="s">
        <v>7</v>
      </c>
      <c r="D11" s="2" t="s">
        <v>115</v>
      </c>
      <c r="E11" s="2">
        <v>3</v>
      </c>
      <c r="F11" s="2">
        <v>69</v>
      </c>
      <c r="G11" s="2">
        <v>90</v>
      </c>
      <c r="H11" s="2">
        <v>79.5</v>
      </c>
      <c r="I11" s="2">
        <v>0</v>
      </c>
    </row>
    <row r="12" spans="1:12" x14ac:dyDescent="0.25">
      <c r="A12" s="252"/>
      <c r="B12" s="252"/>
      <c r="C12" s="252" t="s">
        <v>7</v>
      </c>
      <c r="D12" s="252"/>
      <c r="E12" s="252"/>
      <c r="F12" s="252">
        <v>3558</v>
      </c>
      <c r="G12" s="252">
        <v>3665</v>
      </c>
      <c r="H12" s="252">
        <v>3611.5</v>
      </c>
      <c r="I12" s="252">
        <v>0</v>
      </c>
    </row>
    <row r="13" spans="1:12" x14ac:dyDescent="0.25">
      <c r="A13" s="2">
        <v>540009</v>
      </c>
      <c r="B13" s="2" t="s">
        <v>8</v>
      </c>
      <c r="C13" s="2" t="s">
        <v>9</v>
      </c>
      <c r="D13" s="2" t="s">
        <v>5</v>
      </c>
      <c r="E13" s="2">
        <v>7</v>
      </c>
      <c r="F13" s="2">
        <v>1286</v>
      </c>
      <c r="G13" s="2">
        <v>953</v>
      </c>
      <c r="H13" s="2">
        <v>1119.5</v>
      </c>
      <c r="I13" s="2">
        <v>0</v>
      </c>
    </row>
    <row r="14" spans="1:12" x14ac:dyDescent="0.25">
      <c r="A14" s="2">
        <v>540010</v>
      </c>
      <c r="B14" s="2" t="s">
        <v>121</v>
      </c>
      <c r="C14" s="2" t="s">
        <v>9</v>
      </c>
      <c r="D14" s="2" t="s">
        <v>115</v>
      </c>
      <c r="E14" s="2">
        <v>7</v>
      </c>
      <c r="F14" s="2">
        <v>35</v>
      </c>
      <c r="G14" s="2">
        <v>26</v>
      </c>
      <c r="H14" s="2">
        <v>30.5</v>
      </c>
      <c r="I14" s="2">
        <v>0</v>
      </c>
    </row>
    <row r="15" spans="1:12" x14ac:dyDescent="0.25">
      <c r="A15" s="2">
        <v>540235</v>
      </c>
      <c r="B15" s="2" t="s">
        <v>283</v>
      </c>
      <c r="C15" s="2" t="s">
        <v>9</v>
      </c>
      <c r="D15" s="2" t="s">
        <v>115</v>
      </c>
      <c r="E15" s="2">
        <v>7</v>
      </c>
      <c r="F15" s="2">
        <v>0</v>
      </c>
      <c r="G15" s="2">
        <v>0</v>
      </c>
      <c r="H15" s="2">
        <v>0</v>
      </c>
      <c r="I15" s="2">
        <v>0</v>
      </c>
    </row>
    <row r="16" spans="1:12" x14ac:dyDescent="0.25">
      <c r="A16" s="2">
        <v>540236</v>
      </c>
      <c r="B16" s="2" t="s">
        <v>284</v>
      </c>
      <c r="C16" s="2" t="s">
        <v>9</v>
      </c>
      <c r="D16" s="2" t="s">
        <v>115</v>
      </c>
      <c r="E16" s="2">
        <v>7</v>
      </c>
      <c r="F16" s="2">
        <v>41</v>
      </c>
      <c r="G16" s="2">
        <v>38</v>
      </c>
      <c r="H16" s="2">
        <v>39.5</v>
      </c>
      <c r="I16" s="2">
        <v>0</v>
      </c>
    </row>
    <row r="17" spans="1:9" x14ac:dyDescent="0.25">
      <c r="A17" s="2">
        <v>540237</v>
      </c>
      <c r="B17" s="2" t="s">
        <v>285</v>
      </c>
      <c r="C17" s="2" t="s">
        <v>9</v>
      </c>
      <c r="D17" s="2" t="s">
        <v>115</v>
      </c>
      <c r="E17" s="2">
        <v>7</v>
      </c>
      <c r="F17" s="2">
        <v>57</v>
      </c>
      <c r="G17" s="2">
        <v>42</v>
      </c>
      <c r="H17" s="2">
        <v>49.5</v>
      </c>
      <c r="I17" s="2">
        <v>0</v>
      </c>
    </row>
    <row r="18" spans="1:9" x14ac:dyDescent="0.25">
      <c r="A18" s="252"/>
      <c r="B18" s="252"/>
      <c r="C18" s="252" t="s">
        <v>9</v>
      </c>
      <c r="D18" s="252"/>
      <c r="E18" s="252"/>
      <c r="F18" s="252">
        <v>1419</v>
      </c>
      <c r="G18" s="252">
        <v>1059</v>
      </c>
      <c r="H18" s="252">
        <v>1239</v>
      </c>
      <c r="I18" s="252">
        <v>0</v>
      </c>
    </row>
    <row r="19" spans="1:9" x14ac:dyDescent="0.25">
      <c r="A19" s="2">
        <v>540011</v>
      </c>
      <c r="B19" s="2" t="s">
        <v>10</v>
      </c>
      <c r="C19" s="2" t="s">
        <v>11</v>
      </c>
      <c r="D19" s="2" t="s">
        <v>5</v>
      </c>
      <c r="E19" s="2">
        <v>11</v>
      </c>
      <c r="F19" s="2">
        <v>305</v>
      </c>
      <c r="G19" s="2">
        <v>205</v>
      </c>
      <c r="H19" s="2">
        <v>255</v>
      </c>
      <c r="I19" s="2">
        <v>0</v>
      </c>
    </row>
    <row r="20" spans="1:9" x14ac:dyDescent="0.25">
      <c r="A20" s="2">
        <v>540012</v>
      </c>
      <c r="B20" s="2" t="s">
        <v>122</v>
      </c>
      <c r="C20" s="2" t="s">
        <v>11</v>
      </c>
      <c r="D20" s="2" t="s">
        <v>115</v>
      </c>
      <c r="E20" s="2">
        <v>11</v>
      </c>
      <c r="F20" s="2">
        <v>15</v>
      </c>
      <c r="G20" s="2">
        <v>10</v>
      </c>
      <c r="H20" s="2">
        <v>12.5</v>
      </c>
      <c r="I20" s="2">
        <v>0</v>
      </c>
    </row>
    <row r="21" spans="1:9" x14ac:dyDescent="0.25">
      <c r="A21" s="2">
        <v>540013</v>
      </c>
      <c r="B21" s="2" t="s">
        <v>123</v>
      </c>
      <c r="C21" s="2" t="s">
        <v>11</v>
      </c>
      <c r="D21" s="2" t="s">
        <v>115</v>
      </c>
      <c r="E21" s="2">
        <v>11</v>
      </c>
      <c r="F21" s="2">
        <v>112</v>
      </c>
      <c r="G21" s="2">
        <v>71</v>
      </c>
      <c r="H21" s="2">
        <v>91.5</v>
      </c>
      <c r="I21" s="2">
        <v>0</v>
      </c>
    </row>
    <row r="22" spans="1:9" x14ac:dyDescent="0.25">
      <c r="A22" s="2">
        <v>540014</v>
      </c>
      <c r="B22" s="2" t="s">
        <v>124</v>
      </c>
      <c r="C22" s="2" t="s">
        <v>11</v>
      </c>
      <c r="D22" s="2" t="s">
        <v>115</v>
      </c>
      <c r="E22" s="2">
        <v>11</v>
      </c>
      <c r="F22" s="2">
        <v>97</v>
      </c>
      <c r="G22" s="2">
        <v>57</v>
      </c>
      <c r="H22" s="2">
        <v>77</v>
      </c>
      <c r="I22" s="2">
        <v>0</v>
      </c>
    </row>
    <row r="23" spans="1:9" x14ac:dyDescent="0.25">
      <c r="A23" s="2">
        <v>540015</v>
      </c>
      <c r="B23" s="2" t="s">
        <v>125</v>
      </c>
      <c r="C23" s="2" t="s">
        <v>11</v>
      </c>
      <c r="D23" s="2" t="s">
        <v>115</v>
      </c>
      <c r="E23" s="2">
        <v>11</v>
      </c>
      <c r="F23" s="2">
        <v>1331</v>
      </c>
      <c r="G23" s="2">
        <v>863</v>
      </c>
      <c r="H23" s="2">
        <v>1097</v>
      </c>
      <c r="I23" s="2">
        <v>0</v>
      </c>
    </row>
    <row r="24" spans="1:9" x14ac:dyDescent="0.25">
      <c r="A24" s="2">
        <v>540093</v>
      </c>
      <c r="B24" s="2" t="s">
        <v>184</v>
      </c>
      <c r="C24" s="2" t="s">
        <v>11</v>
      </c>
      <c r="D24" s="2" t="s">
        <v>115</v>
      </c>
      <c r="E24" s="2">
        <v>11</v>
      </c>
      <c r="F24" s="2">
        <v>36</v>
      </c>
      <c r="G24" s="2">
        <v>30</v>
      </c>
      <c r="H24" s="2">
        <v>33</v>
      </c>
      <c r="I24" s="2">
        <v>0</v>
      </c>
    </row>
    <row r="25" spans="1:9" x14ac:dyDescent="0.25">
      <c r="A25" s="2">
        <v>540084</v>
      </c>
      <c r="B25" s="2" t="s">
        <v>341</v>
      </c>
      <c r="C25" s="2" t="s">
        <v>11</v>
      </c>
      <c r="D25" s="2" t="s">
        <v>115</v>
      </c>
      <c r="E25" s="2">
        <v>11</v>
      </c>
      <c r="F25" s="2">
        <v>0</v>
      </c>
      <c r="G25" s="2">
        <v>0</v>
      </c>
      <c r="H25" s="2">
        <v>0</v>
      </c>
      <c r="I25" s="2">
        <v>0</v>
      </c>
    </row>
    <row r="26" spans="1:9" x14ac:dyDescent="0.25">
      <c r="A26" s="252"/>
      <c r="B26" s="252"/>
      <c r="C26" s="252" t="s">
        <v>11</v>
      </c>
      <c r="D26" s="252"/>
      <c r="E26" s="252"/>
      <c r="F26" s="252">
        <v>1896</v>
      </c>
      <c r="G26" s="252">
        <v>1236</v>
      </c>
      <c r="H26" s="252">
        <v>1566</v>
      </c>
      <c r="I26" s="252">
        <v>0</v>
      </c>
    </row>
    <row r="27" spans="1:9" x14ac:dyDescent="0.25">
      <c r="A27" s="2">
        <v>540016</v>
      </c>
      <c r="B27" s="2" t="s">
        <v>12</v>
      </c>
      <c r="C27" s="2" t="s">
        <v>13</v>
      </c>
      <c r="D27" s="2" t="s">
        <v>5</v>
      </c>
      <c r="E27" s="2">
        <v>2</v>
      </c>
      <c r="F27" s="2">
        <v>1463</v>
      </c>
      <c r="G27" s="2">
        <v>2372</v>
      </c>
      <c r="H27" s="2">
        <v>1917.5</v>
      </c>
      <c r="I27" s="2">
        <v>0</v>
      </c>
    </row>
    <row r="28" spans="1:9" x14ac:dyDescent="0.25">
      <c r="A28" s="2">
        <v>540017</v>
      </c>
      <c r="B28" s="2" t="s">
        <v>126</v>
      </c>
      <c r="C28" s="2" t="s">
        <v>13</v>
      </c>
      <c r="D28" s="2" t="s">
        <v>115</v>
      </c>
      <c r="E28" s="2">
        <v>2</v>
      </c>
      <c r="F28" s="2">
        <v>31</v>
      </c>
      <c r="G28" s="2">
        <v>63</v>
      </c>
      <c r="H28" s="2">
        <v>47</v>
      </c>
      <c r="I28" s="2">
        <v>0</v>
      </c>
    </row>
    <row r="29" spans="1:9" x14ac:dyDescent="0.25">
      <c r="A29" s="2">
        <v>540018</v>
      </c>
      <c r="B29" s="2" t="s">
        <v>127</v>
      </c>
      <c r="C29" s="2" t="s">
        <v>13</v>
      </c>
      <c r="D29" s="2" t="s">
        <v>115</v>
      </c>
      <c r="E29" s="2">
        <v>2</v>
      </c>
      <c r="F29" s="2">
        <v>458</v>
      </c>
      <c r="G29" s="2">
        <v>562</v>
      </c>
      <c r="H29" s="2">
        <v>510</v>
      </c>
      <c r="I29" s="2">
        <v>0</v>
      </c>
    </row>
    <row r="30" spans="1:9" x14ac:dyDescent="0.25">
      <c r="A30" s="2">
        <v>540019</v>
      </c>
      <c r="B30" s="2" t="s">
        <v>128</v>
      </c>
      <c r="C30" s="2" t="s">
        <v>13</v>
      </c>
      <c r="D30" s="2" t="s">
        <v>115</v>
      </c>
      <c r="E30" s="2">
        <v>2</v>
      </c>
      <c r="F30" s="2">
        <v>417</v>
      </c>
      <c r="G30" s="2">
        <v>477</v>
      </c>
      <c r="H30" s="2">
        <v>447</v>
      </c>
      <c r="I30" s="2">
        <v>0</v>
      </c>
    </row>
    <row r="31" spans="1:9" x14ac:dyDescent="0.25">
      <c r="A31" s="252"/>
      <c r="B31" s="252"/>
      <c r="C31" s="252" t="s">
        <v>13</v>
      </c>
      <c r="D31" s="252"/>
      <c r="E31" s="252"/>
      <c r="F31" s="252">
        <v>2369</v>
      </c>
      <c r="G31" s="252">
        <v>3474</v>
      </c>
      <c r="H31" s="252">
        <v>2921.5</v>
      </c>
      <c r="I31" s="252">
        <v>0</v>
      </c>
    </row>
    <row r="32" spans="1:9" x14ac:dyDescent="0.25">
      <c r="A32" s="2">
        <v>540020</v>
      </c>
      <c r="B32" s="2" t="s">
        <v>14</v>
      </c>
      <c r="C32" s="2" t="s">
        <v>15</v>
      </c>
      <c r="D32" s="2" t="s">
        <v>5</v>
      </c>
      <c r="E32" s="2">
        <v>5</v>
      </c>
      <c r="F32" s="2">
        <v>242</v>
      </c>
      <c r="G32" s="2">
        <v>575</v>
      </c>
      <c r="H32" s="2">
        <v>408.5</v>
      </c>
      <c r="I32" s="2">
        <v>0</v>
      </c>
    </row>
    <row r="33" spans="1:9" x14ac:dyDescent="0.25">
      <c r="A33" s="2">
        <v>540021</v>
      </c>
      <c r="B33" s="2" t="s">
        <v>129</v>
      </c>
      <c r="C33" s="2" t="s">
        <v>15</v>
      </c>
      <c r="D33" s="2" t="s">
        <v>115</v>
      </c>
      <c r="E33" s="2">
        <v>5</v>
      </c>
      <c r="F33" s="2">
        <v>125</v>
      </c>
      <c r="G33" s="2">
        <v>99</v>
      </c>
      <c r="H33" s="2">
        <v>112</v>
      </c>
      <c r="I33" s="2">
        <v>0</v>
      </c>
    </row>
    <row r="34" spans="1:9" x14ac:dyDescent="0.25">
      <c r="A34" s="252"/>
      <c r="B34" s="252"/>
      <c r="C34" s="252" t="s">
        <v>15</v>
      </c>
      <c r="D34" s="252"/>
      <c r="E34" s="252"/>
      <c r="F34" s="252">
        <v>367</v>
      </c>
      <c r="G34" s="252">
        <v>674</v>
      </c>
      <c r="H34" s="252">
        <v>520.5</v>
      </c>
      <c r="I34" s="252">
        <v>0</v>
      </c>
    </row>
    <row r="35" spans="1:9" x14ac:dyDescent="0.25">
      <c r="A35" s="2">
        <v>540022</v>
      </c>
      <c r="B35" s="2" t="s">
        <v>16</v>
      </c>
      <c r="C35" s="2" t="s">
        <v>17</v>
      </c>
      <c r="D35" s="2" t="s">
        <v>5</v>
      </c>
      <c r="E35" s="2">
        <v>3</v>
      </c>
      <c r="F35" s="2">
        <v>1692</v>
      </c>
      <c r="G35" s="2">
        <v>743</v>
      </c>
      <c r="H35" s="2">
        <v>1217.5</v>
      </c>
      <c r="I35" s="2">
        <v>0</v>
      </c>
    </row>
    <row r="36" spans="1:9" x14ac:dyDescent="0.25">
      <c r="A36" s="2">
        <v>540023</v>
      </c>
      <c r="B36" s="2" t="s">
        <v>130</v>
      </c>
      <c r="C36" s="2" t="s">
        <v>17</v>
      </c>
      <c r="D36" s="2" t="s">
        <v>115</v>
      </c>
      <c r="E36" s="2">
        <v>3</v>
      </c>
      <c r="F36" s="2">
        <v>51</v>
      </c>
      <c r="G36" s="2">
        <v>67</v>
      </c>
      <c r="H36" s="2">
        <v>59</v>
      </c>
      <c r="I36" s="2">
        <v>0</v>
      </c>
    </row>
    <row r="37" spans="1:9" x14ac:dyDescent="0.25">
      <c r="A37" s="252"/>
      <c r="B37" s="252"/>
      <c r="C37" s="252" t="s">
        <v>17</v>
      </c>
      <c r="D37" s="252"/>
      <c r="E37" s="252"/>
      <c r="F37" s="252">
        <v>1743</v>
      </c>
      <c r="G37" s="252">
        <v>810</v>
      </c>
      <c r="H37" s="252">
        <v>1276.5</v>
      </c>
      <c r="I37" s="252">
        <v>0</v>
      </c>
    </row>
    <row r="38" spans="1:9" x14ac:dyDescent="0.25">
      <c r="A38" s="2">
        <v>540024</v>
      </c>
      <c r="B38" s="2" t="s">
        <v>18</v>
      </c>
      <c r="C38" s="2" t="s">
        <v>19</v>
      </c>
      <c r="D38" s="2" t="s">
        <v>5</v>
      </c>
      <c r="E38" s="2">
        <v>6</v>
      </c>
      <c r="F38" s="2">
        <v>1349</v>
      </c>
      <c r="G38" s="2">
        <v>997</v>
      </c>
      <c r="H38" s="2">
        <v>1173</v>
      </c>
      <c r="I38" s="2">
        <v>0</v>
      </c>
    </row>
    <row r="39" spans="1:9" x14ac:dyDescent="0.25">
      <c r="A39" s="2">
        <v>540025</v>
      </c>
      <c r="B39" s="2" t="s">
        <v>131</v>
      </c>
      <c r="C39" s="2" t="s">
        <v>19</v>
      </c>
      <c r="D39" s="2" t="s">
        <v>115</v>
      </c>
      <c r="E39" s="2">
        <v>6</v>
      </c>
      <c r="F39" s="2">
        <v>15</v>
      </c>
      <c r="G39" s="2">
        <v>17</v>
      </c>
      <c r="H39" s="2">
        <v>16</v>
      </c>
      <c r="I39" s="2">
        <v>0</v>
      </c>
    </row>
    <row r="40" spans="1:9" x14ac:dyDescent="0.25">
      <c r="A40" s="252"/>
      <c r="B40" s="252"/>
      <c r="C40" s="252" t="s">
        <v>19</v>
      </c>
      <c r="D40" s="252"/>
      <c r="E40" s="252"/>
      <c r="F40" s="252">
        <v>1364</v>
      </c>
      <c r="G40" s="252">
        <v>1014</v>
      </c>
      <c r="H40" s="252">
        <v>1189</v>
      </c>
      <c r="I40" s="252">
        <v>0</v>
      </c>
    </row>
    <row r="41" spans="1:9" x14ac:dyDescent="0.25">
      <c r="A41" s="2">
        <v>540035</v>
      </c>
      <c r="B41" s="2" t="s">
        <v>22</v>
      </c>
      <c r="C41" s="2" t="s">
        <v>23</v>
      </c>
      <c r="D41" s="2" t="s">
        <v>5</v>
      </c>
      <c r="E41" s="2">
        <v>7</v>
      </c>
      <c r="F41" s="2">
        <v>647</v>
      </c>
      <c r="G41" s="2">
        <v>554</v>
      </c>
      <c r="H41" s="2">
        <v>600.5</v>
      </c>
      <c r="I41" s="2">
        <v>0</v>
      </c>
    </row>
    <row r="42" spans="1:9" x14ac:dyDescent="0.25">
      <c r="A42" s="2">
        <v>540036</v>
      </c>
      <c r="B42" s="2" t="s">
        <v>139</v>
      </c>
      <c r="C42" s="2" t="s">
        <v>23</v>
      </c>
      <c r="D42" s="2" t="s">
        <v>115</v>
      </c>
      <c r="E42" s="2">
        <v>7</v>
      </c>
      <c r="F42" s="2">
        <v>132</v>
      </c>
      <c r="G42" s="2">
        <v>102</v>
      </c>
      <c r="H42" s="2">
        <v>117</v>
      </c>
      <c r="I42" s="2">
        <v>0</v>
      </c>
    </row>
    <row r="43" spans="1:9" x14ac:dyDescent="0.25">
      <c r="A43" s="2">
        <v>540037</v>
      </c>
      <c r="B43" s="2" t="s">
        <v>140</v>
      </c>
      <c r="C43" s="2" t="s">
        <v>23</v>
      </c>
      <c r="D43" s="2" t="s">
        <v>115</v>
      </c>
      <c r="E43" s="2">
        <v>7</v>
      </c>
      <c r="F43" s="2">
        <v>22</v>
      </c>
      <c r="G43" s="2">
        <v>18</v>
      </c>
      <c r="H43" s="2">
        <v>20</v>
      </c>
      <c r="I43" s="2">
        <v>0</v>
      </c>
    </row>
    <row r="44" spans="1:9" x14ac:dyDescent="0.25">
      <c r="A44" s="252"/>
      <c r="B44" s="252"/>
      <c r="C44" s="252" t="s">
        <v>23</v>
      </c>
      <c r="D44" s="252"/>
      <c r="E44" s="252"/>
      <c r="F44" s="252">
        <v>801</v>
      </c>
      <c r="G44" s="252">
        <v>674</v>
      </c>
      <c r="H44" s="252">
        <v>737.5</v>
      </c>
      <c r="I44" s="252">
        <v>0</v>
      </c>
    </row>
    <row r="45" spans="1:9" x14ac:dyDescent="0.25">
      <c r="A45" s="2">
        <v>540038</v>
      </c>
      <c r="B45" s="2" t="s">
        <v>24</v>
      </c>
      <c r="C45" s="2" t="s">
        <v>25</v>
      </c>
      <c r="D45" s="2" t="s">
        <v>5</v>
      </c>
      <c r="E45" s="2">
        <v>8</v>
      </c>
      <c r="F45" s="2">
        <v>280</v>
      </c>
      <c r="G45" s="2">
        <v>455</v>
      </c>
      <c r="H45" s="2">
        <v>367.5</v>
      </c>
      <c r="I45" s="2">
        <v>0</v>
      </c>
    </row>
    <row r="46" spans="1:9" x14ac:dyDescent="0.25">
      <c r="A46" s="2">
        <v>540039</v>
      </c>
      <c r="B46" s="2" t="s">
        <v>141</v>
      </c>
      <c r="C46" s="2" t="s">
        <v>25</v>
      </c>
      <c r="D46" s="2" t="s">
        <v>115</v>
      </c>
      <c r="E46" s="2">
        <v>8</v>
      </c>
      <c r="F46" s="2">
        <v>5</v>
      </c>
      <c r="G46" s="2">
        <v>34</v>
      </c>
      <c r="H46" s="2">
        <v>19.5</v>
      </c>
      <c r="I46" s="2">
        <v>0</v>
      </c>
    </row>
    <row r="47" spans="1:9" x14ac:dyDescent="0.25">
      <c r="A47" s="2">
        <v>540240</v>
      </c>
      <c r="B47" s="2" t="s">
        <v>287</v>
      </c>
      <c r="C47" s="2" t="s">
        <v>25</v>
      </c>
      <c r="D47" s="2" t="s">
        <v>115</v>
      </c>
      <c r="E47" s="2">
        <v>8</v>
      </c>
      <c r="F47" s="2">
        <v>21</v>
      </c>
      <c r="G47" s="2">
        <v>25</v>
      </c>
      <c r="H47" s="2">
        <v>23</v>
      </c>
      <c r="I47" s="2">
        <v>0</v>
      </c>
    </row>
    <row r="48" spans="1:9" x14ac:dyDescent="0.25">
      <c r="A48" s="252"/>
      <c r="B48" s="252"/>
      <c r="C48" s="252" t="s">
        <v>25</v>
      </c>
      <c r="D48" s="252"/>
      <c r="E48" s="252"/>
      <c r="F48" s="252">
        <v>306</v>
      </c>
      <c r="G48" s="252">
        <v>514</v>
      </c>
      <c r="H48" s="252">
        <v>410</v>
      </c>
      <c r="I48" s="252">
        <v>0</v>
      </c>
    </row>
    <row r="49" spans="1:9" x14ac:dyDescent="0.25">
      <c r="A49" s="2">
        <v>540040</v>
      </c>
      <c r="B49" s="2" t="s">
        <v>26</v>
      </c>
      <c r="C49" s="2" t="s">
        <v>27</v>
      </c>
      <c r="D49" s="2" t="s">
        <v>5</v>
      </c>
      <c r="E49" s="2">
        <v>4</v>
      </c>
      <c r="F49" s="2">
        <v>976</v>
      </c>
      <c r="G49" s="2">
        <v>1291</v>
      </c>
      <c r="H49" s="2">
        <v>1133.5</v>
      </c>
      <c r="I49" s="2">
        <v>0</v>
      </c>
    </row>
    <row r="50" spans="1:9" x14ac:dyDescent="0.25">
      <c r="A50" s="2">
        <v>540041</v>
      </c>
      <c r="B50" s="2" t="s">
        <v>142</v>
      </c>
      <c r="C50" s="2" t="s">
        <v>27</v>
      </c>
      <c r="D50" s="2" t="s">
        <v>115</v>
      </c>
      <c r="E50" s="2">
        <v>4</v>
      </c>
      <c r="F50" s="2">
        <v>136</v>
      </c>
      <c r="G50" s="2">
        <v>159</v>
      </c>
      <c r="H50" s="2">
        <v>147.5</v>
      </c>
      <c r="I50" s="2">
        <v>0</v>
      </c>
    </row>
    <row r="51" spans="1:9" x14ac:dyDescent="0.25">
      <c r="A51" s="2">
        <v>540043</v>
      </c>
      <c r="B51" s="2" t="s">
        <v>144</v>
      </c>
      <c r="C51" s="2" t="s">
        <v>27</v>
      </c>
      <c r="D51" s="2" t="s">
        <v>115</v>
      </c>
      <c r="E51" s="2">
        <v>4</v>
      </c>
      <c r="F51" s="2">
        <v>69</v>
      </c>
      <c r="G51" s="2">
        <v>92</v>
      </c>
      <c r="H51" s="2">
        <v>80.5</v>
      </c>
      <c r="I51" s="2">
        <v>0</v>
      </c>
    </row>
    <row r="52" spans="1:9" x14ac:dyDescent="0.25">
      <c r="A52" s="2">
        <v>540044</v>
      </c>
      <c r="B52" s="2" t="s">
        <v>145</v>
      </c>
      <c r="C52" s="2" t="s">
        <v>27</v>
      </c>
      <c r="D52" s="2" t="s">
        <v>115</v>
      </c>
      <c r="E52" s="2">
        <v>4</v>
      </c>
      <c r="F52" s="2">
        <v>22</v>
      </c>
      <c r="G52" s="2">
        <v>38</v>
      </c>
      <c r="H52" s="2">
        <v>30</v>
      </c>
      <c r="I52" s="2">
        <v>0</v>
      </c>
    </row>
    <row r="53" spans="1:9" x14ac:dyDescent="0.25">
      <c r="A53" s="2">
        <v>540045</v>
      </c>
      <c r="B53" s="2" t="s">
        <v>146</v>
      </c>
      <c r="C53" s="2" t="s">
        <v>27</v>
      </c>
      <c r="D53" s="2" t="s">
        <v>115</v>
      </c>
      <c r="E53" s="2">
        <v>4</v>
      </c>
      <c r="F53" s="2">
        <v>470</v>
      </c>
      <c r="G53" s="2">
        <v>421</v>
      </c>
      <c r="H53" s="2">
        <v>445.5</v>
      </c>
      <c r="I53" s="2">
        <v>0</v>
      </c>
    </row>
    <row r="54" spans="1:9" x14ac:dyDescent="0.25">
      <c r="A54" s="2">
        <v>540228</v>
      </c>
      <c r="B54" s="2" t="s">
        <v>278</v>
      </c>
      <c r="C54" s="2" t="s">
        <v>27</v>
      </c>
      <c r="D54" s="2" t="s">
        <v>115</v>
      </c>
      <c r="E54" s="2">
        <v>4</v>
      </c>
      <c r="F54" s="2">
        <v>19</v>
      </c>
      <c r="G54" s="2">
        <v>27</v>
      </c>
      <c r="H54" s="2">
        <v>23</v>
      </c>
      <c r="I54" s="2">
        <v>0</v>
      </c>
    </row>
    <row r="55" spans="1:9" x14ac:dyDescent="0.25">
      <c r="A55" s="2">
        <v>540243</v>
      </c>
      <c r="B55" s="2" t="s">
        <v>290</v>
      </c>
      <c r="C55" s="2" t="s">
        <v>27</v>
      </c>
      <c r="D55" s="2" t="s">
        <v>115</v>
      </c>
      <c r="E55" s="2">
        <v>4</v>
      </c>
      <c r="F55" s="2">
        <v>7</v>
      </c>
      <c r="G55" s="2">
        <v>7</v>
      </c>
      <c r="H55" s="2">
        <v>7</v>
      </c>
      <c r="I55" s="2">
        <v>0</v>
      </c>
    </row>
    <row r="56" spans="1:9" x14ac:dyDescent="0.25">
      <c r="A56" s="2">
        <v>540244</v>
      </c>
      <c r="B56" s="2" t="s">
        <v>291</v>
      </c>
      <c r="C56" s="2" t="s">
        <v>27</v>
      </c>
      <c r="D56" s="2" t="s">
        <v>115</v>
      </c>
      <c r="E56" s="2">
        <v>4</v>
      </c>
      <c r="F56" s="2">
        <v>0</v>
      </c>
      <c r="G56" s="2">
        <v>0</v>
      </c>
      <c r="H56" s="2">
        <v>0</v>
      </c>
      <c r="I56" s="2">
        <v>0</v>
      </c>
    </row>
    <row r="57" spans="1:9" x14ac:dyDescent="0.25">
      <c r="A57" s="2">
        <v>540281</v>
      </c>
      <c r="B57" s="2" t="s">
        <v>322</v>
      </c>
      <c r="C57" s="2" t="s">
        <v>27</v>
      </c>
      <c r="D57" s="2" t="s">
        <v>115</v>
      </c>
      <c r="E57" s="2">
        <v>4</v>
      </c>
      <c r="F57" s="2">
        <v>0</v>
      </c>
      <c r="G57" s="2">
        <v>0</v>
      </c>
      <c r="H57" s="2">
        <v>0</v>
      </c>
      <c r="I57" s="2">
        <v>0</v>
      </c>
    </row>
    <row r="58" spans="1:9" x14ac:dyDescent="0.25">
      <c r="A58" s="252"/>
      <c r="B58" s="252"/>
      <c r="C58" s="252" t="s">
        <v>27</v>
      </c>
      <c r="D58" s="252"/>
      <c r="E58" s="252"/>
      <c r="F58" s="252">
        <v>1699</v>
      </c>
      <c r="G58" s="252">
        <v>2035</v>
      </c>
      <c r="H58" s="252">
        <v>1867</v>
      </c>
      <c r="I58" s="252">
        <v>0</v>
      </c>
    </row>
    <row r="59" spans="1:9" x14ac:dyDescent="0.25">
      <c r="A59" s="2">
        <v>540047</v>
      </c>
      <c r="B59" s="2" t="s">
        <v>28</v>
      </c>
      <c r="C59" s="2" t="s">
        <v>29</v>
      </c>
      <c r="D59" s="2" t="s">
        <v>5</v>
      </c>
      <c r="E59" s="2">
        <v>11</v>
      </c>
      <c r="F59" s="2">
        <v>307</v>
      </c>
      <c r="G59" s="2">
        <v>372</v>
      </c>
      <c r="H59" s="2">
        <v>339.5</v>
      </c>
      <c r="I59" s="2">
        <v>166</v>
      </c>
    </row>
    <row r="60" spans="1:9" x14ac:dyDescent="0.25">
      <c r="A60" s="2">
        <v>540014</v>
      </c>
      <c r="B60" s="2" t="s">
        <v>124</v>
      </c>
      <c r="C60" s="2" t="s">
        <v>29</v>
      </c>
      <c r="D60" s="2" t="s">
        <v>115</v>
      </c>
      <c r="E60" s="2">
        <v>11</v>
      </c>
      <c r="F60" s="2">
        <v>112</v>
      </c>
      <c r="G60" s="2">
        <v>159</v>
      </c>
      <c r="H60" s="2">
        <v>135.5</v>
      </c>
      <c r="I60" s="2">
        <v>114</v>
      </c>
    </row>
    <row r="61" spans="1:9" x14ac:dyDescent="0.25">
      <c r="A61" s="2">
        <v>540048</v>
      </c>
      <c r="B61" s="2" t="s">
        <v>148</v>
      </c>
      <c r="C61" s="2" t="s">
        <v>29</v>
      </c>
      <c r="D61" s="2" t="s">
        <v>115</v>
      </c>
      <c r="E61" s="2">
        <v>11</v>
      </c>
      <c r="F61" s="2">
        <v>23</v>
      </c>
      <c r="G61" s="2">
        <v>21</v>
      </c>
      <c r="H61" s="2">
        <v>22</v>
      </c>
      <c r="I61" s="2">
        <v>15</v>
      </c>
    </row>
    <row r="62" spans="1:9" x14ac:dyDescent="0.25">
      <c r="A62" s="2">
        <v>540049</v>
      </c>
      <c r="B62" s="2" t="s">
        <v>149</v>
      </c>
      <c r="C62" s="2" t="s">
        <v>29</v>
      </c>
      <c r="D62" s="2" t="s">
        <v>115</v>
      </c>
      <c r="E62" s="2">
        <v>11</v>
      </c>
      <c r="F62" s="2">
        <v>190</v>
      </c>
      <c r="G62" s="2">
        <v>196</v>
      </c>
      <c r="H62" s="2">
        <v>193</v>
      </c>
      <c r="I62" s="2">
        <v>168</v>
      </c>
    </row>
    <row r="63" spans="1:9" x14ac:dyDescent="0.25">
      <c r="A63" s="252"/>
      <c r="B63" s="252"/>
      <c r="C63" s="252" t="s">
        <v>29</v>
      </c>
      <c r="D63" s="252"/>
      <c r="E63" s="252"/>
      <c r="F63" s="252">
        <v>632</v>
      </c>
      <c r="G63" s="252">
        <v>748</v>
      </c>
      <c r="H63" s="252">
        <v>690</v>
      </c>
      <c r="I63" s="252">
        <v>463</v>
      </c>
    </row>
    <row r="64" spans="1:9" x14ac:dyDescent="0.25">
      <c r="A64" s="2">
        <v>540051</v>
      </c>
      <c r="B64" s="2" t="s">
        <v>30</v>
      </c>
      <c r="C64" s="2" t="s">
        <v>31</v>
      </c>
      <c r="D64" s="2" t="s">
        <v>5</v>
      </c>
      <c r="E64" s="2">
        <v>8</v>
      </c>
      <c r="F64" s="2">
        <v>415</v>
      </c>
      <c r="G64" s="2">
        <v>769</v>
      </c>
      <c r="H64" s="2">
        <v>592</v>
      </c>
      <c r="I64" s="2">
        <v>0</v>
      </c>
    </row>
    <row r="65" spans="1:9" x14ac:dyDescent="0.25">
      <c r="A65" s="2">
        <v>540052</v>
      </c>
      <c r="B65" s="2" t="s">
        <v>151</v>
      </c>
      <c r="C65" s="2" t="s">
        <v>31</v>
      </c>
      <c r="D65" s="2" t="s">
        <v>115</v>
      </c>
      <c r="E65" s="2">
        <v>8</v>
      </c>
      <c r="F65" s="2">
        <v>77</v>
      </c>
      <c r="G65" s="2">
        <v>99</v>
      </c>
      <c r="H65" s="2">
        <v>88</v>
      </c>
      <c r="I65" s="2">
        <v>0</v>
      </c>
    </row>
    <row r="66" spans="1:9" x14ac:dyDescent="0.25">
      <c r="A66" s="2">
        <v>540245</v>
      </c>
      <c r="B66" s="2" t="s">
        <v>292</v>
      </c>
      <c r="C66" s="2" t="s">
        <v>31</v>
      </c>
      <c r="D66" s="2" t="s">
        <v>115</v>
      </c>
      <c r="E66" s="2">
        <v>8</v>
      </c>
      <c r="F66" s="2">
        <v>1</v>
      </c>
      <c r="G66" s="2">
        <v>3</v>
      </c>
      <c r="H66" s="2">
        <v>2</v>
      </c>
      <c r="I66" s="2">
        <v>0</v>
      </c>
    </row>
    <row r="67" spans="1:9" x14ac:dyDescent="0.25">
      <c r="A67" s="252"/>
      <c r="B67" s="252"/>
      <c r="C67" s="252" t="s">
        <v>31</v>
      </c>
      <c r="D67" s="252"/>
      <c r="E67" s="252"/>
      <c r="F67" s="252">
        <v>493</v>
      </c>
      <c r="G67" s="252">
        <v>871</v>
      </c>
      <c r="H67" s="252">
        <v>682</v>
      </c>
      <c r="I67" s="252">
        <v>0</v>
      </c>
    </row>
    <row r="68" spans="1:9" x14ac:dyDescent="0.25">
      <c r="A68" s="2">
        <v>540053</v>
      </c>
      <c r="B68" s="2" t="s">
        <v>32</v>
      </c>
      <c r="C68" s="2" t="s">
        <v>33</v>
      </c>
      <c r="D68" s="2" t="s">
        <v>5</v>
      </c>
      <c r="E68" s="2">
        <v>6</v>
      </c>
      <c r="F68" s="2">
        <v>1025</v>
      </c>
      <c r="G68" s="2">
        <v>1217</v>
      </c>
      <c r="H68" s="2">
        <v>1121</v>
      </c>
      <c r="I68" s="2">
        <v>0</v>
      </c>
    </row>
    <row r="69" spans="1:9" x14ac:dyDescent="0.25">
      <c r="A69" s="2">
        <v>540054</v>
      </c>
      <c r="B69" s="2" t="s">
        <v>152</v>
      </c>
      <c r="C69" s="2" t="s">
        <v>33</v>
      </c>
      <c r="D69" s="2" t="s">
        <v>115</v>
      </c>
      <c r="E69" s="2">
        <v>6</v>
      </c>
      <c r="F69" s="2">
        <v>21</v>
      </c>
      <c r="G69" s="2">
        <v>36</v>
      </c>
      <c r="H69" s="2">
        <v>28.5</v>
      </c>
      <c r="I69" s="2">
        <v>0</v>
      </c>
    </row>
    <row r="70" spans="1:9" x14ac:dyDescent="0.25">
      <c r="A70" s="2">
        <v>540055</v>
      </c>
      <c r="B70" s="2" t="s">
        <v>153</v>
      </c>
      <c r="C70" s="2" t="s">
        <v>33</v>
      </c>
      <c r="D70" s="2" t="s">
        <v>115</v>
      </c>
      <c r="E70" s="2">
        <v>6</v>
      </c>
      <c r="F70" s="2">
        <v>95</v>
      </c>
      <c r="G70" s="2">
        <v>169</v>
      </c>
      <c r="H70" s="2">
        <v>132</v>
      </c>
      <c r="I70" s="2">
        <v>0</v>
      </c>
    </row>
    <row r="71" spans="1:9" x14ac:dyDescent="0.25">
      <c r="A71" s="2">
        <v>540056</v>
      </c>
      <c r="B71" s="2" t="s">
        <v>154</v>
      </c>
      <c r="C71" s="2" t="s">
        <v>33</v>
      </c>
      <c r="D71" s="2" t="s">
        <v>115</v>
      </c>
      <c r="E71" s="2">
        <v>6</v>
      </c>
      <c r="F71" s="2">
        <v>291</v>
      </c>
      <c r="G71" s="2">
        <v>366</v>
      </c>
      <c r="H71" s="2">
        <v>328.5</v>
      </c>
      <c r="I71" s="2">
        <v>0</v>
      </c>
    </row>
    <row r="72" spans="1:9" x14ac:dyDescent="0.25">
      <c r="A72" s="2">
        <v>540057</v>
      </c>
      <c r="B72" s="2" t="s">
        <v>155</v>
      </c>
      <c r="C72" s="2" t="s">
        <v>33</v>
      </c>
      <c r="D72" s="2" t="s">
        <v>115</v>
      </c>
      <c r="E72" s="2">
        <v>6</v>
      </c>
      <c r="F72" s="2">
        <v>77</v>
      </c>
      <c r="G72" s="2">
        <v>70</v>
      </c>
      <c r="H72" s="2">
        <v>73.5</v>
      </c>
      <c r="I72" s="2">
        <v>0</v>
      </c>
    </row>
    <row r="73" spans="1:9" x14ac:dyDescent="0.25">
      <c r="A73" s="2">
        <v>540058</v>
      </c>
      <c r="B73" s="2" t="s">
        <v>156</v>
      </c>
      <c r="C73" s="2" t="s">
        <v>33</v>
      </c>
      <c r="D73" s="2" t="s">
        <v>115</v>
      </c>
      <c r="E73" s="2">
        <v>6</v>
      </c>
      <c r="F73" s="2">
        <v>44</v>
      </c>
      <c r="G73" s="2">
        <v>38</v>
      </c>
      <c r="H73" s="2">
        <v>41</v>
      </c>
      <c r="I73" s="2">
        <v>0</v>
      </c>
    </row>
    <row r="74" spans="1:9" x14ac:dyDescent="0.25">
      <c r="A74" s="2">
        <v>540059</v>
      </c>
      <c r="B74" s="2" t="s">
        <v>157</v>
      </c>
      <c r="C74" s="2" t="s">
        <v>33</v>
      </c>
      <c r="D74" s="2" t="s">
        <v>115</v>
      </c>
      <c r="E74" s="2">
        <v>6</v>
      </c>
      <c r="F74" s="2">
        <v>41</v>
      </c>
      <c r="G74" s="2">
        <v>53</v>
      </c>
      <c r="H74" s="2">
        <v>47</v>
      </c>
      <c r="I74" s="2">
        <v>0</v>
      </c>
    </row>
    <row r="75" spans="1:9" x14ac:dyDescent="0.25">
      <c r="A75" s="2">
        <v>540060</v>
      </c>
      <c r="B75" s="2" t="s">
        <v>158</v>
      </c>
      <c r="C75" s="2" t="s">
        <v>33</v>
      </c>
      <c r="D75" s="2" t="s">
        <v>115</v>
      </c>
      <c r="E75" s="2">
        <v>6</v>
      </c>
      <c r="F75" s="2">
        <v>65</v>
      </c>
      <c r="G75" s="2">
        <v>90</v>
      </c>
      <c r="H75" s="2">
        <v>77.5</v>
      </c>
      <c r="I75" s="2">
        <v>0</v>
      </c>
    </row>
    <row r="76" spans="1:9" x14ac:dyDescent="0.25">
      <c r="A76" s="2">
        <v>540061</v>
      </c>
      <c r="B76" s="2" t="s">
        <v>159</v>
      </c>
      <c r="C76" s="2" t="s">
        <v>33</v>
      </c>
      <c r="D76" s="2" t="s">
        <v>115</v>
      </c>
      <c r="E76" s="2">
        <v>6</v>
      </c>
      <c r="F76" s="2">
        <v>16</v>
      </c>
      <c r="G76" s="2">
        <v>18</v>
      </c>
      <c r="H76" s="2">
        <v>17</v>
      </c>
      <c r="I76" s="2">
        <v>0</v>
      </c>
    </row>
    <row r="77" spans="1:9" x14ac:dyDescent="0.25">
      <c r="A77" s="2">
        <v>540062</v>
      </c>
      <c r="B77" s="2" t="s">
        <v>160</v>
      </c>
      <c r="C77" s="2" t="s">
        <v>33</v>
      </c>
      <c r="D77" s="2" t="s">
        <v>115</v>
      </c>
      <c r="E77" s="2">
        <v>6</v>
      </c>
      <c r="F77" s="2">
        <v>0</v>
      </c>
      <c r="G77" s="2">
        <v>1</v>
      </c>
      <c r="H77" s="2">
        <v>0.5</v>
      </c>
      <c r="I77" s="2">
        <v>0</v>
      </c>
    </row>
    <row r="78" spans="1:9" x14ac:dyDescent="0.25">
      <c r="A78" s="2">
        <v>540242</v>
      </c>
      <c r="B78" s="2" t="s">
        <v>289</v>
      </c>
      <c r="C78" s="2" t="s">
        <v>33</v>
      </c>
      <c r="D78" s="2" t="s">
        <v>115</v>
      </c>
      <c r="E78" s="2">
        <v>6</v>
      </c>
      <c r="F78" s="2">
        <v>54</v>
      </c>
      <c r="G78" s="2">
        <v>67</v>
      </c>
      <c r="H78" s="2">
        <v>60.5</v>
      </c>
      <c r="I78" s="2">
        <v>0</v>
      </c>
    </row>
    <row r="79" spans="1:9" x14ac:dyDescent="0.25">
      <c r="A79" s="252"/>
      <c r="B79" s="252"/>
      <c r="C79" s="252" t="s">
        <v>33</v>
      </c>
      <c r="D79" s="252"/>
      <c r="E79" s="252"/>
      <c r="F79" s="252">
        <v>1729</v>
      </c>
      <c r="G79" s="252">
        <v>2125</v>
      </c>
      <c r="H79" s="252">
        <v>1927</v>
      </c>
      <c r="I79" s="252">
        <v>0</v>
      </c>
    </row>
    <row r="80" spans="1:9" x14ac:dyDescent="0.25">
      <c r="A80" s="2">
        <v>540063</v>
      </c>
      <c r="B80" s="2" t="s">
        <v>34</v>
      </c>
      <c r="C80" s="2" t="s">
        <v>35</v>
      </c>
      <c r="D80" s="2" t="s">
        <v>5</v>
      </c>
      <c r="E80" s="2">
        <v>5</v>
      </c>
      <c r="F80" s="2">
        <v>884</v>
      </c>
      <c r="G80" s="2">
        <v>1346</v>
      </c>
      <c r="H80" s="2">
        <v>1115</v>
      </c>
      <c r="I80" s="2">
        <v>0</v>
      </c>
    </row>
    <row r="81" spans="1:9" x14ac:dyDescent="0.25">
      <c r="A81" s="2">
        <v>540064</v>
      </c>
      <c r="B81" s="2" t="s">
        <v>161</v>
      </c>
      <c r="C81" s="2" t="s">
        <v>35</v>
      </c>
      <c r="D81" s="2" t="s">
        <v>115</v>
      </c>
      <c r="E81" s="2">
        <v>5</v>
      </c>
      <c r="F81" s="2">
        <v>14</v>
      </c>
      <c r="G81" s="2">
        <v>24</v>
      </c>
      <c r="H81" s="2">
        <v>19</v>
      </c>
      <c r="I81" s="2">
        <v>0</v>
      </c>
    </row>
    <row r="82" spans="1:9" x14ac:dyDescent="0.25">
      <c r="A82" s="2">
        <v>540241</v>
      </c>
      <c r="B82" s="2" t="s">
        <v>288</v>
      </c>
      <c r="C82" s="2" t="s">
        <v>35</v>
      </c>
      <c r="D82" s="2" t="s">
        <v>115</v>
      </c>
      <c r="E82" s="2">
        <v>5</v>
      </c>
      <c r="F82" s="2">
        <v>142</v>
      </c>
      <c r="G82" s="2">
        <v>145</v>
      </c>
      <c r="H82" s="2">
        <v>143.5</v>
      </c>
      <c r="I82" s="2">
        <v>0</v>
      </c>
    </row>
    <row r="83" spans="1:9" x14ac:dyDescent="0.25">
      <c r="A83" s="252"/>
      <c r="B83" s="252"/>
      <c r="C83" s="252" t="s">
        <v>35</v>
      </c>
      <c r="D83" s="252"/>
      <c r="E83" s="252"/>
      <c r="F83" s="252">
        <v>1040</v>
      </c>
      <c r="G83" s="252">
        <v>1515</v>
      </c>
      <c r="H83" s="252">
        <v>1277.5</v>
      </c>
      <c r="I83" s="252">
        <v>0</v>
      </c>
    </row>
    <row r="84" spans="1:9" x14ac:dyDescent="0.25">
      <c r="A84" s="2">
        <v>540065</v>
      </c>
      <c r="B84" s="2" t="s">
        <v>36</v>
      </c>
      <c r="C84" s="2" t="s">
        <v>37</v>
      </c>
      <c r="D84" s="2" t="s">
        <v>5</v>
      </c>
      <c r="E84" s="2">
        <v>9</v>
      </c>
      <c r="F84" s="2">
        <v>436</v>
      </c>
      <c r="G84" s="2">
        <v>539</v>
      </c>
      <c r="H84" s="2">
        <v>487.5</v>
      </c>
      <c r="I84" s="2">
        <v>474</v>
      </c>
    </row>
    <row r="85" spans="1:9" x14ac:dyDescent="0.25">
      <c r="A85" s="2">
        <v>540030</v>
      </c>
      <c r="B85" s="2" t="s">
        <v>135</v>
      </c>
      <c r="C85" s="2" t="s">
        <v>37</v>
      </c>
      <c r="D85" s="2" t="s">
        <v>115</v>
      </c>
      <c r="E85" s="2">
        <v>9</v>
      </c>
      <c r="F85" s="2">
        <v>0</v>
      </c>
      <c r="G85" s="2">
        <v>0</v>
      </c>
      <c r="H85" s="2">
        <v>0</v>
      </c>
      <c r="I85" s="2">
        <v>0</v>
      </c>
    </row>
    <row r="86" spans="1:9" x14ac:dyDescent="0.25">
      <c r="A86" s="2">
        <v>540066</v>
      </c>
      <c r="B86" s="2" t="s">
        <v>162</v>
      </c>
      <c r="C86" s="2" t="s">
        <v>37</v>
      </c>
      <c r="D86" s="2" t="s">
        <v>115</v>
      </c>
      <c r="E86" s="2">
        <v>9</v>
      </c>
      <c r="F86" s="2">
        <v>21</v>
      </c>
      <c r="G86" s="2">
        <v>31</v>
      </c>
      <c r="H86" s="2">
        <v>26</v>
      </c>
      <c r="I86" s="2">
        <v>22</v>
      </c>
    </row>
    <row r="87" spans="1:9" x14ac:dyDescent="0.25">
      <c r="A87" s="2">
        <v>540067</v>
      </c>
      <c r="B87" s="2" t="s">
        <v>163</v>
      </c>
      <c r="C87" s="2" t="s">
        <v>37</v>
      </c>
      <c r="D87" s="2" t="s">
        <v>115</v>
      </c>
      <c r="E87" s="2">
        <v>9</v>
      </c>
      <c r="F87" s="2">
        <v>4</v>
      </c>
      <c r="G87" s="2">
        <v>1</v>
      </c>
      <c r="H87" s="2">
        <v>2.5</v>
      </c>
      <c r="I87" s="2">
        <v>1</v>
      </c>
    </row>
    <row r="88" spans="1:9" x14ac:dyDescent="0.25">
      <c r="A88" s="2">
        <v>540068</v>
      </c>
      <c r="B88" s="2" t="s">
        <v>164</v>
      </c>
      <c r="C88" s="2" t="s">
        <v>37</v>
      </c>
      <c r="D88" s="2" t="s">
        <v>115</v>
      </c>
      <c r="E88" s="2">
        <v>9</v>
      </c>
      <c r="F88" s="2">
        <v>75</v>
      </c>
      <c r="G88" s="2">
        <v>86</v>
      </c>
      <c r="H88" s="2">
        <v>80.5</v>
      </c>
      <c r="I88" s="2">
        <v>77</v>
      </c>
    </row>
    <row r="89" spans="1:9" x14ac:dyDescent="0.25">
      <c r="A89" s="2">
        <v>540069</v>
      </c>
      <c r="B89" s="2" t="s">
        <v>165</v>
      </c>
      <c r="C89" s="2" t="s">
        <v>37</v>
      </c>
      <c r="D89" s="2" t="s">
        <v>115</v>
      </c>
      <c r="E89" s="2">
        <v>9</v>
      </c>
      <c r="F89" s="2">
        <v>128</v>
      </c>
      <c r="G89" s="2">
        <v>53</v>
      </c>
      <c r="H89" s="2">
        <v>90.5</v>
      </c>
      <c r="I89" s="2">
        <v>62</v>
      </c>
    </row>
    <row r="90" spans="1:9" x14ac:dyDescent="0.25">
      <c r="A90" s="252"/>
      <c r="B90" s="252"/>
      <c r="C90" s="252" t="s">
        <v>37</v>
      </c>
      <c r="D90" s="252"/>
      <c r="E90" s="252"/>
      <c r="F90" s="252">
        <v>664</v>
      </c>
      <c r="G90" s="252">
        <v>710</v>
      </c>
      <c r="H90" s="252">
        <v>687</v>
      </c>
      <c r="I90" s="252">
        <v>636</v>
      </c>
    </row>
    <row r="91" spans="1:9" x14ac:dyDescent="0.25">
      <c r="A91" s="2">
        <v>540070</v>
      </c>
      <c r="B91" s="2" t="s">
        <v>38</v>
      </c>
      <c r="C91" s="2" t="s">
        <v>39</v>
      </c>
      <c r="D91" s="2" t="s">
        <v>5</v>
      </c>
      <c r="E91" s="2">
        <v>3</v>
      </c>
      <c r="F91" s="2">
        <v>8192</v>
      </c>
      <c r="G91" s="2">
        <v>10123</v>
      </c>
      <c r="H91" s="2">
        <v>9157.5</v>
      </c>
      <c r="I91" s="2">
        <v>0</v>
      </c>
    </row>
    <row r="92" spans="1:9" x14ac:dyDescent="0.25">
      <c r="A92" s="2">
        <v>540029</v>
      </c>
      <c r="B92" s="2" t="s">
        <v>134</v>
      </c>
      <c r="C92" s="2" t="s">
        <v>39</v>
      </c>
      <c r="D92" s="2" t="s">
        <v>115</v>
      </c>
      <c r="E92" s="2">
        <v>3</v>
      </c>
      <c r="F92" s="2">
        <v>18</v>
      </c>
      <c r="G92" s="2">
        <v>32</v>
      </c>
      <c r="H92" s="2">
        <v>25</v>
      </c>
      <c r="I92" s="2">
        <v>0</v>
      </c>
    </row>
    <row r="93" spans="1:9" x14ac:dyDescent="0.25">
      <c r="A93" s="2">
        <v>540071</v>
      </c>
      <c r="B93" s="2" t="s">
        <v>166</v>
      </c>
      <c r="C93" s="2" t="s">
        <v>39</v>
      </c>
      <c r="D93" s="2" t="s">
        <v>115</v>
      </c>
      <c r="E93" s="2">
        <v>3</v>
      </c>
      <c r="F93" s="2">
        <v>94</v>
      </c>
      <c r="G93" s="2">
        <v>116</v>
      </c>
      <c r="H93" s="2">
        <v>105</v>
      </c>
      <c r="I93" s="2">
        <v>0</v>
      </c>
    </row>
    <row r="94" spans="1:9" x14ac:dyDescent="0.25">
      <c r="A94" s="2">
        <v>540072</v>
      </c>
      <c r="B94" s="2" t="s">
        <v>167</v>
      </c>
      <c r="C94" s="2" t="s">
        <v>39</v>
      </c>
      <c r="D94" s="2" t="s">
        <v>115</v>
      </c>
      <c r="E94" s="2">
        <v>3</v>
      </c>
      <c r="F94" s="2">
        <v>64</v>
      </c>
      <c r="G94" s="2">
        <v>92</v>
      </c>
      <c r="H94" s="2">
        <v>78</v>
      </c>
      <c r="I94" s="2">
        <v>0</v>
      </c>
    </row>
    <row r="95" spans="1:9" x14ac:dyDescent="0.25">
      <c r="A95" s="2">
        <v>540073</v>
      </c>
      <c r="B95" s="2" t="s">
        <v>168</v>
      </c>
      <c r="C95" s="2" t="s">
        <v>39</v>
      </c>
      <c r="D95" s="2" t="s">
        <v>115</v>
      </c>
      <c r="E95" s="2">
        <v>3</v>
      </c>
      <c r="F95" s="2">
        <v>1625</v>
      </c>
      <c r="G95" s="2">
        <v>1774</v>
      </c>
      <c r="H95" s="2">
        <v>1699.5</v>
      </c>
      <c r="I95" s="2">
        <v>0</v>
      </c>
    </row>
    <row r="96" spans="1:9" x14ac:dyDescent="0.25">
      <c r="A96" s="2">
        <v>540074</v>
      </c>
      <c r="B96" s="2" t="s">
        <v>169</v>
      </c>
      <c r="C96" s="2" t="s">
        <v>39</v>
      </c>
      <c r="D96" s="2" t="s">
        <v>115</v>
      </c>
      <c r="E96" s="2">
        <v>3</v>
      </c>
      <c r="F96" s="2">
        <v>165</v>
      </c>
      <c r="G96" s="2">
        <v>211</v>
      </c>
      <c r="H96" s="2">
        <v>188</v>
      </c>
      <c r="I96" s="2">
        <v>0</v>
      </c>
    </row>
    <row r="97" spans="1:9" x14ac:dyDescent="0.25">
      <c r="A97" s="2">
        <v>540075</v>
      </c>
      <c r="B97" s="2" t="s">
        <v>170</v>
      </c>
      <c r="C97" s="2" t="s">
        <v>39</v>
      </c>
      <c r="D97" s="2" t="s">
        <v>115</v>
      </c>
      <c r="E97" s="2">
        <v>3</v>
      </c>
      <c r="F97" s="2">
        <v>362</v>
      </c>
      <c r="G97" s="2">
        <v>322</v>
      </c>
      <c r="H97" s="2">
        <v>342</v>
      </c>
      <c r="I97" s="2">
        <v>0</v>
      </c>
    </row>
    <row r="98" spans="1:9" x14ac:dyDescent="0.25">
      <c r="A98" s="2">
        <v>540076</v>
      </c>
      <c r="B98" s="2" t="s">
        <v>171</v>
      </c>
      <c r="C98" s="2" t="s">
        <v>39</v>
      </c>
      <c r="D98" s="2" t="s">
        <v>115</v>
      </c>
      <c r="E98" s="2">
        <v>3</v>
      </c>
      <c r="F98" s="2">
        <v>972</v>
      </c>
      <c r="G98" s="2">
        <v>1179</v>
      </c>
      <c r="H98" s="2">
        <v>1075.5</v>
      </c>
      <c r="I98" s="2">
        <v>0</v>
      </c>
    </row>
    <row r="99" spans="1:9" x14ac:dyDescent="0.25">
      <c r="A99" s="2">
        <v>540077</v>
      </c>
      <c r="B99" s="2" t="s">
        <v>172</v>
      </c>
      <c r="C99" s="2" t="s">
        <v>39</v>
      </c>
      <c r="D99" s="2" t="s">
        <v>115</v>
      </c>
      <c r="E99" s="2">
        <v>3</v>
      </c>
      <c r="F99" s="2">
        <v>51</v>
      </c>
      <c r="G99" s="2">
        <v>69</v>
      </c>
      <c r="H99" s="2">
        <v>60</v>
      </c>
      <c r="I99" s="2">
        <v>0</v>
      </c>
    </row>
    <row r="100" spans="1:9" x14ac:dyDescent="0.25">
      <c r="A100" s="2">
        <v>540078</v>
      </c>
      <c r="B100" s="2" t="s">
        <v>173</v>
      </c>
      <c r="C100" s="2" t="s">
        <v>39</v>
      </c>
      <c r="D100" s="2" t="s">
        <v>115</v>
      </c>
      <c r="E100" s="2">
        <v>3</v>
      </c>
      <c r="F100" s="2">
        <v>84</v>
      </c>
      <c r="G100" s="2">
        <v>100</v>
      </c>
      <c r="H100" s="2">
        <v>92</v>
      </c>
      <c r="I100" s="2">
        <v>0</v>
      </c>
    </row>
    <row r="101" spans="1:9" x14ac:dyDescent="0.25">
      <c r="A101" s="2">
        <v>540079</v>
      </c>
      <c r="B101" s="2" t="s">
        <v>174</v>
      </c>
      <c r="C101" s="2" t="s">
        <v>39</v>
      </c>
      <c r="D101" s="2" t="s">
        <v>115</v>
      </c>
      <c r="E101" s="2">
        <v>3</v>
      </c>
      <c r="F101" s="2">
        <v>30</v>
      </c>
      <c r="G101" s="2">
        <v>29</v>
      </c>
      <c r="H101" s="2">
        <v>29.5</v>
      </c>
      <c r="I101" s="2">
        <v>0</v>
      </c>
    </row>
    <row r="102" spans="1:9" x14ac:dyDescent="0.25">
      <c r="A102" s="2">
        <v>540081</v>
      </c>
      <c r="B102" s="2" t="s">
        <v>176</v>
      </c>
      <c r="C102" s="2" t="s">
        <v>39</v>
      </c>
      <c r="D102" s="2" t="s">
        <v>115</v>
      </c>
      <c r="E102" s="2">
        <v>3</v>
      </c>
      <c r="F102" s="2">
        <v>468</v>
      </c>
      <c r="G102" s="2">
        <v>548</v>
      </c>
      <c r="H102" s="2">
        <v>508</v>
      </c>
      <c r="I102" s="2">
        <v>0</v>
      </c>
    </row>
    <row r="103" spans="1:9" x14ac:dyDescent="0.25">
      <c r="A103" s="2">
        <v>540082</v>
      </c>
      <c r="B103" s="2" t="s">
        <v>177</v>
      </c>
      <c r="C103" s="2" t="s">
        <v>39</v>
      </c>
      <c r="D103" s="2" t="s">
        <v>115</v>
      </c>
      <c r="E103" s="2">
        <v>3</v>
      </c>
      <c r="F103" s="2">
        <v>45</v>
      </c>
      <c r="G103" s="2">
        <v>50</v>
      </c>
      <c r="H103" s="2">
        <v>47.5</v>
      </c>
      <c r="I103" s="2">
        <v>0</v>
      </c>
    </row>
    <row r="104" spans="1:9" x14ac:dyDescent="0.25">
      <c r="A104" s="2">
        <v>540083</v>
      </c>
      <c r="B104" s="2" t="s">
        <v>178</v>
      </c>
      <c r="C104" s="2" t="s">
        <v>39</v>
      </c>
      <c r="D104" s="2" t="s">
        <v>115</v>
      </c>
      <c r="E104" s="2">
        <v>3</v>
      </c>
      <c r="F104" s="2">
        <v>147</v>
      </c>
      <c r="G104" s="2">
        <v>215</v>
      </c>
      <c r="H104" s="2">
        <v>181</v>
      </c>
      <c r="I104" s="2">
        <v>0</v>
      </c>
    </row>
    <row r="105" spans="1:9" x14ac:dyDescent="0.25">
      <c r="A105" s="2">
        <v>540223</v>
      </c>
      <c r="B105" s="2" t="s">
        <v>277</v>
      </c>
      <c r="C105" s="2" t="s">
        <v>39</v>
      </c>
      <c r="D105" s="2" t="s">
        <v>115</v>
      </c>
      <c r="E105" s="2">
        <v>3</v>
      </c>
      <c r="F105" s="2">
        <v>382</v>
      </c>
      <c r="G105" s="2">
        <v>425</v>
      </c>
      <c r="H105" s="2">
        <v>403.5</v>
      </c>
      <c r="I105" s="2">
        <v>0</v>
      </c>
    </row>
    <row r="106" spans="1:9" x14ac:dyDescent="0.25">
      <c r="A106" s="2">
        <v>540279</v>
      </c>
      <c r="B106" s="2" t="s">
        <v>320</v>
      </c>
      <c r="C106" s="2" t="s">
        <v>39</v>
      </c>
      <c r="D106" s="2" t="s">
        <v>115</v>
      </c>
      <c r="E106" s="2">
        <v>3</v>
      </c>
      <c r="F106" s="2">
        <v>23</v>
      </c>
      <c r="G106" s="2">
        <v>23</v>
      </c>
      <c r="H106" s="2">
        <v>23</v>
      </c>
      <c r="I106" s="2">
        <v>0</v>
      </c>
    </row>
    <row r="107" spans="1:9" x14ac:dyDescent="0.25">
      <c r="A107" s="2">
        <v>540033</v>
      </c>
      <c r="B107" s="2" t="s">
        <v>138</v>
      </c>
      <c r="C107" s="2" t="s">
        <v>39</v>
      </c>
      <c r="D107" s="2" t="s">
        <v>115</v>
      </c>
      <c r="E107" s="2">
        <v>3</v>
      </c>
      <c r="F107" s="2">
        <v>0</v>
      </c>
      <c r="G107" s="2">
        <v>0</v>
      </c>
      <c r="H107" s="2">
        <v>0</v>
      </c>
      <c r="I107" s="2">
        <v>0</v>
      </c>
    </row>
    <row r="108" spans="1:9" x14ac:dyDescent="0.25">
      <c r="A108" s="252"/>
      <c r="B108" s="252"/>
      <c r="C108" s="252" t="s">
        <v>39</v>
      </c>
      <c r="D108" s="252"/>
      <c r="E108" s="252"/>
      <c r="F108" s="252">
        <v>12722</v>
      </c>
      <c r="G108" s="252">
        <v>15308</v>
      </c>
      <c r="H108" s="252">
        <v>14015</v>
      </c>
      <c r="I108" s="252">
        <v>0</v>
      </c>
    </row>
    <row r="109" spans="1:9" x14ac:dyDescent="0.25">
      <c r="A109" s="2">
        <v>540085</v>
      </c>
      <c r="B109" s="2" t="s">
        <v>40</v>
      </c>
      <c r="C109" s="2" t="s">
        <v>41</v>
      </c>
      <c r="D109" s="2" t="s">
        <v>5</v>
      </c>
      <c r="E109" s="2">
        <v>7</v>
      </c>
      <c r="F109" s="2">
        <v>1684</v>
      </c>
      <c r="G109" s="2">
        <v>1023</v>
      </c>
      <c r="H109" s="2">
        <v>1353.5</v>
      </c>
      <c r="I109" s="2">
        <v>0</v>
      </c>
    </row>
    <row r="110" spans="1:9" x14ac:dyDescent="0.25">
      <c r="A110" s="2">
        <v>540086</v>
      </c>
      <c r="B110" s="2" t="s">
        <v>179</v>
      </c>
      <c r="C110" s="2" t="s">
        <v>41</v>
      </c>
      <c r="D110" s="2" t="s">
        <v>115</v>
      </c>
      <c r="E110" s="2">
        <v>7</v>
      </c>
      <c r="F110" s="2">
        <v>62</v>
      </c>
      <c r="G110" s="2">
        <v>44</v>
      </c>
      <c r="H110" s="2">
        <v>53</v>
      </c>
      <c r="I110" s="2">
        <v>0</v>
      </c>
    </row>
    <row r="111" spans="1:9" x14ac:dyDescent="0.25">
      <c r="A111" s="2">
        <v>540087</v>
      </c>
      <c r="B111" s="2" t="s">
        <v>180</v>
      </c>
      <c r="C111" s="2" t="s">
        <v>41</v>
      </c>
      <c r="D111" s="2" t="s">
        <v>115</v>
      </c>
      <c r="E111" s="2">
        <v>7</v>
      </c>
      <c r="F111" s="2">
        <v>395</v>
      </c>
      <c r="G111" s="2">
        <v>329</v>
      </c>
      <c r="H111" s="2">
        <v>362</v>
      </c>
      <c r="I111" s="2">
        <v>0</v>
      </c>
    </row>
    <row r="112" spans="1:9" x14ac:dyDescent="0.25">
      <c r="A112" s="252"/>
      <c r="B112" s="252"/>
      <c r="C112" s="252" t="s">
        <v>41</v>
      </c>
      <c r="D112" s="252"/>
      <c r="E112" s="252"/>
      <c r="F112" s="252">
        <v>2141</v>
      </c>
      <c r="G112" s="252">
        <v>1396</v>
      </c>
      <c r="H112" s="252">
        <v>1768.5</v>
      </c>
      <c r="I112" s="252">
        <v>0</v>
      </c>
    </row>
    <row r="113" spans="1:9" x14ac:dyDescent="0.25">
      <c r="A113" s="2">
        <v>540088</v>
      </c>
      <c r="B113" s="2" t="s">
        <v>42</v>
      </c>
      <c r="C113" s="2" t="s">
        <v>43</v>
      </c>
      <c r="D113" s="2" t="s">
        <v>5</v>
      </c>
      <c r="E113" s="2">
        <v>2</v>
      </c>
      <c r="F113" s="2">
        <v>2335</v>
      </c>
      <c r="G113" s="2">
        <v>2797</v>
      </c>
      <c r="H113" s="2">
        <v>2566</v>
      </c>
      <c r="I113" s="2">
        <v>0</v>
      </c>
    </row>
    <row r="114" spans="1:9" x14ac:dyDescent="0.25">
      <c r="A114" s="2">
        <v>540089</v>
      </c>
      <c r="B114" s="2" t="s">
        <v>181</v>
      </c>
      <c r="C114" s="2" t="s">
        <v>43</v>
      </c>
      <c r="D114" s="2" t="s">
        <v>115</v>
      </c>
      <c r="E114" s="2">
        <v>2</v>
      </c>
      <c r="F114" s="2">
        <v>98</v>
      </c>
      <c r="G114" s="2">
        <v>150</v>
      </c>
      <c r="H114" s="2">
        <v>124</v>
      </c>
      <c r="I114" s="2">
        <v>0</v>
      </c>
    </row>
    <row r="115" spans="1:9" x14ac:dyDescent="0.25">
      <c r="A115" s="2">
        <v>540090</v>
      </c>
      <c r="B115" s="2" t="s">
        <v>182</v>
      </c>
      <c r="C115" s="2" t="s">
        <v>43</v>
      </c>
      <c r="D115" s="2" t="s">
        <v>115</v>
      </c>
      <c r="E115" s="2">
        <v>2</v>
      </c>
      <c r="F115" s="2">
        <v>57</v>
      </c>
      <c r="G115" s="2">
        <v>67</v>
      </c>
      <c r="H115" s="2">
        <v>62</v>
      </c>
      <c r="I115" s="2">
        <v>0</v>
      </c>
    </row>
    <row r="116" spans="1:9" x14ac:dyDescent="0.25">
      <c r="A116" s="252"/>
      <c r="B116" s="252"/>
      <c r="C116" s="252" t="s">
        <v>43</v>
      </c>
      <c r="D116" s="252"/>
      <c r="E116" s="252"/>
      <c r="F116" s="252">
        <v>2490</v>
      </c>
      <c r="G116" s="252">
        <v>3014</v>
      </c>
      <c r="H116" s="252">
        <v>2752</v>
      </c>
      <c r="I116" s="252">
        <v>0</v>
      </c>
    </row>
    <row r="117" spans="1:9" x14ac:dyDescent="0.25">
      <c r="A117" s="2">
        <v>540097</v>
      </c>
      <c r="B117" s="2" t="s">
        <v>44</v>
      </c>
      <c r="C117" s="2" t="s">
        <v>45</v>
      </c>
      <c r="D117" s="2" t="s">
        <v>5</v>
      </c>
      <c r="E117" s="2">
        <v>6</v>
      </c>
      <c r="F117" s="2">
        <v>1310</v>
      </c>
      <c r="G117" s="2">
        <v>1203</v>
      </c>
      <c r="H117" s="2">
        <v>1256.5</v>
      </c>
      <c r="I117" s="2">
        <v>0</v>
      </c>
    </row>
    <row r="118" spans="1:9" x14ac:dyDescent="0.25">
      <c r="A118" s="2">
        <v>540098</v>
      </c>
      <c r="B118" s="2" t="s">
        <v>187</v>
      </c>
      <c r="C118" s="2" t="s">
        <v>45</v>
      </c>
      <c r="D118" s="2" t="s">
        <v>115</v>
      </c>
      <c r="E118" s="2">
        <v>6</v>
      </c>
      <c r="F118" s="2">
        <v>26</v>
      </c>
      <c r="G118" s="2">
        <v>33</v>
      </c>
      <c r="H118" s="2">
        <v>29.5</v>
      </c>
      <c r="I118" s="2">
        <v>0</v>
      </c>
    </row>
    <row r="119" spans="1:9" x14ac:dyDescent="0.25">
      <c r="A119" s="2">
        <v>540099</v>
      </c>
      <c r="B119" s="2" t="s">
        <v>188</v>
      </c>
      <c r="C119" s="2" t="s">
        <v>45</v>
      </c>
      <c r="D119" s="2" t="s">
        <v>115</v>
      </c>
      <c r="E119" s="2">
        <v>6</v>
      </c>
      <c r="F119" s="2">
        <v>30</v>
      </c>
      <c r="G119" s="2">
        <v>32</v>
      </c>
      <c r="H119" s="2">
        <v>31</v>
      </c>
      <c r="I119" s="2">
        <v>0</v>
      </c>
    </row>
    <row r="120" spans="1:9" x14ac:dyDescent="0.25">
      <c r="A120" s="2">
        <v>540100</v>
      </c>
      <c r="B120" s="2" t="s">
        <v>189</v>
      </c>
      <c r="C120" s="2" t="s">
        <v>45</v>
      </c>
      <c r="D120" s="2" t="s">
        <v>115</v>
      </c>
      <c r="E120" s="2">
        <v>6</v>
      </c>
      <c r="F120" s="2">
        <v>30</v>
      </c>
      <c r="G120" s="2">
        <v>34</v>
      </c>
      <c r="H120" s="2">
        <v>32</v>
      </c>
      <c r="I120" s="2">
        <v>0</v>
      </c>
    </row>
    <row r="121" spans="1:9" x14ac:dyDescent="0.25">
      <c r="A121" s="2">
        <v>540101</v>
      </c>
      <c r="B121" s="2" t="s">
        <v>190</v>
      </c>
      <c r="C121" s="2" t="s">
        <v>45</v>
      </c>
      <c r="D121" s="2" t="s">
        <v>115</v>
      </c>
      <c r="E121" s="2">
        <v>6</v>
      </c>
      <c r="F121" s="2">
        <v>67</v>
      </c>
      <c r="G121" s="2">
        <v>59</v>
      </c>
      <c r="H121" s="2">
        <v>63</v>
      </c>
      <c r="I121" s="2">
        <v>0</v>
      </c>
    </row>
    <row r="122" spans="1:9" x14ac:dyDescent="0.25">
      <c r="A122" s="2">
        <v>540102</v>
      </c>
      <c r="B122" s="2" t="s">
        <v>191</v>
      </c>
      <c r="C122" s="2" t="s">
        <v>45</v>
      </c>
      <c r="D122" s="2" t="s">
        <v>115</v>
      </c>
      <c r="E122" s="2">
        <v>6</v>
      </c>
      <c r="F122" s="2">
        <v>48</v>
      </c>
      <c r="G122" s="2">
        <v>38</v>
      </c>
      <c r="H122" s="2">
        <v>43</v>
      </c>
      <c r="I122" s="2">
        <v>0</v>
      </c>
    </row>
    <row r="123" spans="1:9" x14ac:dyDescent="0.25">
      <c r="A123" s="2">
        <v>540103</v>
      </c>
      <c r="B123" s="2" t="s">
        <v>192</v>
      </c>
      <c r="C123" s="2" t="s">
        <v>45</v>
      </c>
      <c r="D123" s="2" t="s">
        <v>115</v>
      </c>
      <c r="E123" s="2">
        <v>6</v>
      </c>
      <c r="F123" s="2">
        <v>273</v>
      </c>
      <c r="G123" s="2">
        <v>191</v>
      </c>
      <c r="H123" s="2">
        <v>232</v>
      </c>
      <c r="I123" s="2">
        <v>0</v>
      </c>
    </row>
    <row r="124" spans="1:9" x14ac:dyDescent="0.25">
      <c r="A124" s="2">
        <v>540104</v>
      </c>
      <c r="B124" s="2" t="s">
        <v>193</v>
      </c>
      <c r="C124" s="2" t="s">
        <v>45</v>
      </c>
      <c r="D124" s="2" t="s">
        <v>115</v>
      </c>
      <c r="E124" s="2">
        <v>6</v>
      </c>
      <c r="F124" s="2">
        <v>25</v>
      </c>
      <c r="G124" s="2">
        <v>20</v>
      </c>
      <c r="H124" s="2">
        <v>22.5</v>
      </c>
      <c r="I124" s="2">
        <v>0</v>
      </c>
    </row>
    <row r="125" spans="1:9" x14ac:dyDescent="0.25">
      <c r="A125" s="2">
        <v>540105</v>
      </c>
      <c r="B125" s="2" t="s">
        <v>194</v>
      </c>
      <c r="C125" s="2" t="s">
        <v>45</v>
      </c>
      <c r="D125" s="2" t="s">
        <v>115</v>
      </c>
      <c r="E125" s="2">
        <v>6</v>
      </c>
      <c r="F125" s="2">
        <v>35</v>
      </c>
      <c r="G125" s="2">
        <v>25</v>
      </c>
      <c r="H125" s="2">
        <v>30</v>
      </c>
      <c r="I125" s="2">
        <v>0</v>
      </c>
    </row>
    <row r="126" spans="1:9" x14ac:dyDescent="0.25">
      <c r="A126" s="2">
        <v>540106</v>
      </c>
      <c r="B126" s="2" t="s">
        <v>195</v>
      </c>
      <c r="C126" s="2" t="s">
        <v>45</v>
      </c>
      <c r="D126" s="2" t="s">
        <v>115</v>
      </c>
      <c r="E126" s="2">
        <v>6</v>
      </c>
      <c r="F126" s="2">
        <v>28</v>
      </c>
      <c r="G126" s="2">
        <v>34</v>
      </c>
      <c r="H126" s="2">
        <v>31</v>
      </c>
      <c r="I126" s="2">
        <v>0</v>
      </c>
    </row>
    <row r="127" spans="1:9" x14ac:dyDescent="0.25">
      <c r="A127" s="2">
        <v>540292</v>
      </c>
      <c r="B127" s="2" t="s">
        <v>329</v>
      </c>
      <c r="C127" s="2" t="s">
        <v>45</v>
      </c>
      <c r="D127" s="2" t="s">
        <v>115</v>
      </c>
      <c r="E127" s="2">
        <v>6</v>
      </c>
      <c r="F127" s="2">
        <v>48</v>
      </c>
      <c r="G127" s="2">
        <v>45</v>
      </c>
      <c r="H127" s="2">
        <v>46.5</v>
      </c>
      <c r="I127" s="2">
        <v>0</v>
      </c>
    </row>
    <row r="128" spans="1:9" x14ac:dyDescent="0.25">
      <c r="A128" s="2">
        <v>545556</v>
      </c>
      <c r="B128" s="2" t="s">
        <v>337</v>
      </c>
      <c r="C128" s="2" t="s">
        <v>45</v>
      </c>
      <c r="D128" s="2" t="s">
        <v>115</v>
      </c>
      <c r="E128" s="2">
        <v>6</v>
      </c>
      <c r="F128" s="2">
        <v>4</v>
      </c>
      <c r="G128" s="2">
        <v>3</v>
      </c>
      <c r="H128" s="2">
        <v>3.5</v>
      </c>
      <c r="I128" s="2">
        <v>0</v>
      </c>
    </row>
    <row r="129" spans="1:9" x14ac:dyDescent="0.25">
      <c r="A129" s="252"/>
      <c r="B129" s="252"/>
      <c r="C129" s="252" t="s">
        <v>45</v>
      </c>
      <c r="D129" s="252"/>
      <c r="E129" s="252"/>
      <c r="F129" s="252">
        <v>1924</v>
      </c>
      <c r="G129" s="252">
        <v>1717</v>
      </c>
      <c r="H129" s="252">
        <v>1820.5</v>
      </c>
      <c r="I129" s="252">
        <v>0</v>
      </c>
    </row>
    <row r="130" spans="1:9" x14ac:dyDescent="0.25">
      <c r="A130" s="2">
        <v>540107</v>
      </c>
      <c r="B130" s="2" t="s">
        <v>46</v>
      </c>
      <c r="C130" s="2" t="s">
        <v>47</v>
      </c>
      <c r="D130" s="2" t="s">
        <v>5</v>
      </c>
      <c r="E130" s="2">
        <v>10</v>
      </c>
      <c r="F130" s="2">
        <v>588</v>
      </c>
      <c r="G130" s="2">
        <v>897</v>
      </c>
      <c r="H130" s="2">
        <v>742.5</v>
      </c>
      <c r="I130" s="2">
        <v>0</v>
      </c>
    </row>
    <row r="131" spans="1:9" x14ac:dyDescent="0.25">
      <c r="A131" s="2">
        <v>540108</v>
      </c>
      <c r="B131" s="2" t="s">
        <v>196</v>
      </c>
      <c r="C131" s="2" t="s">
        <v>47</v>
      </c>
      <c r="D131" s="2" t="s">
        <v>115</v>
      </c>
      <c r="E131" s="2">
        <v>10</v>
      </c>
      <c r="F131" s="2">
        <v>340</v>
      </c>
      <c r="G131" s="2">
        <v>259</v>
      </c>
      <c r="H131" s="2">
        <v>299.5</v>
      </c>
      <c r="I131" s="2">
        <v>0</v>
      </c>
    </row>
    <row r="132" spans="1:9" x14ac:dyDescent="0.25">
      <c r="A132" s="2">
        <v>540109</v>
      </c>
      <c r="B132" s="2" t="s">
        <v>197</v>
      </c>
      <c r="C132" s="2" t="s">
        <v>47</v>
      </c>
      <c r="D132" s="2" t="s">
        <v>115</v>
      </c>
      <c r="E132" s="2">
        <v>10</v>
      </c>
      <c r="F132" s="2">
        <v>29</v>
      </c>
      <c r="G132" s="2">
        <v>56</v>
      </c>
      <c r="H132" s="2">
        <v>42.5</v>
      </c>
      <c r="I132" s="2">
        <v>0</v>
      </c>
    </row>
    <row r="133" spans="1:9" x14ac:dyDescent="0.25">
      <c r="A133" s="2">
        <v>540110</v>
      </c>
      <c r="B133" s="2" t="s">
        <v>198</v>
      </c>
      <c r="C133" s="2" t="s">
        <v>47</v>
      </c>
      <c r="D133" s="2" t="s">
        <v>115</v>
      </c>
      <c r="E133" s="2">
        <v>10</v>
      </c>
      <c r="F133" s="2">
        <v>122</v>
      </c>
      <c r="G133" s="2">
        <v>132</v>
      </c>
      <c r="H133" s="2">
        <v>127</v>
      </c>
      <c r="I133" s="2">
        <v>0</v>
      </c>
    </row>
    <row r="134" spans="1:9" x14ac:dyDescent="0.25">
      <c r="A134" s="2">
        <v>540111</v>
      </c>
      <c r="B134" s="2" t="s">
        <v>199</v>
      </c>
      <c r="C134" s="2" t="s">
        <v>47</v>
      </c>
      <c r="D134" s="2" t="s">
        <v>115</v>
      </c>
      <c r="E134" s="2">
        <v>10</v>
      </c>
      <c r="F134" s="2">
        <v>300</v>
      </c>
      <c r="G134" s="2">
        <v>393</v>
      </c>
      <c r="H134" s="2">
        <v>346.5</v>
      </c>
      <c r="I134" s="2">
        <v>0</v>
      </c>
    </row>
    <row r="135" spans="1:9" x14ac:dyDescent="0.25">
      <c r="A135" s="2">
        <v>540287</v>
      </c>
      <c r="B135" s="2" t="s">
        <v>326</v>
      </c>
      <c r="C135" s="2" t="s">
        <v>47</v>
      </c>
      <c r="D135" s="2" t="s">
        <v>115</v>
      </c>
      <c r="E135" s="2">
        <v>10</v>
      </c>
      <c r="F135" s="2">
        <v>56</v>
      </c>
      <c r="G135" s="2">
        <v>75</v>
      </c>
      <c r="H135" s="2">
        <v>65.5</v>
      </c>
      <c r="I135" s="2">
        <v>0</v>
      </c>
    </row>
    <row r="136" spans="1:9" x14ac:dyDescent="0.25">
      <c r="A136" s="2">
        <v>540152</v>
      </c>
      <c r="B136" s="2" t="s">
        <v>229</v>
      </c>
      <c r="C136" s="2" t="s">
        <v>47</v>
      </c>
      <c r="D136" s="2" t="s">
        <v>115</v>
      </c>
      <c r="E136" s="2">
        <v>10</v>
      </c>
      <c r="F136" s="2">
        <v>6</v>
      </c>
      <c r="G136" s="2">
        <v>7</v>
      </c>
      <c r="H136" s="2">
        <v>6.5</v>
      </c>
      <c r="I136" s="2">
        <v>0</v>
      </c>
    </row>
    <row r="137" spans="1:9" x14ac:dyDescent="0.25">
      <c r="A137" s="252"/>
      <c r="B137" s="252"/>
      <c r="C137" s="252" t="s">
        <v>47</v>
      </c>
      <c r="D137" s="252"/>
      <c r="E137" s="252"/>
      <c r="F137" s="252">
        <v>1441</v>
      </c>
      <c r="G137" s="252">
        <v>1819</v>
      </c>
      <c r="H137" s="252">
        <v>1630</v>
      </c>
      <c r="I137" s="252">
        <v>0</v>
      </c>
    </row>
    <row r="138" spans="1:9" x14ac:dyDescent="0.25">
      <c r="A138" s="2">
        <v>540112</v>
      </c>
      <c r="B138" s="2" t="s">
        <v>48</v>
      </c>
      <c r="C138" s="2" t="s">
        <v>49</v>
      </c>
      <c r="D138" s="2" t="s">
        <v>5</v>
      </c>
      <c r="E138" s="2">
        <v>2</v>
      </c>
      <c r="F138" s="2">
        <v>1181</v>
      </c>
      <c r="G138" s="2">
        <v>1434</v>
      </c>
      <c r="H138" s="2">
        <v>1307.5</v>
      </c>
      <c r="I138" s="2">
        <v>0</v>
      </c>
    </row>
    <row r="139" spans="1:9" x14ac:dyDescent="0.25">
      <c r="A139" s="2">
        <v>540113</v>
      </c>
      <c r="B139" s="2" t="s">
        <v>200</v>
      </c>
      <c r="C139" s="2" t="s">
        <v>49</v>
      </c>
      <c r="D139" s="2" t="s">
        <v>115</v>
      </c>
      <c r="E139" s="2">
        <v>2</v>
      </c>
      <c r="F139" s="2">
        <v>34</v>
      </c>
      <c r="G139" s="2">
        <v>25</v>
      </c>
      <c r="H139" s="2">
        <v>29.5</v>
      </c>
      <c r="I139" s="2">
        <v>0</v>
      </c>
    </row>
    <row r="140" spans="1:9" x14ac:dyDescent="0.25">
      <c r="A140" s="2">
        <v>540247</v>
      </c>
      <c r="B140" s="2" t="s">
        <v>293</v>
      </c>
      <c r="C140" s="2" t="s">
        <v>49</v>
      </c>
      <c r="D140" s="2" t="s">
        <v>115</v>
      </c>
      <c r="E140" s="2">
        <v>2</v>
      </c>
      <c r="F140" s="2">
        <v>272</v>
      </c>
      <c r="G140" s="2">
        <v>262</v>
      </c>
      <c r="H140" s="2">
        <v>267</v>
      </c>
      <c r="I140" s="2">
        <v>0</v>
      </c>
    </row>
    <row r="141" spans="1:9" x14ac:dyDescent="0.25">
      <c r="A141" s="2">
        <v>540248</v>
      </c>
      <c r="B141" s="2" t="s">
        <v>294</v>
      </c>
      <c r="C141" s="2" t="s">
        <v>49</v>
      </c>
      <c r="D141" s="2" t="s">
        <v>115</v>
      </c>
      <c r="E141" s="2">
        <v>2</v>
      </c>
      <c r="F141" s="2">
        <v>124</v>
      </c>
      <c r="G141" s="2">
        <v>153</v>
      </c>
      <c r="H141" s="2">
        <v>138.5</v>
      </c>
      <c r="I141" s="2">
        <v>0</v>
      </c>
    </row>
    <row r="142" spans="1:9" x14ac:dyDescent="0.25">
      <c r="A142" s="2">
        <v>540249</v>
      </c>
      <c r="B142" s="2" t="s">
        <v>295</v>
      </c>
      <c r="C142" s="2" t="s">
        <v>49</v>
      </c>
      <c r="D142" s="2" t="s">
        <v>115</v>
      </c>
      <c r="E142" s="2">
        <v>2</v>
      </c>
      <c r="F142" s="2">
        <v>59</v>
      </c>
      <c r="G142" s="2">
        <v>72</v>
      </c>
      <c r="H142" s="2">
        <v>65.5</v>
      </c>
      <c r="I142" s="2">
        <v>0</v>
      </c>
    </row>
    <row r="143" spans="1:9" x14ac:dyDescent="0.25">
      <c r="A143" s="2">
        <v>540250</v>
      </c>
      <c r="B143" s="2" t="s">
        <v>296</v>
      </c>
      <c r="C143" s="2" t="s">
        <v>49</v>
      </c>
      <c r="D143" s="2" t="s">
        <v>115</v>
      </c>
      <c r="E143" s="2">
        <v>2</v>
      </c>
      <c r="F143" s="2">
        <v>75</v>
      </c>
      <c r="G143" s="2">
        <v>104</v>
      </c>
      <c r="H143" s="2">
        <v>89.5</v>
      </c>
      <c r="I143" s="2">
        <v>0</v>
      </c>
    </row>
    <row r="144" spans="1:9" x14ac:dyDescent="0.25">
      <c r="A144" s="2">
        <v>540251</v>
      </c>
      <c r="B144" s="2" t="s">
        <v>297</v>
      </c>
      <c r="C144" s="2" t="s">
        <v>49</v>
      </c>
      <c r="D144" s="2" t="s">
        <v>115</v>
      </c>
      <c r="E144" s="2">
        <v>2</v>
      </c>
      <c r="F144" s="2">
        <v>166</v>
      </c>
      <c r="G144" s="2">
        <v>168</v>
      </c>
      <c r="H144" s="2">
        <v>167</v>
      </c>
      <c r="I144" s="2">
        <v>0</v>
      </c>
    </row>
    <row r="145" spans="1:9" x14ac:dyDescent="0.25">
      <c r="A145" s="252"/>
      <c r="B145" s="252"/>
      <c r="C145" s="252" t="s">
        <v>49</v>
      </c>
      <c r="D145" s="252"/>
      <c r="E145" s="252"/>
      <c r="F145" s="252">
        <v>1911</v>
      </c>
      <c r="G145" s="252">
        <v>2218</v>
      </c>
      <c r="H145" s="252">
        <v>2064.5</v>
      </c>
      <c r="I145" s="252">
        <v>0</v>
      </c>
    </row>
    <row r="146" spans="1:9" x14ac:dyDescent="0.25">
      <c r="A146" s="2">
        <v>540114</v>
      </c>
      <c r="B146" s="2" t="s">
        <v>50</v>
      </c>
      <c r="C146" s="2" t="s">
        <v>51</v>
      </c>
      <c r="D146" s="2" t="s">
        <v>5</v>
      </c>
      <c r="E146" s="2">
        <v>1</v>
      </c>
      <c r="F146" s="2">
        <v>2371</v>
      </c>
      <c r="G146" s="2">
        <v>1950</v>
      </c>
      <c r="H146" s="2">
        <v>2160.5</v>
      </c>
      <c r="I146" s="2">
        <v>0</v>
      </c>
    </row>
    <row r="147" spans="1:9" x14ac:dyDescent="0.25">
      <c r="A147" s="2">
        <v>540115</v>
      </c>
      <c r="B147" s="2" t="s">
        <v>201</v>
      </c>
      <c r="C147" s="2" t="s">
        <v>51</v>
      </c>
      <c r="D147" s="2" t="s">
        <v>115</v>
      </c>
      <c r="E147" s="2">
        <v>1</v>
      </c>
      <c r="F147" s="2">
        <v>65</v>
      </c>
      <c r="G147" s="2">
        <v>65</v>
      </c>
      <c r="H147" s="2">
        <v>65</v>
      </c>
      <c r="I147" s="2">
        <v>0</v>
      </c>
    </row>
    <row r="148" spans="1:9" x14ac:dyDescent="0.25">
      <c r="A148" s="2">
        <v>540116</v>
      </c>
      <c r="B148" s="2" t="s">
        <v>202</v>
      </c>
      <c r="C148" s="2" t="s">
        <v>51</v>
      </c>
      <c r="D148" s="2" t="s">
        <v>115</v>
      </c>
      <c r="E148" s="2">
        <v>1</v>
      </c>
      <c r="F148" s="2">
        <v>102</v>
      </c>
      <c r="G148" s="2">
        <v>78</v>
      </c>
      <c r="H148" s="2">
        <v>90</v>
      </c>
      <c r="I148" s="2">
        <v>0</v>
      </c>
    </row>
    <row r="149" spans="1:9" x14ac:dyDescent="0.25">
      <c r="A149" s="2">
        <v>540117</v>
      </c>
      <c r="B149" s="2" t="s">
        <v>203</v>
      </c>
      <c r="C149" s="2" t="s">
        <v>51</v>
      </c>
      <c r="D149" s="2" t="s">
        <v>115</v>
      </c>
      <c r="E149" s="2">
        <v>1</v>
      </c>
      <c r="F149" s="2">
        <v>412</v>
      </c>
      <c r="G149" s="2">
        <v>323</v>
      </c>
      <c r="H149" s="2">
        <v>367.5</v>
      </c>
      <c r="I149" s="2">
        <v>0</v>
      </c>
    </row>
    <row r="150" spans="1:9" x14ac:dyDescent="0.25">
      <c r="A150" s="2">
        <v>540118</v>
      </c>
      <c r="B150" s="2" t="s">
        <v>204</v>
      </c>
      <c r="C150" s="2" t="s">
        <v>51</v>
      </c>
      <c r="D150" s="2" t="s">
        <v>115</v>
      </c>
      <c r="E150" s="2">
        <v>1</v>
      </c>
      <c r="F150" s="2">
        <v>44</v>
      </c>
      <c r="G150" s="2">
        <v>55</v>
      </c>
      <c r="H150" s="2">
        <v>49.5</v>
      </c>
      <c r="I150" s="2">
        <v>0</v>
      </c>
    </row>
    <row r="151" spans="1:9" x14ac:dyDescent="0.25">
      <c r="A151" s="2">
        <v>540119</v>
      </c>
      <c r="B151" s="2" t="s">
        <v>205</v>
      </c>
      <c r="C151" s="2" t="s">
        <v>51</v>
      </c>
      <c r="D151" s="2" t="s">
        <v>115</v>
      </c>
      <c r="E151" s="2">
        <v>1</v>
      </c>
      <c r="F151" s="2">
        <v>138</v>
      </c>
      <c r="G151" s="2">
        <v>89</v>
      </c>
      <c r="H151" s="2">
        <v>113.5</v>
      </c>
      <c r="I151" s="2">
        <v>0</v>
      </c>
    </row>
    <row r="152" spans="1:9" x14ac:dyDescent="0.25">
      <c r="A152" s="2">
        <v>540120</v>
      </c>
      <c r="B152" s="2" t="s">
        <v>206</v>
      </c>
      <c r="C152" s="2" t="s">
        <v>51</v>
      </c>
      <c r="D152" s="2" t="s">
        <v>115</v>
      </c>
      <c r="E152" s="2">
        <v>1</v>
      </c>
      <c r="F152" s="2">
        <v>77</v>
      </c>
      <c r="G152" s="2">
        <v>60</v>
      </c>
      <c r="H152" s="2">
        <v>68.5</v>
      </c>
      <c r="I152" s="2">
        <v>0</v>
      </c>
    </row>
    <row r="153" spans="1:9" x14ac:dyDescent="0.25">
      <c r="A153" s="2">
        <v>540121</v>
      </c>
      <c r="B153" s="2" t="s">
        <v>207</v>
      </c>
      <c r="C153" s="2" t="s">
        <v>51</v>
      </c>
      <c r="D153" s="2" t="s">
        <v>115</v>
      </c>
      <c r="E153" s="2">
        <v>1</v>
      </c>
      <c r="F153" s="2">
        <v>164</v>
      </c>
      <c r="G153" s="2">
        <v>100</v>
      </c>
      <c r="H153" s="2">
        <v>132</v>
      </c>
      <c r="I153" s="2">
        <v>0</v>
      </c>
    </row>
    <row r="154" spans="1:9" x14ac:dyDescent="0.25">
      <c r="A154" s="2">
        <v>540122</v>
      </c>
      <c r="B154" s="2" t="s">
        <v>208</v>
      </c>
      <c r="C154" s="2" t="s">
        <v>51</v>
      </c>
      <c r="D154" s="2" t="s">
        <v>115</v>
      </c>
      <c r="E154" s="2">
        <v>1</v>
      </c>
      <c r="F154" s="2">
        <v>82</v>
      </c>
      <c r="G154" s="2">
        <v>99</v>
      </c>
      <c r="H154" s="2">
        <v>90.5</v>
      </c>
      <c r="I154" s="2">
        <v>0</v>
      </c>
    </row>
    <row r="155" spans="1:9" x14ac:dyDescent="0.25">
      <c r="A155" s="2">
        <v>540123</v>
      </c>
      <c r="B155" s="2" t="s">
        <v>209</v>
      </c>
      <c r="C155" s="2" t="s">
        <v>51</v>
      </c>
      <c r="D155" s="2" t="s">
        <v>115</v>
      </c>
      <c r="E155" s="2">
        <v>1</v>
      </c>
      <c r="F155" s="2">
        <v>378</v>
      </c>
      <c r="G155" s="2">
        <v>329</v>
      </c>
      <c r="H155" s="2">
        <v>353.5</v>
      </c>
      <c r="I155" s="2">
        <v>0</v>
      </c>
    </row>
    <row r="156" spans="1:9" x14ac:dyDescent="0.25">
      <c r="A156" s="2">
        <v>540291</v>
      </c>
      <c r="B156" s="2" t="s">
        <v>328</v>
      </c>
      <c r="C156" s="2" t="s">
        <v>51</v>
      </c>
      <c r="D156" s="2" t="s">
        <v>115</v>
      </c>
      <c r="E156" s="2">
        <v>1</v>
      </c>
      <c r="F156" s="2">
        <v>18</v>
      </c>
      <c r="G156" s="2">
        <v>21</v>
      </c>
      <c r="H156" s="2">
        <v>19.5</v>
      </c>
      <c r="I156" s="2">
        <v>0</v>
      </c>
    </row>
    <row r="157" spans="1:9" x14ac:dyDescent="0.25">
      <c r="A157" s="252"/>
      <c r="B157" s="252"/>
      <c r="C157" s="252" t="s">
        <v>51</v>
      </c>
      <c r="D157" s="252"/>
      <c r="E157" s="252"/>
      <c r="F157" s="252">
        <v>3851</v>
      </c>
      <c r="G157" s="252">
        <v>3169</v>
      </c>
      <c r="H157" s="252">
        <v>3510</v>
      </c>
      <c r="I157" s="252">
        <v>0</v>
      </c>
    </row>
    <row r="158" spans="1:9" x14ac:dyDescent="0.25">
      <c r="A158" s="2">
        <v>540124</v>
      </c>
      <c r="B158" s="2" t="s">
        <v>52</v>
      </c>
      <c r="C158" s="2" t="s">
        <v>53</v>
      </c>
      <c r="D158" s="2" t="s">
        <v>5</v>
      </c>
      <c r="E158" s="2">
        <v>1</v>
      </c>
      <c r="F158" s="2">
        <v>1911</v>
      </c>
      <c r="G158" s="2">
        <v>2361</v>
      </c>
      <c r="H158" s="2">
        <v>2136</v>
      </c>
      <c r="I158" s="2">
        <v>1903</v>
      </c>
    </row>
    <row r="159" spans="1:9" x14ac:dyDescent="0.25">
      <c r="A159" s="2">
        <v>540125</v>
      </c>
      <c r="B159" s="2" t="s">
        <v>210</v>
      </c>
      <c r="C159" s="2" t="s">
        <v>53</v>
      </c>
      <c r="D159" s="2" t="s">
        <v>115</v>
      </c>
      <c r="E159" s="2">
        <v>1</v>
      </c>
      <c r="F159" s="2">
        <v>18</v>
      </c>
      <c r="G159" s="2">
        <v>29</v>
      </c>
      <c r="H159" s="2">
        <v>23.5</v>
      </c>
      <c r="I159" s="2">
        <v>20</v>
      </c>
    </row>
    <row r="160" spans="1:9" x14ac:dyDescent="0.25">
      <c r="A160" s="2">
        <v>540126</v>
      </c>
      <c r="B160" s="2" t="s">
        <v>211</v>
      </c>
      <c r="C160" s="2" t="s">
        <v>53</v>
      </c>
      <c r="D160" s="2" t="s">
        <v>115</v>
      </c>
      <c r="E160" s="2">
        <v>1</v>
      </c>
      <c r="F160" s="2">
        <v>74</v>
      </c>
      <c r="G160" s="2">
        <v>64</v>
      </c>
      <c r="H160" s="2">
        <v>69</v>
      </c>
      <c r="I160" s="2">
        <v>53</v>
      </c>
    </row>
    <row r="161" spans="1:9" x14ac:dyDescent="0.25">
      <c r="A161" s="2">
        <v>540127</v>
      </c>
      <c r="B161" s="2" t="s">
        <v>212</v>
      </c>
      <c r="C161" s="2" t="s">
        <v>53</v>
      </c>
      <c r="D161" s="2" t="s">
        <v>115</v>
      </c>
      <c r="E161" s="2">
        <v>1</v>
      </c>
      <c r="F161" s="2">
        <v>20</v>
      </c>
      <c r="G161" s="2">
        <v>22</v>
      </c>
      <c r="H161" s="2">
        <v>21</v>
      </c>
      <c r="I161" s="2">
        <v>19</v>
      </c>
    </row>
    <row r="162" spans="1:9" x14ac:dyDescent="0.25">
      <c r="A162" s="2">
        <v>540128</v>
      </c>
      <c r="B162" s="2" t="s">
        <v>213</v>
      </c>
      <c r="C162" s="2" t="s">
        <v>53</v>
      </c>
      <c r="D162" s="2" t="s">
        <v>115</v>
      </c>
      <c r="E162" s="2">
        <v>1</v>
      </c>
      <c r="F162" s="2">
        <v>252</v>
      </c>
      <c r="G162" s="2">
        <v>274</v>
      </c>
      <c r="H162" s="2">
        <v>263</v>
      </c>
      <c r="I162" s="2">
        <v>216</v>
      </c>
    </row>
    <row r="163" spans="1:9" x14ac:dyDescent="0.25">
      <c r="A163" s="2">
        <v>540172</v>
      </c>
      <c r="B163" s="2" t="s">
        <v>244</v>
      </c>
      <c r="C163" s="2" t="s">
        <v>53</v>
      </c>
      <c r="D163" s="2" t="s">
        <v>115</v>
      </c>
      <c r="E163" s="2">
        <v>1</v>
      </c>
      <c r="F163" s="2">
        <v>0</v>
      </c>
      <c r="G163" s="2">
        <v>0</v>
      </c>
      <c r="H163" s="2">
        <v>0</v>
      </c>
      <c r="I163" s="2">
        <v>0</v>
      </c>
    </row>
    <row r="164" spans="1:9" x14ac:dyDescent="0.25">
      <c r="A164" s="2">
        <v>540285</v>
      </c>
      <c r="B164" s="2" t="s">
        <v>324</v>
      </c>
      <c r="C164" s="2" t="s">
        <v>53</v>
      </c>
      <c r="D164" s="2" t="s">
        <v>115</v>
      </c>
      <c r="E164" s="2">
        <v>1</v>
      </c>
      <c r="F164" s="2">
        <v>2</v>
      </c>
      <c r="G164" s="2">
        <v>2</v>
      </c>
      <c r="H164" s="2">
        <v>2</v>
      </c>
      <c r="I164" s="2">
        <v>2</v>
      </c>
    </row>
    <row r="165" spans="1:9" x14ac:dyDescent="0.25">
      <c r="A165" s="252"/>
      <c r="B165" s="252"/>
      <c r="C165" s="252" t="s">
        <v>53</v>
      </c>
      <c r="D165" s="252"/>
      <c r="E165" s="252"/>
      <c r="F165" s="252">
        <v>2277</v>
      </c>
      <c r="G165" s="252">
        <v>2752</v>
      </c>
      <c r="H165" s="252">
        <v>2514.5</v>
      </c>
      <c r="I165" s="252">
        <v>2213</v>
      </c>
    </row>
    <row r="166" spans="1:9" x14ac:dyDescent="0.25">
      <c r="A166" s="2">
        <v>540129</v>
      </c>
      <c r="B166" s="2" t="s">
        <v>54</v>
      </c>
      <c r="C166" s="2" t="s">
        <v>55</v>
      </c>
      <c r="D166" s="2" t="s">
        <v>5</v>
      </c>
      <c r="E166" s="2">
        <v>8</v>
      </c>
      <c r="F166" s="2">
        <v>706</v>
      </c>
      <c r="G166" s="2">
        <v>843</v>
      </c>
      <c r="H166" s="2">
        <v>774.5</v>
      </c>
      <c r="I166" s="2">
        <v>591</v>
      </c>
    </row>
    <row r="167" spans="1:9" x14ac:dyDescent="0.25">
      <c r="A167" s="2">
        <v>540130</v>
      </c>
      <c r="B167" s="2" t="s">
        <v>214</v>
      </c>
      <c r="C167" s="2" t="s">
        <v>55</v>
      </c>
      <c r="D167" s="2" t="s">
        <v>115</v>
      </c>
      <c r="E167" s="2">
        <v>8</v>
      </c>
      <c r="F167" s="2">
        <v>289</v>
      </c>
      <c r="G167" s="2">
        <v>269</v>
      </c>
      <c r="H167" s="2">
        <v>279</v>
      </c>
      <c r="I167" s="2">
        <v>265</v>
      </c>
    </row>
    <row r="168" spans="1:9" x14ac:dyDescent="0.25">
      <c r="A168" s="2">
        <v>540131</v>
      </c>
      <c r="B168" s="2" t="s">
        <v>215</v>
      </c>
      <c r="C168" s="2" t="s">
        <v>55</v>
      </c>
      <c r="D168" s="2" t="s">
        <v>115</v>
      </c>
      <c r="E168" s="2">
        <v>8</v>
      </c>
      <c r="F168" s="2">
        <v>106</v>
      </c>
      <c r="G168" s="2">
        <v>31</v>
      </c>
      <c r="H168" s="2">
        <v>68.5</v>
      </c>
      <c r="I168" s="2">
        <v>38</v>
      </c>
    </row>
    <row r="169" spans="1:9" x14ac:dyDescent="0.25">
      <c r="A169" s="2">
        <v>540155</v>
      </c>
      <c r="B169" s="2" t="s">
        <v>231</v>
      </c>
      <c r="C169" s="2" t="s">
        <v>55</v>
      </c>
      <c r="D169" s="2" t="s">
        <v>115</v>
      </c>
      <c r="E169" s="2">
        <v>8</v>
      </c>
      <c r="F169" s="2">
        <v>6</v>
      </c>
      <c r="G169" s="2">
        <v>8</v>
      </c>
      <c r="H169" s="2">
        <v>7</v>
      </c>
      <c r="I169" s="2">
        <v>8</v>
      </c>
    </row>
    <row r="170" spans="1:9" x14ac:dyDescent="0.25">
      <c r="A170" s="2">
        <v>545555</v>
      </c>
      <c r="B170" s="2" t="s">
        <v>336</v>
      </c>
      <c r="C170" s="2" t="s">
        <v>55</v>
      </c>
      <c r="D170" s="2" t="s">
        <v>115</v>
      </c>
      <c r="E170" s="2">
        <v>8</v>
      </c>
      <c r="F170" s="2">
        <v>0</v>
      </c>
      <c r="G170" s="2">
        <v>0</v>
      </c>
      <c r="H170" s="2">
        <v>0</v>
      </c>
      <c r="I170" s="2">
        <v>0</v>
      </c>
    </row>
    <row r="171" spans="1:9" x14ac:dyDescent="0.25">
      <c r="A171" s="2">
        <v>540091</v>
      </c>
      <c r="B171" s="2" t="s">
        <v>338</v>
      </c>
      <c r="C171" s="2" t="s">
        <v>55</v>
      </c>
      <c r="D171" s="2" t="s">
        <v>115</v>
      </c>
      <c r="E171" s="2">
        <v>8</v>
      </c>
      <c r="F171" s="2">
        <v>0</v>
      </c>
      <c r="G171" s="2">
        <v>0</v>
      </c>
      <c r="H171" s="2">
        <v>0</v>
      </c>
      <c r="I171" s="2">
        <v>0</v>
      </c>
    </row>
    <row r="172" spans="1:9" x14ac:dyDescent="0.25">
      <c r="A172" s="252"/>
      <c r="B172" s="252"/>
      <c r="C172" s="252" t="s">
        <v>55</v>
      </c>
      <c r="D172" s="252"/>
      <c r="E172" s="252"/>
      <c r="F172" s="252">
        <v>1107</v>
      </c>
      <c r="G172" s="252">
        <v>1151</v>
      </c>
      <c r="H172" s="252">
        <v>1129</v>
      </c>
      <c r="I172" s="252">
        <v>902</v>
      </c>
    </row>
    <row r="173" spans="1:9" x14ac:dyDescent="0.25">
      <c r="A173" s="2">
        <v>540133</v>
      </c>
      <c r="B173" s="2" t="s">
        <v>56</v>
      </c>
      <c r="C173" s="2" t="s">
        <v>57</v>
      </c>
      <c r="D173" s="2" t="s">
        <v>5</v>
      </c>
      <c r="E173" s="2">
        <v>2</v>
      </c>
      <c r="F173" s="2">
        <v>3257</v>
      </c>
      <c r="G173" s="2">
        <v>2761</v>
      </c>
      <c r="H173" s="2">
        <v>3009</v>
      </c>
      <c r="I173" s="2">
        <v>0</v>
      </c>
    </row>
    <row r="174" spans="1:9" x14ac:dyDescent="0.25">
      <c r="A174" s="2">
        <v>540134</v>
      </c>
      <c r="B174" s="2" t="s">
        <v>217</v>
      </c>
      <c r="C174" s="2" t="s">
        <v>57</v>
      </c>
      <c r="D174" s="2" t="s">
        <v>115</v>
      </c>
      <c r="E174" s="2">
        <v>2</v>
      </c>
      <c r="F174" s="2">
        <v>176</v>
      </c>
      <c r="G174" s="2">
        <v>127</v>
      </c>
      <c r="H174" s="2">
        <v>151.5</v>
      </c>
      <c r="I174" s="2">
        <v>0</v>
      </c>
    </row>
    <row r="175" spans="1:9" x14ac:dyDescent="0.25">
      <c r="A175" s="2">
        <v>540135</v>
      </c>
      <c r="B175" s="2" t="s">
        <v>218</v>
      </c>
      <c r="C175" s="2" t="s">
        <v>57</v>
      </c>
      <c r="D175" s="2" t="s">
        <v>115</v>
      </c>
      <c r="E175" s="2">
        <v>2</v>
      </c>
      <c r="F175" s="2">
        <v>81</v>
      </c>
      <c r="G175" s="2">
        <v>71</v>
      </c>
      <c r="H175" s="2">
        <v>76</v>
      </c>
      <c r="I175" s="2">
        <v>0</v>
      </c>
    </row>
    <row r="176" spans="1:9" x14ac:dyDescent="0.25">
      <c r="A176" s="2">
        <v>540136</v>
      </c>
      <c r="B176" s="2" t="s">
        <v>219</v>
      </c>
      <c r="C176" s="2" t="s">
        <v>57</v>
      </c>
      <c r="D176" s="2" t="s">
        <v>115</v>
      </c>
      <c r="E176" s="2">
        <v>2</v>
      </c>
      <c r="F176" s="2">
        <v>113</v>
      </c>
      <c r="G176" s="2">
        <v>90</v>
      </c>
      <c r="H176" s="2">
        <v>101.5</v>
      </c>
      <c r="I176" s="2">
        <v>0</v>
      </c>
    </row>
    <row r="177" spans="1:9" x14ac:dyDescent="0.25">
      <c r="A177" s="2">
        <v>540138</v>
      </c>
      <c r="B177" s="2" t="s">
        <v>221</v>
      </c>
      <c r="C177" s="2" t="s">
        <v>57</v>
      </c>
      <c r="D177" s="2" t="s">
        <v>115</v>
      </c>
      <c r="E177" s="2">
        <v>2</v>
      </c>
      <c r="F177" s="2">
        <v>44</v>
      </c>
      <c r="G177" s="2">
        <v>61</v>
      </c>
      <c r="H177" s="2">
        <v>52.5</v>
      </c>
      <c r="I177" s="2">
        <v>0</v>
      </c>
    </row>
    <row r="178" spans="1:9" x14ac:dyDescent="0.25">
      <c r="A178" s="2">
        <v>545538</v>
      </c>
      <c r="B178" s="2" t="s">
        <v>334</v>
      </c>
      <c r="C178" s="2" t="s">
        <v>57</v>
      </c>
      <c r="D178" s="2" t="s">
        <v>115</v>
      </c>
      <c r="E178" s="2">
        <v>2</v>
      </c>
      <c r="F178" s="2">
        <v>56</v>
      </c>
      <c r="G178" s="2">
        <v>54</v>
      </c>
      <c r="H178" s="2">
        <v>55</v>
      </c>
      <c r="I178" s="2">
        <v>0</v>
      </c>
    </row>
    <row r="179" spans="1:9" x14ac:dyDescent="0.25">
      <c r="A179" s="252"/>
      <c r="B179" s="252"/>
      <c r="C179" s="252" t="s">
        <v>57</v>
      </c>
      <c r="D179" s="252"/>
      <c r="E179" s="252"/>
      <c r="F179" s="252">
        <v>3727</v>
      </c>
      <c r="G179" s="252">
        <v>3164</v>
      </c>
      <c r="H179" s="252">
        <v>3445.5</v>
      </c>
      <c r="I179" s="252">
        <v>0</v>
      </c>
    </row>
    <row r="180" spans="1:9" x14ac:dyDescent="0.25">
      <c r="A180" s="2">
        <v>540139</v>
      </c>
      <c r="B180" s="2" t="s">
        <v>58</v>
      </c>
      <c r="C180" s="2" t="s">
        <v>59</v>
      </c>
      <c r="D180" s="2" t="s">
        <v>5</v>
      </c>
      <c r="E180" s="2">
        <v>6</v>
      </c>
      <c r="F180" s="2">
        <v>716</v>
      </c>
      <c r="G180" s="2">
        <v>1037</v>
      </c>
      <c r="H180" s="2">
        <v>876.5</v>
      </c>
      <c r="I180" s="2">
        <v>770</v>
      </c>
    </row>
    <row r="181" spans="1:9" x14ac:dyDescent="0.25">
      <c r="A181" s="2">
        <v>540140</v>
      </c>
      <c r="B181" s="2" t="s">
        <v>222</v>
      </c>
      <c r="C181" s="2" t="s">
        <v>59</v>
      </c>
      <c r="D181" s="2" t="s">
        <v>115</v>
      </c>
      <c r="E181" s="2">
        <v>6</v>
      </c>
      <c r="F181" s="2">
        <v>0</v>
      </c>
      <c r="G181" s="2">
        <v>0</v>
      </c>
      <c r="H181" s="2">
        <v>0</v>
      </c>
      <c r="I181" s="2">
        <v>0</v>
      </c>
    </row>
    <row r="182" spans="1:9" x14ac:dyDescent="0.25">
      <c r="A182" s="2">
        <v>540141</v>
      </c>
      <c r="B182" s="2" t="s">
        <v>223</v>
      </c>
      <c r="C182" s="2" t="s">
        <v>59</v>
      </c>
      <c r="D182" s="2" t="s">
        <v>115</v>
      </c>
      <c r="E182" s="2">
        <v>6</v>
      </c>
      <c r="F182" s="2">
        <v>153</v>
      </c>
      <c r="G182" s="2">
        <v>170</v>
      </c>
      <c r="H182" s="2">
        <v>161.5</v>
      </c>
      <c r="I182" s="2">
        <v>150</v>
      </c>
    </row>
    <row r="183" spans="1:9" x14ac:dyDescent="0.25">
      <c r="A183" s="2">
        <v>540272</v>
      </c>
      <c r="B183" s="2" t="s">
        <v>315</v>
      </c>
      <c r="C183" s="2" t="s">
        <v>59</v>
      </c>
      <c r="D183" s="2" t="s">
        <v>115</v>
      </c>
      <c r="E183" s="2">
        <v>6</v>
      </c>
      <c r="F183" s="2">
        <v>27</v>
      </c>
      <c r="G183" s="2">
        <v>38</v>
      </c>
      <c r="H183" s="2">
        <v>32.5</v>
      </c>
      <c r="I183" s="2">
        <v>29</v>
      </c>
    </row>
    <row r="184" spans="1:9" x14ac:dyDescent="0.25">
      <c r="A184" s="2">
        <v>540273</v>
      </c>
      <c r="B184" s="2" t="s">
        <v>316</v>
      </c>
      <c r="C184" s="2" t="s">
        <v>59</v>
      </c>
      <c r="D184" s="2" t="s">
        <v>115</v>
      </c>
      <c r="E184" s="2">
        <v>6</v>
      </c>
      <c r="F184" s="2">
        <v>1</v>
      </c>
      <c r="G184" s="2">
        <v>12</v>
      </c>
      <c r="H184" s="2">
        <v>6.5</v>
      </c>
      <c r="I184" s="2">
        <v>17</v>
      </c>
    </row>
    <row r="185" spans="1:9" x14ac:dyDescent="0.25">
      <c r="A185" s="2">
        <v>540274</v>
      </c>
      <c r="B185" s="2" t="s">
        <v>317</v>
      </c>
      <c r="C185" s="2" t="s">
        <v>59</v>
      </c>
      <c r="D185" s="2" t="s">
        <v>115</v>
      </c>
      <c r="E185" s="2">
        <v>6</v>
      </c>
      <c r="F185" s="2">
        <v>26</v>
      </c>
      <c r="G185" s="2">
        <v>28</v>
      </c>
      <c r="H185" s="2">
        <v>27</v>
      </c>
      <c r="I185" s="2">
        <v>28</v>
      </c>
    </row>
    <row r="186" spans="1:9" x14ac:dyDescent="0.25">
      <c r="A186" s="252"/>
      <c r="B186" s="252"/>
      <c r="C186" s="252" t="s">
        <v>59</v>
      </c>
      <c r="D186" s="252"/>
      <c r="E186" s="252"/>
      <c r="F186" s="252">
        <v>923</v>
      </c>
      <c r="G186" s="252">
        <v>1285</v>
      </c>
      <c r="H186" s="252">
        <v>1104</v>
      </c>
      <c r="I186" s="252">
        <v>994</v>
      </c>
    </row>
    <row r="187" spans="1:9" x14ac:dyDescent="0.25">
      <c r="A187" s="2">
        <v>540144</v>
      </c>
      <c r="B187" s="2" t="s">
        <v>60</v>
      </c>
      <c r="C187" s="2" t="s">
        <v>61</v>
      </c>
      <c r="D187" s="2" t="s">
        <v>5</v>
      </c>
      <c r="E187" s="2">
        <v>9</v>
      </c>
      <c r="F187" s="2">
        <v>761</v>
      </c>
      <c r="G187" s="2">
        <v>417</v>
      </c>
      <c r="H187" s="2">
        <v>589</v>
      </c>
      <c r="I187" s="2">
        <v>0</v>
      </c>
    </row>
    <row r="188" spans="1:9" x14ac:dyDescent="0.25">
      <c r="A188" s="2">
        <v>540005</v>
      </c>
      <c r="B188" s="2" t="s">
        <v>118</v>
      </c>
      <c r="C188" s="2" t="s">
        <v>61</v>
      </c>
      <c r="D188" s="2" t="s">
        <v>115</v>
      </c>
      <c r="E188" s="2">
        <v>9</v>
      </c>
      <c r="F188" s="2">
        <v>91</v>
      </c>
      <c r="G188" s="2">
        <v>89</v>
      </c>
      <c r="H188" s="2">
        <v>90</v>
      </c>
      <c r="I188" s="2">
        <v>0</v>
      </c>
    </row>
    <row r="189" spans="1:9" x14ac:dyDescent="0.25">
      <c r="A189" s="2">
        <v>540252</v>
      </c>
      <c r="B189" s="2" t="s">
        <v>298</v>
      </c>
      <c r="C189" s="2" t="s">
        <v>61</v>
      </c>
      <c r="D189" s="2" t="s">
        <v>115</v>
      </c>
      <c r="E189" s="2">
        <v>9</v>
      </c>
      <c r="F189" s="2">
        <v>53</v>
      </c>
      <c r="G189" s="2">
        <v>38</v>
      </c>
      <c r="H189" s="2">
        <v>45.5</v>
      </c>
      <c r="I189" s="2">
        <v>0</v>
      </c>
    </row>
    <row r="190" spans="1:9" x14ac:dyDescent="0.25">
      <c r="A190" s="252"/>
      <c r="B190" s="252"/>
      <c r="C190" s="252" t="s">
        <v>61</v>
      </c>
      <c r="D190" s="252"/>
      <c r="E190" s="252"/>
      <c r="F190" s="252">
        <v>905</v>
      </c>
      <c r="G190" s="252">
        <v>544</v>
      </c>
      <c r="H190" s="252">
        <v>724.5</v>
      </c>
      <c r="I190" s="252">
        <v>0</v>
      </c>
    </row>
    <row r="191" spans="1:9" x14ac:dyDescent="0.25">
      <c r="A191" s="2">
        <v>540146</v>
      </c>
      <c r="B191" s="2" t="s">
        <v>62</v>
      </c>
      <c r="C191" s="2" t="s">
        <v>63</v>
      </c>
      <c r="D191" s="2" t="s">
        <v>5</v>
      </c>
      <c r="E191" s="2">
        <v>4</v>
      </c>
      <c r="F191" s="2">
        <v>733</v>
      </c>
      <c r="G191" s="2">
        <v>816</v>
      </c>
      <c r="H191" s="2">
        <v>774.5</v>
      </c>
      <c r="I191" s="2">
        <v>666</v>
      </c>
    </row>
    <row r="192" spans="1:9" x14ac:dyDescent="0.25">
      <c r="A192" s="2">
        <v>540147</v>
      </c>
      <c r="B192" s="2" t="s">
        <v>225</v>
      </c>
      <c r="C192" s="2" t="s">
        <v>63</v>
      </c>
      <c r="D192" s="2" t="s">
        <v>115</v>
      </c>
      <c r="E192" s="2">
        <v>4</v>
      </c>
      <c r="F192" s="2">
        <v>365</v>
      </c>
      <c r="G192" s="2">
        <v>374</v>
      </c>
      <c r="H192" s="2">
        <v>369.5</v>
      </c>
      <c r="I192" s="2">
        <v>293</v>
      </c>
    </row>
    <row r="193" spans="1:9" x14ac:dyDescent="0.25">
      <c r="A193" s="2">
        <v>540148</v>
      </c>
      <c r="B193" s="2" t="s">
        <v>226</v>
      </c>
      <c r="C193" s="2" t="s">
        <v>63</v>
      </c>
      <c r="D193" s="2" t="s">
        <v>115</v>
      </c>
      <c r="E193" s="2">
        <v>4</v>
      </c>
      <c r="F193" s="2">
        <v>50</v>
      </c>
      <c r="G193" s="2">
        <v>61</v>
      </c>
      <c r="H193" s="2">
        <v>55.5</v>
      </c>
      <c r="I193" s="2">
        <v>33</v>
      </c>
    </row>
    <row r="194" spans="1:9" x14ac:dyDescent="0.25">
      <c r="A194" s="252"/>
      <c r="B194" s="252"/>
      <c r="C194" s="252" t="s">
        <v>63</v>
      </c>
      <c r="D194" s="252"/>
      <c r="E194" s="252"/>
      <c r="F194" s="252">
        <v>1148</v>
      </c>
      <c r="G194" s="252">
        <v>1251</v>
      </c>
      <c r="H194" s="252">
        <v>1199.5</v>
      </c>
      <c r="I194" s="252">
        <v>992</v>
      </c>
    </row>
    <row r="195" spans="1:9" x14ac:dyDescent="0.25">
      <c r="A195" s="2">
        <v>540149</v>
      </c>
      <c r="B195" s="2" t="s">
        <v>64</v>
      </c>
      <c r="C195" s="2" t="s">
        <v>65</v>
      </c>
      <c r="D195" s="2" t="s">
        <v>5</v>
      </c>
      <c r="E195" s="2">
        <v>10</v>
      </c>
      <c r="F195" s="2">
        <v>302</v>
      </c>
      <c r="G195" s="2">
        <v>438</v>
      </c>
      <c r="H195" s="2">
        <v>370</v>
      </c>
      <c r="I195" s="2">
        <v>0</v>
      </c>
    </row>
    <row r="196" spans="1:9" x14ac:dyDescent="0.25">
      <c r="A196" s="2">
        <v>540080</v>
      </c>
      <c r="B196" s="2" t="s">
        <v>175</v>
      </c>
      <c r="C196" s="2" t="s">
        <v>65</v>
      </c>
      <c r="D196" s="2" t="s">
        <v>115</v>
      </c>
      <c r="E196" s="2">
        <v>10</v>
      </c>
      <c r="F196" s="2">
        <v>0</v>
      </c>
      <c r="G196" s="2">
        <v>0</v>
      </c>
      <c r="H196" s="2">
        <v>0</v>
      </c>
      <c r="I196" s="2">
        <v>0</v>
      </c>
    </row>
    <row r="197" spans="1:9" x14ac:dyDescent="0.25">
      <c r="A197" s="2">
        <v>540094</v>
      </c>
      <c r="B197" s="2" t="s">
        <v>185</v>
      </c>
      <c r="C197" s="2" t="s">
        <v>65</v>
      </c>
      <c r="D197" s="2" t="s">
        <v>115</v>
      </c>
      <c r="E197" s="2">
        <v>10</v>
      </c>
      <c r="F197" s="2">
        <v>11</v>
      </c>
      <c r="G197" s="2">
        <v>21</v>
      </c>
      <c r="H197" s="2">
        <v>16</v>
      </c>
      <c r="I197" s="2">
        <v>0</v>
      </c>
    </row>
    <row r="198" spans="1:9" x14ac:dyDescent="0.25">
      <c r="A198" s="2">
        <v>540150</v>
      </c>
      <c r="B198" s="2" t="s">
        <v>227</v>
      </c>
      <c r="C198" s="2" t="s">
        <v>65</v>
      </c>
      <c r="D198" s="2" t="s">
        <v>115</v>
      </c>
      <c r="E198" s="2">
        <v>10</v>
      </c>
      <c r="F198" s="2">
        <v>97</v>
      </c>
      <c r="G198" s="2">
        <v>152</v>
      </c>
      <c r="H198" s="2">
        <v>124.5</v>
      </c>
      <c r="I198" s="2">
        <v>0</v>
      </c>
    </row>
    <row r="199" spans="1:9" x14ac:dyDescent="0.25">
      <c r="A199" s="2">
        <v>540151</v>
      </c>
      <c r="B199" s="2" t="s">
        <v>228</v>
      </c>
      <c r="C199" s="2" t="s">
        <v>65</v>
      </c>
      <c r="D199" s="2" t="s">
        <v>115</v>
      </c>
      <c r="E199" s="2">
        <v>10</v>
      </c>
      <c r="F199" s="2">
        <v>53</v>
      </c>
      <c r="G199" s="2">
        <v>80</v>
      </c>
      <c r="H199" s="2">
        <v>66.5</v>
      </c>
      <c r="I199" s="2">
        <v>0</v>
      </c>
    </row>
    <row r="200" spans="1:9" x14ac:dyDescent="0.25">
      <c r="A200" s="2">
        <v>540152</v>
      </c>
      <c r="B200" s="2" t="s">
        <v>229</v>
      </c>
      <c r="C200" s="2" t="s">
        <v>65</v>
      </c>
      <c r="D200" s="2" t="s">
        <v>115</v>
      </c>
      <c r="E200" s="2">
        <v>10</v>
      </c>
      <c r="F200" s="2">
        <v>2658</v>
      </c>
      <c r="G200" s="2">
        <v>2354</v>
      </c>
      <c r="H200" s="2">
        <v>2506</v>
      </c>
      <c r="I200" s="2">
        <v>0</v>
      </c>
    </row>
    <row r="201" spans="1:9" x14ac:dyDescent="0.25">
      <c r="A201" s="2">
        <v>540275</v>
      </c>
      <c r="B201" s="2" t="s">
        <v>318</v>
      </c>
      <c r="C201" s="2" t="s">
        <v>65</v>
      </c>
      <c r="D201" s="2" t="s">
        <v>115</v>
      </c>
      <c r="E201" s="2">
        <v>10</v>
      </c>
      <c r="F201" s="2">
        <v>0</v>
      </c>
      <c r="G201" s="2">
        <v>0</v>
      </c>
      <c r="H201" s="2">
        <v>0</v>
      </c>
      <c r="I201" s="2">
        <v>0</v>
      </c>
    </row>
    <row r="202" spans="1:9" x14ac:dyDescent="0.25">
      <c r="A202" s="252"/>
      <c r="B202" s="252"/>
      <c r="C202" s="252" t="s">
        <v>65</v>
      </c>
      <c r="D202" s="252"/>
      <c r="E202" s="252"/>
      <c r="F202" s="252">
        <v>3121</v>
      </c>
      <c r="G202" s="252">
        <v>3045</v>
      </c>
      <c r="H202" s="252">
        <v>3083</v>
      </c>
      <c r="I202" s="252">
        <v>0</v>
      </c>
    </row>
    <row r="203" spans="1:9" x14ac:dyDescent="0.25">
      <c r="A203" s="2">
        <v>540153</v>
      </c>
      <c r="B203" s="2" t="s">
        <v>66</v>
      </c>
      <c r="C203" s="2" t="s">
        <v>67</v>
      </c>
      <c r="D203" s="2" t="s">
        <v>5</v>
      </c>
      <c r="E203" s="2">
        <v>8</v>
      </c>
      <c r="F203" s="2">
        <v>633</v>
      </c>
      <c r="G203" s="2">
        <v>1191</v>
      </c>
      <c r="H203" s="2">
        <v>912</v>
      </c>
      <c r="I203" s="2">
        <v>0</v>
      </c>
    </row>
    <row r="204" spans="1:9" x14ac:dyDescent="0.25">
      <c r="A204" s="2">
        <v>540154</v>
      </c>
      <c r="B204" s="2" t="s">
        <v>230</v>
      </c>
      <c r="C204" s="2" t="s">
        <v>67</v>
      </c>
      <c r="D204" s="2" t="s">
        <v>115</v>
      </c>
      <c r="E204" s="2">
        <v>8</v>
      </c>
      <c r="F204" s="2">
        <v>20</v>
      </c>
      <c r="G204" s="2">
        <v>24</v>
      </c>
      <c r="H204" s="2">
        <v>22</v>
      </c>
      <c r="I204" s="2">
        <v>0</v>
      </c>
    </row>
    <row r="205" spans="1:9" x14ac:dyDescent="0.25">
      <c r="A205" s="252"/>
      <c r="B205" s="252"/>
      <c r="C205" s="252" t="s">
        <v>67</v>
      </c>
      <c r="D205" s="252"/>
      <c r="E205" s="252"/>
      <c r="F205" s="252">
        <v>653</v>
      </c>
      <c r="G205" s="252">
        <v>1215</v>
      </c>
      <c r="H205" s="252">
        <v>934</v>
      </c>
      <c r="I205" s="252">
        <v>0</v>
      </c>
    </row>
    <row r="206" spans="1:9" x14ac:dyDescent="0.25">
      <c r="A206" s="2">
        <v>540160</v>
      </c>
      <c r="B206" s="2" t="s">
        <v>68</v>
      </c>
      <c r="C206" s="2" t="s">
        <v>69</v>
      </c>
      <c r="D206" s="2" t="s">
        <v>5</v>
      </c>
      <c r="E206" s="2">
        <v>6</v>
      </c>
      <c r="F206" s="2">
        <v>410</v>
      </c>
      <c r="G206" s="2">
        <v>662</v>
      </c>
      <c r="H206" s="2">
        <v>536</v>
      </c>
      <c r="I206" s="2">
        <v>431</v>
      </c>
    </row>
    <row r="207" spans="1:9" x14ac:dyDescent="0.25">
      <c r="A207" s="2">
        <v>540137</v>
      </c>
      <c r="B207" s="2" t="s">
        <v>220</v>
      </c>
      <c r="C207" s="2" t="s">
        <v>69</v>
      </c>
      <c r="D207" s="2" t="s">
        <v>115</v>
      </c>
      <c r="E207" s="2">
        <v>6</v>
      </c>
      <c r="F207" s="2">
        <v>0</v>
      </c>
      <c r="G207" s="2">
        <v>0</v>
      </c>
      <c r="H207" s="2">
        <v>0</v>
      </c>
      <c r="I207" s="2">
        <v>0</v>
      </c>
    </row>
    <row r="208" spans="1:9" x14ac:dyDescent="0.25">
      <c r="A208" s="2">
        <v>540161</v>
      </c>
      <c r="B208" s="2" t="s">
        <v>235</v>
      </c>
      <c r="C208" s="2" t="s">
        <v>69</v>
      </c>
      <c r="D208" s="2" t="s">
        <v>115</v>
      </c>
      <c r="E208" s="2">
        <v>6</v>
      </c>
      <c r="F208" s="2">
        <v>50</v>
      </c>
      <c r="G208" s="2">
        <v>60</v>
      </c>
      <c r="H208" s="2">
        <v>55</v>
      </c>
      <c r="I208" s="2">
        <v>52</v>
      </c>
    </row>
    <row r="209" spans="1:9" x14ac:dyDescent="0.25">
      <c r="A209" s="2">
        <v>540162</v>
      </c>
      <c r="B209" s="2" t="s">
        <v>236</v>
      </c>
      <c r="C209" s="2" t="s">
        <v>69</v>
      </c>
      <c r="D209" s="2" t="s">
        <v>115</v>
      </c>
      <c r="E209" s="2">
        <v>6</v>
      </c>
      <c r="F209" s="2">
        <v>35</v>
      </c>
      <c r="G209" s="2">
        <v>33</v>
      </c>
      <c r="H209" s="2">
        <v>34</v>
      </c>
      <c r="I209" s="2">
        <v>28</v>
      </c>
    </row>
    <row r="210" spans="1:9" x14ac:dyDescent="0.25">
      <c r="A210" s="2">
        <v>540163</v>
      </c>
      <c r="B210" s="2" t="s">
        <v>237</v>
      </c>
      <c r="C210" s="2" t="s">
        <v>69</v>
      </c>
      <c r="D210" s="2" t="s">
        <v>115</v>
      </c>
      <c r="E210" s="2">
        <v>6</v>
      </c>
      <c r="F210" s="2">
        <v>144</v>
      </c>
      <c r="G210" s="2">
        <v>151</v>
      </c>
      <c r="H210" s="2">
        <v>147.5</v>
      </c>
      <c r="I210" s="2">
        <v>123</v>
      </c>
    </row>
    <row r="211" spans="1:9" x14ac:dyDescent="0.25">
      <c r="A211" s="2">
        <v>540254</v>
      </c>
      <c r="B211" s="2" t="s">
        <v>300</v>
      </c>
      <c r="C211" s="2" t="s">
        <v>69</v>
      </c>
      <c r="D211" s="2" t="s">
        <v>115</v>
      </c>
      <c r="E211" s="2">
        <v>6</v>
      </c>
      <c r="F211" s="2">
        <v>0</v>
      </c>
      <c r="G211" s="2">
        <v>1</v>
      </c>
      <c r="H211" s="2">
        <v>0.5</v>
      </c>
      <c r="I211" s="2">
        <v>0</v>
      </c>
    </row>
    <row r="212" spans="1:9" x14ac:dyDescent="0.25">
      <c r="A212" s="2">
        <v>540257</v>
      </c>
      <c r="B212" s="2" t="s">
        <v>302</v>
      </c>
      <c r="C212" s="2" t="s">
        <v>69</v>
      </c>
      <c r="D212" s="2" t="s">
        <v>115</v>
      </c>
      <c r="E212" s="2">
        <v>6</v>
      </c>
      <c r="F212" s="2">
        <v>23</v>
      </c>
      <c r="G212" s="2">
        <v>37</v>
      </c>
      <c r="H212" s="2">
        <v>30</v>
      </c>
      <c r="I212" s="2">
        <v>24</v>
      </c>
    </row>
    <row r="213" spans="1:9" x14ac:dyDescent="0.25">
      <c r="A213" s="2">
        <v>540268</v>
      </c>
      <c r="B213" s="2" t="s">
        <v>311</v>
      </c>
      <c r="C213" s="2" t="s">
        <v>69</v>
      </c>
      <c r="D213" s="2" t="s">
        <v>115</v>
      </c>
      <c r="E213" s="2">
        <v>6</v>
      </c>
      <c r="F213" s="2">
        <v>15</v>
      </c>
      <c r="G213" s="2">
        <v>25</v>
      </c>
      <c r="H213" s="2">
        <v>20</v>
      </c>
      <c r="I213" s="2">
        <v>16</v>
      </c>
    </row>
    <row r="214" spans="1:9" x14ac:dyDescent="0.25">
      <c r="A214" s="2">
        <v>540269</v>
      </c>
      <c r="B214" s="2" t="s">
        <v>312</v>
      </c>
      <c r="C214" s="2" t="s">
        <v>69</v>
      </c>
      <c r="D214" s="2" t="s">
        <v>115</v>
      </c>
      <c r="E214" s="2">
        <v>6</v>
      </c>
      <c r="F214" s="2">
        <v>0</v>
      </c>
      <c r="G214" s="2">
        <v>1</v>
      </c>
      <c r="H214" s="2">
        <v>0.5</v>
      </c>
      <c r="I214" s="2">
        <v>0</v>
      </c>
    </row>
    <row r="215" spans="1:9" x14ac:dyDescent="0.25">
      <c r="A215" s="2">
        <v>540270</v>
      </c>
      <c r="B215" s="2" t="s">
        <v>313</v>
      </c>
      <c r="C215" s="2" t="s">
        <v>69</v>
      </c>
      <c r="D215" s="2" t="s">
        <v>115</v>
      </c>
      <c r="E215" s="2">
        <v>6</v>
      </c>
      <c r="F215" s="2">
        <v>0</v>
      </c>
      <c r="G215" s="2">
        <v>0</v>
      </c>
      <c r="H215" s="2">
        <v>0</v>
      </c>
      <c r="I215" s="2">
        <v>0</v>
      </c>
    </row>
    <row r="216" spans="1:9" x14ac:dyDescent="0.25">
      <c r="A216" s="2">
        <v>540284</v>
      </c>
      <c r="B216" s="2" t="s">
        <v>323</v>
      </c>
      <c r="C216" s="2" t="s">
        <v>69</v>
      </c>
      <c r="D216" s="2" t="s">
        <v>115</v>
      </c>
      <c r="E216" s="2">
        <v>6</v>
      </c>
      <c r="F216" s="2">
        <v>0</v>
      </c>
      <c r="G216" s="2">
        <v>0</v>
      </c>
      <c r="H216" s="2">
        <v>0</v>
      </c>
      <c r="I216" s="2">
        <v>0</v>
      </c>
    </row>
    <row r="217" spans="1:9" x14ac:dyDescent="0.25">
      <c r="A217" s="252"/>
      <c r="B217" s="252"/>
      <c r="C217" s="252" t="s">
        <v>69</v>
      </c>
      <c r="D217" s="252"/>
      <c r="E217" s="252"/>
      <c r="F217" s="252">
        <v>677</v>
      </c>
      <c r="G217" s="252">
        <v>970</v>
      </c>
      <c r="H217" s="252">
        <v>823.5</v>
      </c>
      <c r="I217" s="252">
        <v>674</v>
      </c>
    </row>
    <row r="218" spans="1:9" x14ac:dyDescent="0.25">
      <c r="A218" s="2">
        <v>540164</v>
      </c>
      <c r="B218" s="2" t="s">
        <v>70</v>
      </c>
      <c r="C218" s="2" t="s">
        <v>71</v>
      </c>
      <c r="D218" s="2" t="s">
        <v>5</v>
      </c>
      <c r="E218" s="2">
        <v>3</v>
      </c>
      <c r="F218" s="2">
        <v>1758</v>
      </c>
      <c r="G218" s="2">
        <v>2170</v>
      </c>
      <c r="H218" s="2">
        <v>1964</v>
      </c>
      <c r="I218" s="2">
        <v>0</v>
      </c>
    </row>
    <row r="219" spans="1:9" x14ac:dyDescent="0.25">
      <c r="A219" s="2">
        <v>540081</v>
      </c>
      <c r="B219" s="2" t="s">
        <v>176</v>
      </c>
      <c r="C219" s="2" t="s">
        <v>71</v>
      </c>
      <c r="D219" s="2" t="s">
        <v>115</v>
      </c>
      <c r="E219" s="2">
        <v>3</v>
      </c>
      <c r="F219" s="2">
        <v>124</v>
      </c>
      <c r="G219" s="2">
        <v>96</v>
      </c>
      <c r="H219" s="2">
        <v>110</v>
      </c>
      <c r="I219" s="2">
        <v>0</v>
      </c>
    </row>
    <row r="220" spans="1:9" x14ac:dyDescent="0.25">
      <c r="A220" s="2">
        <v>540165</v>
      </c>
      <c r="B220" s="2" t="s">
        <v>238</v>
      </c>
      <c r="C220" s="2" t="s">
        <v>71</v>
      </c>
      <c r="D220" s="2" t="s">
        <v>115</v>
      </c>
      <c r="E220" s="2">
        <v>3</v>
      </c>
      <c r="F220" s="2">
        <v>72</v>
      </c>
      <c r="G220" s="2">
        <v>86</v>
      </c>
      <c r="H220" s="2">
        <v>79</v>
      </c>
      <c r="I220" s="2">
        <v>0</v>
      </c>
    </row>
    <row r="221" spans="1:9" x14ac:dyDescent="0.25">
      <c r="A221" s="2">
        <v>540166</v>
      </c>
      <c r="B221" s="2" t="s">
        <v>239</v>
      </c>
      <c r="C221" s="2" t="s">
        <v>71</v>
      </c>
      <c r="D221" s="2" t="s">
        <v>115</v>
      </c>
      <c r="E221" s="2">
        <v>3</v>
      </c>
      <c r="F221" s="2">
        <v>369</v>
      </c>
      <c r="G221" s="2">
        <v>370</v>
      </c>
      <c r="H221" s="2">
        <v>369.5</v>
      </c>
      <c r="I221" s="2">
        <v>0</v>
      </c>
    </row>
    <row r="222" spans="1:9" x14ac:dyDescent="0.25">
      <c r="A222" s="2">
        <v>540167</v>
      </c>
      <c r="B222" s="2" t="s">
        <v>240</v>
      </c>
      <c r="C222" s="2" t="s">
        <v>71</v>
      </c>
      <c r="D222" s="2" t="s">
        <v>115</v>
      </c>
      <c r="E222" s="2">
        <v>3</v>
      </c>
      <c r="F222" s="2">
        <v>19</v>
      </c>
      <c r="G222" s="2">
        <v>26</v>
      </c>
      <c r="H222" s="2">
        <v>22.5</v>
      </c>
      <c r="I222" s="2">
        <v>0</v>
      </c>
    </row>
    <row r="223" spans="1:9" x14ac:dyDescent="0.25">
      <c r="A223" s="2">
        <v>540168</v>
      </c>
      <c r="B223" s="2" t="s">
        <v>241</v>
      </c>
      <c r="C223" s="2" t="s">
        <v>71</v>
      </c>
      <c r="D223" s="2" t="s">
        <v>115</v>
      </c>
      <c r="E223" s="2">
        <v>3</v>
      </c>
      <c r="F223" s="2">
        <v>34</v>
      </c>
      <c r="G223" s="2">
        <v>63</v>
      </c>
      <c r="H223" s="2">
        <v>48.5</v>
      </c>
      <c r="I223" s="2">
        <v>0</v>
      </c>
    </row>
    <row r="224" spans="1:9" x14ac:dyDescent="0.25">
      <c r="A224" s="2">
        <v>540222</v>
      </c>
      <c r="B224" s="2" t="s">
        <v>276</v>
      </c>
      <c r="C224" s="2" t="s">
        <v>71</v>
      </c>
      <c r="D224" s="2" t="s">
        <v>115</v>
      </c>
      <c r="E224" s="2">
        <v>3</v>
      </c>
      <c r="F224" s="2">
        <v>14</v>
      </c>
      <c r="G224" s="2">
        <v>27</v>
      </c>
      <c r="H224" s="2">
        <v>20.5</v>
      </c>
      <c r="I224" s="2">
        <v>0</v>
      </c>
    </row>
    <row r="225" spans="1:9" x14ac:dyDescent="0.25">
      <c r="A225" s="2">
        <v>540271</v>
      </c>
      <c r="B225" s="2" t="s">
        <v>314</v>
      </c>
      <c r="C225" s="2" t="s">
        <v>71</v>
      </c>
      <c r="D225" s="2" t="s">
        <v>115</v>
      </c>
      <c r="E225" s="2">
        <v>3</v>
      </c>
      <c r="F225" s="2">
        <v>99</v>
      </c>
      <c r="G225" s="2">
        <v>133</v>
      </c>
      <c r="H225" s="2">
        <v>116</v>
      </c>
      <c r="I225" s="2">
        <v>0</v>
      </c>
    </row>
    <row r="226" spans="1:9" x14ac:dyDescent="0.25">
      <c r="A226" s="252"/>
      <c r="B226" s="252"/>
      <c r="C226" s="252" t="s">
        <v>71</v>
      </c>
      <c r="D226" s="252"/>
      <c r="E226" s="252"/>
      <c r="F226" s="252">
        <v>2489</v>
      </c>
      <c r="G226" s="252">
        <v>2971</v>
      </c>
      <c r="H226" s="252">
        <v>2730</v>
      </c>
      <c r="I226" s="252">
        <v>0</v>
      </c>
    </row>
    <row r="227" spans="1:9" x14ac:dyDescent="0.25">
      <c r="A227" s="2">
        <v>540169</v>
      </c>
      <c r="B227" s="2" t="s">
        <v>72</v>
      </c>
      <c r="C227" s="2" t="s">
        <v>73</v>
      </c>
      <c r="D227" s="2" t="s">
        <v>5</v>
      </c>
      <c r="E227" s="2">
        <v>1</v>
      </c>
      <c r="F227" s="2">
        <v>2144</v>
      </c>
      <c r="G227" s="2">
        <v>2474</v>
      </c>
      <c r="H227" s="2">
        <v>2309</v>
      </c>
      <c r="I227" s="2">
        <v>0</v>
      </c>
    </row>
    <row r="228" spans="1:9" x14ac:dyDescent="0.25">
      <c r="A228" s="2">
        <v>540170</v>
      </c>
      <c r="B228" s="2" t="s">
        <v>242</v>
      </c>
      <c r="C228" s="2" t="s">
        <v>73</v>
      </c>
      <c r="D228" s="2" t="s">
        <v>115</v>
      </c>
      <c r="E228" s="2">
        <v>1</v>
      </c>
      <c r="F228" s="2">
        <v>19</v>
      </c>
      <c r="G228" s="2">
        <v>22</v>
      </c>
      <c r="H228" s="2">
        <v>20.5</v>
      </c>
      <c r="I228" s="2">
        <v>0</v>
      </c>
    </row>
    <row r="229" spans="1:9" x14ac:dyDescent="0.25">
      <c r="A229" s="2">
        <v>540171</v>
      </c>
      <c r="B229" s="2" t="s">
        <v>243</v>
      </c>
      <c r="C229" s="2" t="s">
        <v>73</v>
      </c>
      <c r="D229" s="2" t="s">
        <v>115</v>
      </c>
      <c r="E229" s="2">
        <v>1</v>
      </c>
      <c r="F229" s="2">
        <v>22</v>
      </c>
      <c r="G229" s="2">
        <v>32</v>
      </c>
      <c r="H229" s="2">
        <v>27</v>
      </c>
      <c r="I229" s="2">
        <v>0</v>
      </c>
    </row>
    <row r="230" spans="1:9" x14ac:dyDescent="0.25">
      <c r="A230" s="2">
        <v>540173</v>
      </c>
      <c r="B230" s="2" t="s">
        <v>245</v>
      </c>
      <c r="C230" s="2" t="s">
        <v>73</v>
      </c>
      <c r="D230" s="2" t="s">
        <v>115</v>
      </c>
      <c r="E230" s="2">
        <v>1</v>
      </c>
      <c r="F230" s="2">
        <v>114</v>
      </c>
      <c r="G230" s="2">
        <v>112</v>
      </c>
      <c r="H230" s="2">
        <v>113</v>
      </c>
      <c r="I230" s="2">
        <v>0</v>
      </c>
    </row>
    <row r="231" spans="1:9" x14ac:dyDescent="0.25">
      <c r="A231" s="2">
        <v>540174</v>
      </c>
      <c r="B231" s="2" t="s">
        <v>246</v>
      </c>
      <c r="C231" s="2" t="s">
        <v>73</v>
      </c>
      <c r="D231" s="2" t="s">
        <v>115</v>
      </c>
      <c r="E231" s="2">
        <v>1</v>
      </c>
      <c r="F231" s="2">
        <v>12</v>
      </c>
      <c r="G231" s="2">
        <v>14</v>
      </c>
      <c r="H231" s="2">
        <v>13</v>
      </c>
      <c r="I231" s="2">
        <v>0</v>
      </c>
    </row>
    <row r="232" spans="1:9" x14ac:dyDescent="0.25">
      <c r="A232" s="2">
        <v>540286</v>
      </c>
      <c r="B232" s="2" t="s">
        <v>325</v>
      </c>
      <c r="C232" s="2" t="s">
        <v>73</v>
      </c>
      <c r="D232" s="2" t="s">
        <v>115</v>
      </c>
      <c r="E232" s="2">
        <v>1</v>
      </c>
      <c r="F232" s="2">
        <v>58</v>
      </c>
      <c r="G232" s="2">
        <v>69</v>
      </c>
      <c r="H232" s="2">
        <v>63.5</v>
      </c>
      <c r="I232" s="2">
        <v>0</v>
      </c>
    </row>
    <row r="233" spans="1:9" x14ac:dyDescent="0.25">
      <c r="A233" s="252"/>
      <c r="B233" s="252"/>
      <c r="C233" s="252" t="s">
        <v>73</v>
      </c>
      <c r="D233" s="252"/>
      <c r="E233" s="252"/>
      <c r="F233" s="252">
        <v>2369</v>
      </c>
      <c r="G233" s="252">
        <v>2723</v>
      </c>
      <c r="H233" s="252">
        <v>2546</v>
      </c>
      <c r="I233" s="252">
        <v>0</v>
      </c>
    </row>
    <row r="234" spans="1:9" x14ac:dyDescent="0.25">
      <c r="A234" s="2">
        <v>540183</v>
      </c>
      <c r="B234" s="2" t="s">
        <v>76</v>
      </c>
      <c r="C234" s="2" t="s">
        <v>77</v>
      </c>
      <c r="D234" s="2" t="s">
        <v>5</v>
      </c>
      <c r="E234" s="2">
        <v>5</v>
      </c>
      <c r="F234" s="2">
        <v>1270</v>
      </c>
      <c r="G234" s="2">
        <v>904</v>
      </c>
      <c r="H234" s="2">
        <v>1087</v>
      </c>
      <c r="I234" s="2">
        <v>0</v>
      </c>
    </row>
    <row r="235" spans="1:9" x14ac:dyDescent="0.25">
      <c r="A235" s="2">
        <v>540184</v>
      </c>
      <c r="B235" s="2" t="s">
        <v>253</v>
      </c>
      <c r="C235" s="2" t="s">
        <v>77</v>
      </c>
      <c r="D235" s="2" t="s">
        <v>115</v>
      </c>
      <c r="E235" s="2">
        <v>5</v>
      </c>
      <c r="F235" s="2">
        <v>52</v>
      </c>
      <c r="G235" s="2">
        <v>41</v>
      </c>
      <c r="H235" s="2">
        <v>46.5</v>
      </c>
      <c r="I235" s="2">
        <v>0</v>
      </c>
    </row>
    <row r="236" spans="1:9" x14ac:dyDescent="0.25">
      <c r="A236" s="2">
        <v>540185</v>
      </c>
      <c r="B236" s="2" t="s">
        <v>254</v>
      </c>
      <c r="C236" s="2" t="s">
        <v>77</v>
      </c>
      <c r="D236" s="2" t="s">
        <v>115</v>
      </c>
      <c r="E236" s="2">
        <v>5</v>
      </c>
      <c r="F236" s="2">
        <v>236</v>
      </c>
      <c r="G236" s="2">
        <v>232</v>
      </c>
      <c r="H236" s="2">
        <v>234</v>
      </c>
      <c r="I236" s="2">
        <v>0</v>
      </c>
    </row>
    <row r="237" spans="1:9" x14ac:dyDescent="0.25">
      <c r="A237" s="252"/>
      <c r="B237" s="252"/>
      <c r="C237" s="252" t="s">
        <v>77</v>
      </c>
      <c r="D237" s="252"/>
      <c r="E237" s="252"/>
      <c r="F237" s="252">
        <v>1558</v>
      </c>
      <c r="G237" s="252">
        <v>1177</v>
      </c>
      <c r="H237" s="252">
        <v>1367.5</v>
      </c>
      <c r="I237" s="252">
        <v>0</v>
      </c>
    </row>
    <row r="238" spans="1:9" x14ac:dyDescent="0.25">
      <c r="A238" s="2">
        <v>540186</v>
      </c>
      <c r="B238" s="2" t="s">
        <v>78</v>
      </c>
      <c r="C238" s="2" t="s">
        <v>79</v>
      </c>
      <c r="D238" s="2" t="s">
        <v>5</v>
      </c>
      <c r="E238" s="2">
        <v>1</v>
      </c>
      <c r="F238" s="2">
        <v>1164</v>
      </c>
      <c r="G238" s="2">
        <v>831</v>
      </c>
      <c r="H238" s="2">
        <v>997.5</v>
      </c>
      <c r="I238" s="2">
        <v>741</v>
      </c>
    </row>
    <row r="239" spans="1:9" x14ac:dyDescent="0.25">
      <c r="A239" s="2">
        <v>540187</v>
      </c>
      <c r="B239" s="2" t="s">
        <v>255</v>
      </c>
      <c r="C239" s="2" t="s">
        <v>79</v>
      </c>
      <c r="D239" s="2" t="s">
        <v>115</v>
      </c>
      <c r="E239" s="2">
        <v>1</v>
      </c>
      <c r="F239" s="2">
        <v>70</v>
      </c>
      <c r="G239" s="2">
        <v>97</v>
      </c>
      <c r="H239" s="2">
        <v>83.5</v>
      </c>
      <c r="I239" s="2">
        <v>89</v>
      </c>
    </row>
    <row r="240" spans="1:9" x14ac:dyDescent="0.25">
      <c r="A240" s="252"/>
      <c r="B240" s="252"/>
      <c r="C240" s="252" t="s">
        <v>79</v>
      </c>
      <c r="D240" s="252"/>
      <c r="E240" s="252"/>
      <c r="F240" s="252">
        <v>1234</v>
      </c>
      <c r="G240" s="252">
        <v>928</v>
      </c>
      <c r="H240" s="252">
        <v>1081</v>
      </c>
      <c r="I240" s="252">
        <v>830</v>
      </c>
    </row>
    <row r="241" spans="1:9" x14ac:dyDescent="0.25">
      <c r="A241" s="2">
        <v>540188</v>
      </c>
      <c r="B241" s="2" t="s">
        <v>80</v>
      </c>
      <c r="C241" s="2" t="s">
        <v>81</v>
      </c>
      <c r="D241" s="2" t="s">
        <v>5</v>
      </c>
      <c r="E241" s="2">
        <v>6</v>
      </c>
      <c r="F241" s="2">
        <v>130</v>
      </c>
      <c r="G241" s="2">
        <v>211</v>
      </c>
      <c r="H241" s="2">
        <v>170.5</v>
      </c>
      <c r="I241" s="2">
        <v>0</v>
      </c>
    </row>
    <row r="242" spans="1:9" x14ac:dyDescent="0.25">
      <c r="A242" s="2">
        <v>540189</v>
      </c>
      <c r="B242" s="2" t="s">
        <v>256</v>
      </c>
      <c r="C242" s="2" t="s">
        <v>81</v>
      </c>
      <c r="D242" s="2" t="s">
        <v>115</v>
      </c>
      <c r="E242" s="2">
        <v>6</v>
      </c>
      <c r="F242" s="2">
        <v>10</v>
      </c>
      <c r="G242" s="2">
        <v>12</v>
      </c>
      <c r="H242" s="2">
        <v>11</v>
      </c>
      <c r="I242" s="2">
        <v>0</v>
      </c>
    </row>
    <row r="243" spans="1:9" x14ac:dyDescent="0.25">
      <c r="A243" s="2">
        <v>540190</v>
      </c>
      <c r="B243" s="2" t="s">
        <v>257</v>
      </c>
      <c r="C243" s="2" t="s">
        <v>81</v>
      </c>
      <c r="D243" s="2" t="s">
        <v>115</v>
      </c>
      <c r="E243" s="2">
        <v>6</v>
      </c>
      <c r="F243" s="2">
        <v>61</v>
      </c>
      <c r="G243" s="2">
        <v>123</v>
      </c>
      <c r="H243" s="2">
        <v>92</v>
      </c>
      <c r="I243" s="2">
        <v>0</v>
      </c>
    </row>
    <row r="244" spans="1:9" x14ac:dyDescent="0.25">
      <c r="A244" s="252"/>
      <c r="B244" s="252"/>
      <c r="C244" s="252" t="s">
        <v>81</v>
      </c>
      <c r="D244" s="252"/>
      <c r="E244" s="252"/>
      <c r="F244" s="252">
        <v>201</v>
      </c>
      <c r="G244" s="252">
        <v>346</v>
      </c>
      <c r="H244" s="252">
        <v>273.5</v>
      </c>
      <c r="I244" s="252">
        <v>0</v>
      </c>
    </row>
    <row r="245" spans="1:9" x14ac:dyDescent="0.25">
      <c r="A245" s="2">
        <v>540198</v>
      </c>
      <c r="B245" s="2" t="s">
        <v>82</v>
      </c>
      <c r="C245" s="2" t="s">
        <v>83</v>
      </c>
      <c r="D245" s="2" t="s">
        <v>5</v>
      </c>
      <c r="E245" s="2">
        <v>7</v>
      </c>
      <c r="F245" s="2">
        <v>670</v>
      </c>
      <c r="G245" s="2">
        <v>668</v>
      </c>
      <c r="H245" s="2">
        <v>669</v>
      </c>
      <c r="I245" s="2">
        <v>0</v>
      </c>
    </row>
    <row r="246" spans="1:9" x14ac:dyDescent="0.25">
      <c r="A246" s="2">
        <v>540199</v>
      </c>
      <c r="B246" s="2" t="s">
        <v>261</v>
      </c>
      <c r="C246" s="2" t="s">
        <v>83</v>
      </c>
      <c r="D246" s="2" t="s">
        <v>115</v>
      </c>
      <c r="E246" s="2">
        <v>7</v>
      </c>
      <c r="F246" s="2">
        <v>594</v>
      </c>
      <c r="G246" s="2">
        <v>591</v>
      </c>
      <c r="H246" s="2">
        <v>592.5</v>
      </c>
      <c r="I246" s="2">
        <v>0</v>
      </c>
    </row>
    <row r="247" spans="1:9" x14ac:dyDescent="0.25">
      <c r="A247" s="252"/>
      <c r="B247" s="252"/>
      <c r="C247" s="252" t="s">
        <v>83</v>
      </c>
      <c r="D247" s="252"/>
      <c r="E247" s="252"/>
      <c r="F247" s="252">
        <v>1264</v>
      </c>
      <c r="G247" s="252">
        <v>1259</v>
      </c>
      <c r="H247" s="252">
        <v>1261.5</v>
      </c>
      <c r="I247" s="252">
        <v>0</v>
      </c>
    </row>
    <row r="248" spans="1:9" x14ac:dyDescent="0.25">
      <c r="A248" s="2">
        <v>540200</v>
      </c>
      <c r="B248" s="2" t="s">
        <v>84</v>
      </c>
      <c r="C248" s="2" t="s">
        <v>85</v>
      </c>
      <c r="D248" s="2" t="s">
        <v>5</v>
      </c>
      <c r="E248" s="2">
        <v>2</v>
      </c>
      <c r="F248" s="2">
        <v>3079</v>
      </c>
      <c r="G248" s="2">
        <v>2539</v>
      </c>
      <c r="H248" s="2">
        <v>2809</v>
      </c>
      <c r="I248" s="2">
        <v>0</v>
      </c>
    </row>
    <row r="249" spans="1:9" x14ac:dyDescent="0.25">
      <c r="A249" s="2">
        <v>540018</v>
      </c>
      <c r="B249" s="2" t="s">
        <v>127</v>
      </c>
      <c r="C249" s="2" t="s">
        <v>85</v>
      </c>
      <c r="D249" s="2" t="s">
        <v>115</v>
      </c>
      <c r="E249" s="2">
        <v>2</v>
      </c>
      <c r="F249" s="2">
        <v>201</v>
      </c>
      <c r="G249" s="2">
        <v>232</v>
      </c>
      <c r="H249" s="2">
        <v>216.5</v>
      </c>
      <c r="I249" s="2">
        <v>0</v>
      </c>
    </row>
    <row r="250" spans="1:9" x14ac:dyDescent="0.25">
      <c r="A250" s="2">
        <v>540202</v>
      </c>
      <c r="B250" s="2" t="s">
        <v>262</v>
      </c>
      <c r="C250" s="2" t="s">
        <v>85</v>
      </c>
      <c r="D250" s="2" t="s">
        <v>115</v>
      </c>
      <c r="E250" s="2">
        <v>2</v>
      </c>
      <c r="F250" s="2">
        <v>119</v>
      </c>
      <c r="G250" s="2">
        <v>84</v>
      </c>
      <c r="H250" s="2">
        <v>101.5</v>
      </c>
      <c r="I250" s="2">
        <v>0</v>
      </c>
    </row>
    <row r="251" spans="1:9" x14ac:dyDescent="0.25">
      <c r="A251" s="2">
        <v>540221</v>
      </c>
      <c r="B251" s="2" t="s">
        <v>275</v>
      </c>
      <c r="C251" s="2" t="s">
        <v>85</v>
      </c>
      <c r="D251" s="2" t="s">
        <v>115</v>
      </c>
      <c r="E251" s="2">
        <v>2</v>
      </c>
      <c r="F251" s="2">
        <v>92</v>
      </c>
      <c r="G251" s="2">
        <v>100</v>
      </c>
      <c r="H251" s="2">
        <v>96</v>
      </c>
      <c r="I251" s="2">
        <v>0</v>
      </c>
    </row>
    <row r="252" spans="1:9" x14ac:dyDescent="0.25">
      <c r="A252" s="2">
        <v>540231</v>
      </c>
      <c r="B252" s="2" t="s">
        <v>281</v>
      </c>
      <c r="C252" s="2" t="s">
        <v>85</v>
      </c>
      <c r="D252" s="2" t="s">
        <v>115</v>
      </c>
      <c r="E252" s="2">
        <v>2</v>
      </c>
      <c r="F252" s="2">
        <v>227</v>
      </c>
      <c r="G252" s="2">
        <v>198</v>
      </c>
      <c r="H252" s="2">
        <v>212.5</v>
      </c>
      <c r="I252" s="2">
        <v>0</v>
      </c>
    </row>
    <row r="253" spans="1:9" x14ac:dyDescent="0.25">
      <c r="A253" s="2">
        <v>540232</v>
      </c>
      <c r="B253" s="2" t="s">
        <v>282</v>
      </c>
      <c r="C253" s="2" t="s">
        <v>85</v>
      </c>
      <c r="D253" s="2" t="s">
        <v>115</v>
      </c>
      <c r="E253" s="2">
        <v>2</v>
      </c>
      <c r="F253" s="2">
        <v>78</v>
      </c>
      <c r="G253" s="2">
        <v>109</v>
      </c>
      <c r="H253" s="2">
        <v>93.5</v>
      </c>
      <c r="I253" s="2">
        <v>0</v>
      </c>
    </row>
    <row r="254" spans="1:9" x14ac:dyDescent="0.25">
      <c r="A254" s="252"/>
      <c r="B254" s="252"/>
      <c r="C254" s="252" t="s">
        <v>85</v>
      </c>
      <c r="D254" s="252"/>
      <c r="E254" s="252"/>
      <c r="F254" s="252">
        <v>3796</v>
      </c>
      <c r="G254" s="252">
        <v>3262</v>
      </c>
      <c r="H254" s="252">
        <v>3529</v>
      </c>
      <c r="I254" s="252">
        <v>0</v>
      </c>
    </row>
    <row r="255" spans="1:9" x14ac:dyDescent="0.25">
      <c r="A255" s="2">
        <v>540203</v>
      </c>
      <c r="B255" s="2" t="s">
        <v>86</v>
      </c>
      <c r="C255" s="2" t="s">
        <v>87</v>
      </c>
      <c r="D255" s="2" t="s">
        <v>5</v>
      </c>
      <c r="E255" s="2">
        <v>4</v>
      </c>
      <c r="F255" s="2">
        <v>643</v>
      </c>
      <c r="G255" s="2">
        <v>1001</v>
      </c>
      <c r="H255" s="2">
        <v>822</v>
      </c>
      <c r="I255" s="2">
        <v>816</v>
      </c>
    </row>
    <row r="256" spans="1:9" x14ac:dyDescent="0.25">
      <c r="A256" s="2">
        <v>540204</v>
      </c>
      <c r="B256" s="2" t="s">
        <v>263</v>
      </c>
      <c r="C256" s="2" t="s">
        <v>87</v>
      </c>
      <c r="D256" s="2" t="s">
        <v>115</v>
      </c>
      <c r="E256" s="2">
        <v>4</v>
      </c>
      <c r="F256" s="2">
        <v>116</v>
      </c>
      <c r="G256" s="2">
        <v>143</v>
      </c>
      <c r="H256" s="2">
        <v>129.5</v>
      </c>
      <c r="I256" s="2">
        <v>121</v>
      </c>
    </row>
    <row r="257" spans="1:9" x14ac:dyDescent="0.25">
      <c r="A257" s="2">
        <v>540205</v>
      </c>
      <c r="B257" s="2" t="s">
        <v>264</v>
      </c>
      <c r="C257" s="2" t="s">
        <v>87</v>
      </c>
      <c r="D257" s="2" t="s">
        <v>115</v>
      </c>
      <c r="E257" s="2">
        <v>4</v>
      </c>
      <c r="F257" s="2">
        <v>20</v>
      </c>
      <c r="G257" s="2">
        <v>27</v>
      </c>
      <c r="H257" s="2">
        <v>23.5</v>
      </c>
      <c r="I257" s="2">
        <v>18</v>
      </c>
    </row>
    <row r="258" spans="1:9" x14ac:dyDescent="0.25">
      <c r="A258" s="2">
        <v>540206</v>
      </c>
      <c r="B258" s="2" t="s">
        <v>265</v>
      </c>
      <c r="C258" s="2" t="s">
        <v>87</v>
      </c>
      <c r="D258" s="2" t="s">
        <v>115</v>
      </c>
      <c r="E258" s="2">
        <v>4</v>
      </c>
      <c r="F258" s="2">
        <v>39</v>
      </c>
      <c r="G258" s="2">
        <v>44</v>
      </c>
      <c r="H258" s="2">
        <v>41.5</v>
      </c>
      <c r="I258" s="2">
        <v>35</v>
      </c>
    </row>
    <row r="259" spans="1:9" x14ac:dyDescent="0.25">
      <c r="A259" s="252"/>
      <c r="B259" s="252"/>
      <c r="C259" s="252" t="s">
        <v>87</v>
      </c>
      <c r="D259" s="252"/>
      <c r="E259" s="252"/>
      <c r="F259" s="252">
        <v>818</v>
      </c>
      <c r="G259" s="252">
        <v>1215</v>
      </c>
      <c r="H259" s="252">
        <v>1016.5</v>
      </c>
      <c r="I259" s="252">
        <v>990</v>
      </c>
    </row>
    <row r="260" spans="1:9" x14ac:dyDescent="0.25">
      <c r="A260" s="2">
        <v>540207</v>
      </c>
      <c r="B260" s="2" t="s">
        <v>88</v>
      </c>
      <c r="C260" s="2" t="s">
        <v>89</v>
      </c>
      <c r="D260" s="2" t="s">
        <v>5</v>
      </c>
      <c r="E260" s="2">
        <v>10</v>
      </c>
      <c r="F260" s="2">
        <v>882</v>
      </c>
      <c r="G260" s="2">
        <v>1332</v>
      </c>
      <c r="H260" s="2">
        <v>1107</v>
      </c>
      <c r="I260" s="2">
        <v>0</v>
      </c>
    </row>
    <row r="261" spans="1:9" x14ac:dyDescent="0.25">
      <c r="A261" s="2">
        <v>540196</v>
      </c>
      <c r="B261" s="2" t="s">
        <v>259</v>
      </c>
      <c r="C261" s="2" t="s">
        <v>89</v>
      </c>
      <c r="D261" s="2" t="s">
        <v>115</v>
      </c>
      <c r="E261" s="2">
        <v>5</v>
      </c>
      <c r="F261" s="2">
        <v>7</v>
      </c>
      <c r="G261" s="2">
        <v>18</v>
      </c>
      <c r="H261" s="2">
        <v>12.5</v>
      </c>
      <c r="I261" s="2">
        <v>0</v>
      </c>
    </row>
    <row r="262" spans="1:9" x14ac:dyDescent="0.25">
      <c r="A262" s="2">
        <v>540208</v>
      </c>
      <c r="B262" s="2" t="s">
        <v>266</v>
      </c>
      <c r="C262" s="2" t="s">
        <v>89</v>
      </c>
      <c r="D262" s="2" t="s">
        <v>115</v>
      </c>
      <c r="E262" s="2">
        <v>10</v>
      </c>
      <c r="F262" s="2">
        <v>903</v>
      </c>
      <c r="G262" s="2">
        <v>891</v>
      </c>
      <c r="H262" s="2">
        <v>897</v>
      </c>
      <c r="I262" s="2">
        <v>0</v>
      </c>
    </row>
    <row r="263" spans="1:9" x14ac:dyDescent="0.25">
      <c r="A263" s="2">
        <v>540210</v>
      </c>
      <c r="B263" s="2" t="s">
        <v>267</v>
      </c>
      <c r="C263" s="2" t="s">
        <v>89</v>
      </c>
      <c r="D263" s="2" t="s">
        <v>115</v>
      </c>
      <c r="E263" s="2">
        <v>10</v>
      </c>
      <c r="F263" s="2">
        <v>90</v>
      </c>
      <c r="G263" s="2">
        <v>115</v>
      </c>
      <c r="H263" s="2">
        <v>102.5</v>
      </c>
      <c r="I263" s="2">
        <v>0</v>
      </c>
    </row>
    <row r="264" spans="1:9" x14ac:dyDescent="0.25">
      <c r="A264" s="2">
        <v>540256</v>
      </c>
      <c r="B264" s="2" t="s">
        <v>301</v>
      </c>
      <c r="C264" s="2" t="s">
        <v>89</v>
      </c>
      <c r="D264" s="2" t="s">
        <v>115</v>
      </c>
      <c r="E264" s="2">
        <v>10</v>
      </c>
      <c r="F264" s="2">
        <v>96</v>
      </c>
      <c r="G264" s="2">
        <v>66</v>
      </c>
      <c r="H264" s="2">
        <v>81</v>
      </c>
      <c r="I264" s="2">
        <v>0</v>
      </c>
    </row>
    <row r="265" spans="1:9" x14ac:dyDescent="0.25">
      <c r="A265" s="2">
        <v>540258</v>
      </c>
      <c r="B265" s="2" t="s">
        <v>303</v>
      </c>
      <c r="C265" s="2" t="s">
        <v>89</v>
      </c>
      <c r="D265" s="2" t="s">
        <v>115</v>
      </c>
      <c r="E265" s="2">
        <v>10</v>
      </c>
      <c r="F265" s="2">
        <v>29</v>
      </c>
      <c r="G265" s="2">
        <v>24</v>
      </c>
      <c r="H265" s="2">
        <v>26.5</v>
      </c>
      <c r="I265" s="2">
        <v>0</v>
      </c>
    </row>
    <row r="266" spans="1:9" x14ac:dyDescent="0.25">
      <c r="A266" s="252"/>
      <c r="B266" s="252"/>
      <c r="C266" s="252" t="s">
        <v>89</v>
      </c>
      <c r="D266" s="252"/>
      <c r="E266" s="252"/>
      <c r="F266" s="252">
        <v>2007</v>
      </c>
      <c r="G266" s="252">
        <v>2446</v>
      </c>
      <c r="H266" s="252">
        <v>2226.5</v>
      </c>
      <c r="I266" s="252">
        <v>0</v>
      </c>
    </row>
    <row r="267" spans="1:9" x14ac:dyDescent="0.25">
      <c r="A267" s="2">
        <v>540211</v>
      </c>
      <c r="B267" s="2" t="s">
        <v>90</v>
      </c>
      <c r="C267" s="2" t="s">
        <v>91</v>
      </c>
      <c r="D267" s="2" t="s">
        <v>5</v>
      </c>
      <c r="E267" s="2">
        <v>5</v>
      </c>
      <c r="F267" s="2">
        <v>796</v>
      </c>
      <c r="G267" s="2">
        <v>552</v>
      </c>
      <c r="H267" s="2">
        <v>674</v>
      </c>
      <c r="I267" s="2">
        <v>0</v>
      </c>
    </row>
    <row r="268" spans="1:9" x14ac:dyDescent="0.25">
      <c r="A268" s="2">
        <v>540212</v>
      </c>
      <c r="B268" s="2" t="s">
        <v>268</v>
      </c>
      <c r="C268" s="2" t="s">
        <v>91</v>
      </c>
      <c r="D268" s="2" t="s">
        <v>115</v>
      </c>
      <c r="E268" s="2">
        <v>5</v>
      </c>
      <c r="F268" s="2">
        <v>87</v>
      </c>
      <c r="G268" s="2">
        <v>81</v>
      </c>
      <c r="H268" s="2">
        <v>84</v>
      </c>
      <c r="I268" s="2">
        <v>0</v>
      </c>
    </row>
    <row r="269" spans="1:9" x14ac:dyDescent="0.25">
      <c r="A269" s="252"/>
      <c r="B269" s="252"/>
      <c r="C269" s="252" t="s">
        <v>91</v>
      </c>
      <c r="D269" s="252"/>
      <c r="E269" s="252"/>
      <c r="F269" s="252">
        <v>883</v>
      </c>
      <c r="G269" s="252">
        <v>633</v>
      </c>
      <c r="H269" s="252">
        <v>758</v>
      </c>
      <c r="I269" s="252">
        <v>0</v>
      </c>
    </row>
    <row r="270" spans="1:9" x14ac:dyDescent="0.25">
      <c r="A270" s="2">
        <v>540213</v>
      </c>
      <c r="B270" s="2" t="s">
        <v>92</v>
      </c>
      <c r="C270" s="2" t="s">
        <v>93</v>
      </c>
      <c r="D270" s="2" t="s">
        <v>5</v>
      </c>
      <c r="E270" s="2">
        <v>5</v>
      </c>
      <c r="F270" s="2">
        <v>1674</v>
      </c>
      <c r="G270" s="2">
        <v>2478</v>
      </c>
      <c r="H270" s="2">
        <v>2076</v>
      </c>
      <c r="I270" s="2">
        <v>0</v>
      </c>
    </row>
    <row r="271" spans="1:9" x14ac:dyDescent="0.25">
      <c r="A271" s="2">
        <v>540042</v>
      </c>
      <c r="B271" s="2" t="s">
        <v>143</v>
      </c>
      <c r="C271" s="2" t="s">
        <v>93</v>
      </c>
      <c r="D271" s="2" t="s">
        <v>115</v>
      </c>
      <c r="E271" s="2">
        <v>5</v>
      </c>
      <c r="F271" s="2">
        <v>0</v>
      </c>
      <c r="G271" s="2">
        <v>0</v>
      </c>
      <c r="H271" s="2">
        <v>0</v>
      </c>
      <c r="I271" s="2">
        <v>0</v>
      </c>
    </row>
    <row r="272" spans="1:9" x14ac:dyDescent="0.25">
      <c r="A272" s="2">
        <v>540214</v>
      </c>
      <c r="B272" s="2" t="s">
        <v>269</v>
      </c>
      <c r="C272" s="2" t="s">
        <v>93</v>
      </c>
      <c r="D272" s="2" t="s">
        <v>115</v>
      </c>
      <c r="E272" s="2">
        <v>5</v>
      </c>
      <c r="F272" s="2">
        <v>226</v>
      </c>
      <c r="G272" s="2">
        <v>341</v>
      </c>
      <c r="H272" s="2">
        <v>283.5</v>
      </c>
      <c r="I272" s="2">
        <v>0</v>
      </c>
    </row>
    <row r="273" spans="1:9" x14ac:dyDescent="0.25">
      <c r="A273" s="2">
        <v>540215</v>
      </c>
      <c r="B273" s="2" t="s">
        <v>270</v>
      </c>
      <c r="C273" s="2" t="s">
        <v>93</v>
      </c>
      <c r="D273" s="2" t="s">
        <v>115</v>
      </c>
      <c r="E273" s="2">
        <v>5</v>
      </c>
      <c r="F273" s="2">
        <v>324</v>
      </c>
      <c r="G273" s="2">
        <v>348</v>
      </c>
      <c r="H273" s="2">
        <v>336</v>
      </c>
      <c r="I273" s="2">
        <v>0</v>
      </c>
    </row>
    <row r="274" spans="1:9" x14ac:dyDescent="0.25">
      <c r="A274" s="2">
        <v>540216</v>
      </c>
      <c r="B274" s="2" t="s">
        <v>271</v>
      </c>
      <c r="C274" s="2" t="s">
        <v>93</v>
      </c>
      <c r="D274" s="2" t="s">
        <v>115</v>
      </c>
      <c r="E274" s="2">
        <v>5</v>
      </c>
      <c r="F274" s="2">
        <v>96</v>
      </c>
      <c r="G274" s="2">
        <v>137</v>
      </c>
      <c r="H274" s="2">
        <v>116.5</v>
      </c>
      <c r="I274" s="2">
        <v>0</v>
      </c>
    </row>
    <row r="275" spans="1:9" x14ac:dyDescent="0.25">
      <c r="A275" s="252"/>
      <c r="B275" s="252"/>
      <c r="C275" s="252" t="s">
        <v>93</v>
      </c>
      <c r="D275" s="252"/>
      <c r="E275" s="252"/>
      <c r="F275" s="252">
        <v>2320</v>
      </c>
      <c r="G275" s="252">
        <v>3304</v>
      </c>
      <c r="H275" s="252">
        <v>2812</v>
      </c>
      <c r="I275" s="252">
        <v>0</v>
      </c>
    </row>
    <row r="276" spans="1:9" x14ac:dyDescent="0.25">
      <c r="A276" s="2">
        <v>540224</v>
      </c>
      <c r="B276" s="2" t="s">
        <v>96</v>
      </c>
      <c r="C276" s="2" t="s">
        <v>97</v>
      </c>
      <c r="D276" s="2" t="s">
        <v>5</v>
      </c>
      <c r="E276" s="2">
        <v>5</v>
      </c>
      <c r="F276" s="2">
        <v>567</v>
      </c>
      <c r="G276" s="2">
        <v>410</v>
      </c>
      <c r="H276" s="2">
        <v>488.5</v>
      </c>
      <c r="I276" s="2">
        <v>0</v>
      </c>
    </row>
    <row r="277" spans="1:9" x14ac:dyDescent="0.25">
      <c r="A277" s="2">
        <v>540132</v>
      </c>
      <c r="B277" s="2" t="s">
        <v>216</v>
      </c>
      <c r="C277" s="2" t="s">
        <v>97</v>
      </c>
      <c r="D277" s="2" t="s">
        <v>115</v>
      </c>
      <c r="E277" s="2">
        <v>5</v>
      </c>
      <c r="F277" s="2">
        <v>0</v>
      </c>
      <c r="G277" s="2">
        <v>0</v>
      </c>
      <c r="H277" s="2">
        <v>0</v>
      </c>
      <c r="I277" s="2">
        <v>0</v>
      </c>
    </row>
    <row r="278" spans="1:9" x14ac:dyDescent="0.25">
      <c r="A278" s="2">
        <v>540179</v>
      </c>
      <c r="B278" s="2" t="s">
        <v>250</v>
      </c>
      <c r="C278" s="2" t="s">
        <v>97</v>
      </c>
      <c r="D278" s="2" t="s">
        <v>115</v>
      </c>
      <c r="E278" s="2">
        <v>5</v>
      </c>
      <c r="F278" s="2">
        <v>25</v>
      </c>
      <c r="G278" s="2">
        <v>29</v>
      </c>
      <c r="H278" s="2">
        <v>27</v>
      </c>
      <c r="I278" s="2">
        <v>0</v>
      </c>
    </row>
    <row r="279" spans="1:9" x14ac:dyDescent="0.25">
      <c r="A279" s="2">
        <v>540180</v>
      </c>
      <c r="B279" s="2" t="s">
        <v>251</v>
      </c>
      <c r="C279" s="2" t="s">
        <v>97</v>
      </c>
      <c r="D279" s="2" t="s">
        <v>115</v>
      </c>
      <c r="E279" s="2">
        <v>5</v>
      </c>
      <c r="F279" s="2">
        <v>19</v>
      </c>
      <c r="G279" s="2">
        <v>14</v>
      </c>
      <c r="H279" s="2">
        <v>16.5</v>
      </c>
      <c r="I279" s="2">
        <v>0</v>
      </c>
    </row>
    <row r="280" spans="1:9" x14ac:dyDescent="0.25">
      <c r="A280" s="2">
        <v>540182</v>
      </c>
      <c r="B280" s="2" t="s">
        <v>252</v>
      </c>
      <c r="C280" s="2" t="s">
        <v>97</v>
      </c>
      <c r="D280" s="2" t="s">
        <v>115</v>
      </c>
      <c r="E280" s="2">
        <v>5</v>
      </c>
      <c r="F280" s="2">
        <v>38</v>
      </c>
      <c r="G280" s="2">
        <v>26</v>
      </c>
      <c r="H280" s="2">
        <v>32</v>
      </c>
      <c r="I280" s="2">
        <v>0</v>
      </c>
    </row>
    <row r="281" spans="1:9" x14ac:dyDescent="0.25">
      <c r="A281" s="2">
        <v>540262</v>
      </c>
      <c r="B281" s="2" t="s">
        <v>305</v>
      </c>
      <c r="C281" s="2" t="s">
        <v>97</v>
      </c>
      <c r="D281" s="2" t="s">
        <v>115</v>
      </c>
      <c r="E281" s="2">
        <v>5</v>
      </c>
      <c r="F281" s="2">
        <v>21</v>
      </c>
      <c r="G281" s="2">
        <v>15</v>
      </c>
      <c r="H281" s="2">
        <v>18</v>
      </c>
      <c r="I281" s="2">
        <v>0</v>
      </c>
    </row>
    <row r="282" spans="1:9" x14ac:dyDescent="0.25">
      <c r="A282" s="2">
        <v>540263</v>
      </c>
      <c r="B282" s="2" t="s">
        <v>306</v>
      </c>
      <c r="C282" s="2" t="s">
        <v>97</v>
      </c>
      <c r="D282" s="2" t="s">
        <v>115</v>
      </c>
      <c r="E282" s="2">
        <v>5</v>
      </c>
      <c r="F282" s="2">
        <v>17</v>
      </c>
      <c r="G282" s="2">
        <v>13</v>
      </c>
      <c r="H282" s="2">
        <v>15</v>
      </c>
      <c r="I282" s="2">
        <v>0</v>
      </c>
    </row>
    <row r="283" spans="1:9" x14ac:dyDescent="0.25">
      <c r="A283" s="252"/>
      <c r="B283" s="252"/>
      <c r="C283" s="252" t="s">
        <v>97</v>
      </c>
      <c r="D283" s="252"/>
      <c r="E283" s="252"/>
      <c r="F283" s="252">
        <v>687</v>
      </c>
      <c r="G283" s="252">
        <v>507</v>
      </c>
      <c r="H283" s="252">
        <v>597</v>
      </c>
      <c r="I283" s="252">
        <v>0</v>
      </c>
    </row>
    <row r="284" spans="1:9" x14ac:dyDescent="0.25">
      <c r="A284" s="2">
        <v>540225</v>
      </c>
      <c r="B284" s="2" t="s">
        <v>98</v>
      </c>
      <c r="C284" s="2" t="s">
        <v>99</v>
      </c>
      <c r="D284" s="2" t="s">
        <v>5</v>
      </c>
      <c r="E284" s="2">
        <v>5</v>
      </c>
      <c r="F284" s="2">
        <v>479</v>
      </c>
      <c r="G284" s="2">
        <v>329</v>
      </c>
      <c r="H284" s="2">
        <v>404</v>
      </c>
      <c r="I284" s="2">
        <v>0</v>
      </c>
    </row>
    <row r="285" spans="1:9" x14ac:dyDescent="0.25">
      <c r="A285" s="2">
        <v>540156</v>
      </c>
      <c r="B285" s="2" t="s">
        <v>232</v>
      </c>
      <c r="C285" s="2" t="s">
        <v>99</v>
      </c>
      <c r="D285" s="2" t="s">
        <v>115</v>
      </c>
      <c r="E285" s="2">
        <v>5</v>
      </c>
      <c r="F285" s="2">
        <v>148</v>
      </c>
      <c r="G285" s="2">
        <v>116</v>
      </c>
      <c r="H285" s="2">
        <v>132</v>
      </c>
      <c r="I285" s="2">
        <v>0</v>
      </c>
    </row>
    <row r="286" spans="1:9" x14ac:dyDescent="0.25">
      <c r="A286" s="2">
        <v>540253</v>
      </c>
      <c r="B286" s="2" t="s">
        <v>299</v>
      </c>
      <c r="C286" s="2" t="s">
        <v>99</v>
      </c>
      <c r="D286" s="2" t="s">
        <v>115</v>
      </c>
      <c r="E286" s="2">
        <v>5</v>
      </c>
      <c r="F286" s="2">
        <v>16</v>
      </c>
      <c r="G286" s="2">
        <v>17</v>
      </c>
      <c r="H286" s="2">
        <v>16.5</v>
      </c>
      <c r="I286" s="2">
        <v>0</v>
      </c>
    </row>
    <row r="287" spans="1:9" x14ac:dyDescent="0.25">
      <c r="A287" s="252"/>
      <c r="B287" s="252"/>
      <c r="C287" s="252" t="s">
        <v>99</v>
      </c>
      <c r="D287" s="252"/>
      <c r="E287" s="252"/>
      <c r="F287" s="252">
        <v>643</v>
      </c>
      <c r="G287" s="252">
        <v>462</v>
      </c>
      <c r="H287" s="252">
        <v>552.5</v>
      </c>
      <c r="I287" s="252">
        <v>0</v>
      </c>
    </row>
    <row r="288" spans="1:9" x14ac:dyDescent="0.25">
      <c r="A288" s="2">
        <v>540226</v>
      </c>
      <c r="B288" s="2" t="s">
        <v>100</v>
      </c>
      <c r="C288" s="2" t="s">
        <v>101</v>
      </c>
      <c r="D288" s="2" t="s">
        <v>5</v>
      </c>
      <c r="E288" s="2">
        <v>8</v>
      </c>
      <c r="F288" s="2">
        <v>1498</v>
      </c>
      <c r="G288" s="2">
        <v>1374</v>
      </c>
      <c r="H288" s="2">
        <v>1436</v>
      </c>
      <c r="I288" s="2">
        <v>0</v>
      </c>
    </row>
    <row r="289" spans="1:9" x14ac:dyDescent="0.25">
      <c r="A289" s="2">
        <v>540046</v>
      </c>
      <c r="B289" s="2" t="s">
        <v>147</v>
      </c>
      <c r="C289" s="2" t="s">
        <v>101</v>
      </c>
      <c r="D289" s="2" t="s">
        <v>115</v>
      </c>
      <c r="E289" s="2">
        <v>8</v>
      </c>
      <c r="F289" s="2">
        <v>37</v>
      </c>
      <c r="G289" s="2">
        <v>42</v>
      </c>
      <c r="H289" s="2">
        <v>39.5</v>
      </c>
      <c r="I289" s="2">
        <v>0</v>
      </c>
    </row>
    <row r="290" spans="1:9" x14ac:dyDescent="0.25">
      <c r="A290" s="2">
        <v>540276</v>
      </c>
      <c r="B290" s="2" t="s">
        <v>319</v>
      </c>
      <c r="C290" s="2" t="s">
        <v>101</v>
      </c>
      <c r="D290" s="2" t="s">
        <v>115</v>
      </c>
      <c r="E290" s="2">
        <v>8</v>
      </c>
      <c r="F290" s="2">
        <v>6</v>
      </c>
      <c r="G290" s="2">
        <v>6</v>
      </c>
      <c r="H290" s="2">
        <v>6</v>
      </c>
      <c r="I290" s="2">
        <v>0</v>
      </c>
    </row>
    <row r="291" spans="1:9" x14ac:dyDescent="0.25">
      <c r="A291" s="252"/>
      <c r="B291" s="252"/>
      <c r="C291" s="252" t="s">
        <v>101</v>
      </c>
      <c r="D291" s="252"/>
      <c r="E291" s="252"/>
      <c r="F291" s="252">
        <v>1541</v>
      </c>
      <c r="G291" s="252">
        <v>1422</v>
      </c>
      <c r="H291" s="252">
        <v>1481.5</v>
      </c>
      <c r="I291" s="252">
        <v>0</v>
      </c>
    </row>
    <row r="292" spans="1:9" x14ac:dyDescent="0.25">
      <c r="A292" s="2">
        <v>540277</v>
      </c>
      <c r="B292" s="2" t="s">
        <v>102</v>
      </c>
      <c r="C292" s="2" t="s">
        <v>103</v>
      </c>
      <c r="D292" s="2" t="s">
        <v>5</v>
      </c>
      <c r="E292" s="2">
        <v>5</v>
      </c>
      <c r="F292" s="2">
        <v>675</v>
      </c>
      <c r="G292" s="2">
        <v>918</v>
      </c>
      <c r="H292" s="2">
        <v>796.5</v>
      </c>
      <c r="I292" s="2">
        <v>0</v>
      </c>
    </row>
    <row r="293" spans="1:9" x14ac:dyDescent="0.25">
      <c r="A293" s="2">
        <v>540195</v>
      </c>
      <c r="B293" s="2" t="s">
        <v>258</v>
      </c>
      <c r="C293" s="2" t="s">
        <v>103</v>
      </c>
      <c r="D293" s="2" t="s">
        <v>115</v>
      </c>
      <c r="E293" s="2">
        <v>5</v>
      </c>
      <c r="F293" s="2">
        <v>1</v>
      </c>
      <c r="G293" s="2">
        <v>6</v>
      </c>
      <c r="H293" s="2">
        <v>3.5</v>
      </c>
      <c r="I293" s="2">
        <v>0</v>
      </c>
    </row>
    <row r="294" spans="1:9" x14ac:dyDescent="0.25">
      <c r="A294" s="2">
        <v>540196</v>
      </c>
      <c r="B294" s="2" t="s">
        <v>259</v>
      </c>
      <c r="C294" s="2" t="s">
        <v>103</v>
      </c>
      <c r="D294" s="2" t="s">
        <v>115</v>
      </c>
      <c r="E294" s="2">
        <v>5</v>
      </c>
      <c r="F294" s="2">
        <v>1</v>
      </c>
      <c r="G294" s="2">
        <v>8</v>
      </c>
      <c r="H294" s="2">
        <v>4.5</v>
      </c>
      <c r="I294" s="2">
        <v>0</v>
      </c>
    </row>
    <row r="295" spans="1:9" x14ac:dyDescent="0.25">
      <c r="A295" s="2">
        <v>540197</v>
      </c>
      <c r="B295" s="2" t="s">
        <v>260</v>
      </c>
      <c r="C295" s="2" t="s">
        <v>103</v>
      </c>
      <c r="D295" s="2" t="s">
        <v>115</v>
      </c>
      <c r="E295" s="2">
        <v>5</v>
      </c>
      <c r="F295" s="2">
        <v>76</v>
      </c>
      <c r="G295" s="2">
        <v>102</v>
      </c>
      <c r="H295" s="2">
        <v>89</v>
      </c>
      <c r="I295" s="2">
        <v>0</v>
      </c>
    </row>
    <row r="296" spans="1:9" x14ac:dyDescent="0.25">
      <c r="A296" s="2">
        <v>540259</v>
      </c>
      <c r="B296" s="2" t="s">
        <v>304</v>
      </c>
      <c r="C296" s="2" t="s">
        <v>103</v>
      </c>
      <c r="D296" s="2" t="s">
        <v>115</v>
      </c>
      <c r="E296" s="2">
        <v>5</v>
      </c>
      <c r="F296" s="2">
        <v>68</v>
      </c>
      <c r="G296" s="2">
        <v>73</v>
      </c>
      <c r="H296" s="2">
        <v>70.5</v>
      </c>
      <c r="I296" s="2">
        <v>0</v>
      </c>
    </row>
    <row r="297" spans="1:9" x14ac:dyDescent="0.25">
      <c r="A297" s="252"/>
      <c r="B297" s="252"/>
      <c r="C297" s="252" t="s">
        <v>103</v>
      </c>
      <c r="D297" s="252"/>
      <c r="E297" s="252"/>
      <c r="F297" s="252">
        <v>821</v>
      </c>
      <c r="G297" s="252">
        <v>1107</v>
      </c>
      <c r="H297" s="252">
        <v>964</v>
      </c>
      <c r="I297" s="252">
        <v>0</v>
      </c>
    </row>
    <row r="298" spans="1:9" x14ac:dyDescent="0.25">
      <c r="A298" s="2">
        <v>540278</v>
      </c>
      <c r="B298" s="2" t="s">
        <v>104</v>
      </c>
      <c r="C298" s="2" t="s">
        <v>105</v>
      </c>
      <c r="D298" s="2" t="s">
        <v>5</v>
      </c>
      <c r="E298" s="2">
        <v>1</v>
      </c>
      <c r="F298" s="2">
        <v>301</v>
      </c>
      <c r="G298" s="2">
        <v>589</v>
      </c>
      <c r="H298" s="2">
        <v>445</v>
      </c>
      <c r="I298" s="2">
        <v>349</v>
      </c>
    </row>
    <row r="299" spans="1:9" x14ac:dyDescent="0.25">
      <c r="A299" s="2">
        <v>540041</v>
      </c>
      <c r="B299" s="2" t="s">
        <v>142</v>
      </c>
      <c r="C299" s="2" t="s">
        <v>105</v>
      </c>
      <c r="D299" s="2" t="s">
        <v>115</v>
      </c>
      <c r="E299" s="2">
        <v>1</v>
      </c>
      <c r="F299" s="2">
        <v>79</v>
      </c>
      <c r="G299" s="2">
        <v>63</v>
      </c>
      <c r="H299" s="2">
        <v>71</v>
      </c>
      <c r="I299" s="2">
        <v>52</v>
      </c>
    </row>
    <row r="300" spans="1:9" x14ac:dyDescent="0.25">
      <c r="A300" s="2">
        <v>540143</v>
      </c>
      <c r="B300" s="2" t="s">
        <v>224</v>
      </c>
      <c r="C300" s="2" t="s">
        <v>105</v>
      </c>
      <c r="D300" s="2" t="s">
        <v>115</v>
      </c>
      <c r="E300" s="2">
        <v>1</v>
      </c>
      <c r="F300" s="2">
        <v>24</v>
      </c>
      <c r="G300" s="2">
        <v>46</v>
      </c>
      <c r="H300" s="2">
        <v>35</v>
      </c>
      <c r="I300" s="2">
        <v>23</v>
      </c>
    </row>
    <row r="301" spans="1:9" x14ac:dyDescent="0.25">
      <c r="A301" s="2">
        <v>540290</v>
      </c>
      <c r="B301" s="2" t="s">
        <v>327</v>
      </c>
      <c r="C301" s="2" t="s">
        <v>105</v>
      </c>
      <c r="D301" s="2" t="s">
        <v>115</v>
      </c>
      <c r="E301" s="2">
        <v>1</v>
      </c>
      <c r="F301" s="2">
        <v>0</v>
      </c>
      <c r="G301" s="2">
        <v>0</v>
      </c>
      <c r="H301" s="2">
        <v>0</v>
      </c>
      <c r="I301" s="2">
        <v>0</v>
      </c>
    </row>
    <row r="302" spans="1:9" x14ac:dyDescent="0.25">
      <c r="A302" s="252"/>
      <c r="B302" s="252"/>
      <c r="C302" s="252" t="s">
        <v>105</v>
      </c>
      <c r="D302" s="252"/>
      <c r="E302" s="252"/>
      <c r="F302" s="252">
        <v>404</v>
      </c>
      <c r="G302" s="252">
        <v>698</v>
      </c>
      <c r="H302" s="252">
        <v>551</v>
      </c>
      <c r="I302" s="252">
        <v>424</v>
      </c>
    </row>
    <row r="303" spans="1:9" x14ac:dyDescent="0.25">
      <c r="A303" s="2">
        <v>540282</v>
      </c>
      <c r="B303" s="2" t="s">
        <v>106</v>
      </c>
      <c r="C303" s="2" t="s">
        <v>107</v>
      </c>
      <c r="D303" s="2" t="s">
        <v>5</v>
      </c>
      <c r="E303" s="2">
        <v>9</v>
      </c>
      <c r="F303" s="2">
        <v>498</v>
      </c>
      <c r="G303" s="2">
        <v>854</v>
      </c>
      <c r="H303" s="2">
        <v>676</v>
      </c>
      <c r="I303" s="2">
        <v>0</v>
      </c>
    </row>
    <row r="304" spans="1:9" x14ac:dyDescent="0.25">
      <c r="A304" s="2">
        <v>540006</v>
      </c>
      <c r="B304" s="2" t="s">
        <v>119</v>
      </c>
      <c r="C304" s="2" t="s">
        <v>107</v>
      </c>
      <c r="D304" s="2" t="s">
        <v>115</v>
      </c>
      <c r="E304" s="2">
        <v>9</v>
      </c>
      <c r="F304" s="2">
        <v>87</v>
      </c>
      <c r="G304" s="2">
        <v>82</v>
      </c>
      <c r="H304" s="2">
        <v>84.5</v>
      </c>
      <c r="I304" s="2">
        <v>0</v>
      </c>
    </row>
    <row r="305" spans="1:9" x14ac:dyDescent="0.25">
      <c r="A305" s="2">
        <v>545550</v>
      </c>
      <c r="B305" s="2" t="s">
        <v>339</v>
      </c>
      <c r="C305" s="2" t="s">
        <v>107</v>
      </c>
      <c r="D305" s="2" t="s">
        <v>115</v>
      </c>
      <c r="E305" s="2">
        <v>9</v>
      </c>
      <c r="F305" s="2">
        <v>0</v>
      </c>
      <c r="G305" s="2">
        <v>0</v>
      </c>
      <c r="H305" s="2">
        <v>0</v>
      </c>
      <c r="I305" s="2">
        <v>0</v>
      </c>
    </row>
    <row r="306" spans="1:9" x14ac:dyDescent="0.25">
      <c r="A306" s="252"/>
      <c r="B306" s="252"/>
      <c r="C306" s="252" t="s">
        <v>107</v>
      </c>
      <c r="D306" s="252"/>
      <c r="E306" s="252"/>
      <c r="F306" s="252">
        <v>585</v>
      </c>
      <c r="G306" s="252">
        <v>936</v>
      </c>
      <c r="H306" s="252">
        <v>760.5</v>
      </c>
      <c r="I306" s="252">
        <v>0</v>
      </c>
    </row>
    <row r="307" spans="1:9" x14ac:dyDescent="0.25">
      <c r="A307" s="2">
        <v>540283</v>
      </c>
      <c r="B307" s="2" t="s">
        <v>108</v>
      </c>
      <c r="C307" s="2" t="s">
        <v>109</v>
      </c>
      <c r="D307" s="2" t="s">
        <v>5</v>
      </c>
      <c r="E307" s="2">
        <v>4</v>
      </c>
      <c r="F307" s="2">
        <v>376</v>
      </c>
      <c r="G307" s="2">
        <v>504</v>
      </c>
      <c r="H307" s="2">
        <v>440</v>
      </c>
      <c r="I307" s="2">
        <v>406</v>
      </c>
    </row>
    <row r="308" spans="1:9" x14ac:dyDescent="0.25">
      <c r="A308" s="2">
        <v>540158</v>
      </c>
      <c r="B308" s="2" t="s">
        <v>233</v>
      </c>
      <c r="C308" s="2" t="s">
        <v>109</v>
      </c>
      <c r="D308" s="2" t="s">
        <v>115</v>
      </c>
      <c r="E308" s="2">
        <v>4</v>
      </c>
      <c r="F308" s="2">
        <v>4</v>
      </c>
      <c r="G308" s="2">
        <v>9</v>
      </c>
      <c r="H308" s="2">
        <v>6.5</v>
      </c>
      <c r="I308" s="2">
        <v>6</v>
      </c>
    </row>
    <row r="309" spans="1:9" x14ac:dyDescent="0.25">
      <c r="A309" s="2">
        <v>540159</v>
      </c>
      <c r="B309" s="2" t="s">
        <v>234</v>
      </c>
      <c r="C309" s="2" t="s">
        <v>109</v>
      </c>
      <c r="D309" s="2" t="s">
        <v>115</v>
      </c>
      <c r="E309" s="2">
        <v>4</v>
      </c>
      <c r="F309" s="2">
        <v>449</v>
      </c>
      <c r="G309" s="2">
        <v>393</v>
      </c>
      <c r="H309" s="2">
        <v>421</v>
      </c>
      <c r="I309" s="2">
        <v>360</v>
      </c>
    </row>
    <row r="310" spans="1:9" x14ac:dyDescent="0.25">
      <c r="A310" s="2">
        <v>540288</v>
      </c>
      <c r="B310" s="2" t="s">
        <v>340</v>
      </c>
      <c r="C310" s="2" t="s">
        <v>109</v>
      </c>
      <c r="D310" s="2" t="s">
        <v>115</v>
      </c>
      <c r="E310" s="2">
        <v>4</v>
      </c>
      <c r="F310" s="2">
        <v>0</v>
      </c>
      <c r="G310" s="2">
        <v>0</v>
      </c>
      <c r="H310" s="2">
        <v>0</v>
      </c>
      <c r="I310" s="2">
        <v>0</v>
      </c>
    </row>
    <row r="311" spans="1:9" x14ac:dyDescent="0.25">
      <c r="A311" s="252"/>
      <c r="B311" s="252"/>
      <c r="C311" s="252" t="s">
        <v>109</v>
      </c>
      <c r="D311" s="252"/>
      <c r="E311" s="252"/>
      <c r="F311" s="252">
        <v>829</v>
      </c>
      <c r="G311" s="252">
        <v>906</v>
      </c>
      <c r="H311" s="252">
        <v>867.5</v>
      </c>
      <c r="I311" s="252">
        <v>772</v>
      </c>
    </row>
    <row r="312" spans="1:9" x14ac:dyDescent="0.25">
      <c r="A312" s="2">
        <v>545536</v>
      </c>
      <c r="B312" s="2" t="s">
        <v>110</v>
      </c>
      <c r="C312" s="2" t="s">
        <v>111</v>
      </c>
      <c r="D312" s="2" t="s">
        <v>5</v>
      </c>
      <c r="E312" s="2">
        <v>2</v>
      </c>
      <c r="F312" s="2">
        <v>5682</v>
      </c>
      <c r="G312" s="2">
        <v>4623</v>
      </c>
      <c r="H312" s="2">
        <v>5152.5</v>
      </c>
      <c r="I312" s="2">
        <v>0</v>
      </c>
    </row>
    <row r="313" spans="1:9" x14ac:dyDescent="0.25">
      <c r="A313" s="2">
        <v>540092</v>
      </c>
      <c r="B313" s="2" t="s">
        <v>183</v>
      </c>
      <c r="C313" s="2" t="s">
        <v>111</v>
      </c>
      <c r="D313" s="2" t="s">
        <v>115</v>
      </c>
      <c r="E313" s="2">
        <v>2</v>
      </c>
      <c r="F313" s="2">
        <v>45</v>
      </c>
      <c r="G313" s="2">
        <v>60</v>
      </c>
      <c r="H313" s="2">
        <v>52.5</v>
      </c>
      <c r="I313" s="2">
        <v>0</v>
      </c>
    </row>
    <row r="314" spans="1:9" x14ac:dyDescent="0.25">
      <c r="A314" s="2">
        <v>540095</v>
      </c>
      <c r="B314" s="2" t="s">
        <v>186</v>
      </c>
      <c r="C314" s="2" t="s">
        <v>111</v>
      </c>
      <c r="D314" s="2" t="s">
        <v>115</v>
      </c>
      <c r="E314" s="2">
        <v>2</v>
      </c>
      <c r="F314" s="2">
        <v>31</v>
      </c>
      <c r="G314" s="2">
        <v>31</v>
      </c>
      <c r="H314" s="2">
        <v>31</v>
      </c>
      <c r="I314" s="2">
        <v>0</v>
      </c>
    </row>
    <row r="315" spans="1:9" x14ac:dyDescent="0.25">
      <c r="A315" s="2">
        <v>545535</v>
      </c>
      <c r="B315" s="2" t="s">
        <v>332</v>
      </c>
      <c r="C315" s="2" t="s">
        <v>111</v>
      </c>
      <c r="D315" s="2" t="s">
        <v>115</v>
      </c>
      <c r="E315" s="2">
        <v>2</v>
      </c>
      <c r="F315" s="2">
        <v>4</v>
      </c>
      <c r="G315" s="2">
        <v>13</v>
      </c>
      <c r="H315" s="2">
        <v>8.5</v>
      </c>
      <c r="I315" s="2">
        <v>0</v>
      </c>
    </row>
    <row r="316" spans="1:9" x14ac:dyDescent="0.25">
      <c r="A316" s="2">
        <v>545537</v>
      </c>
      <c r="B316" s="2" t="s">
        <v>333</v>
      </c>
      <c r="C316" s="2" t="s">
        <v>111</v>
      </c>
      <c r="D316" s="2" t="s">
        <v>115</v>
      </c>
      <c r="E316" s="2">
        <v>2</v>
      </c>
      <c r="F316" s="2">
        <v>154</v>
      </c>
      <c r="G316" s="2">
        <v>140</v>
      </c>
      <c r="H316" s="2">
        <v>147</v>
      </c>
      <c r="I316" s="2">
        <v>0</v>
      </c>
    </row>
    <row r="317" spans="1:9" x14ac:dyDescent="0.25">
      <c r="A317" s="2">
        <v>545539</v>
      </c>
      <c r="B317" s="2" t="s">
        <v>335</v>
      </c>
      <c r="C317" s="2" t="s">
        <v>111</v>
      </c>
      <c r="D317" s="2" t="s">
        <v>115</v>
      </c>
      <c r="E317" s="2">
        <v>2</v>
      </c>
      <c r="F317" s="2">
        <v>4</v>
      </c>
      <c r="G317" s="2">
        <v>16</v>
      </c>
      <c r="H317" s="2">
        <v>10</v>
      </c>
      <c r="I317" s="2">
        <v>0</v>
      </c>
    </row>
    <row r="318" spans="1:9" x14ac:dyDescent="0.25">
      <c r="A318" s="252"/>
      <c r="B318" s="252"/>
      <c r="C318" s="252" t="s">
        <v>111</v>
      </c>
      <c r="D318" s="252"/>
      <c r="E318" s="252"/>
      <c r="F318" s="252">
        <v>5920</v>
      </c>
      <c r="G318" s="252">
        <v>4883</v>
      </c>
      <c r="H318" s="252">
        <v>5401.5</v>
      </c>
      <c r="I318" s="252">
        <v>0</v>
      </c>
    </row>
    <row r="319" spans="1:9" x14ac:dyDescent="0.25">
      <c r="A319" s="2">
        <v>540191</v>
      </c>
      <c r="B319" s="2" t="s">
        <v>112</v>
      </c>
      <c r="C319" s="2" t="s">
        <v>113</v>
      </c>
      <c r="D319" s="2" t="s">
        <v>5</v>
      </c>
      <c r="E319" s="2">
        <v>7</v>
      </c>
      <c r="F319" s="2">
        <v>462</v>
      </c>
      <c r="G319" s="2">
        <v>383</v>
      </c>
      <c r="H319" s="2">
        <v>422.5</v>
      </c>
      <c r="I319" s="2">
        <v>0</v>
      </c>
    </row>
    <row r="320" spans="1:9" x14ac:dyDescent="0.25">
      <c r="A320" s="2">
        <v>540193</v>
      </c>
      <c r="B320" s="2" t="s">
        <v>342</v>
      </c>
      <c r="C320" s="2" t="s">
        <v>113</v>
      </c>
      <c r="D320" s="2" t="s">
        <v>115</v>
      </c>
      <c r="E320" s="2">
        <v>7</v>
      </c>
      <c r="F320" s="2">
        <v>17</v>
      </c>
      <c r="G320" s="2">
        <v>21</v>
      </c>
      <c r="H320" s="2">
        <v>19</v>
      </c>
      <c r="I320" s="2">
        <v>0</v>
      </c>
    </row>
    <row r="321" spans="1:9" x14ac:dyDescent="0.25">
      <c r="A321" s="2">
        <v>540192</v>
      </c>
      <c r="B321" s="2" t="s">
        <v>343</v>
      </c>
      <c r="C321" s="2" t="s">
        <v>113</v>
      </c>
      <c r="D321" s="2" t="s">
        <v>115</v>
      </c>
      <c r="E321" s="2">
        <v>7</v>
      </c>
      <c r="F321" s="2">
        <v>14</v>
      </c>
      <c r="G321" s="2">
        <v>14</v>
      </c>
      <c r="H321" s="2">
        <v>14</v>
      </c>
      <c r="I321" s="2">
        <v>0</v>
      </c>
    </row>
    <row r="322" spans="1:9" x14ac:dyDescent="0.25">
      <c r="A322" s="2">
        <v>540194</v>
      </c>
      <c r="B322" s="2" t="s">
        <v>344</v>
      </c>
      <c r="C322" s="2" t="s">
        <v>113</v>
      </c>
      <c r="D322" s="2" t="s">
        <v>115</v>
      </c>
      <c r="E322" s="2">
        <v>7</v>
      </c>
      <c r="F322" s="2">
        <v>356</v>
      </c>
      <c r="G322" s="2">
        <v>231</v>
      </c>
      <c r="H322" s="2">
        <v>293.5</v>
      </c>
      <c r="I322" s="2">
        <v>0</v>
      </c>
    </row>
    <row r="323" spans="1:9" x14ac:dyDescent="0.25">
      <c r="A323" s="2">
        <v>540261</v>
      </c>
      <c r="B323" s="2" t="s">
        <v>345</v>
      </c>
      <c r="C323" s="2" t="s">
        <v>113</v>
      </c>
      <c r="D323" s="2" t="s">
        <v>115</v>
      </c>
      <c r="E323" s="2">
        <v>7</v>
      </c>
      <c r="F323" s="2">
        <v>0</v>
      </c>
      <c r="G323" s="2">
        <v>0</v>
      </c>
      <c r="H323" s="2">
        <v>0</v>
      </c>
      <c r="I323" s="2">
        <v>0</v>
      </c>
    </row>
    <row r="324" spans="1:9" x14ac:dyDescent="0.25">
      <c r="A324" s="2">
        <v>540260</v>
      </c>
      <c r="B324" s="2" t="s">
        <v>346</v>
      </c>
      <c r="C324" s="2" t="s">
        <v>113</v>
      </c>
      <c r="D324" s="2" t="s">
        <v>115</v>
      </c>
      <c r="E324" s="2">
        <v>7</v>
      </c>
      <c r="F324" s="2">
        <v>1</v>
      </c>
      <c r="G324" s="2">
        <v>4</v>
      </c>
      <c r="H324" s="2">
        <v>2.5</v>
      </c>
      <c r="I324" s="2">
        <v>0</v>
      </c>
    </row>
    <row r="325" spans="1:9" x14ac:dyDescent="0.25">
      <c r="A325" s="252"/>
      <c r="B325" s="252"/>
      <c r="C325" s="252" t="s">
        <v>113</v>
      </c>
      <c r="D325" s="252"/>
      <c r="E325" s="252"/>
      <c r="F325" s="252">
        <v>850</v>
      </c>
      <c r="G325" s="252">
        <v>653</v>
      </c>
      <c r="H325" s="252">
        <v>751.5</v>
      </c>
      <c r="I325" s="252">
        <v>0</v>
      </c>
    </row>
    <row r="326" spans="1:9" x14ac:dyDescent="0.25">
      <c r="A326" s="2">
        <v>540027</v>
      </c>
      <c r="B326" s="2" t="s">
        <v>132</v>
      </c>
      <c r="C326" s="2" t="s">
        <v>21</v>
      </c>
      <c r="D326" s="2" t="s">
        <v>115</v>
      </c>
      <c r="E326" s="2">
        <v>4</v>
      </c>
      <c r="F326" s="2">
        <v>2</v>
      </c>
      <c r="G326" s="2">
        <v>2</v>
      </c>
      <c r="H326" s="2">
        <v>2</v>
      </c>
      <c r="I326" s="2">
        <v>0</v>
      </c>
    </row>
    <row r="327" spans="1:9" x14ac:dyDescent="0.25">
      <c r="A327" s="2">
        <v>540028</v>
      </c>
      <c r="B327" s="2" t="s">
        <v>133</v>
      </c>
      <c r="C327" s="2" t="s">
        <v>21</v>
      </c>
      <c r="D327" s="2" t="s">
        <v>115</v>
      </c>
      <c r="E327" s="2">
        <v>4</v>
      </c>
      <c r="F327" s="2">
        <v>13</v>
      </c>
      <c r="G327" s="2">
        <v>32</v>
      </c>
      <c r="H327" s="2">
        <v>22.5</v>
      </c>
      <c r="I327" s="2">
        <v>0</v>
      </c>
    </row>
    <row r="328" spans="1:9" x14ac:dyDescent="0.25">
      <c r="A328" s="2">
        <v>540029</v>
      </c>
      <c r="B328" s="2" t="s">
        <v>134</v>
      </c>
      <c r="C328" s="2" t="s">
        <v>21</v>
      </c>
      <c r="D328" s="2" t="s">
        <v>115</v>
      </c>
      <c r="E328" s="2">
        <v>4</v>
      </c>
      <c r="F328" s="2">
        <v>14</v>
      </c>
      <c r="G328" s="2">
        <v>21</v>
      </c>
      <c r="H328" s="2">
        <v>17.5</v>
      </c>
      <c r="I328" s="2">
        <v>0</v>
      </c>
    </row>
    <row r="329" spans="1:9" x14ac:dyDescent="0.25">
      <c r="A329" s="2">
        <v>540031</v>
      </c>
      <c r="B329" s="2" t="s">
        <v>136</v>
      </c>
      <c r="C329" s="2" t="s">
        <v>21</v>
      </c>
      <c r="D329" s="2" t="s">
        <v>115</v>
      </c>
      <c r="E329" s="2">
        <v>4</v>
      </c>
      <c r="F329" s="2">
        <v>48</v>
      </c>
      <c r="G329" s="2">
        <v>56</v>
      </c>
      <c r="H329" s="2">
        <v>52</v>
      </c>
      <c r="I329" s="2">
        <v>0</v>
      </c>
    </row>
    <row r="330" spans="1:9" x14ac:dyDescent="0.25">
      <c r="A330" s="2">
        <v>540032</v>
      </c>
      <c r="B330" s="2" t="s">
        <v>137</v>
      </c>
      <c r="C330" s="2" t="s">
        <v>21</v>
      </c>
      <c r="D330" s="2" t="s">
        <v>115</v>
      </c>
      <c r="E330" s="2">
        <v>4</v>
      </c>
      <c r="F330" s="2">
        <v>42</v>
      </c>
      <c r="G330" s="2">
        <v>44</v>
      </c>
      <c r="H330" s="2">
        <v>43</v>
      </c>
      <c r="I330" s="2">
        <v>0</v>
      </c>
    </row>
    <row r="331" spans="1:9" x14ac:dyDescent="0.25">
      <c r="A331" s="2">
        <v>540050</v>
      </c>
      <c r="B331" s="2" t="s">
        <v>150</v>
      </c>
      <c r="C331" s="2" t="s">
        <v>21</v>
      </c>
      <c r="D331" s="2" t="s">
        <v>115</v>
      </c>
      <c r="E331" s="2">
        <v>4</v>
      </c>
      <c r="F331" s="2">
        <v>0</v>
      </c>
      <c r="G331" s="2">
        <v>0</v>
      </c>
      <c r="H331" s="2">
        <v>0</v>
      </c>
      <c r="I331" s="2">
        <v>0</v>
      </c>
    </row>
    <row r="332" spans="1:9" x14ac:dyDescent="0.25">
      <c r="A332" s="2">
        <v>540293</v>
      </c>
      <c r="B332" s="2" t="s">
        <v>330</v>
      </c>
      <c r="C332" s="2" t="s">
        <v>21</v>
      </c>
      <c r="D332" s="2" t="s">
        <v>115</v>
      </c>
      <c r="E332" s="2">
        <v>4</v>
      </c>
      <c r="F332" s="2">
        <v>0</v>
      </c>
      <c r="G332" s="2">
        <v>0</v>
      </c>
      <c r="H332" s="2">
        <v>0</v>
      </c>
      <c r="I332" s="2">
        <v>0</v>
      </c>
    </row>
    <row r="333" spans="1:9" x14ac:dyDescent="0.25">
      <c r="A333" s="2">
        <v>540294</v>
      </c>
      <c r="B333" s="2" t="s">
        <v>331</v>
      </c>
      <c r="C333" s="2" t="s">
        <v>21</v>
      </c>
      <c r="D333" s="2" t="s">
        <v>115</v>
      </c>
      <c r="E333" s="2">
        <v>4</v>
      </c>
      <c r="F333" s="2">
        <v>16</v>
      </c>
      <c r="G333" s="2">
        <v>21</v>
      </c>
      <c r="H333" s="2">
        <v>18.5</v>
      </c>
      <c r="I333" s="2">
        <v>0</v>
      </c>
    </row>
    <row r="334" spans="1:9" x14ac:dyDescent="0.25">
      <c r="A334" s="2">
        <v>540033</v>
      </c>
      <c r="B334" s="2" t="s">
        <v>138</v>
      </c>
      <c r="C334" s="2" t="s">
        <v>21</v>
      </c>
      <c r="D334" s="2" t="s">
        <v>115</v>
      </c>
      <c r="E334" s="2">
        <v>4</v>
      </c>
      <c r="F334" s="2">
        <v>51</v>
      </c>
      <c r="G334" s="2">
        <v>64</v>
      </c>
      <c r="H334" s="2">
        <v>57.5</v>
      </c>
      <c r="I334" s="2">
        <v>0</v>
      </c>
    </row>
    <row r="335" spans="1:9" x14ac:dyDescent="0.25">
      <c r="A335" s="2">
        <v>540280</v>
      </c>
      <c r="B335" s="2" t="s">
        <v>321</v>
      </c>
      <c r="C335" s="2" t="s">
        <v>21</v>
      </c>
      <c r="D335" s="2" t="s">
        <v>115</v>
      </c>
      <c r="E335" s="2">
        <v>4</v>
      </c>
      <c r="F335" s="2">
        <v>101</v>
      </c>
      <c r="G335" s="2">
        <v>128</v>
      </c>
      <c r="H335" s="2">
        <v>114.5</v>
      </c>
      <c r="I335" s="2">
        <v>0</v>
      </c>
    </row>
    <row r="336" spans="1:9" x14ac:dyDescent="0.25">
      <c r="A336" s="2">
        <v>540026</v>
      </c>
      <c r="B336" s="2" t="s">
        <v>20</v>
      </c>
      <c r="C336" s="2" t="s">
        <v>21</v>
      </c>
      <c r="D336" s="2" t="s">
        <v>5</v>
      </c>
      <c r="E336" s="2">
        <v>4</v>
      </c>
      <c r="F336" s="2">
        <v>1064</v>
      </c>
      <c r="G336" s="2">
        <v>1135</v>
      </c>
      <c r="H336" s="2">
        <v>1099.5</v>
      </c>
      <c r="I336" s="2">
        <v>0</v>
      </c>
    </row>
    <row r="337" spans="1:9" x14ac:dyDescent="0.25">
      <c r="A337" s="252"/>
      <c r="B337" s="252"/>
      <c r="C337" s="252" t="s">
        <v>21</v>
      </c>
      <c r="D337" s="252"/>
      <c r="E337" s="252"/>
      <c r="F337" s="252">
        <v>1351</v>
      </c>
      <c r="G337" s="252">
        <v>1503</v>
      </c>
      <c r="H337" s="252">
        <v>1427</v>
      </c>
      <c r="I337" s="252">
        <v>0</v>
      </c>
    </row>
    <row r="338" spans="1:9" x14ac:dyDescent="0.25">
      <c r="A338" s="2">
        <v>540176</v>
      </c>
      <c r="B338" s="2" t="s">
        <v>247</v>
      </c>
      <c r="C338" s="2" t="s">
        <v>75</v>
      </c>
      <c r="D338" s="2" t="s">
        <v>115</v>
      </c>
      <c r="E338" s="2">
        <v>7</v>
      </c>
      <c r="F338" s="2">
        <v>46</v>
      </c>
      <c r="G338" s="2">
        <v>50</v>
      </c>
      <c r="H338" s="2">
        <v>48</v>
      </c>
      <c r="I338" s="2">
        <v>0</v>
      </c>
    </row>
    <row r="339" spans="1:9" x14ac:dyDescent="0.25">
      <c r="A339" s="2">
        <v>540178</v>
      </c>
      <c r="B339" s="2" t="s">
        <v>249</v>
      </c>
      <c r="C339" s="2" t="s">
        <v>75</v>
      </c>
      <c r="D339" s="2" t="s">
        <v>115</v>
      </c>
      <c r="E339" s="2">
        <v>7</v>
      </c>
      <c r="F339" s="2">
        <v>37</v>
      </c>
      <c r="G339" s="2">
        <v>50</v>
      </c>
      <c r="H339" s="2">
        <v>43.5</v>
      </c>
      <c r="I339" s="2">
        <v>0</v>
      </c>
    </row>
    <row r="340" spans="1:9" x14ac:dyDescent="0.25">
      <c r="A340" s="2">
        <v>540264</v>
      </c>
      <c r="B340" s="2" t="s">
        <v>307</v>
      </c>
      <c r="C340" s="2" t="s">
        <v>75</v>
      </c>
      <c r="D340" s="2" t="s">
        <v>115</v>
      </c>
      <c r="E340" s="2">
        <v>7</v>
      </c>
      <c r="F340" s="2">
        <v>1</v>
      </c>
      <c r="G340" s="2">
        <v>0</v>
      </c>
      <c r="H340" s="2">
        <v>0.5</v>
      </c>
      <c r="I340" s="2">
        <v>0</v>
      </c>
    </row>
    <row r="341" spans="1:9" x14ac:dyDescent="0.25">
      <c r="A341" s="2">
        <v>540265</v>
      </c>
      <c r="B341" s="2" t="s">
        <v>308</v>
      </c>
      <c r="C341" s="2" t="s">
        <v>75</v>
      </c>
      <c r="D341" s="2" t="s">
        <v>115</v>
      </c>
      <c r="E341" s="2">
        <v>7</v>
      </c>
      <c r="F341" s="2">
        <v>22</v>
      </c>
      <c r="G341" s="2">
        <v>42</v>
      </c>
      <c r="H341" s="2">
        <v>32</v>
      </c>
      <c r="I341" s="2">
        <v>0</v>
      </c>
    </row>
    <row r="342" spans="1:9" x14ac:dyDescent="0.25">
      <c r="A342" s="2">
        <v>540266</v>
      </c>
      <c r="B342" s="2" t="s">
        <v>309</v>
      </c>
      <c r="C342" s="2" t="s">
        <v>75</v>
      </c>
      <c r="D342" s="2" t="s">
        <v>115</v>
      </c>
      <c r="E342" s="2">
        <v>7</v>
      </c>
      <c r="F342" s="2">
        <v>13</v>
      </c>
      <c r="G342" s="2">
        <v>22</v>
      </c>
      <c r="H342" s="2">
        <v>17.5</v>
      </c>
      <c r="I342" s="2">
        <v>0</v>
      </c>
    </row>
    <row r="343" spans="1:9" x14ac:dyDescent="0.25">
      <c r="A343" s="2">
        <v>540267</v>
      </c>
      <c r="B343" s="2" t="s">
        <v>310</v>
      </c>
      <c r="C343" s="2" t="s">
        <v>75</v>
      </c>
      <c r="D343" s="2" t="s">
        <v>115</v>
      </c>
      <c r="E343" s="2">
        <v>7</v>
      </c>
      <c r="F343" s="2">
        <v>28</v>
      </c>
      <c r="G343" s="2">
        <v>18</v>
      </c>
      <c r="H343" s="2">
        <v>23</v>
      </c>
      <c r="I343" s="2">
        <v>0</v>
      </c>
    </row>
    <row r="344" spans="1:9" x14ac:dyDescent="0.25">
      <c r="A344" s="2">
        <v>540177</v>
      </c>
      <c r="B344" s="2" t="s">
        <v>248</v>
      </c>
      <c r="C344" s="2" t="s">
        <v>75</v>
      </c>
      <c r="D344" s="2" t="s">
        <v>115</v>
      </c>
      <c r="E344" s="2">
        <v>7</v>
      </c>
      <c r="F344" s="2">
        <v>213</v>
      </c>
      <c r="G344" s="2">
        <v>225</v>
      </c>
      <c r="H344" s="2">
        <v>219</v>
      </c>
      <c r="I344" s="2">
        <v>0</v>
      </c>
    </row>
    <row r="345" spans="1:9" x14ac:dyDescent="0.25">
      <c r="A345" s="2">
        <v>540175</v>
      </c>
      <c r="B345" s="2" t="s">
        <v>74</v>
      </c>
      <c r="C345" s="2" t="s">
        <v>75</v>
      </c>
      <c r="D345" s="2" t="s">
        <v>5</v>
      </c>
      <c r="E345" s="2">
        <v>7</v>
      </c>
      <c r="F345" s="2">
        <v>1330</v>
      </c>
      <c r="G345" s="2">
        <v>1602</v>
      </c>
      <c r="H345" s="2">
        <v>1466</v>
      </c>
      <c r="I345" s="2">
        <v>0</v>
      </c>
    </row>
    <row r="346" spans="1:9" x14ac:dyDescent="0.25">
      <c r="A346" s="252"/>
      <c r="B346" s="252"/>
      <c r="C346" s="252" t="s">
        <v>75</v>
      </c>
      <c r="D346" s="252"/>
      <c r="E346" s="252"/>
      <c r="F346" s="252">
        <v>1690</v>
      </c>
      <c r="G346" s="252">
        <v>2009</v>
      </c>
      <c r="H346" s="252">
        <v>1849.5</v>
      </c>
      <c r="I346" s="252">
        <v>0</v>
      </c>
    </row>
    <row r="347" spans="1:9" x14ac:dyDescent="0.25">
      <c r="A347" s="2">
        <v>540219</v>
      </c>
      <c r="B347" s="2" t="s">
        <v>273</v>
      </c>
      <c r="C347" s="2" t="s">
        <v>95</v>
      </c>
      <c r="D347" s="2" t="s">
        <v>115</v>
      </c>
      <c r="E347" s="2">
        <v>1</v>
      </c>
      <c r="F347" s="2">
        <v>274</v>
      </c>
      <c r="G347" s="2">
        <v>212</v>
      </c>
      <c r="H347" s="2">
        <v>243</v>
      </c>
      <c r="I347" s="2">
        <v>0</v>
      </c>
    </row>
    <row r="348" spans="1:9" x14ac:dyDescent="0.25">
      <c r="A348" s="2">
        <v>540220</v>
      </c>
      <c r="B348" s="2" t="s">
        <v>274</v>
      </c>
      <c r="C348" s="2" t="s">
        <v>95</v>
      </c>
      <c r="D348" s="2" t="s">
        <v>115</v>
      </c>
      <c r="E348" s="2">
        <v>1</v>
      </c>
      <c r="F348" s="2">
        <v>123</v>
      </c>
      <c r="G348" s="2">
        <v>119</v>
      </c>
      <c r="H348" s="2">
        <v>121</v>
      </c>
      <c r="I348" s="2">
        <v>0</v>
      </c>
    </row>
    <row r="349" spans="1:9" x14ac:dyDescent="0.25">
      <c r="A349" s="2">
        <v>540218</v>
      </c>
      <c r="B349" s="2" t="s">
        <v>272</v>
      </c>
      <c r="C349" s="2" t="s">
        <v>95</v>
      </c>
      <c r="D349" s="2" t="s">
        <v>115</v>
      </c>
      <c r="E349" s="2">
        <v>1</v>
      </c>
      <c r="F349" s="2">
        <v>97</v>
      </c>
      <c r="G349" s="2">
        <v>114</v>
      </c>
      <c r="H349" s="2">
        <v>105.5</v>
      </c>
      <c r="I349" s="2">
        <v>0</v>
      </c>
    </row>
    <row r="350" spans="1:9" x14ac:dyDescent="0.25">
      <c r="A350" s="2">
        <v>540217</v>
      </c>
      <c r="B350" s="2" t="s">
        <v>94</v>
      </c>
      <c r="C350" s="2" t="s">
        <v>95</v>
      </c>
      <c r="D350" s="2" t="s">
        <v>5</v>
      </c>
      <c r="E350" s="2">
        <v>1</v>
      </c>
      <c r="F350" s="2">
        <v>2417</v>
      </c>
      <c r="G350" s="2">
        <v>2036</v>
      </c>
      <c r="H350" s="2">
        <v>2226.5</v>
      </c>
      <c r="I350" s="2">
        <v>0</v>
      </c>
    </row>
    <row r="351" spans="1:9" x14ac:dyDescent="0.25">
      <c r="A351" s="252"/>
      <c r="B351" s="252"/>
      <c r="C351" s="252" t="s">
        <v>95</v>
      </c>
      <c r="D351" s="252"/>
      <c r="E351" s="252"/>
      <c r="F351" s="252">
        <v>2911</v>
      </c>
      <c r="G351" s="252">
        <v>2481</v>
      </c>
      <c r="H351" s="252">
        <v>2696</v>
      </c>
      <c r="I351" s="252">
        <v>0</v>
      </c>
    </row>
    <row r="352" spans="1:9" x14ac:dyDescent="0.25">
      <c r="A352" s="2" t="s">
        <v>535</v>
      </c>
      <c r="B352" s="2"/>
      <c r="C352" s="2"/>
      <c r="D352" s="2"/>
      <c r="E352" s="2"/>
      <c r="F352" s="2"/>
      <c r="G352" s="2"/>
      <c r="H352" s="2"/>
      <c r="I352" s="2"/>
    </row>
    <row r="353" spans="1:9" x14ac:dyDescent="0.25">
      <c r="A353" s="2">
        <v>540152</v>
      </c>
      <c r="B353" s="2" t="s">
        <v>229</v>
      </c>
      <c r="C353" s="2" t="s">
        <v>544</v>
      </c>
      <c r="D353" s="2" t="s">
        <v>115</v>
      </c>
      <c r="E353" s="2" t="s">
        <v>545</v>
      </c>
      <c r="F353" s="2">
        <v>2664</v>
      </c>
      <c r="G353" s="2">
        <v>2361</v>
      </c>
      <c r="H353" s="2">
        <v>2512.5</v>
      </c>
      <c r="I353" s="2">
        <v>0</v>
      </c>
    </row>
    <row r="354" spans="1:9" x14ac:dyDescent="0.25">
      <c r="A354" s="2">
        <v>540196</v>
      </c>
      <c r="B354" s="2" t="s">
        <v>259</v>
      </c>
      <c r="C354" s="2" t="s">
        <v>546</v>
      </c>
      <c r="D354" s="2" t="s">
        <v>115</v>
      </c>
      <c r="E354" s="2" t="s">
        <v>547</v>
      </c>
      <c r="F354" s="2">
        <v>8</v>
      </c>
      <c r="G354" s="2">
        <v>26</v>
      </c>
      <c r="H354" s="2">
        <v>17</v>
      </c>
      <c r="I354" s="2">
        <v>0</v>
      </c>
    </row>
    <row r="355" spans="1:9" x14ac:dyDescent="0.25">
      <c r="A355" s="2">
        <v>540041</v>
      </c>
      <c r="B355" s="2" t="s">
        <v>142</v>
      </c>
      <c r="C355" s="2" t="s">
        <v>540</v>
      </c>
      <c r="D355" s="2" t="s">
        <v>115</v>
      </c>
      <c r="E355" s="2" t="s">
        <v>541</v>
      </c>
      <c r="F355" s="2">
        <v>215</v>
      </c>
      <c r="G355" s="2">
        <v>222</v>
      </c>
      <c r="H355" s="2">
        <v>218.5</v>
      </c>
      <c r="I355" s="2">
        <v>52</v>
      </c>
    </row>
    <row r="356" spans="1:9" x14ac:dyDescent="0.25">
      <c r="A356" s="2">
        <v>540018</v>
      </c>
      <c r="B356" s="2" t="s">
        <v>127</v>
      </c>
      <c r="C356" s="2" t="s">
        <v>538</v>
      </c>
      <c r="D356" s="2" t="s">
        <v>115</v>
      </c>
      <c r="E356" s="2" t="s">
        <v>539</v>
      </c>
      <c r="F356" s="2">
        <v>659</v>
      </c>
      <c r="G356" s="2">
        <v>794</v>
      </c>
      <c r="H356" s="2">
        <v>726.5</v>
      </c>
      <c r="I356" s="2">
        <v>0</v>
      </c>
    </row>
    <row r="357" spans="1:9" x14ac:dyDescent="0.25">
      <c r="A357" s="2">
        <v>540014</v>
      </c>
      <c r="B357" s="2" t="s">
        <v>124</v>
      </c>
      <c r="C357" s="2" t="s">
        <v>536</v>
      </c>
      <c r="D357" s="2" t="s">
        <v>115</v>
      </c>
      <c r="E357" s="2" t="s">
        <v>537</v>
      </c>
      <c r="F357" s="2">
        <v>209</v>
      </c>
      <c r="G357" s="2">
        <v>216</v>
      </c>
      <c r="H357" s="2">
        <v>212.5</v>
      </c>
      <c r="I357" s="2">
        <v>114</v>
      </c>
    </row>
    <row r="358" spans="1:9" x14ac:dyDescent="0.25">
      <c r="A358" s="2">
        <v>540081</v>
      </c>
      <c r="B358" s="2" t="s">
        <v>176</v>
      </c>
      <c r="C358" s="2" t="s">
        <v>542</v>
      </c>
      <c r="D358" s="2" t="s">
        <v>115</v>
      </c>
      <c r="E358" s="2" t="s">
        <v>543</v>
      </c>
      <c r="F358" s="2">
        <v>592</v>
      </c>
      <c r="G358" s="2">
        <v>644</v>
      </c>
      <c r="H358" s="2">
        <v>618</v>
      </c>
      <c r="I358" s="2">
        <v>0</v>
      </c>
    </row>
    <row r="359" spans="1:9" x14ac:dyDescent="0.25">
      <c r="A359" s="2">
        <v>540033</v>
      </c>
      <c r="B359" s="2" t="s">
        <v>138</v>
      </c>
      <c r="C359" s="2" t="s">
        <v>1299</v>
      </c>
      <c r="D359" s="2" t="s">
        <v>115</v>
      </c>
      <c r="E359" s="2" t="s">
        <v>1298</v>
      </c>
      <c r="F359" s="2">
        <v>51</v>
      </c>
      <c r="G359" s="2">
        <v>64</v>
      </c>
      <c r="H359" s="2">
        <v>57.5</v>
      </c>
      <c r="I359" s="2">
        <v>0</v>
      </c>
    </row>
    <row r="360" spans="1:9" x14ac:dyDescent="0.25">
      <c r="A360" s="2">
        <v>540029</v>
      </c>
      <c r="B360" s="2" t="s">
        <v>134</v>
      </c>
      <c r="C360" s="2" t="s">
        <v>1299</v>
      </c>
      <c r="D360" s="2" t="s">
        <v>115</v>
      </c>
      <c r="E360" s="2" t="s">
        <v>1298</v>
      </c>
      <c r="F360" s="2">
        <v>32</v>
      </c>
      <c r="G360" s="2">
        <v>53</v>
      </c>
      <c r="H360" s="2">
        <v>42.5</v>
      </c>
      <c r="I360" s="2">
        <v>0</v>
      </c>
    </row>
  </sheetData>
  <hyperlinks>
    <hyperlink ref="L2"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0"/>
  <sheetViews>
    <sheetView workbookViewId="0">
      <pane ySplit="1" topLeftCell="A2" activePane="bottomLeft" state="frozen"/>
      <selection pane="bottomLeft" sqref="A1:XFD1048576"/>
    </sheetView>
  </sheetViews>
  <sheetFormatPr defaultRowHeight="15" x14ac:dyDescent="0.25"/>
  <cols>
    <col min="1" max="1" width="7" bestFit="1" customWidth="1"/>
    <col min="2" max="2" width="38.42578125" bestFit="1" customWidth="1"/>
    <col min="3" max="3" width="21.85546875" bestFit="1" customWidth="1"/>
    <col min="4" max="4" width="27.7109375" bestFit="1" customWidth="1"/>
    <col min="5" max="5" width="16" bestFit="1" customWidth="1"/>
    <col min="6" max="6" width="21" bestFit="1" customWidth="1"/>
    <col min="7" max="7" width="6.5703125" bestFit="1" customWidth="1"/>
    <col min="8" max="8" width="5.5703125" bestFit="1" customWidth="1"/>
    <col min="9" max="9" width="7.42578125" bestFit="1" customWidth="1"/>
    <col min="10" max="10" width="8.28515625" bestFit="1" customWidth="1"/>
    <col min="11" max="11" width="4.42578125" bestFit="1" customWidth="1"/>
    <col min="12" max="12" width="12.28515625" bestFit="1" customWidth="1"/>
    <col min="13" max="13" width="13.7109375" bestFit="1" customWidth="1"/>
    <col min="14" max="14" width="23.28515625" customWidth="1"/>
    <col min="17" max="17" width="112" bestFit="1" customWidth="1"/>
  </cols>
  <sheetData>
    <row r="1" spans="1:17" s="195" customFormat="1" ht="60" x14ac:dyDescent="0.25">
      <c r="A1" s="251" t="s">
        <v>0</v>
      </c>
      <c r="B1" s="251" t="s">
        <v>1</v>
      </c>
      <c r="C1" s="251" t="s">
        <v>2</v>
      </c>
      <c r="D1" s="251" t="s">
        <v>512</v>
      </c>
      <c r="E1" s="251" t="s">
        <v>403</v>
      </c>
      <c r="F1" s="251" t="s">
        <v>1316</v>
      </c>
      <c r="G1" s="251" t="s">
        <v>470</v>
      </c>
      <c r="H1" s="251" t="s">
        <v>1317</v>
      </c>
      <c r="I1" s="251" t="s">
        <v>1318</v>
      </c>
      <c r="J1" s="251" t="s">
        <v>1319</v>
      </c>
      <c r="K1" s="251" t="s">
        <v>1320</v>
      </c>
      <c r="L1" s="251" t="s">
        <v>1321</v>
      </c>
      <c r="M1" s="251" t="s">
        <v>1322</v>
      </c>
      <c r="N1" s="195" t="s">
        <v>5655</v>
      </c>
      <c r="P1" s="206" t="s">
        <v>1325</v>
      </c>
      <c r="Q1" s="62" t="s">
        <v>5656</v>
      </c>
    </row>
    <row r="2" spans="1:17" x14ac:dyDescent="0.25">
      <c r="A2" s="2">
        <v>540001</v>
      </c>
      <c r="B2" s="2" t="s">
        <v>3</v>
      </c>
      <c r="C2" s="2" t="s">
        <v>4</v>
      </c>
      <c r="D2" s="2" t="s">
        <v>5</v>
      </c>
      <c r="E2" s="2">
        <v>7</v>
      </c>
      <c r="F2" s="2">
        <v>215785</v>
      </c>
      <c r="G2" s="2">
        <v>6204</v>
      </c>
      <c r="H2" s="2">
        <v>458</v>
      </c>
      <c r="I2" s="2">
        <v>455</v>
      </c>
      <c r="J2" s="2">
        <v>0</v>
      </c>
      <c r="K2" s="2">
        <v>3</v>
      </c>
      <c r="L2" s="268">
        <v>7.3823339780799996E-2</v>
      </c>
      <c r="M2" s="268">
        <v>107.043842682</v>
      </c>
      <c r="N2" s="413"/>
      <c r="P2" s="206" t="s">
        <v>1326</v>
      </c>
      <c r="Q2" s="393" t="s">
        <v>5657</v>
      </c>
    </row>
    <row r="3" spans="1:17" x14ac:dyDescent="0.25">
      <c r="A3" s="2">
        <v>540002</v>
      </c>
      <c r="B3" s="2" t="s">
        <v>114</v>
      </c>
      <c r="C3" s="2" t="s">
        <v>4</v>
      </c>
      <c r="D3" s="2" t="s">
        <v>115</v>
      </c>
      <c r="E3" s="2">
        <v>7</v>
      </c>
      <c r="F3" s="2">
        <v>1363</v>
      </c>
      <c r="G3" s="2">
        <v>119</v>
      </c>
      <c r="H3" s="2">
        <v>0</v>
      </c>
      <c r="I3" s="2">
        <v>0</v>
      </c>
      <c r="J3" s="2">
        <v>0</v>
      </c>
      <c r="K3" s="2">
        <v>0</v>
      </c>
      <c r="L3" s="268">
        <v>0</v>
      </c>
      <c r="M3" s="268">
        <v>0</v>
      </c>
      <c r="N3" s="413"/>
    </row>
    <row r="4" spans="1:17" x14ac:dyDescent="0.25">
      <c r="A4" s="2">
        <v>540003</v>
      </c>
      <c r="B4" s="2" t="s">
        <v>116</v>
      </c>
      <c r="C4" s="2" t="s">
        <v>4</v>
      </c>
      <c r="D4" s="2" t="s">
        <v>115</v>
      </c>
      <c r="E4" s="2">
        <v>7</v>
      </c>
      <c r="F4" s="2">
        <v>217</v>
      </c>
      <c r="G4" s="2">
        <v>45</v>
      </c>
      <c r="H4" s="2">
        <v>5</v>
      </c>
      <c r="I4" s="2">
        <v>0</v>
      </c>
      <c r="J4" s="2">
        <v>0</v>
      </c>
      <c r="K4" s="2">
        <v>5</v>
      </c>
      <c r="L4" s="159">
        <v>0.111111111111</v>
      </c>
      <c r="M4" s="159">
        <v>161.11111111100001</v>
      </c>
      <c r="N4" s="413"/>
    </row>
    <row r="5" spans="1:17" x14ac:dyDescent="0.25">
      <c r="A5" s="2">
        <v>540004</v>
      </c>
      <c r="B5" s="2" t="s">
        <v>117</v>
      </c>
      <c r="C5" s="2" t="s">
        <v>4</v>
      </c>
      <c r="D5" s="2" t="s">
        <v>115</v>
      </c>
      <c r="E5" s="2">
        <v>7</v>
      </c>
      <c r="F5" s="2">
        <v>1869</v>
      </c>
      <c r="G5" s="2">
        <v>175</v>
      </c>
      <c r="H5" s="2">
        <v>41</v>
      </c>
      <c r="I5" s="2">
        <v>40</v>
      </c>
      <c r="J5" s="2">
        <v>0</v>
      </c>
      <c r="K5" s="2">
        <v>1</v>
      </c>
      <c r="L5" s="159">
        <v>0.23428571428600001</v>
      </c>
      <c r="M5" s="159">
        <v>339.71428571400003</v>
      </c>
      <c r="N5" s="413"/>
    </row>
    <row r="6" spans="1:17" x14ac:dyDescent="0.25">
      <c r="A6" s="252"/>
      <c r="B6" s="252"/>
      <c r="C6" s="252" t="s">
        <v>4</v>
      </c>
      <c r="D6" s="252"/>
      <c r="E6" s="252"/>
      <c r="F6" s="252">
        <v>219234</v>
      </c>
      <c r="G6" s="252">
        <v>6543</v>
      </c>
      <c r="H6" s="252">
        <v>504</v>
      </c>
      <c r="I6" s="252">
        <v>495</v>
      </c>
      <c r="J6" s="252">
        <v>0</v>
      </c>
      <c r="K6" s="252">
        <v>9</v>
      </c>
      <c r="L6" s="414">
        <v>7.7028885832199995E-2</v>
      </c>
      <c r="M6" s="414">
        <v>111.691884457</v>
      </c>
      <c r="N6" s="413"/>
    </row>
    <row r="7" spans="1:17" x14ac:dyDescent="0.25">
      <c r="A7" s="2">
        <v>540007</v>
      </c>
      <c r="B7" s="2" t="s">
        <v>6</v>
      </c>
      <c r="C7" s="2" t="s">
        <v>7</v>
      </c>
      <c r="D7" s="2" t="s">
        <v>5</v>
      </c>
      <c r="E7" s="2">
        <v>3</v>
      </c>
      <c r="F7" s="2">
        <v>316257</v>
      </c>
      <c r="G7" s="2">
        <v>5273</v>
      </c>
      <c r="H7" s="2">
        <v>1</v>
      </c>
      <c r="I7" s="2">
        <v>1</v>
      </c>
      <c r="J7" s="2">
        <v>0</v>
      </c>
      <c r="K7" s="2">
        <v>0</v>
      </c>
      <c r="L7" s="159">
        <v>1.89645363171E-4</v>
      </c>
      <c r="M7" s="159">
        <v>0.274985776598</v>
      </c>
      <c r="N7" s="413"/>
    </row>
    <row r="8" spans="1:17" x14ac:dyDescent="0.25">
      <c r="A8" s="2">
        <v>540008</v>
      </c>
      <c r="B8" s="2" t="s">
        <v>120</v>
      </c>
      <c r="C8" s="2" t="s">
        <v>7</v>
      </c>
      <c r="D8" s="2" t="s">
        <v>115</v>
      </c>
      <c r="E8" s="2">
        <v>3</v>
      </c>
      <c r="F8" s="2">
        <v>4517</v>
      </c>
      <c r="G8" s="2">
        <v>151</v>
      </c>
      <c r="H8" s="2">
        <v>5</v>
      </c>
      <c r="I8" s="2">
        <v>4</v>
      </c>
      <c r="J8" s="2">
        <v>0</v>
      </c>
      <c r="K8" s="2">
        <v>1</v>
      </c>
      <c r="L8" s="159">
        <v>3.3112582781499998E-2</v>
      </c>
      <c r="M8" s="159">
        <v>48.013245033099999</v>
      </c>
      <c r="N8" s="413"/>
    </row>
    <row r="9" spans="1:17" x14ac:dyDescent="0.25">
      <c r="A9" s="2">
        <v>540229</v>
      </c>
      <c r="B9" s="2" t="s">
        <v>279</v>
      </c>
      <c r="C9" s="2" t="s">
        <v>7</v>
      </c>
      <c r="D9" s="2" t="s">
        <v>115</v>
      </c>
      <c r="E9" s="2">
        <v>3</v>
      </c>
      <c r="F9" s="2">
        <v>212</v>
      </c>
      <c r="G9" s="2">
        <v>39</v>
      </c>
      <c r="H9" s="2">
        <v>0</v>
      </c>
      <c r="I9" s="2">
        <v>0</v>
      </c>
      <c r="J9" s="2">
        <v>0</v>
      </c>
      <c r="K9" s="2">
        <v>0</v>
      </c>
      <c r="L9" s="159">
        <v>0</v>
      </c>
      <c r="M9" s="159">
        <v>0</v>
      </c>
      <c r="N9" s="413"/>
    </row>
    <row r="10" spans="1:17" x14ac:dyDescent="0.25">
      <c r="A10" s="2">
        <v>540230</v>
      </c>
      <c r="B10" s="2" t="s">
        <v>280</v>
      </c>
      <c r="C10" s="2" t="s">
        <v>7</v>
      </c>
      <c r="D10" s="2" t="s">
        <v>115</v>
      </c>
      <c r="E10" s="2">
        <v>3</v>
      </c>
      <c r="F10" s="2">
        <v>694</v>
      </c>
      <c r="G10" s="2">
        <v>79</v>
      </c>
      <c r="H10" s="2">
        <v>9</v>
      </c>
      <c r="I10" s="2">
        <v>9</v>
      </c>
      <c r="J10" s="2">
        <v>0</v>
      </c>
      <c r="K10" s="2">
        <v>0</v>
      </c>
      <c r="L10" s="159">
        <v>0.113924050633</v>
      </c>
      <c r="M10" s="159">
        <v>165.18987341799999</v>
      </c>
      <c r="N10" s="413"/>
    </row>
    <row r="11" spans="1:17" x14ac:dyDescent="0.25">
      <c r="A11" s="2">
        <v>540238</v>
      </c>
      <c r="B11" s="2" t="s">
        <v>286</v>
      </c>
      <c r="C11" s="2" t="s">
        <v>7</v>
      </c>
      <c r="D11" s="2" t="s">
        <v>115</v>
      </c>
      <c r="E11" s="2">
        <v>3</v>
      </c>
      <c r="F11" s="2">
        <v>165</v>
      </c>
      <c r="G11" s="2">
        <v>27</v>
      </c>
      <c r="H11" s="2">
        <v>0</v>
      </c>
      <c r="I11" s="2">
        <v>0</v>
      </c>
      <c r="J11" s="2">
        <v>0</v>
      </c>
      <c r="K11" s="2">
        <v>0</v>
      </c>
      <c r="L11" s="159">
        <v>0</v>
      </c>
      <c r="M11" s="159">
        <v>0</v>
      </c>
      <c r="N11" s="413"/>
    </row>
    <row r="12" spans="1:17" x14ac:dyDescent="0.25">
      <c r="A12" s="252"/>
      <c r="B12" s="252"/>
      <c r="C12" s="252" t="s">
        <v>7</v>
      </c>
      <c r="D12" s="252"/>
      <c r="E12" s="252"/>
      <c r="F12" s="252">
        <v>321845</v>
      </c>
      <c r="G12" s="252">
        <v>5569</v>
      </c>
      <c r="H12" s="252">
        <v>15</v>
      </c>
      <c r="I12" s="252">
        <v>14</v>
      </c>
      <c r="J12" s="252">
        <v>0</v>
      </c>
      <c r="K12" s="252">
        <v>1</v>
      </c>
      <c r="L12" s="414">
        <v>2.6934817741099998E-3</v>
      </c>
      <c r="M12" s="414">
        <v>3.9055485724499999</v>
      </c>
      <c r="N12" s="413"/>
    </row>
    <row r="13" spans="1:17" x14ac:dyDescent="0.25">
      <c r="A13" s="2">
        <v>540009</v>
      </c>
      <c r="B13" s="2" t="s">
        <v>8</v>
      </c>
      <c r="C13" s="2" t="s">
        <v>9</v>
      </c>
      <c r="D13" s="2" t="s">
        <v>5</v>
      </c>
      <c r="E13" s="2">
        <v>7</v>
      </c>
      <c r="F13" s="2">
        <v>327977</v>
      </c>
      <c r="G13" s="2">
        <v>7774</v>
      </c>
      <c r="H13" s="2">
        <v>651</v>
      </c>
      <c r="I13" s="2">
        <v>650</v>
      </c>
      <c r="J13" s="2">
        <v>0</v>
      </c>
      <c r="K13" s="2">
        <v>1</v>
      </c>
      <c r="L13" s="159">
        <v>8.3740674041700006E-2</v>
      </c>
      <c r="M13" s="159">
        <v>121.42397735999999</v>
      </c>
      <c r="N13" s="413"/>
    </row>
    <row r="14" spans="1:17" x14ac:dyDescent="0.25">
      <c r="A14" s="2">
        <v>540010</v>
      </c>
      <c r="B14" s="2" t="s">
        <v>121</v>
      </c>
      <c r="C14" s="2" t="s">
        <v>9</v>
      </c>
      <c r="D14" s="2" t="s">
        <v>115</v>
      </c>
      <c r="E14" s="2">
        <v>7</v>
      </c>
      <c r="F14" s="2">
        <v>698</v>
      </c>
      <c r="G14" s="2">
        <v>106</v>
      </c>
      <c r="H14" s="2">
        <v>0</v>
      </c>
      <c r="I14" s="2">
        <v>0</v>
      </c>
      <c r="J14" s="2">
        <v>0</v>
      </c>
      <c r="K14" s="2">
        <v>0</v>
      </c>
      <c r="L14" s="159">
        <v>0</v>
      </c>
      <c r="M14" s="159">
        <v>0</v>
      </c>
      <c r="N14" s="413"/>
    </row>
    <row r="15" spans="1:17" x14ac:dyDescent="0.25">
      <c r="A15" s="2">
        <v>540235</v>
      </c>
      <c r="B15" s="2" t="s">
        <v>283</v>
      </c>
      <c r="C15" s="2" t="s">
        <v>9</v>
      </c>
      <c r="D15" s="2" t="s">
        <v>115</v>
      </c>
      <c r="E15" s="2">
        <v>7</v>
      </c>
      <c r="F15" s="2">
        <v>420</v>
      </c>
      <c r="G15" s="2">
        <v>0</v>
      </c>
      <c r="H15" s="2">
        <v>0</v>
      </c>
      <c r="I15" s="2">
        <v>0</v>
      </c>
      <c r="J15" s="2">
        <v>0</v>
      </c>
      <c r="K15" s="2">
        <v>0</v>
      </c>
      <c r="L15" s="159" t="s">
        <v>488</v>
      </c>
      <c r="M15" s="159" t="s">
        <v>488</v>
      </c>
      <c r="N15" s="413"/>
    </row>
    <row r="16" spans="1:17" x14ac:dyDescent="0.25">
      <c r="A16" s="2">
        <v>540236</v>
      </c>
      <c r="B16" s="2" t="s">
        <v>284</v>
      </c>
      <c r="C16" s="2" t="s">
        <v>9</v>
      </c>
      <c r="D16" s="2" t="s">
        <v>115</v>
      </c>
      <c r="E16" s="2">
        <v>7</v>
      </c>
      <c r="F16" s="2">
        <v>526</v>
      </c>
      <c r="G16" s="2">
        <v>94</v>
      </c>
      <c r="H16" s="2">
        <v>1</v>
      </c>
      <c r="I16" s="2">
        <v>1</v>
      </c>
      <c r="J16" s="2">
        <v>0</v>
      </c>
      <c r="K16" s="2">
        <v>0</v>
      </c>
      <c r="L16" s="159">
        <v>1.0638297872299999E-2</v>
      </c>
      <c r="M16" s="159">
        <v>15.425531914900001</v>
      </c>
      <c r="N16" s="413"/>
    </row>
    <row r="17" spans="1:14" x14ac:dyDescent="0.25">
      <c r="A17" s="2">
        <v>540237</v>
      </c>
      <c r="B17" s="2" t="s">
        <v>285</v>
      </c>
      <c r="C17" s="2" t="s">
        <v>9</v>
      </c>
      <c r="D17" s="2" t="s">
        <v>115</v>
      </c>
      <c r="E17" s="2">
        <v>7</v>
      </c>
      <c r="F17" s="2">
        <v>779</v>
      </c>
      <c r="G17" s="2">
        <v>110</v>
      </c>
      <c r="H17" s="2">
        <v>0</v>
      </c>
      <c r="I17" s="2">
        <v>0</v>
      </c>
      <c r="J17" s="2">
        <v>0</v>
      </c>
      <c r="K17" s="2">
        <v>0</v>
      </c>
      <c r="L17" s="159">
        <v>0</v>
      </c>
      <c r="M17" s="159">
        <v>0</v>
      </c>
      <c r="N17" s="413"/>
    </row>
    <row r="18" spans="1:14" x14ac:dyDescent="0.25">
      <c r="A18" s="252"/>
      <c r="B18" s="252"/>
      <c r="C18" s="252" t="s">
        <v>9</v>
      </c>
      <c r="D18" s="252"/>
      <c r="E18" s="252"/>
      <c r="F18" s="252">
        <v>330400</v>
      </c>
      <c r="G18" s="252">
        <v>8084</v>
      </c>
      <c r="H18" s="252">
        <v>652</v>
      </c>
      <c r="I18" s="252">
        <v>651</v>
      </c>
      <c r="J18" s="252">
        <v>0</v>
      </c>
      <c r="K18" s="252">
        <v>1</v>
      </c>
      <c r="L18" s="414">
        <v>8.0653142008900003E-2</v>
      </c>
      <c r="M18" s="414">
        <v>116.947055913</v>
      </c>
      <c r="N18" s="413"/>
    </row>
    <row r="19" spans="1:14" x14ac:dyDescent="0.25">
      <c r="A19" s="2">
        <v>540011</v>
      </c>
      <c r="B19" s="2" t="s">
        <v>10</v>
      </c>
      <c r="C19" s="2" t="s">
        <v>11</v>
      </c>
      <c r="D19" s="2" t="s">
        <v>5</v>
      </c>
      <c r="E19" s="2">
        <v>11</v>
      </c>
      <c r="F19" s="2">
        <v>51003</v>
      </c>
      <c r="G19" s="2">
        <v>1405</v>
      </c>
      <c r="H19" s="2">
        <v>83</v>
      </c>
      <c r="I19" s="2">
        <v>82</v>
      </c>
      <c r="J19" s="2">
        <v>0</v>
      </c>
      <c r="K19" s="2">
        <v>1</v>
      </c>
      <c r="L19" s="159">
        <v>5.90747330961E-2</v>
      </c>
      <c r="M19" s="159">
        <v>85.658362989300002</v>
      </c>
      <c r="N19" s="413"/>
    </row>
    <row r="20" spans="1:14" x14ac:dyDescent="0.25">
      <c r="A20" s="2">
        <v>540012</v>
      </c>
      <c r="B20" s="2" t="s">
        <v>122</v>
      </c>
      <c r="C20" s="2" t="s">
        <v>11</v>
      </c>
      <c r="D20" s="2" t="s">
        <v>115</v>
      </c>
      <c r="E20" s="2">
        <v>11</v>
      </c>
      <c r="F20" s="2">
        <v>471</v>
      </c>
      <c r="G20" s="2">
        <v>65</v>
      </c>
      <c r="H20" s="2">
        <v>17</v>
      </c>
      <c r="I20" s="2">
        <v>17</v>
      </c>
      <c r="J20" s="2">
        <v>0</v>
      </c>
      <c r="K20" s="2">
        <v>0</v>
      </c>
      <c r="L20" s="159">
        <v>0.26153846153799998</v>
      </c>
      <c r="M20" s="159">
        <v>379.23076923100001</v>
      </c>
      <c r="N20" s="413"/>
    </row>
    <row r="21" spans="1:14" x14ac:dyDescent="0.25">
      <c r="A21" s="2">
        <v>540013</v>
      </c>
      <c r="B21" s="2" t="s">
        <v>123</v>
      </c>
      <c r="C21" s="2" t="s">
        <v>11</v>
      </c>
      <c r="D21" s="2" t="s">
        <v>115</v>
      </c>
      <c r="E21" s="2">
        <v>11</v>
      </c>
      <c r="F21" s="2">
        <v>1337</v>
      </c>
      <c r="G21" s="2">
        <v>27</v>
      </c>
      <c r="H21" s="2">
        <v>0</v>
      </c>
      <c r="I21" s="2">
        <v>0</v>
      </c>
      <c r="J21" s="2">
        <v>0</v>
      </c>
      <c r="K21" s="2">
        <v>0</v>
      </c>
      <c r="L21" s="159">
        <v>0</v>
      </c>
      <c r="M21" s="159">
        <v>0</v>
      </c>
      <c r="N21" s="413"/>
    </row>
    <row r="22" spans="1:14" x14ac:dyDescent="0.25">
      <c r="A22" s="2">
        <v>540014</v>
      </c>
      <c r="B22" s="2" t="s">
        <v>124</v>
      </c>
      <c r="C22" s="2" t="s">
        <v>11</v>
      </c>
      <c r="D22" s="2" t="s">
        <v>115</v>
      </c>
      <c r="E22" s="2">
        <v>11</v>
      </c>
      <c r="F22" s="2">
        <v>4407</v>
      </c>
      <c r="G22" s="2">
        <v>90</v>
      </c>
      <c r="H22" s="2">
        <v>0</v>
      </c>
      <c r="I22" s="2">
        <v>0</v>
      </c>
      <c r="J22" s="2">
        <v>0</v>
      </c>
      <c r="K22" s="2">
        <v>0</v>
      </c>
      <c r="L22" s="159">
        <v>0</v>
      </c>
      <c r="M22" s="159">
        <v>0</v>
      </c>
      <c r="N22" s="413"/>
    </row>
    <row r="23" spans="1:14" x14ac:dyDescent="0.25">
      <c r="A23" s="2">
        <v>540015</v>
      </c>
      <c r="B23" s="2" t="s">
        <v>125</v>
      </c>
      <c r="C23" s="2" t="s">
        <v>11</v>
      </c>
      <c r="D23" s="2" t="s">
        <v>115</v>
      </c>
      <c r="E23" s="2">
        <v>11</v>
      </c>
      <c r="F23" s="2">
        <v>850</v>
      </c>
      <c r="G23" s="2">
        <v>253</v>
      </c>
      <c r="H23" s="2">
        <v>14</v>
      </c>
      <c r="I23" s="2">
        <v>13</v>
      </c>
      <c r="J23" s="2">
        <v>0</v>
      </c>
      <c r="K23" s="2">
        <v>1</v>
      </c>
      <c r="L23" s="159">
        <v>5.5335968379399997E-2</v>
      </c>
      <c r="M23" s="159">
        <v>80.237154150199999</v>
      </c>
      <c r="N23" s="413"/>
    </row>
    <row r="24" spans="1:14" x14ac:dyDescent="0.25">
      <c r="A24" s="2">
        <v>540093</v>
      </c>
      <c r="B24" s="2" t="s">
        <v>184</v>
      </c>
      <c r="C24" s="2" t="s">
        <v>11</v>
      </c>
      <c r="D24" s="2" t="s">
        <v>115</v>
      </c>
      <c r="E24" s="2">
        <v>11</v>
      </c>
      <c r="F24" s="2">
        <v>1193</v>
      </c>
      <c r="G24" s="2">
        <v>146</v>
      </c>
      <c r="H24" s="2">
        <v>0</v>
      </c>
      <c r="I24" s="2">
        <v>0</v>
      </c>
      <c r="J24" s="2">
        <v>0</v>
      </c>
      <c r="K24" s="2">
        <v>0</v>
      </c>
      <c r="L24" s="159">
        <v>0</v>
      </c>
      <c r="M24" s="159">
        <v>0</v>
      </c>
      <c r="N24" s="413"/>
    </row>
    <row r="25" spans="1:14" x14ac:dyDescent="0.25">
      <c r="A25" s="2">
        <v>540084</v>
      </c>
      <c r="B25" s="2" t="s">
        <v>341</v>
      </c>
      <c r="C25" s="2" t="s">
        <v>11</v>
      </c>
      <c r="D25" s="2" t="s">
        <v>115</v>
      </c>
      <c r="E25" s="2">
        <v>11</v>
      </c>
      <c r="F25" s="2">
        <v>92</v>
      </c>
      <c r="G25" s="2">
        <v>0</v>
      </c>
      <c r="H25" s="2">
        <v>0</v>
      </c>
      <c r="I25" s="2">
        <v>0</v>
      </c>
      <c r="J25" s="2">
        <v>0</v>
      </c>
      <c r="K25" s="2">
        <v>0</v>
      </c>
      <c r="L25" s="159" t="s">
        <v>488</v>
      </c>
      <c r="M25" s="159" t="s">
        <v>488</v>
      </c>
      <c r="N25" s="413"/>
    </row>
    <row r="26" spans="1:14" x14ac:dyDescent="0.25">
      <c r="A26" s="252"/>
      <c r="B26" s="252"/>
      <c r="C26" s="252" t="s">
        <v>11</v>
      </c>
      <c r="D26" s="252"/>
      <c r="E26" s="252"/>
      <c r="F26" s="252">
        <v>59353</v>
      </c>
      <c r="G26" s="252">
        <v>1986</v>
      </c>
      <c r="H26" s="252">
        <v>114</v>
      </c>
      <c r="I26" s="252">
        <v>112</v>
      </c>
      <c r="J26" s="252">
        <v>0</v>
      </c>
      <c r="K26" s="252">
        <v>2</v>
      </c>
      <c r="L26" s="414">
        <v>5.74018126888E-2</v>
      </c>
      <c r="M26" s="414">
        <v>83.232628398800003</v>
      </c>
      <c r="N26" s="413"/>
    </row>
    <row r="27" spans="1:14" x14ac:dyDescent="0.25">
      <c r="A27" s="2">
        <v>540016</v>
      </c>
      <c r="B27" s="2" t="s">
        <v>12</v>
      </c>
      <c r="C27" s="2" t="s">
        <v>13</v>
      </c>
      <c r="D27" s="2" t="s">
        <v>5</v>
      </c>
      <c r="E27" s="2">
        <v>2</v>
      </c>
      <c r="F27" s="2">
        <v>169628</v>
      </c>
      <c r="G27" s="2">
        <v>7103</v>
      </c>
      <c r="H27" s="2">
        <v>484</v>
      </c>
      <c r="I27" s="2">
        <v>481</v>
      </c>
      <c r="J27" s="2">
        <v>0</v>
      </c>
      <c r="K27" s="2">
        <v>3</v>
      </c>
      <c r="L27" s="159">
        <v>6.8140222441199993E-2</v>
      </c>
      <c r="M27" s="159">
        <v>98.803322539800007</v>
      </c>
      <c r="N27" s="413"/>
    </row>
    <row r="28" spans="1:14" x14ac:dyDescent="0.25">
      <c r="A28" s="2">
        <v>540017</v>
      </c>
      <c r="B28" s="2" t="s">
        <v>126</v>
      </c>
      <c r="C28" s="2" t="s">
        <v>13</v>
      </c>
      <c r="D28" s="2" t="s">
        <v>115</v>
      </c>
      <c r="E28" s="2">
        <v>2</v>
      </c>
      <c r="F28" s="2">
        <v>2679</v>
      </c>
      <c r="G28" s="2">
        <v>156</v>
      </c>
      <c r="H28" s="2">
        <v>18</v>
      </c>
      <c r="I28" s="2">
        <v>18</v>
      </c>
      <c r="J28" s="2">
        <v>0</v>
      </c>
      <c r="K28" s="2">
        <v>0</v>
      </c>
      <c r="L28" s="159">
        <v>0.115384615385</v>
      </c>
      <c r="M28" s="159">
        <v>167.30769230799999</v>
      </c>
      <c r="N28" s="413"/>
    </row>
    <row r="29" spans="1:14" x14ac:dyDescent="0.25">
      <c r="A29" s="2">
        <v>540018</v>
      </c>
      <c r="B29" s="2" t="s">
        <v>127</v>
      </c>
      <c r="C29" s="2" t="s">
        <v>13</v>
      </c>
      <c r="D29" s="2" t="s">
        <v>115</v>
      </c>
      <c r="E29" s="2">
        <v>2</v>
      </c>
      <c r="F29" s="2">
        <v>10925</v>
      </c>
      <c r="G29" s="2">
        <v>319</v>
      </c>
      <c r="H29" s="2">
        <v>36</v>
      </c>
      <c r="I29" s="2">
        <v>35</v>
      </c>
      <c r="J29" s="2">
        <v>0</v>
      </c>
      <c r="K29" s="2">
        <v>1</v>
      </c>
      <c r="L29" s="159">
        <v>0.11285266457699999</v>
      </c>
      <c r="M29" s="159">
        <v>163.636363636</v>
      </c>
      <c r="N29" s="413"/>
    </row>
    <row r="30" spans="1:14" x14ac:dyDescent="0.25">
      <c r="A30" s="2">
        <v>540019</v>
      </c>
      <c r="B30" s="2" t="s">
        <v>128</v>
      </c>
      <c r="C30" s="2" t="s">
        <v>13</v>
      </c>
      <c r="D30" s="2" t="s">
        <v>115</v>
      </c>
      <c r="E30" s="2">
        <v>2</v>
      </c>
      <c r="F30" s="2">
        <v>1005</v>
      </c>
      <c r="G30" s="2">
        <v>219</v>
      </c>
      <c r="H30" s="2">
        <v>4</v>
      </c>
      <c r="I30" s="2">
        <v>2</v>
      </c>
      <c r="J30" s="2">
        <v>0</v>
      </c>
      <c r="K30" s="2">
        <v>2</v>
      </c>
      <c r="L30" s="159">
        <v>1.8264840182599999E-2</v>
      </c>
      <c r="M30" s="159">
        <v>26.4840182648</v>
      </c>
      <c r="N30" s="413"/>
    </row>
    <row r="31" spans="1:14" x14ac:dyDescent="0.25">
      <c r="A31" s="252"/>
      <c r="B31" s="252"/>
      <c r="C31" s="252" t="s">
        <v>13</v>
      </c>
      <c r="D31" s="252"/>
      <c r="E31" s="252"/>
      <c r="F31" s="252">
        <v>184237</v>
      </c>
      <c r="G31" s="252">
        <v>7797</v>
      </c>
      <c r="H31" s="252">
        <v>542</v>
      </c>
      <c r="I31" s="252">
        <v>536</v>
      </c>
      <c r="J31" s="252">
        <v>0</v>
      </c>
      <c r="K31" s="252">
        <v>6</v>
      </c>
      <c r="L31" s="414">
        <v>6.9513915608599999E-2</v>
      </c>
      <c r="M31" s="414">
        <v>100.79517763200001</v>
      </c>
      <c r="N31" s="413"/>
    </row>
    <row r="32" spans="1:14" x14ac:dyDescent="0.25">
      <c r="A32" s="2">
        <v>540020</v>
      </c>
      <c r="B32" s="2" t="s">
        <v>14</v>
      </c>
      <c r="C32" s="2" t="s">
        <v>15</v>
      </c>
      <c r="D32" s="2" t="s">
        <v>5</v>
      </c>
      <c r="E32" s="2">
        <v>5</v>
      </c>
      <c r="F32" s="2">
        <v>179082</v>
      </c>
      <c r="G32" s="2">
        <v>6397</v>
      </c>
      <c r="H32" s="2">
        <v>33</v>
      </c>
      <c r="I32" s="2">
        <v>33</v>
      </c>
      <c r="J32" s="2">
        <v>0</v>
      </c>
      <c r="K32" s="2">
        <v>0</v>
      </c>
      <c r="L32" s="159">
        <v>5.1586681256800002E-3</v>
      </c>
      <c r="M32" s="159">
        <v>7.48006878224</v>
      </c>
      <c r="N32" s="413"/>
    </row>
    <row r="33" spans="1:14" x14ac:dyDescent="0.25">
      <c r="A33" s="2">
        <v>540021</v>
      </c>
      <c r="B33" s="2" t="s">
        <v>129</v>
      </c>
      <c r="C33" s="2" t="s">
        <v>15</v>
      </c>
      <c r="D33" s="2" t="s">
        <v>115</v>
      </c>
      <c r="E33" s="2">
        <v>5</v>
      </c>
      <c r="F33" s="2">
        <v>296</v>
      </c>
      <c r="G33" s="2">
        <v>88</v>
      </c>
      <c r="H33" s="2">
        <v>0</v>
      </c>
      <c r="I33" s="2">
        <v>0</v>
      </c>
      <c r="J33" s="2">
        <v>0</v>
      </c>
      <c r="K33" s="2">
        <v>0</v>
      </c>
      <c r="L33" s="159">
        <v>0</v>
      </c>
      <c r="M33" s="159">
        <v>0</v>
      </c>
      <c r="N33" s="413"/>
    </row>
    <row r="34" spans="1:14" x14ac:dyDescent="0.25">
      <c r="A34" s="252"/>
      <c r="B34" s="252"/>
      <c r="C34" s="252" t="s">
        <v>15</v>
      </c>
      <c r="D34" s="252"/>
      <c r="E34" s="252"/>
      <c r="F34" s="252">
        <v>179378</v>
      </c>
      <c r="G34" s="252">
        <v>6485</v>
      </c>
      <c r="H34" s="252">
        <v>33</v>
      </c>
      <c r="I34" s="252">
        <v>33</v>
      </c>
      <c r="J34" s="252">
        <v>0</v>
      </c>
      <c r="K34" s="252">
        <v>0</v>
      </c>
      <c r="L34" s="414">
        <v>5.0886661526599996E-3</v>
      </c>
      <c r="M34" s="414">
        <v>7.3785659213599999</v>
      </c>
      <c r="N34" s="413"/>
    </row>
    <row r="35" spans="1:14" x14ac:dyDescent="0.25">
      <c r="A35" s="2">
        <v>540022</v>
      </c>
      <c r="B35" s="2" t="s">
        <v>16</v>
      </c>
      <c r="C35" s="2" t="s">
        <v>17</v>
      </c>
      <c r="D35" s="2" t="s">
        <v>5</v>
      </c>
      <c r="E35" s="2">
        <v>3</v>
      </c>
      <c r="F35" s="2">
        <v>219517</v>
      </c>
      <c r="G35" s="2">
        <v>5618</v>
      </c>
      <c r="H35" s="2">
        <v>33</v>
      </c>
      <c r="I35" s="2">
        <v>33</v>
      </c>
      <c r="J35" s="2">
        <v>0</v>
      </c>
      <c r="K35" s="2">
        <v>0</v>
      </c>
      <c r="L35" s="159">
        <v>5.8739765040900001E-3</v>
      </c>
      <c r="M35" s="159">
        <v>8.5172659309400007</v>
      </c>
      <c r="N35" s="413"/>
    </row>
    <row r="36" spans="1:14" x14ac:dyDescent="0.25">
      <c r="A36" s="2">
        <v>540023</v>
      </c>
      <c r="B36" s="2" t="s">
        <v>130</v>
      </c>
      <c r="C36" s="2" t="s">
        <v>17</v>
      </c>
      <c r="D36" s="2" t="s">
        <v>115</v>
      </c>
      <c r="E36" s="2">
        <v>3</v>
      </c>
      <c r="F36" s="2">
        <v>394</v>
      </c>
      <c r="G36" s="2">
        <v>114</v>
      </c>
      <c r="H36" s="2">
        <v>0</v>
      </c>
      <c r="I36" s="2">
        <v>0</v>
      </c>
      <c r="J36" s="2">
        <v>0</v>
      </c>
      <c r="K36" s="2">
        <v>0</v>
      </c>
      <c r="L36" s="159">
        <v>0</v>
      </c>
      <c r="M36" s="159">
        <v>0</v>
      </c>
      <c r="N36" s="413"/>
    </row>
    <row r="37" spans="1:14" x14ac:dyDescent="0.25">
      <c r="A37" s="252"/>
      <c r="B37" s="252"/>
      <c r="C37" s="252" t="s">
        <v>17</v>
      </c>
      <c r="D37" s="252"/>
      <c r="E37" s="252"/>
      <c r="F37" s="252">
        <v>219911</v>
      </c>
      <c r="G37" s="252">
        <v>5732</v>
      </c>
      <c r="H37" s="252">
        <v>33</v>
      </c>
      <c r="I37" s="252">
        <v>33</v>
      </c>
      <c r="J37" s="252">
        <v>0</v>
      </c>
      <c r="K37" s="252">
        <v>0</v>
      </c>
      <c r="L37" s="414">
        <v>5.7571528262399998E-3</v>
      </c>
      <c r="M37" s="414">
        <v>8.3478715980500002</v>
      </c>
      <c r="N37" s="413"/>
    </row>
    <row r="38" spans="1:14" x14ac:dyDescent="0.25">
      <c r="A38" s="2">
        <v>540024</v>
      </c>
      <c r="B38" s="2" t="s">
        <v>18</v>
      </c>
      <c r="C38" s="2" t="s">
        <v>19</v>
      </c>
      <c r="D38" s="2" t="s">
        <v>5</v>
      </c>
      <c r="E38" s="2">
        <v>6</v>
      </c>
      <c r="F38" s="2">
        <v>204680</v>
      </c>
      <c r="G38" s="2">
        <v>5643</v>
      </c>
      <c r="H38" s="2">
        <v>25</v>
      </c>
      <c r="I38" s="2">
        <v>25</v>
      </c>
      <c r="J38" s="2">
        <v>0</v>
      </c>
      <c r="K38" s="2">
        <v>0</v>
      </c>
      <c r="L38" s="159">
        <v>4.4302675881599998E-3</v>
      </c>
      <c r="M38" s="159">
        <v>6.4238880028400001</v>
      </c>
      <c r="N38" s="413"/>
    </row>
    <row r="39" spans="1:14" x14ac:dyDescent="0.25">
      <c r="A39" s="2">
        <v>540025</v>
      </c>
      <c r="B39" s="2" t="s">
        <v>131</v>
      </c>
      <c r="C39" s="2" t="s">
        <v>19</v>
      </c>
      <c r="D39" s="2" t="s">
        <v>115</v>
      </c>
      <c r="E39" s="2">
        <v>6</v>
      </c>
      <c r="F39" s="2">
        <v>241</v>
      </c>
      <c r="G39" s="2">
        <v>29</v>
      </c>
      <c r="H39" s="2">
        <v>0</v>
      </c>
      <c r="I39" s="2">
        <v>0</v>
      </c>
      <c r="J39" s="2">
        <v>0</v>
      </c>
      <c r="K39" s="2">
        <v>0</v>
      </c>
      <c r="L39" s="159">
        <v>0</v>
      </c>
      <c r="M39" s="159">
        <v>0</v>
      </c>
      <c r="N39" s="413"/>
    </row>
    <row r="40" spans="1:14" x14ac:dyDescent="0.25">
      <c r="A40" s="252"/>
      <c r="B40" s="252"/>
      <c r="C40" s="252" t="s">
        <v>19</v>
      </c>
      <c r="D40" s="252"/>
      <c r="E40" s="252"/>
      <c r="F40" s="252">
        <v>204921</v>
      </c>
      <c r="G40" s="252">
        <v>5672</v>
      </c>
      <c r="H40" s="252">
        <v>25</v>
      </c>
      <c r="I40" s="252">
        <v>25</v>
      </c>
      <c r="J40" s="252">
        <v>0</v>
      </c>
      <c r="K40" s="252">
        <v>0</v>
      </c>
      <c r="L40" s="414">
        <v>4.4076163610699999E-3</v>
      </c>
      <c r="M40" s="414">
        <v>6.3910437235500002</v>
      </c>
      <c r="N40" s="413"/>
    </row>
    <row r="41" spans="1:14" x14ac:dyDescent="0.25">
      <c r="A41" s="2">
        <v>540035</v>
      </c>
      <c r="B41" s="2" t="s">
        <v>22</v>
      </c>
      <c r="C41" s="2" t="s">
        <v>23</v>
      </c>
      <c r="D41" s="2" t="s">
        <v>5</v>
      </c>
      <c r="E41" s="2">
        <v>7</v>
      </c>
      <c r="F41" s="2">
        <v>216311</v>
      </c>
      <c r="G41" s="2">
        <v>6892</v>
      </c>
      <c r="H41" s="2">
        <v>136</v>
      </c>
      <c r="I41" s="2">
        <v>134</v>
      </c>
      <c r="J41" s="2">
        <v>0</v>
      </c>
      <c r="K41" s="2">
        <v>2</v>
      </c>
      <c r="L41" s="159">
        <v>1.9733023795700001E-2</v>
      </c>
      <c r="M41" s="159">
        <v>28.6128845038</v>
      </c>
      <c r="N41" s="413"/>
    </row>
    <row r="42" spans="1:14" x14ac:dyDescent="0.25">
      <c r="A42" s="2">
        <v>540036</v>
      </c>
      <c r="B42" s="2" t="s">
        <v>139</v>
      </c>
      <c r="C42" s="2" t="s">
        <v>23</v>
      </c>
      <c r="D42" s="2" t="s">
        <v>115</v>
      </c>
      <c r="E42" s="2">
        <v>7</v>
      </c>
      <c r="F42" s="2">
        <v>662</v>
      </c>
      <c r="G42" s="2">
        <v>165</v>
      </c>
      <c r="H42" s="2">
        <v>1</v>
      </c>
      <c r="I42" s="2">
        <v>1</v>
      </c>
      <c r="J42" s="2">
        <v>0</v>
      </c>
      <c r="K42" s="2">
        <v>0</v>
      </c>
      <c r="L42" s="159">
        <v>6.0606060606100002E-3</v>
      </c>
      <c r="M42" s="159">
        <v>8.7878787878800004</v>
      </c>
      <c r="N42" s="413"/>
    </row>
    <row r="43" spans="1:14" x14ac:dyDescent="0.25">
      <c r="A43" s="2">
        <v>540037</v>
      </c>
      <c r="B43" s="2" t="s">
        <v>140</v>
      </c>
      <c r="C43" s="2" t="s">
        <v>23</v>
      </c>
      <c r="D43" s="2" t="s">
        <v>115</v>
      </c>
      <c r="E43" s="2">
        <v>7</v>
      </c>
      <c r="F43" s="2">
        <v>224</v>
      </c>
      <c r="G43" s="2">
        <v>70</v>
      </c>
      <c r="H43" s="2">
        <v>0</v>
      </c>
      <c r="I43" s="2">
        <v>0</v>
      </c>
      <c r="J43" s="2">
        <v>0</v>
      </c>
      <c r="K43" s="2">
        <v>0</v>
      </c>
      <c r="L43" s="159">
        <v>0</v>
      </c>
      <c r="M43" s="159">
        <v>0</v>
      </c>
      <c r="N43" s="413"/>
    </row>
    <row r="44" spans="1:14" x14ac:dyDescent="0.25">
      <c r="A44" s="252"/>
      <c r="B44" s="252"/>
      <c r="C44" s="252" t="s">
        <v>23</v>
      </c>
      <c r="D44" s="252"/>
      <c r="E44" s="252"/>
      <c r="F44" s="252">
        <v>217197</v>
      </c>
      <c r="G44" s="252">
        <v>7127</v>
      </c>
      <c r="H44" s="252">
        <v>137</v>
      </c>
      <c r="I44" s="252">
        <v>135</v>
      </c>
      <c r="J44" s="252">
        <v>0</v>
      </c>
      <c r="K44" s="252">
        <v>2</v>
      </c>
      <c r="L44" s="414">
        <v>1.9222674336999999E-2</v>
      </c>
      <c r="M44" s="414">
        <v>27.872877788699999</v>
      </c>
      <c r="N44" s="413"/>
    </row>
    <row r="45" spans="1:14" x14ac:dyDescent="0.25">
      <c r="A45" s="2">
        <v>540038</v>
      </c>
      <c r="B45" s="2" t="s">
        <v>24</v>
      </c>
      <c r="C45" s="2" t="s">
        <v>25</v>
      </c>
      <c r="D45" s="2" t="s">
        <v>5</v>
      </c>
      <c r="E45" s="2">
        <v>8</v>
      </c>
      <c r="F45" s="2">
        <v>305978</v>
      </c>
      <c r="G45" s="2">
        <v>7024</v>
      </c>
      <c r="H45" s="2">
        <v>104</v>
      </c>
      <c r="I45" s="2">
        <v>95</v>
      </c>
      <c r="J45" s="2">
        <v>0</v>
      </c>
      <c r="K45" s="2">
        <v>9</v>
      </c>
      <c r="L45" s="159">
        <v>1.48063781321E-2</v>
      </c>
      <c r="M45" s="159">
        <v>21.4692482916</v>
      </c>
      <c r="N45" s="413"/>
    </row>
    <row r="46" spans="1:14" x14ac:dyDescent="0.25">
      <c r="A46" s="2">
        <v>540039</v>
      </c>
      <c r="B46" s="2" t="s">
        <v>141</v>
      </c>
      <c r="C46" s="2" t="s">
        <v>25</v>
      </c>
      <c r="D46" s="2" t="s">
        <v>115</v>
      </c>
      <c r="E46" s="2">
        <v>8</v>
      </c>
      <c r="F46" s="2">
        <v>1035</v>
      </c>
      <c r="G46" s="2">
        <v>190</v>
      </c>
      <c r="H46" s="2">
        <v>0</v>
      </c>
      <c r="I46" s="2">
        <v>0</v>
      </c>
      <c r="J46" s="2">
        <v>0</v>
      </c>
      <c r="K46" s="2">
        <v>0</v>
      </c>
      <c r="L46" s="159">
        <v>0</v>
      </c>
      <c r="M46" s="159">
        <v>0</v>
      </c>
      <c r="N46" s="413"/>
    </row>
    <row r="47" spans="1:14" x14ac:dyDescent="0.25">
      <c r="A47" s="2">
        <v>540240</v>
      </c>
      <c r="B47" s="2" t="s">
        <v>287</v>
      </c>
      <c r="C47" s="2" t="s">
        <v>25</v>
      </c>
      <c r="D47" s="2" t="s">
        <v>115</v>
      </c>
      <c r="E47" s="2">
        <v>8</v>
      </c>
      <c r="F47" s="2">
        <v>195</v>
      </c>
      <c r="G47" s="2">
        <v>18</v>
      </c>
      <c r="H47" s="2">
        <v>0</v>
      </c>
      <c r="I47" s="2">
        <v>0</v>
      </c>
      <c r="J47" s="2">
        <v>0</v>
      </c>
      <c r="K47" s="2">
        <v>0</v>
      </c>
      <c r="L47" s="159">
        <v>0</v>
      </c>
      <c r="M47" s="159">
        <v>0</v>
      </c>
      <c r="N47" s="413"/>
    </row>
    <row r="48" spans="1:14" x14ac:dyDescent="0.25">
      <c r="A48" s="252"/>
      <c r="B48" s="252"/>
      <c r="C48" s="252" t="s">
        <v>25</v>
      </c>
      <c r="D48" s="252"/>
      <c r="E48" s="252"/>
      <c r="F48" s="252">
        <v>307208</v>
      </c>
      <c r="G48" s="252">
        <v>7232</v>
      </c>
      <c r="H48" s="252">
        <v>104</v>
      </c>
      <c r="I48" s="252">
        <v>95</v>
      </c>
      <c r="J48" s="252">
        <v>0</v>
      </c>
      <c r="K48" s="252">
        <v>9</v>
      </c>
      <c r="L48" s="414">
        <v>1.43805309735E-2</v>
      </c>
      <c r="M48" s="414">
        <v>20.8517699115</v>
      </c>
      <c r="N48" s="413"/>
    </row>
    <row r="49" spans="1:14" x14ac:dyDescent="0.25">
      <c r="A49" s="2">
        <v>540040</v>
      </c>
      <c r="B49" s="2" t="s">
        <v>26</v>
      </c>
      <c r="C49" s="2" t="s">
        <v>27</v>
      </c>
      <c r="D49" s="2" t="s">
        <v>5</v>
      </c>
      <c r="E49" s="2">
        <v>4</v>
      </c>
      <c r="F49" s="2">
        <v>648250</v>
      </c>
      <c r="G49" s="2">
        <v>19278</v>
      </c>
      <c r="H49" s="2">
        <v>1448</v>
      </c>
      <c r="I49" s="2">
        <v>1410</v>
      </c>
      <c r="J49" s="2">
        <v>29</v>
      </c>
      <c r="K49" s="2">
        <v>9</v>
      </c>
      <c r="L49" s="159">
        <v>7.5111526091899999E-2</v>
      </c>
      <c r="M49" s="159">
        <v>108.911712833</v>
      </c>
      <c r="N49" s="413"/>
    </row>
    <row r="50" spans="1:14" x14ac:dyDescent="0.25">
      <c r="A50" s="2">
        <v>540041</v>
      </c>
      <c r="B50" s="2" t="s">
        <v>142</v>
      </c>
      <c r="C50" s="2" t="s">
        <v>27</v>
      </c>
      <c r="D50" s="2" t="s">
        <v>115</v>
      </c>
      <c r="E50" s="2">
        <v>4</v>
      </c>
      <c r="F50" s="2">
        <v>418</v>
      </c>
      <c r="G50" s="2">
        <v>83</v>
      </c>
      <c r="H50" s="2">
        <v>1</v>
      </c>
      <c r="I50" s="2">
        <v>1</v>
      </c>
      <c r="J50" s="2">
        <v>0</v>
      </c>
      <c r="K50" s="2">
        <v>0</v>
      </c>
      <c r="L50" s="159">
        <v>1.2048192771100001E-2</v>
      </c>
      <c r="M50" s="159">
        <v>17.469879518100001</v>
      </c>
      <c r="N50" s="413"/>
    </row>
    <row r="51" spans="1:14" x14ac:dyDescent="0.25">
      <c r="A51" s="2">
        <v>540043</v>
      </c>
      <c r="B51" s="2" t="s">
        <v>144</v>
      </c>
      <c r="C51" s="2" t="s">
        <v>27</v>
      </c>
      <c r="D51" s="2" t="s">
        <v>115</v>
      </c>
      <c r="E51" s="2">
        <v>4</v>
      </c>
      <c r="F51" s="2">
        <v>1106</v>
      </c>
      <c r="G51" s="2">
        <v>137</v>
      </c>
      <c r="H51" s="2">
        <v>13</v>
      </c>
      <c r="I51" s="2">
        <v>12</v>
      </c>
      <c r="J51" s="2">
        <v>0</v>
      </c>
      <c r="K51" s="2">
        <v>1</v>
      </c>
      <c r="L51" s="159">
        <v>9.4890510948899998E-2</v>
      </c>
      <c r="M51" s="159">
        <v>137.591240876</v>
      </c>
      <c r="N51" s="413"/>
    </row>
    <row r="52" spans="1:14" x14ac:dyDescent="0.25">
      <c r="A52" s="2">
        <v>540044</v>
      </c>
      <c r="B52" s="2" t="s">
        <v>145</v>
      </c>
      <c r="C52" s="2" t="s">
        <v>27</v>
      </c>
      <c r="D52" s="2" t="s">
        <v>115</v>
      </c>
      <c r="E52" s="2">
        <v>4</v>
      </c>
      <c r="F52" s="2">
        <v>501</v>
      </c>
      <c r="G52" s="2">
        <v>114</v>
      </c>
      <c r="H52" s="2">
        <v>23</v>
      </c>
      <c r="I52" s="2">
        <v>17</v>
      </c>
      <c r="J52" s="2">
        <v>0</v>
      </c>
      <c r="K52" s="2">
        <v>6</v>
      </c>
      <c r="L52" s="159">
        <v>0.201754385965</v>
      </c>
      <c r="M52" s="159">
        <v>292.54385964900001</v>
      </c>
      <c r="N52" s="413"/>
    </row>
    <row r="53" spans="1:14" x14ac:dyDescent="0.25">
      <c r="A53" s="2">
        <v>540045</v>
      </c>
      <c r="B53" s="2" t="s">
        <v>146</v>
      </c>
      <c r="C53" s="2" t="s">
        <v>27</v>
      </c>
      <c r="D53" s="2" t="s">
        <v>115</v>
      </c>
      <c r="E53" s="2">
        <v>4</v>
      </c>
      <c r="F53" s="2">
        <v>1214</v>
      </c>
      <c r="G53" s="2">
        <v>189</v>
      </c>
      <c r="H53" s="2">
        <v>5</v>
      </c>
      <c r="I53" s="2">
        <v>5</v>
      </c>
      <c r="J53" s="2">
        <v>0</v>
      </c>
      <c r="K53" s="2">
        <v>0</v>
      </c>
      <c r="L53" s="159">
        <v>2.6455026454999999E-2</v>
      </c>
      <c r="M53" s="159">
        <v>38.3597883598</v>
      </c>
      <c r="N53" s="413"/>
    </row>
    <row r="54" spans="1:14" x14ac:dyDescent="0.25">
      <c r="A54" s="2">
        <v>540228</v>
      </c>
      <c r="B54" s="2" t="s">
        <v>278</v>
      </c>
      <c r="C54" s="2" t="s">
        <v>27</v>
      </c>
      <c r="D54" s="2" t="s">
        <v>115</v>
      </c>
      <c r="E54" s="2">
        <v>4</v>
      </c>
      <c r="F54" s="2">
        <v>714</v>
      </c>
      <c r="G54" s="2">
        <v>66</v>
      </c>
      <c r="H54" s="2">
        <v>0</v>
      </c>
      <c r="I54" s="2">
        <v>0</v>
      </c>
      <c r="J54" s="2">
        <v>0</v>
      </c>
      <c r="K54" s="2">
        <v>0</v>
      </c>
      <c r="L54" s="159">
        <v>0</v>
      </c>
      <c r="M54" s="159">
        <v>0</v>
      </c>
      <c r="N54" s="413"/>
    </row>
    <row r="55" spans="1:14" x14ac:dyDescent="0.25">
      <c r="A55" s="2">
        <v>540243</v>
      </c>
      <c r="B55" s="2" t="s">
        <v>290</v>
      </c>
      <c r="C55" s="2" t="s">
        <v>27</v>
      </c>
      <c r="D55" s="2" t="s">
        <v>115</v>
      </c>
      <c r="E55" s="2">
        <v>4</v>
      </c>
      <c r="F55" s="2">
        <v>338</v>
      </c>
      <c r="G55" s="2">
        <v>36</v>
      </c>
      <c r="H55" s="2">
        <v>0</v>
      </c>
      <c r="I55" s="2">
        <v>0</v>
      </c>
      <c r="J55" s="2">
        <v>0</v>
      </c>
      <c r="K55" s="2">
        <v>0</v>
      </c>
      <c r="L55" s="159">
        <v>0</v>
      </c>
      <c r="M55" s="159">
        <v>0</v>
      </c>
      <c r="N55" s="413"/>
    </row>
    <row r="56" spans="1:14" x14ac:dyDescent="0.25">
      <c r="A56" s="2">
        <v>540244</v>
      </c>
      <c r="B56" s="2" t="s">
        <v>291</v>
      </c>
      <c r="C56" s="2" t="s">
        <v>27</v>
      </c>
      <c r="D56" s="2" t="s">
        <v>115</v>
      </c>
      <c r="E56" s="2">
        <v>4</v>
      </c>
      <c r="F56" s="2">
        <v>221</v>
      </c>
      <c r="G56" s="2">
        <v>1</v>
      </c>
      <c r="H56" s="2">
        <v>0</v>
      </c>
      <c r="I56" s="2">
        <v>0</v>
      </c>
      <c r="J56" s="2">
        <v>0</v>
      </c>
      <c r="K56" s="2">
        <v>0</v>
      </c>
      <c r="L56" s="159">
        <v>0</v>
      </c>
      <c r="M56" s="159">
        <v>0</v>
      </c>
      <c r="N56" s="413"/>
    </row>
    <row r="57" spans="1:14" x14ac:dyDescent="0.25">
      <c r="A57" s="2">
        <v>540281</v>
      </c>
      <c r="B57" s="2" t="s">
        <v>322</v>
      </c>
      <c r="C57" s="2" t="s">
        <v>27</v>
      </c>
      <c r="D57" s="2" t="s">
        <v>115</v>
      </c>
      <c r="E57" s="2">
        <v>4</v>
      </c>
      <c r="F57" s="2">
        <v>2437</v>
      </c>
      <c r="G57" s="2">
        <v>0</v>
      </c>
      <c r="H57" s="2">
        <v>0</v>
      </c>
      <c r="I57" s="2">
        <v>0</v>
      </c>
      <c r="J57" s="2">
        <v>0</v>
      </c>
      <c r="K57" s="2">
        <v>0</v>
      </c>
      <c r="L57" s="159" t="s">
        <v>488</v>
      </c>
      <c r="M57" s="159" t="s">
        <v>488</v>
      </c>
      <c r="N57" s="413"/>
    </row>
    <row r="58" spans="1:14" x14ac:dyDescent="0.25">
      <c r="A58" s="252"/>
      <c r="B58" s="252"/>
      <c r="C58" s="252" t="s">
        <v>27</v>
      </c>
      <c r="D58" s="252"/>
      <c r="E58" s="252"/>
      <c r="F58" s="252">
        <v>655199</v>
      </c>
      <c r="G58" s="252">
        <v>19904</v>
      </c>
      <c r="H58" s="252">
        <v>1490</v>
      </c>
      <c r="I58" s="252">
        <v>1445</v>
      </c>
      <c r="J58" s="252">
        <v>29</v>
      </c>
      <c r="K58" s="252">
        <v>16</v>
      </c>
      <c r="L58" s="414">
        <v>7.48593247588E-2</v>
      </c>
      <c r="M58" s="414">
        <v>108.5460209</v>
      </c>
      <c r="N58" s="413"/>
    </row>
    <row r="59" spans="1:14" x14ac:dyDescent="0.25">
      <c r="A59" s="2">
        <v>540047</v>
      </c>
      <c r="B59" s="2" t="s">
        <v>28</v>
      </c>
      <c r="C59" s="2" t="s">
        <v>29</v>
      </c>
      <c r="D59" s="2" t="s">
        <v>5</v>
      </c>
      <c r="E59" s="2">
        <v>11</v>
      </c>
      <c r="F59" s="2">
        <v>46787</v>
      </c>
      <c r="G59" s="2">
        <v>644</v>
      </c>
      <c r="H59" s="2">
        <v>8</v>
      </c>
      <c r="I59" s="2">
        <v>7</v>
      </c>
      <c r="J59" s="2">
        <v>0</v>
      </c>
      <c r="K59" s="2">
        <v>1</v>
      </c>
      <c r="L59" s="159">
        <v>1.2422360248400001E-2</v>
      </c>
      <c r="M59" s="159">
        <v>18.012422360199999</v>
      </c>
      <c r="N59" s="413"/>
    </row>
    <row r="60" spans="1:14" x14ac:dyDescent="0.25">
      <c r="A60" s="2">
        <v>540014</v>
      </c>
      <c r="B60" s="2" t="s">
        <v>124</v>
      </c>
      <c r="C60" s="2" t="s">
        <v>29</v>
      </c>
      <c r="D60" s="2" t="s">
        <v>115</v>
      </c>
      <c r="E60" s="2">
        <v>11</v>
      </c>
      <c r="F60" s="2">
        <v>7775</v>
      </c>
      <c r="G60" s="2">
        <v>292</v>
      </c>
      <c r="H60" s="2">
        <v>7</v>
      </c>
      <c r="I60" s="2">
        <v>4</v>
      </c>
      <c r="J60" s="2">
        <v>0</v>
      </c>
      <c r="K60" s="2">
        <v>3</v>
      </c>
      <c r="L60" s="159">
        <v>2.3972602739699998E-2</v>
      </c>
      <c r="M60" s="159">
        <v>34.760273972599997</v>
      </c>
      <c r="N60" s="413"/>
    </row>
    <row r="61" spans="1:14" x14ac:dyDescent="0.25">
      <c r="A61" s="2">
        <v>540048</v>
      </c>
      <c r="B61" s="2" t="s">
        <v>148</v>
      </c>
      <c r="C61" s="2" t="s">
        <v>29</v>
      </c>
      <c r="D61" s="2" t="s">
        <v>115</v>
      </c>
      <c r="E61" s="2">
        <v>11</v>
      </c>
      <c r="F61" s="2">
        <v>639</v>
      </c>
      <c r="G61" s="2">
        <v>39</v>
      </c>
      <c r="H61" s="2">
        <v>12</v>
      </c>
      <c r="I61" s="2">
        <v>12</v>
      </c>
      <c r="J61" s="2">
        <v>0</v>
      </c>
      <c r="K61" s="2">
        <v>0</v>
      </c>
      <c r="L61" s="159">
        <v>0.30769230769200001</v>
      </c>
      <c r="M61" s="159">
        <v>446.15384615400001</v>
      </c>
      <c r="N61" s="413"/>
    </row>
    <row r="62" spans="1:14" x14ac:dyDescent="0.25">
      <c r="A62" s="2">
        <v>540049</v>
      </c>
      <c r="B62" s="2" t="s">
        <v>149</v>
      </c>
      <c r="C62" s="2" t="s">
        <v>29</v>
      </c>
      <c r="D62" s="2" t="s">
        <v>115</v>
      </c>
      <c r="E62" s="2">
        <v>11</v>
      </c>
      <c r="F62" s="2">
        <v>1189</v>
      </c>
      <c r="G62" s="2">
        <v>148</v>
      </c>
      <c r="H62" s="2">
        <v>7</v>
      </c>
      <c r="I62" s="2">
        <v>7</v>
      </c>
      <c r="J62" s="2">
        <v>0</v>
      </c>
      <c r="K62" s="2">
        <v>0</v>
      </c>
      <c r="L62" s="159">
        <v>4.7297297297299999E-2</v>
      </c>
      <c r="M62" s="159">
        <v>68.581081081099995</v>
      </c>
      <c r="N62" s="413"/>
    </row>
    <row r="63" spans="1:14" x14ac:dyDescent="0.25">
      <c r="A63" s="252"/>
      <c r="B63" s="252"/>
      <c r="C63" s="252" t="s">
        <v>29</v>
      </c>
      <c r="D63" s="252"/>
      <c r="E63" s="252"/>
      <c r="F63" s="252">
        <v>56390</v>
      </c>
      <c r="G63" s="252">
        <v>1123</v>
      </c>
      <c r="H63" s="252">
        <v>34</v>
      </c>
      <c r="I63" s="252">
        <v>30</v>
      </c>
      <c r="J63" s="252">
        <v>0</v>
      </c>
      <c r="K63" s="252">
        <v>4</v>
      </c>
      <c r="L63" s="414">
        <v>3.0276046304499999E-2</v>
      </c>
      <c r="M63" s="414">
        <v>43.900267141599997</v>
      </c>
      <c r="N63" s="413"/>
    </row>
    <row r="64" spans="1:14" x14ac:dyDescent="0.25">
      <c r="A64" s="2">
        <v>540051</v>
      </c>
      <c r="B64" s="2" t="s">
        <v>30</v>
      </c>
      <c r="C64" s="2" t="s">
        <v>31</v>
      </c>
      <c r="D64" s="2" t="s">
        <v>5</v>
      </c>
      <c r="E64" s="2">
        <v>8</v>
      </c>
      <c r="F64" s="2">
        <v>372059</v>
      </c>
      <c r="G64" s="2">
        <v>16850</v>
      </c>
      <c r="H64" s="2">
        <v>392</v>
      </c>
      <c r="I64" s="2">
        <v>323</v>
      </c>
      <c r="J64" s="2">
        <v>69</v>
      </c>
      <c r="K64" s="2">
        <v>0</v>
      </c>
      <c r="L64" s="159">
        <v>2.3264094955500001E-2</v>
      </c>
      <c r="M64" s="159">
        <v>33.732937685499998</v>
      </c>
      <c r="N64" s="413"/>
    </row>
    <row r="65" spans="1:14" x14ac:dyDescent="0.25">
      <c r="A65" s="2">
        <v>540052</v>
      </c>
      <c r="B65" s="2" t="s">
        <v>151</v>
      </c>
      <c r="C65" s="2" t="s">
        <v>31</v>
      </c>
      <c r="D65" s="2" t="s">
        <v>115</v>
      </c>
      <c r="E65" s="2">
        <v>8</v>
      </c>
      <c r="F65" s="2">
        <v>1784</v>
      </c>
      <c r="G65" s="2">
        <v>475</v>
      </c>
      <c r="H65" s="2">
        <v>7</v>
      </c>
      <c r="I65" s="2">
        <v>1</v>
      </c>
      <c r="J65" s="2">
        <v>3</v>
      </c>
      <c r="K65" s="2">
        <v>3</v>
      </c>
      <c r="L65" s="159">
        <v>1.47368421053E-2</v>
      </c>
      <c r="M65" s="159">
        <v>21.368421052599999</v>
      </c>
      <c r="N65" s="413"/>
    </row>
    <row r="66" spans="1:14" x14ac:dyDescent="0.25">
      <c r="A66" s="2">
        <v>540245</v>
      </c>
      <c r="B66" s="2" t="s">
        <v>292</v>
      </c>
      <c r="C66" s="2" t="s">
        <v>31</v>
      </c>
      <c r="D66" s="2" t="s">
        <v>115</v>
      </c>
      <c r="E66" s="2">
        <v>8</v>
      </c>
      <c r="F66" s="2">
        <v>212</v>
      </c>
      <c r="G66" s="2">
        <v>12</v>
      </c>
      <c r="H66" s="2">
        <v>0</v>
      </c>
      <c r="I66" s="2">
        <v>0</v>
      </c>
      <c r="J66" s="2">
        <v>0</v>
      </c>
      <c r="K66" s="2">
        <v>0</v>
      </c>
      <c r="L66" s="159">
        <v>0</v>
      </c>
      <c r="M66" s="159">
        <v>0</v>
      </c>
      <c r="N66" s="413"/>
    </row>
    <row r="67" spans="1:14" x14ac:dyDescent="0.25">
      <c r="A67" s="252"/>
      <c r="B67" s="252"/>
      <c r="C67" s="252" t="s">
        <v>31</v>
      </c>
      <c r="D67" s="252"/>
      <c r="E67" s="252"/>
      <c r="F67" s="252">
        <v>374055</v>
      </c>
      <c r="G67" s="252">
        <v>17337</v>
      </c>
      <c r="H67" s="252">
        <v>399</v>
      </c>
      <c r="I67" s="252">
        <v>324</v>
      </c>
      <c r="J67" s="252">
        <v>72</v>
      </c>
      <c r="K67" s="252">
        <v>3</v>
      </c>
      <c r="L67" s="414">
        <v>2.3014362346399999E-2</v>
      </c>
      <c r="M67" s="414">
        <v>33.370825402299999</v>
      </c>
      <c r="N67" s="413"/>
    </row>
    <row r="68" spans="1:14" x14ac:dyDescent="0.25">
      <c r="A68" s="2">
        <v>540053</v>
      </c>
      <c r="B68" s="2" t="s">
        <v>32</v>
      </c>
      <c r="C68" s="2" t="s">
        <v>33</v>
      </c>
      <c r="D68" s="2" t="s">
        <v>5</v>
      </c>
      <c r="E68" s="2">
        <v>6</v>
      </c>
      <c r="F68" s="2">
        <v>248423</v>
      </c>
      <c r="G68" s="2">
        <v>5597</v>
      </c>
      <c r="H68" s="2">
        <v>44</v>
      </c>
      <c r="I68" s="2">
        <v>37</v>
      </c>
      <c r="J68" s="2">
        <v>4</v>
      </c>
      <c r="K68" s="2">
        <v>3</v>
      </c>
      <c r="L68" s="159">
        <v>7.8613542969399996E-3</v>
      </c>
      <c r="M68" s="159">
        <v>11.3989637306</v>
      </c>
      <c r="N68" s="413"/>
    </row>
    <row r="69" spans="1:14" x14ac:dyDescent="0.25">
      <c r="A69" s="2">
        <v>540054</v>
      </c>
      <c r="B69" s="2" t="s">
        <v>152</v>
      </c>
      <c r="C69" s="2" t="s">
        <v>33</v>
      </c>
      <c r="D69" s="2" t="s">
        <v>115</v>
      </c>
      <c r="E69" s="2">
        <v>6</v>
      </c>
      <c r="F69" s="2">
        <v>676</v>
      </c>
      <c r="G69" s="2">
        <v>15</v>
      </c>
      <c r="H69" s="2">
        <v>0</v>
      </c>
      <c r="I69" s="2">
        <v>0</v>
      </c>
      <c r="J69" s="2">
        <v>0</v>
      </c>
      <c r="K69" s="2">
        <v>0</v>
      </c>
      <c r="L69" s="159">
        <v>0</v>
      </c>
      <c r="M69" s="159">
        <v>0</v>
      </c>
      <c r="N69" s="413"/>
    </row>
    <row r="70" spans="1:14" x14ac:dyDescent="0.25">
      <c r="A70" s="2">
        <v>540055</v>
      </c>
      <c r="B70" s="2" t="s">
        <v>153</v>
      </c>
      <c r="C70" s="2" t="s">
        <v>33</v>
      </c>
      <c r="D70" s="2" t="s">
        <v>115</v>
      </c>
      <c r="E70" s="2">
        <v>6</v>
      </c>
      <c r="F70" s="2">
        <v>6899</v>
      </c>
      <c r="G70" s="2">
        <v>182</v>
      </c>
      <c r="H70" s="2">
        <v>22</v>
      </c>
      <c r="I70" s="2">
        <v>22</v>
      </c>
      <c r="J70" s="2">
        <v>0</v>
      </c>
      <c r="K70" s="2">
        <v>0</v>
      </c>
      <c r="L70" s="159">
        <v>0.120879120879</v>
      </c>
      <c r="M70" s="159">
        <v>175.27472527500001</v>
      </c>
      <c r="N70" s="413"/>
    </row>
    <row r="71" spans="1:14" x14ac:dyDescent="0.25">
      <c r="A71" s="2">
        <v>540056</v>
      </c>
      <c r="B71" s="2" t="s">
        <v>154</v>
      </c>
      <c r="C71" s="2" t="s">
        <v>33</v>
      </c>
      <c r="D71" s="2" t="s">
        <v>115</v>
      </c>
      <c r="E71" s="2">
        <v>6</v>
      </c>
      <c r="F71" s="2">
        <v>6225</v>
      </c>
      <c r="G71" s="2">
        <v>183</v>
      </c>
      <c r="H71" s="2">
        <v>12</v>
      </c>
      <c r="I71" s="2">
        <v>11</v>
      </c>
      <c r="J71" s="2">
        <v>0</v>
      </c>
      <c r="K71" s="2">
        <v>1</v>
      </c>
      <c r="L71" s="159">
        <v>6.5573770491799993E-2</v>
      </c>
      <c r="M71" s="159">
        <v>95.0819672131</v>
      </c>
      <c r="N71" s="413"/>
    </row>
    <row r="72" spans="1:14" x14ac:dyDescent="0.25">
      <c r="A72" s="2">
        <v>540057</v>
      </c>
      <c r="B72" s="2" t="s">
        <v>155</v>
      </c>
      <c r="C72" s="2" t="s">
        <v>33</v>
      </c>
      <c r="D72" s="2" t="s">
        <v>115</v>
      </c>
      <c r="E72" s="2">
        <v>6</v>
      </c>
      <c r="F72" s="2">
        <v>621</v>
      </c>
      <c r="G72" s="2">
        <v>115</v>
      </c>
      <c r="H72" s="2">
        <v>1</v>
      </c>
      <c r="I72" s="2">
        <v>1</v>
      </c>
      <c r="J72" s="2">
        <v>0</v>
      </c>
      <c r="K72" s="2">
        <v>0</v>
      </c>
      <c r="L72" s="159">
        <v>8.6956521739099991E-3</v>
      </c>
      <c r="M72" s="159">
        <v>12.6086956522</v>
      </c>
      <c r="N72" s="413"/>
    </row>
    <row r="73" spans="1:14" x14ac:dyDescent="0.25">
      <c r="A73" s="2">
        <v>540058</v>
      </c>
      <c r="B73" s="2" t="s">
        <v>156</v>
      </c>
      <c r="C73" s="2" t="s">
        <v>33</v>
      </c>
      <c r="D73" s="2" t="s">
        <v>115</v>
      </c>
      <c r="E73" s="2">
        <v>6</v>
      </c>
      <c r="F73" s="2">
        <v>322</v>
      </c>
      <c r="G73" s="2">
        <v>48</v>
      </c>
      <c r="H73" s="2">
        <v>1</v>
      </c>
      <c r="I73" s="2">
        <v>0</v>
      </c>
      <c r="J73" s="2">
        <v>0</v>
      </c>
      <c r="K73" s="2">
        <v>1</v>
      </c>
      <c r="L73" s="159">
        <v>2.0833333333300001E-2</v>
      </c>
      <c r="M73" s="159">
        <v>30.208333333300001</v>
      </c>
      <c r="N73" s="413"/>
    </row>
    <row r="74" spans="1:14" x14ac:dyDescent="0.25">
      <c r="A74" s="2">
        <v>540059</v>
      </c>
      <c r="B74" s="2" t="s">
        <v>157</v>
      </c>
      <c r="C74" s="2" t="s">
        <v>33</v>
      </c>
      <c r="D74" s="2" t="s">
        <v>115</v>
      </c>
      <c r="E74" s="2">
        <v>6</v>
      </c>
      <c r="F74" s="2">
        <v>569</v>
      </c>
      <c r="G74" s="2">
        <v>36</v>
      </c>
      <c r="H74" s="2">
        <v>21</v>
      </c>
      <c r="I74" s="2">
        <v>21</v>
      </c>
      <c r="J74" s="2">
        <v>0</v>
      </c>
      <c r="K74" s="2">
        <v>0</v>
      </c>
      <c r="L74" s="159">
        <v>0.58333333333299997</v>
      </c>
      <c r="M74" s="159">
        <v>845.83333333300004</v>
      </c>
      <c r="N74" s="413"/>
    </row>
    <row r="75" spans="1:14" x14ac:dyDescent="0.25">
      <c r="A75" s="2">
        <v>540060</v>
      </c>
      <c r="B75" s="2" t="s">
        <v>158</v>
      </c>
      <c r="C75" s="2" t="s">
        <v>33</v>
      </c>
      <c r="D75" s="2" t="s">
        <v>115</v>
      </c>
      <c r="E75" s="2">
        <v>6</v>
      </c>
      <c r="F75" s="2">
        <v>1070</v>
      </c>
      <c r="G75" s="2">
        <v>68</v>
      </c>
      <c r="H75" s="2">
        <v>2</v>
      </c>
      <c r="I75" s="2">
        <v>1</v>
      </c>
      <c r="J75" s="2">
        <v>0</v>
      </c>
      <c r="K75" s="2">
        <v>1</v>
      </c>
      <c r="L75" s="159">
        <v>2.9411764705900002E-2</v>
      </c>
      <c r="M75" s="159">
        <v>42.647058823499997</v>
      </c>
      <c r="N75" s="413"/>
    </row>
    <row r="76" spans="1:14" x14ac:dyDescent="0.25">
      <c r="A76" s="2">
        <v>540061</v>
      </c>
      <c r="B76" s="2" t="s">
        <v>159</v>
      </c>
      <c r="C76" s="2" t="s">
        <v>33</v>
      </c>
      <c r="D76" s="2" t="s">
        <v>115</v>
      </c>
      <c r="E76" s="2">
        <v>6</v>
      </c>
      <c r="F76" s="2">
        <v>545</v>
      </c>
      <c r="G76" s="2">
        <v>13</v>
      </c>
      <c r="H76" s="2">
        <v>0</v>
      </c>
      <c r="I76" s="2">
        <v>0</v>
      </c>
      <c r="J76" s="2">
        <v>0</v>
      </c>
      <c r="K76" s="2">
        <v>0</v>
      </c>
      <c r="L76" s="159">
        <v>0</v>
      </c>
      <c r="M76" s="159">
        <v>0</v>
      </c>
      <c r="N76" s="413"/>
    </row>
    <row r="77" spans="1:14" x14ac:dyDescent="0.25">
      <c r="A77" s="2">
        <v>540062</v>
      </c>
      <c r="B77" s="2" t="s">
        <v>160</v>
      </c>
      <c r="C77" s="2" t="s">
        <v>33</v>
      </c>
      <c r="D77" s="2" t="s">
        <v>115</v>
      </c>
      <c r="E77" s="2">
        <v>6</v>
      </c>
      <c r="F77" s="2">
        <v>340</v>
      </c>
      <c r="G77" s="2">
        <v>5</v>
      </c>
      <c r="H77" s="2">
        <v>0</v>
      </c>
      <c r="I77" s="2">
        <v>0</v>
      </c>
      <c r="J77" s="2">
        <v>0</v>
      </c>
      <c r="K77" s="2">
        <v>0</v>
      </c>
      <c r="L77" s="159">
        <v>0</v>
      </c>
      <c r="M77" s="159">
        <v>0</v>
      </c>
      <c r="N77" s="413"/>
    </row>
    <row r="78" spans="1:14" x14ac:dyDescent="0.25">
      <c r="A78" s="2">
        <v>540242</v>
      </c>
      <c r="B78" s="2" t="s">
        <v>289</v>
      </c>
      <c r="C78" s="2" t="s">
        <v>33</v>
      </c>
      <c r="D78" s="2" t="s">
        <v>115</v>
      </c>
      <c r="E78" s="2">
        <v>6</v>
      </c>
      <c r="F78" s="2">
        <v>854</v>
      </c>
      <c r="G78" s="2">
        <v>45</v>
      </c>
      <c r="H78" s="2">
        <v>0</v>
      </c>
      <c r="I78" s="2">
        <v>0</v>
      </c>
      <c r="J78" s="2">
        <v>0</v>
      </c>
      <c r="K78" s="2">
        <v>0</v>
      </c>
      <c r="L78" s="159">
        <v>0</v>
      </c>
      <c r="M78" s="159">
        <v>0</v>
      </c>
      <c r="N78" s="413"/>
    </row>
    <row r="79" spans="1:14" x14ac:dyDescent="0.25">
      <c r="A79" s="252"/>
      <c r="B79" s="252"/>
      <c r="C79" s="252" t="s">
        <v>33</v>
      </c>
      <c r="D79" s="252"/>
      <c r="E79" s="252"/>
      <c r="F79" s="252">
        <v>266544</v>
      </c>
      <c r="G79" s="252">
        <v>6307</v>
      </c>
      <c r="H79" s="252">
        <v>103</v>
      </c>
      <c r="I79" s="252">
        <v>93</v>
      </c>
      <c r="J79" s="252">
        <v>4</v>
      </c>
      <c r="K79" s="252">
        <v>6</v>
      </c>
      <c r="L79" s="414">
        <v>1.6331060726200001E-2</v>
      </c>
      <c r="M79" s="414">
        <v>23.680038053000001</v>
      </c>
      <c r="N79" s="413"/>
    </row>
    <row r="80" spans="1:14" x14ac:dyDescent="0.25">
      <c r="A80" s="2">
        <v>540063</v>
      </c>
      <c r="B80" s="2" t="s">
        <v>34</v>
      </c>
      <c r="C80" s="2" t="s">
        <v>35</v>
      </c>
      <c r="D80" s="2" t="s">
        <v>5</v>
      </c>
      <c r="E80" s="2">
        <v>5</v>
      </c>
      <c r="F80" s="2">
        <v>298304</v>
      </c>
      <c r="G80" s="2">
        <v>13908</v>
      </c>
      <c r="H80" s="2">
        <v>732</v>
      </c>
      <c r="I80" s="2">
        <v>699</v>
      </c>
      <c r="J80" s="2">
        <v>22</v>
      </c>
      <c r="K80" s="2">
        <v>11</v>
      </c>
      <c r="L80" s="159">
        <v>5.2631578947399997E-2</v>
      </c>
      <c r="M80" s="159">
        <v>76.315789473699994</v>
      </c>
      <c r="N80" s="413"/>
    </row>
    <row r="81" spans="1:14" x14ac:dyDescent="0.25">
      <c r="A81" s="2">
        <v>540064</v>
      </c>
      <c r="B81" s="2" t="s">
        <v>161</v>
      </c>
      <c r="C81" s="2" t="s">
        <v>35</v>
      </c>
      <c r="D81" s="2" t="s">
        <v>115</v>
      </c>
      <c r="E81" s="2">
        <v>5</v>
      </c>
      <c r="F81" s="2">
        <v>2101</v>
      </c>
      <c r="G81" s="2">
        <v>149</v>
      </c>
      <c r="H81" s="2">
        <v>1</v>
      </c>
      <c r="I81" s="2">
        <v>1</v>
      </c>
      <c r="J81" s="2">
        <v>0</v>
      </c>
      <c r="K81" s="2">
        <v>0</v>
      </c>
      <c r="L81" s="159">
        <v>6.7114093959699996E-3</v>
      </c>
      <c r="M81" s="159">
        <v>9.7315436241600004</v>
      </c>
      <c r="N81" s="413"/>
    </row>
    <row r="82" spans="1:14" x14ac:dyDescent="0.25">
      <c r="A82" s="2">
        <v>540241</v>
      </c>
      <c r="B82" s="2" t="s">
        <v>288</v>
      </c>
      <c r="C82" s="2" t="s">
        <v>35</v>
      </c>
      <c r="D82" s="2" t="s">
        <v>115</v>
      </c>
      <c r="E82" s="2">
        <v>5</v>
      </c>
      <c r="F82" s="2">
        <v>1208</v>
      </c>
      <c r="G82" s="2">
        <v>217</v>
      </c>
      <c r="H82" s="2">
        <v>18</v>
      </c>
      <c r="I82" s="2">
        <v>18</v>
      </c>
      <c r="J82" s="2">
        <v>0</v>
      </c>
      <c r="K82" s="2">
        <v>0</v>
      </c>
      <c r="L82" s="159">
        <v>8.2949308755800005E-2</v>
      </c>
      <c r="M82" s="159">
        <v>120.27649769600001</v>
      </c>
      <c r="N82" s="413"/>
    </row>
    <row r="83" spans="1:14" x14ac:dyDescent="0.25">
      <c r="A83" s="252"/>
      <c r="B83" s="252"/>
      <c r="C83" s="252" t="s">
        <v>35</v>
      </c>
      <c r="D83" s="252"/>
      <c r="E83" s="252"/>
      <c r="F83" s="252">
        <v>301613</v>
      </c>
      <c r="G83" s="252">
        <v>14274</v>
      </c>
      <c r="H83" s="252">
        <v>751</v>
      </c>
      <c r="I83" s="252">
        <v>718</v>
      </c>
      <c r="J83" s="252">
        <v>22</v>
      </c>
      <c r="K83" s="252">
        <v>11</v>
      </c>
      <c r="L83" s="414">
        <v>5.2613142777099997E-2</v>
      </c>
      <c r="M83" s="414">
        <v>76.289057026799995</v>
      </c>
      <c r="N83" s="413"/>
    </row>
    <row r="84" spans="1:14" x14ac:dyDescent="0.25">
      <c r="A84" s="2">
        <v>540065</v>
      </c>
      <c r="B84" s="2" t="s">
        <v>36</v>
      </c>
      <c r="C84" s="2" t="s">
        <v>37</v>
      </c>
      <c r="D84" s="2" t="s">
        <v>5</v>
      </c>
      <c r="E84" s="2">
        <v>9</v>
      </c>
      <c r="F84" s="2">
        <v>125719</v>
      </c>
      <c r="G84" s="2">
        <v>6538</v>
      </c>
      <c r="H84" s="2">
        <v>93</v>
      </c>
      <c r="I84" s="2">
        <v>92</v>
      </c>
      <c r="J84" s="2">
        <v>0</v>
      </c>
      <c r="K84" s="2">
        <v>1</v>
      </c>
      <c r="L84" s="159">
        <v>1.42245334965E-2</v>
      </c>
      <c r="M84" s="159">
        <v>20.625573569899998</v>
      </c>
      <c r="N84" s="413"/>
    </row>
    <row r="85" spans="1:14" x14ac:dyDescent="0.25">
      <c r="A85" s="2">
        <v>540030</v>
      </c>
      <c r="B85" s="2" t="s">
        <v>135</v>
      </c>
      <c r="C85" s="2" t="s">
        <v>37</v>
      </c>
      <c r="D85" s="2" t="s">
        <v>115</v>
      </c>
      <c r="E85" s="2">
        <v>9</v>
      </c>
      <c r="F85" s="2">
        <v>278</v>
      </c>
      <c r="G85" s="2">
        <v>1</v>
      </c>
      <c r="H85" s="2">
        <v>0</v>
      </c>
      <c r="I85" s="2">
        <v>0</v>
      </c>
      <c r="J85" s="2">
        <v>0</v>
      </c>
      <c r="K85" s="2">
        <v>0</v>
      </c>
      <c r="L85" s="159">
        <v>0</v>
      </c>
      <c r="M85" s="159">
        <v>0</v>
      </c>
      <c r="N85" s="413"/>
    </row>
    <row r="86" spans="1:14" x14ac:dyDescent="0.25">
      <c r="A86" s="2">
        <v>540066</v>
      </c>
      <c r="B86" s="2" t="s">
        <v>162</v>
      </c>
      <c r="C86" s="2" t="s">
        <v>37</v>
      </c>
      <c r="D86" s="2" t="s">
        <v>115</v>
      </c>
      <c r="E86" s="2">
        <v>9</v>
      </c>
      <c r="F86" s="2">
        <v>3744</v>
      </c>
      <c r="G86" s="2">
        <v>187</v>
      </c>
      <c r="H86" s="2">
        <v>24</v>
      </c>
      <c r="I86" s="2">
        <v>24</v>
      </c>
      <c r="J86" s="2">
        <v>0</v>
      </c>
      <c r="K86" s="2">
        <v>0</v>
      </c>
      <c r="L86" s="159">
        <v>0.12834224598899999</v>
      </c>
      <c r="M86" s="159">
        <v>186.096256684</v>
      </c>
      <c r="N86" s="413"/>
    </row>
    <row r="87" spans="1:14" x14ac:dyDescent="0.25">
      <c r="A87" s="2">
        <v>540067</v>
      </c>
      <c r="B87" s="2" t="s">
        <v>163</v>
      </c>
      <c r="C87" s="2" t="s">
        <v>37</v>
      </c>
      <c r="D87" s="2" t="s">
        <v>115</v>
      </c>
      <c r="E87" s="2">
        <v>9</v>
      </c>
      <c r="F87" s="2">
        <v>400</v>
      </c>
      <c r="G87" s="2">
        <v>74</v>
      </c>
      <c r="H87" s="2">
        <v>1</v>
      </c>
      <c r="I87" s="2">
        <v>1</v>
      </c>
      <c r="J87" s="2">
        <v>0</v>
      </c>
      <c r="K87" s="2">
        <v>0</v>
      </c>
      <c r="L87" s="159">
        <v>1.3513513513500001E-2</v>
      </c>
      <c r="M87" s="159">
        <v>19.5945945946</v>
      </c>
      <c r="N87" s="413"/>
    </row>
    <row r="88" spans="1:14" x14ac:dyDescent="0.25">
      <c r="A88" s="2">
        <v>540068</v>
      </c>
      <c r="B88" s="2" t="s">
        <v>164</v>
      </c>
      <c r="C88" s="2" t="s">
        <v>37</v>
      </c>
      <c r="D88" s="2" t="s">
        <v>115</v>
      </c>
      <c r="E88" s="2">
        <v>9</v>
      </c>
      <c r="F88" s="2">
        <v>5185</v>
      </c>
      <c r="G88" s="2">
        <v>178</v>
      </c>
      <c r="H88" s="2">
        <v>14</v>
      </c>
      <c r="I88" s="2">
        <v>14</v>
      </c>
      <c r="J88" s="2">
        <v>0</v>
      </c>
      <c r="K88" s="2">
        <v>0</v>
      </c>
      <c r="L88" s="159">
        <v>7.8651685393300003E-2</v>
      </c>
      <c r="M88" s="159">
        <v>114.04494382</v>
      </c>
      <c r="N88" s="413"/>
    </row>
    <row r="89" spans="1:14" x14ac:dyDescent="0.25">
      <c r="A89" s="2">
        <v>540069</v>
      </c>
      <c r="B89" s="2" t="s">
        <v>165</v>
      </c>
      <c r="C89" s="2" t="s">
        <v>37</v>
      </c>
      <c r="D89" s="2" t="s">
        <v>115</v>
      </c>
      <c r="E89" s="2">
        <v>9</v>
      </c>
      <c r="F89" s="2">
        <v>240</v>
      </c>
      <c r="G89" s="2">
        <v>21</v>
      </c>
      <c r="H89" s="2">
        <v>0</v>
      </c>
      <c r="I89" s="2">
        <v>0</v>
      </c>
      <c r="J89" s="2">
        <v>0</v>
      </c>
      <c r="K89" s="2">
        <v>0</v>
      </c>
      <c r="L89" s="159">
        <v>0</v>
      </c>
      <c r="M89" s="159">
        <v>0</v>
      </c>
      <c r="N89" s="413"/>
    </row>
    <row r="90" spans="1:14" x14ac:dyDescent="0.25">
      <c r="A90" s="252"/>
      <c r="B90" s="252"/>
      <c r="C90" s="252" t="s">
        <v>37</v>
      </c>
      <c r="D90" s="252"/>
      <c r="E90" s="252"/>
      <c r="F90" s="252">
        <v>135566</v>
      </c>
      <c r="G90" s="252">
        <v>6999</v>
      </c>
      <c r="H90" s="252">
        <v>132</v>
      </c>
      <c r="I90" s="252">
        <v>131</v>
      </c>
      <c r="J90" s="252">
        <v>0</v>
      </c>
      <c r="K90" s="252">
        <v>1</v>
      </c>
      <c r="L90" s="414">
        <v>1.8859837119600001E-2</v>
      </c>
      <c r="M90" s="414">
        <v>27.3467638234</v>
      </c>
      <c r="N90" s="413"/>
    </row>
    <row r="91" spans="1:14" x14ac:dyDescent="0.25">
      <c r="A91" s="2">
        <v>540070</v>
      </c>
      <c r="B91" s="2" t="s">
        <v>38</v>
      </c>
      <c r="C91" s="2" t="s">
        <v>39</v>
      </c>
      <c r="D91" s="2" t="s">
        <v>5</v>
      </c>
      <c r="E91" s="2">
        <v>3</v>
      </c>
      <c r="F91" s="2">
        <v>543863</v>
      </c>
      <c r="G91" s="2">
        <v>14219</v>
      </c>
      <c r="H91" s="2">
        <v>489</v>
      </c>
      <c r="I91" s="2">
        <v>479</v>
      </c>
      <c r="J91" s="2">
        <v>1</v>
      </c>
      <c r="K91" s="2">
        <v>9</v>
      </c>
      <c r="L91" s="159">
        <v>3.43906041212E-2</v>
      </c>
      <c r="M91" s="159">
        <v>49.866375975799997</v>
      </c>
      <c r="N91" s="413"/>
    </row>
    <row r="92" spans="1:14" x14ac:dyDescent="0.25">
      <c r="A92" s="2">
        <v>540029</v>
      </c>
      <c r="B92" s="2" t="s">
        <v>134</v>
      </c>
      <c r="C92" s="2" t="s">
        <v>39</v>
      </c>
      <c r="D92" s="2" t="s">
        <v>115</v>
      </c>
      <c r="E92" s="2">
        <v>3</v>
      </c>
      <c r="F92" s="2">
        <v>239</v>
      </c>
      <c r="G92" s="2">
        <v>13</v>
      </c>
      <c r="H92" s="2">
        <v>0</v>
      </c>
      <c r="I92" s="2">
        <v>0</v>
      </c>
      <c r="J92" s="2">
        <v>0</v>
      </c>
      <c r="K92" s="2">
        <v>0</v>
      </c>
      <c r="L92" s="159">
        <v>0</v>
      </c>
      <c r="M92" s="159">
        <v>0</v>
      </c>
      <c r="N92" s="413"/>
    </row>
    <row r="93" spans="1:14" x14ac:dyDescent="0.25">
      <c r="A93" s="2">
        <v>540071</v>
      </c>
      <c r="B93" s="2" t="s">
        <v>166</v>
      </c>
      <c r="C93" s="2" t="s">
        <v>39</v>
      </c>
      <c r="D93" s="2" t="s">
        <v>115</v>
      </c>
      <c r="E93" s="2">
        <v>3</v>
      </c>
      <c r="F93" s="2">
        <v>500</v>
      </c>
      <c r="G93" s="2">
        <v>18</v>
      </c>
      <c r="H93" s="2">
        <v>0</v>
      </c>
      <c r="I93" s="2">
        <v>0</v>
      </c>
      <c r="J93" s="2">
        <v>0</v>
      </c>
      <c r="K93" s="2">
        <v>0</v>
      </c>
      <c r="L93" s="159">
        <v>0</v>
      </c>
      <c r="M93" s="159">
        <v>0</v>
      </c>
      <c r="N93" s="413"/>
    </row>
    <row r="94" spans="1:14" x14ac:dyDescent="0.25">
      <c r="A94" s="2">
        <v>540072</v>
      </c>
      <c r="B94" s="2" t="s">
        <v>167</v>
      </c>
      <c r="C94" s="2" t="s">
        <v>39</v>
      </c>
      <c r="D94" s="2" t="s">
        <v>115</v>
      </c>
      <c r="E94" s="2">
        <v>3</v>
      </c>
      <c r="F94" s="2">
        <v>459</v>
      </c>
      <c r="G94" s="2">
        <v>34</v>
      </c>
      <c r="H94" s="2">
        <v>0</v>
      </c>
      <c r="I94" s="2">
        <v>0</v>
      </c>
      <c r="J94" s="2">
        <v>0</v>
      </c>
      <c r="K94" s="2">
        <v>0</v>
      </c>
      <c r="L94" s="159">
        <v>0</v>
      </c>
      <c r="M94" s="159">
        <v>0</v>
      </c>
      <c r="N94" s="413"/>
    </row>
    <row r="95" spans="1:14" x14ac:dyDescent="0.25">
      <c r="A95" s="2">
        <v>540073</v>
      </c>
      <c r="B95" s="2" t="s">
        <v>168</v>
      </c>
      <c r="C95" s="2" t="s">
        <v>39</v>
      </c>
      <c r="D95" s="2" t="s">
        <v>115</v>
      </c>
      <c r="E95" s="2">
        <v>3</v>
      </c>
      <c r="F95" s="2">
        <v>20875</v>
      </c>
      <c r="G95" s="2">
        <v>768</v>
      </c>
      <c r="H95" s="2">
        <v>11</v>
      </c>
      <c r="I95" s="2">
        <v>8</v>
      </c>
      <c r="J95" s="2">
        <v>1</v>
      </c>
      <c r="K95" s="2">
        <v>2</v>
      </c>
      <c r="L95" s="159">
        <v>1.4322916666700001E-2</v>
      </c>
      <c r="M95" s="159">
        <v>20.768229166699999</v>
      </c>
      <c r="N95" s="413"/>
    </row>
    <row r="96" spans="1:14" x14ac:dyDescent="0.25">
      <c r="A96" s="2">
        <v>540074</v>
      </c>
      <c r="B96" s="2" t="s">
        <v>169</v>
      </c>
      <c r="C96" s="2" t="s">
        <v>39</v>
      </c>
      <c r="D96" s="2" t="s">
        <v>115</v>
      </c>
      <c r="E96" s="2">
        <v>3</v>
      </c>
      <c r="F96" s="2">
        <v>411</v>
      </c>
      <c r="G96" s="2">
        <v>39</v>
      </c>
      <c r="H96" s="2">
        <v>0</v>
      </c>
      <c r="I96" s="2">
        <v>0</v>
      </c>
      <c r="J96" s="2">
        <v>0</v>
      </c>
      <c r="K96" s="2">
        <v>0</v>
      </c>
      <c r="L96" s="159">
        <v>0</v>
      </c>
      <c r="M96" s="159">
        <v>0</v>
      </c>
      <c r="N96" s="413"/>
    </row>
    <row r="97" spans="1:14" x14ac:dyDescent="0.25">
      <c r="A97" s="2">
        <v>540075</v>
      </c>
      <c r="B97" s="2" t="s">
        <v>170</v>
      </c>
      <c r="C97" s="2" t="s">
        <v>39</v>
      </c>
      <c r="D97" s="2" t="s">
        <v>115</v>
      </c>
      <c r="E97" s="2">
        <v>3</v>
      </c>
      <c r="F97" s="2">
        <v>974</v>
      </c>
      <c r="G97" s="2">
        <v>133</v>
      </c>
      <c r="H97" s="2">
        <v>1</v>
      </c>
      <c r="I97" s="2">
        <v>0</v>
      </c>
      <c r="J97" s="2">
        <v>0</v>
      </c>
      <c r="K97" s="2">
        <v>1</v>
      </c>
      <c r="L97" s="159">
        <v>7.5187969924800004E-3</v>
      </c>
      <c r="M97" s="159">
        <v>10.9022556391</v>
      </c>
      <c r="N97" s="413"/>
    </row>
    <row r="98" spans="1:14" x14ac:dyDescent="0.25">
      <c r="A98" s="2">
        <v>540076</v>
      </c>
      <c r="B98" s="2" t="s">
        <v>171</v>
      </c>
      <c r="C98" s="2" t="s">
        <v>39</v>
      </c>
      <c r="D98" s="2" t="s">
        <v>115</v>
      </c>
      <c r="E98" s="2">
        <v>3</v>
      </c>
      <c r="F98" s="2">
        <v>1795</v>
      </c>
      <c r="G98" s="2">
        <v>291</v>
      </c>
      <c r="H98" s="2">
        <v>1</v>
      </c>
      <c r="I98" s="2">
        <v>1</v>
      </c>
      <c r="J98" s="2">
        <v>0</v>
      </c>
      <c r="K98" s="2">
        <v>0</v>
      </c>
      <c r="L98" s="159">
        <v>3.4364261168400002E-3</v>
      </c>
      <c r="M98" s="159">
        <v>4.9828178694199998</v>
      </c>
      <c r="N98" s="413"/>
    </row>
    <row r="99" spans="1:14" x14ac:dyDescent="0.25">
      <c r="A99" s="2">
        <v>540077</v>
      </c>
      <c r="B99" s="2" t="s">
        <v>172</v>
      </c>
      <c r="C99" s="2" t="s">
        <v>39</v>
      </c>
      <c r="D99" s="2" t="s">
        <v>115</v>
      </c>
      <c r="E99" s="2">
        <v>3</v>
      </c>
      <c r="F99" s="2">
        <v>309</v>
      </c>
      <c r="G99" s="2">
        <v>35</v>
      </c>
      <c r="H99" s="2">
        <v>3</v>
      </c>
      <c r="I99" s="2">
        <v>3</v>
      </c>
      <c r="J99" s="2">
        <v>0</v>
      </c>
      <c r="K99" s="2">
        <v>0</v>
      </c>
      <c r="L99" s="159">
        <v>8.5714285714299995E-2</v>
      </c>
      <c r="M99" s="159">
        <v>124.285714286</v>
      </c>
      <c r="N99" s="413"/>
    </row>
    <row r="100" spans="1:14" x14ac:dyDescent="0.25">
      <c r="A100" s="2">
        <v>540078</v>
      </c>
      <c r="B100" s="2" t="s">
        <v>173</v>
      </c>
      <c r="C100" s="2" t="s">
        <v>39</v>
      </c>
      <c r="D100" s="2" t="s">
        <v>115</v>
      </c>
      <c r="E100" s="2">
        <v>3</v>
      </c>
      <c r="F100" s="2">
        <v>301</v>
      </c>
      <c r="G100" s="2">
        <v>22</v>
      </c>
      <c r="H100" s="2">
        <v>0</v>
      </c>
      <c r="I100" s="2">
        <v>0</v>
      </c>
      <c r="J100" s="2">
        <v>0</v>
      </c>
      <c r="K100" s="2">
        <v>0</v>
      </c>
      <c r="L100" s="159">
        <v>0</v>
      </c>
      <c r="M100" s="159">
        <v>0</v>
      </c>
      <c r="N100" s="413"/>
    </row>
    <row r="101" spans="1:14" x14ac:dyDescent="0.25">
      <c r="A101" s="2">
        <v>540079</v>
      </c>
      <c r="B101" s="2" t="s">
        <v>174</v>
      </c>
      <c r="C101" s="2" t="s">
        <v>39</v>
      </c>
      <c r="D101" s="2" t="s">
        <v>115</v>
      </c>
      <c r="E101" s="2">
        <v>3</v>
      </c>
      <c r="F101" s="2">
        <v>901</v>
      </c>
      <c r="G101" s="2">
        <v>20</v>
      </c>
      <c r="H101" s="2">
        <v>0</v>
      </c>
      <c r="I101" s="2">
        <v>0</v>
      </c>
      <c r="J101" s="2">
        <v>0</v>
      </c>
      <c r="K101" s="2">
        <v>0</v>
      </c>
      <c r="L101" s="159">
        <v>0</v>
      </c>
      <c r="M101" s="159">
        <v>0</v>
      </c>
      <c r="N101" s="413"/>
    </row>
    <row r="102" spans="1:14" x14ac:dyDescent="0.25">
      <c r="A102" s="2">
        <v>540081</v>
      </c>
      <c r="B102" s="2" t="s">
        <v>176</v>
      </c>
      <c r="C102" s="2" t="s">
        <v>39</v>
      </c>
      <c r="D102" s="2" t="s">
        <v>115</v>
      </c>
      <c r="E102" s="2">
        <v>3</v>
      </c>
      <c r="F102" s="2">
        <v>3090</v>
      </c>
      <c r="G102" s="2">
        <v>163</v>
      </c>
      <c r="H102" s="2">
        <v>13</v>
      </c>
      <c r="I102" s="2">
        <v>13</v>
      </c>
      <c r="J102" s="2">
        <v>0</v>
      </c>
      <c r="K102" s="2">
        <v>0</v>
      </c>
      <c r="L102" s="159">
        <v>7.9754601226999997E-2</v>
      </c>
      <c r="M102" s="159">
        <v>115.644171779</v>
      </c>
      <c r="N102" s="413"/>
    </row>
    <row r="103" spans="1:14" x14ac:dyDescent="0.25">
      <c r="A103" s="2">
        <v>540082</v>
      </c>
      <c r="B103" s="2" t="s">
        <v>177</v>
      </c>
      <c r="C103" s="2" t="s">
        <v>39</v>
      </c>
      <c r="D103" s="2" t="s">
        <v>115</v>
      </c>
      <c r="E103" s="2">
        <v>3</v>
      </c>
      <c r="F103" s="2">
        <v>187</v>
      </c>
      <c r="G103" s="2">
        <v>24</v>
      </c>
      <c r="H103" s="2">
        <v>0</v>
      </c>
      <c r="I103" s="2">
        <v>0</v>
      </c>
      <c r="J103" s="2">
        <v>0</v>
      </c>
      <c r="K103" s="2">
        <v>0</v>
      </c>
      <c r="L103" s="159">
        <v>0</v>
      </c>
      <c r="M103" s="159">
        <v>0</v>
      </c>
      <c r="N103" s="413"/>
    </row>
    <row r="104" spans="1:14" x14ac:dyDescent="0.25">
      <c r="A104" s="2">
        <v>540083</v>
      </c>
      <c r="B104" s="2" t="s">
        <v>178</v>
      </c>
      <c r="C104" s="2" t="s">
        <v>39</v>
      </c>
      <c r="D104" s="2" t="s">
        <v>115</v>
      </c>
      <c r="E104" s="2">
        <v>3</v>
      </c>
      <c r="F104" s="2">
        <v>2361</v>
      </c>
      <c r="G104" s="2">
        <v>151</v>
      </c>
      <c r="H104" s="2">
        <v>9</v>
      </c>
      <c r="I104" s="2">
        <v>9</v>
      </c>
      <c r="J104" s="2">
        <v>0</v>
      </c>
      <c r="K104" s="2">
        <v>0</v>
      </c>
      <c r="L104" s="159">
        <v>5.9602649006599999E-2</v>
      </c>
      <c r="M104" s="159">
        <v>86.423841059599994</v>
      </c>
      <c r="N104" s="413"/>
    </row>
    <row r="105" spans="1:14" x14ac:dyDescent="0.25">
      <c r="A105" s="2">
        <v>540223</v>
      </c>
      <c r="B105" s="2" t="s">
        <v>277</v>
      </c>
      <c r="C105" s="2" t="s">
        <v>39</v>
      </c>
      <c r="D105" s="2" t="s">
        <v>115</v>
      </c>
      <c r="E105" s="2">
        <v>3</v>
      </c>
      <c r="F105" s="2">
        <v>5617</v>
      </c>
      <c r="G105" s="2">
        <v>231</v>
      </c>
      <c r="H105" s="2">
        <v>19</v>
      </c>
      <c r="I105" s="2">
        <v>19</v>
      </c>
      <c r="J105" s="2">
        <v>0</v>
      </c>
      <c r="K105" s="2">
        <v>0</v>
      </c>
      <c r="L105" s="159">
        <v>8.2251082251100005E-2</v>
      </c>
      <c r="M105" s="159">
        <v>119.264069264</v>
      </c>
      <c r="N105" s="413"/>
    </row>
    <row r="106" spans="1:14" x14ac:dyDescent="0.25">
      <c r="A106" s="2">
        <v>540279</v>
      </c>
      <c r="B106" s="2" t="s">
        <v>320</v>
      </c>
      <c r="C106" s="2" t="s">
        <v>39</v>
      </c>
      <c r="D106" s="2" t="s">
        <v>115</v>
      </c>
      <c r="E106" s="2">
        <v>3</v>
      </c>
      <c r="F106" s="2">
        <v>622</v>
      </c>
      <c r="G106" s="2">
        <v>22</v>
      </c>
      <c r="H106" s="2">
        <v>0</v>
      </c>
      <c r="I106" s="2">
        <v>0</v>
      </c>
      <c r="J106" s="2">
        <v>0</v>
      </c>
      <c r="K106" s="2">
        <v>0</v>
      </c>
      <c r="L106" s="159">
        <v>0</v>
      </c>
      <c r="M106" s="159">
        <v>0</v>
      </c>
      <c r="N106" s="413"/>
    </row>
    <row r="107" spans="1:14" x14ac:dyDescent="0.25">
      <c r="A107" s="2">
        <v>540033</v>
      </c>
      <c r="B107" s="2" t="s">
        <v>138</v>
      </c>
      <c r="C107" s="2" t="s">
        <v>39</v>
      </c>
      <c r="D107" s="2" t="s">
        <v>115</v>
      </c>
      <c r="E107" s="2">
        <v>3</v>
      </c>
      <c r="F107" s="2">
        <v>5</v>
      </c>
      <c r="G107" s="2">
        <v>1</v>
      </c>
      <c r="H107" s="2">
        <v>0</v>
      </c>
      <c r="I107" s="2">
        <v>0</v>
      </c>
      <c r="J107" s="2">
        <v>0</v>
      </c>
      <c r="K107" s="2">
        <v>0</v>
      </c>
      <c r="L107" s="159">
        <v>0</v>
      </c>
      <c r="M107" s="159">
        <v>0</v>
      </c>
      <c r="N107" s="413"/>
    </row>
    <row r="108" spans="1:14" x14ac:dyDescent="0.25">
      <c r="A108" s="252"/>
      <c r="B108" s="252"/>
      <c r="C108" s="252" t="s">
        <v>39</v>
      </c>
      <c r="D108" s="252"/>
      <c r="E108" s="252"/>
      <c r="F108" s="252">
        <v>582509</v>
      </c>
      <c r="G108" s="252">
        <v>16184</v>
      </c>
      <c r="H108" s="252">
        <v>546</v>
      </c>
      <c r="I108" s="252">
        <v>532</v>
      </c>
      <c r="J108" s="252">
        <v>2</v>
      </c>
      <c r="K108" s="252">
        <v>12</v>
      </c>
      <c r="L108" s="414">
        <v>3.3737024221500003E-2</v>
      </c>
      <c r="M108" s="414">
        <v>48.918685121099998</v>
      </c>
      <c r="N108" s="413"/>
    </row>
    <row r="109" spans="1:14" x14ac:dyDescent="0.25">
      <c r="A109" s="2">
        <v>540085</v>
      </c>
      <c r="B109" s="2" t="s">
        <v>40</v>
      </c>
      <c r="C109" s="2" t="s">
        <v>41</v>
      </c>
      <c r="D109" s="2" t="s">
        <v>5</v>
      </c>
      <c r="E109" s="2">
        <v>7</v>
      </c>
      <c r="F109" s="2">
        <v>247701</v>
      </c>
      <c r="G109" s="2">
        <v>6853</v>
      </c>
      <c r="H109" s="2">
        <v>285</v>
      </c>
      <c r="I109" s="2">
        <v>285</v>
      </c>
      <c r="J109" s="2">
        <v>0</v>
      </c>
      <c r="K109" s="2">
        <v>0</v>
      </c>
      <c r="L109" s="159">
        <v>4.1587625857299998E-2</v>
      </c>
      <c r="M109" s="159">
        <v>60.302057493100001</v>
      </c>
      <c r="N109" s="413"/>
    </row>
    <row r="110" spans="1:14" x14ac:dyDescent="0.25">
      <c r="A110" s="2">
        <v>540086</v>
      </c>
      <c r="B110" s="2" t="s">
        <v>179</v>
      </c>
      <c r="C110" s="2" t="s">
        <v>41</v>
      </c>
      <c r="D110" s="2" t="s">
        <v>115</v>
      </c>
      <c r="E110" s="2">
        <v>7</v>
      </c>
      <c r="F110" s="2">
        <v>158</v>
      </c>
      <c r="G110" s="2">
        <v>50</v>
      </c>
      <c r="H110" s="2">
        <v>3</v>
      </c>
      <c r="I110" s="2">
        <v>3</v>
      </c>
      <c r="J110" s="2">
        <v>0</v>
      </c>
      <c r="K110" s="2">
        <v>0</v>
      </c>
      <c r="L110" s="159">
        <v>0.06</v>
      </c>
      <c r="M110" s="159">
        <v>87</v>
      </c>
      <c r="N110" s="413"/>
    </row>
    <row r="111" spans="1:14" x14ac:dyDescent="0.25">
      <c r="A111" s="2">
        <v>540087</v>
      </c>
      <c r="B111" s="2" t="s">
        <v>180</v>
      </c>
      <c r="C111" s="2" t="s">
        <v>41</v>
      </c>
      <c r="D111" s="2" t="s">
        <v>115</v>
      </c>
      <c r="E111" s="2">
        <v>7</v>
      </c>
      <c r="F111" s="2">
        <v>1275</v>
      </c>
      <c r="G111" s="2">
        <v>158</v>
      </c>
      <c r="H111" s="2">
        <v>2</v>
      </c>
      <c r="I111" s="2">
        <v>2</v>
      </c>
      <c r="J111" s="2">
        <v>0</v>
      </c>
      <c r="K111" s="2">
        <v>0</v>
      </c>
      <c r="L111" s="159">
        <v>1.2658227848099999E-2</v>
      </c>
      <c r="M111" s="159">
        <v>18.354430379699998</v>
      </c>
      <c r="N111" s="413"/>
    </row>
    <row r="112" spans="1:14" x14ac:dyDescent="0.25">
      <c r="A112" s="252"/>
      <c r="B112" s="252"/>
      <c r="C112" s="252" t="s">
        <v>41</v>
      </c>
      <c r="D112" s="252"/>
      <c r="E112" s="252"/>
      <c r="F112" s="252">
        <v>249134</v>
      </c>
      <c r="G112" s="252">
        <v>7061</v>
      </c>
      <c r="H112" s="252">
        <v>290</v>
      </c>
      <c r="I112" s="252">
        <v>290</v>
      </c>
      <c r="J112" s="252">
        <v>0</v>
      </c>
      <c r="K112" s="252">
        <v>0</v>
      </c>
      <c r="L112" s="414">
        <v>4.1070669876799998E-2</v>
      </c>
      <c r="M112" s="414">
        <v>59.552471321299997</v>
      </c>
      <c r="N112" s="413"/>
    </row>
    <row r="113" spans="1:14" x14ac:dyDescent="0.25">
      <c r="A113" s="2">
        <v>540088</v>
      </c>
      <c r="B113" s="2" t="s">
        <v>42</v>
      </c>
      <c r="C113" s="2" t="s">
        <v>43</v>
      </c>
      <c r="D113" s="2" t="s">
        <v>5</v>
      </c>
      <c r="E113" s="2">
        <v>2</v>
      </c>
      <c r="F113" s="2">
        <v>280041</v>
      </c>
      <c r="G113" s="2">
        <v>8422</v>
      </c>
      <c r="H113" s="2">
        <v>295</v>
      </c>
      <c r="I113" s="2">
        <v>293</v>
      </c>
      <c r="J113" s="2">
        <v>0</v>
      </c>
      <c r="K113" s="2">
        <v>2</v>
      </c>
      <c r="L113" s="159">
        <v>3.50273094277E-2</v>
      </c>
      <c r="M113" s="159">
        <v>50.789598670099998</v>
      </c>
      <c r="N113" s="413"/>
    </row>
    <row r="114" spans="1:14" x14ac:dyDescent="0.25">
      <c r="A114" s="2">
        <v>540089</v>
      </c>
      <c r="B114" s="2" t="s">
        <v>181</v>
      </c>
      <c r="C114" s="2" t="s">
        <v>43</v>
      </c>
      <c r="D114" s="2" t="s">
        <v>115</v>
      </c>
      <c r="E114" s="2">
        <v>2</v>
      </c>
      <c r="F114" s="2">
        <v>385</v>
      </c>
      <c r="G114" s="2">
        <v>44</v>
      </c>
      <c r="H114" s="2">
        <v>1</v>
      </c>
      <c r="I114" s="2">
        <v>1</v>
      </c>
      <c r="J114" s="2">
        <v>0</v>
      </c>
      <c r="K114" s="2">
        <v>0</v>
      </c>
      <c r="L114" s="159">
        <v>2.2727272727300001E-2</v>
      </c>
      <c r="M114" s="159">
        <v>32.9545454545</v>
      </c>
      <c r="N114" s="413"/>
    </row>
    <row r="115" spans="1:14" x14ac:dyDescent="0.25">
      <c r="A115" s="2">
        <v>540090</v>
      </c>
      <c r="B115" s="2" t="s">
        <v>182</v>
      </c>
      <c r="C115" s="2" t="s">
        <v>43</v>
      </c>
      <c r="D115" s="2" t="s">
        <v>115</v>
      </c>
      <c r="E115" s="2">
        <v>2</v>
      </c>
      <c r="F115" s="2">
        <v>354</v>
      </c>
      <c r="G115" s="2">
        <v>52</v>
      </c>
      <c r="H115" s="2">
        <v>1</v>
      </c>
      <c r="I115" s="2">
        <v>1</v>
      </c>
      <c r="J115" s="2">
        <v>0</v>
      </c>
      <c r="K115" s="2">
        <v>0</v>
      </c>
      <c r="L115" s="159">
        <v>1.9230769230799999E-2</v>
      </c>
      <c r="M115" s="159">
        <v>27.8846153846</v>
      </c>
      <c r="N115" s="413"/>
    </row>
    <row r="116" spans="1:14" x14ac:dyDescent="0.25">
      <c r="A116" s="252"/>
      <c r="B116" s="252"/>
      <c r="C116" s="252" t="s">
        <v>43</v>
      </c>
      <c r="D116" s="252"/>
      <c r="E116" s="252"/>
      <c r="F116" s="252">
        <v>280780</v>
      </c>
      <c r="G116" s="252">
        <v>8518</v>
      </c>
      <c r="H116" s="252">
        <v>297</v>
      </c>
      <c r="I116" s="252">
        <v>295</v>
      </c>
      <c r="J116" s="252">
        <v>0</v>
      </c>
      <c r="K116" s="252">
        <v>2</v>
      </c>
      <c r="L116" s="414">
        <v>3.4867339751099999E-2</v>
      </c>
      <c r="M116" s="414">
        <v>50.557642639100003</v>
      </c>
      <c r="N116" s="413"/>
    </row>
    <row r="117" spans="1:14" x14ac:dyDescent="0.25">
      <c r="A117" s="2">
        <v>540097</v>
      </c>
      <c r="B117" s="2" t="s">
        <v>44</v>
      </c>
      <c r="C117" s="2" t="s">
        <v>45</v>
      </c>
      <c r="D117" s="2" t="s">
        <v>5</v>
      </c>
      <c r="E117" s="2">
        <v>6</v>
      </c>
      <c r="F117" s="2">
        <v>187538</v>
      </c>
      <c r="G117" s="2">
        <v>4187</v>
      </c>
      <c r="H117" s="2">
        <v>112</v>
      </c>
      <c r="I117" s="2">
        <v>111</v>
      </c>
      <c r="J117" s="2">
        <v>0</v>
      </c>
      <c r="K117" s="2">
        <v>1</v>
      </c>
      <c r="L117" s="159">
        <v>2.6749462622400001E-2</v>
      </c>
      <c r="M117" s="159">
        <v>38.7867208025</v>
      </c>
      <c r="N117" s="413"/>
    </row>
    <row r="118" spans="1:14" x14ac:dyDescent="0.25">
      <c r="A118" s="2">
        <v>540098</v>
      </c>
      <c r="B118" s="2" t="s">
        <v>187</v>
      </c>
      <c r="C118" s="2" t="s">
        <v>45</v>
      </c>
      <c r="D118" s="2" t="s">
        <v>115</v>
      </c>
      <c r="E118" s="2">
        <v>6</v>
      </c>
      <c r="F118" s="2">
        <v>454</v>
      </c>
      <c r="G118" s="2">
        <v>55</v>
      </c>
      <c r="H118" s="2">
        <v>0</v>
      </c>
      <c r="I118" s="2">
        <v>0</v>
      </c>
      <c r="J118" s="2">
        <v>0</v>
      </c>
      <c r="K118" s="2">
        <v>0</v>
      </c>
      <c r="L118" s="159">
        <v>0</v>
      </c>
      <c r="M118" s="159">
        <v>0</v>
      </c>
      <c r="N118" s="413"/>
    </row>
    <row r="119" spans="1:14" x14ac:dyDescent="0.25">
      <c r="A119" s="2">
        <v>540099</v>
      </c>
      <c r="B119" s="2" t="s">
        <v>188</v>
      </c>
      <c r="C119" s="2" t="s">
        <v>45</v>
      </c>
      <c r="D119" s="2" t="s">
        <v>115</v>
      </c>
      <c r="E119" s="2">
        <v>6</v>
      </c>
      <c r="F119" s="2">
        <v>5740</v>
      </c>
      <c r="G119" s="2">
        <v>77</v>
      </c>
      <c r="H119" s="2">
        <v>2</v>
      </c>
      <c r="I119" s="2">
        <v>2</v>
      </c>
      <c r="J119" s="2">
        <v>0</v>
      </c>
      <c r="K119" s="2">
        <v>0</v>
      </c>
      <c r="L119" s="159">
        <v>2.5974025974E-2</v>
      </c>
      <c r="M119" s="159">
        <v>37.662337662299997</v>
      </c>
      <c r="N119" s="413"/>
    </row>
    <row r="120" spans="1:14" x14ac:dyDescent="0.25">
      <c r="A120" s="2">
        <v>540100</v>
      </c>
      <c r="B120" s="2" t="s">
        <v>189</v>
      </c>
      <c r="C120" s="2" t="s">
        <v>45</v>
      </c>
      <c r="D120" s="2" t="s">
        <v>115</v>
      </c>
      <c r="E120" s="2">
        <v>6</v>
      </c>
      <c r="F120" s="2">
        <v>179</v>
      </c>
      <c r="G120" s="2">
        <v>20</v>
      </c>
      <c r="H120" s="2">
        <v>0</v>
      </c>
      <c r="I120" s="2">
        <v>0</v>
      </c>
      <c r="J120" s="2">
        <v>0</v>
      </c>
      <c r="K120" s="2">
        <v>0</v>
      </c>
      <c r="L120" s="159">
        <v>0</v>
      </c>
      <c r="M120" s="159">
        <v>0</v>
      </c>
      <c r="N120" s="413"/>
    </row>
    <row r="121" spans="1:14" x14ac:dyDescent="0.25">
      <c r="A121" s="2">
        <v>540101</v>
      </c>
      <c r="B121" s="2" t="s">
        <v>190</v>
      </c>
      <c r="C121" s="2" t="s">
        <v>45</v>
      </c>
      <c r="D121" s="2" t="s">
        <v>115</v>
      </c>
      <c r="E121" s="2">
        <v>6</v>
      </c>
      <c r="F121" s="2">
        <v>274</v>
      </c>
      <c r="G121" s="2">
        <v>52</v>
      </c>
      <c r="H121" s="2">
        <v>0</v>
      </c>
      <c r="I121" s="2">
        <v>0</v>
      </c>
      <c r="J121" s="2">
        <v>0</v>
      </c>
      <c r="K121" s="2">
        <v>0</v>
      </c>
      <c r="L121" s="159">
        <v>0</v>
      </c>
      <c r="M121" s="159">
        <v>0</v>
      </c>
      <c r="N121" s="413"/>
    </row>
    <row r="122" spans="1:14" x14ac:dyDescent="0.25">
      <c r="A122" s="2">
        <v>540102</v>
      </c>
      <c r="B122" s="2" t="s">
        <v>191</v>
      </c>
      <c r="C122" s="2" t="s">
        <v>45</v>
      </c>
      <c r="D122" s="2" t="s">
        <v>115</v>
      </c>
      <c r="E122" s="2">
        <v>6</v>
      </c>
      <c r="F122" s="2">
        <v>347</v>
      </c>
      <c r="G122" s="2">
        <v>56</v>
      </c>
      <c r="H122" s="2">
        <v>2</v>
      </c>
      <c r="I122" s="2">
        <v>2</v>
      </c>
      <c r="J122" s="2">
        <v>0</v>
      </c>
      <c r="K122" s="2">
        <v>0</v>
      </c>
      <c r="L122" s="159">
        <v>3.5714285714299999E-2</v>
      </c>
      <c r="M122" s="159">
        <v>51.785714285700003</v>
      </c>
      <c r="N122" s="413"/>
    </row>
    <row r="123" spans="1:14" x14ac:dyDescent="0.25">
      <c r="A123" s="2">
        <v>540103</v>
      </c>
      <c r="B123" s="2" t="s">
        <v>192</v>
      </c>
      <c r="C123" s="2" t="s">
        <v>45</v>
      </c>
      <c r="D123" s="2" t="s">
        <v>115</v>
      </c>
      <c r="E123" s="2">
        <v>6</v>
      </c>
      <c r="F123" s="2">
        <v>729</v>
      </c>
      <c r="G123" s="2">
        <v>94</v>
      </c>
      <c r="H123" s="2">
        <v>8</v>
      </c>
      <c r="I123" s="2">
        <v>8</v>
      </c>
      <c r="J123" s="2">
        <v>0</v>
      </c>
      <c r="K123" s="2">
        <v>0</v>
      </c>
      <c r="L123" s="159">
        <v>8.5106382978700004E-2</v>
      </c>
      <c r="M123" s="159">
        <v>123.404255319</v>
      </c>
      <c r="N123" s="413"/>
    </row>
    <row r="124" spans="1:14" x14ac:dyDescent="0.25">
      <c r="A124" s="2">
        <v>540104</v>
      </c>
      <c r="B124" s="2" t="s">
        <v>193</v>
      </c>
      <c r="C124" s="2" t="s">
        <v>45</v>
      </c>
      <c r="D124" s="2" t="s">
        <v>115</v>
      </c>
      <c r="E124" s="2">
        <v>6</v>
      </c>
      <c r="F124" s="2">
        <v>341</v>
      </c>
      <c r="G124" s="2">
        <v>68</v>
      </c>
      <c r="H124" s="2">
        <v>7</v>
      </c>
      <c r="I124" s="2">
        <v>7</v>
      </c>
      <c r="J124" s="2">
        <v>0</v>
      </c>
      <c r="K124" s="2">
        <v>0</v>
      </c>
      <c r="L124" s="159">
        <v>0.102941176471</v>
      </c>
      <c r="M124" s="159">
        <v>149.26470588199999</v>
      </c>
      <c r="N124" s="413"/>
    </row>
    <row r="125" spans="1:14" x14ac:dyDescent="0.25">
      <c r="A125" s="2">
        <v>540105</v>
      </c>
      <c r="B125" s="2" t="s">
        <v>194</v>
      </c>
      <c r="C125" s="2" t="s">
        <v>45</v>
      </c>
      <c r="D125" s="2" t="s">
        <v>115</v>
      </c>
      <c r="E125" s="2">
        <v>6</v>
      </c>
      <c r="F125" s="2">
        <v>381</v>
      </c>
      <c r="G125" s="2">
        <v>28</v>
      </c>
      <c r="H125" s="2">
        <v>0</v>
      </c>
      <c r="I125" s="2">
        <v>0</v>
      </c>
      <c r="J125" s="2">
        <v>0</v>
      </c>
      <c r="K125" s="2">
        <v>0</v>
      </c>
      <c r="L125" s="159">
        <v>0</v>
      </c>
      <c r="M125" s="159">
        <v>0</v>
      </c>
      <c r="N125" s="413"/>
    </row>
    <row r="126" spans="1:14" x14ac:dyDescent="0.25">
      <c r="A126" s="2">
        <v>540106</v>
      </c>
      <c r="B126" s="2" t="s">
        <v>195</v>
      </c>
      <c r="C126" s="2" t="s">
        <v>45</v>
      </c>
      <c r="D126" s="2" t="s">
        <v>115</v>
      </c>
      <c r="E126" s="2">
        <v>6</v>
      </c>
      <c r="F126" s="2">
        <v>383</v>
      </c>
      <c r="G126" s="2">
        <v>44</v>
      </c>
      <c r="H126" s="2">
        <v>5</v>
      </c>
      <c r="I126" s="2">
        <v>5</v>
      </c>
      <c r="J126" s="2">
        <v>0</v>
      </c>
      <c r="K126" s="2">
        <v>0</v>
      </c>
      <c r="L126" s="159">
        <v>0.11363636363600001</v>
      </c>
      <c r="M126" s="159">
        <v>164.77272727299999</v>
      </c>
      <c r="N126" s="413"/>
    </row>
    <row r="127" spans="1:14" x14ac:dyDescent="0.25">
      <c r="A127" s="2">
        <v>540292</v>
      </c>
      <c r="B127" s="2" t="s">
        <v>329</v>
      </c>
      <c r="C127" s="2" t="s">
        <v>45</v>
      </c>
      <c r="D127" s="2" t="s">
        <v>115</v>
      </c>
      <c r="E127" s="2">
        <v>6</v>
      </c>
      <c r="F127" s="2">
        <v>2179</v>
      </c>
      <c r="G127" s="2">
        <v>99</v>
      </c>
      <c r="H127" s="2">
        <v>1</v>
      </c>
      <c r="I127" s="2">
        <v>0</v>
      </c>
      <c r="J127" s="2">
        <v>0</v>
      </c>
      <c r="K127" s="2">
        <v>1</v>
      </c>
      <c r="L127" s="159">
        <v>1.0101010101000001E-2</v>
      </c>
      <c r="M127" s="159">
        <v>14.6464646465</v>
      </c>
      <c r="N127" s="413"/>
    </row>
    <row r="128" spans="1:14" x14ac:dyDescent="0.25">
      <c r="A128" s="2">
        <v>545556</v>
      </c>
      <c r="B128" s="2" t="s">
        <v>337</v>
      </c>
      <c r="C128" s="2" t="s">
        <v>45</v>
      </c>
      <c r="D128" s="2" t="s">
        <v>115</v>
      </c>
      <c r="E128" s="2">
        <v>6</v>
      </c>
      <c r="F128" s="2">
        <v>674</v>
      </c>
      <c r="G128" s="2">
        <v>12</v>
      </c>
      <c r="H128" s="2">
        <v>0</v>
      </c>
      <c r="I128" s="2">
        <v>0</v>
      </c>
      <c r="J128" s="2">
        <v>0</v>
      </c>
      <c r="K128" s="2">
        <v>0</v>
      </c>
      <c r="L128" s="159">
        <v>0</v>
      </c>
      <c r="M128" s="159">
        <v>0</v>
      </c>
      <c r="N128" s="413"/>
    </row>
    <row r="129" spans="1:14" x14ac:dyDescent="0.25">
      <c r="A129" s="252"/>
      <c r="B129" s="252"/>
      <c r="C129" s="252" t="s">
        <v>45</v>
      </c>
      <c r="D129" s="252"/>
      <c r="E129" s="252"/>
      <c r="F129" s="252">
        <v>199219</v>
      </c>
      <c r="G129" s="252">
        <v>4792</v>
      </c>
      <c r="H129" s="252">
        <v>137</v>
      </c>
      <c r="I129" s="252">
        <v>135</v>
      </c>
      <c r="J129" s="252">
        <v>0</v>
      </c>
      <c r="K129" s="252">
        <v>2</v>
      </c>
      <c r="L129" s="414">
        <v>2.8589315525900001E-2</v>
      </c>
      <c r="M129" s="414">
        <v>41.454507512500001</v>
      </c>
      <c r="N129" s="413"/>
    </row>
    <row r="130" spans="1:14" x14ac:dyDescent="0.25">
      <c r="A130" s="2">
        <v>540107</v>
      </c>
      <c r="B130" s="2" t="s">
        <v>46</v>
      </c>
      <c r="C130" s="2" t="s">
        <v>47</v>
      </c>
      <c r="D130" s="2" t="s">
        <v>5</v>
      </c>
      <c r="E130" s="2">
        <v>10</v>
      </c>
      <c r="F130" s="2">
        <v>194254</v>
      </c>
      <c r="G130" s="2">
        <v>4878</v>
      </c>
      <c r="H130" s="2">
        <v>200</v>
      </c>
      <c r="I130" s="2">
        <v>200</v>
      </c>
      <c r="J130" s="2">
        <v>0</v>
      </c>
      <c r="K130" s="2">
        <v>0</v>
      </c>
      <c r="L130" s="159">
        <v>4.1000410004099999E-2</v>
      </c>
      <c r="M130" s="159">
        <v>59.4505945059</v>
      </c>
      <c r="N130" s="413"/>
    </row>
    <row r="131" spans="1:14" x14ac:dyDescent="0.25">
      <c r="A131" s="2">
        <v>540108</v>
      </c>
      <c r="B131" s="2" t="s">
        <v>196</v>
      </c>
      <c r="C131" s="2" t="s">
        <v>47</v>
      </c>
      <c r="D131" s="2" t="s">
        <v>115</v>
      </c>
      <c r="E131" s="2">
        <v>10</v>
      </c>
      <c r="F131" s="2">
        <v>1137</v>
      </c>
      <c r="G131" s="2">
        <v>189</v>
      </c>
      <c r="H131" s="2">
        <v>0</v>
      </c>
      <c r="I131" s="2">
        <v>0</v>
      </c>
      <c r="J131" s="2">
        <v>0</v>
      </c>
      <c r="K131" s="2">
        <v>0</v>
      </c>
      <c r="L131" s="159">
        <v>0</v>
      </c>
      <c r="M131" s="159">
        <v>0</v>
      </c>
      <c r="N131" s="413"/>
    </row>
    <row r="132" spans="1:14" x14ac:dyDescent="0.25">
      <c r="A132" s="2">
        <v>540109</v>
      </c>
      <c r="B132" s="2" t="s">
        <v>197</v>
      </c>
      <c r="C132" s="2" t="s">
        <v>47</v>
      </c>
      <c r="D132" s="2" t="s">
        <v>115</v>
      </c>
      <c r="E132" s="2">
        <v>10</v>
      </c>
      <c r="F132" s="2">
        <v>742</v>
      </c>
      <c r="G132" s="2">
        <v>108</v>
      </c>
      <c r="H132" s="2">
        <v>0</v>
      </c>
      <c r="I132" s="2">
        <v>0</v>
      </c>
      <c r="J132" s="2">
        <v>0</v>
      </c>
      <c r="K132" s="2">
        <v>0</v>
      </c>
      <c r="L132" s="159">
        <v>0</v>
      </c>
      <c r="M132" s="159">
        <v>0</v>
      </c>
      <c r="N132" s="413"/>
    </row>
    <row r="133" spans="1:14" x14ac:dyDescent="0.25">
      <c r="A133" s="2">
        <v>540110</v>
      </c>
      <c r="B133" s="2" t="s">
        <v>198</v>
      </c>
      <c r="C133" s="2" t="s">
        <v>47</v>
      </c>
      <c r="D133" s="2" t="s">
        <v>115</v>
      </c>
      <c r="E133" s="2">
        <v>10</v>
      </c>
      <c r="F133" s="2">
        <v>517</v>
      </c>
      <c r="G133" s="2">
        <v>106</v>
      </c>
      <c r="H133" s="2">
        <v>0</v>
      </c>
      <c r="I133" s="2">
        <v>0</v>
      </c>
      <c r="J133" s="2">
        <v>0</v>
      </c>
      <c r="K133" s="2">
        <v>0</v>
      </c>
      <c r="L133" s="159">
        <v>0</v>
      </c>
      <c r="M133" s="159">
        <v>0</v>
      </c>
      <c r="N133" s="413"/>
    </row>
    <row r="134" spans="1:14" x14ac:dyDescent="0.25">
      <c r="A134" s="2">
        <v>540111</v>
      </c>
      <c r="B134" s="2" t="s">
        <v>199</v>
      </c>
      <c r="C134" s="2" t="s">
        <v>47</v>
      </c>
      <c r="D134" s="2" t="s">
        <v>115</v>
      </c>
      <c r="E134" s="2">
        <v>10</v>
      </c>
      <c r="F134" s="2">
        <v>2124</v>
      </c>
      <c r="G134" s="2">
        <v>533</v>
      </c>
      <c r="H134" s="2">
        <v>45</v>
      </c>
      <c r="I134" s="2">
        <v>45</v>
      </c>
      <c r="J134" s="2">
        <v>0</v>
      </c>
      <c r="K134" s="2">
        <v>0</v>
      </c>
      <c r="L134" s="159">
        <v>8.4427767354600003E-2</v>
      </c>
      <c r="M134" s="159">
        <v>122.42026266400001</v>
      </c>
      <c r="N134" s="413"/>
    </row>
    <row r="135" spans="1:14" x14ac:dyDescent="0.25">
      <c r="A135" s="2">
        <v>540287</v>
      </c>
      <c r="B135" s="2" t="s">
        <v>326</v>
      </c>
      <c r="C135" s="2" t="s">
        <v>47</v>
      </c>
      <c r="D135" s="2" t="s">
        <v>115</v>
      </c>
      <c r="E135" s="2">
        <v>10</v>
      </c>
      <c r="F135" s="2">
        <v>557</v>
      </c>
      <c r="G135" s="2">
        <v>26</v>
      </c>
      <c r="H135" s="2">
        <v>0</v>
      </c>
      <c r="I135" s="2">
        <v>0</v>
      </c>
      <c r="J135" s="2">
        <v>0</v>
      </c>
      <c r="K135" s="2">
        <v>0</v>
      </c>
      <c r="L135" s="159">
        <v>0</v>
      </c>
      <c r="M135" s="159">
        <v>0</v>
      </c>
      <c r="N135" s="413"/>
    </row>
    <row r="136" spans="1:14" x14ac:dyDescent="0.25">
      <c r="A136" s="2">
        <v>540152</v>
      </c>
      <c r="B136" s="2" t="s">
        <v>229</v>
      </c>
      <c r="C136" s="2" t="s">
        <v>47</v>
      </c>
      <c r="D136" s="2" t="s">
        <v>115</v>
      </c>
      <c r="E136" s="2">
        <v>10</v>
      </c>
      <c r="F136" s="2">
        <v>132</v>
      </c>
      <c r="G136" s="2">
        <v>3</v>
      </c>
      <c r="H136" s="2">
        <v>0</v>
      </c>
      <c r="I136" s="2">
        <v>0</v>
      </c>
      <c r="J136" s="2">
        <v>0</v>
      </c>
      <c r="K136" s="2">
        <v>0</v>
      </c>
      <c r="L136" s="159">
        <v>0</v>
      </c>
      <c r="M136" s="159">
        <v>0</v>
      </c>
      <c r="N136" s="413"/>
    </row>
    <row r="137" spans="1:14" x14ac:dyDescent="0.25">
      <c r="A137" s="252"/>
      <c r="B137" s="252"/>
      <c r="C137" s="252" t="s">
        <v>47</v>
      </c>
      <c r="D137" s="252"/>
      <c r="E137" s="252"/>
      <c r="F137" s="252">
        <v>199463</v>
      </c>
      <c r="G137" s="252">
        <v>5843</v>
      </c>
      <c r="H137" s="252">
        <v>245</v>
      </c>
      <c r="I137" s="252">
        <v>245</v>
      </c>
      <c r="J137" s="252">
        <v>0</v>
      </c>
      <c r="K137" s="252">
        <v>0</v>
      </c>
      <c r="L137" s="414">
        <v>4.1930515146300001E-2</v>
      </c>
      <c r="M137" s="414">
        <v>60.799246962200002</v>
      </c>
      <c r="N137" s="413"/>
    </row>
    <row r="138" spans="1:14" x14ac:dyDescent="0.25">
      <c r="A138" s="2">
        <v>540112</v>
      </c>
      <c r="B138" s="2" t="s">
        <v>48</v>
      </c>
      <c r="C138" s="2" t="s">
        <v>49</v>
      </c>
      <c r="D138" s="2" t="s">
        <v>5</v>
      </c>
      <c r="E138" s="2">
        <v>2</v>
      </c>
      <c r="F138" s="2">
        <v>280220</v>
      </c>
      <c r="G138" s="2">
        <v>19997</v>
      </c>
      <c r="H138" s="2">
        <v>369</v>
      </c>
      <c r="I138" s="2">
        <v>366</v>
      </c>
      <c r="J138" s="2">
        <v>0</v>
      </c>
      <c r="K138" s="2">
        <v>3</v>
      </c>
      <c r="L138" s="159">
        <v>1.8452767915200001E-2</v>
      </c>
      <c r="M138" s="159">
        <v>26.756513476999999</v>
      </c>
      <c r="N138" s="413"/>
    </row>
    <row r="139" spans="1:14" x14ac:dyDescent="0.25">
      <c r="A139" s="2">
        <v>540113</v>
      </c>
      <c r="B139" s="2" t="s">
        <v>200</v>
      </c>
      <c r="C139" s="2" t="s">
        <v>49</v>
      </c>
      <c r="D139" s="2" t="s">
        <v>115</v>
      </c>
      <c r="E139" s="2">
        <v>2</v>
      </c>
      <c r="F139" s="2">
        <v>240</v>
      </c>
      <c r="G139" s="2">
        <v>31</v>
      </c>
      <c r="H139" s="2">
        <v>0</v>
      </c>
      <c r="I139" s="2">
        <v>0</v>
      </c>
      <c r="J139" s="2">
        <v>0</v>
      </c>
      <c r="K139" s="2">
        <v>0</v>
      </c>
      <c r="L139" s="159">
        <v>0</v>
      </c>
      <c r="M139" s="159">
        <v>0</v>
      </c>
      <c r="N139" s="413"/>
    </row>
    <row r="140" spans="1:14" x14ac:dyDescent="0.25">
      <c r="A140" s="2">
        <v>540247</v>
      </c>
      <c r="B140" s="2" t="s">
        <v>293</v>
      </c>
      <c r="C140" s="2" t="s">
        <v>49</v>
      </c>
      <c r="D140" s="2" t="s">
        <v>115</v>
      </c>
      <c r="E140" s="2">
        <v>2</v>
      </c>
      <c r="F140" s="2">
        <v>793</v>
      </c>
      <c r="G140" s="2">
        <v>249</v>
      </c>
      <c r="H140" s="2">
        <v>0</v>
      </c>
      <c r="I140" s="2">
        <v>0</v>
      </c>
      <c r="J140" s="2">
        <v>0</v>
      </c>
      <c r="K140" s="2">
        <v>0</v>
      </c>
      <c r="L140" s="159">
        <v>0</v>
      </c>
      <c r="M140" s="159">
        <v>0</v>
      </c>
      <c r="N140" s="413"/>
    </row>
    <row r="141" spans="1:14" x14ac:dyDescent="0.25">
      <c r="A141" s="2">
        <v>540248</v>
      </c>
      <c r="B141" s="2" t="s">
        <v>294</v>
      </c>
      <c r="C141" s="2" t="s">
        <v>49</v>
      </c>
      <c r="D141" s="2" t="s">
        <v>115</v>
      </c>
      <c r="E141" s="2">
        <v>2</v>
      </c>
      <c r="F141" s="2">
        <v>374</v>
      </c>
      <c r="G141" s="2">
        <v>76</v>
      </c>
      <c r="H141" s="2">
        <v>6</v>
      </c>
      <c r="I141" s="2">
        <v>6</v>
      </c>
      <c r="J141" s="2">
        <v>0</v>
      </c>
      <c r="K141" s="2">
        <v>0</v>
      </c>
      <c r="L141" s="159">
        <v>7.8947368421100006E-2</v>
      </c>
      <c r="M141" s="159">
        <v>114.47368421100001</v>
      </c>
      <c r="N141" s="413"/>
    </row>
    <row r="142" spans="1:14" x14ac:dyDescent="0.25">
      <c r="A142" s="2">
        <v>540249</v>
      </c>
      <c r="B142" s="2" t="s">
        <v>295</v>
      </c>
      <c r="C142" s="2" t="s">
        <v>49</v>
      </c>
      <c r="D142" s="2" t="s">
        <v>115</v>
      </c>
      <c r="E142" s="2">
        <v>2</v>
      </c>
      <c r="F142" s="2">
        <v>833</v>
      </c>
      <c r="G142" s="2">
        <v>186</v>
      </c>
      <c r="H142" s="2">
        <v>4</v>
      </c>
      <c r="I142" s="2">
        <v>4</v>
      </c>
      <c r="J142" s="2">
        <v>0</v>
      </c>
      <c r="K142" s="2">
        <v>0</v>
      </c>
      <c r="L142" s="159">
        <v>2.1505376344100002E-2</v>
      </c>
      <c r="M142" s="159">
        <v>31.182795698900001</v>
      </c>
      <c r="N142" s="413"/>
    </row>
    <row r="143" spans="1:14" x14ac:dyDescent="0.25">
      <c r="A143" s="2">
        <v>540250</v>
      </c>
      <c r="B143" s="2" t="s">
        <v>296</v>
      </c>
      <c r="C143" s="2" t="s">
        <v>49</v>
      </c>
      <c r="D143" s="2" t="s">
        <v>115</v>
      </c>
      <c r="E143" s="2">
        <v>2</v>
      </c>
      <c r="F143" s="2">
        <v>1977</v>
      </c>
      <c r="G143" s="2">
        <v>583</v>
      </c>
      <c r="H143" s="2">
        <v>58</v>
      </c>
      <c r="I143" s="2">
        <v>58</v>
      </c>
      <c r="J143" s="2">
        <v>0</v>
      </c>
      <c r="K143" s="2">
        <v>0</v>
      </c>
      <c r="L143" s="159">
        <v>9.94854202401E-2</v>
      </c>
      <c r="M143" s="159">
        <v>144.25385934799999</v>
      </c>
      <c r="N143" s="413"/>
    </row>
    <row r="144" spans="1:14" x14ac:dyDescent="0.25">
      <c r="A144" s="2">
        <v>540251</v>
      </c>
      <c r="B144" s="2" t="s">
        <v>297</v>
      </c>
      <c r="C144" s="2" t="s">
        <v>49</v>
      </c>
      <c r="D144" s="2" t="s">
        <v>115</v>
      </c>
      <c r="E144" s="2">
        <v>2</v>
      </c>
      <c r="F144" s="2">
        <v>298</v>
      </c>
      <c r="G144" s="2">
        <v>121</v>
      </c>
      <c r="H144" s="2">
        <v>0</v>
      </c>
      <c r="I144" s="2">
        <v>0</v>
      </c>
      <c r="J144" s="2">
        <v>0</v>
      </c>
      <c r="K144" s="2">
        <v>0</v>
      </c>
      <c r="L144" s="159">
        <v>0</v>
      </c>
      <c r="M144" s="159">
        <v>0</v>
      </c>
      <c r="N144" s="413"/>
    </row>
    <row r="145" spans="1:14" x14ac:dyDescent="0.25">
      <c r="A145" s="252"/>
      <c r="B145" s="252"/>
      <c r="C145" s="252" t="s">
        <v>49</v>
      </c>
      <c r="D145" s="252"/>
      <c r="E145" s="252"/>
      <c r="F145" s="252">
        <v>284735</v>
      </c>
      <c r="G145" s="252">
        <v>21243</v>
      </c>
      <c r="H145" s="252">
        <v>437</v>
      </c>
      <c r="I145" s="252">
        <v>434</v>
      </c>
      <c r="J145" s="252">
        <v>0</v>
      </c>
      <c r="K145" s="252">
        <v>3</v>
      </c>
      <c r="L145" s="414">
        <v>2.0571482370700001E-2</v>
      </c>
      <c r="M145" s="414">
        <v>29.828649437500001</v>
      </c>
      <c r="N145" s="413"/>
    </row>
    <row r="146" spans="1:14" x14ac:dyDescent="0.25">
      <c r="A146" s="2">
        <v>540114</v>
      </c>
      <c r="B146" s="2" t="s">
        <v>50</v>
      </c>
      <c r="C146" s="2" t="s">
        <v>51</v>
      </c>
      <c r="D146" s="2" t="s">
        <v>5</v>
      </c>
      <c r="E146" s="2">
        <v>1</v>
      </c>
      <c r="F146" s="2">
        <v>333847</v>
      </c>
      <c r="G146" s="2">
        <v>2014</v>
      </c>
      <c r="H146" s="2">
        <v>93</v>
      </c>
      <c r="I146" s="2">
        <v>81</v>
      </c>
      <c r="J146" s="2">
        <v>0</v>
      </c>
      <c r="K146" s="2">
        <v>12</v>
      </c>
      <c r="L146" s="159">
        <v>4.61767626614E-2</v>
      </c>
      <c r="M146" s="159">
        <v>66.956305858999997</v>
      </c>
      <c r="N146" s="413"/>
    </row>
    <row r="147" spans="1:14" x14ac:dyDescent="0.25">
      <c r="A147" s="2">
        <v>540115</v>
      </c>
      <c r="B147" s="2" t="s">
        <v>201</v>
      </c>
      <c r="C147" s="2" t="s">
        <v>51</v>
      </c>
      <c r="D147" s="2" t="s">
        <v>115</v>
      </c>
      <c r="E147" s="2">
        <v>1</v>
      </c>
      <c r="F147" s="2">
        <v>368</v>
      </c>
      <c r="G147" s="2">
        <v>15</v>
      </c>
      <c r="H147" s="2">
        <v>2</v>
      </c>
      <c r="I147" s="2">
        <v>0</v>
      </c>
      <c r="J147" s="2">
        <v>0</v>
      </c>
      <c r="K147" s="2">
        <v>2</v>
      </c>
      <c r="L147" s="159">
        <v>0.13333333333299999</v>
      </c>
      <c r="M147" s="159">
        <v>193.33333333300001</v>
      </c>
      <c r="N147" s="413"/>
    </row>
    <row r="148" spans="1:14" x14ac:dyDescent="0.25">
      <c r="A148" s="2">
        <v>540116</v>
      </c>
      <c r="B148" s="2" t="s">
        <v>202</v>
      </c>
      <c r="C148" s="2" t="s">
        <v>51</v>
      </c>
      <c r="D148" s="2" t="s">
        <v>115</v>
      </c>
      <c r="E148" s="2">
        <v>1</v>
      </c>
      <c r="F148" s="2">
        <v>828</v>
      </c>
      <c r="G148" s="2">
        <v>39</v>
      </c>
      <c r="H148" s="2">
        <v>4</v>
      </c>
      <c r="I148" s="2">
        <v>3</v>
      </c>
      <c r="J148" s="2">
        <v>0</v>
      </c>
      <c r="K148" s="2">
        <v>1</v>
      </c>
      <c r="L148" s="159">
        <v>0.102564102564</v>
      </c>
      <c r="M148" s="159">
        <v>148.717948718</v>
      </c>
      <c r="N148" s="413"/>
    </row>
    <row r="149" spans="1:14" x14ac:dyDescent="0.25">
      <c r="A149" s="2">
        <v>540117</v>
      </c>
      <c r="B149" s="2" t="s">
        <v>203</v>
      </c>
      <c r="C149" s="2" t="s">
        <v>51</v>
      </c>
      <c r="D149" s="2" t="s">
        <v>115</v>
      </c>
      <c r="E149" s="2">
        <v>1</v>
      </c>
      <c r="F149" s="2">
        <v>559</v>
      </c>
      <c r="G149" s="2">
        <v>122</v>
      </c>
      <c r="H149" s="2">
        <v>0</v>
      </c>
      <c r="I149" s="2">
        <v>0</v>
      </c>
      <c r="J149" s="2">
        <v>0</v>
      </c>
      <c r="K149" s="2">
        <v>0</v>
      </c>
      <c r="L149" s="159">
        <v>0</v>
      </c>
      <c r="M149" s="159">
        <v>0</v>
      </c>
      <c r="N149" s="413"/>
    </row>
    <row r="150" spans="1:14" x14ac:dyDescent="0.25">
      <c r="A150" s="2">
        <v>540118</v>
      </c>
      <c r="B150" s="2" t="s">
        <v>204</v>
      </c>
      <c r="C150" s="2" t="s">
        <v>51</v>
      </c>
      <c r="D150" s="2" t="s">
        <v>115</v>
      </c>
      <c r="E150" s="2">
        <v>1</v>
      </c>
      <c r="F150" s="2">
        <v>535</v>
      </c>
      <c r="G150" s="2">
        <v>25</v>
      </c>
      <c r="H150" s="2">
        <v>0</v>
      </c>
      <c r="I150" s="2">
        <v>0</v>
      </c>
      <c r="J150" s="2">
        <v>0</v>
      </c>
      <c r="K150" s="2">
        <v>0</v>
      </c>
      <c r="L150" s="159">
        <v>0</v>
      </c>
      <c r="M150" s="159">
        <v>0</v>
      </c>
      <c r="N150" s="413"/>
    </row>
    <row r="151" spans="1:14" x14ac:dyDescent="0.25">
      <c r="A151" s="2">
        <v>540119</v>
      </c>
      <c r="B151" s="2" t="s">
        <v>205</v>
      </c>
      <c r="C151" s="2" t="s">
        <v>51</v>
      </c>
      <c r="D151" s="2" t="s">
        <v>115</v>
      </c>
      <c r="E151" s="2">
        <v>1</v>
      </c>
      <c r="F151" s="2">
        <v>208</v>
      </c>
      <c r="G151" s="2">
        <v>17</v>
      </c>
      <c r="H151" s="2">
        <v>1</v>
      </c>
      <c r="I151" s="2">
        <v>0</v>
      </c>
      <c r="J151" s="2">
        <v>0</v>
      </c>
      <c r="K151" s="2">
        <v>1</v>
      </c>
      <c r="L151" s="159">
        <v>5.8823529411800003E-2</v>
      </c>
      <c r="M151" s="159">
        <v>85.294117647099995</v>
      </c>
      <c r="N151" s="413"/>
    </row>
    <row r="152" spans="1:14" x14ac:dyDescent="0.25">
      <c r="A152" s="2">
        <v>540120</v>
      </c>
      <c r="B152" s="2" t="s">
        <v>206</v>
      </c>
      <c r="C152" s="2" t="s">
        <v>51</v>
      </c>
      <c r="D152" s="2" t="s">
        <v>115</v>
      </c>
      <c r="E152" s="2">
        <v>1</v>
      </c>
      <c r="F152" s="2">
        <v>162</v>
      </c>
      <c r="G152" s="2">
        <v>18</v>
      </c>
      <c r="H152" s="2">
        <v>1</v>
      </c>
      <c r="I152" s="2">
        <v>0</v>
      </c>
      <c r="J152" s="2">
        <v>0</v>
      </c>
      <c r="K152" s="2">
        <v>1</v>
      </c>
      <c r="L152" s="159">
        <v>5.5555555555600003E-2</v>
      </c>
      <c r="M152" s="159">
        <v>80.555555555599994</v>
      </c>
      <c r="N152" s="413"/>
    </row>
    <row r="153" spans="1:14" x14ac:dyDescent="0.25">
      <c r="A153" s="2">
        <v>540121</v>
      </c>
      <c r="B153" s="2" t="s">
        <v>207</v>
      </c>
      <c r="C153" s="2" t="s">
        <v>51</v>
      </c>
      <c r="D153" s="2" t="s">
        <v>115</v>
      </c>
      <c r="E153" s="2">
        <v>1</v>
      </c>
      <c r="F153" s="2">
        <v>617</v>
      </c>
      <c r="G153" s="2">
        <v>46</v>
      </c>
      <c r="H153" s="2">
        <v>1</v>
      </c>
      <c r="I153" s="2">
        <v>0</v>
      </c>
      <c r="J153" s="2">
        <v>0</v>
      </c>
      <c r="K153" s="2">
        <v>1</v>
      </c>
      <c r="L153" s="159">
        <v>2.17391304348E-2</v>
      </c>
      <c r="M153" s="159">
        <v>31.5217391304</v>
      </c>
      <c r="N153" s="413"/>
    </row>
    <row r="154" spans="1:14" x14ac:dyDescent="0.25">
      <c r="A154" s="2">
        <v>540122</v>
      </c>
      <c r="B154" s="2" t="s">
        <v>208</v>
      </c>
      <c r="C154" s="2" t="s">
        <v>51</v>
      </c>
      <c r="D154" s="2" t="s">
        <v>115</v>
      </c>
      <c r="E154" s="2">
        <v>1</v>
      </c>
      <c r="F154" s="2">
        <v>589</v>
      </c>
      <c r="G154" s="2">
        <v>31</v>
      </c>
      <c r="H154" s="2">
        <v>0</v>
      </c>
      <c r="I154" s="2">
        <v>0</v>
      </c>
      <c r="J154" s="2">
        <v>0</v>
      </c>
      <c r="K154" s="2">
        <v>0</v>
      </c>
      <c r="L154" s="159">
        <v>0</v>
      </c>
      <c r="M154" s="159">
        <v>0</v>
      </c>
      <c r="N154" s="413"/>
    </row>
    <row r="155" spans="1:14" x14ac:dyDescent="0.25">
      <c r="A155" s="2">
        <v>540123</v>
      </c>
      <c r="B155" s="2" t="s">
        <v>209</v>
      </c>
      <c r="C155" s="2" t="s">
        <v>51</v>
      </c>
      <c r="D155" s="2" t="s">
        <v>115</v>
      </c>
      <c r="E155" s="2">
        <v>1</v>
      </c>
      <c r="F155" s="2">
        <v>3878</v>
      </c>
      <c r="G155" s="2">
        <v>108</v>
      </c>
      <c r="H155" s="2">
        <v>6</v>
      </c>
      <c r="I155" s="2">
        <v>4</v>
      </c>
      <c r="J155" s="2">
        <v>0</v>
      </c>
      <c r="K155" s="2">
        <v>2</v>
      </c>
      <c r="L155" s="159">
        <v>5.5555555555600003E-2</v>
      </c>
      <c r="M155" s="159">
        <v>80.555555555599994</v>
      </c>
      <c r="N155" s="413"/>
    </row>
    <row r="156" spans="1:14" x14ac:dyDescent="0.25">
      <c r="A156" s="2">
        <v>540291</v>
      </c>
      <c r="B156" s="2" t="s">
        <v>328</v>
      </c>
      <c r="C156" s="2" t="s">
        <v>51</v>
      </c>
      <c r="D156" s="2" t="s">
        <v>115</v>
      </c>
      <c r="E156" s="2">
        <v>1</v>
      </c>
      <c r="F156" s="2">
        <v>512</v>
      </c>
      <c r="G156" s="2">
        <v>10</v>
      </c>
      <c r="H156" s="2">
        <v>0</v>
      </c>
      <c r="I156" s="2">
        <v>0</v>
      </c>
      <c r="J156" s="2">
        <v>0</v>
      </c>
      <c r="K156" s="2">
        <v>0</v>
      </c>
      <c r="L156" s="159">
        <v>0</v>
      </c>
      <c r="M156" s="159">
        <v>0</v>
      </c>
      <c r="N156" s="413"/>
    </row>
    <row r="157" spans="1:14" x14ac:dyDescent="0.25">
      <c r="A157" s="252"/>
      <c r="B157" s="252"/>
      <c r="C157" s="252" t="s">
        <v>51</v>
      </c>
      <c r="D157" s="252"/>
      <c r="E157" s="252"/>
      <c r="F157" s="252">
        <v>342103</v>
      </c>
      <c r="G157" s="252">
        <v>2445</v>
      </c>
      <c r="H157" s="252">
        <v>108</v>
      </c>
      <c r="I157" s="252">
        <v>88</v>
      </c>
      <c r="J157" s="252">
        <v>0</v>
      </c>
      <c r="K157" s="252">
        <v>20</v>
      </c>
      <c r="L157" s="414">
        <v>4.4171779141100001E-2</v>
      </c>
      <c r="M157" s="414">
        <v>64.049079754600001</v>
      </c>
      <c r="N157" s="413"/>
    </row>
    <row r="158" spans="1:14" x14ac:dyDescent="0.25">
      <c r="A158" s="2">
        <v>540124</v>
      </c>
      <c r="B158" s="2" t="s">
        <v>52</v>
      </c>
      <c r="C158" s="2" t="s">
        <v>53</v>
      </c>
      <c r="D158" s="2" t="s">
        <v>5</v>
      </c>
      <c r="E158" s="2">
        <v>1</v>
      </c>
      <c r="F158" s="2">
        <v>260256</v>
      </c>
      <c r="G158" s="2">
        <v>5887</v>
      </c>
      <c r="H158" s="2">
        <v>191</v>
      </c>
      <c r="I158" s="2">
        <v>164</v>
      </c>
      <c r="J158" s="2">
        <v>24</v>
      </c>
      <c r="K158" s="2">
        <v>3</v>
      </c>
      <c r="L158" s="159">
        <v>3.2444368948500002E-2</v>
      </c>
      <c r="M158" s="159">
        <v>47.044334975399998</v>
      </c>
      <c r="N158" s="413"/>
    </row>
    <row r="159" spans="1:14" x14ac:dyDescent="0.25">
      <c r="A159" s="2">
        <v>540125</v>
      </c>
      <c r="B159" s="2" t="s">
        <v>210</v>
      </c>
      <c r="C159" s="2" t="s">
        <v>53</v>
      </c>
      <c r="D159" s="2" t="s">
        <v>115</v>
      </c>
      <c r="E159" s="2">
        <v>1</v>
      </c>
      <c r="F159" s="2">
        <v>374</v>
      </c>
      <c r="G159" s="2">
        <v>14</v>
      </c>
      <c r="H159" s="2">
        <v>0</v>
      </c>
      <c r="I159" s="2">
        <v>0</v>
      </c>
      <c r="J159" s="2">
        <v>0</v>
      </c>
      <c r="K159" s="2">
        <v>0</v>
      </c>
      <c r="L159" s="159">
        <v>0</v>
      </c>
      <c r="M159" s="159">
        <v>0</v>
      </c>
      <c r="N159" s="413"/>
    </row>
    <row r="160" spans="1:14" x14ac:dyDescent="0.25">
      <c r="A160" s="2">
        <v>540126</v>
      </c>
      <c r="B160" s="2" t="s">
        <v>211</v>
      </c>
      <c r="C160" s="2" t="s">
        <v>53</v>
      </c>
      <c r="D160" s="2" t="s">
        <v>115</v>
      </c>
      <c r="E160" s="2">
        <v>1</v>
      </c>
      <c r="F160" s="2">
        <v>169</v>
      </c>
      <c r="G160" s="2">
        <v>24</v>
      </c>
      <c r="H160" s="2">
        <v>1</v>
      </c>
      <c r="I160" s="2">
        <v>0</v>
      </c>
      <c r="J160" s="2">
        <v>0</v>
      </c>
      <c r="K160" s="2">
        <v>1</v>
      </c>
      <c r="L160" s="159">
        <v>4.1666666666699999E-2</v>
      </c>
      <c r="M160" s="159">
        <v>60.416666666700003</v>
      </c>
      <c r="N160" s="413"/>
    </row>
    <row r="161" spans="1:14" x14ac:dyDescent="0.25">
      <c r="A161" s="2">
        <v>540127</v>
      </c>
      <c r="B161" s="2" t="s">
        <v>212</v>
      </c>
      <c r="C161" s="2" t="s">
        <v>53</v>
      </c>
      <c r="D161" s="2" t="s">
        <v>115</v>
      </c>
      <c r="E161" s="2">
        <v>1</v>
      </c>
      <c r="F161" s="2">
        <v>269</v>
      </c>
      <c r="G161" s="2">
        <v>19</v>
      </c>
      <c r="H161" s="2">
        <v>3</v>
      </c>
      <c r="I161" s="2">
        <v>0</v>
      </c>
      <c r="J161" s="2">
        <v>0</v>
      </c>
      <c r="K161" s="2">
        <v>3</v>
      </c>
      <c r="L161" s="159">
        <v>0.15789473684200001</v>
      </c>
      <c r="M161" s="159">
        <v>228.94736842099999</v>
      </c>
      <c r="N161" s="413"/>
    </row>
    <row r="162" spans="1:14" x14ac:dyDescent="0.25">
      <c r="A162" s="2">
        <v>540128</v>
      </c>
      <c r="B162" s="2" t="s">
        <v>213</v>
      </c>
      <c r="C162" s="2" t="s">
        <v>53</v>
      </c>
      <c r="D162" s="2" t="s">
        <v>115</v>
      </c>
      <c r="E162" s="2">
        <v>1</v>
      </c>
      <c r="F162" s="2">
        <v>1953</v>
      </c>
      <c r="G162" s="2">
        <v>294</v>
      </c>
      <c r="H162" s="2">
        <v>0</v>
      </c>
      <c r="I162" s="2">
        <v>0</v>
      </c>
      <c r="J162" s="2">
        <v>0</v>
      </c>
      <c r="K162" s="2">
        <v>0</v>
      </c>
      <c r="L162" s="159">
        <v>0</v>
      </c>
      <c r="M162" s="159">
        <v>0</v>
      </c>
      <c r="N162" s="413"/>
    </row>
    <row r="163" spans="1:14" x14ac:dyDescent="0.25">
      <c r="A163" s="2">
        <v>540172</v>
      </c>
      <c r="B163" s="2" t="s">
        <v>244</v>
      </c>
      <c r="C163" s="2" t="s">
        <v>53</v>
      </c>
      <c r="D163" s="2" t="s">
        <v>115</v>
      </c>
      <c r="E163" s="2">
        <v>1</v>
      </c>
      <c r="F163" s="2">
        <v>252</v>
      </c>
      <c r="G163" s="2">
        <v>0</v>
      </c>
      <c r="H163" s="2">
        <v>0</v>
      </c>
      <c r="I163" s="2">
        <v>0</v>
      </c>
      <c r="J163" s="2">
        <v>0</v>
      </c>
      <c r="K163" s="2">
        <v>0</v>
      </c>
      <c r="L163" s="159" t="s">
        <v>488</v>
      </c>
      <c r="M163" s="159" t="s">
        <v>488</v>
      </c>
      <c r="N163" s="413"/>
    </row>
    <row r="164" spans="1:14" x14ac:dyDescent="0.25">
      <c r="A164" s="2">
        <v>540285</v>
      </c>
      <c r="B164" s="2" t="s">
        <v>324</v>
      </c>
      <c r="C164" s="2" t="s">
        <v>53</v>
      </c>
      <c r="D164" s="2" t="s">
        <v>115</v>
      </c>
      <c r="E164" s="2">
        <v>1</v>
      </c>
      <c r="F164" s="2">
        <v>5771</v>
      </c>
      <c r="G164" s="2">
        <v>8</v>
      </c>
      <c r="H164" s="2">
        <v>0</v>
      </c>
      <c r="I164" s="2">
        <v>0</v>
      </c>
      <c r="J164" s="2">
        <v>0</v>
      </c>
      <c r="K164" s="2">
        <v>0</v>
      </c>
      <c r="L164" s="159">
        <v>0</v>
      </c>
      <c r="M164" s="159">
        <v>0</v>
      </c>
      <c r="N164" s="413"/>
    </row>
    <row r="165" spans="1:14" x14ac:dyDescent="0.25">
      <c r="A165" s="252"/>
      <c r="B165" s="252"/>
      <c r="C165" s="252" t="s">
        <v>53</v>
      </c>
      <c r="D165" s="252"/>
      <c r="E165" s="252"/>
      <c r="F165" s="252">
        <v>269044</v>
      </c>
      <c r="G165" s="252">
        <v>6246</v>
      </c>
      <c r="H165" s="252">
        <v>195</v>
      </c>
      <c r="I165" s="252">
        <v>164</v>
      </c>
      <c r="J165" s="252">
        <v>24</v>
      </c>
      <c r="K165" s="252">
        <v>7</v>
      </c>
      <c r="L165" s="414">
        <v>3.12199807877E-2</v>
      </c>
      <c r="M165" s="414">
        <v>45.268972142199999</v>
      </c>
      <c r="N165" s="413"/>
    </row>
    <row r="166" spans="1:14" x14ac:dyDescent="0.25">
      <c r="A166" s="2">
        <v>540129</v>
      </c>
      <c r="B166" s="2" t="s">
        <v>54</v>
      </c>
      <c r="C166" s="2" t="s">
        <v>55</v>
      </c>
      <c r="D166" s="2" t="s">
        <v>5</v>
      </c>
      <c r="E166" s="2">
        <v>8</v>
      </c>
      <c r="F166" s="2">
        <v>208143</v>
      </c>
      <c r="G166" s="2">
        <v>6960</v>
      </c>
      <c r="H166" s="2">
        <v>162</v>
      </c>
      <c r="I166" s="2">
        <v>161</v>
      </c>
      <c r="J166" s="2">
        <v>0</v>
      </c>
      <c r="K166" s="2">
        <v>1</v>
      </c>
      <c r="L166" s="159">
        <v>2.3275862069000001E-2</v>
      </c>
      <c r="M166" s="159">
        <v>33.75</v>
      </c>
      <c r="N166" s="413"/>
    </row>
    <row r="167" spans="1:14" x14ac:dyDescent="0.25">
      <c r="A167" s="2">
        <v>540130</v>
      </c>
      <c r="B167" s="2" t="s">
        <v>214</v>
      </c>
      <c r="C167" s="2" t="s">
        <v>55</v>
      </c>
      <c r="D167" s="2" t="s">
        <v>115</v>
      </c>
      <c r="E167" s="2">
        <v>8</v>
      </c>
      <c r="F167" s="2">
        <v>1259</v>
      </c>
      <c r="G167" s="2">
        <v>98</v>
      </c>
      <c r="H167" s="2">
        <v>5</v>
      </c>
      <c r="I167" s="2">
        <v>4</v>
      </c>
      <c r="J167" s="2">
        <v>0</v>
      </c>
      <c r="K167" s="2">
        <v>1</v>
      </c>
      <c r="L167" s="159">
        <v>5.1020408163300002E-2</v>
      </c>
      <c r="M167" s="159">
        <v>73.979591836699996</v>
      </c>
      <c r="N167" s="413"/>
    </row>
    <row r="168" spans="1:14" x14ac:dyDescent="0.25">
      <c r="A168" s="2">
        <v>540131</v>
      </c>
      <c r="B168" s="2" t="s">
        <v>215</v>
      </c>
      <c r="C168" s="2" t="s">
        <v>55</v>
      </c>
      <c r="D168" s="2" t="s">
        <v>115</v>
      </c>
      <c r="E168" s="2">
        <v>8</v>
      </c>
      <c r="F168" s="2">
        <v>244</v>
      </c>
      <c r="G168" s="2">
        <v>19</v>
      </c>
      <c r="H168" s="2">
        <v>1</v>
      </c>
      <c r="I168" s="2">
        <v>1</v>
      </c>
      <c r="J168" s="2">
        <v>0</v>
      </c>
      <c r="K168" s="2">
        <v>0</v>
      </c>
      <c r="L168" s="159">
        <v>5.2631578947399997E-2</v>
      </c>
      <c r="M168" s="159">
        <v>76.315789473699994</v>
      </c>
      <c r="N168" s="413"/>
    </row>
    <row r="169" spans="1:14" x14ac:dyDescent="0.25">
      <c r="A169" s="2">
        <v>540155</v>
      </c>
      <c r="B169" s="2" t="s">
        <v>231</v>
      </c>
      <c r="C169" s="2" t="s">
        <v>55</v>
      </c>
      <c r="D169" s="2" t="s">
        <v>115</v>
      </c>
      <c r="E169" s="2">
        <v>8</v>
      </c>
      <c r="F169" s="2">
        <v>187</v>
      </c>
      <c r="G169" s="2">
        <v>23</v>
      </c>
      <c r="H169" s="2">
        <v>0</v>
      </c>
      <c r="I169" s="2">
        <v>0</v>
      </c>
      <c r="J169" s="2">
        <v>0</v>
      </c>
      <c r="K169" s="2">
        <v>0</v>
      </c>
      <c r="L169" s="159">
        <v>0</v>
      </c>
      <c r="M169" s="159">
        <v>0</v>
      </c>
      <c r="N169" s="413"/>
    </row>
    <row r="170" spans="1:14" x14ac:dyDescent="0.25">
      <c r="A170" s="2">
        <v>545555</v>
      </c>
      <c r="B170" s="2" t="s">
        <v>336</v>
      </c>
      <c r="C170" s="2" t="s">
        <v>55</v>
      </c>
      <c r="D170" s="2" t="s">
        <v>115</v>
      </c>
      <c r="E170" s="2">
        <v>8</v>
      </c>
      <c r="F170" s="2">
        <v>835</v>
      </c>
      <c r="G170" s="2">
        <v>33</v>
      </c>
      <c r="H170" s="2">
        <v>0</v>
      </c>
      <c r="I170" s="2">
        <v>0</v>
      </c>
      <c r="J170" s="2">
        <v>0</v>
      </c>
      <c r="K170" s="2">
        <v>0</v>
      </c>
      <c r="L170" s="159">
        <v>0</v>
      </c>
      <c r="M170" s="159">
        <v>0</v>
      </c>
      <c r="N170" s="413"/>
    </row>
    <row r="171" spans="1:14" x14ac:dyDescent="0.25">
      <c r="A171" s="2">
        <v>540091</v>
      </c>
      <c r="B171" s="2" t="s">
        <v>338</v>
      </c>
      <c r="C171" s="2" t="s">
        <v>55</v>
      </c>
      <c r="D171" s="2" t="s">
        <v>115</v>
      </c>
      <c r="E171" s="2">
        <v>8</v>
      </c>
      <c r="F171" s="2">
        <v>165</v>
      </c>
      <c r="G171" s="2">
        <v>0</v>
      </c>
      <c r="H171" s="2">
        <v>0</v>
      </c>
      <c r="I171" s="2">
        <v>0</v>
      </c>
      <c r="J171" s="2">
        <v>0</v>
      </c>
      <c r="K171" s="2">
        <v>0</v>
      </c>
      <c r="L171" s="159" t="s">
        <v>488</v>
      </c>
      <c r="M171" s="159" t="s">
        <v>488</v>
      </c>
      <c r="N171" s="413"/>
    </row>
    <row r="172" spans="1:14" x14ac:dyDescent="0.25">
      <c r="A172" s="252"/>
      <c r="B172" s="252"/>
      <c r="C172" s="252" t="s">
        <v>55</v>
      </c>
      <c r="D172" s="252"/>
      <c r="E172" s="252"/>
      <c r="F172" s="252">
        <v>210833</v>
      </c>
      <c r="G172" s="252">
        <v>7133</v>
      </c>
      <c r="H172" s="252">
        <v>168</v>
      </c>
      <c r="I172" s="252">
        <v>166</v>
      </c>
      <c r="J172" s="252">
        <v>0</v>
      </c>
      <c r="K172" s="252">
        <v>2</v>
      </c>
      <c r="L172" s="414">
        <v>2.3552502453400001E-2</v>
      </c>
      <c r="M172" s="414">
        <v>34.1511285574</v>
      </c>
      <c r="N172" s="413"/>
    </row>
    <row r="173" spans="1:14" x14ac:dyDescent="0.25">
      <c r="A173" s="2">
        <v>540133</v>
      </c>
      <c r="B173" s="2" t="s">
        <v>56</v>
      </c>
      <c r="C173" s="2" t="s">
        <v>57</v>
      </c>
      <c r="D173" s="2" t="s">
        <v>5</v>
      </c>
      <c r="E173" s="2">
        <v>2</v>
      </c>
      <c r="F173" s="2">
        <v>266606</v>
      </c>
      <c r="G173" s="2">
        <v>3191</v>
      </c>
      <c r="H173" s="2">
        <v>58</v>
      </c>
      <c r="I173" s="2">
        <v>56</v>
      </c>
      <c r="J173" s="2">
        <v>0</v>
      </c>
      <c r="K173" s="2">
        <v>2</v>
      </c>
      <c r="L173" s="159">
        <v>1.8176120338499999E-2</v>
      </c>
      <c r="M173" s="159">
        <v>26.355374490799999</v>
      </c>
      <c r="N173" s="413"/>
    </row>
    <row r="174" spans="1:14" x14ac:dyDescent="0.25">
      <c r="A174" s="2">
        <v>540134</v>
      </c>
      <c r="B174" s="2" t="s">
        <v>217</v>
      </c>
      <c r="C174" s="2" t="s">
        <v>57</v>
      </c>
      <c r="D174" s="2" t="s">
        <v>115</v>
      </c>
      <c r="E174" s="2">
        <v>2</v>
      </c>
      <c r="F174" s="2">
        <v>1272</v>
      </c>
      <c r="G174" s="2">
        <v>35</v>
      </c>
      <c r="H174" s="2">
        <v>0</v>
      </c>
      <c r="I174" s="2">
        <v>0</v>
      </c>
      <c r="J174" s="2">
        <v>0</v>
      </c>
      <c r="K174" s="2">
        <v>0</v>
      </c>
      <c r="L174" s="159">
        <v>0</v>
      </c>
      <c r="M174" s="159">
        <v>0</v>
      </c>
      <c r="N174" s="413"/>
    </row>
    <row r="175" spans="1:14" x14ac:dyDescent="0.25">
      <c r="A175" s="2">
        <v>540135</v>
      </c>
      <c r="B175" s="2" t="s">
        <v>218</v>
      </c>
      <c r="C175" s="2" t="s">
        <v>57</v>
      </c>
      <c r="D175" s="2" t="s">
        <v>115</v>
      </c>
      <c r="E175" s="2">
        <v>2</v>
      </c>
      <c r="F175" s="2">
        <v>666</v>
      </c>
      <c r="G175" s="2">
        <v>20</v>
      </c>
      <c r="H175" s="2">
        <v>0</v>
      </c>
      <c r="I175" s="2">
        <v>0</v>
      </c>
      <c r="J175" s="2">
        <v>0</v>
      </c>
      <c r="K175" s="2">
        <v>0</v>
      </c>
      <c r="L175" s="159">
        <v>0</v>
      </c>
      <c r="M175" s="159">
        <v>0</v>
      </c>
      <c r="N175" s="413"/>
    </row>
    <row r="176" spans="1:14" x14ac:dyDescent="0.25">
      <c r="A176" s="2">
        <v>540136</v>
      </c>
      <c r="B176" s="2" t="s">
        <v>219</v>
      </c>
      <c r="C176" s="2" t="s">
        <v>57</v>
      </c>
      <c r="D176" s="2" t="s">
        <v>115</v>
      </c>
      <c r="E176" s="2">
        <v>2</v>
      </c>
      <c r="F176" s="2">
        <v>251</v>
      </c>
      <c r="G176" s="2">
        <v>36</v>
      </c>
      <c r="H176" s="2">
        <v>3</v>
      </c>
      <c r="I176" s="2">
        <v>3</v>
      </c>
      <c r="J176" s="2">
        <v>0</v>
      </c>
      <c r="K176" s="2">
        <v>0</v>
      </c>
      <c r="L176" s="159">
        <v>8.3333333333299994E-2</v>
      </c>
      <c r="M176" s="159">
        <v>120.833333333</v>
      </c>
      <c r="N176" s="413"/>
    </row>
    <row r="177" spans="1:14" x14ac:dyDescent="0.25">
      <c r="A177" s="2">
        <v>540138</v>
      </c>
      <c r="B177" s="2" t="s">
        <v>221</v>
      </c>
      <c r="C177" s="2" t="s">
        <v>57</v>
      </c>
      <c r="D177" s="2" t="s">
        <v>115</v>
      </c>
      <c r="E177" s="2">
        <v>2</v>
      </c>
      <c r="F177" s="2">
        <v>2074</v>
      </c>
      <c r="G177" s="2">
        <v>134</v>
      </c>
      <c r="H177" s="2">
        <v>2</v>
      </c>
      <c r="I177" s="2">
        <v>2</v>
      </c>
      <c r="J177" s="2">
        <v>0</v>
      </c>
      <c r="K177" s="2">
        <v>0</v>
      </c>
      <c r="L177" s="159">
        <v>1.49253731343E-2</v>
      </c>
      <c r="M177" s="159">
        <v>21.641791044800001</v>
      </c>
      <c r="N177" s="413"/>
    </row>
    <row r="178" spans="1:14" x14ac:dyDescent="0.25">
      <c r="A178" s="2">
        <v>545538</v>
      </c>
      <c r="B178" s="2" t="s">
        <v>334</v>
      </c>
      <c r="C178" s="2" t="s">
        <v>57</v>
      </c>
      <c r="D178" s="2" t="s">
        <v>115</v>
      </c>
      <c r="E178" s="2">
        <v>2</v>
      </c>
      <c r="F178" s="2">
        <v>348</v>
      </c>
      <c r="G178" s="2">
        <v>62</v>
      </c>
      <c r="H178" s="2">
        <v>0</v>
      </c>
      <c r="I178" s="2">
        <v>0</v>
      </c>
      <c r="J178" s="2">
        <v>0</v>
      </c>
      <c r="K178" s="2">
        <v>0</v>
      </c>
      <c r="L178" s="159">
        <v>0</v>
      </c>
      <c r="M178" s="159">
        <v>0</v>
      </c>
      <c r="N178" s="413"/>
    </row>
    <row r="179" spans="1:14" x14ac:dyDescent="0.25">
      <c r="A179" s="252"/>
      <c r="B179" s="252"/>
      <c r="C179" s="252" t="s">
        <v>57</v>
      </c>
      <c r="D179" s="252"/>
      <c r="E179" s="252"/>
      <c r="F179" s="252">
        <v>271217</v>
      </c>
      <c r="G179" s="252">
        <v>3478</v>
      </c>
      <c r="H179" s="252">
        <v>63</v>
      </c>
      <c r="I179" s="252">
        <v>61</v>
      </c>
      <c r="J179" s="252">
        <v>0</v>
      </c>
      <c r="K179" s="252">
        <v>2</v>
      </c>
      <c r="L179" s="414">
        <v>1.81138585394E-2</v>
      </c>
      <c r="M179" s="414">
        <v>26.265094882100001</v>
      </c>
      <c r="N179" s="413"/>
    </row>
    <row r="180" spans="1:14" x14ac:dyDescent="0.25">
      <c r="A180" s="2">
        <v>540139</v>
      </c>
      <c r="B180" s="2" t="s">
        <v>58</v>
      </c>
      <c r="C180" s="2" t="s">
        <v>59</v>
      </c>
      <c r="D180" s="2" t="s">
        <v>5</v>
      </c>
      <c r="E180" s="2">
        <v>6</v>
      </c>
      <c r="F180" s="2">
        <v>224992</v>
      </c>
      <c r="G180" s="2">
        <v>4322</v>
      </c>
      <c r="H180" s="2">
        <v>158</v>
      </c>
      <c r="I180" s="2">
        <v>150</v>
      </c>
      <c r="J180" s="2">
        <v>7</v>
      </c>
      <c r="K180" s="2">
        <v>1</v>
      </c>
      <c r="L180" s="159">
        <v>3.6557149467799997E-2</v>
      </c>
      <c r="M180" s="159">
        <v>53.007866728400003</v>
      </c>
      <c r="N180" s="413"/>
    </row>
    <row r="181" spans="1:14" x14ac:dyDescent="0.25">
      <c r="A181" s="2">
        <v>540140</v>
      </c>
      <c r="B181" s="2" t="s">
        <v>222</v>
      </c>
      <c r="C181" s="2" t="s">
        <v>59</v>
      </c>
      <c r="D181" s="2" t="s">
        <v>115</v>
      </c>
      <c r="E181" s="2">
        <v>6</v>
      </c>
      <c r="F181" s="2">
        <v>198</v>
      </c>
      <c r="G181" s="2">
        <v>17</v>
      </c>
      <c r="H181" s="2">
        <v>0</v>
      </c>
      <c r="I181" s="2">
        <v>0</v>
      </c>
      <c r="J181" s="2">
        <v>0</v>
      </c>
      <c r="K181" s="2">
        <v>0</v>
      </c>
      <c r="L181" s="159">
        <v>0</v>
      </c>
      <c r="M181" s="159">
        <v>0</v>
      </c>
      <c r="N181" s="413"/>
    </row>
    <row r="182" spans="1:14" x14ac:dyDescent="0.25">
      <c r="A182" s="2">
        <v>540141</v>
      </c>
      <c r="B182" s="2" t="s">
        <v>223</v>
      </c>
      <c r="C182" s="2" t="s">
        <v>59</v>
      </c>
      <c r="D182" s="2" t="s">
        <v>115</v>
      </c>
      <c r="E182" s="2">
        <v>6</v>
      </c>
      <c r="F182" s="2">
        <v>6672</v>
      </c>
      <c r="G182" s="2">
        <v>202</v>
      </c>
      <c r="H182" s="2">
        <v>15</v>
      </c>
      <c r="I182" s="2">
        <v>15</v>
      </c>
      <c r="J182" s="2">
        <v>0</v>
      </c>
      <c r="K182" s="2">
        <v>0</v>
      </c>
      <c r="L182" s="159">
        <v>7.4257425742599997E-2</v>
      </c>
      <c r="M182" s="159">
        <v>107.673267327</v>
      </c>
      <c r="N182" s="413"/>
    </row>
    <row r="183" spans="1:14" x14ac:dyDescent="0.25">
      <c r="A183" s="2">
        <v>540272</v>
      </c>
      <c r="B183" s="2" t="s">
        <v>315</v>
      </c>
      <c r="C183" s="2" t="s">
        <v>59</v>
      </c>
      <c r="D183" s="2" t="s">
        <v>115</v>
      </c>
      <c r="E183" s="2">
        <v>6</v>
      </c>
      <c r="F183" s="2">
        <v>831</v>
      </c>
      <c r="G183" s="2">
        <v>23</v>
      </c>
      <c r="H183" s="2">
        <v>4</v>
      </c>
      <c r="I183" s="2">
        <v>4</v>
      </c>
      <c r="J183" s="2">
        <v>0</v>
      </c>
      <c r="K183" s="2">
        <v>0</v>
      </c>
      <c r="L183" s="159">
        <v>0.17391304347799999</v>
      </c>
      <c r="M183" s="159">
        <v>252.173913043</v>
      </c>
      <c r="N183" s="413"/>
    </row>
    <row r="184" spans="1:14" x14ac:dyDescent="0.25">
      <c r="A184" s="2">
        <v>540273</v>
      </c>
      <c r="B184" s="2" t="s">
        <v>316</v>
      </c>
      <c r="C184" s="2" t="s">
        <v>59</v>
      </c>
      <c r="D184" s="2" t="s">
        <v>115</v>
      </c>
      <c r="E184" s="2">
        <v>6</v>
      </c>
      <c r="F184" s="2">
        <v>378</v>
      </c>
      <c r="G184" s="2">
        <v>7</v>
      </c>
      <c r="H184" s="2">
        <v>1</v>
      </c>
      <c r="I184" s="2">
        <v>1</v>
      </c>
      <c r="J184" s="2">
        <v>0</v>
      </c>
      <c r="K184" s="2">
        <v>0</v>
      </c>
      <c r="L184" s="159">
        <v>0.14285714285699999</v>
      </c>
      <c r="M184" s="159">
        <v>207.14285714299999</v>
      </c>
      <c r="N184" s="413"/>
    </row>
    <row r="185" spans="1:14" x14ac:dyDescent="0.25">
      <c r="A185" s="2">
        <v>540274</v>
      </c>
      <c r="B185" s="2" t="s">
        <v>317</v>
      </c>
      <c r="C185" s="2" t="s">
        <v>59</v>
      </c>
      <c r="D185" s="2" t="s">
        <v>115</v>
      </c>
      <c r="E185" s="2">
        <v>6</v>
      </c>
      <c r="F185" s="2">
        <v>963</v>
      </c>
      <c r="G185" s="2">
        <v>23</v>
      </c>
      <c r="H185" s="2">
        <v>1</v>
      </c>
      <c r="I185" s="2">
        <v>1</v>
      </c>
      <c r="J185" s="2">
        <v>0</v>
      </c>
      <c r="K185" s="2">
        <v>0</v>
      </c>
      <c r="L185" s="159">
        <v>4.3478260869600001E-2</v>
      </c>
      <c r="M185" s="159">
        <v>63.043478260900002</v>
      </c>
      <c r="N185" s="413"/>
    </row>
    <row r="186" spans="1:14" x14ac:dyDescent="0.25">
      <c r="A186" s="252"/>
      <c r="B186" s="252"/>
      <c r="C186" s="252" t="s">
        <v>59</v>
      </c>
      <c r="D186" s="252"/>
      <c r="E186" s="252"/>
      <c r="F186" s="252">
        <v>234034</v>
      </c>
      <c r="G186" s="252">
        <v>4594</v>
      </c>
      <c r="H186" s="252">
        <v>179</v>
      </c>
      <c r="I186" s="252">
        <v>171</v>
      </c>
      <c r="J186" s="252">
        <v>7</v>
      </c>
      <c r="K186" s="252">
        <v>1</v>
      </c>
      <c r="L186" s="414">
        <v>3.89638659121E-2</v>
      </c>
      <c r="M186" s="414">
        <v>56.497605572499999</v>
      </c>
      <c r="N186" s="413"/>
    </row>
    <row r="187" spans="1:14" x14ac:dyDescent="0.25">
      <c r="A187" s="2">
        <v>540144</v>
      </c>
      <c r="B187" s="2" t="s">
        <v>60</v>
      </c>
      <c r="C187" s="2" t="s">
        <v>61</v>
      </c>
      <c r="D187" s="2" t="s">
        <v>5</v>
      </c>
      <c r="E187" s="2">
        <v>9</v>
      </c>
      <c r="F187" s="2">
        <v>146585</v>
      </c>
      <c r="G187" s="2">
        <v>7210</v>
      </c>
      <c r="H187" s="2">
        <v>119</v>
      </c>
      <c r="I187" s="2">
        <v>119</v>
      </c>
      <c r="J187" s="2">
        <v>0</v>
      </c>
      <c r="K187" s="2">
        <v>0</v>
      </c>
      <c r="L187" s="159">
        <v>1.65048543689E-2</v>
      </c>
      <c r="M187" s="159">
        <v>23.932038835</v>
      </c>
      <c r="N187" s="413"/>
    </row>
    <row r="188" spans="1:14" x14ac:dyDescent="0.25">
      <c r="A188" s="2">
        <v>540005</v>
      </c>
      <c r="B188" s="2" t="s">
        <v>118</v>
      </c>
      <c r="C188" s="2" t="s">
        <v>61</v>
      </c>
      <c r="D188" s="2" t="s">
        <v>115</v>
      </c>
      <c r="E188" s="2">
        <v>9</v>
      </c>
      <c r="F188" s="2">
        <v>215</v>
      </c>
      <c r="G188" s="2">
        <v>20</v>
      </c>
      <c r="H188" s="2">
        <v>3</v>
      </c>
      <c r="I188" s="2">
        <v>3</v>
      </c>
      <c r="J188" s="2">
        <v>0</v>
      </c>
      <c r="K188" s="2">
        <v>0</v>
      </c>
      <c r="L188" s="159">
        <v>0.15</v>
      </c>
      <c r="M188" s="159">
        <v>217.5</v>
      </c>
      <c r="N188" s="413"/>
    </row>
    <row r="189" spans="1:14" x14ac:dyDescent="0.25">
      <c r="A189" s="2">
        <v>540252</v>
      </c>
      <c r="B189" s="2" t="s">
        <v>298</v>
      </c>
      <c r="C189" s="2" t="s">
        <v>61</v>
      </c>
      <c r="D189" s="2" t="s">
        <v>115</v>
      </c>
      <c r="E189" s="2">
        <v>9</v>
      </c>
      <c r="F189" s="2">
        <v>340</v>
      </c>
      <c r="G189" s="2">
        <v>119</v>
      </c>
      <c r="H189" s="2">
        <v>2</v>
      </c>
      <c r="I189" s="2">
        <v>2</v>
      </c>
      <c r="J189" s="2">
        <v>0</v>
      </c>
      <c r="K189" s="2">
        <v>0</v>
      </c>
      <c r="L189" s="159">
        <v>1.6806722689099999E-2</v>
      </c>
      <c r="M189" s="159">
        <v>24.3697478992</v>
      </c>
      <c r="N189" s="413"/>
    </row>
    <row r="190" spans="1:14" x14ac:dyDescent="0.25">
      <c r="A190" s="252"/>
      <c r="B190" s="252"/>
      <c r="C190" s="252" t="s">
        <v>61</v>
      </c>
      <c r="D190" s="252"/>
      <c r="E190" s="252"/>
      <c r="F190" s="252">
        <v>147140</v>
      </c>
      <c r="G190" s="252">
        <v>7349</v>
      </c>
      <c r="H190" s="252">
        <v>124</v>
      </c>
      <c r="I190" s="252">
        <v>124</v>
      </c>
      <c r="J190" s="252">
        <v>0</v>
      </c>
      <c r="K190" s="252">
        <v>0</v>
      </c>
      <c r="L190" s="414">
        <v>1.6873043951600001E-2</v>
      </c>
      <c r="M190" s="414">
        <v>24.4659137298</v>
      </c>
      <c r="N190" s="413"/>
    </row>
    <row r="191" spans="1:14" x14ac:dyDescent="0.25">
      <c r="A191" s="2">
        <v>540146</v>
      </c>
      <c r="B191" s="2" t="s">
        <v>62</v>
      </c>
      <c r="C191" s="2" t="s">
        <v>63</v>
      </c>
      <c r="D191" s="2" t="s">
        <v>5</v>
      </c>
      <c r="E191" s="2">
        <v>4</v>
      </c>
      <c r="F191" s="2">
        <v>414533</v>
      </c>
      <c r="G191" s="2">
        <v>8579</v>
      </c>
      <c r="H191" s="2">
        <v>1</v>
      </c>
      <c r="I191" s="2">
        <v>1</v>
      </c>
      <c r="J191" s="2">
        <v>0</v>
      </c>
      <c r="K191" s="2">
        <v>0</v>
      </c>
      <c r="L191" s="159">
        <v>1.16563702063E-4</v>
      </c>
      <c r="M191" s="159">
        <v>0.16901736799200001</v>
      </c>
      <c r="N191" s="413"/>
    </row>
    <row r="192" spans="1:14" x14ac:dyDescent="0.25">
      <c r="A192" s="2">
        <v>540147</v>
      </c>
      <c r="B192" s="2" t="s">
        <v>225</v>
      </c>
      <c r="C192" s="2" t="s">
        <v>63</v>
      </c>
      <c r="D192" s="2" t="s">
        <v>115</v>
      </c>
      <c r="E192" s="2">
        <v>4</v>
      </c>
      <c r="F192" s="2">
        <v>1068</v>
      </c>
      <c r="G192" s="2">
        <v>122</v>
      </c>
      <c r="H192" s="2">
        <v>8</v>
      </c>
      <c r="I192" s="2">
        <v>7</v>
      </c>
      <c r="J192" s="2">
        <v>0</v>
      </c>
      <c r="K192" s="2">
        <v>1</v>
      </c>
      <c r="L192" s="159">
        <v>6.5573770491799993E-2</v>
      </c>
      <c r="M192" s="159">
        <v>95.0819672131</v>
      </c>
      <c r="N192" s="413"/>
    </row>
    <row r="193" spans="1:14" x14ac:dyDescent="0.25">
      <c r="A193" s="2">
        <v>540148</v>
      </c>
      <c r="B193" s="2" t="s">
        <v>226</v>
      </c>
      <c r="C193" s="2" t="s">
        <v>63</v>
      </c>
      <c r="D193" s="2" t="s">
        <v>115</v>
      </c>
      <c r="E193" s="2">
        <v>4</v>
      </c>
      <c r="F193" s="2">
        <v>2897</v>
      </c>
      <c r="G193" s="2">
        <v>106</v>
      </c>
      <c r="H193" s="2">
        <v>5</v>
      </c>
      <c r="I193" s="2">
        <v>5</v>
      </c>
      <c r="J193" s="2">
        <v>0</v>
      </c>
      <c r="K193" s="2">
        <v>0</v>
      </c>
      <c r="L193" s="159">
        <v>4.7169811320799997E-2</v>
      </c>
      <c r="M193" s="159">
        <v>68.396226415100003</v>
      </c>
      <c r="N193" s="413"/>
    </row>
    <row r="194" spans="1:14" x14ac:dyDescent="0.25">
      <c r="A194" s="252"/>
      <c r="B194" s="252"/>
      <c r="C194" s="252" t="s">
        <v>63</v>
      </c>
      <c r="D194" s="252"/>
      <c r="E194" s="252"/>
      <c r="F194" s="252">
        <v>418498</v>
      </c>
      <c r="G194" s="252">
        <v>8807</v>
      </c>
      <c r="H194" s="252">
        <v>14</v>
      </c>
      <c r="I194" s="252">
        <v>13</v>
      </c>
      <c r="J194" s="252">
        <v>0</v>
      </c>
      <c r="K194" s="252">
        <v>1</v>
      </c>
      <c r="L194" s="414">
        <v>1.58964460089E-3</v>
      </c>
      <c r="M194" s="414">
        <v>2.3049846712800002</v>
      </c>
      <c r="N194" s="413"/>
    </row>
    <row r="195" spans="1:14" x14ac:dyDescent="0.25">
      <c r="A195" s="2">
        <v>540149</v>
      </c>
      <c r="B195" s="2" t="s">
        <v>64</v>
      </c>
      <c r="C195" s="2" t="s">
        <v>65</v>
      </c>
      <c r="D195" s="2" t="s">
        <v>5</v>
      </c>
      <c r="E195" s="2">
        <v>10</v>
      </c>
      <c r="F195" s="2">
        <v>55697</v>
      </c>
      <c r="G195" s="2">
        <v>1119</v>
      </c>
      <c r="H195" s="2">
        <v>22</v>
      </c>
      <c r="I195" s="2">
        <v>19</v>
      </c>
      <c r="J195" s="2">
        <v>0</v>
      </c>
      <c r="K195" s="2">
        <v>3</v>
      </c>
      <c r="L195" s="159">
        <v>1.9660411081300001E-2</v>
      </c>
      <c r="M195" s="159">
        <v>28.5075960679</v>
      </c>
      <c r="N195" s="413"/>
    </row>
    <row r="196" spans="1:14" x14ac:dyDescent="0.25">
      <c r="A196" s="2">
        <v>540080</v>
      </c>
      <c r="B196" s="2" t="s">
        <v>175</v>
      </c>
      <c r="C196" s="2" t="s">
        <v>65</v>
      </c>
      <c r="D196" s="2" t="s">
        <v>115</v>
      </c>
      <c r="E196" s="2">
        <v>10</v>
      </c>
      <c r="F196" s="2">
        <v>259</v>
      </c>
      <c r="G196" s="2">
        <v>0</v>
      </c>
      <c r="H196" s="2">
        <v>0</v>
      </c>
      <c r="I196" s="2">
        <v>0</v>
      </c>
      <c r="J196" s="2">
        <v>0</v>
      </c>
      <c r="K196" s="2">
        <v>0</v>
      </c>
      <c r="L196" s="159" t="s">
        <v>488</v>
      </c>
      <c r="M196" s="159" t="s">
        <v>488</v>
      </c>
      <c r="N196" s="413"/>
    </row>
    <row r="197" spans="1:14" x14ac:dyDescent="0.25">
      <c r="A197" s="2">
        <v>540094</v>
      </c>
      <c r="B197" s="2" t="s">
        <v>185</v>
      </c>
      <c r="C197" s="2" t="s">
        <v>65</v>
      </c>
      <c r="D197" s="2" t="s">
        <v>115</v>
      </c>
      <c r="E197" s="2">
        <v>10</v>
      </c>
      <c r="F197" s="2">
        <v>700</v>
      </c>
      <c r="G197" s="2">
        <v>28</v>
      </c>
      <c r="H197" s="2">
        <v>0</v>
      </c>
      <c r="I197" s="2">
        <v>0</v>
      </c>
      <c r="J197" s="2">
        <v>0</v>
      </c>
      <c r="K197" s="2">
        <v>0</v>
      </c>
      <c r="L197" s="159">
        <v>0</v>
      </c>
      <c r="M197" s="159">
        <v>0</v>
      </c>
      <c r="N197" s="413"/>
    </row>
    <row r="198" spans="1:14" x14ac:dyDescent="0.25">
      <c r="A198" s="2">
        <v>540150</v>
      </c>
      <c r="B198" s="2" t="s">
        <v>227</v>
      </c>
      <c r="C198" s="2" t="s">
        <v>65</v>
      </c>
      <c r="D198" s="2" t="s">
        <v>115</v>
      </c>
      <c r="E198" s="2">
        <v>10</v>
      </c>
      <c r="F198" s="2">
        <v>432</v>
      </c>
      <c r="G198" s="2">
        <v>33</v>
      </c>
      <c r="H198" s="2">
        <v>1</v>
      </c>
      <c r="I198" s="2">
        <v>0</v>
      </c>
      <c r="J198" s="2">
        <v>0</v>
      </c>
      <c r="K198" s="2">
        <v>1</v>
      </c>
      <c r="L198" s="159">
        <v>3.0303030303000002E-2</v>
      </c>
      <c r="M198" s="159">
        <v>43.939393939399999</v>
      </c>
      <c r="N198" s="413"/>
    </row>
    <row r="199" spans="1:14" x14ac:dyDescent="0.25">
      <c r="A199" s="2">
        <v>540151</v>
      </c>
      <c r="B199" s="2" t="s">
        <v>228</v>
      </c>
      <c r="C199" s="2" t="s">
        <v>65</v>
      </c>
      <c r="D199" s="2" t="s">
        <v>115</v>
      </c>
      <c r="E199" s="2">
        <v>10</v>
      </c>
      <c r="F199" s="2">
        <v>350</v>
      </c>
      <c r="G199" s="2">
        <v>75</v>
      </c>
      <c r="H199" s="2">
        <v>2</v>
      </c>
      <c r="I199" s="2">
        <v>2</v>
      </c>
      <c r="J199" s="2">
        <v>0</v>
      </c>
      <c r="K199" s="2">
        <v>0</v>
      </c>
      <c r="L199" s="159">
        <v>2.6666666666699999E-2</v>
      </c>
      <c r="M199" s="159">
        <v>38.666666666700003</v>
      </c>
      <c r="N199" s="413"/>
    </row>
    <row r="200" spans="1:14" x14ac:dyDescent="0.25">
      <c r="A200" s="2">
        <v>540152</v>
      </c>
      <c r="B200" s="2" t="s">
        <v>229</v>
      </c>
      <c r="C200" s="2" t="s">
        <v>65</v>
      </c>
      <c r="D200" s="2" t="s">
        <v>115</v>
      </c>
      <c r="E200" s="2">
        <v>10</v>
      </c>
      <c r="F200" s="2">
        <v>9969</v>
      </c>
      <c r="G200" s="2">
        <v>931</v>
      </c>
      <c r="H200" s="2">
        <v>17</v>
      </c>
      <c r="I200" s="2">
        <v>17</v>
      </c>
      <c r="J200" s="2">
        <v>0</v>
      </c>
      <c r="K200" s="2">
        <v>0</v>
      </c>
      <c r="L200" s="159">
        <v>1.8259935553200001E-2</v>
      </c>
      <c r="M200" s="159">
        <v>26.476906552100001</v>
      </c>
      <c r="N200" s="413"/>
    </row>
    <row r="201" spans="1:14" x14ac:dyDescent="0.25">
      <c r="A201" s="2">
        <v>540275</v>
      </c>
      <c r="B201" s="2" t="s">
        <v>318</v>
      </c>
      <c r="C201" s="2" t="s">
        <v>65</v>
      </c>
      <c r="D201" s="2" t="s">
        <v>115</v>
      </c>
      <c r="E201" s="2">
        <v>10</v>
      </c>
      <c r="F201" s="2">
        <v>2268</v>
      </c>
      <c r="G201" s="2">
        <v>0</v>
      </c>
      <c r="H201" s="2">
        <v>0</v>
      </c>
      <c r="I201" s="2">
        <v>0</v>
      </c>
      <c r="J201" s="2">
        <v>0</v>
      </c>
      <c r="K201" s="2">
        <v>0</v>
      </c>
      <c r="L201" s="159" t="s">
        <v>488</v>
      </c>
      <c r="M201" s="159" t="s">
        <v>488</v>
      </c>
      <c r="N201" s="413"/>
    </row>
    <row r="202" spans="1:14" x14ac:dyDescent="0.25">
      <c r="A202" s="252"/>
      <c r="B202" s="252"/>
      <c r="C202" s="252" t="s">
        <v>65</v>
      </c>
      <c r="D202" s="252"/>
      <c r="E202" s="252"/>
      <c r="F202" s="252">
        <v>69675</v>
      </c>
      <c r="G202" s="252">
        <v>2186</v>
      </c>
      <c r="H202" s="252">
        <v>42</v>
      </c>
      <c r="I202" s="252">
        <v>38</v>
      </c>
      <c r="J202" s="252">
        <v>0</v>
      </c>
      <c r="K202" s="252">
        <v>4</v>
      </c>
      <c r="L202" s="414">
        <v>1.9213174748400001E-2</v>
      </c>
      <c r="M202" s="414">
        <v>27.859103385200001</v>
      </c>
      <c r="N202" s="413"/>
    </row>
    <row r="203" spans="1:14" x14ac:dyDescent="0.25">
      <c r="A203" s="2">
        <v>540153</v>
      </c>
      <c r="B203" s="2" t="s">
        <v>66</v>
      </c>
      <c r="C203" s="2" t="s">
        <v>67</v>
      </c>
      <c r="D203" s="2" t="s">
        <v>5</v>
      </c>
      <c r="E203" s="2">
        <v>8</v>
      </c>
      <c r="F203" s="2">
        <v>446299</v>
      </c>
      <c r="G203" s="2">
        <v>13198</v>
      </c>
      <c r="H203" s="2">
        <v>48</v>
      </c>
      <c r="I203" s="2">
        <v>48</v>
      </c>
      <c r="J203" s="2">
        <v>0</v>
      </c>
      <c r="K203" s="2">
        <v>0</v>
      </c>
      <c r="L203" s="159">
        <v>3.6369146840400002E-3</v>
      </c>
      <c r="M203" s="159">
        <v>5.2735262918599997</v>
      </c>
      <c r="N203" s="413"/>
    </row>
    <row r="204" spans="1:14" x14ac:dyDescent="0.25">
      <c r="A204" s="2">
        <v>540154</v>
      </c>
      <c r="B204" s="2" t="s">
        <v>230</v>
      </c>
      <c r="C204" s="2" t="s">
        <v>67</v>
      </c>
      <c r="D204" s="2" t="s">
        <v>115</v>
      </c>
      <c r="E204" s="2">
        <v>8</v>
      </c>
      <c r="F204" s="2">
        <v>361</v>
      </c>
      <c r="G204" s="2">
        <v>29</v>
      </c>
      <c r="H204" s="2">
        <v>8</v>
      </c>
      <c r="I204" s="2">
        <v>8</v>
      </c>
      <c r="J204" s="2">
        <v>0</v>
      </c>
      <c r="K204" s="2">
        <v>0</v>
      </c>
      <c r="L204" s="159">
        <v>0.27586206896600002</v>
      </c>
      <c r="M204" s="159">
        <v>400</v>
      </c>
      <c r="N204" s="413"/>
    </row>
    <row r="205" spans="1:14" x14ac:dyDescent="0.25">
      <c r="A205" s="252"/>
      <c r="B205" s="252"/>
      <c r="C205" s="252" t="s">
        <v>67</v>
      </c>
      <c r="D205" s="252"/>
      <c r="E205" s="252"/>
      <c r="F205" s="252">
        <v>446660</v>
      </c>
      <c r="G205" s="252">
        <v>13227</v>
      </c>
      <c r="H205" s="252">
        <v>56</v>
      </c>
      <c r="I205" s="252">
        <v>56</v>
      </c>
      <c r="J205" s="252">
        <v>0</v>
      </c>
      <c r="K205" s="252">
        <v>0</v>
      </c>
      <c r="L205" s="414">
        <v>4.2337642700499998E-3</v>
      </c>
      <c r="M205" s="414">
        <v>6.1389581915799996</v>
      </c>
      <c r="N205" s="413"/>
    </row>
    <row r="206" spans="1:14" x14ac:dyDescent="0.25">
      <c r="A206" s="2">
        <v>540160</v>
      </c>
      <c r="B206" s="2" t="s">
        <v>68</v>
      </c>
      <c r="C206" s="2" t="s">
        <v>69</v>
      </c>
      <c r="D206" s="2" t="s">
        <v>5</v>
      </c>
      <c r="E206" s="2">
        <v>6</v>
      </c>
      <c r="F206" s="2">
        <v>411882</v>
      </c>
      <c r="G206" s="2">
        <v>9839</v>
      </c>
      <c r="H206" s="2">
        <v>513</v>
      </c>
      <c r="I206" s="2">
        <v>513</v>
      </c>
      <c r="J206" s="2">
        <v>0</v>
      </c>
      <c r="K206" s="2">
        <v>0</v>
      </c>
      <c r="L206" s="159">
        <v>5.2139445065599997E-2</v>
      </c>
      <c r="M206" s="159">
        <v>75.6021953451</v>
      </c>
      <c r="N206" s="413"/>
    </row>
    <row r="207" spans="1:14" x14ac:dyDescent="0.25">
      <c r="A207" s="2">
        <v>540137</v>
      </c>
      <c r="B207" s="2" t="s">
        <v>220</v>
      </c>
      <c r="C207" s="2" t="s">
        <v>69</v>
      </c>
      <c r="D207" s="2" t="s">
        <v>115</v>
      </c>
      <c r="E207" s="2">
        <v>6</v>
      </c>
      <c r="F207" s="2">
        <v>215</v>
      </c>
      <c r="G207" s="2">
        <v>0</v>
      </c>
      <c r="H207" s="2">
        <v>0</v>
      </c>
      <c r="I207" s="2">
        <v>0</v>
      </c>
      <c r="J207" s="2">
        <v>0</v>
      </c>
      <c r="K207" s="2">
        <v>0</v>
      </c>
      <c r="L207" s="159" t="s">
        <v>488</v>
      </c>
      <c r="M207" s="159" t="s">
        <v>488</v>
      </c>
      <c r="N207" s="413"/>
    </row>
    <row r="208" spans="1:14" x14ac:dyDescent="0.25">
      <c r="A208" s="2">
        <v>540161</v>
      </c>
      <c r="B208" s="2" t="s">
        <v>235</v>
      </c>
      <c r="C208" s="2" t="s">
        <v>69</v>
      </c>
      <c r="D208" s="2" t="s">
        <v>115</v>
      </c>
      <c r="E208" s="2">
        <v>6</v>
      </c>
      <c r="F208" s="2">
        <v>175</v>
      </c>
      <c r="G208" s="2">
        <v>31</v>
      </c>
      <c r="H208" s="2">
        <v>1</v>
      </c>
      <c r="I208" s="2">
        <v>1</v>
      </c>
      <c r="J208" s="2">
        <v>0</v>
      </c>
      <c r="K208" s="2">
        <v>0</v>
      </c>
      <c r="L208" s="159">
        <v>3.2258064516099999E-2</v>
      </c>
      <c r="M208" s="159">
        <v>46.7741935484</v>
      </c>
      <c r="N208" s="413"/>
    </row>
    <row r="209" spans="1:14" x14ac:dyDescent="0.25">
      <c r="A209" s="2">
        <v>540162</v>
      </c>
      <c r="B209" s="2" t="s">
        <v>236</v>
      </c>
      <c r="C209" s="2" t="s">
        <v>69</v>
      </c>
      <c r="D209" s="2" t="s">
        <v>115</v>
      </c>
      <c r="E209" s="2">
        <v>6</v>
      </c>
      <c r="F209" s="2">
        <v>36</v>
      </c>
      <c r="G209" s="2">
        <v>14</v>
      </c>
      <c r="H209" s="2">
        <v>1</v>
      </c>
      <c r="I209" s="2">
        <v>1</v>
      </c>
      <c r="J209" s="2">
        <v>0</v>
      </c>
      <c r="K209" s="2">
        <v>0</v>
      </c>
      <c r="L209" s="159">
        <v>7.1428571428599999E-2</v>
      </c>
      <c r="M209" s="159">
        <v>103.571428571</v>
      </c>
      <c r="N209" s="413"/>
    </row>
    <row r="210" spans="1:14" x14ac:dyDescent="0.25">
      <c r="A210" s="2">
        <v>540163</v>
      </c>
      <c r="B210" s="2" t="s">
        <v>237</v>
      </c>
      <c r="C210" s="2" t="s">
        <v>69</v>
      </c>
      <c r="D210" s="2" t="s">
        <v>115</v>
      </c>
      <c r="E210" s="2">
        <v>6</v>
      </c>
      <c r="F210" s="2">
        <v>702</v>
      </c>
      <c r="G210" s="2">
        <v>153</v>
      </c>
      <c r="H210" s="2">
        <v>3</v>
      </c>
      <c r="I210" s="2">
        <v>3</v>
      </c>
      <c r="J210" s="2">
        <v>0</v>
      </c>
      <c r="K210" s="2">
        <v>0</v>
      </c>
      <c r="L210" s="159">
        <v>1.9607843137300001E-2</v>
      </c>
      <c r="M210" s="159">
        <v>28.431372548999999</v>
      </c>
      <c r="N210" s="413"/>
    </row>
    <row r="211" spans="1:14" x14ac:dyDescent="0.25">
      <c r="A211" s="2">
        <v>540254</v>
      </c>
      <c r="B211" s="2" t="s">
        <v>300</v>
      </c>
      <c r="C211" s="2" t="s">
        <v>69</v>
      </c>
      <c r="D211" s="2" t="s">
        <v>115</v>
      </c>
      <c r="E211" s="2">
        <v>6</v>
      </c>
      <c r="F211" s="2">
        <v>1555</v>
      </c>
      <c r="G211" s="2">
        <v>18</v>
      </c>
      <c r="H211" s="2">
        <v>0</v>
      </c>
      <c r="I211" s="2">
        <v>0</v>
      </c>
      <c r="J211" s="2">
        <v>0</v>
      </c>
      <c r="K211" s="2">
        <v>0</v>
      </c>
      <c r="L211" s="159">
        <v>0</v>
      </c>
      <c r="M211" s="159">
        <v>0</v>
      </c>
      <c r="N211" s="413"/>
    </row>
    <row r="212" spans="1:14" x14ac:dyDescent="0.25">
      <c r="A212" s="2">
        <v>540257</v>
      </c>
      <c r="B212" s="2" t="s">
        <v>302</v>
      </c>
      <c r="C212" s="2" t="s">
        <v>69</v>
      </c>
      <c r="D212" s="2" t="s">
        <v>115</v>
      </c>
      <c r="E212" s="2">
        <v>6</v>
      </c>
      <c r="F212" s="2">
        <v>759</v>
      </c>
      <c r="G212" s="2">
        <v>36</v>
      </c>
      <c r="H212" s="2">
        <v>0</v>
      </c>
      <c r="I212" s="2">
        <v>0</v>
      </c>
      <c r="J212" s="2">
        <v>0</v>
      </c>
      <c r="K212" s="2">
        <v>0</v>
      </c>
      <c r="L212" s="159">
        <v>0</v>
      </c>
      <c r="M212" s="159">
        <v>0</v>
      </c>
      <c r="N212" s="413"/>
    </row>
    <row r="213" spans="1:14" x14ac:dyDescent="0.25">
      <c r="A213" s="2">
        <v>540268</v>
      </c>
      <c r="B213" s="2" t="s">
        <v>311</v>
      </c>
      <c r="C213" s="2" t="s">
        <v>69</v>
      </c>
      <c r="D213" s="2" t="s">
        <v>115</v>
      </c>
      <c r="E213" s="2">
        <v>6</v>
      </c>
      <c r="F213" s="2">
        <v>503</v>
      </c>
      <c r="G213" s="2">
        <v>25</v>
      </c>
      <c r="H213" s="2">
        <v>2</v>
      </c>
      <c r="I213" s="2">
        <v>2</v>
      </c>
      <c r="J213" s="2">
        <v>0</v>
      </c>
      <c r="K213" s="2">
        <v>0</v>
      </c>
      <c r="L213" s="159">
        <v>0.08</v>
      </c>
      <c r="M213" s="159">
        <v>116</v>
      </c>
      <c r="N213" s="413"/>
    </row>
    <row r="214" spans="1:14" x14ac:dyDescent="0.25">
      <c r="A214" s="2">
        <v>540269</v>
      </c>
      <c r="B214" s="2" t="s">
        <v>312</v>
      </c>
      <c r="C214" s="2" t="s">
        <v>69</v>
      </c>
      <c r="D214" s="2" t="s">
        <v>115</v>
      </c>
      <c r="E214" s="2">
        <v>6</v>
      </c>
      <c r="F214" s="2">
        <v>416</v>
      </c>
      <c r="G214" s="2">
        <v>17</v>
      </c>
      <c r="H214" s="2">
        <v>0</v>
      </c>
      <c r="I214" s="2">
        <v>0</v>
      </c>
      <c r="J214" s="2">
        <v>0</v>
      </c>
      <c r="K214" s="2">
        <v>0</v>
      </c>
      <c r="L214" s="159">
        <v>0</v>
      </c>
      <c r="M214" s="159">
        <v>0</v>
      </c>
      <c r="N214" s="413"/>
    </row>
    <row r="215" spans="1:14" x14ac:dyDescent="0.25">
      <c r="A215" s="2">
        <v>540270</v>
      </c>
      <c r="B215" s="2" t="s">
        <v>313</v>
      </c>
      <c r="C215" s="2" t="s">
        <v>69</v>
      </c>
      <c r="D215" s="2" t="s">
        <v>115</v>
      </c>
      <c r="E215" s="2">
        <v>6</v>
      </c>
      <c r="F215" s="2">
        <v>178</v>
      </c>
      <c r="G215" s="2">
        <v>1</v>
      </c>
      <c r="H215" s="2">
        <v>1</v>
      </c>
      <c r="I215" s="2">
        <v>1</v>
      </c>
      <c r="J215" s="2">
        <v>0</v>
      </c>
      <c r="K215" s="2">
        <v>0</v>
      </c>
      <c r="L215" s="159">
        <v>1</v>
      </c>
      <c r="M215" s="159">
        <v>1450</v>
      </c>
      <c r="N215" s="413"/>
    </row>
    <row r="216" spans="1:14" x14ac:dyDescent="0.25">
      <c r="A216" s="2">
        <v>540284</v>
      </c>
      <c r="B216" s="2" t="s">
        <v>323</v>
      </c>
      <c r="C216" s="2" t="s">
        <v>69</v>
      </c>
      <c r="D216" s="2" t="s">
        <v>115</v>
      </c>
      <c r="E216" s="2">
        <v>6</v>
      </c>
      <c r="F216" s="2">
        <v>247</v>
      </c>
      <c r="G216" s="2">
        <v>18</v>
      </c>
      <c r="H216" s="2">
        <v>0</v>
      </c>
      <c r="I216" s="2">
        <v>0</v>
      </c>
      <c r="J216" s="2">
        <v>0</v>
      </c>
      <c r="K216" s="2">
        <v>0</v>
      </c>
      <c r="L216" s="159">
        <v>0</v>
      </c>
      <c r="M216" s="159">
        <v>0</v>
      </c>
      <c r="N216" s="413"/>
    </row>
    <row r="217" spans="1:14" x14ac:dyDescent="0.25">
      <c r="A217" s="252"/>
      <c r="B217" s="252"/>
      <c r="C217" s="252" t="s">
        <v>69</v>
      </c>
      <c r="D217" s="252"/>
      <c r="E217" s="252"/>
      <c r="F217" s="252">
        <v>416668</v>
      </c>
      <c r="G217" s="252">
        <v>10152</v>
      </c>
      <c r="H217" s="252">
        <v>521</v>
      </c>
      <c r="I217" s="252">
        <v>521</v>
      </c>
      <c r="J217" s="252">
        <v>0</v>
      </c>
      <c r="K217" s="252">
        <v>0</v>
      </c>
      <c r="L217" s="414">
        <v>5.1319936958200002E-2</v>
      </c>
      <c r="M217" s="414">
        <v>74.413908589399995</v>
      </c>
      <c r="N217" s="413"/>
    </row>
    <row r="218" spans="1:14" x14ac:dyDescent="0.25">
      <c r="A218" s="2">
        <v>540164</v>
      </c>
      <c r="B218" s="2" t="s">
        <v>70</v>
      </c>
      <c r="C218" s="2" t="s">
        <v>71</v>
      </c>
      <c r="D218" s="2" t="s">
        <v>5</v>
      </c>
      <c r="E218" s="2">
        <v>3</v>
      </c>
      <c r="F218" s="2">
        <v>216488</v>
      </c>
      <c r="G218" s="2">
        <v>8874</v>
      </c>
      <c r="H218" s="2">
        <v>116</v>
      </c>
      <c r="I218" s="2">
        <v>116</v>
      </c>
      <c r="J218" s="2">
        <v>0</v>
      </c>
      <c r="K218" s="2">
        <v>0</v>
      </c>
      <c r="L218" s="159">
        <v>1.3071895424800001E-2</v>
      </c>
      <c r="M218" s="159">
        <v>18.954248366000002</v>
      </c>
      <c r="N218" s="413"/>
    </row>
    <row r="219" spans="1:14" x14ac:dyDescent="0.25">
      <c r="A219" s="2">
        <v>540081</v>
      </c>
      <c r="B219" s="2" t="s">
        <v>176</v>
      </c>
      <c r="C219" s="2" t="s">
        <v>71</v>
      </c>
      <c r="D219" s="2" t="s">
        <v>115</v>
      </c>
      <c r="E219" s="2">
        <v>3</v>
      </c>
      <c r="F219" s="2">
        <v>633</v>
      </c>
      <c r="G219" s="2">
        <v>27</v>
      </c>
      <c r="H219" s="2">
        <v>1</v>
      </c>
      <c r="I219" s="2">
        <v>1</v>
      </c>
      <c r="J219" s="2">
        <v>0</v>
      </c>
      <c r="K219" s="2">
        <v>0</v>
      </c>
      <c r="L219" s="159">
        <v>3.7037037037000002E-2</v>
      </c>
      <c r="M219" s="159">
        <v>53.7037037037</v>
      </c>
      <c r="N219" s="413"/>
    </row>
    <row r="220" spans="1:14" x14ac:dyDescent="0.25">
      <c r="A220" s="2">
        <v>540165</v>
      </c>
      <c r="B220" s="2" t="s">
        <v>238</v>
      </c>
      <c r="C220" s="2" t="s">
        <v>71</v>
      </c>
      <c r="D220" s="2" t="s">
        <v>115</v>
      </c>
      <c r="E220" s="2">
        <v>3</v>
      </c>
      <c r="F220" s="2">
        <v>93</v>
      </c>
      <c r="G220" s="2">
        <v>26</v>
      </c>
      <c r="H220" s="2">
        <v>3</v>
      </c>
      <c r="I220" s="2">
        <v>3</v>
      </c>
      <c r="J220" s="2">
        <v>0</v>
      </c>
      <c r="K220" s="2">
        <v>0</v>
      </c>
      <c r="L220" s="159">
        <v>0.115384615385</v>
      </c>
      <c r="M220" s="159">
        <v>167.30769230799999</v>
      </c>
      <c r="N220" s="413"/>
    </row>
    <row r="221" spans="1:14" x14ac:dyDescent="0.25">
      <c r="A221" s="2">
        <v>540166</v>
      </c>
      <c r="B221" s="2" t="s">
        <v>239</v>
      </c>
      <c r="C221" s="2" t="s">
        <v>71</v>
      </c>
      <c r="D221" s="2" t="s">
        <v>115</v>
      </c>
      <c r="E221" s="2">
        <v>3</v>
      </c>
      <c r="F221" s="2">
        <v>1054</v>
      </c>
      <c r="G221" s="2">
        <v>307</v>
      </c>
      <c r="H221" s="2">
        <v>0</v>
      </c>
      <c r="I221" s="2">
        <v>0</v>
      </c>
      <c r="J221" s="2">
        <v>0</v>
      </c>
      <c r="K221" s="2">
        <v>0</v>
      </c>
      <c r="L221" s="159">
        <v>0</v>
      </c>
      <c r="M221" s="159">
        <v>0</v>
      </c>
      <c r="N221" s="413"/>
    </row>
    <row r="222" spans="1:14" x14ac:dyDescent="0.25">
      <c r="A222" s="2">
        <v>540167</v>
      </c>
      <c r="B222" s="2" t="s">
        <v>240</v>
      </c>
      <c r="C222" s="2" t="s">
        <v>71</v>
      </c>
      <c r="D222" s="2" t="s">
        <v>115</v>
      </c>
      <c r="E222" s="2">
        <v>3</v>
      </c>
      <c r="F222" s="2">
        <v>2415</v>
      </c>
      <c r="G222" s="2">
        <v>46</v>
      </c>
      <c r="H222" s="2">
        <v>3</v>
      </c>
      <c r="I222" s="2">
        <v>3</v>
      </c>
      <c r="J222" s="2">
        <v>0</v>
      </c>
      <c r="K222" s="2">
        <v>0</v>
      </c>
      <c r="L222" s="159">
        <v>6.5217391304300001E-2</v>
      </c>
      <c r="M222" s="159">
        <v>94.565217391299996</v>
      </c>
      <c r="N222" s="413"/>
    </row>
    <row r="223" spans="1:14" x14ac:dyDescent="0.25">
      <c r="A223" s="2">
        <v>540168</v>
      </c>
      <c r="B223" s="2" t="s">
        <v>241</v>
      </c>
      <c r="C223" s="2" t="s">
        <v>71</v>
      </c>
      <c r="D223" s="2" t="s">
        <v>115</v>
      </c>
      <c r="E223" s="2">
        <v>3</v>
      </c>
      <c r="F223" s="2">
        <v>482</v>
      </c>
      <c r="G223" s="2">
        <v>81</v>
      </c>
      <c r="H223" s="2">
        <v>0</v>
      </c>
      <c r="I223" s="2">
        <v>0</v>
      </c>
      <c r="J223" s="2">
        <v>0</v>
      </c>
      <c r="K223" s="2">
        <v>0</v>
      </c>
      <c r="L223" s="159">
        <v>0</v>
      </c>
      <c r="M223" s="159">
        <v>0</v>
      </c>
      <c r="N223" s="413"/>
    </row>
    <row r="224" spans="1:14" x14ac:dyDescent="0.25">
      <c r="A224" s="2">
        <v>540222</v>
      </c>
      <c r="B224" s="2" t="s">
        <v>276</v>
      </c>
      <c r="C224" s="2" t="s">
        <v>71</v>
      </c>
      <c r="D224" s="2" t="s">
        <v>115</v>
      </c>
      <c r="E224" s="2">
        <v>3</v>
      </c>
      <c r="F224" s="2">
        <v>1361</v>
      </c>
      <c r="G224" s="2">
        <v>319</v>
      </c>
      <c r="H224" s="2">
        <v>72</v>
      </c>
      <c r="I224" s="2">
        <v>72</v>
      </c>
      <c r="J224" s="2">
        <v>0</v>
      </c>
      <c r="K224" s="2">
        <v>0</v>
      </c>
      <c r="L224" s="159">
        <v>0.22570532915399999</v>
      </c>
      <c r="M224" s="159">
        <v>327.27272727299999</v>
      </c>
      <c r="N224" s="413"/>
    </row>
    <row r="225" spans="1:14" x14ac:dyDescent="0.25">
      <c r="A225" s="2">
        <v>540271</v>
      </c>
      <c r="B225" s="2" t="s">
        <v>314</v>
      </c>
      <c r="C225" s="2" t="s">
        <v>71</v>
      </c>
      <c r="D225" s="2" t="s">
        <v>115</v>
      </c>
      <c r="E225" s="2">
        <v>3</v>
      </c>
      <c r="F225" s="2">
        <v>1554</v>
      </c>
      <c r="G225" s="2">
        <v>88</v>
      </c>
      <c r="H225" s="2">
        <v>0</v>
      </c>
      <c r="I225" s="2">
        <v>0</v>
      </c>
      <c r="J225" s="2">
        <v>0</v>
      </c>
      <c r="K225" s="2">
        <v>0</v>
      </c>
      <c r="L225" s="159">
        <v>0</v>
      </c>
      <c r="M225" s="159">
        <v>0</v>
      </c>
      <c r="N225" s="413"/>
    </row>
    <row r="226" spans="1:14" x14ac:dyDescent="0.25">
      <c r="A226" s="252"/>
      <c r="B226" s="252"/>
      <c r="C226" s="252" t="s">
        <v>71</v>
      </c>
      <c r="D226" s="252"/>
      <c r="E226" s="252"/>
      <c r="F226" s="252">
        <v>224080</v>
      </c>
      <c r="G226" s="252">
        <v>9768</v>
      </c>
      <c r="H226" s="252">
        <v>195</v>
      </c>
      <c r="I226" s="252">
        <v>195</v>
      </c>
      <c r="J226" s="252">
        <v>0</v>
      </c>
      <c r="K226" s="252">
        <v>0</v>
      </c>
      <c r="L226" s="414">
        <v>1.9963144963100001E-2</v>
      </c>
      <c r="M226" s="414">
        <v>28.9465601966</v>
      </c>
      <c r="N226" s="413"/>
    </row>
    <row r="227" spans="1:14" x14ac:dyDescent="0.25">
      <c r="A227" s="2">
        <v>540169</v>
      </c>
      <c r="B227" s="2" t="s">
        <v>72</v>
      </c>
      <c r="C227" s="2" t="s">
        <v>73</v>
      </c>
      <c r="D227" s="2" t="s">
        <v>5</v>
      </c>
      <c r="E227" s="2">
        <v>1</v>
      </c>
      <c r="F227" s="2">
        <v>381875</v>
      </c>
      <c r="G227" s="2">
        <v>8611</v>
      </c>
      <c r="H227" s="2">
        <v>93</v>
      </c>
      <c r="I227" s="2">
        <v>64</v>
      </c>
      <c r="J227" s="2">
        <v>26</v>
      </c>
      <c r="K227" s="2">
        <v>3</v>
      </c>
      <c r="L227" s="159">
        <v>1.08001393566E-2</v>
      </c>
      <c r="M227" s="159">
        <v>15.6602020671</v>
      </c>
      <c r="N227" s="413"/>
    </row>
    <row r="228" spans="1:14" x14ac:dyDescent="0.25">
      <c r="A228" s="2">
        <v>540170</v>
      </c>
      <c r="B228" s="2" t="s">
        <v>242</v>
      </c>
      <c r="C228" s="2" t="s">
        <v>73</v>
      </c>
      <c r="D228" s="2" t="s">
        <v>115</v>
      </c>
      <c r="E228" s="2">
        <v>1</v>
      </c>
      <c r="F228" s="2">
        <v>6083</v>
      </c>
      <c r="G228" s="2">
        <v>76</v>
      </c>
      <c r="H228" s="2">
        <v>3</v>
      </c>
      <c r="I228" s="2">
        <v>0</v>
      </c>
      <c r="J228" s="2">
        <v>3</v>
      </c>
      <c r="K228" s="2">
        <v>0</v>
      </c>
      <c r="L228" s="159">
        <v>3.9473684210500001E-2</v>
      </c>
      <c r="M228" s="159">
        <v>57.236842105299999</v>
      </c>
      <c r="N228" s="413"/>
    </row>
    <row r="229" spans="1:14" x14ac:dyDescent="0.25">
      <c r="A229" s="2">
        <v>540171</v>
      </c>
      <c r="B229" s="2" t="s">
        <v>243</v>
      </c>
      <c r="C229" s="2" t="s">
        <v>73</v>
      </c>
      <c r="D229" s="2" t="s">
        <v>115</v>
      </c>
      <c r="E229" s="2">
        <v>1</v>
      </c>
      <c r="F229" s="2">
        <v>321</v>
      </c>
      <c r="G229" s="2">
        <v>45</v>
      </c>
      <c r="H229" s="2">
        <v>0</v>
      </c>
      <c r="I229" s="2">
        <v>0</v>
      </c>
      <c r="J229" s="2">
        <v>0</v>
      </c>
      <c r="K229" s="2">
        <v>0</v>
      </c>
      <c r="L229" s="159">
        <v>0</v>
      </c>
      <c r="M229" s="159">
        <v>0</v>
      </c>
      <c r="N229" s="413"/>
    </row>
    <row r="230" spans="1:14" x14ac:dyDescent="0.25">
      <c r="A230" s="2">
        <v>540173</v>
      </c>
      <c r="B230" s="2" t="s">
        <v>245</v>
      </c>
      <c r="C230" s="2" t="s">
        <v>73</v>
      </c>
      <c r="D230" s="2" t="s">
        <v>115</v>
      </c>
      <c r="E230" s="2">
        <v>1</v>
      </c>
      <c r="F230" s="2">
        <v>201</v>
      </c>
      <c r="G230" s="2">
        <v>60</v>
      </c>
      <c r="H230" s="2">
        <v>1</v>
      </c>
      <c r="I230" s="2">
        <v>1</v>
      </c>
      <c r="J230" s="2">
        <v>0</v>
      </c>
      <c r="K230" s="2">
        <v>0</v>
      </c>
      <c r="L230" s="159">
        <v>1.6666666666700001E-2</v>
      </c>
      <c r="M230" s="159">
        <v>24.166666666699999</v>
      </c>
      <c r="N230" s="413"/>
    </row>
    <row r="231" spans="1:14" x14ac:dyDescent="0.25">
      <c r="A231" s="2">
        <v>540174</v>
      </c>
      <c r="B231" s="2" t="s">
        <v>246</v>
      </c>
      <c r="C231" s="2" t="s">
        <v>73</v>
      </c>
      <c r="D231" s="2" t="s">
        <v>115</v>
      </c>
      <c r="E231" s="2">
        <v>1</v>
      </c>
      <c r="F231" s="2">
        <v>447</v>
      </c>
      <c r="G231" s="2">
        <v>10</v>
      </c>
      <c r="H231" s="2">
        <v>0</v>
      </c>
      <c r="I231" s="2">
        <v>0</v>
      </c>
      <c r="J231" s="2">
        <v>0</v>
      </c>
      <c r="K231" s="2">
        <v>0</v>
      </c>
      <c r="L231" s="159">
        <v>0</v>
      </c>
      <c r="M231" s="159">
        <v>0</v>
      </c>
      <c r="N231" s="413"/>
    </row>
    <row r="232" spans="1:14" x14ac:dyDescent="0.25">
      <c r="A232" s="2">
        <v>540286</v>
      </c>
      <c r="B232" s="2" t="s">
        <v>325</v>
      </c>
      <c r="C232" s="2" t="s">
        <v>73</v>
      </c>
      <c r="D232" s="2" t="s">
        <v>115</v>
      </c>
      <c r="E232" s="2">
        <v>1</v>
      </c>
      <c r="F232" s="2">
        <v>553</v>
      </c>
      <c r="G232" s="2">
        <v>49</v>
      </c>
      <c r="H232" s="2">
        <v>0</v>
      </c>
      <c r="I232" s="2">
        <v>0</v>
      </c>
      <c r="J232" s="2">
        <v>0</v>
      </c>
      <c r="K232" s="2">
        <v>0</v>
      </c>
      <c r="L232" s="159">
        <v>0</v>
      </c>
      <c r="M232" s="159">
        <v>0</v>
      </c>
      <c r="N232" s="413"/>
    </row>
    <row r="233" spans="1:14" x14ac:dyDescent="0.25">
      <c r="A233" s="252"/>
      <c r="B233" s="252"/>
      <c r="C233" s="252" t="s">
        <v>73</v>
      </c>
      <c r="D233" s="252"/>
      <c r="E233" s="252"/>
      <c r="F233" s="252">
        <v>389480</v>
      </c>
      <c r="G233" s="252">
        <v>8851</v>
      </c>
      <c r="H233" s="252">
        <v>97</v>
      </c>
      <c r="I233" s="252">
        <v>65</v>
      </c>
      <c r="J233" s="252">
        <v>29</v>
      </c>
      <c r="K233" s="252">
        <v>3</v>
      </c>
      <c r="L233" s="414">
        <v>1.09592136482E-2</v>
      </c>
      <c r="M233" s="414">
        <v>15.8908597899</v>
      </c>
      <c r="N233" s="413"/>
    </row>
    <row r="234" spans="1:14" x14ac:dyDescent="0.25">
      <c r="A234" s="2">
        <v>540183</v>
      </c>
      <c r="B234" s="2" t="s">
        <v>76</v>
      </c>
      <c r="C234" s="2" t="s">
        <v>77</v>
      </c>
      <c r="D234" s="2" t="s">
        <v>5</v>
      </c>
      <c r="E234" s="2">
        <v>5</v>
      </c>
      <c r="F234" s="2">
        <v>308455</v>
      </c>
      <c r="G234" s="2">
        <v>6894</v>
      </c>
      <c r="H234" s="2">
        <v>62</v>
      </c>
      <c r="I234" s="2">
        <v>62</v>
      </c>
      <c r="J234" s="2">
        <v>0</v>
      </c>
      <c r="K234" s="2">
        <v>0</v>
      </c>
      <c r="L234" s="159">
        <v>8.9933275311900006E-3</v>
      </c>
      <c r="M234" s="159">
        <v>13.0403249202</v>
      </c>
      <c r="N234" s="413"/>
    </row>
    <row r="235" spans="1:14" x14ac:dyDescent="0.25">
      <c r="A235" s="2">
        <v>540184</v>
      </c>
      <c r="B235" s="2" t="s">
        <v>253</v>
      </c>
      <c r="C235" s="2" t="s">
        <v>77</v>
      </c>
      <c r="D235" s="2" t="s">
        <v>115</v>
      </c>
      <c r="E235" s="2">
        <v>5</v>
      </c>
      <c r="F235" s="2">
        <v>125</v>
      </c>
      <c r="G235" s="2">
        <v>60</v>
      </c>
      <c r="H235" s="2">
        <v>0</v>
      </c>
      <c r="I235" s="2">
        <v>0</v>
      </c>
      <c r="J235" s="2">
        <v>0</v>
      </c>
      <c r="K235" s="2">
        <v>0</v>
      </c>
      <c r="L235" s="159">
        <v>0</v>
      </c>
      <c r="M235" s="159">
        <v>0</v>
      </c>
      <c r="N235" s="413"/>
    </row>
    <row r="236" spans="1:14" x14ac:dyDescent="0.25">
      <c r="A236" s="2">
        <v>540185</v>
      </c>
      <c r="B236" s="2" t="s">
        <v>254</v>
      </c>
      <c r="C236" s="2" t="s">
        <v>77</v>
      </c>
      <c r="D236" s="2" t="s">
        <v>115</v>
      </c>
      <c r="E236" s="2">
        <v>5</v>
      </c>
      <c r="F236" s="2">
        <v>816</v>
      </c>
      <c r="G236" s="2">
        <v>85</v>
      </c>
      <c r="H236" s="2">
        <v>0</v>
      </c>
      <c r="I236" s="2">
        <v>0</v>
      </c>
      <c r="J236" s="2">
        <v>0</v>
      </c>
      <c r="K236" s="2">
        <v>0</v>
      </c>
      <c r="L236" s="159">
        <v>0</v>
      </c>
      <c r="M236" s="159">
        <v>0</v>
      </c>
      <c r="N236" s="413"/>
    </row>
    <row r="237" spans="1:14" x14ac:dyDescent="0.25">
      <c r="A237" s="252"/>
      <c r="B237" s="252"/>
      <c r="C237" s="252" t="s">
        <v>77</v>
      </c>
      <c r="D237" s="252"/>
      <c r="E237" s="252"/>
      <c r="F237" s="252">
        <v>309396</v>
      </c>
      <c r="G237" s="252">
        <v>7039</v>
      </c>
      <c r="H237" s="252">
        <v>62</v>
      </c>
      <c r="I237" s="252">
        <v>62</v>
      </c>
      <c r="J237" s="252">
        <v>0</v>
      </c>
      <c r="K237" s="252">
        <v>0</v>
      </c>
      <c r="L237" s="414">
        <v>8.8080693280300007E-3</v>
      </c>
      <c r="M237" s="414">
        <v>12.7717005256</v>
      </c>
      <c r="N237" s="413"/>
    </row>
    <row r="238" spans="1:14" x14ac:dyDescent="0.25">
      <c r="A238" s="2">
        <v>540186</v>
      </c>
      <c r="B238" s="2" t="s">
        <v>78</v>
      </c>
      <c r="C238" s="2" t="s">
        <v>79</v>
      </c>
      <c r="D238" s="2" t="s">
        <v>5</v>
      </c>
      <c r="E238" s="2">
        <v>1</v>
      </c>
      <c r="F238" s="2">
        <v>233224</v>
      </c>
      <c r="G238" s="2">
        <v>2078</v>
      </c>
      <c r="H238" s="2">
        <v>2</v>
      </c>
      <c r="I238" s="2">
        <v>1</v>
      </c>
      <c r="J238" s="2">
        <v>0</v>
      </c>
      <c r="K238" s="2">
        <v>1</v>
      </c>
      <c r="L238" s="159">
        <v>9.6246390760300002E-4</v>
      </c>
      <c r="M238" s="159">
        <v>1.3955726660300001</v>
      </c>
      <c r="N238" s="413"/>
    </row>
    <row r="239" spans="1:14" x14ac:dyDescent="0.25">
      <c r="A239" s="2">
        <v>540187</v>
      </c>
      <c r="B239" s="2" t="s">
        <v>255</v>
      </c>
      <c r="C239" s="2" t="s">
        <v>79</v>
      </c>
      <c r="D239" s="2" t="s">
        <v>115</v>
      </c>
      <c r="E239" s="2">
        <v>1</v>
      </c>
      <c r="F239" s="2">
        <v>1914</v>
      </c>
      <c r="G239" s="2">
        <v>47</v>
      </c>
      <c r="H239" s="2">
        <v>1</v>
      </c>
      <c r="I239" s="2">
        <v>1</v>
      </c>
      <c r="J239" s="2">
        <v>0</v>
      </c>
      <c r="K239" s="2">
        <v>0</v>
      </c>
      <c r="L239" s="159">
        <v>2.1276595744699998E-2</v>
      </c>
      <c r="M239" s="159">
        <v>30.851063829800001</v>
      </c>
      <c r="N239" s="413"/>
    </row>
    <row r="240" spans="1:14" x14ac:dyDescent="0.25">
      <c r="A240" s="252"/>
      <c r="B240" s="252"/>
      <c r="C240" s="252" t="s">
        <v>79</v>
      </c>
      <c r="D240" s="252"/>
      <c r="E240" s="252"/>
      <c r="F240" s="252">
        <v>235138</v>
      </c>
      <c r="G240" s="252">
        <v>2125</v>
      </c>
      <c r="H240" s="252">
        <v>3</v>
      </c>
      <c r="I240" s="252">
        <v>2</v>
      </c>
      <c r="J240" s="252">
        <v>0</v>
      </c>
      <c r="K240" s="252">
        <v>1</v>
      </c>
      <c r="L240" s="414">
        <v>1.4117647058800001E-3</v>
      </c>
      <c r="M240" s="414">
        <v>2.04705882353</v>
      </c>
      <c r="N240" s="413"/>
    </row>
    <row r="241" spans="1:14" x14ac:dyDescent="0.25">
      <c r="A241" s="2">
        <v>540188</v>
      </c>
      <c r="B241" s="2" t="s">
        <v>80</v>
      </c>
      <c r="C241" s="2" t="s">
        <v>81</v>
      </c>
      <c r="D241" s="2" t="s">
        <v>5</v>
      </c>
      <c r="E241" s="2">
        <v>6</v>
      </c>
      <c r="F241" s="2">
        <v>109727</v>
      </c>
      <c r="G241" s="2">
        <v>3083</v>
      </c>
      <c r="H241" s="2">
        <v>808</v>
      </c>
      <c r="I241" s="2">
        <v>806</v>
      </c>
      <c r="J241" s="2">
        <v>0</v>
      </c>
      <c r="K241" s="2">
        <v>2</v>
      </c>
      <c r="L241" s="159">
        <v>0.262082387285</v>
      </c>
      <c r="M241" s="159">
        <v>380.01946156299999</v>
      </c>
      <c r="N241" s="413"/>
    </row>
    <row r="242" spans="1:14" x14ac:dyDescent="0.25">
      <c r="A242" s="2">
        <v>540189</v>
      </c>
      <c r="B242" s="2" t="s">
        <v>256</v>
      </c>
      <c r="C242" s="2" t="s">
        <v>81</v>
      </c>
      <c r="D242" s="2" t="s">
        <v>115</v>
      </c>
      <c r="E242" s="2">
        <v>6</v>
      </c>
      <c r="F242" s="2">
        <v>196</v>
      </c>
      <c r="G242" s="2">
        <v>21</v>
      </c>
      <c r="H242" s="2">
        <v>0</v>
      </c>
      <c r="I242" s="2">
        <v>0</v>
      </c>
      <c r="J242" s="2">
        <v>0</v>
      </c>
      <c r="K242" s="2">
        <v>0</v>
      </c>
      <c r="L242" s="159">
        <v>0</v>
      </c>
      <c r="M242" s="159">
        <v>0</v>
      </c>
      <c r="N242" s="413"/>
    </row>
    <row r="243" spans="1:14" x14ac:dyDescent="0.25">
      <c r="A243" s="2">
        <v>540190</v>
      </c>
      <c r="B243" s="2" t="s">
        <v>257</v>
      </c>
      <c r="C243" s="2" t="s">
        <v>81</v>
      </c>
      <c r="D243" s="2" t="s">
        <v>115</v>
      </c>
      <c r="E243" s="2">
        <v>6</v>
      </c>
      <c r="F243" s="2">
        <v>2433</v>
      </c>
      <c r="G243" s="2">
        <v>224</v>
      </c>
      <c r="H243" s="2">
        <v>4</v>
      </c>
      <c r="I243" s="2">
        <v>4</v>
      </c>
      <c r="J243" s="2">
        <v>0</v>
      </c>
      <c r="K243" s="2">
        <v>0</v>
      </c>
      <c r="L243" s="159">
        <v>1.7857142857100002E-2</v>
      </c>
      <c r="M243" s="159">
        <v>25.892857142899999</v>
      </c>
      <c r="N243" s="413"/>
    </row>
    <row r="244" spans="1:14" x14ac:dyDescent="0.25">
      <c r="A244" s="252"/>
      <c r="B244" s="252"/>
      <c r="C244" s="252" t="s">
        <v>81</v>
      </c>
      <c r="D244" s="252"/>
      <c r="E244" s="252"/>
      <c r="F244" s="252">
        <v>112356</v>
      </c>
      <c r="G244" s="252">
        <v>3328</v>
      </c>
      <c r="H244" s="252">
        <v>812</v>
      </c>
      <c r="I244" s="252">
        <v>810</v>
      </c>
      <c r="J244" s="252">
        <v>0</v>
      </c>
      <c r="K244" s="252">
        <v>2</v>
      </c>
      <c r="L244" s="414">
        <v>0.243990384615</v>
      </c>
      <c r="M244" s="414">
        <v>353.78605769199999</v>
      </c>
      <c r="N244" s="413"/>
    </row>
    <row r="245" spans="1:14" x14ac:dyDescent="0.25">
      <c r="A245" s="2">
        <v>540198</v>
      </c>
      <c r="B245" s="2" t="s">
        <v>82</v>
      </c>
      <c r="C245" s="2" t="s">
        <v>83</v>
      </c>
      <c r="D245" s="2" t="s">
        <v>5</v>
      </c>
      <c r="E245" s="2">
        <v>7</v>
      </c>
      <c r="F245" s="2">
        <v>225085</v>
      </c>
      <c r="G245" s="2">
        <v>6152</v>
      </c>
      <c r="H245" s="2">
        <v>49</v>
      </c>
      <c r="I245" s="2">
        <v>42</v>
      </c>
      <c r="J245" s="2">
        <v>0</v>
      </c>
      <c r="K245" s="2">
        <v>7</v>
      </c>
      <c r="L245" s="159">
        <v>7.96488946684E-3</v>
      </c>
      <c r="M245" s="159">
        <v>11.5490897269</v>
      </c>
      <c r="N245" s="413"/>
    </row>
    <row r="246" spans="1:14" x14ac:dyDescent="0.25">
      <c r="A246" s="2">
        <v>540199</v>
      </c>
      <c r="B246" s="2" t="s">
        <v>261</v>
      </c>
      <c r="C246" s="2" t="s">
        <v>83</v>
      </c>
      <c r="D246" s="2" t="s">
        <v>115</v>
      </c>
      <c r="E246" s="2">
        <v>7</v>
      </c>
      <c r="F246" s="2">
        <v>1822</v>
      </c>
      <c r="G246" s="2">
        <v>539</v>
      </c>
      <c r="H246" s="2">
        <v>10</v>
      </c>
      <c r="I246" s="2">
        <v>7</v>
      </c>
      <c r="J246" s="2">
        <v>0</v>
      </c>
      <c r="K246" s="2">
        <v>3</v>
      </c>
      <c r="L246" s="159">
        <v>1.8552875695700001E-2</v>
      </c>
      <c r="M246" s="159">
        <v>26.901669758800001</v>
      </c>
      <c r="N246" s="413"/>
    </row>
    <row r="247" spans="1:14" x14ac:dyDescent="0.25">
      <c r="A247" s="252"/>
      <c r="B247" s="252"/>
      <c r="C247" s="252" t="s">
        <v>83</v>
      </c>
      <c r="D247" s="252"/>
      <c r="E247" s="252"/>
      <c r="F247" s="252">
        <v>226907</v>
      </c>
      <c r="G247" s="252">
        <v>6691</v>
      </c>
      <c r="H247" s="252">
        <v>59</v>
      </c>
      <c r="I247" s="252">
        <v>49</v>
      </c>
      <c r="J247" s="252">
        <v>0</v>
      </c>
      <c r="K247" s="252">
        <v>10</v>
      </c>
      <c r="L247" s="414">
        <v>8.8178149753399999E-3</v>
      </c>
      <c r="M247" s="414">
        <v>12.7858317142</v>
      </c>
      <c r="N247" s="413"/>
    </row>
    <row r="248" spans="1:14" x14ac:dyDescent="0.25">
      <c r="A248" s="2">
        <v>540200</v>
      </c>
      <c r="B248" s="2" t="s">
        <v>84</v>
      </c>
      <c r="C248" s="2" t="s">
        <v>85</v>
      </c>
      <c r="D248" s="2" t="s">
        <v>5</v>
      </c>
      <c r="E248" s="2">
        <v>2</v>
      </c>
      <c r="F248" s="2">
        <v>323384</v>
      </c>
      <c r="G248" s="2">
        <v>9381</v>
      </c>
      <c r="H248" s="2">
        <v>439</v>
      </c>
      <c r="I248" s="2">
        <v>439</v>
      </c>
      <c r="J248" s="2">
        <v>0</v>
      </c>
      <c r="K248" s="2">
        <v>0</v>
      </c>
      <c r="L248" s="159">
        <v>4.6796716767900003E-2</v>
      </c>
      <c r="M248" s="159">
        <v>67.855239313499993</v>
      </c>
      <c r="N248" s="413"/>
    </row>
    <row r="249" spans="1:14" x14ac:dyDescent="0.25">
      <c r="A249" s="2">
        <v>540018</v>
      </c>
      <c r="B249" s="2" t="s">
        <v>127</v>
      </c>
      <c r="C249" s="2" t="s">
        <v>85</v>
      </c>
      <c r="D249" s="2" t="s">
        <v>115</v>
      </c>
      <c r="E249" s="2">
        <v>2</v>
      </c>
      <c r="F249" s="2">
        <v>859</v>
      </c>
      <c r="G249" s="2">
        <v>75</v>
      </c>
      <c r="H249" s="2">
        <v>0</v>
      </c>
      <c r="I249" s="2">
        <v>0</v>
      </c>
      <c r="J249" s="2">
        <v>0</v>
      </c>
      <c r="K249" s="2">
        <v>0</v>
      </c>
      <c r="L249" s="159">
        <v>0</v>
      </c>
      <c r="M249" s="159">
        <v>0</v>
      </c>
      <c r="N249" s="413"/>
    </row>
    <row r="250" spans="1:14" x14ac:dyDescent="0.25">
      <c r="A250" s="2">
        <v>540202</v>
      </c>
      <c r="B250" s="2" t="s">
        <v>262</v>
      </c>
      <c r="C250" s="2" t="s">
        <v>85</v>
      </c>
      <c r="D250" s="2" t="s">
        <v>115</v>
      </c>
      <c r="E250" s="2">
        <v>2</v>
      </c>
      <c r="F250" s="2">
        <v>567</v>
      </c>
      <c r="G250" s="2">
        <v>91</v>
      </c>
      <c r="H250" s="2">
        <v>0</v>
      </c>
      <c r="I250" s="2">
        <v>0</v>
      </c>
      <c r="J250" s="2">
        <v>0</v>
      </c>
      <c r="K250" s="2">
        <v>0</v>
      </c>
      <c r="L250" s="159">
        <v>0</v>
      </c>
      <c r="M250" s="159">
        <v>0</v>
      </c>
      <c r="N250" s="413"/>
    </row>
    <row r="251" spans="1:14" x14ac:dyDescent="0.25">
      <c r="A251" s="2">
        <v>540221</v>
      </c>
      <c r="B251" s="2" t="s">
        <v>275</v>
      </c>
      <c r="C251" s="2" t="s">
        <v>85</v>
      </c>
      <c r="D251" s="2" t="s">
        <v>115</v>
      </c>
      <c r="E251" s="2">
        <v>2</v>
      </c>
      <c r="F251" s="2">
        <v>1056</v>
      </c>
      <c r="G251" s="2">
        <v>81</v>
      </c>
      <c r="H251" s="2">
        <v>4</v>
      </c>
      <c r="I251" s="2">
        <v>4</v>
      </c>
      <c r="J251" s="2">
        <v>0</v>
      </c>
      <c r="K251" s="2">
        <v>0</v>
      </c>
      <c r="L251" s="159">
        <v>4.9382716049399998E-2</v>
      </c>
      <c r="M251" s="159">
        <v>71.604938271600005</v>
      </c>
      <c r="N251" s="413"/>
    </row>
    <row r="252" spans="1:14" x14ac:dyDescent="0.25">
      <c r="A252" s="2">
        <v>540231</v>
      </c>
      <c r="B252" s="2" t="s">
        <v>281</v>
      </c>
      <c r="C252" s="2" t="s">
        <v>85</v>
      </c>
      <c r="D252" s="2" t="s">
        <v>115</v>
      </c>
      <c r="E252" s="2">
        <v>2</v>
      </c>
      <c r="F252" s="2">
        <v>533</v>
      </c>
      <c r="G252" s="2">
        <v>83</v>
      </c>
      <c r="H252" s="2">
        <v>5</v>
      </c>
      <c r="I252" s="2">
        <v>5</v>
      </c>
      <c r="J252" s="2">
        <v>0</v>
      </c>
      <c r="K252" s="2">
        <v>0</v>
      </c>
      <c r="L252" s="159">
        <v>6.0240963855400002E-2</v>
      </c>
      <c r="M252" s="159">
        <v>87.349397590400002</v>
      </c>
      <c r="N252" s="413"/>
    </row>
    <row r="253" spans="1:14" x14ac:dyDescent="0.25">
      <c r="A253" s="2">
        <v>540232</v>
      </c>
      <c r="B253" s="2" t="s">
        <v>282</v>
      </c>
      <c r="C253" s="2" t="s">
        <v>85</v>
      </c>
      <c r="D253" s="2" t="s">
        <v>115</v>
      </c>
      <c r="E253" s="2">
        <v>2</v>
      </c>
      <c r="F253" s="2">
        <v>1388</v>
      </c>
      <c r="G253" s="2">
        <v>175</v>
      </c>
      <c r="H253" s="2">
        <v>2</v>
      </c>
      <c r="I253" s="2">
        <v>2</v>
      </c>
      <c r="J253" s="2">
        <v>0</v>
      </c>
      <c r="K253" s="2">
        <v>0</v>
      </c>
      <c r="L253" s="159">
        <v>1.1428571428599999E-2</v>
      </c>
      <c r="M253" s="159">
        <v>16.571428571399998</v>
      </c>
      <c r="N253" s="413"/>
    </row>
    <row r="254" spans="1:14" x14ac:dyDescent="0.25">
      <c r="A254" s="252"/>
      <c r="B254" s="252"/>
      <c r="C254" s="252" t="s">
        <v>85</v>
      </c>
      <c r="D254" s="252"/>
      <c r="E254" s="252"/>
      <c r="F254" s="252">
        <v>327787</v>
      </c>
      <c r="G254" s="252">
        <v>9886</v>
      </c>
      <c r="H254" s="252">
        <v>450</v>
      </c>
      <c r="I254" s="252">
        <v>450</v>
      </c>
      <c r="J254" s="252">
        <v>0</v>
      </c>
      <c r="K254" s="252">
        <v>0</v>
      </c>
      <c r="L254" s="414">
        <v>4.5518915638300003E-2</v>
      </c>
      <c r="M254" s="414">
        <v>66.002427675500002</v>
      </c>
      <c r="N254" s="413"/>
    </row>
    <row r="255" spans="1:14" x14ac:dyDescent="0.25">
      <c r="A255" s="2">
        <v>540203</v>
      </c>
      <c r="B255" s="2" t="s">
        <v>86</v>
      </c>
      <c r="C255" s="2" t="s">
        <v>87</v>
      </c>
      <c r="D255" s="2" t="s">
        <v>5</v>
      </c>
      <c r="E255" s="2">
        <v>4</v>
      </c>
      <c r="F255" s="2">
        <v>354803</v>
      </c>
      <c r="G255" s="2">
        <v>6759</v>
      </c>
      <c r="H255" s="2">
        <v>149</v>
      </c>
      <c r="I255" s="2">
        <v>149</v>
      </c>
      <c r="J255" s="2">
        <v>0</v>
      </c>
      <c r="K255" s="2">
        <v>0</v>
      </c>
      <c r="L255" s="159">
        <v>2.2044681165899999E-2</v>
      </c>
      <c r="M255" s="159">
        <v>31.9647876905</v>
      </c>
      <c r="N255" s="413"/>
    </row>
    <row r="256" spans="1:14" x14ac:dyDescent="0.25">
      <c r="A256" s="2">
        <v>540204</v>
      </c>
      <c r="B256" s="2" t="s">
        <v>263</v>
      </c>
      <c r="C256" s="2" t="s">
        <v>87</v>
      </c>
      <c r="D256" s="2" t="s">
        <v>115</v>
      </c>
      <c r="E256" s="2">
        <v>4</v>
      </c>
      <c r="F256" s="2">
        <v>303</v>
      </c>
      <c r="G256" s="2">
        <v>43</v>
      </c>
      <c r="H256" s="2">
        <v>4</v>
      </c>
      <c r="I256" s="2">
        <v>4</v>
      </c>
      <c r="J256" s="2">
        <v>0</v>
      </c>
      <c r="K256" s="2">
        <v>0</v>
      </c>
      <c r="L256" s="159">
        <v>9.3023255814000005E-2</v>
      </c>
      <c r="M256" s="159">
        <v>134.88372093000001</v>
      </c>
      <c r="N256" s="413"/>
    </row>
    <row r="257" spans="1:14" x14ac:dyDescent="0.25">
      <c r="A257" s="2">
        <v>540205</v>
      </c>
      <c r="B257" s="2" t="s">
        <v>264</v>
      </c>
      <c r="C257" s="2" t="s">
        <v>87</v>
      </c>
      <c r="D257" s="2" t="s">
        <v>115</v>
      </c>
      <c r="E257" s="2">
        <v>4</v>
      </c>
      <c r="F257" s="2">
        <v>214</v>
      </c>
      <c r="G257" s="2">
        <v>18</v>
      </c>
      <c r="H257" s="2">
        <v>1</v>
      </c>
      <c r="I257" s="2">
        <v>1</v>
      </c>
      <c r="J257" s="2">
        <v>0</v>
      </c>
      <c r="K257" s="2">
        <v>0</v>
      </c>
      <c r="L257" s="159">
        <v>5.5555555555600003E-2</v>
      </c>
      <c r="M257" s="159">
        <v>80.555555555599994</v>
      </c>
      <c r="N257" s="413"/>
    </row>
    <row r="258" spans="1:14" x14ac:dyDescent="0.25">
      <c r="A258" s="2">
        <v>540206</v>
      </c>
      <c r="B258" s="2" t="s">
        <v>265</v>
      </c>
      <c r="C258" s="2" t="s">
        <v>87</v>
      </c>
      <c r="D258" s="2" t="s">
        <v>115</v>
      </c>
      <c r="E258" s="2">
        <v>4</v>
      </c>
      <c r="F258" s="2">
        <v>403</v>
      </c>
      <c r="G258" s="2">
        <v>56</v>
      </c>
      <c r="H258" s="2">
        <v>0</v>
      </c>
      <c r="I258" s="2">
        <v>0</v>
      </c>
      <c r="J258" s="2">
        <v>0</v>
      </c>
      <c r="K258" s="2">
        <v>0</v>
      </c>
      <c r="L258" s="159">
        <v>0</v>
      </c>
      <c r="M258" s="159">
        <v>0</v>
      </c>
      <c r="N258" s="413"/>
    </row>
    <row r="259" spans="1:14" x14ac:dyDescent="0.25">
      <c r="A259" s="252"/>
      <c r="B259" s="252"/>
      <c r="C259" s="252" t="s">
        <v>87</v>
      </c>
      <c r="D259" s="252"/>
      <c r="E259" s="252"/>
      <c r="F259" s="252">
        <v>355723</v>
      </c>
      <c r="G259" s="252">
        <v>6876</v>
      </c>
      <c r="H259" s="252">
        <v>154</v>
      </c>
      <c r="I259" s="252">
        <v>154</v>
      </c>
      <c r="J259" s="252">
        <v>0</v>
      </c>
      <c r="K259" s="252">
        <v>0</v>
      </c>
      <c r="L259" s="414">
        <v>2.2396742292000001E-2</v>
      </c>
      <c r="M259" s="414">
        <v>32.475276323400003</v>
      </c>
      <c r="N259" s="413"/>
    </row>
    <row r="260" spans="1:14" x14ac:dyDescent="0.25">
      <c r="A260" s="2">
        <v>540207</v>
      </c>
      <c r="B260" s="2" t="s">
        <v>88</v>
      </c>
      <c r="C260" s="2" t="s">
        <v>89</v>
      </c>
      <c r="D260" s="2" t="s">
        <v>5</v>
      </c>
      <c r="E260" s="2">
        <v>10</v>
      </c>
      <c r="F260" s="2">
        <v>228227</v>
      </c>
      <c r="G260" s="2">
        <v>6297</v>
      </c>
      <c r="H260" s="2">
        <v>121</v>
      </c>
      <c r="I260" s="2">
        <v>121</v>
      </c>
      <c r="J260" s="2">
        <v>0</v>
      </c>
      <c r="K260" s="2">
        <v>0</v>
      </c>
      <c r="L260" s="159">
        <v>1.92154994442E-2</v>
      </c>
      <c r="M260" s="159">
        <v>27.862474194099999</v>
      </c>
      <c r="N260" s="413"/>
    </row>
    <row r="261" spans="1:14" x14ac:dyDescent="0.25">
      <c r="A261" s="2">
        <v>540196</v>
      </c>
      <c r="B261" s="2" t="s">
        <v>259</v>
      </c>
      <c r="C261" s="2" t="s">
        <v>89</v>
      </c>
      <c r="D261" s="2" t="s">
        <v>115</v>
      </c>
      <c r="E261" s="2">
        <v>5</v>
      </c>
      <c r="F261" s="2">
        <v>332</v>
      </c>
      <c r="G261" s="2">
        <v>35</v>
      </c>
      <c r="H261" s="2">
        <v>21</v>
      </c>
      <c r="I261" s="2">
        <v>21</v>
      </c>
      <c r="J261" s="2">
        <v>0</v>
      </c>
      <c r="K261" s="2">
        <v>0</v>
      </c>
      <c r="L261" s="159">
        <v>0.6</v>
      </c>
      <c r="M261" s="159">
        <v>870</v>
      </c>
      <c r="N261" s="413"/>
    </row>
    <row r="262" spans="1:14" x14ac:dyDescent="0.25">
      <c r="A262" s="2">
        <v>540208</v>
      </c>
      <c r="B262" s="2" t="s">
        <v>266</v>
      </c>
      <c r="C262" s="2" t="s">
        <v>89</v>
      </c>
      <c r="D262" s="2" t="s">
        <v>115</v>
      </c>
      <c r="E262" s="2">
        <v>10</v>
      </c>
      <c r="F262" s="2">
        <v>1735</v>
      </c>
      <c r="G262" s="2">
        <v>519</v>
      </c>
      <c r="H262" s="2">
        <v>28</v>
      </c>
      <c r="I262" s="2">
        <v>26</v>
      </c>
      <c r="J262" s="2">
        <v>0</v>
      </c>
      <c r="K262" s="2">
        <v>2</v>
      </c>
      <c r="L262" s="159">
        <v>5.3949903660900002E-2</v>
      </c>
      <c r="M262" s="159">
        <v>78.227360308300007</v>
      </c>
      <c r="N262" s="413"/>
    </row>
    <row r="263" spans="1:14" x14ac:dyDescent="0.25">
      <c r="A263" s="2">
        <v>540210</v>
      </c>
      <c r="B263" s="2" t="s">
        <v>267</v>
      </c>
      <c r="C263" s="2" t="s">
        <v>89</v>
      </c>
      <c r="D263" s="2" t="s">
        <v>115</v>
      </c>
      <c r="E263" s="2">
        <v>10</v>
      </c>
      <c r="F263" s="2">
        <v>243</v>
      </c>
      <c r="G263" s="2">
        <v>103</v>
      </c>
      <c r="H263" s="2">
        <v>10</v>
      </c>
      <c r="I263" s="2">
        <v>9</v>
      </c>
      <c r="J263" s="2">
        <v>0</v>
      </c>
      <c r="K263" s="2">
        <v>1</v>
      </c>
      <c r="L263" s="159">
        <v>9.7087378640799998E-2</v>
      </c>
      <c r="M263" s="159">
        <v>140.77669902900001</v>
      </c>
      <c r="N263" s="413"/>
    </row>
    <row r="264" spans="1:14" x14ac:dyDescent="0.25">
      <c r="A264" s="2">
        <v>540256</v>
      </c>
      <c r="B264" s="2" t="s">
        <v>301</v>
      </c>
      <c r="C264" s="2" t="s">
        <v>89</v>
      </c>
      <c r="D264" s="2" t="s">
        <v>115</v>
      </c>
      <c r="E264" s="2">
        <v>10</v>
      </c>
      <c r="F264" s="2">
        <v>322</v>
      </c>
      <c r="G264" s="2">
        <v>53</v>
      </c>
      <c r="H264" s="2">
        <v>2</v>
      </c>
      <c r="I264" s="2">
        <v>2</v>
      </c>
      <c r="J264" s="2">
        <v>0</v>
      </c>
      <c r="K264" s="2">
        <v>0</v>
      </c>
      <c r="L264" s="159">
        <v>3.7735849056599997E-2</v>
      </c>
      <c r="M264" s="159">
        <v>54.716981132100003</v>
      </c>
      <c r="N264" s="413"/>
    </row>
    <row r="265" spans="1:14" x14ac:dyDescent="0.25">
      <c r="A265" s="2">
        <v>540258</v>
      </c>
      <c r="B265" s="2" t="s">
        <v>303</v>
      </c>
      <c r="C265" s="2" t="s">
        <v>89</v>
      </c>
      <c r="D265" s="2" t="s">
        <v>115</v>
      </c>
      <c r="E265" s="2">
        <v>10</v>
      </c>
      <c r="F265" s="2">
        <v>191</v>
      </c>
      <c r="G265" s="2">
        <v>36</v>
      </c>
      <c r="H265" s="2">
        <v>2</v>
      </c>
      <c r="I265" s="2">
        <v>2</v>
      </c>
      <c r="J265" s="2">
        <v>0</v>
      </c>
      <c r="K265" s="2">
        <v>0</v>
      </c>
      <c r="L265" s="159">
        <v>5.5555555555600003E-2</v>
      </c>
      <c r="M265" s="159">
        <v>80.555555555599994</v>
      </c>
      <c r="N265" s="413"/>
    </row>
    <row r="266" spans="1:14" x14ac:dyDescent="0.25">
      <c r="A266" s="252"/>
      <c r="B266" s="252"/>
      <c r="C266" s="252" t="s">
        <v>89</v>
      </c>
      <c r="D266" s="252"/>
      <c r="E266" s="252"/>
      <c r="F266" s="252">
        <v>231050</v>
      </c>
      <c r="G266" s="252">
        <v>7043</v>
      </c>
      <c r="H266" s="252">
        <v>184</v>
      </c>
      <c r="I266" s="252">
        <v>181</v>
      </c>
      <c r="J266" s="252">
        <v>0</v>
      </c>
      <c r="K266" s="252">
        <v>3</v>
      </c>
      <c r="L266" s="414">
        <v>2.61252307255E-2</v>
      </c>
      <c r="M266" s="414">
        <v>37.881584552</v>
      </c>
      <c r="N266" s="413"/>
    </row>
    <row r="267" spans="1:14" x14ac:dyDescent="0.25">
      <c r="A267" s="2">
        <v>540211</v>
      </c>
      <c r="B267" s="2" t="s">
        <v>90</v>
      </c>
      <c r="C267" s="2" t="s">
        <v>91</v>
      </c>
      <c r="D267" s="2" t="s">
        <v>5</v>
      </c>
      <c r="E267" s="2">
        <v>5</v>
      </c>
      <c r="F267" s="2">
        <v>149950</v>
      </c>
      <c r="G267" s="2">
        <v>8144</v>
      </c>
      <c r="H267" s="2">
        <v>450</v>
      </c>
      <c r="I267" s="2">
        <v>450</v>
      </c>
      <c r="J267" s="2">
        <v>0</v>
      </c>
      <c r="K267" s="2">
        <v>0</v>
      </c>
      <c r="L267" s="159">
        <v>5.5255402750499998E-2</v>
      </c>
      <c r="M267" s="159">
        <v>80.120333988200002</v>
      </c>
      <c r="N267" s="413"/>
    </row>
    <row r="268" spans="1:14" x14ac:dyDescent="0.25">
      <c r="A268" s="2">
        <v>540212</v>
      </c>
      <c r="B268" s="2" t="s">
        <v>268</v>
      </c>
      <c r="C268" s="2" t="s">
        <v>91</v>
      </c>
      <c r="D268" s="2" t="s">
        <v>115</v>
      </c>
      <c r="E268" s="2">
        <v>5</v>
      </c>
      <c r="F268" s="2">
        <v>343</v>
      </c>
      <c r="G268" s="2">
        <v>147</v>
      </c>
      <c r="H268" s="2">
        <v>1</v>
      </c>
      <c r="I268" s="2">
        <v>1</v>
      </c>
      <c r="J268" s="2">
        <v>0</v>
      </c>
      <c r="K268" s="2">
        <v>0</v>
      </c>
      <c r="L268" s="159">
        <v>6.8027210884400004E-3</v>
      </c>
      <c r="M268" s="159">
        <v>9.8639455782300001</v>
      </c>
      <c r="N268" s="413"/>
    </row>
    <row r="269" spans="1:14" x14ac:dyDescent="0.25">
      <c r="A269" s="252"/>
      <c r="B269" s="252"/>
      <c r="C269" s="252" t="s">
        <v>91</v>
      </c>
      <c r="D269" s="252"/>
      <c r="E269" s="252"/>
      <c r="F269" s="252">
        <v>150293</v>
      </c>
      <c r="G269" s="252">
        <v>8291</v>
      </c>
      <c r="H269" s="252">
        <v>451</v>
      </c>
      <c r="I269" s="252">
        <v>451</v>
      </c>
      <c r="J269" s="252">
        <v>0</v>
      </c>
      <c r="K269" s="252">
        <v>0</v>
      </c>
      <c r="L269" s="414">
        <v>5.43963333735E-2</v>
      </c>
      <c r="M269" s="414">
        <v>78.874683391600001</v>
      </c>
      <c r="N269" s="413"/>
    </row>
    <row r="270" spans="1:14" x14ac:dyDescent="0.25">
      <c r="A270" s="2">
        <v>540213</v>
      </c>
      <c r="B270" s="2" t="s">
        <v>92</v>
      </c>
      <c r="C270" s="2" t="s">
        <v>93</v>
      </c>
      <c r="D270" s="2" t="s">
        <v>5</v>
      </c>
      <c r="E270" s="2">
        <v>5</v>
      </c>
      <c r="F270" s="2">
        <v>229238</v>
      </c>
      <c r="G270" s="2">
        <v>14388</v>
      </c>
      <c r="H270" s="2">
        <v>194</v>
      </c>
      <c r="I270" s="2">
        <v>190</v>
      </c>
      <c r="J270" s="2">
        <v>0</v>
      </c>
      <c r="K270" s="2">
        <v>4</v>
      </c>
      <c r="L270" s="159">
        <v>1.34834584376E-2</v>
      </c>
      <c r="M270" s="159">
        <v>19.551014734500001</v>
      </c>
      <c r="N270" s="413"/>
    </row>
    <row r="271" spans="1:14" x14ac:dyDescent="0.25">
      <c r="A271" s="2">
        <v>540042</v>
      </c>
      <c r="B271" s="2" t="s">
        <v>143</v>
      </c>
      <c r="C271" s="2" t="s">
        <v>93</v>
      </c>
      <c r="D271" s="2" t="s">
        <v>115</v>
      </c>
      <c r="E271" s="2">
        <v>5</v>
      </c>
      <c r="F271" s="2">
        <v>353</v>
      </c>
      <c r="G271" s="2">
        <v>15</v>
      </c>
      <c r="H271" s="2">
        <v>0</v>
      </c>
      <c r="I271" s="2">
        <v>0</v>
      </c>
      <c r="J271" s="2">
        <v>0</v>
      </c>
      <c r="K271" s="2">
        <v>0</v>
      </c>
      <c r="L271" s="159">
        <v>0</v>
      </c>
      <c r="M271" s="159">
        <v>0</v>
      </c>
      <c r="N271" s="413"/>
    </row>
    <row r="272" spans="1:14" x14ac:dyDescent="0.25">
      <c r="A272" s="2">
        <v>540214</v>
      </c>
      <c r="B272" s="2" t="s">
        <v>269</v>
      </c>
      <c r="C272" s="2" t="s">
        <v>93</v>
      </c>
      <c r="D272" s="2" t="s">
        <v>115</v>
      </c>
      <c r="E272" s="2">
        <v>5</v>
      </c>
      <c r="F272" s="2">
        <v>7879</v>
      </c>
      <c r="G272" s="2">
        <v>939</v>
      </c>
      <c r="H272" s="2">
        <v>71</v>
      </c>
      <c r="I272" s="2">
        <v>71</v>
      </c>
      <c r="J272" s="2">
        <v>0</v>
      </c>
      <c r="K272" s="2">
        <v>0</v>
      </c>
      <c r="L272" s="159">
        <v>7.5612353567600002E-2</v>
      </c>
      <c r="M272" s="159">
        <v>109.637912673</v>
      </c>
      <c r="N272" s="413"/>
    </row>
    <row r="273" spans="1:14" x14ac:dyDescent="0.25">
      <c r="A273" s="2">
        <v>540215</v>
      </c>
      <c r="B273" s="2" t="s">
        <v>270</v>
      </c>
      <c r="C273" s="2" t="s">
        <v>93</v>
      </c>
      <c r="D273" s="2" t="s">
        <v>115</v>
      </c>
      <c r="E273" s="2">
        <v>5</v>
      </c>
      <c r="F273" s="2">
        <v>2525</v>
      </c>
      <c r="G273" s="2">
        <v>224</v>
      </c>
      <c r="H273" s="2">
        <v>19</v>
      </c>
      <c r="I273" s="2">
        <v>19</v>
      </c>
      <c r="J273" s="2">
        <v>0</v>
      </c>
      <c r="K273" s="2">
        <v>0</v>
      </c>
      <c r="L273" s="159">
        <v>8.4821428571400001E-2</v>
      </c>
      <c r="M273" s="159">
        <v>122.991071429</v>
      </c>
      <c r="N273" s="413"/>
    </row>
    <row r="274" spans="1:14" x14ac:dyDescent="0.25">
      <c r="A274" s="2">
        <v>540216</v>
      </c>
      <c r="B274" s="2" t="s">
        <v>271</v>
      </c>
      <c r="C274" s="2" t="s">
        <v>93</v>
      </c>
      <c r="D274" s="2" t="s">
        <v>115</v>
      </c>
      <c r="E274" s="2">
        <v>5</v>
      </c>
      <c r="F274" s="2">
        <v>1055</v>
      </c>
      <c r="G274" s="2">
        <v>146</v>
      </c>
      <c r="H274" s="2">
        <v>3</v>
      </c>
      <c r="I274" s="2">
        <v>3</v>
      </c>
      <c r="J274" s="2">
        <v>0</v>
      </c>
      <c r="K274" s="2">
        <v>0</v>
      </c>
      <c r="L274" s="159">
        <v>2.05479452055E-2</v>
      </c>
      <c r="M274" s="159">
        <v>29.794520547899999</v>
      </c>
      <c r="N274" s="413"/>
    </row>
    <row r="275" spans="1:14" x14ac:dyDescent="0.25">
      <c r="A275" s="252"/>
      <c r="B275" s="252"/>
      <c r="C275" s="252" t="s">
        <v>93</v>
      </c>
      <c r="D275" s="252"/>
      <c r="E275" s="252"/>
      <c r="F275" s="252">
        <v>241050</v>
      </c>
      <c r="G275" s="252">
        <v>15712</v>
      </c>
      <c r="H275" s="252">
        <v>287</v>
      </c>
      <c r="I275" s="252">
        <v>283</v>
      </c>
      <c r="J275" s="252">
        <v>0</v>
      </c>
      <c r="K275" s="252">
        <v>4</v>
      </c>
      <c r="L275" s="414">
        <v>1.8266293279E-2</v>
      </c>
      <c r="M275" s="414">
        <v>26.486125254600001</v>
      </c>
      <c r="N275" s="413"/>
    </row>
    <row r="276" spans="1:14" x14ac:dyDescent="0.25">
      <c r="A276" s="2">
        <v>540224</v>
      </c>
      <c r="B276" s="2" t="s">
        <v>96</v>
      </c>
      <c r="C276" s="2" t="s">
        <v>97</v>
      </c>
      <c r="D276" s="2" t="s">
        <v>5</v>
      </c>
      <c r="E276" s="2">
        <v>5</v>
      </c>
      <c r="F276" s="2">
        <v>286084</v>
      </c>
      <c r="G276" s="2">
        <v>7943</v>
      </c>
      <c r="H276" s="2">
        <v>480</v>
      </c>
      <c r="I276" s="2">
        <v>477</v>
      </c>
      <c r="J276" s="2">
        <v>3</v>
      </c>
      <c r="K276" s="2">
        <v>0</v>
      </c>
      <c r="L276" s="159">
        <v>6.0430567795499997E-2</v>
      </c>
      <c r="M276" s="159">
        <v>87.624323303500006</v>
      </c>
      <c r="N276" s="413"/>
    </row>
    <row r="277" spans="1:14" x14ac:dyDescent="0.25">
      <c r="A277" s="2">
        <v>540132</v>
      </c>
      <c r="B277" s="2" t="s">
        <v>216</v>
      </c>
      <c r="C277" s="2" t="s">
        <v>97</v>
      </c>
      <c r="D277" s="2" t="s">
        <v>115</v>
      </c>
      <c r="E277" s="2">
        <v>5</v>
      </c>
      <c r="F277" s="2">
        <v>1020</v>
      </c>
      <c r="G277" s="2">
        <v>21</v>
      </c>
      <c r="H277" s="2">
        <v>20</v>
      </c>
      <c r="I277" s="2">
        <v>20</v>
      </c>
      <c r="J277" s="2">
        <v>0</v>
      </c>
      <c r="K277" s="2">
        <v>0</v>
      </c>
      <c r="L277" s="159">
        <v>0.95238095238099996</v>
      </c>
      <c r="M277" s="159">
        <v>1380.9523809499999</v>
      </c>
      <c r="N277" s="413"/>
    </row>
    <row r="278" spans="1:14" x14ac:dyDescent="0.25">
      <c r="A278" s="2">
        <v>540179</v>
      </c>
      <c r="B278" s="2" t="s">
        <v>250</v>
      </c>
      <c r="C278" s="2" t="s">
        <v>97</v>
      </c>
      <c r="D278" s="2" t="s">
        <v>115</v>
      </c>
      <c r="E278" s="2">
        <v>5</v>
      </c>
      <c r="F278" s="2">
        <v>312</v>
      </c>
      <c r="G278" s="2">
        <v>38</v>
      </c>
      <c r="H278" s="2">
        <v>1</v>
      </c>
      <c r="I278" s="2">
        <v>1</v>
      </c>
      <c r="J278" s="2">
        <v>0</v>
      </c>
      <c r="K278" s="2">
        <v>0</v>
      </c>
      <c r="L278" s="159">
        <v>2.6315789473699999E-2</v>
      </c>
      <c r="M278" s="159">
        <v>38.157894736800003</v>
      </c>
      <c r="N278" s="413"/>
    </row>
    <row r="279" spans="1:14" x14ac:dyDescent="0.25">
      <c r="A279" s="2">
        <v>540180</v>
      </c>
      <c r="B279" s="2" t="s">
        <v>251</v>
      </c>
      <c r="C279" s="2" t="s">
        <v>97</v>
      </c>
      <c r="D279" s="2" t="s">
        <v>115</v>
      </c>
      <c r="E279" s="2">
        <v>5</v>
      </c>
      <c r="F279" s="2">
        <v>720</v>
      </c>
      <c r="G279" s="2">
        <v>33</v>
      </c>
      <c r="H279" s="2">
        <v>0</v>
      </c>
      <c r="I279" s="2">
        <v>0</v>
      </c>
      <c r="J279" s="2">
        <v>0</v>
      </c>
      <c r="K279" s="2">
        <v>0</v>
      </c>
      <c r="L279" s="159">
        <v>0</v>
      </c>
      <c r="M279" s="159">
        <v>0</v>
      </c>
      <c r="N279" s="413"/>
    </row>
    <row r="280" spans="1:14" x14ac:dyDescent="0.25">
      <c r="A280" s="2">
        <v>540182</v>
      </c>
      <c r="B280" s="2" t="s">
        <v>252</v>
      </c>
      <c r="C280" s="2" t="s">
        <v>97</v>
      </c>
      <c r="D280" s="2" t="s">
        <v>115</v>
      </c>
      <c r="E280" s="2">
        <v>5</v>
      </c>
      <c r="F280" s="2">
        <v>1742</v>
      </c>
      <c r="G280" s="2">
        <v>52</v>
      </c>
      <c r="H280" s="2">
        <v>2</v>
      </c>
      <c r="I280" s="2">
        <v>2</v>
      </c>
      <c r="J280" s="2">
        <v>0</v>
      </c>
      <c r="K280" s="2">
        <v>0</v>
      </c>
      <c r="L280" s="159">
        <v>3.8461538461500001E-2</v>
      </c>
      <c r="M280" s="159">
        <v>55.7692307692</v>
      </c>
      <c r="N280" s="413"/>
    </row>
    <row r="281" spans="1:14" x14ac:dyDescent="0.25">
      <c r="A281" s="2">
        <v>540262</v>
      </c>
      <c r="B281" s="2" t="s">
        <v>305</v>
      </c>
      <c r="C281" s="2" t="s">
        <v>97</v>
      </c>
      <c r="D281" s="2" t="s">
        <v>115</v>
      </c>
      <c r="E281" s="2">
        <v>5</v>
      </c>
      <c r="F281" s="2">
        <v>215</v>
      </c>
      <c r="G281" s="2">
        <v>22</v>
      </c>
      <c r="H281" s="2">
        <v>0</v>
      </c>
      <c r="I281" s="2">
        <v>0</v>
      </c>
      <c r="J281" s="2">
        <v>0</v>
      </c>
      <c r="K281" s="2">
        <v>0</v>
      </c>
      <c r="L281" s="159">
        <v>0</v>
      </c>
      <c r="M281" s="159">
        <v>0</v>
      </c>
      <c r="N281" s="413"/>
    </row>
    <row r="282" spans="1:14" x14ac:dyDescent="0.25">
      <c r="A282" s="2">
        <v>540263</v>
      </c>
      <c r="B282" s="2" t="s">
        <v>306</v>
      </c>
      <c r="C282" s="2" t="s">
        <v>97</v>
      </c>
      <c r="D282" s="2" t="s">
        <v>115</v>
      </c>
      <c r="E282" s="2">
        <v>5</v>
      </c>
      <c r="F282" s="2">
        <v>156</v>
      </c>
      <c r="G282" s="2">
        <v>16</v>
      </c>
      <c r="H282" s="2">
        <v>0</v>
      </c>
      <c r="I282" s="2">
        <v>0</v>
      </c>
      <c r="J282" s="2">
        <v>0</v>
      </c>
      <c r="K282" s="2">
        <v>0</v>
      </c>
      <c r="L282" s="159">
        <v>0</v>
      </c>
      <c r="M282" s="159">
        <v>0</v>
      </c>
      <c r="N282" s="413"/>
    </row>
    <row r="283" spans="1:14" x14ac:dyDescent="0.25">
      <c r="A283" s="252"/>
      <c r="B283" s="252"/>
      <c r="C283" s="252" t="s">
        <v>97</v>
      </c>
      <c r="D283" s="252"/>
      <c r="E283" s="252"/>
      <c r="F283" s="252">
        <v>290249</v>
      </c>
      <c r="G283" s="252">
        <v>8125</v>
      </c>
      <c r="H283" s="252">
        <v>503</v>
      </c>
      <c r="I283" s="252">
        <v>500</v>
      </c>
      <c r="J283" s="252">
        <v>3</v>
      </c>
      <c r="K283" s="252">
        <v>0</v>
      </c>
      <c r="L283" s="414">
        <v>6.1907692307699998E-2</v>
      </c>
      <c r="M283" s="414">
        <v>89.766153846199998</v>
      </c>
      <c r="N283" s="413"/>
    </row>
    <row r="284" spans="1:14" x14ac:dyDescent="0.25">
      <c r="A284" s="2">
        <v>540225</v>
      </c>
      <c r="B284" s="2" t="s">
        <v>98</v>
      </c>
      <c r="C284" s="2" t="s">
        <v>99</v>
      </c>
      <c r="D284" s="2" t="s">
        <v>5</v>
      </c>
      <c r="E284" s="2">
        <v>5</v>
      </c>
      <c r="F284" s="2">
        <v>85133</v>
      </c>
      <c r="G284" s="2">
        <v>3556</v>
      </c>
      <c r="H284" s="2">
        <v>76</v>
      </c>
      <c r="I284" s="2">
        <v>76</v>
      </c>
      <c r="J284" s="2">
        <v>0</v>
      </c>
      <c r="K284" s="2">
        <v>0</v>
      </c>
      <c r="L284" s="159">
        <v>2.1372328458900001E-2</v>
      </c>
      <c r="M284" s="159">
        <v>30.989876265500001</v>
      </c>
      <c r="N284" s="413"/>
    </row>
    <row r="285" spans="1:14" x14ac:dyDescent="0.25">
      <c r="A285" s="2">
        <v>540156</v>
      </c>
      <c r="B285" s="2" t="s">
        <v>232</v>
      </c>
      <c r="C285" s="2" t="s">
        <v>99</v>
      </c>
      <c r="D285" s="2" t="s">
        <v>115</v>
      </c>
      <c r="E285" s="2">
        <v>5</v>
      </c>
      <c r="F285" s="2">
        <v>657</v>
      </c>
      <c r="G285" s="2">
        <v>57</v>
      </c>
      <c r="H285" s="2">
        <v>0</v>
      </c>
      <c r="I285" s="2">
        <v>0</v>
      </c>
      <c r="J285" s="2">
        <v>0</v>
      </c>
      <c r="K285" s="2">
        <v>0</v>
      </c>
      <c r="L285" s="159">
        <v>0</v>
      </c>
      <c r="M285" s="159">
        <v>0</v>
      </c>
      <c r="N285" s="413"/>
    </row>
    <row r="286" spans="1:14" x14ac:dyDescent="0.25">
      <c r="A286" s="2">
        <v>540253</v>
      </c>
      <c r="B286" s="2" t="s">
        <v>299</v>
      </c>
      <c r="C286" s="2" t="s">
        <v>99</v>
      </c>
      <c r="D286" s="2" t="s">
        <v>115</v>
      </c>
      <c r="E286" s="2">
        <v>5</v>
      </c>
      <c r="F286" s="2">
        <v>262</v>
      </c>
      <c r="G286" s="2">
        <v>16</v>
      </c>
      <c r="H286" s="2">
        <v>0</v>
      </c>
      <c r="I286" s="2">
        <v>0</v>
      </c>
      <c r="J286" s="2">
        <v>0</v>
      </c>
      <c r="K286" s="2">
        <v>0</v>
      </c>
      <c r="L286" s="159">
        <v>0</v>
      </c>
      <c r="M286" s="159">
        <v>0</v>
      </c>
      <c r="N286" s="413"/>
    </row>
    <row r="287" spans="1:14" x14ac:dyDescent="0.25">
      <c r="A287" s="252"/>
      <c r="B287" s="252"/>
      <c r="C287" s="252" t="s">
        <v>99</v>
      </c>
      <c r="D287" s="252"/>
      <c r="E287" s="252"/>
      <c r="F287" s="252">
        <v>86052</v>
      </c>
      <c r="G287" s="252">
        <v>3629</v>
      </c>
      <c r="H287" s="252">
        <v>76</v>
      </c>
      <c r="I287" s="252">
        <v>76</v>
      </c>
      <c r="J287" s="252">
        <v>0</v>
      </c>
      <c r="K287" s="252">
        <v>0</v>
      </c>
      <c r="L287" s="414">
        <v>2.0942408377E-2</v>
      </c>
      <c r="M287" s="414">
        <v>30.366492146599999</v>
      </c>
      <c r="N287" s="413"/>
    </row>
    <row r="288" spans="1:14" x14ac:dyDescent="0.25">
      <c r="A288" s="2">
        <v>540226</v>
      </c>
      <c r="B288" s="2" t="s">
        <v>100</v>
      </c>
      <c r="C288" s="2" t="s">
        <v>101</v>
      </c>
      <c r="D288" s="2" t="s">
        <v>5</v>
      </c>
      <c r="E288" s="2">
        <v>8</v>
      </c>
      <c r="F288" s="2">
        <v>411595</v>
      </c>
      <c r="G288" s="2">
        <v>20404</v>
      </c>
      <c r="H288" s="2">
        <v>351</v>
      </c>
      <c r="I288" s="2">
        <v>341</v>
      </c>
      <c r="J288" s="2">
        <v>10</v>
      </c>
      <c r="K288" s="2">
        <v>0</v>
      </c>
      <c r="L288" s="159">
        <v>1.72025093119E-2</v>
      </c>
      <c r="M288" s="159">
        <v>24.943638502300001</v>
      </c>
      <c r="N288" s="413"/>
    </row>
    <row r="289" spans="1:14" x14ac:dyDescent="0.25">
      <c r="A289" s="2">
        <v>540046</v>
      </c>
      <c r="B289" s="2" t="s">
        <v>147</v>
      </c>
      <c r="C289" s="2" t="s">
        <v>101</v>
      </c>
      <c r="D289" s="2" t="s">
        <v>115</v>
      </c>
      <c r="E289" s="2">
        <v>8</v>
      </c>
      <c r="F289" s="2">
        <v>447</v>
      </c>
      <c r="G289" s="2">
        <v>56</v>
      </c>
      <c r="H289" s="2">
        <v>0</v>
      </c>
      <c r="I289" s="2">
        <v>0</v>
      </c>
      <c r="J289" s="2">
        <v>0</v>
      </c>
      <c r="K289" s="2">
        <v>0</v>
      </c>
      <c r="L289" s="159">
        <v>0</v>
      </c>
      <c r="M289" s="159">
        <v>0</v>
      </c>
      <c r="N289" s="413"/>
    </row>
    <row r="290" spans="1:14" x14ac:dyDescent="0.25">
      <c r="A290" s="2">
        <v>540276</v>
      </c>
      <c r="B290" s="2" t="s">
        <v>319</v>
      </c>
      <c r="C290" s="2" t="s">
        <v>101</v>
      </c>
      <c r="D290" s="2" t="s">
        <v>115</v>
      </c>
      <c r="E290" s="2">
        <v>8</v>
      </c>
      <c r="F290" s="2">
        <v>615</v>
      </c>
      <c r="G290" s="2">
        <v>22</v>
      </c>
      <c r="H290" s="2">
        <v>0</v>
      </c>
      <c r="I290" s="2">
        <v>0</v>
      </c>
      <c r="J290" s="2">
        <v>0</v>
      </c>
      <c r="K290" s="2">
        <v>0</v>
      </c>
      <c r="L290" s="159">
        <v>0</v>
      </c>
      <c r="M290" s="159">
        <v>0</v>
      </c>
      <c r="N290" s="413"/>
    </row>
    <row r="291" spans="1:14" x14ac:dyDescent="0.25">
      <c r="A291" s="252"/>
      <c r="B291" s="252"/>
      <c r="C291" s="252" t="s">
        <v>101</v>
      </c>
      <c r="D291" s="252"/>
      <c r="E291" s="252"/>
      <c r="F291" s="252">
        <v>412657</v>
      </c>
      <c r="G291" s="252">
        <v>20482</v>
      </c>
      <c r="H291" s="252">
        <v>351</v>
      </c>
      <c r="I291" s="252">
        <v>341</v>
      </c>
      <c r="J291" s="252">
        <v>10</v>
      </c>
      <c r="K291" s="252">
        <v>0</v>
      </c>
      <c r="L291" s="414">
        <v>1.7136998340000001E-2</v>
      </c>
      <c r="M291" s="414">
        <v>24.848647592999999</v>
      </c>
      <c r="N291" s="413"/>
    </row>
    <row r="292" spans="1:14" x14ac:dyDescent="0.25">
      <c r="A292" s="2">
        <v>540277</v>
      </c>
      <c r="B292" s="2" t="s">
        <v>102</v>
      </c>
      <c r="C292" s="2" t="s">
        <v>103</v>
      </c>
      <c r="D292" s="2" t="s">
        <v>5</v>
      </c>
      <c r="E292" s="2">
        <v>5</v>
      </c>
      <c r="F292" s="2">
        <v>165884</v>
      </c>
      <c r="G292" s="2">
        <v>7778</v>
      </c>
      <c r="H292" s="2">
        <v>158</v>
      </c>
      <c r="I292" s="2">
        <v>158</v>
      </c>
      <c r="J292" s="2">
        <v>0</v>
      </c>
      <c r="K292" s="2">
        <v>0</v>
      </c>
      <c r="L292" s="159">
        <v>2.03137053227E-2</v>
      </c>
      <c r="M292" s="159">
        <v>29.454872717899999</v>
      </c>
      <c r="N292" s="413"/>
    </row>
    <row r="293" spans="1:14" x14ac:dyDescent="0.25">
      <c r="A293" s="2">
        <v>540195</v>
      </c>
      <c r="B293" s="2" t="s">
        <v>258</v>
      </c>
      <c r="C293" s="2" t="s">
        <v>103</v>
      </c>
      <c r="D293" s="2" t="s">
        <v>115</v>
      </c>
      <c r="E293" s="2">
        <v>5</v>
      </c>
      <c r="F293" s="2">
        <v>242</v>
      </c>
      <c r="G293" s="2">
        <v>14</v>
      </c>
      <c r="H293" s="2">
        <v>0</v>
      </c>
      <c r="I293" s="2">
        <v>0</v>
      </c>
      <c r="J293" s="2">
        <v>0</v>
      </c>
      <c r="K293" s="2">
        <v>0</v>
      </c>
      <c r="L293" s="159">
        <v>0</v>
      </c>
      <c r="M293" s="159">
        <v>0</v>
      </c>
      <c r="N293" s="413"/>
    </row>
    <row r="294" spans="1:14" x14ac:dyDescent="0.25">
      <c r="A294" s="2">
        <v>540196</v>
      </c>
      <c r="B294" s="2" t="s">
        <v>259</v>
      </c>
      <c r="C294" s="2" t="s">
        <v>103</v>
      </c>
      <c r="D294" s="2" t="s">
        <v>115</v>
      </c>
      <c r="E294" s="2">
        <v>5</v>
      </c>
      <c r="F294" s="2">
        <v>210</v>
      </c>
      <c r="G294" s="2">
        <v>25</v>
      </c>
      <c r="H294" s="2">
        <v>0</v>
      </c>
      <c r="I294" s="2">
        <v>0</v>
      </c>
      <c r="J294" s="2">
        <v>0</v>
      </c>
      <c r="K294" s="2">
        <v>0</v>
      </c>
      <c r="L294" s="159">
        <v>0</v>
      </c>
      <c r="M294" s="159">
        <v>0</v>
      </c>
      <c r="N294" s="413"/>
    </row>
    <row r="295" spans="1:14" x14ac:dyDescent="0.25">
      <c r="A295" s="2">
        <v>540197</v>
      </c>
      <c r="B295" s="2" t="s">
        <v>260</v>
      </c>
      <c r="C295" s="2" t="s">
        <v>103</v>
      </c>
      <c r="D295" s="2" t="s">
        <v>115</v>
      </c>
      <c r="E295" s="2">
        <v>5</v>
      </c>
      <c r="F295" s="2">
        <v>336</v>
      </c>
      <c r="G295" s="2">
        <v>50</v>
      </c>
      <c r="H295" s="2">
        <v>0</v>
      </c>
      <c r="I295" s="2">
        <v>0</v>
      </c>
      <c r="J295" s="2">
        <v>0</v>
      </c>
      <c r="K295" s="2">
        <v>0</v>
      </c>
      <c r="L295" s="159">
        <v>0</v>
      </c>
      <c r="M295" s="159">
        <v>0</v>
      </c>
      <c r="N295" s="413"/>
    </row>
    <row r="296" spans="1:14" x14ac:dyDescent="0.25">
      <c r="A296" s="2">
        <v>540259</v>
      </c>
      <c r="B296" s="2" t="s">
        <v>304</v>
      </c>
      <c r="C296" s="2" t="s">
        <v>103</v>
      </c>
      <c r="D296" s="2" t="s">
        <v>115</v>
      </c>
      <c r="E296" s="2">
        <v>5</v>
      </c>
      <c r="F296" s="2">
        <v>65</v>
      </c>
      <c r="G296" s="2">
        <v>36</v>
      </c>
      <c r="H296" s="2">
        <v>0</v>
      </c>
      <c r="I296" s="2">
        <v>0</v>
      </c>
      <c r="J296" s="2">
        <v>0</v>
      </c>
      <c r="K296" s="2">
        <v>0</v>
      </c>
      <c r="L296" s="159">
        <v>0</v>
      </c>
      <c r="M296" s="159">
        <v>0</v>
      </c>
      <c r="N296" s="413"/>
    </row>
    <row r="297" spans="1:14" x14ac:dyDescent="0.25">
      <c r="A297" s="252"/>
      <c r="B297" s="252"/>
      <c r="C297" s="252" t="s">
        <v>103</v>
      </c>
      <c r="D297" s="252"/>
      <c r="E297" s="252"/>
      <c r="F297" s="252">
        <v>166737</v>
      </c>
      <c r="G297" s="252">
        <v>7903</v>
      </c>
      <c r="H297" s="252">
        <v>158</v>
      </c>
      <c r="I297" s="252">
        <v>158</v>
      </c>
      <c r="J297" s="252">
        <v>0</v>
      </c>
      <c r="K297" s="252">
        <v>0</v>
      </c>
      <c r="L297" s="414">
        <v>1.99924079463E-2</v>
      </c>
      <c r="M297" s="414">
        <v>28.988991522199999</v>
      </c>
    </row>
    <row r="298" spans="1:14" x14ac:dyDescent="0.25">
      <c r="A298" s="2">
        <v>540278</v>
      </c>
      <c r="B298" s="2" t="s">
        <v>104</v>
      </c>
      <c r="C298" s="2" t="s">
        <v>105</v>
      </c>
      <c r="D298" s="2" t="s">
        <v>5</v>
      </c>
      <c r="E298" s="2">
        <v>1</v>
      </c>
      <c r="F298" s="2">
        <v>302113</v>
      </c>
      <c r="G298" s="2">
        <v>7526</v>
      </c>
      <c r="H298" s="2">
        <v>173</v>
      </c>
      <c r="I298" s="2">
        <v>8</v>
      </c>
      <c r="J298" s="2">
        <v>164</v>
      </c>
      <c r="K298" s="2">
        <v>1</v>
      </c>
      <c r="L298" s="159">
        <v>2.29869784746E-2</v>
      </c>
      <c r="M298" s="159">
        <v>33.331118788200001</v>
      </c>
    </row>
    <row r="299" spans="1:14" x14ac:dyDescent="0.25">
      <c r="A299" s="2">
        <v>540041</v>
      </c>
      <c r="B299" s="2" t="s">
        <v>142</v>
      </c>
      <c r="C299" s="2" t="s">
        <v>105</v>
      </c>
      <c r="D299" s="2" t="s">
        <v>115</v>
      </c>
      <c r="E299" s="2">
        <v>1</v>
      </c>
      <c r="F299" s="2">
        <v>193</v>
      </c>
      <c r="G299" s="2">
        <v>43</v>
      </c>
      <c r="H299" s="2">
        <v>1</v>
      </c>
      <c r="I299" s="2">
        <v>0</v>
      </c>
      <c r="J299" s="2">
        <v>0</v>
      </c>
      <c r="K299" s="2">
        <v>1</v>
      </c>
      <c r="L299" s="159">
        <v>2.3255813953500001E-2</v>
      </c>
      <c r="M299" s="159">
        <v>33.720930232599997</v>
      </c>
    </row>
    <row r="300" spans="1:14" x14ac:dyDescent="0.25">
      <c r="A300" s="2">
        <v>540143</v>
      </c>
      <c r="B300" s="2" t="s">
        <v>224</v>
      </c>
      <c r="C300" s="2" t="s">
        <v>105</v>
      </c>
      <c r="D300" s="2" t="s">
        <v>115</v>
      </c>
      <c r="E300" s="2">
        <v>1</v>
      </c>
      <c r="F300" s="2">
        <v>202</v>
      </c>
      <c r="G300" s="2">
        <v>25</v>
      </c>
      <c r="H300" s="2">
        <v>0</v>
      </c>
      <c r="I300" s="2">
        <v>0</v>
      </c>
      <c r="J300" s="2">
        <v>0</v>
      </c>
      <c r="K300" s="2">
        <v>0</v>
      </c>
      <c r="L300" s="159">
        <v>0</v>
      </c>
      <c r="M300" s="159">
        <v>0</v>
      </c>
    </row>
    <row r="301" spans="1:14" x14ac:dyDescent="0.25">
      <c r="A301" s="2">
        <v>540290</v>
      </c>
      <c r="B301" s="2" t="s">
        <v>327</v>
      </c>
      <c r="C301" s="2" t="s">
        <v>105</v>
      </c>
      <c r="D301" s="2" t="s">
        <v>115</v>
      </c>
      <c r="E301" s="2">
        <v>1</v>
      </c>
      <c r="F301" s="2">
        <v>287</v>
      </c>
      <c r="G301" s="2">
        <v>0</v>
      </c>
      <c r="H301" s="2">
        <v>0</v>
      </c>
      <c r="I301" s="2">
        <v>0</v>
      </c>
      <c r="J301" s="2">
        <v>0</v>
      </c>
      <c r="K301" s="2">
        <v>0</v>
      </c>
      <c r="L301" s="159" t="s">
        <v>488</v>
      </c>
      <c r="M301" s="159" t="s">
        <v>488</v>
      </c>
    </row>
    <row r="302" spans="1:14" x14ac:dyDescent="0.25">
      <c r="A302" s="252"/>
      <c r="B302" s="252"/>
      <c r="C302" s="252" t="s">
        <v>105</v>
      </c>
      <c r="D302" s="252"/>
      <c r="E302" s="252"/>
      <c r="F302" s="252">
        <v>302795</v>
      </c>
      <c r="G302" s="252">
        <v>7594</v>
      </c>
      <c r="H302" s="252">
        <v>174</v>
      </c>
      <c r="I302" s="252">
        <v>8</v>
      </c>
      <c r="J302" s="252">
        <v>164</v>
      </c>
      <c r="K302" s="252">
        <v>2</v>
      </c>
      <c r="L302" s="414">
        <v>2.29128259152E-2</v>
      </c>
      <c r="M302" s="414">
        <v>33.223597577</v>
      </c>
    </row>
    <row r="303" spans="1:14" x14ac:dyDescent="0.25">
      <c r="A303" s="2">
        <v>540282</v>
      </c>
      <c r="B303" s="2" t="s">
        <v>106</v>
      </c>
      <c r="C303" s="2" t="s">
        <v>107</v>
      </c>
      <c r="D303" s="2" t="s">
        <v>5</v>
      </c>
      <c r="E303" s="2">
        <v>9</v>
      </c>
      <c r="F303" s="2">
        <v>201588</v>
      </c>
      <c r="G303" s="2">
        <v>8820</v>
      </c>
      <c r="H303" s="2">
        <v>134</v>
      </c>
      <c r="I303" s="2">
        <v>122</v>
      </c>
      <c r="J303" s="2">
        <v>2</v>
      </c>
      <c r="K303" s="2">
        <v>10</v>
      </c>
      <c r="L303" s="159">
        <v>1.51927437642E-2</v>
      </c>
      <c r="M303" s="159">
        <v>22.029478458</v>
      </c>
    </row>
    <row r="304" spans="1:14" x14ac:dyDescent="0.25">
      <c r="A304" s="2">
        <v>540006</v>
      </c>
      <c r="B304" s="2" t="s">
        <v>119</v>
      </c>
      <c r="C304" s="2" t="s">
        <v>107</v>
      </c>
      <c r="D304" s="2" t="s">
        <v>115</v>
      </c>
      <c r="E304" s="2">
        <v>9</v>
      </c>
      <c r="F304" s="2">
        <v>4259</v>
      </c>
      <c r="G304" s="2">
        <v>128</v>
      </c>
      <c r="H304" s="2">
        <v>20</v>
      </c>
      <c r="I304" s="2">
        <v>20</v>
      </c>
      <c r="J304" s="2">
        <v>0</v>
      </c>
      <c r="K304" s="2">
        <v>0</v>
      </c>
      <c r="L304" s="159">
        <v>0.15625</v>
      </c>
      <c r="M304" s="159">
        <v>226.5625</v>
      </c>
    </row>
    <row r="305" spans="1:13" x14ac:dyDescent="0.25">
      <c r="A305" s="2">
        <v>545550</v>
      </c>
      <c r="B305" s="2" t="s">
        <v>339</v>
      </c>
      <c r="C305" s="2" t="s">
        <v>107</v>
      </c>
      <c r="D305" s="2" t="s">
        <v>115</v>
      </c>
      <c r="E305" s="2">
        <v>9</v>
      </c>
      <c r="F305" s="2">
        <v>85</v>
      </c>
      <c r="G305" s="2">
        <v>0</v>
      </c>
      <c r="H305" s="2">
        <v>0</v>
      </c>
      <c r="I305" s="2">
        <v>0</v>
      </c>
      <c r="J305" s="2">
        <v>0</v>
      </c>
      <c r="K305" s="2">
        <v>0</v>
      </c>
      <c r="L305" s="159" t="s">
        <v>488</v>
      </c>
      <c r="M305" s="159" t="s">
        <v>488</v>
      </c>
    </row>
    <row r="306" spans="1:13" x14ac:dyDescent="0.25">
      <c r="A306" s="252"/>
      <c r="B306" s="252"/>
      <c r="C306" s="252" t="s">
        <v>107</v>
      </c>
      <c r="D306" s="252"/>
      <c r="E306" s="252"/>
      <c r="F306" s="252">
        <v>205932</v>
      </c>
      <c r="G306" s="252">
        <v>8948</v>
      </c>
      <c r="H306" s="252">
        <v>154</v>
      </c>
      <c r="I306" s="252">
        <v>142</v>
      </c>
      <c r="J306" s="252">
        <v>2</v>
      </c>
      <c r="K306" s="252">
        <v>10</v>
      </c>
      <c r="L306" s="414">
        <v>1.7210549843500001E-2</v>
      </c>
      <c r="M306" s="414">
        <v>24.955297273100001</v>
      </c>
    </row>
    <row r="307" spans="1:13" x14ac:dyDescent="0.25">
      <c r="A307" s="2">
        <v>540283</v>
      </c>
      <c r="B307" s="2" t="s">
        <v>108</v>
      </c>
      <c r="C307" s="2" t="s">
        <v>109</v>
      </c>
      <c r="D307" s="2" t="s">
        <v>5</v>
      </c>
      <c r="E307" s="2">
        <v>4</v>
      </c>
      <c r="F307" s="2">
        <v>600184</v>
      </c>
      <c r="G307" s="2">
        <v>8050</v>
      </c>
      <c r="H307" s="2">
        <v>600</v>
      </c>
      <c r="I307" s="2">
        <v>577</v>
      </c>
      <c r="J307" s="2">
        <v>23</v>
      </c>
      <c r="K307" s="2">
        <v>0</v>
      </c>
      <c r="L307" s="159">
        <v>7.4534161490699996E-2</v>
      </c>
      <c r="M307" s="159">
        <v>108.074534161</v>
      </c>
    </row>
    <row r="308" spans="1:13" x14ac:dyDescent="0.25">
      <c r="A308" s="2">
        <v>540158</v>
      </c>
      <c r="B308" s="2" t="s">
        <v>233</v>
      </c>
      <c r="C308" s="2" t="s">
        <v>109</v>
      </c>
      <c r="D308" s="2" t="s">
        <v>115</v>
      </c>
      <c r="E308" s="2">
        <v>4</v>
      </c>
      <c r="F308" s="2">
        <v>366</v>
      </c>
      <c r="G308" s="2">
        <v>23</v>
      </c>
      <c r="H308" s="2">
        <v>0</v>
      </c>
      <c r="I308" s="2">
        <v>0</v>
      </c>
      <c r="J308" s="2">
        <v>0</v>
      </c>
      <c r="K308" s="2">
        <v>0</v>
      </c>
      <c r="L308" s="159">
        <v>0</v>
      </c>
      <c r="M308" s="159">
        <v>0</v>
      </c>
    </row>
    <row r="309" spans="1:13" x14ac:dyDescent="0.25">
      <c r="A309" s="2">
        <v>540159</v>
      </c>
      <c r="B309" s="2" t="s">
        <v>234</v>
      </c>
      <c r="C309" s="2" t="s">
        <v>109</v>
      </c>
      <c r="D309" s="2" t="s">
        <v>115</v>
      </c>
      <c r="E309" s="2">
        <v>4</v>
      </c>
      <c r="F309" s="2">
        <v>1566</v>
      </c>
      <c r="G309" s="2">
        <v>330</v>
      </c>
      <c r="H309" s="2">
        <v>35</v>
      </c>
      <c r="I309" s="2">
        <v>35</v>
      </c>
      <c r="J309" s="2">
        <v>0</v>
      </c>
      <c r="K309" s="2">
        <v>0</v>
      </c>
      <c r="L309" s="159">
        <v>0.106060606061</v>
      </c>
      <c r="M309" s="159">
        <v>153.787878788</v>
      </c>
    </row>
    <row r="310" spans="1:13" x14ac:dyDescent="0.25">
      <c r="A310" s="2">
        <v>540288</v>
      </c>
      <c r="B310" s="2" t="s">
        <v>340</v>
      </c>
      <c r="C310" s="2" t="s">
        <v>109</v>
      </c>
      <c r="D310" s="2" t="s">
        <v>115</v>
      </c>
      <c r="E310" s="2">
        <v>4</v>
      </c>
      <c r="F310" s="2">
        <v>230</v>
      </c>
      <c r="G310" s="2">
        <v>0</v>
      </c>
      <c r="H310" s="2">
        <v>0</v>
      </c>
      <c r="I310" s="2">
        <v>0</v>
      </c>
      <c r="J310" s="2">
        <v>0</v>
      </c>
      <c r="K310" s="2">
        <v>0</v>
      </c>
      <c r="L310" s="159" t="s">
        <v>488</v>
      </c>
      <c r="M310" s="159" t="s">
        <v>488</v>
      </c>
    </row>
    <row r="311" spans="1:13" x14ac:dyDescent="0.25">
      <c r="A311" s="252"/>
      <c r="B311" s="252"/>
      <c r="C311" s="252" t="s">
        <v>109</v>
      </c>
      <c r="D311" s="252"/>
      <c r="E311" s="252"/>
      <c r="F311" s="252">
        <v>602346</v>
      </c>
      <c r="G311" s="252">
        <v>8403</v>
      </c>
      <c r="H311" s="252">
        <v>635</v>
      </c>
      <c r="I311" s="252">
        <v>612</v>
      </c>
      <c r="J311" s="252">
        <v>23</v>
      </c>
      <c r="K311" s="252">
        <v>0</v>
      </c>
      <c r="L311" s="414">
        <v>7.5568249434700002E-2</v>
      </c>
      <c r="M311" s="414">
        <v>109.57396168</v>
      </c>
    </row>
    <row r="312" spans="1:13" x14ac:dyDescent="0.25">
      <c r="A312" s="2">
        <v>545536</v>
      </c>
      <c r="B312" s="2" t="s">
        <v>110</v>
      </c>
      <c r="C312" s="2" t="s">
        <v>111</v>
      </c>
      <c r="D312" s="2" t="s">
        <v>5</v>
      </c>
      <c r="E312" s="2">
        <v>2</v>
      </c>
      <c r="F312" s="2">
        <v>289017</v>
      </c>
      <c r="G312" s="2">
        <v>3652</v>
      </c>
      <c r="H312" s="2">
        <v>33</v>
      </c>
      <c r="I312" s="2">
        <v>29</v>
      </c>
      <c r="J312" s="2">
        <v>0</v>
      </c>
      <c r="K312" s="2">
        <v>4</v>
      </c>
      <c r="L312" s="159">
        <v>9.03614457831E-3</v>
      </c>
      <c r="M312" s="159">
        <v>13.102409638599999</v>
      </c>
    </row>
    <row r="313" spans="1:13" x14ac:dyDescent="0.25">
      <c r="A313" s="2">
        <v>540092</v>
      </c>
      <c r="B313" s="2" t="s">
        <v>183</v>
      </c>
      <c r="C313" s="2" t="s">
        <v>111</v>
      </c>
      <c r="D313" s="2" t="s">
        <v>115</v>
      </c>
      <c r="E313" s="2">
        <v>2</v>
      </c>
      <c r="F313" s="2">
        <v>436</v>
      </c>
      <c r="G313" s="2">
        <v>39</v>
      </c>
      <c r="H313" s="2">
        <v>0</v>
      </c>
      <c r="I313" s="2">
        <v>0</v>
      </c>
      <c r="J313" s="2">
        <v>0</v>
      </c>
      <c r="K313" s="2">
        <v>0</v>
      </c>
      <c r="L313" s="159">
        <v>0</v>
      </c>
      <c r="M313" s="159">
        <v>0</v>
      </c>
    </row>
    <row r="314" spans="1:13" x14ac:dyDescent="0.25">
      <c r="A314" s="2">
        <v>540095</v>
      </c>
      <c r="B314" s="2" t="s">
        <v>186</v>
      </c>
      <c r="C314" s="2" t="s">
        <v>111</v>
      </c>
      <c r="D314" s="2" t="s">
        <v>115</v>
      </c>
      <c r="E314" s="2">
        <v>2</v>
      </c>
      <c r="F314" s="2">
        <v>215</v>
      </c>
      <c r="G314" s="2">
        <v>11</v>
      </c>
      <c r="H314" s="2">
        <v>0</v>
      </c>
      <c r="I314" s="2">
        <v>0</v>
      </c>
      <c r="J314" s="2">
        <v>0</v>
      </c>
      <c r="K314" s="2">
        <v>0</v>
      </c>
      <c r="L314" s="159">
        <v>0</v>
      </c>
      <c r="M314" s="159">
        <v>0</v>
      </c>
    </row>
    <row r="315" spans="1:13" x14ac:dyDescent="0.25">
      <c r="A315" s="2">
        <v>545535</v>
      </c>
      <c r="B315" s="2" t="s">
        <v>332</v>
      </c>
      <c r="C315" s="2" t="s">
        <v>111</v>
      </c>
      <c r="D315" s="2" t="s">
        <v>115</v>
      </c>
      <c r="E315" s="2">
        <v>2</v>
      </c>
      <c r="F315" s="2">
        <v>790</v>
      </c>
      <c r="G315" s="2">
        <v>16</v>
      </c>
      <c r="H315" s="2">
        <v>0</v>
      </c>
      <c r="I315" s="2">
        <v>0</v>
      </c>
      <c r="J315" s="2">
        <v>0</v>
      </c>
      <c r="K315" s="2">
        <v>0</v>
      </c>
      <c r="L315" s="159">
        <v>0</v>
      </c>
      <c r="M315" s="159">
        <v>0</v>
      </c>
    </row>
    <row r="316" spans="1:13" x14ac:dyDescent="0.25">
      <c r="A316" s="2">
        <v>545537</v>
      </c>
      <c r="B316" s="2" t="s">
        <v>333</v>
      </c>
      <c r="C316" s="2" t="s">
        <v>111</v>
      </c>
      <c r="D316" s="2" t="s">
        <v>115</v>
      </c>
      <c r="E316" s="2">
        <v>2</v>
      </c>
      <c r="F316" s="2">
        <v>737</v>
      </c>
      <c r="G316" s="2">
        <v>67</v>
      </c>
      <c r="H316" s="2">
        <v>0</v>
      </c>
      <c r="I316" s="2">
        <v>0</v>
      </c>
      <c r="J316" s="2">
        <v>0</v>
      </c>
      <c r="K316" s="2">
        <v>0</v>
      </c>
      <c r="L316" s="159">
        <v>0</v>
      </c>
      <c r="M316" s="159">
        <v>0</v>
      </c>
    </row>
    <row r="317" spans="1:13" x14ac:dyDescent="0.25">
      <c r="A317" s="2">
        <v>545539</v>
      </c>
      <c r="B317" s="2" t="s">
        <v>335</v>
      </c>
      <c r="C317" s="2" t="s">
        <v>111</v>
      </c>
      <c r="D317" s="2" t="s">
        <v>115</v>
      </c>
      <c r="E317" s="2">
        <v>2</v>
      </c>
      <c r="F317" s="2">
        <v>216</v>
      </c>
      <c r="G317" s="2">
        <v>5</v>
      </c>
      <c r="H317" s="2">
        <v>0</v>
      </c>
      <c r="I317" s="2">
        <v>0</v>
      </c>
      <c r="J317" s="2">
        <v>0</v>
      </c>
      <c r="K317" s="2">
        <v>0</v>
      </c>
      <c r="L317" s="159">
        <v>0</v>
      </c>
      <c r="M317" s="159">
        <v>0</v>
      </c>
    </row>
    <row r="318" spans="1:13" x14ac:dyDescent="0.25">
      <c r="A318" s="252"/>
      <c r="B318" s="252"/>
      <c r="C318" s="252" t="s">
        <v>111</v>
      </c>
      <c r="D318" s="252"/>
      <c r="E318" s="252"/>
      <c r="F318" s="252">
        <v>291411</v>
      </c>
      <c r="G318" s="252">
        <v>3790</v>
      </c>
      <c r="H318" s="252">
        <v>33</v>
      </c>
      <c r="I318" s="252">
        <v>29</v>
      </c>
      <c r="J318" s="252">
        <v>0</v>
      </c>
      <c r="K318" s="252">
        <v>4</v>
      </c>
      <c r="L318" s="414">
        <v>8.7071240105500002E-3</v>
      </c>
      <c r="M318" s="414">
        <v>12.625329815300001</v>
      </c>
    </row>
    <row r="319" spans="1:13" x14ac:dyDescent="0.25">
      <c r="A319" s="2">
        <v>540191</v>
      </c>
      <c r="B319" s="2" t="s">
        <v>112</v>
      </c>
      <c r="C319" s="2" t="s">
        <v>113</v>
      </c>
      <c r="D319" s="2" t="s">
        <v>5</v>
      </c>
      <c r="E319" s="2">
        <v>7</v>
      </c>
      <c r="F319" s="2">
        <v>264953</v>
      </c>
      <c r="G319" s="2">
        <v>5432</v>
      </c>
      <c r="H319" s="2">
        <v>518</v>
      </c>
      <c r="I319" s="2">
        <v>515</v>
      </c>
      <c r="J319" s="2">
        <v>2</v>
      </c>
      <c r="K319" s="2">
        <v>1</v>
      </c>
      <c r="L319" s="159">
        <v>9.5360824742299996E-2</v>
      </c>
      <c r="M319" s="159">
        <v>138.27319587599999</v>
      </c>
    </row>
    <row r="320" spans="1:13" x14ac:dyDescent="0.25">
      <c r="A320" s="2">
        <v>540193</v>
      </c>
      <c r="B320" s="2" t="s">
        <v>342</v>
      </c>
      <c r="C320" s="2" t="s">
        <v>113</v>
      </c>
      <c r="D320" s="2" t="s">
        <v>115</v>
      </c>
      <c r="E320" s="2">
        <v>7</v>
      </c>
      <c r="F320" s="2">
        <v>274</v>
      </c>
      <c r="G320" s="2">
        <v>50</v>
      </c>
      <c r="H320" s="2">
        <v>0</v>
      </c>
      <c r="I320" s="2">
        <v>0</v>
      </c>
      <c r="J320" s="2">
        <v>0</v>
      </c>
      <c r="K320" s="2">
        <v>0</v>
      </c>
      <c r="L320" s="159">
        <v>0</v>
      </c>
      <c r="M320" s="159">
        <v>0</v>
      </c>
    </row>
    <row r="321" spans="1:13" x14ac:dyDescent="0.25">
      <c r="A321" s="2">
        <v>540192</v>
      </c>
      <c r="B321" s="2" t="s">
        <v>343</v>
      </c>
      <c r="C321" s="2" t="s">
        <v>113</v>
      </c>
      <c r="D321" s="2" t="s">
        <v>115</v>
      </c>
      <c r="E321" s="2">
        <v>7</v>
      </c>
      <c r="F321" s="2">
        <v>166</v>
      </c>
      <c r="G321" s="2">
        <v>13</v>
      </c>
      <c r="H321" s="2">
        <v>0</v>
      </c>
      <c r="I321" s="2">
        <v>0</v>
      </c>
      <c r="J321" s="2">
        <v>0</v>
      </c>
      <c r="K321" s="2">
        <v>0</v>
      </c>
      <c r="L321" s="159">
        <v>0</v>
      </c>
      <c r="M321" s="159">
        <v>0</v>
      </c>
    </row>
    <row r="322" spans="1:13" x14ac:dyDescent="0.25">
      <c r="A322" s="2">
        <v>540194</v>
      </c>
      <c r="B322" s="2" t="s">
        <v>344</v>
      </c>
      <c r="C322" s="2" t="s">
        <v>113</v>
      </c>
      <c r="D322" s="2" t="s">
        <v>115</v>
      </c>
      <c r="E322" s="2">
        <v>7</v>
      </c>
      <c r="F322" s="2">
        <v>529</v>
      </c>
      <c r="G322" s="2">
        <v>133</v>
      </c>
      <c r="H322" s="2">
        <v>33</v>
      </c>
      <c r="I322" s="2">
        <v>30</v>
      </c>
      <c r="J322" s="2">
        <v>0</v>
      </c>
      <c r="K322" s="2">
        <v>3</v>
      </c>
      <c r="L322" s="159">
        <v>0.24812030075200001</v>
      </c>
      <c r="M322" s="159">
        <v>359.77443608999999</v>
      </c>
    </row>
    <row r="323" spans="1:13" x14ac:dyDescent="0.25">
      <c r="A323" s="2">
        <v>540261</v>
      </c>
      <c r="B323" s="2" t="s">
        <v>345</v>
      </c>
      <c r="C323" s="2" t="s">
        <v>113</v>
      </c>
      <c r="D323" s="2" t="s">
        <v>115</v>
      </c>
      <c r="E323" s="2">
        <v>7</v>
      </c>
      <c r="F323" s="2">
        <v>2257</v>
      </c>
      <c r="G323" s="2">
        <v>113</v>
      </c>
      <c r="H323" s="2">
        <v>0</v>
      </c>
      <c r="I323" s="2">
        <v>0</v>
      </c>
      <c r="J323" s="2">
        <v>0</v>
      </c>
      <c r="K323" s="2">
        <v>0</v>
      </c>
      <c r="L323" s="159">
        <v>0</v>
      </c>
      <c r="M323" s="159">
        <v>0</v>
      </c>
    </row>
    <row r="324" spans="1:13" x14ac:dyDescent="0.25">
      <c r="A324" s="2">
        <v>540260</v>
      </c>
      <c r="B324" s="2" t="s">
        <v>346</v>
      </c>
      <c r="C324" s="2" t="s">
        <v>113</v>
      </c>
      <c r="D324" s="2" t="s">
        <v>115</v>
      </c>
      <c r="E324" s="2">
        <v>7</v>
      </c>
      <c r="F324" s="2">
        <v>1280</v>
      </c>
      <c r="G324" s="2">
        <v>74</v>
      </c>
      <c r="H324" s="2">
        <v>5</v>
      </c>
      <c r="I324" s="2">
        <v>5</v>
      </c>
      <c r="J324" s="2">
        <v>0</v>
      </c>
      <c r="K324" s="2">
        <v>0</v>
      </c>
      <c r="L324" s="159">
        <v>6.7567567567600004E-2</v>
      </c>
      <c r="M324" s="159">
        <v>97.972972972999997</v>
      </c>
    </row>
    <row r="325" spans="1:13" x14ac:dyDescent="0.25">
      <c r="A325" s="252"/>
      <c r="B325" s="252"/>
      <c r="C325" s="252" t="s">
        <v>113</v>
      </c>
      <c r="D325" s="252"/>
      <c r="E325" s="252"/>
      <c r="F325" s="252">
        <v>269459</v>
      </c>
      <c r="G325" s="252">
        <v>5815</v>
      </c>
      <c r="H325" s="252">
        <v>556</v>
      </c>
      <c r="I325" s="252">
        <v>550</v>
      </c>
      <c r="J325" s="252">
        <v>2</v>
      </c>
      <c r="K325" s="252">
        <v>4</v>
      </c>
      <c r="L325" s="414">
        <v>9.5614789337900005E-2</v>
      </c>
      <c r="M325" s="414">
        <v>138.64144454000001</v>
      </c>
    </row>
    <row r="326" spans="1:13" x14ac:dyDescent="0.25">
      <c r="A326" s="2">
        <v>540027</v>
      </c>
      <c r="B326" s="2" t="s">
        <v>132</v>
      </c>
      <c r="C326" s="2" t="s">
        <v>21</v>
      </c>
      <c r="D326" s="2" t="s">
        <v>115</v>
      </c>
      <c r="E326" s="2">
        <v>4</v>
      </c>
      <c r="F326" s="2">
        <v>1065</v>
      </c>
      <c r="G326" s="2">
        <v>19</v>
      </c>
      <c r="H326" s="2">
        <v>0</v>
      </c>
      <c r="I326" s="2">
        <v>0</v>
      </c>
      <c r="J326" s="2">
        <v>0</v>
      </c>
      <c r="K326" s="2">
        <v>0</v>
      </c>
      <c r="L326" s="159">
        <v>0</v>
      </c>
      <c r="M326" s="159">
        <v>0</v>
      </c>
    </row>
    <row r="327" spans="1:13" x14ac:dyDescent="0.25">
      <c r="A327" s="2">
        <v>540028</v>
      </c>
      <c r="B327" s="2" t="s">
        <v>133</v>
      </c>
      <c r="C327" s="2" t="s">
        <v>21</v>
      </c>
      <c r="D327" s="2" t="s">
        <v>115</v>
      </c>
      <c r="E327" s="2">
        <v>4</v>
      </c>
      <c r="F327" s="2">
        <v>260</v>
      </c>
      <c r="G327" s="2">
        <v>50</v>
      </c>
      <c r="H327" s="2">
        <v>0</v>
      </c>
      <c r="I327" s="2">
        <v>0</v>
      </c>
      <c r="J327" s="2">
        <v>0</v>
      </c>
      <c r="K327" s="2">
        <v>0</v>
      </c>
      <c r="L327" s="159">
        <v>0</v>
      </c>
      <c r="M327" s="159">
        <v>0</v>
      </c>
    </row>
    <row r="328" spans="1:13" x14ac:dyDescent="0.25">
      <c r="A328" s="2">
        <v>540029</v>
      </c>
      <c r="B328" s="2" t="s">
        <v>134</v>
      </c>
      <c r="C328" s="2" t="s">
        <v>21</v>
      </c>
      <c r="D328" s="2" t="s">
        <v>115</v>
      </c>
      <c r="E328" s="2">
        <v>4</v>
      </c>
      <c r="F328" s="2">
        <v>777</v>
      </c>
      <c r="G328" s="2">
        <v>15</v>
      </c>
      <c r="H328" s="2">
        <v>0</v>
      </c>
      <c r="I328" s="2">
        <v>0</v>
      </c>
      <c r="J328" s="2">
        <v>0</v>
      </c>
      <c r="K328" s="2">
        <v>0</v>
      </c>
      <c r="L328" s="159">
        <v>0</v>
      </c>
      <c r="M328" s="159">
        <v>0</v>
      </c>
    </row>
    <row r="329" spans="1:13" x14ac:dyDescent="0.25">
      <c r="A329" s="2">
        <v>540031</v>
      </c>
      <c r="B329" s="2" t="s">
        <v>136</v>
      </c>
      <c r="C329" s="2" t="s">
        <v>21</v>
      </c>
      <c r="D329" s="2" t="s">
        <v>115</v>
      </c>
      <c r="E329" s="2">
        <v>4</v>
      </c>
      <c r="F329" s="2">
        <v>6159</v>
      </c>
      <c r="G329" s="2">
        <v>86</v>
      </c>
      <c r="H329" s="2">
        <v>1</v>
      </c>
      <c r="I329" s="2">
        <v>0</v>
      </c>
      <c r="J329" s="2">
        <v>0</v>
      </c>
      <c r="K329" s="2">
        <v>1</v>
      </c>
      <c r="L329" s="159">
        <v>1.1627906976700001E-2</v>
      </c>
      <c r="M329" s="159">
        <v>16.860465116299999</v>
      </c>
    </row>
    <row r="330" spans="1:13" x14ac:dyDescent="0.25">
      <c r="A330" s="2">
        <v>540032</v>
      </c>
      <c r="B330" s="2" t="s">
        <v>137</v>
      </c>
      <c r="C330" s="2" t="s">
        <v>21</v>
      </c>
      <c r="D330" s="2" t="s">
        <v>115</v>
      </c>
      <c r="E330" s="2">
        <v>4</v>
      </c>
      <c r="F330" s="2">
        <v>192</v>
      </c>
      <c r="G330" s="2">
        <v>26</v>
      </c>
      <c r="H330" s="2">
        <v>1</v>
      </c>
      <c r="I330" s="2">
        <v>0</v>
      </c>
      <c r="J330" s="2">
        <v>0</v>
      </c>
      <c r="K330" s="2">
        <v>1</v>
      </c>
      <c r="L330" s="159">
        <v>3.8461538461500001E-2</v>
      </c>
      <c r="M330" s="159">
        <v>55.7692307692</v>
      </c>
    </row>
    <row r="331" spans="1:13" x14ac:dyDescent="0.25">
      <c r="A331" s="2">
        <v>540050</v>
      </c>
      <c r="B331" s="2" t="s">
        <v>150</v>
      </c>
      <c r="C331" s="2" t="s">
        <v>21</v>
      </c>
      <c r="D331" s="2" t="s">
        <v>115</v>
      </c>
      <c r="E331" s="2">
        <v>4</v>
      </c>
      <c r="F331" s="2">
        <v>61</v>
      </c>
      <c r="G331" s="2">
        <v>0</v>
      </c>
      <c r="H331" s="2">
        <v>0</v>
      </c>
      <c r="I331" s="2">
        <v>0</v>
      </c>
      <c r="J331" s="2">
        <v>0</v>
      </c>
      <c r="K331" s="2">
        <v>0</v>
      </c>
      <c r="L331" s="159" t="s">
        <v>488</v>
      </c>
      <c r="M331" s="159" t="s">
        <v>488</v>
      </c>
    </row>
    <row r="332" spans="1:13" x14ac:dyDescent="0.25">
      <c r="A332" s="2">
        <v>540293</v>
      </c>
      <c r="B332" s="2" t="s">
        <v>330</v>
      </c>
      <c r="C332" s="2" t="s">
        <v>21</v>
      </c>
      <c r="D332" s="2" t="s">
        <v>115</v>
      </c>
      <c r="E332" s="2">
        <v>4</v>
      </c>
      <c r="F332" s="2">
        <v>3572</v>
      </c>
      <c r="G332" s="2">
        <v>12</v>
      </c>
      <c r="H332" s="2">
        <v>2</v>
      </c>
      <c r="I332" s="2">
        <v>2</v>
      </c>
      <c r="J332" s="2">
        <v>0</v>
      </c>
      <c r="K332" s="2">
        <v>0</v>
      </c>
      <c r="L332" s="159">
        <v>0.166666666667</v>
      </c>
      <c r="M332" s="159">
        <v>241.66666666699999</v>
      </c>
    </row>
    <row r="333" spans="1:13" x14ac:dyDescent="0.25">
      <c r="A333" s="2">
        <v>540294</v>
      </c>
      <c r="B333" s="2" t="s">
        <v>331</v>
      </c>
      <c r="C333" s="2" t="s">
        <v>21</v>
      </c>
      <c r="D333" s="2" t="s">
        <v>115</v>
      </c>
      <c r="E333" s="2">
        <v>4</v>
      </c>
      <c r="F333" s="2">
        <v>1042</v>
      </c>
      <c r="G333" s="2">
        <v>22</v>
      </c>
      <c r="H333" s="2">
        <v>1</v>
      </c>
      <c r="I333" s="2">
        <v>1</v>
      </c>
      <c r="J333" s="2">
        <v>0</v>
      </c>
      <c r="K333" s="2">
        <v>0</v>
      </c>
      <c r="L333" s="159">
        <v>4.5454545454499999E-2</v>
      </c>
      <c r="M333" s="159">
        <v>65.909090909100001</v>
      </c>
    </row>
    <row r="334" spans="1:13" x14ac:dyDescent="0.25">
      <c r="A334" s="2">
        <v>540033</v>
      </c>
      <c r="B334" s="2" t="s">
        <v>138</v>
      </c>
      <c r="C334" s="2" t="s">
        <v>21</v>
      </c>
      <c r="D334" s="2" t="s">
        <v>115</v>
      </c>
      <c r="E334" s="2">
        <v>4</v>
      </c>
      <c r="F334" s="2">
        <v>1049</v>
      </c>
      <c r="G334" s="2">
        <v>22</v>
      </c>
      <c r="H334" s="2">
        <v>1</v>
      </c>
      <c r="I334" s="2">
        <v>0</v>
      </c>
      <c r="J334" s="2">
        <v>0</v>
      </c>
      <c r="K334" s="2">
        <v>1</v>
      </c>
      <c r="L334" s="159">
        <v>4.5454545454499999E-2</v>
      </c>
      <c r="M334" s="159">
        <v>65.909090909100001</v>
      </c>
    </row>
    <row r="335" spans="1:13" x14ac:dyDescent="0.25">
      <c r="A335" s="2">
        <v>540280</v>
      </c>
      <c r="B335" s="2" t="s">
        <v>321</v>
      </c>
      <c r="C335" s="2" t="s">
        <v>21</v>
      </c>
      <c r="D335" s="2" t="s">
        <v>115</v>
      </c>
      <c r="E335" s="2">
        <v>4</v>
      </c>
      <c r="F335" s="2">
        <v>996</v>
      </c>
      <c r="G335" s="2">
        <v>41</v>
      </c>
      <c r="H335" s="2">
        <v>12</v>
      </c>
      <c r="I335" s="2">
        <v>0</v>
      </c>
      <c r="J335" s="2">
        <v>0</v>
      </c>
      <c r="K335" s="2">
        <v>12</v>
      </c>
      <c r="L335" s="159">
        <v>0.29268292682899999</v>
      </c>
      <c r="M335" s="159">
        <v>424.39024390200001</v>
      </c>
    </row>
    <row r="336" spans="1:13" x14ac:dyDescent="0.25">
      <c r="A336" s="2">
        <v>540026</v>
      </c>
      <c r="B336" s="2" t="s">
        <v>20</v>
      </c>
      <c r="C336" s="2" t="s">
        <v>21</v>
      </c>
      <c r="D336" s="2" t="s">
        <v>5</v>
      </c>
      <c r="E336" s="2">
        <v>4</v>
      </c>
      <c r="F336" s="2">
        <v>412491</v>
      </c>
      <c r="G336" s="2">
        <v>3393</v>
      </c>
      <c r="H336" s="2">
        <v>50</v>
      </c>
      <c r="I336" s="2">
        <v>23</v>
      </c>
      <c r="J336" s="2">
        <v>0</v>
      </c>
      <c r="K336" s="2">
        <v>27</v>
      </c>
      <c r="L336" s="159">
        <v>1.4736221632800001E-2</v>
      </c>
      <c r="M336" s="159">
        <v>21.3675213675</v>
      </c>
    </row>
    <row r="337" spans="1:13" x14ac:dyDescent="0.25">
      <c r="A337" s="252"/>
      <c r="B337" s="252"/>
      <c r="C337" s="252" t="s">
        <v>21</v>
      </c>
      <c r="D337" s="252"/>
      <c r="E337" s="252"/>
      <c r="F337" s="252">
        <v>427664</v>
      </c>
      <c r="G337" s="252">
        <v>3686</v>
      </c>
      <c r="H337" s="252">
        <v>68</v>
      </c>
      <c r="I337" s="252">
        <v>26</v>
      </c>
      <c r="J337" s="252">
        <v>0</v>
      </c>
      <c r="K337" s="252">
        <v>42</v>
      </c>
      <c r="L337" s="414">
        <v>1.84481823114E-2</v>
      </c>
      <c r="M337" s="414">
        <v>26.749864351599999</v>
      </c>
    </row>
    <row r="338" spans="1:13" x14ac:dyDescent="0.25">
      <c r="A338" s="2">
        <v>540176</v>
      </c>
      <c r="B338" s="2" t="s">
        <v>247</v>
      </c>
      <c r="C338" s="2" t="s">
        <v>75</v>
      </c>
      <c r="D338" s="2" t="s">
        <v>115</v>
      </c>
      <c r="E338" s="2">
        <v>7</v>
      </c>
      <c r="F338" s="2">
        <v>265</v>
      </c>
      <c r="G338" s="2">
        <v>73</v>
      </c>
      <c r="H338" s="2">
        <v>0</v>
      </c>
      <c r="I338" s="2">
        <v>0</v>
      </c>
      <c r="J338" s="2">
        <v>0</v>
      </c>
      <c r="K338" s="2">
        <v>0</v>
      </c>
      <c r="L338" s="159">
        <v>0</v>
      </c>
      <c r="M338" s="159">
        <v>0</v>
      </c>
    </row>
    <row r="339" spans="1:13" x14ac:dyDescent="0.25">
      <c r="A339" s="2">
        <v>540178</v>
      </c>
      <c r="B339" s="2" t="s">
        <v>249</v>
      </c>
      <c r="C339" s="2" t="s">
        <v>75</v>
      </c>
      <c r="D339" s="2" t="s">
        <v>115</v>
      </c>
      <c r="E339" s="2">
        <v>7</v>
      </c>
      <c r="F339" s="2">
        <v>207</v>
      </c>
      <c r="G339" s="2">
        <v>56</v>
      </c>
      <c r="H339" s="2">
        <v>0</v>
      </c>
      <c r="I339" s="2">
        <v>0</v>
      </c>
      <c r="J339" s="2">
        <v>0</v>
      </c>
      <c r="K339" s="2">
        <v>0</v>
      </c>
      <c r="L339" s="159">
        <v>0</v>
      </c>
      <c r="M339" s="159">
        <v>0</v>
      </c>
    </row>
    <row r="340" spans="1:13" x14ac:dyDescent="0.25">
      <c r="A340" s="2">
        <v>540264</v>
      </c>
      <c r="B340" s="2" t="s">
        <v>307</v>
      </c>
      <c r="C340" s="2" t="s">
        <v>75</v>
      </c>
      <c r="D340" s="2" t="s">
        <v>115</v>
      </c>
      <c r="E340" s="2">
        <v>7</v>
      </c>
      <c r="F340" s="2">
        <v>194</v>
      </c>
      <c r="G340" s="2">
        <v>37</v>
      </c>
      <c r="H340" s="2">
        <v>1</v>
      </c>
      <c r="I340" s="2">
        <v>1</v>
      </c>
      <c r="J340" s="2">
        <v>0</v>
      </c>
      <c r="K340" s="2">
        <v>0</v>
      </c>
      <c r="L340" s="159">
        <v>2.7027027027000002E-2</v>
      </c>
      <c r="M340" s="159">
        <v>39.1891891892</v>
      </c>
    </row>
    <row r="341" spans="1:13" x14ac:dyDescent="0.25">
      <c r="A341" s="2">
        <v>540265</v>
      </c>
      <c r="B341" s="2" t="s">
        <v>308</v>
      </c>
      <c r="C341" s="2" t="s">
        <v>75</v>
      </c>
      <c r="D341" s="2" t="s">
        <v>115</v>
      </c>
      <c r="E341" s="2">
        <v>7</v>
      </c>
      <c r="F341" s="2">
        <v>402</v>
      </c>
      <c r="G341" s="2">
        <v>118</v>
      </c>
      <c r="H341" s="2">
        <v>0</v>
      </c>
      <c r="I341" s="2">
        <v>0</v>
      </c>
      <c r="J341" s="2">
        <v>0</v>
      </c>
      <c r="K341" s="2">
        <v>0</v>
      </c>
      <c r="L341" s="159">
        <v>0</v>
      </c>
      <c r="M341" s="159">
        <v>0</v>
      </c>
    </row>
    <row r="342" spans="1:13" x14ac:dyDescent="0.25">
      <c r="A342" s="2">
        <v>540266</v>
      </c>
      <c r="B342" s="2" t="s">
        <v>309</v>
      </c>
      <c r="C342" s="2" t="s">
        <v>75</v>
      </c>
      <c r="D342" s="2" t="s">
        <v>115</v>
      </c>
      <c r="E342" s="2">
        <v>7</v>
      </c>
      <c r="F342" s="2">
        <v>293</v>
      </c>
      <c r="G342" s="2">
        <v>22</v>
      </c>
      <c r="H342" s="2">
        <v>0</v>
      </c>
      <c r="I342" s="2">
        <v>0</v>
      </c>
      <c r="J342" s="2">
        <v>0</v>
      </c>
      <c r="K342" s="2">
        <v>0</v>
      </c>
      <c r="L342" s="159">
        <v>0</v>
      </c>
      <c r="M342" s="159">
        <v>0</v>
      </c>
    </row>
    <row r="343" spans="1:13" x14ac:dyDescent="0.25">
      <c r="A343" s="2">
        <v>540267</v>
      </c>
      <c r="B343" s="2" t="s">
        <v>310</v>
      </c>
      <c r="C343" s="2" t="s">
        <v>75</v>
      </c>
      <c r="D343" s="2" t="s">
        <v>115</v>
      </c>
      <c r="E343" s="2">
        <v>7</v>
      </c>
      <c r="F343" s="2">
        <v>281</v>
      </c>
      <c r="G343" s="2">
        <v>72</v>
      </c>
      <c r="H343" s="2">
        <v>0</v>
      </c>
      <c r="I343" s="2">
        <v>0</v>
      </c>
      <c r="J343" s="2">
        <v>0</v>
      </c>
      <c r="K343" s="2">
        <v>0</v>
      </c>
      <c r="L343" s="159">
        <v>0</v>
      </c>
      <c r="M343" s="159">
        <v>0</v>
      </c>
    </row>
    <row r="344" spans="1:13" x14ac:dyDescent="0.25">
      <c r="A344" s="2">
        <v>540177</v>
      </c>
      <c r="B344" s="2" t="s">
        <v>248</v>
      </c>
      <c r="C344" s="2" t="s">
        <v>75</v>
      </c>
      <c r="D344" s="2" t="s">
        <v>115</v>
      </c>
      <c r="E344" s="2">
        <v>7</v>
      </c>
      <c r="F344" s="2">
        <v>2325</v>
      </c>
      <c r="G344" s="2">
        <v>289</v>
      </c>
      <c r="H344" s="2">
        <v>43</v>
      </c>
      <c r="I344" s="2">
        <v>42</v>
      </c>
      <c r="J344" s="2">
        <v>0</v>
      </c>
      <c r="K344" s="2">
        <v>1</v>
      </c>
      <c r="L344" s="159">
        <v>0.14878892733599999</v>
      </c>
      <c r="M344" s="159">
        <v>215.743944637</v>
      </c>
    </row>
    <row r="345" spans="1:13" x14ac:dyDescent="0.25">
      <c r="A345" s="2">
        <v>540175</v>
      </c>
      <c r="B345" s="2" t="s">
        <v>74</v>
      </c>
      <c r="C345" s="2" t="s">
        <v>75</v>
      </c>
      <c r="D345" s="2" t="s">
        <v>5</v>
      </c>
      <c r="E345" s="2">
        <v>7</v>
      </c>
      <c r="F345" s="2">
        <v>661204</v>
      </c>
      <c r="G345" s="2">
        <v>19834</v>
      </c>
      <c r="H345" s="2">
        <v>625</v>
      </c>
      <c r="I345" s="2">
        <v>530</v>
      </c>
      <c r="J345" s="2">
        <v>84</v>
      </c>
      <c r="K345" s="2">
        <v>11</v>
      </c>
      <c r="L345" s="159">
        <v>3.1511545830400001E-2</v>
      </c>
      <c r="M345" s="159">
        <v>45.691741454099997</v>
      </c>
    </row>
    <row r="346" spans="1:13" x14ac:dyDescent="0.25">
      <c r="A346" s="252"/>
      <c r="B346" s="252"/>
      <c r="C346" s="252" t="s">
        <v>75</v>
      </c>
      <c r="D346" s="252"/>
      <c r="E346" s="252"/>
      <c r="F346" s="252">
        <v>665171</v>
      </c>
      <c r="G346" s="252">
        <v>20501</v>
      </c>
      <c r="H346" s="252">
        <v>669</v>
      </c>
      <c r="I346" s="252">
        <v>573</v>
      </c>
      <c r="J346" s="252">
        <v>84</v>
      </c>
      <c r="K346" s="252">
        <v>12</v>
      </c>
      <c r="L346" s="414">
        <v>3.2632554509499999E-2</v>
      </c>
      <c r="M346" s="414">
        <v>47.3172040388</v>
      </c>
    </row>
    <row r="347" spans="1:13" x14ac:dyDescent="0.25">
      <c r="A347" s="2">
        <v>540219</v>
      </c>
      <c r="B347" s="2" t="s">
        <v>273</v>
      </c>
      <c r="C347" s="2" t="s">
        <v>95</v>
      </c>
      <c r="D347" s="2" t="s">
        <v>115</v>
      </c>
      <c r="E347" s="2">
        <v>1</v>
      </c>
      <c r="F347" s="2">
        <v>852</v>
      </c>
      <c r="G347" s="2">
        <v>88</v>
      </c>
      <c r="H347" s="2">
        <v>6</v>
      </c>
      <c r="I347" s="2">
        <v>3</v>
      </c>
      <c r="J347" s="2">
        <v>0</v>
      </c>
      <c r="K347" s="2">
        <v>3</v>
      </c>
      <c r="L347" s="159">
        <v>6.8181818181799997E-2</v>
      </c>
      <c r="M347" s="159">
        <v>98.863636363599994</v>
      </c>
    </row>
    <row r="348" spans="1:13" x14ac:dyDescent="0.25">
      <c r="A348" s="2">
        <v>540220</v>
      </c>
      <c r="B348" s="2" t="s">
        <v>274</v>
      </c>
      <c r="C348" s="2" t="s">
        <v>95</v>
      </c>
      <c r="D348" s="2" t="s">
        <v>115</v>
      </c>
      <c r="E348" s="2">
        <v>1</v>
      </c>
      <c r="F348" s="2">
        <v>518</v>
      </c>
      <c r="G348" s="2">
        <v>52</v>
      </c>
      <c r="H348" s="2">
        <v>2</v>
      </c>
      <c r="I348" s="2">
        <v>1</v>
      </c>
      <c r="J348" s="2">
        <v>0</v>
      </c>
      <c r="K348" s="2">
        <v>1</v>
      </c>
      <c r="L348" s="159">
        <v>3.8461538461500001E-2</v>
      </c>
      <c r="M348" s="159">
        <v>55.7692307692</v>
      </c>
    </row>
    <row r="349" spans="1:13" x14ac:dyDescent="0.25">
      <c r="A349" s="2">
        <v>540218</v>
      </c>
      <c r="B349" s="2" t="s">
        <v>272</v>
      </c>
      <c r="C349" s="2" t="s">
        <v>95</v>
      </c>
      <c r="D349" s="2" t="s">
        <v>115</v>
      </c>
      <c r="E349" s="2">
        <v>1</v>
      </c>
      <c r="F349" s="2">
        <v>1213</v>
      </c>
      <c r="G349" s="2">
        <v>52</v>
      </c>
      <c r="H349" s="2">
        <v>4</v>
      </c>
      <c r="I349" s="2">
        <v>2</v>
      </c>
      <c r="J349" s="2">
        <v>0</v>
      </c>
      <c r="K349" s="2">
        <v>2</v>
      </c>
      <c r="L349" s="159">
        <v>7.6923076923100006E-2</v>
      </c>
      <c r="M349" s="159">
        <v>111.53846153800001</v>
      </c>
    </row>
    <row r="350" spans="1:13" x14ac:dyDescent="0.25">
      <c r="A350" s="2">
        <v>540217</v>
      </c>
      <c r="B350" s="2" t="s">
        <v>94</v>
      </c>
      <c r="C350" s="2" t="s">
        <v>95</v>
      </c>
      <c r="D350" s="2" t="s">
        <v>5</v>
      </c>
      <c r="E350" s="2">
        <v>1</v>
      </c>
      <c r="F350" s="2">
        <v>318426</v>
      </c>
      <c r="G350" s="2">
        <v>3852</v>
      </c>
      <c r="H350" s="2">
        <v>14</v>
      </c>
      <c r="I350" s="2">
        <v>0</v>
      </c>
      <c r="J350" s="2">
        <v>0</v>
      </c>
      <c r="K350" s="2">
        <v>14</v>
      </c>
      <c r="L350" s="159">
        <v>3.6344755970900001E-3</v>
      </c>
      <c r="M350" s="159">
        <v>5.2699896157800001</v>
      </c>
    </row>
    <row r="351" spans="1:13" x14ac:dyDescent="0.25">
      <c r="A351" s="252"/>
      <c r="B351" s="252"/>
      <c r="C351" s="252" t="s">
        <v>95</v>
      </c>
      <c r="D351" s="252"/>
      <c r="E351" s="252"/>
      <c r="F351" s="252">
        <v>321009</v>
      </c>
      <c r="G351" s="252">
        <v>4044</v>
      </c>
      <c r="H351" s="252">
        <v>26</v>
      </c>
      <c r="I351" s="252">
        <v>6</v>
      </c>
      <c r="J351" s="252">
        <v>0</v>
      </c>
      <c r="K351" s="252">
        <v>20</v>
      </c>
      <c r="L351" s="414">
        <v>6.4292779426299998E-3</v>
      </c>
      <c r="M351" s="414">
        <v>9.3224530168200008</v>
      </c>
    </row>
    <row r="352" spans="1:13" x14ac:dyDescent="0.25">
      <c r="A352" s="3" t="s">
        <v>535</v>
      </c>
      <c r="B352" s="2"/>
      <c r="C352" s="2"/>
      <c r="D352" s="2"/>
      <c r="E352" s="2"/>
      <c r="F352" s="2"/>
      <c r="G352" s="2"/>
      <c r="H352" s="2"/>
      <c r="I352" s="2"/>
      <c r="J352" s="2"/>
      <c r="K352" s="2"/>
      <c r="L352" s="159"/>
      <c r="M352" s="159"/>
    </row>
    <row r="353" spans="1:13" x14ac:dyDescent="0.25">
      <c r="A353" s="2">
        <v>540152</v>
      </c>
      <c r="B353" s="2" t="s">
        <v>229</v>
      </c>
      <c r="C353" s="2" t="s">
        <v>544</v>
      </c>
      <c r="D353" s="2" t="s">
        <v>115</v>
      </c>
      <c r="E353" s="2" t="s">
        <v>545</v>
      </c>
      <c r="F353" s="2">
        <v>10101</v>
      </c>
      <c r="G353" s="2">
        <v>934</v>
      </c>
      <c r="H353" s="2">
        <v>17</v>
      </c>
      <c r="I353" s="2">
        <v>17</v>
      </c>
      <c r="J353" s="2">
        <v>0</v>
      </c>
      <c r="K353" s="2">
        <v>0</v>
      </c>
      <c r="L353" s="159">
        <v>1.8201284796599999E-2</v>
      </c>
      <c r="M353" s="159">
        <v>26.391862955000001</v>
      </c>
    </row>
    <row r="354" spans="1:13" x14ac:dyDescent="0.25">
      <c r="A354" s="2">
        <v>540196</v>
      </c>
      <c r="B354" s="2" t="s">
        <v>259</v>
      </c>
      <c r="C354" s="2" t="s">
        <v>546</v>
      </c>
      <c r="D354" s="2" t="s">
        <v>115</v>
      </c>
      <c r="E354" s="2" t="s">
        <v>547</v>
      </c>
      <c r="F354" s="2">
        <v>542</v>
      </c>
      <c r="G354" s="2">
        <v>60</v>
      </c>
      <c r="H354" s="2">
        <v>21</v>
      </c>
      <c r="I354" s="2">
        <v>21</v>
      </c>
      <c r="J354" s="2">
        <v>0</v>
      </c>
      <c r="K354" s="2">
        <v>0</v>
      </c>
      <c r="L354" s="159">
        <v>0.35</v>
      </c>
      <c r="M354" s="159">
        <v>507.5</v>
      </c>
    </row>
    <row r="355" spans="1:13" x14ac:dyDescent="0.25">
      <c r="A355" s="2">
        <v>540041</v>
      </c>
      <c r="B355" s="2" t="s">
        <v>142</v>
      </c>
      <c r="C355" s="2" t="s">
        <v>540</v>
      </c>
      <c r="D355" s="2" t="s">
        <v>115</v>
      </c>
      <c r="E355" s="2" t="s">
        <v>541</v>
      </c>
      <c r="F355" s="2">
        <v>611</v>
      </c>
      <c r="G355" s="2">
        <v>126</v>
      </c>
      <c r="H355" s="2">
        <v>2</v>
      </c>
      <c r="I355" s="2">
        <v>1</v>
      </c>
      <c r="J355" s="2">
        <v>0</v>
      </c>
      <c r="K355" s="2">
        <v>1</v>
      </c>
      <c r="L355" s="159">
        <v>1.5873015872999999E-2</v>
      </c>
      <c r="M355" s="159">
        <v>23.015873015899999</v>
      </c>
    </row>
    <row r="356" spans="1:13" x14ac:dyDescent="0.25">
      <c r="A356" s="2">
        <v>540018</v>
      </c>
      <c r="B356" s="2" t="s">
        <v>127</v>
      </c>
      <c r="C356" s="2" t="s">
        <v>538</v>
      </c>
      <c r="D356" s="2" t="s">
        <v>115</v>
      </c>
      <c r="E356" s="2" t="s">
        <v>539</v>
      </c>
      <c r="F356" s="2">
        <v>11784</v>
      </c>
      <c r="G356" s="2">
        <v>394</v>
      </c>
      <c r="H356" s="2">
        <v>36</v>
      </c>
      <c r="I356" s="2">
        <v>35</v>
      </c>
      <c r="J356" s="2">
        <v>0</v>
      </c>
      <c r="K356" s="2">
        <v>1</v>
      </c>
      <c r="L356" s="159">
        <v>9.13705583756E-2</v>
      </c>
      <c r="M356" s="159">
        <v>132.48730964500001</v>
      </c>
    </row>
    <row r="357" spans="1:13" x14ac:dyDescent="0.25">
      <c r="A357" s="2">
        <v>540014</v>
      </c>
      <c r="B357" s="2" t="s">
        <v>124</v>
      </c>
      <c r="C357" s="2" t="s">
        <v>536</v>
      </c>
      <c r="D357" s="2" t="s">
        <v>115</v>
      </c>
      <c r="E357" s="2" t="s">
        <v>537</v>
      </c>
      <c r="F357" s="2">
        <v>12182</v>
      </c>
      <c r="G357" s="2">
        <v>382</v>
      </c>
      <c r="H357" s="2">
        <v>7</v>
      </c>
      <c r="I357" s="2">
        <v>4</v>
      </c>
      <c r="J357" s="2">
        <v>0</v>
      </c>
      <c r="K357" s="2">
        <v>3</v>
      </c>
      <c r="L357" s="159">
        <v>1.83246073298E-2</v>
      </c>
      <c r="M357" s="159">
        <v>26.5706806283</v>
      </c>
    </row>
    <row r="358" spans="1:13" x14ac:dyDescent="0.25">
      <c r="A358" s="2">
        <v>540081</v>
      </c>
      <c r="B358" s="2" t="s">
        <v>176</v>
      </c>
      <c r="C358" s="2" t="s">
        <v>542</v>
      </c>
      <c r="D358" s="2" t="s">
        <v>115</v>
      </c>
      <c r="E358" s="2" t="s">
        <v>543</v>
      </c>
      <c r="F358" s="2">
        <v>3723</v>
      </c>
      <c r="G358" s="2">
        <v>190</v>
      </c>
      <c r="H358" s="2">
        <v>14</v>
      </c>
      <c r="I358" s="2">
        <v>14</v>
      </c>
      <c r="J358" s="2">
        <v>0</v>
      </c>
      <c r="K358" s="2">
        <v>0</v>
      </c>
      <c r="L358" s="159">
        <v>7.3684210526300004E-2</v>
      </c>
      <c r="M358" s="159">
        <v>106.84210526299999</v>
      </c>
    </row>
    <row r="359" spans="1:13" x14ac:dyDescent="0.25">
      <c r="A359" s="2">
        <v>540033</v>
      </c>
      <c r="B359" s="2" t="s">
        <v>138</v>
      </c>
      <c r="C359" s="2" t="s">
        <v>1299</v>
      </c>
      <c r="D359" s="2" t="s">
        <v>115</v>
      </c>
      <c r="E359" s="2" t="s">
        <v>1298</v>
      </c>
      <c r="F359" s="2">
        <v>1054</v>
      </c>
      <c r="G359" s="2">
        <v>23</v>
      </c>
      <c r="H359" s="2">
        <v>1</v>
      </c>
      <c r="I359" s="2">
        <v>0</v>
      </c>
      <c r="J359" s="2">
        <v>0</v>
      </c>
      <c r="K359" s="2">
        <v>1</v>
      </c>
      <c r="L359" s="159">
        <v>4.3478260869600001E-2</v>
      </c>
      <c r="M359" s="159">
        <v>63.043478260900002</v>
      </c>
    </row>
    <row r="360" spans="1:13" x14ac:dyDescent="0.25">
      <c r="A360" s="2">
        <v>540029</v>
      </c>
      <c r="B360" s="2" t="s">
        <v>134</v>
      </c>
      <c r="C360" s="2" t="s">
        <v>1299</v>
      </c>
      <c r="D360" s="2" t="s">
        <v>115</v>
      </c>
      <c r="E360" s="2" t="s">
        <v>1298</v>
      </c>
      <c r="F360" s="2">
        <v>1016</v>
      </c>
      <c r="G360" s="2">
        <v>28</v>
      </c>
      <c r="H360" s="2">
        <v>0</v>
      </c>
      <c r="I360" s="2">
        <v>0</v>
      </c>
      <c r="J360" s="2">
        <v>0</v>
      </c>
      <c r="K360" s="2">
        <v>0</v>
      </c>
      <c r="L360" s="159">
        <v>0</v>
      </c>
      <c r="M360" s="159">
        <v>0</v>
      </c>
    </row>
  </sheetData>
  <hyperlinks>
    <hyperlink ref="Q2" r:id="rId1"/>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0"/>
  <sheetViews>
    <sheetView workbookViewId="0">
      <selection sqref="A1:XFD1048576"/>
    </sheetView>
  </sheetViews>
  <sheetFormatPr defaultRowHeight="15" x14ac:dyDescent="0.25"/>
  <cols>
    <col min="1" max="1" width="7" style="39" bestFit="1" customWidth="1"/>
    <col min="2" max="2" width="38.42578125" style="39" bestFit="1" customWidth="1"/>
    <col min="3" max="3" width="21.85546875" style="39" bestFit="1" customWidth="1"/>
    <col min="4" max="4" width="27.7109375" style="39" bestFit="1" customWidth="1"/>
    <col min="5" max="5" width="16" style="39" bestFit="1" customWidth="1"/>
    <col min="6" max="6" width="21" style="39" bestFit="1" customWidth="1"/>
    <col min="7" max="7" width="6.5703125" style="39" bestFit="1" customWidth="1"/>
    <col min="8" max="8" width="4.42578125" style="39" bestFit="1" customWidth="1"/>
    <col min="9" max="9" width="16.7109375" style="39" bestFit="1" customWidth="1"/>
    <col min="10" max="10" width="17.85546875" style="39" bestFit="1" customWidth="1"/>
    <col min="11" max="12" width="9.140625" style="39"/>
    <col min="13" max="13" width="89.42578125" style="39" bestFit="1" customWidth="1"/>
    <col min="14" max="16384" width="9.140625" style="39"/>
  </cols>
  <sheetData>
    <row r="1" spans="1:13" s="194" customFormat="1" x14ac:dyDescent="0.25">
      <c r="A1" s="251" t="s">
        <v>0</v>
      </c>
      <c r="B1" s="251" t="s">
        <v>1</v>
      </c>
      <c r="C1" s="251" t="s">
        <v>2</v>
      </c>
      <c r="D1" s="251" t="s">
        <v>512</v>
      </c>
      <c r="E1" s="251" t="s">
        <v>403</v>
      </c>
      <c r="F1" s="251" t="s">
        <v>1316</v>
      </c>
      <c r="G1" s="251" t="s">
        <v>470</v>
      </c>
      <c r="H1" s="251" t="s">
        <v>1320</v>
      </c>
      <c r="I1" s="251" t="s">
        <v>1324</v>
      </c>
      <c r="J1" s="251" t="s">
        <v>1323</v>
      </c>
    </row>
    <row r="2" spans="1:13" x14ac:dyDescent="0.25">
      <c r="A2" s="2">
        <v>540001</v>
      </c>
      <c r="B2" s="2" t="s">
        <v>3</v>
      </c>
      <c r="C2" s="2" t="s">
        <v>4</v>
      </c>
      <c r="D2" s="2" t="s">
        <v>5</v>
      </c>
      <c r="E2" s="2">
        <v>7</v>
      </c>
      <c r="F2" s="2">
        <v>215785</v>
      </c>
      <c r="G2" s="2">
        <v>6204</v>
      </c>
      <c r="H2" s="2">
        <v>3</v>
      </c>
      <c r="I2" s="159">
        <v>4.8355899419699999E-4</v>
      </c>
      <c r="J2" s="159">
        <v>2.4177949709900001E-2</v>
      </c>
      <c r="L2" s="199" t="s">
        <v>1325</v>
      </c>
      <c r="M2" s="415" t="s">
        <v>5658</v>
      </c>
    </row>
    <row r="3" spans="1:13" x14ac:dyDescent="0.25">
      <c r="A3" s="2">
        <v>540002</v>
      </c>
      <c r="B3" s="2" t="s">
        <v>114</v>
      </c>
      <c r="C3" s="2" t="s">
        <v>4</v>
      </c>
      <c r="D3" s="2" t="s">
        <v>115</v>
      </c>
      <c r="E3" s="2">
        <v>7</v>
      </c>
      <c r="F3" s="2">
        <v>1363</v>
      </c>
      <c r="G3" s="2">
        <v>119</v>
      </c>
      <c r="H3" s="2">
        <v>0</v>
      </c>
      <c r="I3" s="159">
        <v>0</v>
      </c>
      <c r="J3" s="159">
        <v>0</v>
      </c>
      <c r="L3" s="199" t="s">
        <v>1326</v>
      </c>
      <c r="M3" s="416" t="s">
        <v>5659</v>
      </c>
    </row>
    <row r="4" spans="1:13" x14ac:dyDescent="0.25">
      <c r="A4" s="2">
        <v>540003</v>
      </c>
      <c r="B4" s="2" t="s">
        <v>116</v>
      </c>
      <c r="C4" s="2" t="s">
        <v>4</v>
      </c>
      <c r="D4" s="2" t="s">
        <v>115</v>
      </c>
      <c r="E4" s="2">
        <v>7</v>
      </c>
      <c r="F4" s="2">
        <v>217</v>
      </c>
      <c r="G4" s="2">
        <v>45</v>
      </c>
      <c r="H4" s="2">
        <v>5</v>
      </c>
      <c r="I4" s="159">
        <v>0.111111111111</v>
      </c>
      <c r="J4" s="159">
        <v>5.5555555555599998</v>
      </c>
    </row>
    <row r="5" spans="1:13" x14ac:dyDescent="0.25">
      <c r="A5" s="2">
        <v>540004</v>
      </c>
      <c r="B5" s="2" t="s">
        <v>117</v>
      </c>
      <c r="C5" s="2" t="s">
        <v>4</v>
      </c>
      <c r="D5" s="2" t="s">
        <v>115</v>
      </c>
      <c r="E5" s="2">
        <v>7</v>
      </c>
      <c r="F5" s="2">
        <v>1869</v>
      </c>
      <c r="G5" s="2">
        <v>175</v>
      </c>
      <c r="H5" s="2">
        <v>1</v>
      </c>
      <c r="I5" s="159">
        <v>5.7142857142899999E-3</v>
      </c>
      <c r="J5" s="159">
        <v>0.28571428571399998</v>
      </c>
    </row>
    <row r="6" spans="1:13" x14ac:dyDescent="0.25">
      <c r="A6" s="252"/>
      <c r="B6" s="252"/>
      <c r="C6" s="252" t="s">
        <v>4</v>
      </c>
      <c r="D6" s="252"/>
      <c r="E6" s="252"/>
      <c r="F6" s="252">
        <v>219234</v>
      </c>
      <c r="G6" s="252">
        <v>6543</v>
      </c>
      <c r="H6" s="252">
        <v>9</v>
      </c>
      <c r="I6" s="414">
        <v>1.3755158184300001E-3</v>
      </c>
      <c r="J6" s="414">
        <v>6.8775790921599994E-2</v>
      </c>
    </row>
    <row r="7" spans="1:13" x14ac:dyDescent="0.25">
      <c r="A7" s="2">
        <v>540007</v>
      </c>
      <c r="B7" s="2" t="s">
        <v>6</v>
      </c>
      <c r="C7" s="2" t="s">
        <v>7</v>
      </c>
      <c r="D7" s="2" t="s">
        <v>5</v>
      </c>
      <c r="E7" s="2">
        <v>3</v>
      </c>
      <c r="F7" s="2">
        <v>316257</v>
      </c>
      <c r="G7" s="2">
        <v>5273</v>
      </c>
      <c r="H7" s="2">
        <v>0</v>
      </c>
      <c r="I7" s="159">
        <v>0</v>
      </c>
      <c r="J7" s="159">
        <v>0</v>
      </c>
    </row>
    <row r="8" spans="1:13" x14ac:dyDescent="0.25">
      <c r="A8" s="2">
        <v>540008</v>
      </c>
      <c r="B8" s="2" t="s">
        <v>120</v>
      </c>
      <c r="C8" s="2" t="s">
        <v>7</v>
      </c>
      <c r="D8" s="2" t="s">
        <v>115</v>
      </c>
      <c r="E8" s="2">
        <v>3</v>
      </c>
      <c r="F8" s="2">
        <v>4517</v>
      </c>
      <c r="G8" s="2">
        <v>151</v>
      </c>
      <c r="H8" s="2">
        <v>1</v>
      </c>
      <c r="I8" s="159">
        <v>6.6225165562900003E-3</v>
      </c>
      <c r="J8" s="159">
        <v>0.331125827815</v>
      </c>
    </row>
    <row r="9" spans="1:13" x14ac:dyDescent="0.25">
      <c r="A9" s="2">
        <v>540229</v>
      </c>
      <c r="B9" s="2" t="s">
        <v>279</v>
      </c>
      <c r="C9" s="2" t="s">
        <v>7</v>
      </c>
      <c r="D9" s="2" t="s">
        <v>115</v>
      </c>
      <c r="E9" s="2">
        <v>3</v>
      </c>
      <c r="F9" s="2">
        <v>212</v>
      </c>
      <c r="G9" s="2">
        <v>39</v>
      </c>
      <c r="H9" s="2">
        <v>0</v>
      </c>
      <c r="I9" s="159">
        <v>0</v>
      </c>
      <c r="J9" s="159">
        <v>0</v>
      </c>
    </row>
    <row r="10" spans="1:13" x14ac:dyDescent="0.25">
      <c r="A10" s="2">
        <v>540230</v>
      </c>
      <c r="B10" s="2" t="s">
        <v>280</v>
      </c>
      <c r="C10" s="2" t="s">
        <v>7</v>
      </c>
      <c r="D10" s="2" t="s">
        <v>115</v>
      </c>
      <c r="E10" s="2">
        <v>3</v>
      </c>
      <c r="F10" s="2">
        <v>694</v>
      </c>
      <c r="G10" s="2">
        <v>79</v>
      </c>
      <c r="H10" s="2">
        <v>0</v>
      </c>
      <c r="I10" s="159">
        <v>0</v>
      </c>
      <c r="J10" s="159">
        <v>0</v>
      </c>
    </row>
    <row r="11" spans="1:13" x14ac:dyDescent="0.25">
      <c r="A11" s="2">
        <v>540238</v>
      </c>
      <c r="B11" s="2" t="s">
        <v>286</v>
      </c>
      <c r="C11" s="2" t="s">
        <v>7</v>
      </c>
      <c r="D11" s="2" t="s">
        <v>115</v>
      </c>
      <c r="E11" s="2">
        <v>3</v>
      </c>
      <c r="F11" s="2">
        <v>165</v>
      </c>
      <c r="G11" s="2">
        <v>27</v>
      </c>
      <c r="H11" s="2">
        <v>0</v>
      </c>
      <c r="I11" s="159">
        <v>0</v>
      </c>
      <c r="J11" s="159">
        <v>0</v>
      </c>
    </row>
    <row r="12" spans="1:13" x14ac:dyDescent="0.25">
      <c r="A12" s="252"/>
      <c r="B12" s="252"/>
      <c r="C12" s="252" t="s">
        <v>7</v>
      </c>
      <c r="D12" s="252"/>
      <c r="E12" s="252"/>
      <c r="F12" s="252">
        <v>321845</v>
      </c>
      <c r="G12" s="252">
        <v>5569</v>
      </c>
      <c r="H12" s="252">
        <v>1</v>
      </c>
      <c r="I12" s="414">
        <v>1.79565451607E-4</v>
      </c>
      <c r="J12" s="414">
        <v>8.9782725803600003E-3</v>
      </c>
    </row>
    <row r="13" spans="1:13" x14ac:dyDescent="0.25">
      <c r="A13" s="2">
        <v>540009</v>
      </c>
      <c r="B13" s="2" t="s">
        <v>8</v>
      </c>
      <c r="C13" s="2" t="s">
        <v>9</v>
      </c>
      <c r="D13" s="2" t="s">
        <v>5</v>
      </c>
      <c r="E13" s="2">
        <v>7</v>
      </c>
      <c r="F13" s="2">
        <v>327977</v>
      </c>
      <c r="G13" s="2">
        <v>7793</v>
      </c>
      <c r="H13" s="2">
        <v>1</v>
      </c>
      <c r="I13" s="159">
        <v>1.28320287437E-4</v>
      </c>
      <c r="J13" s="159">
        <v>6.4160143718700003E-3</v>
      </c>
    </row>
    <row r="14" spans="1:13" x14ac:dyDescent="0.25">
      <c r="A14" s="2">
        <v>540010</v>
      </c>
      <c r="B14" s="2" t="s">
        <v>121</v>
      </c>
      <c r="C14" s="2" t="s">
        <v>9</v>
      </c>
      <c r="D14" s="2" t="s">
        <v>115</v>
      </c>
      <c r="E14" s="2">
        <v>7</v>
      </c>
      <c r="F14" s="2">
        <v>698</v>
      </c>
      <c r="G14" s="2">
        <v>106</v>
      </c>
      <c r="H14" s="2">
        <v>0</v>
      </c>
      <c r="I14" s="159">
        <v>0</v>
      </c>
      <c r="J14" s="159">
        <v>0</v>
      </c>
    </row>
    <row r="15" spans="1:13" x14ac:dyDescent="0.25">
      <c r="A15" s="2">
        <v>540235</v>
      </c>
      <c r="B15" s="2" t="s">
        <v>283</v>
      </c>
      <c r="C15" s="2" t="s">
        <v>9</v>
      </c>
      <c r="D15" s="2" t="s">
        <v>115</v>
      </c>
      <c r="E15" s="2">
        <v>7</v>
      </c>
      <c r="F15" s="2">
        <v>420</v>
      </c>
      <c r="G15" s="2">
        <v>0</v>
      </c>
      <c r="H15" s="2">
        <v>0</v>
      </c>
      <c r="I15" s="159" t="s">
        <v>488</v>
      </c>
      <c r="J15" s="159" t="s">
        <v>488</v>
      </c>
    </row>
    <row r="16" spans="1:13" x14ac:dyDescent="0.25">
      <c r="A16" s="2">
        <v>540236</v>
      </c>
      <c r="B16" s="2" t="s">
        <v>284</v>
      </c>
      <c r="C16" s="2" t="s">
        <v>9</v>
      </c>
      <c r="D16" s="2" t="s">
        <v>115</v>
      </c>
      <c r="E16" s="2">
        <v>7</v>
      </c>
      <c r="F16" s="2">
        <v>526</v>
      </c>
      <c r="G16" s="2">
        <v>94</v>
      </c>
      <c r="H16" s="2">
        <v>0</v>
      </c>
      <c r="I16" s="159">
        <v>0</v>
      </c>
      <c r="J16" s="159">
        <v>0</v>
      </c>
    </row>
    <row r="17" spans="1:10" x14ac:dyDescent="0.25">
      <c r="A17" s="2">
        <v>540237</v>
      </c>
      <c r="B17" s="2" t="s">
        <v>285</v>
      </c>
      <c r="C17" s="2" t="s">
        <v>9</v>
      </c>
      <c r="D17" s="2" t="s">
        <v>115</v>
      </c>
      <c r="E17" s="2">
        <v>7</v>
      </c>
      <c r="F17" s="2">
        <v>779</v>
      </c>
      <c r="G17" s="2">
        <v>110</v>
      </c>
      <c r="H17" s="2">
        <v>0</v>
      </c>
      <c r="I17" s="159">
        <v>0</v>
      </c>
      <c r="J17" s="159">
        <v>0</v>
      </c>
    </row>
    <row r="18" spans="1:10" x14ac:dyDescent="0.25">
      <c r="A18" s="252"/>
      <c r="B18" s="252"/>
      <c r="C18" s="252" t="s">
        <v>9</v>
      </c>
      <c r="D18" s="252"/>
      <c r="E18" s="252"/>
      <c r="F18" s="252">
        <v>330400</v>
      </c>
      <c r="G18" s="252">
        <v>8103</v>
      </c>
      <c r="H18" s="252">
        <v>1</v>
      </c>
      <c r="I18" s="414">
        <v>1.2341108231500001E-4</v>
      </c>
      <c r="J18" s="414">
        <v>6.1705541157599996E-3</v>
      </c>
    </row>
    <row r="19" spans="1:10" x14ac:dyDescent="0.25">
      <c r="A19" s="2">
        <v>540011</v>
      </c>
      <c r="B19" s="2" t="s">
        <v>10</v>
      </c>
      <c r="C19" s="2" t="s">
        <v>11</v>
      </c>
      <c r="D19" s="2" t="s">
        <v>5</v>
      </c>
      <c r="E19" s="2">
        <v>11</v>
      </c>
      <c r="F19" s="2">
        <v>51003</v>
      </c>
      <c r="G19" s="2">
        <v>1405</v>
      </c>
      <c r="H19" s="2">
        <v>1</v>
      </c>
      <c r="I19" s="159">
        <v>7.1174377224199998E-4</v>
      </c>
      <c r="J19" s="159">
        <v>3.5587188612100001E-2</v>
      </c>
    </row>
    <row r="20" spans="1:10" x14ac:dyDescent="0.25">
      <c r="A20" s="2">
        <v>540012</v>
      </c>
      <c r="B20" s="2" t="s">
        <v>122</v>
      </c>
      <c r="C20" s="2" t="s">
        <v>11</v>
      </c>
      <c r="D20" s="2" t="s">
        <v>115</v>
      </c>
      <c r="E20" s="2">
        <v>11</v>
      </c>
      <c r="F20" s="2">
        <v>471</v>
      </c>
      <c r="G20" s="2">
        <v>65</v>
      </c>
      <c r="H20" s="2">
        <v>0</v>
      </c>
      <c r="I20" s="159">
        <v>0</v>
      </c>
      <c r="J20" s="159">
        <v>0</v>
      </c>
    </row>
    <row r="21" spans="1:10" x14ac:dyDescent="0.25">
      <c r="A21" s="2">
        <v>540013</v>
      </c>
      <c r="B21" s="2" t="s">
        <v>123</v>
      </c>
      <c r="C21" s="2" t="s">
        <v>11</v>
      </c>
      <c r="D21" s="2" t="s">
        <v>115</v>
      </c>
      <c r="E21" s="2">
        <v>11</v>
      </c>
      <c r="F21" s="2">
        <v>1337</v>
      </c>
      <c r="G21" s="2">
        <v>27</v>
      </c>
      <c r="H21" s="2">
        <v>0</v>
      </c>
      <c r="I21" s="159">
        <v>0</v>
      </c>
      <c r="J21" s="159">
        <v>0</v>
      </c>
    </row>
    <row r="22" spans="1:10" x14ac:dyDescent="0.25">
      <c r="A22" s="2">
        <v>540014</v>
      </c>
      <c r="B22" s="2" t="s">
        <v>124</v>
      </c>
      <c r="C22" s="2" t="s">
        <v>11</v>
      </c>
      <c r="D22" s="2" t="s">
        <v>115</v>
      </c>
      <c r="E22" s="2">
        <v>11</v>
      </c>
      <c r="F22" s="2">
        <v>4407</v>
      </c>
      <c r="G22" s="2">
        <v>90</v>
      </c>
      <c r="H22" s="2">
        <v>0</v>
      </c>
      <c r="I22" s="159">
        <v>0</v>
      </c>
      <c r="J22" s="159">
        <v>0</v>
      </c>
    </row>
    <row r="23" spans="1:10" x14ac:dyDescent="0.25">
      <c r="A23" s="2">
        <v>540015</v>
      </c>
      <c r="B23" s="2" t="s">
        <v>125</v>
      </c>
      <c r="C23" s="2" t="s">
        <v>11</v>
      </c>
      <c r="D23" s="2" t="s">
        <v>115</v>
      </c>
      <c r="E23" s="2">
        <v>11</v>
      </c>
      <c r="F23" s="2">
        <v>850</v>
      </c>
      <c r="G23" s="2">
        <v>253</v>
      </c>
      <c r="H23" s="2">
        <v>1</v>
      </c>
      <c r="I23" s="159">
        <v>3.9525691699599996E-3</v>
      </c>
      <c r="J23" s="159">
        <v>0.19762845849800001</v>
      </c>
    </row>
    <row r="24" spans="1:10" x14ac:dyDescent="0.25">
      <c r="A24" s="2">
        <v>540093</v>
      </c>
      <c r="B24" s="2" t="s">
        <v>184</v>
      </c>
      <c r="C24" s="2" t="s">
        <v>11</v>
      </c>
      <c r="D24" s="2" t="s">
        <v>115</v>
      </c>
      <c r="E24" s="2">
        <v>11</v>
      </c>
      <c r="F24" s="2">
        <v>1193</v>
      </c>
      <c r="G24" s="2">
        <v>146</v>
      </c>
      <c r="H24" s="2">
        <v>0</v>
      </c>
      <c r="I24" s="159">
        <v>0</v>
      </c>
      <c r="J24" s="159">
        <v>0</v>
      </c>
    </row>
    <row r="25" spans="1:10" x14ac:dyDescent="0.25">
      <c r="A25" s="2">
        <v>540084</v>
      </c>
      <c r="B25" s="2" t="s">
        <v>341</v>
      </c>
      <c r="C25" s="2" t="s">
        <v>11</v>
      </c>
      <c r="D25" s="2" t="s">
        <v>115</v>
      </c>
      <c r="E25" s="2">
        <v>11</v>
      </c>
      <c r="F25" s="2">
        <v>92</v>
      </c>
      <c r="G25" s="2">
        <v>0</v>
      </c>
      <c r="H25" s="2">
        <v>0</v>
      </c>
      <c r="I25" s="159" t="s">
        <v>488</v>
      </c>
      <c r="J25" s="159" t="s">
        <v>488</v>
      </c>
    </row>
    <row r="26" spans="1:10" x14ac:dyDescent="0.25">
      <c r="A26" s="252"/>
      <c r="B26" s="252"/>
      <c r="C26" s="252" t="s">
        <v>11</v>
      </c>
      <c r="D26" s="252"/>
      <c r="E26" s="252"/>
      <c r="F26" s="252">
        <v>59353</v>
      </c>
      <c r="G26" s="252">
        <v>1986</v>
      </c>
      <c r="H26" s="252">
        <v>2</v>
      </c>
      <c r="I26" s="414">
        <v>1.00704934542E-3</v>
      </c>
      <c r="J26" s="414">
        <v>5.0352467270900002E-2</v>
      </c>
    </row>
    <row r="27" spans="1:10" x14ac:dyDescent="0.25">
      <c r="A27" s="2">
        <v>540016</v>
      </c>
      <c r="B27" s="2" t="s">
        <v>12</v>
      </c>
      <c r="C27" s="2" t="s">
        <v>13</v>
      </c>
      <c r="D27" s="2" t="s">
        <v>5</v>
      </c>
      <c r="E27" s="2">
        <v>2</v>
      </c>
      <c r="F27" s="2">
        <v>169628</v>
      </c>
      <c r="G27" s="2">
        <v>7109</v>
      </c>
      <c r="H27" s="2">
        <v>3</v>
      </c>
      <c r="I27" s="159">
        <v>4.22000281334E-4</v>
      </c>
      <c r="J27" s="159">
        <v>2.11000140667E-2</v>
      </c>
    </row>
    <row r="28" spans="1:10" x14ac:dyDescent="0.25">
      <c r="A28" s="2">
        <v>540017</v>
      </c>
      <c r="B28" s="2" t="s">
        <v>126</v>
      </c>
      <c r="C28" s="2" t="s">
        <v>13</v>
      </c>
      <c r="D28" s="2" t="s">
        <v>115</v>
      </c>
      <c r="E28" s="2">
        <v>2</v>
      </c>
      <c r="F28" s="2">
        <v>2679</v>
      </c>
      <c r="G28" s="2">
        <v>156</v>
      </c>
      <c r="H28" s="2">
        <v>0</v>
      </c>
      <c r="I28" s="159">
        <v>0</v>
      </c>
      <c r="J28" s="159">
        <v>0</v>
      </c>
    </row>
    <row r="29" spans="1:10" x14ac:dyDescent="0.25">
      <c r="A29" s="2">
        <v>540018</v>
      </c>
      <c r="B29" s="2" t="s">
        <v>127</v>
      </c>
      <c r="C29" s="2" t="s">
        <v>13</v>
      </c>
      <c r="D29" s="2" t="s">
        <v>115</v>
      </c>
      <c r="E29" s="2">
        <v>2</v>
      </c>
      <c r="F29" s="2">
        <v>10925</v>
      </c>
      <c r="G29" s="2">
        <v>319</v>
      </c>
      <c r="H29" s="2">
        <v>1</v>
      </c>
      <c r="I29" s="159">
        <v>3.1347962382399998E-3</v>
      </c>
      <c r="J29" s="159">
        <v>0.15673981191200001</v>
      </c>
    </row>
    <row r="30" spans="1:10" x14ac:dyDescent="0.25">
      <c r="A30" s="2">
        <v>540019</v>
      </c>
      <c r="B30" s="2" t="s">
        <v>128</v>
      </c>
      <c r="C30" s="2" t="s">
        <v>13</v>
      </c>
      <c r="D30" s="2" t="s">
        <v>115</v>
      </c>
      <c r="E30" s="2">
        <v>2</v>
      </c>
      <c r="F30" s="2">
        <v>1005</v>
      </c>
      <c r="G30" s="2">
        <v>227</v>
      </c>
      <c r="H30" s="2">
        <v>2</v>
      </c>
      <c r="I30" s="159">
        <v>8.8105726872200005E-3</v>
      </c>
      <c r="J30" s="159">
        <v>0.44052863436099998</v>
      </c>
    </row>
    <row r="31" spans="1:10" x14ac:dyDescent="0.25">
      <c r="A31" s="252"/>
      <c r="B31" s="252"/>
      <c r="C31" s="252" t="s">
        <v>13</v>
      </c>
      <c r="D31" s="252"/>
      <c r="E31" s="252"/>
      <c r="F31" s="252">
        <v>184237</v>
      </c>
      <c r="G31" s="252">
        <v>7811</v>
      </c>
      <c r="H31" s="252">
        <v>6</v>
      </c>
      <c r="I31" s="414">
        <v>7.6814748431699997E-4</v>
      </c>
      <c r="J31" s="414">
        <v>3.8407374215799997E-2</v>
      </c>
    </row>
    <row r="32" spans="1:10" x14ac:dyDescent="0.25">
      <c r="A32" s="2">
        <v>540020</v>
      </c>
      <c r="B32" s="2" t="s">
        <v>14</v>
      </c>
      <c r="C32" s="2" t="s">
        <v>15</v>
      </c>
      <c r="D32" s="2" t="s">
        <v>5</v>
      </c>
      <c r="E32" s="2">
        <v>5</v>
      </c>
      <c r="F32" s="2">
        <v>179082</v>
      </c>
      <c r="G32" s="2">
        <v>6397</v>
      </c>
      <c r="H32" s="2">
        <v>0</v>
      </c>
      <c r="I32" s="159">
        <v>0</v>
      </c>
      <c r="J32" s="159">
        <v>0</v>
      </c>
    </row>
    <row r="33" spans="1:10" x14ac:dyDescent="0.25">
      <c r="A33" s="2">
        <v>540021</v>
      </c>
      <c r="B33" s="2" t="s">
        <v>129</v>
      </c>
      <c r="C33" s="2" t="s">
        <v>15</v>
      </c>
      <c r="D33" s="2" t="s">
        <v>115</v>
      </c>
      <c r="E33" s="2">
        <v>5</v>
      </c>
      <c r="F33" s="2">
        <v>296</v>
      </c>
      <c r="G33" s="2">
        <v>88</v>
      </c>
      <c r="H33" s="2">
        <v>0</v>
      </c>
      <c r="I33" s="159">
        <v>0</v>
      </c>
      <c r="J33" s="159">
        <v>0</v>
      </c>
    </row>
    <row r="34" spans="1:10" x14ac:dyDescent="0.25">
      <c r="A34" s="252"/>
      <c r="B34" s="252"/>
      <c r="C34" s="252" t="s">
        <v>15</v>
      </c>
      <c r="D34" s="252"/>
      <c r="E34" s="252"/>
      <c r="F34" s="252">
        <v>179378</v>
      </c>
      <c r="G34" s="252">
        <v>6485</v>
      </c>
      <c r="H34" s="252">
        <v>0</v>
      </c>
      <c r="I34" s="414">
        <v>0</v>
      </c>
      <c r="J34" s="414">
        <v>0</v>
      </c>
    </row>
    <row r="35" spans="1:10" x14ac:dyDescent="0.25">
      <c r="A35" s="2">
        <v>540022</v>
      </c>
      <c r="B35" s="2" t="s">
        <v>16</v>
      </c>
      <c r="C35" s="2" t="s">
        <v>17</v>
      </c>
      <c r="D35" s="2" t="s">
        <v>5</v>
      </c>
      <c r="E35" s="2">
        <v>3</v>
      </c>
      <c r="F35" s="2">
        <v>219517</v>
      </c>
      <c r="G35" s="2">
        <v>5635</v>
      </c>
      <c r="H35" s="2">
        <v>0</v>
      </c>
      <c r="I35" s="159">
        <v>0</v>
      </c>
      <c r="J35" s="159">
        <v>0</v>
      </c>
    </row>
    <row r="36" spans="1:10" x14ac:dyDescent="0.25">
      <c r="A36" s="2">
        <v>540023</v>
      </c>
      <c r="B36" s="2" t="s">
        <v>130</v>
      </c>
      <c r="C36" s="2" t="s">
        <v>17</v>
      </c>
      <c r="D36" s="2" t="s">
        <v>115</v>
      </c>
      <c r="E36" s="2">
        <v>3</v>
      </c>
      <c r="F36" s="2">
        <v>394</v>
      </c>
      <c r="G36" s="2">
        <v>114</v>
      </c>
      <c r="H36" s="2">
        <v>0</v>
      </c>
      <c r="I36" s="159">
        <v>0</v>
      </c>
      <c r="J36" s="159">
        <v>0</v>
      </c>
    </row>
    <row r="37" spans="1:10" x14ac:dyDescent="0.25">
      <c r="A37" s="252"/>
      <c r="B37" s="252"/>
      <c r="C37" s="252" t="s">
        <v>17</v>
      </c>
      <c r="D37" s="252"/>
      <c r="E37" s="252"/>
      <c r="F37" s="252">
        <v>219911</v>
      </c>
      <c r="G37" s="252">
        <v>5749</v>
      </c>
      <c r="H37" s="252">
        <v>0</v>
      </c>
      <c r="I37" s="414">
        <v>0</v>
      </c>
      <c r="J37" s="414">
        <v>0</v>
      </c>
    </row>
    <row r="38" spans="1:10" x14ac:dyDescent="0.25">
      <c r="A38" s="2">
        <v>540024</v>
      </c>
      <c r="B38" s="2" t="s">
        <v>18</v>
      </c>
      <c r="C38" s="2" t="s">
        <v>19</v>
      </c>
      <c r="D38" s="2" t="s">
        <v>5</v>
      </c>
      <c r="E38" s="2">
        <v>6</v>
      </c>
      <c r="F38" s="2">
        <v>204680</v>
      </c>
      <c r="G38" s="2">
        <v>5651</v>
      </c>
      <c r="H38" s="2">
        <v>0</v>
      </c>
      <c r="I38" s="159">
        <v>0</v>
      </c>
      <c r="J38" s="159">
        <v>0</v>
      </c>
    </row>
    <row r="39" spans="1:10" x14ac:dyDescent="0.25">
      <c r="A39" s="2">
        <v>540025</v>
      </c>
      <c r="B39" s="2" t="s">
        <v>131</v>
      </c>
      <c r="C39" s="2" t="s">
        <v>19</v>
      </c>
      <c r="D39" s="2" t="s">
        <v>115</v>
      </c>
      <c r="E39" s="2">
        <v>6</v>
      </c>
      <c r="F39" s="2">
        <v>241</v>
      </c>
      <c r="G39" s="2">
        <v>29</v>
      </c>
      <c r="H39" s="2">
        <v>0</v>
      </c>
      <c r="I39" s="159">
        <v>0</v>
      </c>
      <c r="J39" s="159">
        <v>0</v>
      </c>
    </row>
    <row r="40" spans="1:10" x14ac:dyDescent="0.25">
      <c r="A40" s="252"/>
      <c r="B40" s="252"/>
      <c r="C40" s="252" t="s">
        <v>19</v>
      </c>
      <c r="D40" s="252"/>
      <c r="E40" s="252"/>
      <c r="F40" s="252">
        <v>204921</v>
      </c>
      <c r="G40" s="252">
        <v>5680</v>
      </c>
      <c r="H40" s="252">
        <v>0</v>
      </c>
      <c r="I40" s="414">
        <v>0</v>
      </c>
      <c r="J40" s="414">
        <v>0</v>
      </c>
    </row>
    <row r="41" spans="1:10" x14ac:dyDescent="0.25">
      <c r="A41" s="2">
        <v>540035</v>
      </c>
      <c r="B41" s="2" t="s">
        <v>22</v>
      </c>
      <c r="C41" s="2" t="s">
        <v>23</v>
      </c>
      <c r="D41" s="2" t="s">
        <v>5</v>
      </c>
      <c r="E41" s="2">
        <v>7</v>
      </c>
      <c r="F41" s="2">
        <v>216311</v>
      </c>
      <c r="G41" s="2">
        <v>6892</v>
      </c>
      <c r="H41" s="2">
        <v>2</v>
      </c>
      <c r="I41" s="159">
        <v>2.9019152640699999E-4</v>
      </c>
      <c r="J41" s="159">
        <v>1.45095763204E-2</v>
      </c>
    </row>
    <row r="42" spans="1:10" x14ac:dyDescent="0.25">
      <c r="A42" s="2">
        <v>540036</v>
      </c>
      <c r="B42" s="2" t="s">
        <v>139</v>
      </c>
      <c r="C42" s="2" t="s">
        <v>23</v>
      </c>
      <c r="D42" s="2" t="s">
        <v>115</v>
      </c>
      <c r="E42" s="2">
        <v>7</v>
      </c>
      <c r="F42" s="2">
        <v>662</v>
      </c>
      <c r="G42" s="2">
        <v>165</v>
      </c>
      <c r="H42" s="2">
        <v>0</v>
      </c>
      <c r="I42" s="159">
        <v>0</v>
      </c>
      <c r="J42" s="159">
        <v>0</v>
      </c>
    </row>
    <row r="43" spans="1:10" x14ac:dyDescent="0.25">
      <c r="A43" s="2">
        <v>540037</v>
      </c>
      <c r="B43" s="2" t="s">
        <v>140</v>
      </c>
      <c r="C43" s="2" t="s">
        <v>23</v>
      </c>
      <c r="D43" s="2" t="s">
        <v>115</v>
      </c>
      <c r="E43" s="2">
        <v>7</v>
      </c>
      <c r="F43" s="2">
        <v>224</v>
      </c>
      <c r="G43" s="2">
        <v>70</v>
      </c>
      <c r="H43" s="2">
        <v>0</v>
      </c>
      <c r="I43" s="159">
        <v>0</v>
      </c>
      <c r="J43" s="159">
        <v>0</v>
      </c>
    </row>
    <row r="44" spans="1:10" x14ac:dyDescent="0.25">
      <c r="A44" s="252"/>
      <c r="B44" s="252"/>
      <c r="C44" s="252" t="s">
        <v>23</v>
      </c>
      <c r="D44" s="252"/>
      <c r="E44" s="252"/>
      <c r="F44" s="252">
        <v>217197</v>
      </c>
      <c r="G44" s="252">
        <v>7127</v>
      </c>
      <c r="H44" s="252">
        <v>2</v>
      </c>
      <c r="I44" s="414">
        <v>2.8062298302200002E-4</v>
      </c>
      <c r="J44" s="414">
        <v>1.40311491511E-2</v>
      </c>
    </row>
    <row r="45" spans="1:10" x14ac:dyDescent="0.25">
      <c r="A45" s="2">
        <v>540038</v>
      </c>
      <c r="B45" s="2" t="s">
        <v>24</v>
      </c>
      <c r="C45" s="2" t="s">
        <v>25</v>
      </c>
      <c r="D45" s="2" t="s">
        <v>5</v>
      </c>
      <c r="E45" s="2">
        <v>8</v>
      </c>
      <c r="F45" s="2">
        <v>305978</v>
      </c>
      <c r="G45" s="2">
        <v>7024</v>
      </c>
      <c r="H45" s="2">
        <v>9</v>
      </c>
      <c r="I45" s="159">
        <v>1.2813211845099999E-3</v>
      </c>
      <c r="J45" s="159">
        <v>6.4066059225500002E-2</v>
      </c>
    </row>
    <row r="46" spans="1:10" x14ac:dyDescent="0.25">
      <c r="A46" s="2">
        <v>540039</v>
      </c>
      <c r="B46" s="2" t="s">
        <v>141</v>
      </c>
      <c r="C46" s="2" t="s">
        <v>25</v>
      </c>
      <c r="D46" s="2" t="s">
        <v>115</v>
      </c>
      <c r="E46" s="2">
        <v>8</v>
      </c>
      <c r="F46" s="2">
        <v>1035</v>
      </c>
      <c r="G46" s="2">
        <v>190</v>
      </c>
      <c r="H46" s="2">
        <v>0</v>
      </c>
      <c r="I46" s="159">
        <v>0</v>
      </c>
      <c r="J46" s="159">
        <v>0</v>
      </c>
    </row>
    <row r="47" spans="1:10" x14ac:dyDescent="0.25">
      <c r="A47" s="2">
        <v>540240</v>
      </c>
      <c r="B47" s="2" t="s">
        <v>287</v>
      </c>
      <c r="C47" s="2" t="s">
        <v>25</v>
      </c>
      <c r="D47" s="2" t="s">
        <v>115</v>
      </c>
      <c r="E47" s="2">
        <v>8</v>
      </c>
      <c r="F47" s="2">
        <v>195</v>
      </c>
      <c r="G47" s="2">
        <v>18</v>
      </c>
      <c r="H47" s="2">
        <v>0</v>
      </c>
      <c r="I47" s="159">
        <v>0</v>
      </c>
      <c r="J47" s="159">
        <v>0</v>
      </c>
    </row>
    <row r="48" spans="1:10" x14ac:dyDescent="0.25">
      <c r="A48" s="252"/>
      <c r="B48" s="252"/>
      <c r="C48" s="252" t="s">
        <v>25</v>
      </c>
      <c r="D48" s="252"/>
      <c r="E48" s="252"/>
      <c r="F48" s="252">
        <v>307208</v>
      </c>
      <c r="G48" s="252">
        <v>7232</v>
      </c>
      <c r="H48" s="252">
        <v>9</v>
      </c>
      <c r="I48" s="414">
        <v>1.24446902655E-3</v>
      </c>
      <c r="J48" s="414">
        <v>6.2223451327400002E-2</v>
      </c>
    </row>
    <row r="49" spans="1:10" x14ac:dyDescent="0.25">
      <c r="A49" s="2">
        <v>540040</v>
      </c>
      <c r="B49" s="2" t="s">
        <v>26</v>
      </c>
      <c r="C49" s="2" t="s">
        <v>27</v>
      </c>
      <c r="D49" s="2" t="s">
        <v>5</v>
      </c>
      <c r="E49" s="2">
        <v>4</v>
      </c>
      <c r="F49" s="2">
        <v>648250</v>
      </c>
      <c r="G49" s="2">
        <v>19348</v>
      </c>
      <c r="H49" s="2">
        <v>9</v>
      </c>
      <c r="I49" s="159">
        <v>4.6516435807300002E-4</v>
      </c>
      <c r="J49" s="159">
        <v>2.3258217903700001E-2</v>
      </c>
    </row>
    <row r="50" spans="1:10" x14ac:dyDescent="0.25">
      <c r="A50" s="2">
        <v>540041</v>
      </c>
      <c r="B50" s="2" t="s">
        <v>142</v>
      </c>
      <c r="C50" s="2" t="s">
        <v>27</v>
      </c>
      <c r="D50" s="2" t="s">
        <v>115</v>
      </c>
      <c r="E50" s="2">
        <v>4</v>
      </c>
      <c r="F50" s="2">
        <v>418</v>
      </c>
      <c r="G50" s="2">
        <v>83</v>
      </c>
      <c r="H50" s="2">
        <v>0</v>
      </c>
      <c r="I50" s="159">
        <v>0</v>
      </c>
      <c r="J50" s="159">
        <v>0</v>
      </c>
    </row>
    <row r="51" spans="1:10" x14ac:dyDescent="0.25">
      <c r="A51" s="2">
        <v>540043</v>
      </c>
      <c r="B51" s="2" t="s">
        <v>144</v>
      </c>
      <c r="C51" s="2" t="s">
        <v>27</v>
      </c>
      <c r="D51" s="2" t="s">
        <v>115</v>
      </c>
      <c r="E51" s="2">
        <v>4</v>
      </c>
      <c r="F51" s="2">
        <v>1106</v>
      </c>
      <c r="G51" s="2">
        <v>137</v>
      </c>
      <c r="H51" s="2">
        <v>1</v>
      </c>
      <c r="I51" s="159">
        <v>7.2992700729900004E-3</v>
      </c>
      <c r="J51" s="159">
        <v>0.36496350365000002</v>
      </c>
    </row>
    <row r="52" spans="1:10" x14ac:dyDescent="0.25">
      <c r="A52" s="2">
        <v>540044</v>
      </c>
      <c r="B52" s="2" t="s">
        <v>145</v>
      </c>
      <c r="C52" s="2" t="s">
        <v>27</v>
      </c>
      <c r="D52" s="2" t="s">
        <v>115</v>
      </c>
      <c r="E52" s="2">
        <v>4</v>
      </c>
      <c r="F52" s="2">
        <v>501</v>
      </c>
      <c r="G52" s="2">
        <v>114</v>
      </c>
      <c r="H52" s="2">
        <v>6</v>
      </c>
      <c r="I52" s="159">
        <v>5.2631578947399997E-2</v>
      </c>
      <c r="J52" s="159">
        <v>2.63157894737</v>
      </c>
    </row>
    <row r="53" spans="1:10" x14ac:dyDescent="0.25">
      <c r="A53" s="2">
        <v>540045</v>
      </c>
      <c r="B53" s="2" t="s">
        <v>146</v>
      </c>
      <c r="C53" s="2" t="s">
        <v>27</v>
      </c>
      <c r="D53" s="2" t="s">
        <v>115</v>
      </c>
      <c r="E53" s="2">
        <v>4</v>
      </c>
      <c r="F53" s="2">
        <v>1214</v>
      </c>
      <c r="G53" s="2">
        <v>189</v>
      </c>
      <c r="H53" s="2">
        <v>0</v>
      </c>
      <c r="I53" s="159">
        <v>0</v>
      </c>
      <c r="J53" s="159">
        <v>0</v>
      </c>
    </row>
    <row r="54" spans="1:10" x14ac:dyDescent="0.25">
      <c r="A54" s="2">
        <v>540228</v>
      </c>
      <c r="B54" s="2" t="s">
        <v>278</v>
      </c>
      <c r="C54" s="2" t="s">
        <v>27</v>
      </c>
      <c r="D54" s="2" t="s">
        <v>115</v>
      </c>
      <c r="E54" s="2">
        <v>4</v>
      </c>
      <c r="F54" s="2">
        <v>714</v>
      </c>
      <c r="G54" s="2">
        <v>66</v>
      </c>
      <c r="H54" s="2">
        <v>0</v>
      </c>
      <c r="I54" s="159">
        <v>0</v>
      </c>
      <c r="J54" s="159">
        <v>0</v>
      </c>
    </row>
    <row r="55" spans="1:10" x14ac:dyDescent="0.25">
      <c r="A55" s="2">
        <v>540243</v>
      </c>
      <c r="B55" s="2" t="s">
        <v>290</v>
      </c>
      <c r="C55" s="2" t="s">
        <v>27</v>
      </c>
      <c r="D55" s="2" t="s">
        <v>115</v>
      </c>
      <c r="E55" s="2">
        <v>4</v>
      </c>
      <c r="F55" s="2">
        <v>338</v>
      </c>
      <c r="G55" s="2">
        <v>36</v>
      </c>
      <c r="H55" s="2">
        <v>0</v>
      </c>
      <c r="I55" s="159">
        <v>0</v>
      </c>
      <c r="J55" s="159">
        <v>0</v>
      </c>
    </row>
    <row r="56" spans="1:10" x14ac:dyDescent="0.25">
      <c r="A56" s="2">
        <v>540244</v>
      </c>
      <c r="B56" s="2" t="s">
        <v>291</v>
      </c>
      <c r="C56" s="2" t="s">
        <v>27</v>
      </c>
      <c r="D56" s="2" t="s">
        <v>115</v>
      </c>
      <c r="E56" s="2">
        <v>4</v>
      </c>
      <c r="F56" s="2">
        <v>221</v>
      </c>
      <c r="G56" s="2">
        <v>1</v>
      </c>
      <c r="H56" s="2">
        <v>0</v>
      </c>
      <c r="I56" s="159">
        <v>0</v>
      </c>
      <c r="J56" s="159">
        <v>0</v>
      </c>
    </row>
    <row r="57" spans="1:10" x14ac:dyDescent="0.25">
      <c r="A57" s="2">
        <v>540281</v>
      </c>
      <c r="B57" s="2" t="s">
        <v>322</v>
      </c>
      <c r="C57" s="2" t="s">
        <v>27</v>
      </c>
      <c r="D57" s="2" t="s">
        <v>115</v>
      </c>
      <c r="E57" s="2">
        <v>4</v>
      </c>
      <c r="F57" s="2">
        <v>2437</v>
      </c>
      <c r="G57" s="2">
        <v>0</v>
      </c>
      <c r="H57" s="2">
        <v>0</v>
      </c>
      <c r="I57" s="159" t="s">
        <v>488</v>
      </c>
      <c r="J57" s="159" t="s">
        <v>488</v>
      </c>
    </row>
    <row r="58" spans="1:10" x14ac:dyDescent="0.25">
      <c r="A58" s="252"/>
      <c r="B58" s="252"/>
      <c r="C58" s="252" t="s">
        <v>27</v>
      </c>
      <c r="D58" s="252"/>
      <c r="E58" s="252"/>
      <c r="F58" s="252">
        <v>655199</v>
      </c>
      <c r="G58" s="252">
        <v>19974</v>
      </c>
      <c r="H58" s="252">
        <v>16</v>
      </c>
      <c r="I58" s="414">
        <v>8.0104135375999998E-4</v>
      </c>
      <c r="J58" s="414">
        <v>4.0052067688000001E-2</v>
      </c>
    </row>
    <row r="59" spans="1:10" x14ac:dyDescent="0.25">
      <c r="A59" s="2">
        <v>540047</v>
      </c>
      <c r="B59" s="2" t="s">
        <v>28</v>
      </c>
      <c r="C59" s="2" t="s">
        <v>29</v>
      </c>
      <c r="D59" s="2" t="s">
        <v>5</v>
      </c>
      <c r="E59" s="2">
        <v>11</v>
      </c>
      <c r="F59" s="2">
        <v>46787</v>
      </c>
      <c r="G59" s="2">
        <v>644</v>
      </c>
      <c r="H59" s="2">
        <v>1</v>
      </c>
      <c r="I59" s="159">
        <v>1.5527950310600001E-3</v>
      </c>
      <c r="J59" s="159">
        <v>7.7639751552799993E-2</v>
      </c>
    </row>
    <row r="60" spans="1:10" x14ac:dyDescent="0.25">
      <c r="A60" s="2">
        <v>540014</v>
      </c>
      <c r="B60" s="2" t="s">
        <v>124</v>
      </c>
      <c r="C60" s="2" t="s">
        <v>29</v>
      </c>
      <c r="D60" s="2" t="s">
        <v>115</v>
      </c>
      <c r="E60" s="2">
        <v>11</v>
      </c>
      <c r="F60" s="2">
        <v>7775</v>
      </c>
      <c r="G60" s="2">
        <v>292</v>
      </c>
      <c r="H60" s="2">
        <v>3</v>
      </c>
      <c r="I60" s="159">
        <v>1.02739726027E-2</v>
      </c>
      <c r="J60" s="159">
        <v>0.51369863013700001</v>
      </c>
    </row>
    <row r="61" spans="1:10" x14ac:dyDescent="0.25">
      <c r="A61" s="2">
        <v>540048</v>
      </c>
      <c r="B61" s="2" t="s">
        <v>148</v>
      </c>
      <c r="C61" s="2" t="s">
        <v>29</v>
      </c>
      <c r="D61" s="2" t="s">
        <v>115</v>
      </c>
      <c r="E61" s="2">
        <v>11</v>
      </c>
      <c r="F61" s="2">
        <v>639</v>
      </c>
      <c r="G61" s="2">
        <v>39</v>
      </c>
      <c r="H61" s="2">
        <v>0</v>
      </c>
      <c r="I61" s="159">
        <v>0</v>
      </c>
      <c r="J61" s="159">
        <v>0</v>
      </c>
    </row>
    <row r="62" spans="1:10" x14ac:dyDescent="0.25">
      <c r="A62" s="2">
        <v>540049</v>
      </c>
      <c r="B62" s="2" t="s">
        <v>149</v>
      </c>
      <c r="C62" s="2" t="s">
        <v>29</v>
      </c>
      <c r="D62" s="2" t="s">
        <v>115</v>
      </c>
      <c r="E62" s="2">
        <v>11</v>
      </c>
      <c r="F62" s="2">
        <v>1189</v>
      </c>
      <c r="G62" s="2">
        <v>148</v>
      </c>
      <c r="H62" s="2">
        <v>0</v>
      </c>
      <c r="I62" s="159">
        <v>0</v>
      </c>
      <c r="J62" s="159">
        <v>0</v>
      </c>
    </row>
    <row r="63" spans="1:10" x14ac:dyDescent="0.25">
      <c r="A63" s="252"/>
      <c r="B63" s="252"/>
      <c r="C63" s="252" t="s">
        <v>29</v>
      </c>
      <c r="D63" s="252"/>
      <c r="E63" s="252"/>
      <c r="F63" s="252">
        <v>56390</v>
      </c>
      <c r="G63" s="252">
        <v>1123</v>
      </c>
      <c r="H63" s="252">
        <v>4</v>
      </c>
      <c r="I63" s="414">
        <v>3.5618878005300001E-3</v>
      </c>
      <c r="J63" s="414">
        <v>0.178094390027</v>
      </c>
    </row>
    <row r="64" spans="1:10" x14ac:dyDescent="0.25">
      <c r="A64" s="2">
        <v>540051</v>
      </c>
      <c r="B64" s="2" t="s">
        <v>30</v>
      </c>
      <c r="C64" s="2" t="s">
        <v>31</v>
      </c>
      <c r="D64" s="2" t="s">
        <v>5</v>
      </c>
      <c r="E64" s="2">
        <v>8</v>
      </c>
      <c r="F64" s="2">
        <v>372059</v>
      </c>
      <c r="G64" s="2">
        <v>16850</v>
      </c>
      <c r="H64" s="2">
        <v>0</v>
      </c>
      <c r="I64" s="159">
        <v>0</v>
      </c>
      <c r="J64" s="159">
        <v>0</v>
      </c>
    </row>
    <row r="65" spans="1:10" x14ac:dyDescent="0.25">
      <c r="A65" s="2">
        <v>540052</v>
      </c>
      <c r="B65" s="2" t="s">
        <v>151</v>
      </c>
      <c r="C65" s="2" t="s">
        <v>31</v>
      </c>
      <c r="D65" s="2" t="s">
        <v>115</v>
      </c>
      <c r="E65" s="2">
        <v>8</v>
      </c>
      <c r="F65" s="2">
        <v>1784</v>
      </c>
      <c r="G65" s="2">
        <v>475</v>
      </c>
      <c r="H65" s="2">
        <v>3</v>
      </c>
      <c r="I65" s="159">
        <v>6.3157894736800002E-3</v>
      </c>
      <c r="J65" s="159">
        <v>0.31578947368400001</v>
      </c>
    </row>
    <row r="66" spans="1:10" x14ac:dyDescent="0.25">
      <c r="A66" s="2">
        <v>540245</v>
      </c>
      <c r="B66" s="2" t="s">
        <v>292</v>
      </c>
      <c r="C66" s="2" t="s">
        <v>31</v>
      </c>
      <c r="D66" s="2" t="s">
        <v>115</v>
      </c>
      <c r="E66" s="2">
        <v>8</v>
      </c>
      <c r="F66" s="2">
        <v>212</v>
      </c>
      <c r="G66" s="2">
        <v>12</v>
      </c>
      <c r="H66" s="2">
        <v>0</v>
      </c>
      <c r="I66" s="159">
        <v>0</v>
      </c>
      <c r="J66" s="159">
        <v>0</v>
      </c>
    </row>
    <row r="67" spans="1:10" x14ac:dyDescent="0.25">
      <c r="A67" s="252"/>
      <c r="B67" s="252"/>
      <c r="C67" s="252" t="s">
        <v>31</v>
      </c>
      <c r="D67" s="252"/>
      <c r="E67" s="252"/>
      <c r="F67" s="252">
        <v>374055</v>
      </c>
      <c r="G67" s="252">
        <v>17337</v>
      </c>
      <c r="H67" s="252">
        <v>3</v>
      </c>
      <c r="I67" s="414">
        <v>1.73040318394E-4</v>
      </c>
      <c r="J67" s="414">
        <v>8.6520159197099999E-3</v>
      </c>
    </row>
    <row r="68" spans="1:10" x14ac:dyDescent="0.25">
      <c r="A68" s="2">
        <v>540053</v>
      </c>
      <c r="B68" s="2" t="s">
        <v>32</v>
      </c>
      <c r="C68" s="2" t="s">
        <v>33</v>
      </c>
      <c r="D68" s="2" t="s">
        <v>5</v>
      </c>
      <c r="E68" s="2">
        <v>6</v>
      </c>
      <c r="F68" s="2">
        <v>248423</v>
      </c>
      <c r="G68" s="2">
        <v>5666</v>
      </c>
      <c r="H68" s="2">
        <v>3</v>
      </c>
      <c r="I68" s="159">
        <v>5.2947405577099995E-4</v>
      </c>
      <c r="J68" s="159">
        <v>2.64737027886E-2</v>
      </c>
    </row>
    <row r="69" spans="1:10" x14ac:dyDescent="0.25">
      <c r="A69" s="2">
        <v>540054</v>
      </c>
      <c r="B69" s="2" t="s">
        <v>152</v>
      </c>
      <c r="C69" s="2" t="s">
        <v>33</v>
      </c>
      <c r="D69" s="2" t="s">
        <v>115</v>
      </c>
      <c r="E69" s="2">
        <v>6</v>
      </c>
      <c r="F69" s="2">
        <v>676</v>
      </c>
      <c r="G69" s="2">
        <v>15</v>
      </c>
      <c r="H69" s="2">
        <v>0</v>
      </c>
      <c r="I69" s="159">
        <v>0</v>
      </c>
      <c r="J69" s="159">
        <v>0</v>
      </c>
    </row>
    <row r="70" spans="1:10" x14ac:dyDescent="0.25">
      <c r="A70" s="2">
        <v>540055</v>
      </c>
      <c r="B70" s="2" t="s">
        <v>153</v>
      </c>
      <c r="C70" s="2" t="s">
        <v>33</v>
      </c>
      <c r="D70" s="2" t="s">
        <v>115</v>
      </c>
      <c r="E70" s="2">
        <v>6</v>
      </c>
      <c r="F70" s="2">
        <v>6899</v>
      </c>
      <c r="G70" s="2">
        <v>182</v>
      </c>
      <c r="H70" s="2">
        <v>0</v>
      </c>
      <c r="I70" s="159">
        <v>0</v>
      </c>
      <c r="J70" s="159">
        <v>0</v>
      </c>
    </row>
    <row r="71" spans="1:10" x14ac:dyDescent="0.25">
      <c r="A71" s="2">
        <v>540056</v>
      </c>
      <c r="B71" s="2" t="s">
        <v>154</v>
      </c>
      <c r="C71" s="2" t="s">
        <v>33</v>
      </c>
      <c r="D71" s="2" t="s">
        <v>115</v>
      </c>
      <c r="E71" s="2">
        <v>6</v>
      </c>
      <c r="F71" s="2">
        <v>6225</v>
      </c>
      <c r="G71" s="2">
        <v>183</v>
      </c>
      <c r="H71" s="2">
        <v>1</v>
      </c>
      <c r="I71" s="159">
        <v>5.4644808743199999E-3</v>
      </c>
      <c r="J71" s="159">
        <v>0.27322404371600001</v>
      </c>
    </row>
    <row r="72" spans="1:10" x14ac:dyDescent="0.25">
      <c r="A72" s="2">
        <v>540057</v>
      </c>
      <c r="B72" s="2" t="s">
        <v>155</v>
      </c>
      <c r="C72" s="2" t="s">
        <v>33</v>
      </c>
      <c r="D72" s="2" t="s">
        <v>115</v>
      </c>
      <c r="E72" s="2">
        <v>6</v>
      </c>
      <c r="F72" s="2">
        <v>621</v>
      </c>
      <c r="G72" s="2">
        <v>115</v>
      </c>
      <c r="H72" s="2">
        <v>0</v>
      </c>
      <c r="I72" s="159">
        <v>0</v>
      </c>
      <c r="J72" s="159">
        <v>0</v>
      </c>
    </row>
    <row r="73" spans="1:10" x14ac:dyDescent="0.25">
      <c r="A73" s="2">
        <v>540058</v>
      </c>
      <c r="B73" s="2" t="s">
        <v>156</v>
      </c>
      <c r="C73" s="2" t="s">
        <v>33</v>
      </c>
      <c r="D73" s="2" t="s">
        <v>115</v>
      </c>
      <c r="E73" s="2">
        <v>6</v>
      </c>
      <c r="F73" s="2">
        <v>322</v>
      </c>
      <c r="G73" s="2">
        <v>48</v>
      </c>
      <c r="H73" s="2">
        <v>1</v>
      </c>
      <c r="I73" s="159">
        <v>2.0833333333300001E-2</v>
      </c>
      <c r="J73" s="159">
        <v>1.0416666666700001</v>
      </c>
    </row>
    <row r="74" spans="1:10" x14ac:dyDescent="0.25">
      <c r="A74" s="2">
        <v>540059</v>
      </c>
      <c r="B74" s="2" t="s">
        <v>157</v>
      </c>
      <c r="C74" s="2" t="s">
        <v>33</v>
      </c>
      <c r="D74" s="2" t="s">
        <v>115</v>
      </c>
      <c r="E74" s="2">
        <v>6</v>
      </c>
      <c r="F74" s="2">
        <v>569</v>
      </c>
      <c r="G74" s="2">
        <v>36</v>
      </c>
      <c r="H74" s="2">
        <v>0</v>
      </c>
      <c r="I74" s="159">
        <v>0</v>
      </c>
      <c r="J74" s="159">
        <v>0</v>
      </c>
    </row>
    <row r="75" spans="1:10" x14ac:dyDescent="0.25">
      <c r="A75" s="2">
        <v>540060</v>
      </c>
      <c r="B75" s="2" t="s">
        <v>158</v>
      </c>
      <c r="C75" s="2" t="s">
        <v>33</v>
      </c>
      <c r="D75" s="2" t="s">
        <v>115</v>
      </c>
      <c r="E75" s="2">
        <v>6</v>
      </c>
      <c r="F75" s="2">
        <v>1070</v>
      </c>
      <c r="G75" s="2">
        <v>68</v>
      </c>
      <c r="H75" s="2">
        <v>1</v>
      </c>
      <c r="I75" s="159">
        <v>1.4705882352899999E-2</v>
      </c>
      <c r="J75" s="159">
        <v>0.73529411764700003</v>
      </c>
    </row>
    <row r="76" spans="1:10" x14ac:dyDescent="0.25">
      <c r="A76" s="2">
        <v>540061</v>
      </c>
      <c r="B76" s="2" t="s">
        <v>159</v>
      </c>
      <c r="C76" s="2" t="s">
        <v>33</v>
      </c>
      <c r="D76" s="2" t="s">
        <v>115</v>
      </c>
      <c r="E76" s="2">
        <v>6</v>
      </c>
      <c r="F76" s="2">
        <v>545</v>
      </c>
      <c r="G76" s="2">
        <v>13</v>
      </c>
      <c r="H76" s="2">
        <v>0</v>
      </c>
      <c r="I76" s="159">
        <v>0</v>
      </c>
      <c r="J76" s="159">
        <v>0</v>
      </c>
    </row>
    <row r="77" spans="1:10" x14ac:dyDescent="0.25">
      <c r="A77" s="2">
        <v>540062</v>
      </c>
      <c r="B77" s="2" t="s">
        <v>160</v>
      </c>
      <c r="C77" s="2" t="s">
        <v>33</v>
      </c>
      <c r="D77" s="2" t="s">
        <v>115</v>
      </c>
      <c r="E77" s="2">
        <v>6</v>
      </c>
      <c r="F77" s="2">
        <v>340</v>
      </c>
      <c r="G77" s="2">
        <v>5</v>
      </c>
      <c r="H77" s="2">
        <v>0</v>
      </c>
      <c r="I77" s="159">
        <v>0</v>
      </c>
      <c r="J77" s="159">
        <v>0</v>
      </c>
    </row>
    <row r="78" spans="1:10" x14ac:dyDescent="0.25">
      <c r="A78" s="2">
        <v>540242</v>
      </c>
      <c r="B78" s="2" t="s">
        <v>289</v>
      </c>
      <c r="C78" s="2" t="s">
        <v>33</v>
      </c>
      <c r="D78" s="2" t="s">
        <v>115</v>
      </c>
      <c r="E78" s="2">
        <v>6</v>
      </c>
      <c r="F78" s="2">
        <v>854</v>
      </c>
      <c r="G78" s="2">
        <v>45</v>
      </c>
      <c r="H78" s="2">
        <v>0</v>
      </c>
      <c r="I78" s="159">
        <v>0</v>
      </c>
      <c r="J78" s="159">
        <v>0</v>
      </c>
    </row>
    <row r="79" spans="1:10" x14ac:dyDescent="0.25">
      <c r="A79" s="252"/>
      <c r="B79" s="252"/>
      <c r="C79" s="252" t="s">
        <v>33</v>
      </c>
      <c r="D79" s="252"/>
      <c r="E79" s="252"/>
      <c r="F79" s="252">
        <v>266544</v>
      </c>
      <c r="G79" s="252">
        <v>6376</v>
      </c>
      <c r="H79" s="252">
        <v>6</v>
      </c>
      <c r="I79" s="414">
        <v>9.4102885821800003E-4</v>
      </c>
      <c r="J79" s="414">
        <v>4.70514429109E-2</v>
      </c>
    </row>
    <row r="80" spans="1:10" x14ac:dyDescent="0.25">
      <c r="A80" s="2">
        <v>540063</v>
      </c>
      <c r="B80" s="2" t="s">
        <v>34</v>
      </c>
      <c r="C80" s="2" t="s">
        <v>35</v>
      </c>
      <c r="D80" s="2" t="s">
        <v>5</v>
      </c>
      <c r="E80" s="2">
        <v>5</v>
      </c>
      <c r="F80" s="2">
        <v>298304</v>
      </c>
      <c r="G80" s="2">
        <v>14162</v>
      </c>
      <c r="H80" s="2">
        <v>11</v>
      </c>
      <c r="I80" s="159">
        <v>7.7672645106600002E-4</v>
      </c>
      <c r="J80" s="159">
        <v>3.8836322553300003E-2</v>
      </c>
    </row>
    <row r="81" spans="1:10" x14ac:dyDescent="0.25">
      <c r="A81" s="2">
        <v>540064</v>
      </c>
      <c r="B81" s="2" t="s">
        <v>161</v>
      </c>
      <c r="C81" s="2" t="s">
        <v>35</v>
      </c>
      <c r="D81" s="2" t="s">
        <v>115</v>
      </c>
      <c r="E81" s="2">
        <v>5</v>
      </c>
      <c r="F81" s="2">
        <v>2101</v>
      </c>
      <c r="G81" s="2">
        <v>149</v>
      </c>
      <c r="H81" s="2">
        <v>0</v>
      </c>
      <c r="I81" s="159">
        <v>0</v>
      </c>
      <c r="J81" s="159">
        <v>0</v>
      </c>
    </row>
    <row r="82" spans="1:10" x14ac:dyDescent="0.25">
      <c r="A82" s="2">
        <v>540241</v>
      </c>
      <c r="B82" s="2" t="s">
        <v>288</v>
      </c>
      <c r="C82" s="2" t="s">
        <v>35</v>
      </c>
      <c r="D82" s="2" t="s">
        <v>115</v>
      </c>
      <c r="E82" s="2">
        <v>5</v>
      </c>
      <c r="F82" s="2">
        <v>1208</v>
      </c>
      <c r="G82" s="2">
        <v>217</v>
      </c>
      <c r="H82" s="2">
        <v>0</v>
      </c>
      <c r="I82" s="159">
        <v>0</v>
      </c>
      <c r="J82" s="159">
        <v>0</v>
      </c>
    </row>
    <row r="83" spans="1:10" x14ac:dyDescent="0.25">
      <c r="A83" s="252"/>
      <c r="B83" s="252"/>
      <c r="C83" s="252" t="s">
        <v>35</v>
      </c>
      <c r="D83" s="252"/>
      <c r="E83" s="252"/>
      <c r="F83" s="252">
        <v>301613</v>
      </c>
      <c r="G83" s="252">
        <v>14528</v>
      </c>
      <c r="H83" s="252">
        <v>11</v>
      </c>
      <c r="I83" s="414">
        <v>7.5715859030800004E-4</v>
      </c>
      <c r="J83" s="414">
        <v>3.7857929515399999E-2</v>
      </c>
    </row>
    <row r="84" spans="1:10" x14ac:dyDescent="0.25">
      <c r="A84" s="2">
        <v>540065</v>
      </c>
      <c r="B84" s="2" t="s">
        <v>36</v>
      </c>
      <c r="C84" s="2" t="s">
        <v>37</v>
      </c>
      <c r="D84" s="2" t="s">
        <v>5</v>
      </c>
      <c r="E84" s="2">
        <v>9</v>
      </c>
      <c r="F84" s="2">
        <v>125719</v>
      </c>
      <c r="G84" s="2">
        <v>6555</v>
      </c>
      <c r="H84" s="2">
        <v>1</v>
      </c>
      <c r="I84" s="159">
        <v>1.5255530129700001E-4</v>
      </c>
      <c r="J84" s="159">
        <v>7.6277650648399996E-3</v>
      </c>
    </row>
    <row r="85" spans="1:10" x14ac:dyDescent="0.25">
      <c r="A85" s="2">
        <v>540030</v>
      </c>
      <c r="B85" s="2" t="s">
        <v>135</v>
      </c>
      <c r="C85" s="2" t="s">
        <v>37</v>
      </c>
      <c r="D85" s="2" t="s">
        <v>115</v>
      </c>
      <c r="E85" s="2">
        <v>9</v>
      </c>
      <c r="F85" s="2">
        <v>278</v>
      </c>
      <c r="G85" s="2">
        <v>1</v>
      </c>
      <c r="H85" s="2">
        <v>0</v>
      </c>
      <c r="I85" s="159">
        <v>0</v>
      </c>
      <c r="J85" s="159">
        <v>0</v>
      </c>
    </row>
    <row r="86" spans="1:10" x14ac:dyDescent="0.25">
      <c r="A86" s="2">
        <v>540066</v>
      </c>
      <c r="B86" s="2" t="s">
        <v>162</v>
      </c>
      <c r="C86" s="2" t="s">
        <v>37</v>
      </c>
      <c r="D86" s="2" t="s">
        <v>115</v>
      </c>
      <c r="E86" s="2">
        <v>9</v>
      </c>
      <c r="F86" s="2">
        <v>3744</v>
      </c>
      <c r="G86" s="2">
        <v>187</v>
      </c>
      <c r="H86" s="2">
        <v>0</v>
      </c>
      <c r="I86" s="159">
        <v>0</v>
      </c>
      <c r="J86" s="159">
        <v>0</v>
      </c>
    </row>
    <row r="87" spans="1:10" x14ac:dyDescent="0.25">
      <c r="A87" s="2">
        <v>540067</v>
      </c>
      <c r="B87" s="2" t="s">
        <v>163</v>
      </c>
      <c r="C87" s="2" t="s">
        <v>37</v>
      </c>
      <c r="D87" s="2" t="s">
        <v>115</v>
      </c>
      <c r="E87" s="2">
        <v>9</v>
      </c>
      <c r="F87" s="2">
        <v>400</v>
      </c>
      <c r="G87" s="2">
        <v>74</v>
      </c>
      <c r="H87" s="2">
        <v>0</v>
      </c>
      <c r="I87" s="159">
        <v>0</v>
      </c>
      <c r="J87" s="159">
        <v>0</v>
      </c>
    </row>
    <row r="88" spans="1:10" x14ac:dyDescent="0.25">
      <c r="A88" s="2">
        <v>540068</v>
      </c>
      <c r="B88" s="2" t="s">
        <v>164</v>
      </c>
      <c r="C88" s="2" t="s">
        <v>37</v>
      </c>
      <c r="D88" s="2" t="s">
        <v>115</v>
      </c>
      <c r="E88" s="2">
        <v>9</v>
      </c>
      <c r="F88" s="2">
        <v>5185</v>
      </c>
      <c r="G88" s="2">
        <v>178</v>
      </c>
      <c r="H88" s="2">
        <v>0</v>
      </c>
      <c r="I88" s="159">
        <v>0</v>
      </c>
      <c r="J88" s="159">
        <v>0</v>
      </c>
    </row>
    <row r="89" spans="1:10" x14ac:dyDescent="0.25">
      <c r="A89" s="2">
        <v>540069</v>
      </c>
      <c r="B89" s="2" t="s">
        <v>165</v>
      </c>
      <c r="C89" s="2" t="s">
        <v>37</v>
      </c>
      <c r="D89" s="2" t="s">
        <v>115</v>
      </c>
      <c r="E89" s="2">
        <v>9</v>
      </c>
      <c r="F89" s="2">
        <v>240</v>
      </c>
      <c r="G89" s="2">
        <v>21</v>
      </c>
      <c r="H89" s="2">
        <v>0</v>
      </c>
      <c r="I89" s="159">
        <v>0</v>
      </c>
      <c r="J89" s="159">
        <v>0</v>
      </c>
    </row>
    <row r="90" spans="1:10" x14ac:dyDescent="0.25">
      <c r="A90" s="252"/>
      <c r="B90" s="252"/>
      <c r="C90" s="252" t="s">
        <v>37</v>
      </c>
      <c r="D90" s="252"/>
      <c r="E90" s="252"/>
      <c r="F90" s="252">
        <v>135566</v>
      </c>
      <c r="G90" s="252">
        <v>7016</v>
      </c>
      <c r="H90" s="252">
        <v>1</v>
      </c>
      <c r="I90" s="414">
        <v>1.4253135689900001E-4</v>
      </c>
      <c r="J90" s="414">
        <v>7.1265678449300004E-3</v>
      </c>
    </row>
    <row r="91" spans="1:10" x14ac:dyDescent="0.25">
      <c r="A91" s="2">
        <v>540070</v>
      </c>
      <c r="B91" s="2" t="s">
        <v>38</v>
      </c>
      <c r="C91" s="2" t="s">
        <v>39</v>
      </c>
      <c r="D91" s="2" t="s">
        <v>5</v>
      </c>
      <c r="E91" s="2">
        <v>3</v>
      </c>
      <c r="F91" s="2">
        <v>543863</v>
      </c>
      <c r="G91" s="2">
        <v>14241</v>
      </c>
      <c r="H91" s="2">
        <v>9</v>
      </c>
      <c r="I91" s="159">
        <v>6.3197809142599996E-4</v>
      </c>
      <c r="J91" s="159">
        <v>3.1598904571299997E-2</v>
      </c>
    </row>
    <row r="92" spans="1:10" x14ac:dyDescent="0.25">
      <c r="A92" s="2">
        <v>540029</v>
      </c>
      <c r="B92" s="2" t="s">
        <v>134</v>
      </c>
      <c r="C92" s="2" t="s">
        <v>39</v>
      </c>
      <c r="D92" s="2" t="s">
        <v>115</v>
      </c>
      <c r="E92" s="2">
        <v>3</v>
      </c>
      <c r="F92" s="2">
        <v>239</v>
      </c>
      <c r="G92" s="2">
        <v>13</v>
      </c>
      <c r="H92" s="2">
        <v>0</v>
      </c>
      <c r="I92" s="159">
        <v>0</v>
      </c>
      <c r="J92" s="159">
        <v>0</v>
      </c>
    </row>
    <row r="93" spans="1:10" x14ac:dyDescent="0.25">
      <c r="A93" s="2">
        <v>540071</v>
      </c>
      <c r="B93" s="2" t="s">
        <v>166</v>
      </c>
      <c r="C93" s="2" t="s">
        <v>39</v>
      </c>
      <c r="D93" s="2" t="s">
        <v>115</v>
      </c>
      <c r="E93" s="2">
        <v>3</v>
      </c>
      <c r="F93" s="2">
        <v>500</v>
      </c>
      <c r="G93" s="2">
        <v>18</v>
      </c>
      <c r="H93" s="2">
        <v>0</v>
      </c>
      <c r="I93" s="159">
        <v>0</v>
      </c>
      <c r="J93" s="159">
        <v>0</v>
      </c>
    </row>
    <row r="94" spans="1:10" x14ac:dyDescent="0.25">
      <c r="A94" s="2">
        <v>540072</v>
      </c>
      <c r="B94" s="2" t="s">
        <v>167</v>
      </c>
      <c r="C94" s="2" t="s">
        <v>39</v>
      </c>
      <c r="D94" s="2" t="s">
        <v>115</v>
      </c>
      <c r="E94" s="2">
        <v>3</v>
      </c>
      <c r="F94" s="2">
        <v>459</v>
      </c>
      <c r="G94" s="2">
        <v>34</v>
      </c>
      <c r="H94" s="2">
        <v>0</v>
      </c>
      <c r="I94" s="159">
        <v>0</v>
      </c>
      <c r="J94" s="159">
        <v>0</v>
      </c>
    </row>
    <row r="95" spans="1:10" x14ac:dyDescent="0.25">
      <c r="A95" s="2">
        <v>540073</v>
      </c>
      <c r="B95" s="2" t="s">
        <v>168</v>
      </c>
      <c r="C95" s="2" t="s">
        <v>39</v>
      </c>
      <c r="D95" s="2" t="s">
        <v>115</v>
      </c>
      <c r="E95" s="2">
        <v>3</v>
      </c>
      <c r="F95" s="2">
        <v>20875</v>
      </c>
      <c r="G95" s="2">
        <v>768</v>
      </c>
      <c r="H95" s="2">
        <v>2</v>
      </c>
      <c r="I95" s="159">
        <v>2.6041666666699998E-3</v>
      </c>
      <c r="J95" s="159">
        <v>0.130208333333</v>
      </c>
    </row>
    <row r="96" spans="1:10" x14ac:dyDescent="0.25">
      <c r="A96" s="2">
        <v>540074</v>
      </c>
      <c r="B96" s="2" t="s">
        <v>169</v>
      </c>
      <c r="C96" s="2" t="s">
        <v>39</v>
      </c>
      <c r="D96" s="2" t="s">
        <v>115</v>
      </c>
      <c r="E96" s="2">
        <v>3</v>
      </c>
      <c r="F96" s="2">
        <v>411</v>
      </c>
      <c r="G96" s="2">
        <v>39</v>
      </c>
      <c r="H96" s="2">
        <v>0</v>
      </c>
      <c r="I96" s="159">
        <v>0</v>
      </c>
      <c r="J96" s="159">
        <v>0</v>
      </c>
    </row>
    <row r="97" spans="1:10" x14ac:dyDescent="0.25">
      <c r="A97" s="2">
        <v>540075</v>
      </c>
      <c r="B97" s="2" t="s">
        <v>170</v>
      </c>
      <c r="C97" s="2" t="s">
        <v>39</v>
      </c>
      <c r="D97" s="2" t="s">
        <v>115</v>
      </c>
      <c r="E97" s="2">
        <v>3</v>
      </c>
      <c r="F97" s="2">
        <v>974</v>
      </c>
      <c r="G97" s="2">
        <v>133</v>
      </c>
      <c r="H97" s="2">
        <v>1</v>
      </c>
      <c r="I97" s="159">
        <v>7.5187969924800004E-3</v>
      </c>
      <c r="J97" s="159">
        <v>0.37593984962400001</v>
      </c>
    </row>
    <row r="98" spans="1:10" x14ac:dyDescent="0.25">
      <c r="A98" s="2">
        <v>540076</v>
      </c>
      <c r="B98" s="2" t="s">
        <v>171</v>
      </c>
      <c r="C98" s="2" t="s">
        <v>39</v>
      </c>
      <c r="D98" s="2" t="s">
        <v>115</v>
      </c>
      <c r="E98" s="2">
        <v>3</v>
      </c>
      <c r="F98" s="2">
        <v>1795</v>
      </c>
      <c r="G98" s="2">
        <v>291</v>
      </c>
      <c r="H98" s="2">
        <v>0</v>
      </c>
      <c r="I98" s="159">
        <v>0</v>
      </c>
      <c r="J98" s="159">
        <v>0</v>
      </c>
    </row>
    <row r="99" spans="1:10" x14ac:dyDescent="0.25">
      <c r="A99" s="2">
        <v>540077</v>
      </c>
      <c r="B99" s="2" t="s">
        <v>172</v>
      </c>
      <c r="C99" s="2" t="s">
        <v>39</v>
      </c>
      <c r="D99" s="2" t="s">
        <v>115</v>
      </c>
      <c r="E99" s="2">
        <v>3</v>
      </c>
      <c r="F99" s="2">
        <v>309</v>
      </c>
      <c r="G99" s="2">
        <v>35</v>
      </c>
      <c r="H99" s="2">
        <v>0</v>
      </c>
      <c r="I99" s="159">
        <v>0</v>
      </c>
      <c r="J99" s="159">
        <v>0</v>
      </c>
    </row>
    <row r="100" spans="1:10" x14ac:dyDescent="0.25">
      <c r="A100" s="2">
        <v>540078</v>
      </c>
      <c r="B100" s="2" t="s">
        <v>173</v>
      </c>
      <c r="C100" s="2" t="s">
        <v>39</v>
      </c>
      <c r="D100" s="2" t="s">
        <v>115</v>
      </c>
      <c r="E100" s="2">
        <v>3</v>
      </c>
      <c r="F100" s="2">
        <v>301</v>
      </c>
      <c r="G100" s="2">
        <v>22</v>
      </c>
      <c r="H100" s="2">
        <v>0</v>
      </c>
      <c r="I100" s="159">
        <v>0</v>
      </c>
      <c r="J100" s="159">
        <v>0</v>
      </c>
    </row>
    <row r="101" spans="1:10" x14ac:dyDescent="0.25">
      <c r="A101" s="2">
        <v>540079</v>
      </c>
      <c r="B101" s="2" t="s">
        <v>174</v>
      </c>
      <c r="C101" s="2" t="s">
        <v>39</v>
      </c>
      <c r="D101" s="2" t="s">
        <v>115</v>
      </c>
      <c r="E101" s="2">
        <v>3</v>
      </c>
      <c r="F101" s="2">
        <v>901</v>
      </c>
      <c r="G101" s="2">
        <v>20</v>
      </c>
      <c r="H101" s="2">
        <v>0</v>
      </c>
      <c r="I101" s="159">
        <v>0</v>
      </c>
      <c r="J101" s="159">
        <v>0</v>
      </c>
    </row>
    <row r="102" spans="1:10" x14ac:dyDescent="0.25">
      <c r="A102" s="2">
        <v>540081</v>
      </c>
      <c r="B102" s="2" t="s">
        <v>176</v>
      </c>
      <c r="C102" s="2" t="s">
        <v>39</v>
      </c>
      <c r="D102" s="2" t="s">
        <v>115</v>
      </c>
      <c r="E102" s="2">
        <v>3</v>
      </c>
      <c r="F102" s="2">
        <v>3090</v>
      </c>
      <c r="G102" s="2">
        <v>163</v>
      </c>
      <c r="H102" s="2">
        <v>0</v>
      </c>
      <c r="I102" s="159">
        <v>0</v>
      </c>
      <c r="J102" s="159">
        <v>0</v>
      </c>
    </row>
    <row r="103" spans="1:10" x14ac:dyDescent="0.25">
      <c r="A103" s="2">
        <v>540082</v>
      </c>
      <c r="B103" s="2" t="s">
        <v>177</v>
      </c>
      <c r="C103" s="2" t="s">
        <v>39</v>
      </c>
      <c r="D103" s="2" t="s">
        <v>115</v>
      </c>
      <c r="E103" s="2">
        <v>3</v>
      </c>
      <c r="F103" s="2">
        <v>187</v>
      </c>
      <c r="G103" s="2">
        <v>24</v>
      </c>
      <c r="H103" s="2">
        <v>0</v>
      </c>
      <c r="I103" s="159">
        <v>0</v>
      </c>
      <c r="J103" s="159">
        <v>0</v>
      </c>
    </row>
    <row r="104" spans="1:10" x14ac:dyDescent="0.25">
      <c r="A104" s="2">
        <v>540083</v>
      </c>
      <c r="B104" s="2" t="s">
        <v>178</v>
      </c>
      <c r="C104" s="2" t="s">
        <v>39</v>
      </c>
      <c r="D104" s="2" t="s">
        <v>115</v>
      </c>
      <c r="E104" s="2">
        <v>3</v>
      </c>
      <c r="F104" s="2">
        <v>2361</v>
      </c>
      <c r="G104" s="2">
        <v>151</v>
      </c>
      <c r="H104" s="2">
        <v>0</v>
      </c>
      <c r="I104" s="159">
        <v>0</v>
      </c>
      <c r="J104" s="159">
        <v>0</v>
      </c>
    </row>
    <row r="105" spans="1:10" x14ac:dyDescent="0.25">
      <c r="A105" s="2">
        <v>540223</v>
      </c>
      <c r="B105" s="2" t="s">
        <v>277</v>
      </c>
      <c r="C105" s="2" t="s">
        <v>39</v>
      </c>
      <c r="D105" s="2" t="s">
        <v>115</v>
      </c>
      <c r="E105" s="2">
        <v>3</v>
      </c>
      <c r="F105" s="2">
        <v>5617</v>
      </c>
      <c r="G105" s="2">
        <v>231</v>
      </c>
      <c r="H105" s="2">
        <v>0</v>
      </c>
      <c r="I105" s="159">
        <v>0</v>
      </c>
      <c r="J105" s="159">
        <v>0</v>
      </c>
    </row>
    <row r="106" spans="1:10" x14ac:dyDescent="0.25">
      <c r="A106" s="2">
        <v>540279</v>
      </c>
      <c r="B106" s="2" t="s">
        <v>320</v>
      </c>
      <c r="C106" s="2" t="s">
        <v>39</v>
      </c>
      <c r="D106" s="2" t="s">
        <v>115</v>
      </c>
      <c r="E106" s="2">
        <v>3</v>
      </c>
      <c r="F106" s="2">
        <v>622</v>
      </c>
      <c r="G106" s="2">
        <v>22</v>
      </c>
      <c r="H106" s="2">
        <v>0</v>
      </c>
      <c r="I106" s="159">
        <v>0</v>
      </c>
      <c r="J106" s="159">
        <v>0</v>
      </c>
    </row>
    <row r="107" spans="1:10" x14ac:dyDescent="0.25">
      <c r="A107" s="2">
        <v>540033</v>
      </c>
      <c r="B107" s="2" t="s">
        <v>138</v>
      </c>
      <c r="C107" s="2" t="s">
        <v>39</v>
      </c>
      <c r="D107" s="2" t="s">
        <v>115</v>
      </c>
      <c r="E107" s="2">
        <v>3</v>
      </c>
      <c r="F107" s="2">
        <v>5</v>
      </c>
      <c r="G107" s="2">
        <v>1</v>
      </c>
      <c r="H107" s="2">
        <v>0</v>
      </c>
      <c r="I107" s="159">
        <v>0</v>
      </c>
      <c r="J107" s="159">
        <v>0</v>
      </c>
    </row>
    <row r="108" spans="1:10" x14ac:dyDescent="0.25">
      <c r="A108" s="252"/>
      <c r="B108" s="252"/>
      <c r="C108" s="252" t="s">
        <v>39</v>
      </c>
      <c r="D108" s="252"/>
      <c r="E108" s="252"/>
      <c r="F108" s="252">
        <v>582509</v>
      </c>
      <c r="G108" s="252">
        <v>16206</v>
      </c>
      <c r="H108" s="252">
        <v>12</v>
      </c>
      <c r="I108" s="414">
        <v>7.4046649389099999E-4</v>
      </c>
      <c r="J108" s="414">
        <v>3.7023324694599999E-2</v>
      </c>
    </row>
    <row r="109" spans="1:10" x14ac:dyDescent="0.25">
      <c r="A109" s="2">
        <v>540085</v>
      </c>
      <c r="B109" s="2" t="s">
        <v>40</v>
      </c>
      <c r="C109" s="2" t="s">
        <v>41</v>
      </c>
      <c r="D109" s="2" t="s">
        <v>5</v>
      </c>
      <c r="E109" s="2">
        <v>7</v>
      </c>
      <c r="F109" s="2">
        <v>247701</v>
      </c>
      <c r="G109" s="2">
        <v>6853</v>
      </c>
      <c r="H109" s="2">
        <v>0</v>
      </c>
      <c r="I109" s="159">
        <v>0</v>
      </c>
      <c r="J109" s="159">
        <v>0</v>
      </c>
    </row>
    <row r="110" spans="1:10" x14ac:dyDescent="0.25">
      <c r="A110" s="2">
        <v>540086</v>
      </c>
      <c r="B110" s="2" t="s">
        <v>179</v>
      </c>
      <c r="C110" s="2" t="s">
        <v>41</v>
      </c>
      <c r="D110" s="2" t="s">
        <v>115</v>
      </c>
      <c r="E110" s="2">
        <v>7</v>
      </c>
      <c r="F110" s="2">
        <v>158</v>
      </c>
      <c r="G110" s="2">
        <v>50</v>
      </c>
      <c r="H110" s="2">
        <v>0</v>
      </c>
      <c r="I110" s="159">
        <v>0</v>
      </c>
      <c r="J110" s="159">
        <v>0</v>
      </c>
    </row>
    <row r="111" spans="1:10" x14ac:dyDescent="0.25">
      <c r="A111" s="2">
        <v>540087</v>
      </c>
      <c r="B111" s="2" t="s">
        <v>180</v>
      </c>
      <c r="C111" s="2" t="s">
        <v>41</v>
      </c>
      <c r="D111" s="2" t="s">
        <v>115</v>
      </c>
      <c r="E111" s="2">
        <v>7</v>
      </c>
      <c r="F111" s="2">
        <v>1275</v>
      </c>
      <c r="G111" s="2">
        <v>158</v>
      </c>
      <c r="H111" s="2">
        <v>0</v>
      </c>
      <c r="I111" s="159">
        <v>0</v>
      </c>
      <c r="J111" s="159">
        <v>0</v>
      </c>
    </row>
    <row r="112" spans="1:10" x14ac:dyDescent="0.25">
      <c r="A112" s="252"/>
      <c r="B112" s="252"/>
      <c r="C112" s="252" t="s">
        <v>41</v>
      </c>
      <c r="D112" s="252"/>
      <c r="E112" s="252"/>
      <c r="F112" s="252">
        <v>249134</v>
      </c>
      <c r="G112" s="252">
        <v>7061</v>
      </c>
      <c r="H112" s="252">
        <v>0</v>
      </c>
      <c r="I112" s="414">
        <v>0</v>
      </c>
      <c r="J112" s="414">
        <v>0</v>
      </c>
    </row>
    <row r="113" spans="1:10" x14ac:dyDescent="0.25">
      <c r="A113" s="2">
        <v>540088</v>
      </c>
      <c r="B113" s="2" t="s">
        <v>42</v>
      </c>
      <c r="C113" s="2" t="s">
        <v>43</v>
      </c>
      <c r="D113" s="2" t="s">
        <v>5</v>
      </c>
      <c r="E113" s="2">
        <v>2</v>
      </c>
      <c r="F113" s="2">
        <v>280041</v>
      </c>
      <c r="G113" s="2">
        <v>8422</v>
      </c>
      <c r="H113" s="2">
        <v>2</v>
      </c>
      <c r="I113" s="159">
        <v>2.3747328425600001E-4</v>
      </c>
      <c r="J113" s="159">
        <v>1.1873664212800001E-2</v>
      </c>
    </row>
    <row r="114" spans="1:10" x14ac:dyDescent="0.25">
      <c r="A114" s="2">
        <v>540089</v>
      </c>
      <c r="B114" s="2" t="s">
        <v>181</v>
      </c>
      <c r="C114" s="2" t="s">
        <v>43</v>
      </c>
      <c r="D114" s="2" t="s">
        <v>115</v>
      </c>
      <c r="E114" s="2">
        <v>2</v>
      </c>
      <c r="F114" s="2">
        <v>385</v>
      </c>
      <c r="G114" s="2">
        <v>44</v>
      </c>
      <c r="H114" s="2">
        <v>0</v>
      </c>
      <c r="I114" s="159">
        <v>0</v>
      </c>
      <c r="J114" s="159">
        <v>0</v>
      </c>
    </row>
    <row r="115" spans="1:10" x14ac:dyDescent="0.25">
      <c r="A115" s="2">
        <v>540090</v>
      </c>
      <c r="B115" s="2" t="s">
        <v>182</v>
      </c>
      <c r="C115" s="2" t="s">
        <v>43</v>
      </c>
      <c r="D115" s="2" t="s">
        <v>115</v>
      </c>
      <c r="E115" s="2">
        <v>2</v>
      </c>
      <c r="F115" s="2">
        <v>354</v>
      </c>
      <c r="G115" s="2">
        <v>52</v>
      </c>
      <c r="H115" s="2">
        <v>0</v>
      </c>
      <c r="I115" s="159">
        <v>0</v>
      </c>
      <c r="J115" s="159">
        <v>0</v>
      </c>
    </row>
    <row r="116" spans="1:10" x14ac:dyDescent="0.25">
      <c r="A116" s="252"/>
      <c r="B116" s="252"/>
      <c r="C116" s="252" t="s">
        <v>43</v>
      </c>
      <c r="D116" s="252"/>
      <c r="E116" s="252"/>
      <c r="F116" s="252">
        <v>280780</v>
      </c>
      <c r="G116" s="252">
        <v>8518</v>
      </c>
      <c r="H116" s="252">
        <v>2</v>
      </c>
      <c r="I116" s="414">
        <v>2.34796900681E-4</v>
      </c>
      <c r="J116" s="414">
        <v>1.1739845033999999E-2</v>
      </c>
    </row>
    <row r="117" spans="1:10" x14ac:dyDescent="0.25">
      <c r="A117" s="2">
        <v>540097</v>
      </c>
      <c r="B117" s="2" t="s">
        <v>44</v>
      </c>
      <c r="C117" s="2" t="s">
        <v>45</v>
      </c>
      <c r="D117" s="2" t="s">
        <v>5</v>
      </c>
      <c r="E117" s="2">
        <v>6</v>
      </c>
      <c r="F117" s="2">
        <v>187538</v>
      </c>
      <c r="G117" s="2">
        <v>4217</v>
      </c>
      <c r="H117" s="2">
        <v>1</v>
      </c>
      <c r="I117" s="159">
        <v>2.37135404316E-4</v>
      </c>
      <c r="J117" s="159">
        <v>1.18567702158E-2</v>
      </c>
    </row>
    <row r="118" spans="1:10" x14ac:dyDescent="0.25">
      <c r="A118" s="2">
        <v>540098</v>
      </c>
      <c r="B118" s="2" t="s">
        <v>187</v>
      </c>
      <c r="C118" s="2" t="s">
        <v>45</v>
      </c>
      <c r="D118" s="2" t="s">
        <v>115</v>
      </c>
      <c r="E118" s="2">
        <v>6</v>
      </c>
      <c r="F118" s="2">
        <v>454</v>
      </c>
      <c r="G118" s="2">
        <v>55</v>
      </c>
      <c r="H118" s="2">
        <v>0</v>
      </c>
      <c r="I118" s="159">
        <v>0</v>
      </c>
      <c r="J118" s="159">
        <v>0</v>
      </c>
    </row>
    <row r="119" spans="1:10" x14ac:dyDescent="0.25">
      <c r="A119" s="2">
        <v>540099</v>
      </c>
      <c r="B119" s="2" t="s">
        <v>188</v>
      </c>
      <c r="C119" s="2" t="s">
        <v>45</v>
      </c>
      <c r="D119" s="2" t="s">
        <v>115</v>
      </c>
      <c r="E119" s="2">
        <v>6</v>
      </c>
      <c r="F119" s="2">
        <v>5740</v>
      </c>
      <c r="G119" s="2">
        <v>77</v>
      </c>
      <c r="H119" s="2">
        <v>0</v>
      </c>
      <c r="I119" s="159">
        <v>0</v>
      </c>
      <c r="J119" s="159">
        <v>0</v>
      </c>
    </row>
    <row r="120" spans="1:10" x14ac:dyDescent="0.25">
      <c r="A120" s="2">
        <v>540100</v>
      </c>
      <c r="B120" s="2" t="s">
        <v>189</v>
      </c>
      <c r="C120" s="2" t="s">
        <v>45</v>
      </c>
      <c r="D120" s="2" t="s">
        <v>115</v>
      </c>
      <c r="E120" s="2">
        <v>6</v>
      </c>
      <c r="F120" s="2">
        <v>179</v>
      </c>
      <c r="G120" s="2">
        <v>20</v>
      </c>
      <c r="H120" s="2">
        <v>0</v>
      </c>
      <c r="I120" s="159">
        <v>0</v>
      </c>
      <c r="J120" s="159">
        <v>0</v>
      </c>
    </row>
    <row r="121" spans="1:10" x14ac:dyDescent="0.25">
      <c r="A121" s="2">
        <v>540101</v>
      </c>
      <c r="B121" s="2" t="s">
        <v>190</v>
      </c>
      <c r="C121" s="2" t="s">
        <v>45</v>
      </c>
      <c r="D121" s="2" t="s">
        <v>115</v>
      </c>
      <c r="E121" s="2">
        <v>6</v>
      </c>
      <c r="F121" s="2">
        <v>274</v>
      </c>
      <c r="G121" s="2">
        <v>52</v>
      </c>
      <c r="H121" s="2">
        <v>0</v>
      </c>
      <c r="I121" s="159">
        <v>0</v>
      </c>
      <c r="J121" s="159">
        <v>0</v>
      </c>
    </row>
    <row r="122" spans="1:10" x14ac:dyDescent="0.25">
      <c r="A122" s="2">
        <v>540102</v>
      </c>
      <c r="B122" s="2" t="s">
        <v>191</v>
      </c>
      <c r="C122" s="2" t="s">
        <v>45</v>
      </c>
      <c r="D122" s="2" t="s">
        <v>115</v>
      </c>
      <c r="E122" s="2">
        <v>6</v>
      </c>
      <c r="F122" s="2">
        <v>347</v>
      </c>
      <c r="G122" s="2">
        <v>56</v>
      </c>
      <c r="H122" s="2">
        <v>0</v>
      </c>
      <c r="I122" s="159">
        <v>0</v>
      </c>
      <c r="J122" s="159">
        <v>0</v>
      </c>
    </row>
    <row r="123" spans="1:10" x14ac:dyDescent="0.25">
      <c r="A123" s="2">
        <v>540103</v>
      </c>
      <c r="B123" s="2" t="s">
        <v>192</v>
      </c>
      <c r="C123" s="2" t="s">
        <v>45</v>
      </c>
      <c r="D123" s="2" t="s">
        <v>115</v>
      </c>
      <c r="E123" s="2">
        <v>6</v>
      </c>
      <c r="F123" s="2">
        <v>729</v>
      </c>
      <c r="G123" s="2">
        <v>94</v>
      </c>
      <c r="H123" s="2">
        <v>0</v>
      </c>
      <c r="I123" s="159">
        <v>0</v>
      </c>
      <c r="J123" s="159">
        <v>0</v>
      </c>
    </row>
    <row r="124" spans="1:10" x14ac:dyDescent="0.25">
      <c r="A124" s="2">
        <v>540104</v>
      </c>
      <c r="B124" s="2" t="s">
        <v>193</v>
      </c>
      <c r="C124" s="2" t="s">
        <v>45</v>
      </c>
      <c r="D124" s="2" t="s">
        <v>115</v>
      </c>
      <c r="E124" s="2">
        <v>6</v>
      </c>
      <c r="F124" s="2">
        <v>341</v>
      </c>
      <c r="G124" s="2">
        <v>68</v>
      </c>
      <c r="H124" s="2">
        <v>0</v>
      </c>
      <c r="I124" s="159">
        <v>0</v>
      </c>
      <c r="J124" s="159">
        <v>0</v>
      </c>
    </row>
    <row r="125" spans="1:10" x14ac:dyDescent="0.25">
      <c r="A125" s="2">
        <v>540105</v>
      </c>
      <c r="B125" s="2" t="s">
        <v>194</v>
      </c>
      <c r="C125" s="2" t="s">
        <v>45</v>
      </c>
      <c r="D125" s="2" t="s">
        <v>115</v>
      </c>
      <c r="E125" s="2">
        <v>6</v>
      </c>
      <c r="F125" s="2">
        <v>381</v>
      </c>
      <c r="G125" s="2">
        <v>28</v>
      </c>
      <c r="H125" s="2">
        <v>0</v>
      </c>
      <c r="I125" s="159">
        <v>0</v>
      </c>
      <c r="J125" s="159">
        <v>0</v>
      </c>
    </row>
    <row r="126" spans="1:10" x14ac:dyDescent="0.25">
      <c r="A126" s="2">
        <v>540106</v>
      </c>
      <c r="B126" s="2" t="s">
        <v>195</v>
      </c>
      <c r="C126" s="2" t="s">
        <v>45</v>
      </c>
      <c r="D126" s="2" t="s">
        <v>115</v>
      </c>
      <c r="E126" s="2">
        <v>6</v>
      </c>
      <c r="F126" s="2">
        <v>383</v>
      </c>
      <c r="G126" s="2">
        <v>44</v>
      </c>
      <c r="H126" s="2">
        <v>0</v>
      </c>
      <c r="I126" s="159">
        <v>0</v>
      </c>
      <c r="J126" s="159">
        <v>0</v>
      </c>
    </row>
    <row r="127" spans="1:10" x14ac:dyDescent="0.25">
      <c r="A127" s="2">
        <v>540292</v>
      </c>
      <c r="B127" s="2" t="s">
        <v>329</v>
      </c>
      <c r="C127" s="2" t="s">
        <v>45</v>
      </c>
      <c r="D127" s="2" t="s">
        <v>115</v>
      </c>
      <c r="E127" s="2">
        <v>6</v>
      </c>
      <c r="F127" s="2">
        <v>2179</v>
      </c>
      <c r="G127" s="2">
        <v>99</v>
      </c>
      <c r="H127" s="2">
        <v>1</v>
      </c>
      <c r="I127" s="159">
        <v>1.0101010101000001E-2</v>
      </c>
      <c r="J127" s="159">
        <v>0.50505050505100002</v>
      </c>
    </row>
    <row r="128" spans="1:10" x14ac:dyDescent="0.25">
      <c r="A128" s="2">
        <v>545556</v>
      </c>
      <c r="B128" s="2" t="s">
        <v>337</v>
      </c>
      <c r="C128" s="2" t="s">
        <v>45</v>
      </c>
      <c r="D128" s="2" t="s">
        <v>115</v>
      </c>
      <c r="E128" s="2">
        <v>6</v>
      </c>
      <c r="F128" s="2">
        <v>674</v>
      </c>
      <c r="G128" s="2">
        <v>12</v>
      </c>
      <c r="H128" s="2">
        <v>0</v>
      </c>
      <c r="I128" s="159">
        <v>0</v>
      </c>
      <c r="J128" s="159">
        <v>0</v>
      </c>
    </row>
    <row r="129" spans="1:10" x14ac:dyDescent="0.25">
      <c r="A129" s="252"/>
      <c r="B129" s="252"/>
      <c r="C129" s="252" t="s">
        <v>45</v>
      </c>
      <c r="D129" s="252"/>
      <c r="E129" s="252"/>
      <c r="F129" s="252">
        <v>199219</v>
      </c>
      <c r="G129" s="252">
        <v>4822</v>
      </c>
      <c r="H129" s="252">
        <v>2</v>
      </c>
      <c r="I129" s="414">
        <v>4.1476565740399999E-4</v>
      </c>
      <c r="J129" s="414">
        <v>2.0738282870199999E-2</v>
      </c>
    </row>
    <row r="130" spans="1:10" x14ac:dyDescent="0.25">
      <c r="A130" s="2">
        <v>540107</v>
      </c>
      <c r="B130" s="2" t="s">
        <v>46</v>
      </c>
      <c r="C130" s="2" t="s">
        <v>47</v>
      </c>
      <c r="D130" s="2" t="s">
        <v>5</v>
      </c>
      <c r="E130" s="2">
        <v>10</v>
      </c>
      <c r="F130" s="2">
        <v>194254</v>
      </c>
      <c r="G130" s="2">
        <v>4891</v>
      </c>
      <c r="H130" s="2">
        <v>0</v>
      </c>
      <c r="I130" s="159">
        <v>0</v>
      </c>
      <c r="J130" s="159">
        <v>0</v>
      </c>
    </row>
    <row r="131" spans="1:10" x14ac:dyDescent="0.25">
      <c r="A131" s="2">
        <v>540108</v>
      </c>
      <c r="B131" s="2" t="s">
        <v>196</v>
      </c>
      <c r="C131" s="2" t="s">
        <v>47</v>
      </c>
      <c r="D131" s="2" t="s">
        <v>115</v>
      </c>
      <c r="E131" s="2">
        <v>10</v>
      </c>
      <c r="F131" s="2">
        <v>1137</v>
      </c>
      <c r="G131" s="2">
        <v>189</v>
      </c>
      <c r="H131" s="2">
        <v>0</v>
      </c>
      <c r="I131" s="159">
        <v>0</v>
      </c>
      <c r="J131" s="159">
        <v>0</v>
      </c>
    </row>
    <row r="132" spans="1:10" x14ac:dyDescent="0.25">
      <c r="A132" s="2">
        <v>540109</v>
      </c>
      <c r="B132" s="2" t="s">
        <v>197</v>
      </c>
      <c r="C132" s="2" t="s">
        <v>47</v>
      </c>
      <c r="D132" s="2" t="s">
        <v>115</v>
      </c>
      <c r="E132" s="2">
        <v>10</v>
      </c>
      <c r="F132" s="2">
        <v>742</v>
      </c>
      <c r="G132" s="2">
        <v>108</v>
      </c>
      <c r="H132" s="2">
        <v>0</v>
      </c>
      <c r="I132" s="159">
        <v>0</v>
      </c>
      <c r="J132" s="159">
        <v>0</v>
      </c>
    </row>
    <row r="133" spans="1:10" x14ac:dyDescent="0.25">
      <c r="A133" s="2">
        <v>540110</v>
      </c>
      <c r="B133" s="2" t="s">
        <v>198</v>
      </c>
      <c r="C133" s="2" t="s">
        <v>47</v>
      </c>
      <c r="D133" s="2" t="s">
        <v>115</v>
      </c>
      <c r="E133" s="2">
        <v>10</v>
      </c>
      <c r="F133" s="2">
        <v>517</v>
      </c>
      <c r="G133" s="2">
        <v>106</v>
      </c>
      <c r="H133" s="2">
        <v>0</v>
      </c>
      <c r="I133" s="159">
        <v>0</v>
      </c>
      <c r="J133" s="159">
        <v>0</v>
      </c>
    </row>
    <row r="134" spans="1:10" x14ac:dyDescent="0.25">
      <c r="A134" s="2">
        <v>540111</v>
      </c>
      <c r="B134" s="2" t="s">
        <v>199</v>
      </c>
      <c r="C134" s="2" t="s">
        <v>47</v>
      </c>
      <c r="D134" s="2" t="s">
        <v>115</v>
      </c>
      <c r="E134" s="2">
        <v>10</v>
      </c>
      <c r="F134" s="2">
        <v>2124</v>
      </c>
      <c r="G134" s="2">
        <v>533</v>
      </c>
      <c r="H134" s="2">
        <v>0</v>
      </c>
      <c r="I134" s="159">
        <v>0</v>
      </c>
      <c r="J134" s="159">
        <v>0</v>
      </c>
    </row>
    <row r="135" spans="1:10" x14ac:dyDescent="0.25">
      <c r="A135" s="2">
        <v>540287</v>
      </c>
      <c r="B135" s="2" t="s">
        <v>326</v>
      </c>
      <c r="C135" s="2" t="s">
        <v>47</v>
      </c>
      <c r="D135" s="2" t="s">
        <v>115</v>
      </c>
      <c r="E135" s="2">
        <v>10</v>
      </c>
      <c r="F135" s="2">
        <v>557</v>
      </c>
      <c r="G135" s="2">
        <v>26</v>
      </c>
      <c r="H135" s="2">
        <v>0</v>
      </c>
      <c r="I135" s="159">
        <v>0</v>
      </c>
      <c r="J135" s="159">
        <v>0</v>
      </c>
    </row>
    <row r="136" spans="1:10" x14ac:dyDescent="0.25">
      <c r="A136" s="2">
        <v>540152</v>
      </c>
      <c r="B136" s="2" t="s">
        <v>229</v>
      </c>
      <c r="C136" s="2" t="s">
        <v>47</v>
      </c>
      <c r="D136" s="2" t="s">
        <v>115</v>
      </c>
      <c r="E136" s="2">
        <v>10</v>
      </c>
      <c r="F136" s="2">
        <v>132</v>
      </c>
      <c r="G136" s="2">
        <v>3</v>
      </c>
      <c r="H136" s="2">
        <v>0</v>
      </c>
      <c r="I136" s="159">
        <v>0</v>
      </c>
      <c r="J136" s="159">
        <v>0</v>
      </c>
    </row>
    <row r="137" spans="1:10" x14ac:dyDescent="0.25">
      <c r="A137" s="252"/>
      <c r="B137" s="252"/>
      <c r="C137" s="252" t="s">
        <v>47</v>
      </c>
      <c r="D137" s="252"/>
      <c r="E137" s="252"/>
      <c r="F137" s="252">
        <v>199463</v>
      </c>
      <c r="G137" s="252">
        <v>5856</v>
      </c>
      <c r="H137" s="252">
        <v>0</v>
      </c>
      <c r="I137" s="414">
        <v>0</v>
      </c>
      <c r="J137" s="414">
        <v>0</v>
      </c>
    </row>
    <row r="138" spans="1:10" x14ac:dyDescent="0.25">
      <c r="A138" s="2">
        <v>540112</v>
      </c>
      <c r="B138" s="2" t="s">
        <v>48</v>
      </c>
      <c r="C138" s="2" t="s">
        <v>49</v>
      </c>
      <c r="D138" s="2" t="s">
        <v>5</v>
      </c>
      <c r="E138" s="2">
        <v>2</v>
      </c>
      <c r="F138" s="2">
        <v>280220</v>
      </c>
      <c r="G138" s="2">
        <v>20032</v>
      </c>
      <c r="H138" s="2">
        <v>3</v>
      </c>
      <c r="I138" s="159">
        <v>1.4976038338699999E-4</v>
      </c>
      <c r="J138" s="159">
        <v>7.4880191693299999E-3</v>
      </c>
    </row>
    <row r="139" spans="1:10" x14ac:dyDescent="0.25">
      <c r="A139" s="2">
        <v>540113</v>
      </c>
      <c r="B139" s="2" t="s">
        <v>200</v>
      </c>
      <c r="C139" s="2" t="s">
        <v>49</v>
      </c>
      <c r="D139" s="2" t="s">
        <v>115</v>
      </c>
      <c r="E139" s="2">
        <v>2</v>
      </c>
      <c r="F139" s="2">
        <v>240</v>
      </c>
      <c r="G139" s="2">
        <v>31</v>
      </c>
      <c r="H139" s="2">
        <v>0</v>
      </c>
      <c r="I139" s="159">
        <v>0</v>
      </c>
      <c r="J139" s="159">
        <v>0</v>
      </c>
    </row>
    <row r="140" spans="1:10" x14ac:dyDescent="0.25">
      <c r="A140" s="2">
        <v>540247</v>
      </c>
      <c r="B140" s="2" t="s">
        <v>293</v>
      </c>
      <c r="C140" s="2" t="s">
        <v>49</v>
      </c>
      <c r="D140" s="2" t="s">
        <v>115</v>
      </c>
      <c r="E140" s="2">
        <v>2</v>
      </c>
      <c r="F140" s="2">
        <v>793</v>
      </c>
      <c r="G140" s="2">
        <v>249</v>
      </c>
      <c r="H140" s="2">
        <v>0</v>
      </c>
      <c r="I140" s="159">
        <v>0</v>
      </c>
      <c r="J140" s="159">
        <v>0</v>
      </c>
    </row>
    <row r="141" spans="1:10" x14ac:dyDescent="0.25">
      <c r="A141" s="2">
        <v>540248</v>
      </c>
      <c r="B141" s="2" t="s">
        <v>294</v>
      </c>
      <c r="C141" s="2" t="s">
        <v>49</v>
      </c>
      <c r="D141" s="2" t="s">
        <v>115</v>
      </c>
      <c r="E141" s="2">
        <v>2</v>
      </c>
      <c r="F141" s="2">
        <v>374</v>
      </c>
      <c r="G141" s="2">
        <v>76</v>
      </c>
      <c r="H141" s="2">
        <v>0</v>
      </c>
      <c r="I141" s="159">
        <v>0</v>
      </c>
      <c r="J141" s="159">
        <v>0</v>
      </c>
    </row>
    <row r="142" spans="1:10" x14ac:dyDescent="0.25">
      <c r="A142" s="2">
        <v>540249</v>
      </c>
      <c r="B142" s="2" t="s">
        <v>295</v>
      </c>
      <c r="C142" s="2" t="s">
        <v>49</v>
      </c>
      <c r="D142" s="2" t="s">
        <v>115</v>
      </c>
      <c r="E142" s="2">
        <v>2</v>
      </c>
      <c r="F142" s="2">
        <v>833</v>
      </c>
      <c r="G142" s="2">
        <v>186</v>
      </c>
      <c r="H142" s="2">
        <v>0</v>
      </c>
      <c r="I142" s="159">
        <v>0</v>
      </c>
      <c r="J142" s="159">
        <v>0</v>
      </c>
    </row>
    <row r="143" spans="1:10" x14ac:dyDescent="0.25">
      <c r="A143" s="2">
        <v>540250</v>
      </c>
      <c r="B143" s="2" t="s">
        <v>296</v>
      </c>
      <c r="C143" s="2" t="s">
        <v>49</v>
      </c>
      <c r="D143" s="2" t="s">
        <v>115</v>
      </c>
      <c r="E143" s="2">
        <v>2</v>
      </c>
      <c r="F143" s="2">
        <v>1977</v>
      </c>
      <c r="G143" s="2">
        <v>583</v>
      </c>
      <c r="H143" s="2">
        <v>0</v>
      </c>
      <c r="I143" s="159">
        <v>0</v>
      </c>
      <c r="J143" s="159">
        <v>0</v>
      </c>
    </row>
    <row r="144" spans="1:10" x14ac:dyDescent="0.25">
      <c r="A144" s="2">
        <v>540251</v>
      </c>
      <c r="B144" s="2" t="s">
        <v>297</v>
      </c>
      <c r="C144" s="2" t="s">
        <v>49</v>
      </c>
      <c r="D144" s="2" t="s">
        <v>115</v>
      </c>
      <c r="E144" s="2">
        <v>2</v>
      </c>
      <c r="F144" s="2">
        <v>298</v>
      </c>
      <c r="G144" s="2">
        <v>121</v>
      </c>
      <c r="H144" s="2">
        <v>0</v>
      </c>
      <c r="I144" s="159">
        <v>0</v>
      </c>
      <c r="J144" s="159">
        <v>0</v>
      </c>
    </row>
    <row r="145" spans="1:10" x14ac:dyDescent="0.25">
      <c r="A145" s="252"/>
      <c r="B145" s="252"/>
      <c r="C145" s="252" t="s">
        <v>49</v>
      </c>
      <c r="D145" s="252"/>
      <c r="E145" s="252"/>
      <c r="F145" s="252">
        <v>284735</v>
      </c>
      <c r="G145" s="252">
        <v>21278</v>
      </c>
      <c r="H145" s="252">
        <v>3</v>
      </c>
      <c r="I145" s="414">
        <v>1.4099069461399999E-4</v>
      </c>
      <c r="J145" s="414">
        <v>7.04953473071E-3</v>
      </c>
    </row>
    <row r="146" spans="1:10" x14ac:dyDescent="0.25">
      <c r="A146" s="2">
        <v>540114</v>
      </c>
      <c r="B146" s="2" t="s">
        <v>50</v>
      </c>
      <c r="C146" s="2" t="s">
        <v>51</v>
      </c>
      <c r="D146" s="2" t="s">
        <v>5</v>
      </c>
      <c r="E146" s="2">
        <v>1</v>
      </c>
      <c r="F146" s="2">
        <v>333847</v>
      </c>
      <c r="G146" s="2">
        <v>2014</v>
      </c>
      <c r="H146" s="2">
        <v>12</v>
      </c>
      <c r="I146" s="159">
        <v>5.95829195631E-3</v>
      </c>
      <c r="J146" s="159">
        <v>0.29791459781500002</v>
      </c>
    </row>
    <row r="147" spans="1:10" x14ac:dyDescent="0.25">
      <c r="A147" s="2">
        <v>540115</v>
      </c>
      <c r="B147" s="2" t="s">
        <v>201</v>
      </c>
      <c r="C147" s="2" t="s">
        <v>51</v>
      </c>
      <c r="D147" s="2" t="s">
        <v>115</v>
      </c>
      <c r="E147" s="2">
        <v>1</v>
      </c>
      <c r="F147" s="2">
        <v>368</v>
      </c>
      <c r="G147" s="2">
        <v>15</v>
      </c>
      <c r="H147" s="2">
        <v>2</v>
      </c>
      <c r="I147" s="159">
        <v>0.13333333333299999</v>
      </c>
      <c r="J147" s="159">
        <v>6.6666666666700003</v>
      </c>
    </row>
    <row r="148" spans="1:10" x14ac:dyDescent="0.25">
      <c r="A148" s="2">
        <v>540116</v>
      </c>
      <c r="B148" s="2" t="s">
        <v>202</v>
      </c>
      <c r="C148" s="2" t="s">
        <v>51</v>
      </c>
      <c r="D148" s="2" t="s">
        <v>115</v>
      </c>
      <c r="E148" s="2">
        <v>1</v>
      </c>
      <c r="F148" s="2">
        <v>828</v>
      </c>
      <c r="G148" s="2">
        <v>39</v>
      </c>
      <c r="H148" s="2">
        <v>1</v>
      </c>
      <c r="I148" s="159">
        <v>2.5641025641000001E-2</v>
      </c>
      <c r="J148" s="159">
        <v>1.2820512820500001</v>
      </c>
    </row>
    <row r="149" spans="1:10" x14ac:dyDescent="0.25">
      <c r="A149" s="2">
        <v>540117</v>
      </c>
      <c r="B149" s="2" t="s">
        <v>203</v>
      </c>
      <c r="C149" s="2" t="s">
        <v>51</v>
      </c>
      <c r="D149" s="2" t="s">
        <v>115</v>
      </c>
      <c r="E149" s="2">
        <v>1</v>
      </c>
      <c r="F149" s="2">
        <v>559</v>
      </c>
      <c r="G149" s="2">
        <v>122</v>
      </c>
      <c r="H149" s="2">
        <v>0</v>
      </c>
      <c r="I149" s="159">
        <v>0</v>
      </c>
      <c r="J149" s="159">
        <v>0</v>
      </c>
    </row>
    <row r="150" spans="1:10" x14ac:dyDescent="0.25">
      <c r="A150" s="2">
        <v>540118</v>
      </c>
      <c r="B150" s="2" t="s">
        <v>204</v>
      </c>
      <c r="C150" s="2" t="s">
        <v>51</v>
      </c>
      <c r="D150" s="2" t="s">
        <v>115</v>
      </c>
      <c r="E150" s="2">
        <v>1</v>
      </c>
      <c r="F150" s="2">
        <v>535</v>
      </c>
      <c r="G150" s="2">
        <v>25</v>
      </c>
      <c r="H150" s="2">
        <v>0</v>
      </c>
      <c r="I150" s="159">
        <v>0</v>
      </c>
      <c r="J150" s="159">
        <v>0</v>
      </c>
    </row>
    <row r="151" spans="1:10" x14ac:dyDescent="0.25">
      <c r="A151" s="2">
        <v>540119</v>
      </c>
      <c r="B151" s="2" t="s">
        <v>205</v>
      </c>
      <c r="C151" s="2" t="s">
        <v>51</v>
      </c>
      <c r="D151" s="2" t="s">
        <v>115</v>
      </c>
      <c r="E151" s="2">
        <v>1</v>
      </c>
      <c r="F151" s="2">
        <v>208</v>
      </c>
      <c r="G151" s="2">
        <v>17</v>
      </c>
      <c r="H151" s="2">
        <v>1</v>
      </c>
      <c r="I151" s="159">
        <v>5.8823529411800003E-2</v>
      </c>
      <c r="J151" s="159">
        <v>2.9411764705899999</v>
      </c>
    </row>
    <row r="152" spans="1:10" x14ac:dyDescent="0.25">
      <c r="A152" s="2">
        <v>540120</v>
      </c>
      <c r="B152" s="2" t="s">
        <v>206</v>
      </c>
      <c r="C152" s="2" t="s">
        <v>51</v>
      </c>
      <c r="D152" s="2" t="s">
        <v>115</v>
      </c>
      <c r="E152" s="2">
        <v>1</v>
      </c>
      <c r="F152" s="2">
        <v>162</v>
      </c>
      <c r="G152" s="2">
        <v>18</v>
      </c>
      <c r="H152" s="2">
        <v>1</v>
      </c>
      <c r="I152" s="159">
        <v>5.5555555555600003E-2</v>
      </c>
      <c r="J152" s="159">
        <v>2.7777777777799999</v>
      </c>
    </row>
    <row r="153" spans="1:10" x14ac:dyDescent="0.25">
      <c r="A153" s="2">
        <v>540121</v>
      </c>
      <c r="B153" s="2" t="s">
        <v>207</v>
      </c>
      <c r="C153" s="2" t="s">
        <v>51</v>
      </c>
      <c r="D153" s="2" t="s">
        <v>115</v>
      </c>
      <c r="E153" s="2">
        <v>1</v>
      </c>
      <c r="F153" s="2">
        <v>617</v>
      </c>
      <c r="G153" s="2">
        <v>46</v>
      </c>
      <c r="H153" s="2">
        <v>1</v>
      </c>
      <c r="I153" s="159">
        <v>2.17391304348E-2</v>
      </c>
      <c r="J153" s="159">
        <v>1.0869565217399999</v>
      </c>
    </row>
    <row r="154" spans="1:10" x14ac:dyDescent="0.25">
      <c r="A154" s="2">
        <v>540122</v>
      </c>
      <c r="B154" s="2" t="s">
        <v>208</v>
      </c>
      <c r="C154" s="2" t="s">
        <v>51</v>
      </c>
      <c r="D154" s="2" t="s">
        <v>115</v>
      </c>
      <c r="E154" s="2">
        <v>1</v>
      </c>
      <c r="F154" s="2">
        <v>589</v>
      </c>
      <c r="G154" s="2">
        <v>31</v>
      </c>
      <c r="H154" s="2">
        <v>0</v>
      </c>
      <c r="I154" s="159">
        <v>0</v>
      </c>
      <c r="J154" s="159">
        <v>0</v>
      </c>
    </row>
    <row r="155" spans="1:10" x14ac:dyDescent="0.25">
      <c r="A155" s="2">
        <v>540123</v>
      </c>
      <c r="B155" s="2" t="s">
        <v>209</v>
      </c>
      <c r="C155" s="2" t="s">
        <v>51</v>
      </c>
      <c r="D155" s="2" t="s">
        <v>115</v>
      </c>
      <c r="E155" s="2">
        <v>1</v>
      </c>
      <c r="F155" s="2">
        <v>3878</v>
      </c>
      <c r="G155" s="2">
        <v>108</v>
      </c>
      <c r="H155" s="2">
        <v>2</v>
      </c>
      <c r="I155" s="159">
        <v>1.8518518518500001E-2</v>
      </c>
      <c r="J155" s="159">
        <v>0.92592592592599998</v>
      </c>
    </row>
    <row r="156" spans="1:10" x14ac:dyDescent="0.25">
      <c r="A156" s="2">
        <v>540291</v>
      </c>
      <c r="B156" s="2" t="s">
        <v>328</v>
      </c>
      <c r="C156" s="2" t="s">
        <v>51</v>
      </c>
      <c r="D156" s="2" t="s">
        <v>115</v>
      </c>
      <c r="E156" s="2">
        <v>1</v>
      </c>
      <c r="F156" s="2">
        <v>512</v>
      </c>
      <c r="G156" s="2">
        <v>10</v>
      </c>
      <c r="H156" s="2">
        <v>0</v>
      </c>
      <c r="I156" s="159">
        <v>0</v>
      </c>
      <c r="J156" s="159">
        <v>0</v>
      </c>
    </row>
    <row r="157" spans="1:10" x14ac:dyDescent="0.25">
      <c r="A157" s="252"/>
      <c r="B157" s="252"/>
      <c r="C157" s="252" t="s">
        <v>51</v>
      </c>
      <c r="D157" s="252"/>
      <c r="E157" s="252"/>
      <c r="F157" s="252">
        <v>342103</v>
      </c>
      <c r="G157" s="252">
        <v>2445</v>
      </c>
      <c r="H157" s="252">
        <v>20</v>
      </c>
      <c r="I157" s="414">
        <v>8.1799591001999999E-3</v>
      </c>
      <c r="J157" s="414">
        <v>0.40899795501000002</v>
      </c>
    </row>
    <row r="158" spans="1:10" x14ac:dyDescent="0.25">
      <c r="A158" s="2">
        <v>540124</v>
      </c>
      <c r="B158" s="2" t="s">
        <v>52</v>
      </c>
      <c r="C158" s="2" t="s">
        <v>53</v>
      </c>
      <c r="D158" s="2" t="s">
        <v>5</v>
      </c>
      <c r="E158" s="2">
        <v>1</v>
      </c>
      <c r="F158" s="2">
        <v>260256</v>
      </c>
      <c r="G158" s="2">
        <v>5897</v>
      </c>
      <c r="H158" s="2">
        <v>3</v>
      </c>
      <c r="I158" s="159">
        <v>5.0873325419699997E-4</v>
      </c>
      <c r="J158" s="159">
        <v>2.5436662709899999E-2</v>
      </c>
    </row>
    <row r="159" spans="1:10" x14ac:dyDescent="0.25">
      <c r="A159" s="2">
        <v>540125</v>
      </c>
      <c r="B159" s="2" t="s">
        <v>210</v>
      </c>
      <c r="C159" s="2" t="s">
        <v>53</v>
      </c>
      <c r="D159" s="2" t="s">
        <v>115</v>
      </c>
      <c r="E159" s="2">
        <v>1</v>
      </c>
      <c r="F159" s="2">
        <v>374</v>
      </c>
      <c r="G159" s="2">
        <v>14</v>
      </c>
      <c r="H159" s="2">
        <v>0</v>
      </c>
      <c r="I159" s="159">
        <v>0</v>
      </c>
      <c r="J159" s="159">
        <v>0</v>
      </c>
    </row>
    <row r="160" spans="1:10" x14ac:dyDescent="0.25">
      <c r="A160" s="2">
        <v>540126</v>
      </c>
      <c r="B160" s="2" t="s">
        <v>211</v>
      </c>
      <c r="C160" s="2" t="s">
        <v>53</v>
      </c>
      <c r="D160" s="2" t="s">
        <v>115</v>
      </c>
      <c r="E160" s="2">
        <v>1</v>
      </c>
      <c r="F160" s="2">
        <v>169</v>
      </c>
      <c r="G160" s="2">
        <v>24</v>
      </c>
      <c r="H160" s="2">
        <v>1</v>
      </c>
      <c r="I160" s="159">
        <v>4.1666666666699999E-2</v>
      </c>
      <c r="J160" s="159">
        <v>2.0833333333300001</v>
      </c>
    </row>
    <row r="161" spans="1:10" x14ac:dyDescent="0.25">
      <c r="A161" s="2">
        <v>540127</v>
      </c>
      <c r="B161" s="2" t="s">
        <v>212</v>
      </c>
      <c r="C161" s="2" t="s">
        <v>53</v>
      </c>
      <c r="D161" s="2" t="s">
        <v>115</v>
      </c>
      <c r="E161" s="2">
        <v>1</v>
      </c>
      <c r="F161" s="2">
        <v>269</v>
      </c>
      <c r="G161" s="2">
        <v>19</v>
      </c>
      <c r="H161" s="2">
        <v>3</v>
      </c>
      <c r="I161" s="159">
        <v>0.15789473684200001</v>
      </c>
      <c r="J161" s="159">
        <v>7.8947368421100004</v>
      </c>
    </row>
    <row r="162" spans="1:10" x14ac:dyDescent="0.25">
      <c r="A162" s="2">
        <v>540128</v>
      </c>
      <c r="B162" s="2" t="s">
        <v>213</v>
      </c>
      <c r="C162" s="2" t="s">
        <v>53</v>
      </c>
      <c r="D162" s="2" t="s">
        <v>115</v>
      </c>
      <c r="E162" s="2">
        <v>1</v>
      </c>
      <c r="F162" s="2">
        <v>1953</v>
      </c>
      <c r="G162" s="2">
        <v>294</v>
      </c>
      <c r="H162" s="2">
        <v>0</v>
      </c>
      <c r="I162" s="159">
        <v>0</v>
      </c>
      <c r="J162" s="159">
        <v>0</v>
      </c>
    </row>
    <row r="163" spans="1:10" x14ac:dyDescent="0.25">
      <c r="A163" s="2">
        <v>540172</v>
      </c>
      <c r="B163" s="2" t="s">
        <v>244</v>
      </c>
      <c r="C163" s="2" t="s">
        <v>53</v>
      </c>
      <c r="D163" s="2" t="s">
        <v>115</v>
      </c>
      <c r="E163" s="2">
        <v>1</v>
      </c>
      <c r="F163" s="2">
        <v>252</v>
      </c>
      <c r="G163" s="2">
        <v>0</v>
      </c>
      <c r="H163" s="2">
        <v>0</v>
      </c>
      <c r="I163" s="159" t="s">
        <v>488</v>
      </c>
      <c r="J163" s="159" t="s">
        <v>488</v>
      </c>
    </row>
    <row r="164" spans="1:10" x14ac:dyDescent="0.25">
      <c r="A164" s="2">
        <v>540285</v>
      </c>
      <c r="B164" s="2" t="s">
        <v>324</v>
      </c>
      <c r="C164" s="2" t="s">
        <v>53</v>
      </c>
      <c r="D164" s="2" t="s">
        <v>115</v>
      </c>
      <c r="E164" s="2">
        <v>1</v>
      </c>
      <c r="F164" s="2">
        <v>5771</v>
      </c>
      <c r="G164" s="2">
        <v>8</v>
      </c>
      <c r="H164" s="2">
        <v>0</v>
      </c>
      <c r="I164" s="159">
        <v>0</v>
      </c>
      <c r="J164" s="159">
        <v>0</v>
      </c>
    </row>
    <row r="165" spans="1:10" x14ac:dyDescent="0.25">
      <c r="A165" s="252"/>
      <c r="B165" s="252"/>
      <c r="C165" s="252" t="s">
        <v>53</v>
      </c>
      <c r="D165" s="252"/>
      <c r="E165" s="252"/>
      <c r="F165" s="252">
        <v>269044</v>
      </c>
      <c r="G165" s="252">
        <v>6256</v>
      </c>
      <c r="H165" s="252">
        <v>7</v>
      </c>
      <c r="I165" s="414">
        <v>1.1189258312000001E-3</v>
      </c>
      <c r="J165" s="414">
        <v>5.5946291560100003E-2</v>
      </c>
    </row>
    <row r="166" spans="1:10" x14ac:dyDescent="0.25">
      <c r="A166" s="2">
        <v>540129</v>
      </c>
      <c r="B166" s="2" t="s">
        <v>54</v>
      </c>
      <c r="C166" s="2" t="s">
        <v>55</v>
      </c>
      <c r="D166" s="2" t="s">
        <v>5</v>
      </c>
      <c r="E166" s="2">
        <v>8</v>
      </c>
      <c r="F166" s="2">
        <v>208143</v>
      </c>
      <c r="G166" s="2">
        <v>6973</v>
      </c>
      <c r="H166" s="2">
        <v>1</v>
      </c>
      <c r="I166" s="159">
        <v>1.4341029685900001E-4</v>
      </c>
      <c r="J166" s="159">
        <v>7.1705148429699996E-3</v>
      </c>
    </row>
    <row r="167" spans="1:10" x14ac:dyDescent="0.25">
      <c r="A167" s="2">
        <v>540130</v>
      </c>
      <c r="B167" s="2" t="s">
        <v>214</v>
      </c>
      <c r="C167" s="2" t="s">
        <v>55</v>
      </c>
      <c r="D167" s="2" t="s">
        <v>115</v>
      </c>
      <c r="E167" s="2">
        <v>8</v>
      </c>
      <c r="F167" s="2">
        <v>1259</v>
      </c>
      <c r="G167" s="2">
        <v>98</v>
      </c>
      <c r="H167" s="2">
        <v>1</v>
      </c>
      <c r="I167" s="159">
        <v>1.02040816327E-2</v>
      </c>
      <c r="J167" s="159">
        <v>0.51020408163300002</v>
      </c>
    </row>
    <row r="168" spans="1:10" x14ac:dyDescent="0.25">
      <c r="A168" s="2">
        <v>540131</v>
      </c>
      <c r="B168" s="2" t="s">
        <v>215</v>
      </c>
      <c r="C168" s="2" t="s">
        <v>55</v>
      </c>
      <c r="D168" s="2" t="s">
        <v>115</v>
      </c>
      <c r="E168" s="2">
        <v>8</v>
      </c>
      <c r="F168" s="2">
        <v>244</v>
      </c>
      <c r="G168" s="2">
        <v>19</v>
      </c>
      <c r="H168" s="2">
        <v>0</v>
      </c>
      <c r="I168" s="159">
        <v>0</v>
      </c>
      <c r="J168" s="159">
        <v>0</v>
      </c>
    </row>
    <row r="169" spans="1:10" x14ac:dyDescent="0.25">
      <c r="A169" s="2">
        <v>540155</v>
      </c>
      <c r="B169" s="2" t="s">
        <v>231</v>
      </c>
      <c r="C169" s="2" t="s">
        <v>55</v>
      </c>
      <c r="D169" s="2" t="s">
        <v>115</v>
      </c>
      <c r="E169" s="2">
        <v>8</v>
      </c>
      <c r="F169" s="2">
        <v>187</v>
      </c>
      <c r="G169" s="2">
        <v>23</v>
      </c>
      <c r="H169" s="2">
        <v>0</v>
      </c>
      <c r="I169" s="159">
        <v>0</v>
      </c>
      <c r="J169" s="159">
        <v>0</v>
      </c>
    </row>
    <row r="170" spans="1:10" x14ac:dyDescent="0.25">
      <c r="A170" s="2">
        <v>545555</v>
      </c>
      <c r="B170" s="2" t="s">
        <v>336</v>
      </c>
      <c r="C170" s="2" t="s">
        <v>55</v>
      </c>
      <c r="D170" s="2" t="s">
        <v>115</v>
      </c>
      <c r="E170" s="2">
        <v>8</v>
      </c>
      <c r="F170" s="2">
        <v>835</v>
      </c>
      <c r="G170" s="2">
        <v>33</v>
      </c>
      <c r="H170" s="2">
        <v>0</v>
      </c>
      <c r="I170" s="159">
        <v>0</v>
      </c>
      <c r="J170" s="159">
        <v>0</v>
      </c>
    </row>
    <row r="171" spans="1:10" x14ac:dyDescent="0.25">
      <c r="A171" s="2">
        <v>540091</v>
      </c>
      <c r="B171" s="2" t="s">
        <v>338</v>
      </c>
      <c r="C171" s="2" t="s">
        <v>55</v>
      </c>
      <c r="D171" s="2" t="s">
        <v>115</v>
      </c>
      <c r="E171" s="2">
        <v>8</v>
      </c>
      <c r="F171" s="2">
        <v>165</v>
      </c>
      <c r="G171" s="2">
        <v>0</v>
      </c>
      <c r="H171" s="2">
        <v>0</v>
      </c>
      <c r="I171" s="159" t="s">
        <v>488</v>
      </c>
      <c r="J171" s="159" t="s">
        <v>488</v>
      </c>
    </row>
    <row r="172" spans="1:10" x14ac:dyDescent="0.25">
      <c r="A172" s="252"/>
      <c r="B172" s="252"/>
      <c r="C172" s="252" t="s">
        <v>55</v>
      </c>
      <c r="D172" s="252"/>
      <c r="E172" s="252"/>
      <c r="F172" s="252">
        <v>210833</v>
      </c>
      <c r="G172" s="252">
        <v>7146</v>
      </c>
      <c r="H172" s="252">
        <v>2</v>
      </c>
      <c r="I172" s="414">
        <v>2.7987685418399998E-4</v>
      </c>
      <c r="J172" s="414">
        <v>1.39938427092E-2</v>
      </c>
    </row>
    <row r="173" spans="1:10" x14ac:dyDescent="0.25">
      <c r="A173" s="2">
        <v>540133</v>
      </c>
      <c r="B173" s="2" t="s">
        <v>56</v>
      </c>
      <c r="C173" s="2" t="s">
        <v>57</v>
      </c>
      <c r="D173" s="2" t="s">
        <v>5</v>
      </c>
      <c r="E173" s="2">
        <v>2</v>
      </c>
      <c r="F173" s="2">
        <v>266606</v>
      </c>
      <c r="G173" s="2">
        <v>3191</v>
      </c>
      <c r="H173" s="2">
        <v>2</v>
      </c>
      <c r="I173" s="159">
        <v>6.2676277029100004E-4</v>
      </c>
      <c r="J173" s="159">
        <v>3.1338138514600003E-2</v>
      </c>
    </row>
    <row r="174" spans="1:10" x14ac:dyDescent="0.25">
      <c r="A174" s="2">
        <v>540134</v>
      </c>
      <c r="B174" s="2" t="s">
        <v>217</v>
      </c>
      <c r="C174" s="2" t="s">
        <v>57</v>
      </c>
      <c r="D174" s="2" t="s">
        <v>115</v>
      </c>
      <c r="E174" s="2">
        <v>2</v>
      </c>
      <c r="F174" s="2">
        <v>1272</v>
      </c>
      <c r="G174" s="2">
        <v>35</v>
      </c>
      <c r="H174" s="2">
        <v>0</v>
      </c>
      <c r="I174" s="159">
        <v>0</v>
      </c>
      <c r="J174" s="159">
        <v>0</v>
      </c>
    </row>
    <row r="175" spans="1:10" x14ac:dyDescent="0.25">
      <c r="A175" s="2">
        <v>540135</v>
      </c>
      <c r="B175" s="2" t="s">
        <v>218</v>
      </c>
      <c r="C175" s="2" t="s">
        <v>57</v>
      </c>
      <c r="D175" s="2" t="s">
        <v>115</v>
      </c>
      <c r="E175" s="2">
        <v>2</v>
      </c>
      <c r="F175" s="2">
        <v>666</v>
      </c>
      <c r="G175" s="2">
        <v>20</v>
      </c>
      <c r="H175" s="2">
        <v>0</v>
      </c>
      <c r="I175" s="159">
        <v>0</v>
      </c>
      <c r="J175" s="159">
        <v>0</v>
      </c>
    </row>
    <row r="176" spans="1:10" x14ac:dyDescent="0.25">
      <c r="A176" s="2">
        <v>540136</v>
      </c>
      <c r="B176" s="2" t="s">
        <v>219</v>
      </c>
      <c r="C176" s="2" t="s">
        <v>57</v>
      </c>
      <c r="D176" s="2" t="s">
        <v>115</v>
      </c>
      <c r="E176" s="2">
        <v>2</v>
      </c>
      <c r="F176" s="2">
        <v>251</v>
      </c>
      <c r="G176" s="2">
        <v>36</v>
      </c>
      <c r="H176" s="2">
        <v>0</v>
      </c>
      <c r="I176" s="159">
        <v>0</v>
      </c>
      <c r="J176" s="159">
        <v>0</v>
      </c>
    </row>
    <row r="177" spans="1:10" x14ac:dyDescent="0.25">
      <c r="A177" s="2">
        <v>540138</v>
      </c>
      <c r="B177" s="2" t="s">
        <v>221</v>
      </c>
      <c r="C177" s="2" t="s">
        <v>57</v>
      </c>
      <c r="D177" s="2" t="s">
        <v>115</v>
      </c>
      <c r="E177" s="2">
        <v>2</v>
      </c>
      <c r="F177" s="2">
        <v>2074</v>
      </c>
      <c r="G177" s="2">
        <v>134</v>
      </c>
      <c r="H177" s="2">
        <v>0</v>
      </c>
      <c r="I177" s="159">
        <v>0</v>
      </c>
      <c r="J177" s="159">
        <v>0</v>
      </c>
    </row>
    <row r="178" spans="1:10" x14ac:dyDescent="0.25">
      <c r="A178" s="2">
        <v>545538</v>
      </c>
      <c r="B178" s="2" t="s">
        <v>334</v>
      </c>
      <c r="C178" s="2" t="s">
        <v>57</v>
      </c>
      <c r="D178" s="2" t="s">
        <v>115</v>
      </c>
      <c r="E178" s="2">
        <v>2</v>
      </c>
      <c r="F178" s="2">
        <v>348</v>
      </c>
      <c r="G178" s="2">
        <v>62</v>
      </c>
      <c r="H178" s="2">
        <v>0</v>
      </c>
      <c r="I178" s="159">
        <v>0</v>
      </c>
      <c r="J178" s="159">
        <v>0</v>
      </c>
    </row>
    <row r="179" spans="1:10" x14ac:dyDescent="0.25">
      <c r="A179" s="252"/>
      <c r="B179" s="252"/>
      <c r="C179" s="252" t="s">
        <v>57</v>
      </c>
      <c r="D179" s="252"/>
      <c r="E179" s="252"/>
      <c r="F179" s="252">
        <v>271217</v>
      </c>
      <c r="G179" s="252">
        <v>3478</v>
      </c>
      <c r="H179" s="252">
        <v>2</v>
      </c>
      <c r="I179" s="414">
        <v>5.75043128235E-4</v>
      </c>
      <c r="J179" s="414">
        <v>2.8752156411700001E-2</v>
      </c>
    </row>
    <row r="180" spans="1:10" x14ac:dyDescent="0.25">
      <c r="A180" s="2">
        <v>540139</v>
      </c>
      <c r="B180" s="2" t="s">
        <v>58</v>
      </c>
      <c r="C180" s="2" t="s">
        <v>59</v>
      </c>
      <c r="D180" s="2" t="s">
        <v>5</v>
      </c>
      <c r="E180" s="2">
        <v>6</v>
      </c>
      <c r="F180" s="2">
        <v>224992</v>
      </c>
      <c r="G180" s="2">
        <v>4403</v>
      </c>
      <c r="H180" s="2">
        <v>1</v>
      </c>
      <c r="I180" s="159">
        <v>2.2711787417700001E-4</v>
      </c>
      <c r="J180" s="159">
        <v>1.13558937088E-2</v>
      </c>
    </row>
    <row r="181" spans="1:10" x14ac:dyDescent="0.25">
      <c r="A181" s="2">
        <v>540140</v>
      </c>
      <c r="B181" s="2" t="s">
        <v>222</v>
      </c>
      <c r="C181" s="2" t="s">
        <v>59</v>
      </c>
      <c r="D181" s="2" t="s">
        <v>115</v>
      </c>
      <c r="E181" s="2">
        <v>6</v>
      </c>
      <c r="F181" s="2">
        <v>198</v>
      </c>
      <c r="G181" s="2">
        <v>17</v>
      </c>
      <c r="H181" s="2">
        <v>0</v>
      </c>
      <c r="I181" s="159">
        <v>0</v>
      </c>
      <c r="J181" s="159">
        <v>0</v>
      </c>
    </row>
    <row r="182" spans="1:10" x14ac:dyDescent="0.25">
      <c r="A182" s="2">
        <v>540141</v>
      </c>
      <c r="B182" s="2" t="s">
        <v>223</v>
      </c>
      <c r="C182" s="2" t="s">
        <v>59</v>
      </c>
      <c r="D182" s="2" t="s">
        <v>115</v>
      </c>
      <c r="E182" s="2">
        <v>6</v>
      </c>
      <c r="F182" s="2">
        <v>6672</v>
      </c>
      <c r="G182" s="2">
        <v>214</v>
      </c>
      <c r="H182" s="2">
        <v>0</v>
      </c>
      <c r="I182" s="159">
        <v>0</v>
      </c>
      <c r="J182" s="159">
        <v>0</v>
      </c>
    </row>
    <row r="183" spans="1:10" x14ac:dyDescent="0.25">
      <c r="A183" s="2">
        <v>540272</v>
      </c>
      <c r="B183" s="2" t="s">
        <v>315</v>
      </c>
      <c r="C183" s="2" t="s">
        <v>59</v>
      </c>
      <c r="D183" s="2" t="s">
        <v>115</v>
      </c>
      <c r="E183" s="2">
        <v>6</v>
      </c>
      <c r="F183" s="2">
        <v>831</v>
      </c>
      <c r="G183" s="2">
        <v>23</v>
      </c>
      <c r="H183" s="2">
        <v>0</v>
      </c>
      <c r="I183" s="159">
        <v>0</v>
      </c>
      <c r="J183" s="159">
        <v>0</v>
      </c>
    </row>
    <row r="184" spans="1:10" x14ac:dyDescent="0.25">
      <c r="A184" s="2">
        <v>540273</v>
      </c>
      <c r="B184" s="2" t="s">
        <v>316</v>
      </c>
      <c r="C184" s="2" t="s">
        <v>59</v>
      </c>
      <c r="D184" s="2" t="s">
        <v>115</v>
      </c>
      <c r="E184" s="2">
        <v>6</v>
      </c>
      <c r="F184" s="2">
        <v>378</v>
      </c>
      <c r="G184" s="2">
        <v>7</v>
      </c>
      <c r="H184" s="2">
        <v>0</v>
      </c>
      <c r="I184" s="159">
        <v>0</v>
      </c>
      <c r="J184" s="159">
        <v>0</v>
      </c>
    </row>
    <row r="185" spans="1:10" x14ac:dyDescent="0.25">
      <c r="A185" s="2">
        <v>540274</v>
      </c>
      <c r="B185" s="2" t="s">
        <v>317</v>
      </c>
      <c r="C185" s="2" t="s">
        <v>59</v>
      </c>
      <c r="D185" s="2" t="s">
        <v>115</v>
      </c>
      <c r="E185" s="2">
        <v>6</v>
      </c>
      <c r="F185" s="2">
        <v>963</v>
      </c>
      <c r="G185" s="2">
        <v>23</v>
      </c>
      <c r="H185" s="2">
        <v>0</v>
      </c>
      <c r="I185" s="159">
        <v>0</v>
      </c>
      <c r="J185" s="159">
        <v>0</v>
      </c>
    </row>
    <row r="186" spans="1:10" x14ac:dyDescent="0.25">
      <c r="A186" s="252"/>
      <c r="B186" s="252"/>
      <c r="C186" s="252" t="s">
        <v>59</v>
      </c>
      <c r="D186" s="252"/>
      <c r="E186" s="252"/>
      <c r="F186" s="252">
        <v>234034</v>
      </c>
      <c r="G186" s="252">
        <v>4687</v>
      </c>
      <c r="H186" s="252">
        <v>1</v>
      </c>
      <c r="I186" s="414">
        <v>2.13356091316E-4</v>
      </c>
      <c r="J186" s="414">
        <v>1.06678045658E-2</v>
      </c>
    </row>
    <row r="187" spans="1:10" x14ac:dyDescent="0.25">
      <c r="A187" s="2">
        <v>540144</v>
      </c>
      <c r="B187" s="2" t="s">
        <v>60</v>
      </c>
      <c r="C187" s="2" t="s">
        <v>61</v>
      </c>
      <c r="D187" s="2" t="s">
        <v>5</v>
      </c>
      <c r="E187" s="2">
        <v>9</v>
      </c>
      <c r="F187" s="2">
        <v>146585</v>
      </c>
      <c r="G187" s="2">
        <v>7219</v>
      </c>
      <c r="H187" s="2">
        <v>0</v>
      </c>
      <c r="I187" s="159">
        <v>0</v>
      </c>
      <c r="J187" s="159">
        <v>0</v>
      </c>
    </row>
    <row r="188" spans="1:10" x14ac:dyDescent="0.25">
      <c r="A188" s="2">
        <v>540005</v>
      </c>
      <c r="B188" s="2" t="s">
        <v>118</v>
      </c>
      <c r="C188" s="2" t="s">
        <v>61</v>
      </c>
      <c r="D188" s="2" t="s">
        <v>115</v>
      </c>
      <c r="E188" s="2">
        <v>9</v>
      </c>
      <c r="F188" s="2">
        <v>215</v>
      </c>
      <c r="G188" s="2">
        <v>20</v>
      </c>
      <c r="H188" s="2">
        <v>0</v>
      </c>
      <c r="I188" s="159">
        <v>0</v>
      </c>
      <c r="J188" s="159">
        <v>0</v>
      </c>
    </row>
    <row r="189" spans="1:10" x14ac:dyDescent="0.25">
      <c r="A189" s="2">
        <v>540252</v>
      </c>
      <c r="B189" s="2" t="s">
        <v>298</v>
      </c>
      <c r="C189" s="2" t="s">
        <v>61</v>
      </c>
      <c r="D189" s="2" t="s">
        <v>115</v>
      </c>
      <c r="E189" s="2">
        <v>9</v>
      </c>
      <c r="F189" s="2">
        <v>340</v>
      </c>
      <c r="G189" s="2">
        <v>119</v>
      </c>
      <c r="H189" s="2">
        <v>0</v>
      </c>
      <c r="I189" s="159">
        <v>0</v>
      </c>
      <c r="J189" s="159">
        <v>0</v>
      </c>
    </row>
    <row r="190" spans="1:10" x14ac:dyDescent="0.25">
      <c r="A190" s="252"/>
      <c r="B190" s="252"/>
      <c r="C190" s="252" t="s">
        <v>61</v>
      </c>
      <c r="D190" s="252"/>
      <c r="E190" s="252"/>
      <c r="F190" s="252">
        <v>147140</v>
      </c>
      <c r="G190" s="252">
        <v>7358</v>
      </c>
      <c r="H190" s="252">
        <v>0</v>
      </c>
      <c r="I190" s="414">
        <v>0</v>
      </c>
      <c r="J190" s="414">
        <v>0</v>
      </c>
    </row>
    <row r="191" spans="1:10" x14ac:dyDescent="0.25">
      <c r="A191" s="2">
        <v>540146</v>
      </c>
      <c r="B191" s="2" t="s">
        <v>62</v>
      </c>
      <c r="C191" s="2" t="s">
        <v>63</v>
      </c>
      <c r="D191" s="2" t="s">
        <v>5</v>
      </c>
      <c r="E191" s="2">
        <v>4</v>
      </c>
      <c r="F191" s="2">
        <v>414533</v>
      </c>
      <c r="G191" s="2">
        <v>8586</v>
      </c>
      <c r="H191" s="2">
        <v>0</v>
      </c>
      <c r="I191" s="159">
        <v>0</v>
      </c>
      <c r="J191" s="159">
        <v>0</v>
      </c>
    </row>
    <row r="192" spans="1:10" x14ac:dyDescent="0.25">
      <c r="A192" s="2">
        <v>540147</v>
      </c>
      <c r="B192" s="2" t="s">
        <v>225</v>
      </c>
      <c r="C192" s="2" t="s">
        <v>63</v>
      </c>
      <c r="D192" s="2" t="s">
        <v>115</v>
      </c>
      <c r="E192" s="2">
        <v>4</v>
      </c>
      <c r="F192" s="2">
        <v>1068</v>
      </c>
      <c r="G192" s="2">
        <v>122</v>
      </c>
      <c r="H192" s="2">
        <v>1</v>
      </c>
      <c r="I192" s="159">
        <v>8.1967213114800003E-3</v>
      </c>
      <c r="J192" s="159">
        <v>0.40983606557399999</v>
      </c>
    </row>
    <row r="193" spans="1:10" x14ac:dyDescent="0.25">
      <c r="A193" s="2">
        <v>540148</v>
      </c>
      <c r="B193" s="2" t="s">
        <v>226</v>
      </c>
      <c r="C193" s="2" t="s">
        <v>63</v>
      </c>
      <c r="D193" s="2" t="s">
        <v>115</v>
      </c>
      <c r="E193" s="2">
        <v>4</v>
      </c>
      <c r="F193" s="2">
        <v>2897</v>
      </c>
      <c r="G193" s="2">
        <v>106</v>
      </c>
      <c r="H193" s="2">
        <v>0</v>
      </c>
      <c r="I193" s="159">
        <v>0</v>
      </c>
      <c r="J193" s="159">
        <v>0</v>
      </c>
    </row>
    <row r="194" spans="1:10" x14ac:dyDescent="0.25">
      <c r="A194" s="252"/>
      <c r="B194" s="252"/>
      <c r="C194" s="252" t="s">
        <v>63</v>
      </c>
      <c r="D194" s="252"/>
      <c r="E194" s="252"/>
      <c r="F194" s="252">
        <v>418498</v>
      </c>
      <c r="G194" s="252">
        <v>8814</v>
      </c>
      <c r="H194" s="252">
        <v>1</v>
      </c>
      <c r="I194" s="414">
        <v>1.13455865668E-4</v>
      </c>
      <c r="J194" s="414">
        <v>5.6727932834100001E-3</v>
      </c>
    </row>
    <row r="195" spans="1:10" x14ac:dyDescent="0.25">
      <c r="A195" s="2">
        <v>540149</v>
      </c>
      <c r="B195" s="2" t="s">
        <v>64</v>
      </c>
      <c r="C195" s="2" t="s">
        <v>65</v>
      </c>
      <c r="D195" s="2" t="s">
        <v>5</v>
      </c>
      <c r="E195" s="2">
        <v>10</v>
      </c>
      <c r="F195" s="2">
        <v>55697</v>
      </c>
      <c r="G195" s="2">
        <v>1152</v>
      </c>
      <c r="H195" s="2">
        <v>3</v>
      </c>
      <c r="I195" s="159">
        <v>2.6041666666699998E-3</v>
      </c>
      <c r="J195" s="159">
        <v>0.130208333333</v>
      </c>
    </row>
    <row r="196" spans="1:10" x14ac:dyDescent="0.25">
      <c r="A196" s="2">
        <v>540080</v>
      </c>
      <c r="B196" s="2" t="s">
        <v>175</v>
      </c>
      <c r="C196" s="2" t="s">
        <v>65</v>
      </c>
      <c r="D196" s="2" t="s">
        <v>115</v>
      </c>
      <c r="E196" s="2">
        <v>10</v>
      </c>
      <c r="F196" s="2">
        <v>259</v>
      </c>
      <c r="G196" s="2">
        <v>0</v>
      </c>
      <c r="H196" s="2">
        <v>0</v>
      </c>
      <c r="I196" s="159" t="s">
        <v>488</v>
      </c>
      <c r="J196" s="159" t="s">
        <v>488</v>
      </c>
    </row>
    <row r="197" spans="1:10" x14ac:dyDescent="0.25">
      <c r="A197" s="2">
        <v>540094</v>
      </c>
      <c r="B197" s="2" t="s">
        <v>185</v>
      </c>
      <c r="C197" s="2" t="s">
        <v>65</v>
      </c>
      <c r="D197" s="2" t="s">
        <v>115</v>
      </c>
      <c r="E197" s="2">
        <v>10</v>
      </c>
      <c r="F197" s="2">
        <v>700</v>
      </c>
      <c r="G197" s="2">
        <v>28</v>
      </c>
      <c r="H197" s="2">
        <v>0</v>
      </c>
      <c r="I197" s="159">
        <v>0</v>
      </c>
      <c r="J197" s="159">
        <v>0</v>
      </c>
    </row>
    <row r="198" spans="1:10" x14ac:dyDescent="0.25">
      <c r="A198" s="2">
        <v>540150</v>
      </c>
      <c r="B198" s="2" t="s">
        <v>227</v>
      </c>
      <c r="C198" s="2" t="s">
        <v>65</v>
      </c>
      <c r="D198" s="2" t="s">
        <v>115</v>
      </c>
      <c r="E198" s="2">
        <v>10</v>
      </c>
      <c r="F198" s="2">
        <v>432</v>
      </c>
      <c r="G198" s="2">
        <v>33</v>
      </c>
      <c r="H198" s="2">
        <v>1</v>
      </c>
      <c r="I198" s="159">
        <v>3.0303030303000002E-2</v>
      </c>
      <c r="J198" s="159">
        <v>1.5151515151499999</v>
      </c>
    </row>
    <row r="199" spans="1:10" x14ac:dyDescent="0.25">
      <c r="A199" s="2">
        <v>540151</v>
      </c>
      <c r="B199" s="2" t="s">
        <v>228</v>
      </c>
      <c r="C199" s="2" t="s">
        <v>65</v>
      </c>
      <c r="D199" s="2" t="s">
        <v>115</v>
      </c>
      <c r="E199" s="2">
        <v>10</v>
      </c>
      <c r="F199" s="2">
        <v>350</v>
      </c>
      <c r="G199" s="2">
        <v>75</v>
      </c>
      <c r="H199" s="2">
        <v>0</v>
      </c>
      <c r="I199" s="159">
        <v>0</v>
      </c>
      <c r="J199" s="159">
        <v>0</v>
      </c>
    </row>
    <row r="200" spans="1:10" x14ac:dyDescent="0.25">
      <c r="A200" s="2">
        <v>540152</v>
      </c>
      <c r="B200" s="2" t="s">
        <v>229</v>
      </c>
      <c r="C200" s="2" t="s">
        <v>65</v>
      </c>
      <c r="D200" s="2" t="s">
        <v>115</v>
      </c>
      <c r="E200" s="2">
        <v>10</v>
      </c>
      <c r="F200" s="2">
        <v>9969</v>
      </c>
      <c r="G200" s="2">
        <v>931</v>
      </c>
      <c r="H200" s="2">
        <v>0</v>
      </c>
      <c r="I200" s="159">
        <v>0</v>
      </c>
      <c r="J200" s="159">
        <v>0</v>
      </c>
    </row>
    <row r="201" spans="1:10" x14ac:dyDescent="0.25">
      <c r="A201" s="2">
        <v>540275</v>
      </c>
      <c r="B201" s="2" t="s">
        <v>318</v>
      </c>
      <c r="C201" s="2" t="s">
        <v>65</v>
      </c>
      <c r="D201" s="2" t="s">
        <v>115</v>
      </c>
      <c r="E201" s="2">
        <v>10</v>
      </c>
      <c r="F201" s="2">
        <v>2268</v>
      </c>
      <c r="G201" s="2">
        <v>0</v>
      </c>
      <c r="H201" s="2">
        <v>0</v>
      </c>
      <c r="I201" s="159" t="s">
        <v>488</v>
      </c>
      <c r="J201" s="159" t="s">
        <v>488</v>
      </c>
    </row>
    <row r="202" spans="1:10" x14ac:dyDescent="0.25">
      <c r="A202" s="252"/>
      <c r="B202" s="252"/>
      <c r="C202" s="252" t="s">
        <v>65</v>
      </c>
      <c r="D202" s="252"/>
      <c r="E202" s="252"/>
      <c r="F202" s="252">
        <v>69675</v>
      </c>
      <c r="G202" s="252">
        <v>2219</v>
      </c>
      <c r="H202" s="252">
        <v>4</v>
      </c>
      <c r="I202" s="414">
        <v>1.8026137900000001E-3</v>
      </c>
      <c r="J202" s="414">
        <v>9.0130689499800007E-2</v>
      </c>
    </row>
    <row r="203" spans="1:10" x14ac:dyDescent="0.25">
      <c r="A203" s="2">
        <v>540153</v>
      </c>
      <c r="B203" s="2" t="s">
        <v>66</v>
      </c>
      <c r="C203" s="2" t="s">
        <v>67</v>
      </c>
      <c r="D203" s="2" t="s">
        <v>5</v>
      </c>
      <c r="E203" s="2">
        <v>8</v>
      </c>
      <c r="F203" s="2">
        <v>446299</v>
      </c>
      <c r="G203" s="2">
        <v>13218</v>
      </c>
      <c r="H203" s="2">
        <v>0</v>
      </c>
      <c r="I203" s="159">
        <v>0</v>
      </c>
      <c r="J203" s="159">
        <v>0</v>
      </c>
    </row>
    <row r="204" spans="1:10" x14ac:dyDescent="0.25">
      <c r="A204" s="2">
        <v>540154</v>
      </c>
      <c r="B204" s="2" t="s">
        <v>230</v>
      </c>
      <c r="C204" s="2" t="s">
        <v>67</v>
      </c>
      <c r="D204" s="2" t="s">
        <v>115</v>
      </c>
      <c r="E204" s="2">
        <v>8</v>
      </c>
      <c r="F204" s="2">
        <v>361</v>
      </c>
      <c r="G204" s="2">
        <v>29</v>
      </c>
      <c r="H204" s="2">
        <v>0</v>
      </c>
      <c r="I204" s="159">
        <v>0</v>
      </c>
      <c r="J204" s="159">
        <v>0</v>
      </c>
    </row>
    <row r="205" spans="1:10" x14ac:dyDescent="0.25">
      <c r="A205" s="252"/>
      <c r="B205" s="252"/>
      <c r="C205" s="252" t="s">
        <v>67</v>
      </c>
      <c r="D205" s="252"/>
      <c r="E205" s="252"/>
      <c r="F205" s="252">
        <v>446660</v>
      </c>
      <c r="G205" s="252">
        <v>13247</v>
      </c>
      <c r="H205" s="252">
        <v>0</v>
      </c>
      <c r="I205" s="414">
        <v>0</v>
      </c>
      <c r="J205" s="414">
        <v>0</v>
      </c>
    </row>
    <row r="206" spans="1:10" x14ac:dyDescent="0.25">
      <c r="A206" s="2">
        <v>540160</v>
      </c>
      <c r="B206" s="2" t="s">
        <v>68</v>
      </c>
      <c r="C206" s="2" t="s">
        <v>69</v>
      </c>
      <c r="D206" s="2" t="s">
        <v>5</v>
      </c>
      <c r="E206" s="2">
        <v>6</v>
      </c>
      <c r="F206" s="2">
        <v>411882</v>
      </c>
      <c r="G206" s="2">
        <v>9849</v>
      </c>
      <c r="H206" s="2">
        <v>0</v>
      </c>
      <c r="I206" s="159">
        <v>0</v>
      </c>
      <c r="J206" s="159">
        <v>0</v>
      </c>
    </row>
    <row r="207" spans="1:10" x14ac:dyDescent="0.25">
      <c r="A207" s="2">
        <v>540137</v>
      </c>
      <c r="B207" s="2" t="s">
        <v>220</v>
      </c>
      <c r="C207" s="2" t="s">
        <v>69</v>
      </c>
      <c r="D207" s="2" t="s">
        <v>115</v>
      </c>
      <c r="E207" s="2">
        <v>6</v>
      </c>
      <c r="F207" s="2">
        <v>215</v>
      </c>
      <c r="G207" s="2">
        <v>0</v>
      </c>
      <c r="H207" s="2">
        <v>0</v>
      </c>
      <c r="I207" s="159" t="s">
        <v>488</v>
      </c>
      <c r="J207" s="159" t="s">
        <v>488</v>
      </c>
    </row>
    <row r="208" spans="1:10" x14ac:dyDescent="0.25">
      <c r="A208" s="2">
        <v>540161</v>
      </c>
      <c r="B208" s="2" t="s">
        <v>235</v>
      </c>
      <c r="C208" s="2" t="s">
        <v>69</v>
      </c>
      <c r="D208" s="2" t="s">
        <v>115</v>
      </c>
      <c r="E208" s="2">
        <v>6</v>
      </c>
      <c r="F208" s="2">
        <v>175</v>
      </c>
      <c r="G208" s="2">
        <v>31</v>
      </c>
      <c r="H208" s="2">
        <v>0</v>
      </c>
      <c r="I208" s="159">
        <v>0</v>
      </c>
      <c r="J208" s="159">
        <v>0</v>
      </c>
    </row>
    <row r="209" spans="1:10" x14ac:dyDescent="0.25">
      <c r="A209" s="2">
        <v>540162</v>
      </c>
      <c r="B209" s="2" t="s">
        <v>236</v>
      </c>
      <c r="C209" s="2" t="s">
        <v>69</v>
      </c>
      <c r="D209" s="2" t="s">
        <v>115</v>
      </c>
      <c r="E209" s="2">
        <v>6</v>
      </c>
      <c r="F209" s="2">
        <v>36</v>
      </c>
      <c r="G209" s="2">
        <v>14</v>
      </c>
      <c r="H209" s="2">
        <v>0</v>
      </c>
      <c r="I209" s="159">
        <v>0</v>
      </c>
      <c r="J209" s="159">
        <v>0</v>
      </c>
    </row>
    <row r="210" spans="1:10" x14ac:dyDescent="0.25">
      <c r="A210" s="2">
        <v>540163</v>
      </c>
      <c r="B210" s="2" t="s">
        <v>237</v>
      </c>
      <c r="C210" s="2" t="s">
        <v>69</v>
      </c>
      <c r="D210" s="2" t="s">
        <v>115</v>
      </c>
      <c r="E210" s="2">
        <v>6</v>
      </c>
      <c r="F210" s="2">
        <v>702</v>
      </c>
      <c r="G210" s="2">
        <v>153</v>
      </c>
      <c r="H210" s="2">
        <v>0</v>
      </c>
      <c r="I210" s="159">
        <v>0</v>
      </c>
      <c r="J210" s="159">
        <v>0</v>
      </c>
    </row>
    <row r="211" spans="1:10" x14ac:dyDescent="0.25">
      <c r="A211" s="2">
        <v>540254</v>
      </c>
      <c r="B211" s="2" t="s">
        <v>300</v>
      </c>
      <c r="C211" s="2" t="s">
        <v>69</v>
      </c>
      <c r="D211" s="2" t="s">
        <v>115</v>
      </c>
      <c r="E211" s="2">
        <v>6</v>
      </c>
      <c r="F211" s="2">
        <v>1555</v>
      </c>
      <c r="G211" s="2">
        <v>18</v>
      </c>
      <c r="H211" s="2">
        <v>0</v>
      </c>
      <c r="I211" s="159">
        <v>0</v>
      </c>
      <c r="J211" s="159">
        <v>0</v>
      </c>
    </row>
    <row r="212" spans="1:10" x14ac:dyDescent="0.25">
      <c r="A212" s="2">
        <v>540257</v>
      </c>
      <c r="B212" s="2" t="s">
        <v>302</v>
      </c>
      <c r="C212" s="2" t="s">
        <v>69</v>
      </c>
      <c r="D212" s="2" t="s">
        <v>115</v>
      </c>
      <c r="E212" s="2">
        <v>6</v>
      </c>
      <c r="F212" s="2">
        <v>759</v>
      </c>
      <c r="G212" s="2">
        <v>36</v>
      </c>
      <c r="H212" s="2">
        <v>0</v>
      </c>
      <c r="I212" s="159">
        <v>0</v>
      </c>
      <c r="J212" s="159">
        <v>0</v>
      </c>
    </row>
    <row r="213" spans="1:10" x14ac:dyDescent="0.25">
      <c r="A213" s="2">
        <v>540268</v>
      </c>
      <c r="B213" s="2" t="s">
        <v>311</v>
      </c>
      <c r="C213" s="2" t="s">
        <v>69</v>
      </c>
      <c r="D213" s="2" t="s">
        <v>115</v>
      </c>
      <c r="E213" s="2">
        <v>6</v>
      </c>
      <c r="F213" s="2">
        <v>503</v>
      </c>
      <c r="G213" s="2">
        <v>25</v>
      </c>
      <c r="H213" s="2">
        <v>0</v>
      </c>
      <c r="I213" s="159">
        <v>0</v>
      </c>
      <c r="J213" s="159">
        <v>0</v>
      </c>
    </row>
    <row r="214" spans="1:10" x14ac:dyDescent="0.25">
      <c r="A214" s="2">
        <v>540269</v>
      </c>
      <c r="B214" s="2" t="s">
        <v>312</v>
      </c>
      <c r="C214" s="2" t="s">
        <v>69</v>
      </c>
      <c r="D214" s="2" t="s">
        <v>115</v>
      </c>
      <c r="E214" s="2">
        <v>6</v>
      </c>
      <c r="F214" s="2">
        <v>416</v>
      </c>
      <c r="G214" s="2">
        <v>17</v>
      </c>
      <c r="H214" s="2">
        <v>0</v>
      </c>
      <c r="I214" s="159">
        <v>0</v>
      </c>
      <c r="J214" s="159">
        <v>0</v>
      </c>
    </row>
    <row r="215" spans="1:10" x14ac:dyDescent="0.25">
      <c r="A215" s="2">
        <v>540270</v>
      </c>
      <c r="B215" s="2" t="s">
        <v>313</v>
      </c>
      <c r="C215" s="2" t="s">
        <v>69</v>
      </c>
      <c r="D215" s="2" t="s">
        <v>115</v>
      </c>
      <c r="E215" s="2">
        <v>6</v>
      </c>
      <c r="F215" s="2">
        <v>178</v>
      </c>
      <c r="G215" s="2">
        <v>1</v>
      </c>
      <c r="H215" s="2">
        <v>0</v>
      </c>
      <c r="I215" s="159">
        <v>0</v>
      </c>
      <c r="J215" s="159">
        <v>0</v>
      </c>
    </row>
    <row r="216" spans="1:10" x14ac:dyDescent="0.25">
      <c r="A216" s="2">
        <v>540284</v>
      </c>
      <c r="B216" s="2" t="s">
        <v>323</v>
      </c>
      <c r="C216" s="2" t="s">
        <v>69</v>
      </c>
      <c r="D216" s="2" t="s">
        <v>115</v>
      </c>
      <c r="E216" s="2">
        <v>6</v>
      </c>
      <c r="F216" s="2">
        <v>247</v>
      </c>
      <c r="G216" s="2">
        <v>18</v>
      </c>
      <c r="H216" s="2">
        <v>0</v>
      </c>
      <c r="I216" s="159">
        <v>0</v>
      </c>
      <c r="J216" s="159">
        <v>0</v>
      </c>
    </row>
    <row r="217" spans="1:10" x14ac:dyDescent="0.25">
      <c r="A217" s="252"/>
      <c r="B217" s="252"/>
      <c r="C217" s="252" t="s">
        <v>69</v>
      </c>
      <c r="D217" s="252"/>
      <c r="E217" s="252"/>
      <c r="F217" s="252">
        <v>416668</v>
      </c>
      <c r="G217" s="252">
        <v>10162</v>
      </c>
      <c r="H217" s="252">
        <v>0</v>
      </c>
      <c r="I217" s="414">
        <v>0</v>
      </c>
      <c r="J217" s="414">
        <v>0</v>
      </c>
    </row>
    <row r="218" spans="1:10" x14ac:dyDescent="0.25">
      <c r="A218" s="2">
        <v>540164</v>
      </c>
      <c r="B218" s="2" t="s">
        <v>70</v>
      </c>
      <c r="C218" s="2" t="s">
        <v>71</v>
      </c>
      <c r="D218" s="2" t="s">
        <v>5</v>
      </c>
      <c r="E218" s="2">
        <v>3</v>
      </c>
      <c r="F218" s="2">
        <v>216488</v>
      </c>
      <c r="G218" s="2">
        <v>8920</v>
      </c>
      <c r="H218" s="2">
        <v>0</v>
      </c>
      <c r="I218" s="159">
        <v>0</v>
      </c>
      <c r="J218" s="159">
        <v>0</v>
      </c>
    </row>
    <row r="219" spans="1:10" x14ac:dyDescent="0.25">
      <c r="A219" s="2">
        <v>540081</v>
      </c>
      <c r="B219" s="2" t="s">
        <v>176</v>
      </c>
      <c r="C219" s="2" t="s">
        <v>71</v>
      </c>
      <c r="D219" s="2" t="s">
        <v>115</v>
      </c>
      <c r="E219" s="2">
        <v>3</v>
      </c>
      <c r="F219" s="2">
        <v>633</v>
      </c>
      <c r="G219" s="2">
        <v>27</v>
      </c>
      <c r="H219" s="2">
        <v>0</v>
      </c>
      <c r="I219" s="159">
        <v>0</v>
      </c>
      <c r="J219" s="159">
        <v>0</v>
      </c>
    </row>
    <row r="220" spans="1:10" x14ac:dyDescent="0.25">
      <c r="A220" s="2">
        <v>540165</v>
      </c>
      <c r="B220" s="2" t="s">
        <v>238</v>
      </c>
      <c r="C220" s="2" t="s">
        <v>71</v>
      </c>
      <c r="D220" s="2" t="s">
        <v>115</v>
      </c>
      <c r="E220" s="2">
        <v>3</v>
      </c>
      <c r="F220" s="2">
        <v>93</v>
      </c>
      <c r="G220" s="2">
        <v>30</v>
      </c>
      <c r="H220" s="2">
        <v>0</v>
      </c>
      <c r="I220" s="159">
        <v>0</v>
      </c>
      <c r="J220" s="159">
        <v>0</v>
      </c>
    </row>
    <row r="221" spans="1:10" x14ac:dyDescent="0.25">
      <c r="A221" s="2">
        <v>540166</v>
      </c>
      <c r="B221" s="2" t="s">
        <v>239</v>
      </c>
      <c r="C221" s="2" t="s">
        <v>71</v>
      </c>
      <c r="D221" s="2" t="s">
        <v>115</v>
      </c>
      <c r="E221" s="2">
        <v>3</v>
      </c>
      <c r="F221" s="2">
        <v>1054</v>
      </c>
      <c r="G221" s="2">
        <v>307</v>
      </c>
      <c r="H221" s="2">
        <v>0</v>
      </c>
      <c r="I221" s="159">
        <v>0</v>
      </c>
      <c r="J221" s="159">
        <v>0</v>
      </c>
    </row>
    <row r="222" spans="1:10" x14ac:dyDescent="0.25">
      <c r="A222" s="2">
        <v>540167</v>
      </c>
      <c r="B222" s="2" t="s">
        <v>240</v>
      </c>
      <c r="C222" s="2" t="s">
        <v>71</v>
      </c>
      <c r="D222" s="2" t="s">
        <v>115</v>
      </c>
      <c r="E222" s="2">
        <v>3</v>
      </c>
      <c r="F222" s="2">
        <v>2415</v>
      </c>
      <c r="G222" s="2">
        <v>46</v>
      </c>
      <c r="H222" s="2">
        <v>0</v>
      </c>
      <c r="I222" s="159">
        <v>0</v>
      </c>
      <c r="J222" s="159">
        <v>0</v>
      </c>
    </row>
    <row r="223" spans="1:10" x14ac:dyDescent="0.25">
      <c r="A223" s="2">
        <v>540168</v>
      </c>
      <c r="B223" s="2" t="s">
        <v>241</v>
      </c>
      <c r="C223" s="2" t="s">
        <v>71</v>
      </c>
      <c r="D223" s="2" t="s">
        <v>115</v>
      </c>
      <c r="E223" s="2">
        <v>3</v>
      </c>
      <c r="F223" s="2">
        <v>482</v>
      </c>
      <c r="G223" s="2">
        <v>86</v>
      </c>
      <c r="H223" s="2">
        <v>0</v>
      </c>
      <c r="I223" s="159">
        <v>0</v>
      </c>
      <c r="J223" s="159">
        <v>0</v>
      </c>
    </row>
    <row r="224" spans="1:10" x14ac:dyDescent="0.25">
      <c r="A224" s="2">
        <v>540222</v>
      </c>
      <c r="B224" s="2" t="s">
        <v>276</v>
      </c>
      <c r="C224" s="2" t="s">
        <v>71</v>
      </c>
      <c r="D224" s="2" t="s">
        <v>115</v>
      </c>
      <c r="E224" s="2">
        <v>3</v>
      </c>
      <c r="F224" s="2">
        <v>1361</v>
      </c>
      <c r="G224" s="2">
        <v>319</v>
      </c>
      <c r="H224" s="2">
        <v>0</v>
      </c>
      <c r="I224" s="159">
        <v>0</v>
      </c>
      <c r="J224" s="159">
        <v>0</v>
      </c>
    </row>
    <row r="225" spans="1:10" x14ac:dyDescent="0.25">
      <c r="A225" s="2">
        <v>540271</v>
      </c>
      <c r="B225" s="2" t="s">
        <v>314</v>
      </c>
      <c r="C225" s="2" t="s">
        <v>71</v>
      </c>
      <c r="D225" s="2" t="s">
        <v>115</v>
      </c>
      <c r="E225" s="2">
        <v>3</v>
      </c>
      <c r="F225" s="2">
        <v>1554</v>
      </c>
      <c r="G225" s="2">
        <v>88</v>
      </c>
      <c r="H225" s="2">
        <v>0</v>
      </c>
      <c r="I225" s="159">
        <v>0</v>
      </c>
      <c r="J225" s="159">
        <v>0</v>
      </c>
    </row>
    <row r="226" spans="1:10" x14ac:dyDescent="0.25">
      <c r="A226" s="252"/>
      <c r="B226" s="252"/>
      <c r="C226" s="252" t="s">
        <v>71</v>
      </c>
      <c r="D226" s="252"/>
      <c r="E226" s="252"/>
      <c r="F226" s="252">
        <v>224080</v>
      </c>
      <c r="G226" s="252">
        <v>9823</v>
      </c>
      <c r="H226" s="252">
        <v>0</v>
      </c>
      <c r="I226" s="414">
        <v>0</v>
      </c>
      <c r="J226" s="414">
        <v>0</v>
      </c>
    </row>
    <row r="227" spans="1:10" x14ac:dyDescent="0.25">
      <c r="A227" s="2">
        <v>540169</v>
      </c>
      <c r="B227" s="2" t="s">
        <v>72</v>
      </c>
      <c r="C227" s="2" t="s">
        <v>73</v>
      </c>
      <c r="D227" s="2" t="s">
        <v>5</v>
      </c>
      <c r="E227" s="2">
        <v>1</v>
      </c>
      <c r="F227" s="2">
        <v>381875</v>
      </c>
      <c r="G227" s="2">
        <v>8611</v>
      </c>
      <c r="H227" s="2">
        <v>3</v>
      </c>
      <c r="I227" s="159">
        <v>3.4839159215000002E-4</v>
      </c>
      <c r="J227" s="159">
        <v>1.7419579607499999E-2</v>
      </c>
    </row>
    <row r="228" spans="1:10" x14ac:dyDescent="0.25">
      <c r="A228" s="2">
        <v>540170</v>
      </c>
      <c r="B228" s="2" t="s">
        <v>242</v>
      </c>
      <c r="C228" s="2" t="s">
        <v>73</v>
      </c>
      <c r="D228" s="2" t="s">
        <v>115</v>
      </c>
      <c r="E228" s="2">
        <v>1</v>
      </c>
      <c r="F228" s="2">
        <v>6083</v>
      </c>
      <c r="G228" s="2">
        <v>76</v>
      </c>
      <c r="H228" s="2">
        <v>0</v>
      </c>
      <c r="I228" s="159">
        <v>0</v>
      </c>
      <c r="J228" s="159">
        <v>0</v>
      </c>
    </row>
    <row r="229" spans="1:10" x14ac:dyDescent="0.25">
      <c r="A229" s="2">
        <v>540171</v>
      </c>
      <c r="B229" s="2" t="s">
        <v>243</v>
      </c>
      <c r="C229" s="2" t="s">
        <v>73</v>
      </c>
      <c r="D229" s="2" t="s">
        <v>115</v>
      </c>
      <c r="E229" s="2">
        <v>1</v>
      </c>
      <c r="F229" s="2">
        <v>321</v>
      </c>
      <c r="G229" s="2">
        <v>45</v>
      </c>
      <c r="H229" s="2">
        <v>0</v>
      </c>
      <c r="I229" s="159">
        <v>0</v>
      </c>
      <c r="J229" s="159">
        <v>0</v>
      </c>
    </row>
    <row r="230" spans="1:10" x14ac:dyDescent="0.25">
      <c r="A230" s="2">
        <v>540173</v>
      </c>
      <c r="B230" s="2" t="s">
        <v>245</v>
      </c>
      <c r="C230" s="2" t="s">
        <v>73</v>
      </c>
      <c r="D230" s="2" t="s">
        <v>115</v>
      </c>
      <c r="E230" s="2">
        <v>1</v>
      </c>
      <c r="F230" s="2">
        <v>201</v>
      </c>
      <c r="G230" s="2">
        <v>60</v>
      </c>
      <c r="H230" s="2">
        <v>0</v>
      </c>
      <c r="I230" s="159">
        <v>0</v>
      </c>
      <c r="J230" s="159">
        <v>0</v>
      </c>
    </row>
    <row r="231" spans="1:10" x14ac:dyDescent="0.25">
      <c r="A231" s="2">
        <v>540174</v>
      </c>
      <c r="B231" s="2" t="s">
        <v>246</v>
      </c>
      <c r="C231" s="2" t="s">
        <v>73</v>
      </c>
      <c r="D231" s="2" t="s">
        <v>115</v>
      </c>
      <c r="E231" s="2">
        <v>1</v>
      </c>
      <c r="F231" s="2">
        <v>447</v>
      </c>
      <c r="G231" s="2">
        <v>10</v>
      </c>
      <c r="H231" s="2">
        <v>0</v>
      </c>
      <c r="I231" s="159">
        <v>0</v>
      </c>
      <c r="J231" s="159">
        <v>0</v>
      </c>
    </row>
    <row r="232" spans="1:10" x14ac:dyDescent="0.25">
      <c r="A232" s="2">
        <v>540286</v>
      </c>
      <c r="B232" s="2" t="s">
        <v>325</v>
      </c>
      <c r="C232" s="2" t="s">
        <v>73</v>
      </c>
      <c r="D232" s="2" t="s">
        <v>115</v>
      </c>
      <c r="E232" s="2">
        <v>1</v>
      </c>
      <c r="F232" s="2">
        <v>553</v>
      </c>
      <c r="G232" s="2">
        <v>49</v>
      </c>
      <c r="H232" s="2">
        <v>0</v>
      </c>
      <c r="I232" s="159">
        <v>0</v>
      </c>
      <c r="J232" s="159">
        <v>0</v>
      </c>
    </row>
    <row r="233" spans="1:10" x14ac:dyDescent="0.25">
      <c r="A233" s="252"/>
      <c r="B233" s="252"/>
      <c r="C233" s="252" t="s">
        <v>73</v>
      </c>
      <c r="D233" s="252"/>
      <c r="E233" s="252"/>
      <c r="F233" s="252">
        <v>389480</v>
      </c>
      <c r="G233" s="252">
        <v>8851</v>
      </c>
      <c r="H233" s="252">
        <v>3</v>
      </c>
      <c r="I233" s="414">
        <v>3.3894475200499998E-4</v>
      </c>
      <c r="J233" s="414">
        <v>1.6947237600300001E-2</v>
      </c>
    </row>
    <row r="234" spans="1:10" x14ac:dyDescent="0.25">
      <c r="A234" s="2">
        <v>540183</v>
      </c>
      <c r="B234" s="2" t="s">
        <v>76</v>
      </c>
      <c r="C234" s="2" t="s">
        <v>77</v>
      </c>
      <c r="D234" s="2" t="s">
        <v>5</v>
      </c>
      <c r="E234" s="2">
        <v>5</v>
      </c>
      <c r="F234" s="2">
        <v>308455</v>
      </c>
      <c r="G234" s="2">
        <v>6894</v>
      </c>
      <c r="H234" s="2">
        <v>0</v>
      </c>
      <c r="I234" s="159">
        <v>0</v>
      </c>
      <c r="J234" s="159">
        <v>0</v>
      </c>
    </row>
    <row r="235" spans="1:10" x14ac:dyDescent="0.25">
      <c r="A235" s="2">
        <v>540184</v>
      </c>
      <c r="B235" s="2" t="s">
        <v>253</v>
      </c>
      <c r="C235" s="2" t="s">
        <v>77</v>
      </c>
      <c r="D235" s="2" t="s">
        <v>115</v>
      </c>
      <c r="E235" s="2">
        <v>5</v>
      </c>
      <c r="F235" s="2">
        <v>125</v>
      </c>
      <c r="G235" s="2">
        <v>60</v>
      </c>
      <c r="H235" s="2">
        <v>0</v>
      </c>
      <c r="I235" s="159">
        <v>0</v>
      </c>
      <c r="J235" s="159">
        <v>0</v>
      </c>
    </row>
    <row r="236" spans="1:10" x14ac:dyDescent="0.25">
      <c r="A236" s="2">
        <v>540185</v>
      </c>
      <c r="B236" s="2" t="s">
        <v>254</v>
      </c>
      <c r="C236" s="2" t="s">
        <v>77</v>
      </c>
      <c r="D236" s="2" t="s">
        <v>115</v>
      </c>
      <c r="E236" s="2">
        <v>5</v>
      </c>
      <c r="F236" s="2">
        <v>816</v>
      </c>
      <c r="G236" s="2">
        <v>85</v>
      </c>
      <c r="H236" s="2">
        <v>0</v>
      </c>
      <c r="I236" s="159">
        <v>0</v>
      </c>
      <c r="J236" s="159">
        <v>0</v>
      </c>
    </row>
    <row r="237" spans="1:10" x14ac:dyDescent="0.25">
      <c r="A237" s="252"/>
      <c r="B237" s="252"/>
      <c r="C237" s="252" t="s">
        <v>77</v>
      </c>
      <c r="D237" s="252"/>
      <c r="E237" s="252"/>
      <c r="F237" s="252">
        <v>309396</v>
      </c>
      <c r="G237" s="252">
        <v>7039</v>
      </c>
      <c r="H237" s="252">
        <v>0</v>
      </c>
      <c r="I237" s="414">
        <v>0</v>
      </c>
      <c r="J237" s="414">
        <v>0</v>
      </c>
    </row>
    <row r="238" spans="1:10" x14ac:dyDescent="0.25">
      <c r="A238" s="2">
        <v>540186</v>
      </c>
      <c r="B238" s="2" t="s">
        <v>78</v>
      </c>
      <c r="C238" s="2" t="s">
        <v>79</v>
      </c>
      <c r="D238" s="2" t="s">
        <v>5</v>
      </c>
      <c r="E238" s="2">
        <v>1</v>
      </c>
      <c r="F238" s="2">
        <v>233224</v>
      </c>
      <c r="G238" s="2">
        <v>2078</v>
      </c>
      <c r="H238" s="2">
        <v>1</v>
      </c>
      <c r="I238" s="159">
        <v>4.8123195380199999E-4</v>
      </c>
      <c r="J238" s="159">
        <v>2.4061597690099999E-2</v>
      </c>
    </row>
    <row r="239" spans="1:10" x14ac:dyDescent="0.25">
      <c r="A239" s="2">
        <v>540187</v>
      </c>
      <c r="B239" s="2" t="s">
        <v>255</v>
      </c>
      <c r="C239" s="2" t="s">
        <v>79</v>
      </c>
      <c r="D239" s="2" t="s">
        <v>115</v>
      </c>
      <c r="E239" s="2">
        <v>1</v>
      </c>
      <c r="F239" s="2">
        <v>1914</v>
      </c>
      <c r="G239" s="2">
        <v>47</v>
      </c>
      <c r="H239" s="2">
        <v>0</v>
      </c>
      <c r="I239" s="159">
        <v>0</v>
      </c>
      <c r="J239" s="159">
        <v>0</v>
      </c>
    </row>
    <row r="240" spans="1:10" x14ac:dyDescent="0.25">
      <c r="A240" s="252"/>
      <c r="B240" s="252"/>
      <c r="C240" s="252" t="s">
        <v>79</v>
      </c>
      <c r="D240" s="252"/>
      <c r="E240" s="252"/>
      <c r="F240" s="252">
        <v>235138</v>
      </c>
      <c r="G240" s="252">
        <v>2125</v>
      </c>
      <c r="H240" s="252">
        <v>1</v>
      </c>
      <c r="I240" s="414">
        <v>4.7058823529400002E-4</v>
      </c>
      <c r="J240" s="414">
        <v>2.3529411764700001E-2</v>
      </c>
    </row>
    <row r="241" spans="1:10" x14ac:dyDescent="0.25">
      <c r="A241" s="2">
        <v>540188</v>
      </c>
      <c r="B241" s="2" t="s">
        <v>80</v>
      </c>
      <c r="C241" s="2" t="s">
        <v>81</v>
      </c>
      <c r="D241" s="2" t="s">
        <v>5</v>
      </c>
      <c r="E241" s="2">
        <v>6</v>
      </c>
      <c r="F241" s="2">
        <v>109727</v>
      </c>
      <c r="G241" s="2">
        <v>3083</v>
      </c>
      <c r="H241" s="2">
        <v>2</v>
      </c>
      <c r="I241" s="159">
        <v>6.4871878040899996E-4</v>
      </c>
      <c r="J241" s="159">
        <v>3.2435939020399998E-2</v>
      </c>
    </row>
    <row r="242" spans="1:10" x14ac:dyDescent="0.25">
      <c r="A242" s="2">
        <v>540189</v>
      </c>
      <c r="B242" s="2" t="s">
        <v>256</v>
      </c>
      <c r="C242" s="2" t="s">
        <v>81</v>
      </c>
      <c r="D242" s="2" t="s">
        <v>115</v>
      </c>
      <c r="E242" s="2">
        <v>6</v>
      </c>
      <c r="F242" s="2">
        <v>196</v>
      </c>
      <c r="G242" s="2">
        <v>21</v>
      </c>
      <c r="H242" s="2">
        <v>0</v>
      </c>
      <c r="I242" s="159">
        <v>0</v>
      </c>
      <c r="J242" s="159">
        <v>0</v>
      </c>
    </row>
    <row r="243" spans="1:10" x14ac:dyDescent="0.25">
      <c r="A243" s="2">
        <v>540190</v>
      </c>
      <c r="B243" s="2" t="s">
        <v>257</v>
      </c>
      <c r="C243" s="2" t="s">
        <v>81</v>
      </c>
      <c r="D243" s="2" t="s">
        <v>115</v>
      </c>
      <c r="E243" s="2">
        <v>6</v>
      </c>
      <c r="F243" s="2">
        <v>2433</v>
      </c>
      <c r="G243" s="2">
        <v>224</v>
      </c>
      <c r="H243" s="2">
        <v>0</v>
      </c>
      <c r="I243" s="159">
        <v>0</v>
      </c>
      <c r="J243" s="159">
        <v>0</v>
      </c>
    </row>
    <row r="244" spans="1:10" x14ac:dyDescent="0.25">
      <c r="A244" s="252"/>
      <c r="B244" s="252"/>
      <c r="C244" s="252" t="s">
        <v>81</v>
      </c>
      <c r="D244" s="252"/>
      <c r="E244" s="252"/>
      <c r="F244" s="252">
        <v>112356</v>
      </c>
      <c r="G244" s="252">
        <v>3328</v>
      </c>
      <c r="H244" s="252">
        <v>2</v>
      </c>
      <c r="I244" s="414">
        <v>6.0096153846200004E-4</v>
      </c>
      <c r="J244" s="414">
        <v>3.0048076923099999E-2</v>
      </c>
    </row>
    <row r="245" spans="1:10" x14ac:dyDescent="0.25">
      <c r="A245" s="2">
        <v>540198</v>
      </c>
      <c r="B245" s="2" t="s">
        <v>82</v>
      </c>
      <c r="C245" s="2" t="s">
        <v>83</v>
      </c>
      <c r="D245" s="2" t="s">
        <v>5</v>
      </c>
      <c r="E245" s="2">
        <v>7</v>
      </c>
      <c r="F245" s="2">
        <v>225085</v>
      </c>
      <c r="G245" s="2">
        <v>6165</v>
      </c>
      <c r="H245" s="2">
        <v>7</v>
      </c>
      <c r="I245" s="159">
        <v>1.1354420113499999E-3</v>
      </c>
      <c r="J245" s="159">
        <v>5.6772100567699997E-2</v>
      </c>
    </row>
    <row r="246" spans="1:10" x14ac:dyDescent="0.25">
      <c r="A246" s="2">
        <v>540199</v>
      </c>
      <c r="B246" s="2" t="s">
        <v>261</v>
      </c>
      <c r="C246" s="2" t="s">
        <v>83</v>
      </c>
      <c r="D246" s="2" t="s">
        <v>115</v>
      </c>
      <c r="E246" s="2">
        <v>7</v>
      </c>
      <c r="F246" s="2">
        <v>1822</v>
      </c>
      <c r="G246" s="2">
        <v>539</v>
      </c>
      <c r="H246" s="2">
        <v>3</v>
      </c>
      <c r="I246" s="159">
        <v>5.5658627087199998E-3</v>
      </c>
      <c r="J246" s="159">
        <v>0.27829313543599998</v>
      </c>
    </row>
    <row r="247" spans="1:10" x14ac:dyDescent="0.25">
      <c r="A247" s="252"/>
      <c r="B247" s="252"/>
      <c r="C247" s="252" t="s">
        <v>83</v>
      </c>
      <c r="D247" s="252"/>
      <c r="E247" s="252"/>
      <c r="F247" s="252">
        <v>226907</v>
      </c>
      <c r="G247" s="252">
        <v>6704</v>
      </c>
      <c r="H247" s="252">
        <v>10</v>
      </c>
      <c r="I247" s="414">
        <v>1.4916467780399999E-3</v>
      </c>
      <c r="J247" s="414">
        <v>7.4582338902100004E-2</v>
      </c>
    </row>
    <row r="248" spans="1:10" x14ac:dyDescent="0.25">
      <c r="A248" s="2">
        <v>540200</v>
      </c>
      <c r="B248" s="2" t="s">
        <v>84</v>
      </c>
      <c r="C248" s="2" t="s">
        <v>85</v>
      </c>
      <c r="D248" s="2" t="s">
        <v>5</v>
      </c>
      <c r="E248" s="2">
        <v>2</v>
      </c>
      <c r="F248" s="2">
        <v>323384</v>
      </c>
      <c r="G248" s="2">
        <v>9381</v>
      </c>
      <c r="H248" s="2">
        <v>0</v>
      </c>
      <c r="I248" s="159">
        <v>0</v>
      </c>
      <c r="J248" s="159">
        <v>0</v>
      </c>
    </row>
    <row r="249" spans="1:10" x14ac:dyDescent="0.25">
      <c r="A249" s="2">
        <v>540018</v>
      </c>
      <c r="B249" s="2" t="s">
        <v>127</v>
      </c>
      <c r="C249" s="2" t="s">
        <v>85</v>
      </c>
      <c r="D249" s="2" t="s">
        <v>115</v>
      </c>
      <c r="E249" s="2">
        <v>2</v>
      </c>
      <c r="F249" s="2">
        <v>859</v>
      </c>
      <c r="G249" s="2">
        <v>75</v>
      </c>
      <c r="H249" s="2">
        <v>0</v>
      </c>
      <c r="I249" s="159">
        <v>0</v>
      </c>
      <c r="J249" s="159">
        <v>0</v>
      </c>
    </row>
    <row r="250" spans="1:10" x14ac:dyDescent="0.25">
      <c r="A250" s="2">
        <v>540202</v>
      </c>
      <c r="B250" s="2" t="s">
        <v>262</v>
      </c>
      <c r="C250" s="2" t="s">
        <v>85</v>
      </c>
      <c r="D250" s="2" t="s">
        <v>115</v>
      </c>
      <c r="E250" s="2">
        <v>2</v>
      </c>
      <c r="F250" s="2">
        <v>567</v>
      </c>
      <c r="G250" s="2">
        <v>91</v>
      </c>
      <c r="H250" s="2">
        <v>0</v>
      </c>
      <c r="I250" s="159">
        <v>0</v>
      </c>
      <c r="J250" s="159">
        <v>0</v>
      </c>
    </row>
    <row r="251" spans="1:10" x14ac:dyDescent="0.25">
      <c r="A251" s="2">
        <v>540221</v>
      </c>
      <c r="B251" s="2" t="s">
        <v>275</v>
      </c>
      <c r="C251" s="2" t="s">
        <v>85</v>
      </c>
      <c r="D251" s="2" t="s">
        <v>115</v>
      </c>
      <c r="E251" s="2">
        <v>2</v>
      </c>
      <c r="F251" s="2">
        <v>1056</v>
      </c>
      <c r="G251" s="2">
        <v>81</v>
      </c>
      <c r="H251" s="2">
        <v>0</v>
      </c>
      <c r="I251" s="159">
        <v>0</v>
      </c>
      <c r="J251" s="159">
        <v>0</v>
      </c>
    </row>
    <row r="252" spans="1:10" x14ac:dyDescent="0.25">
      <c r="A252" s="2">
        <v>540231</v>
      </c>
      <c r="B252" s="2" t="s">
        <v>281</v>
      </c>
      <c r="C252" s="2" t="s">
        <v>85</v>
      </c>
      <c r="D252" s="2" t="s">
        <v>115</v>
      </c>
      <c r="E252" s="2">
        <v>2</v>
      </c>
      <c r="F252" s="2">
        <v>533</v>
      </c>
      <c r="G252" s="2">
        <v>83</v>
      </c>
      <c r="H252" s="2">
        <v>0</v>
      </c>
      <c r="I252" s="159">
        <v>0</v>
      </c>
      <c r="J252" s="159">
        <v>0</v>
      </c>
    </row>
    <row r="253" spans="1:10" x14ac:dyDescent="0.25">
      <c r="A253" s="2">
        <v>540232</v>
      </c>
      <c r="B253" s="2" t="s">
        <v>282</v>
      </c>
      <c r="C253" s="2" t="s">
        <v>85</v>
      </c>
      <c r="D253" s="2" t="s">
        <v>115</v>
      </c>
      <c r="E253" s="2">
        <v>2</v>
      </c>
      <c r="F253" s="2">
        <v>1388</v>
      </c>
      <c r="G253" s="2">
        <v>175</v>
      </c>
      <c r="H253" s="2">
        <v>0</v>
      </c>
      <c r="I253" s="159">
        <v>0</v>
      </c>
      <c r="J253" s="159">
        <v>0</v>
      </c>
    </row>
    <row r="254" spans="1:10" x14ac:dyDescent="0.25">
      <c r="A254" s="252"/>
      <c r="B254" s="252"/>
      <c r="C254" s="252" t="s">
        <v>85</v>
      </c>
      <c r="D254" s="252"/>
      <c r="E254" s="252"/>
      <c r="F254" s="252">
        <v>327787</v>
      </c>
      <c r="G254" s="252">
        <v>9886</v>
      </c>
      <c r="H254" s="252">
        <v>0</v>
      </c>
      <c r="I254" s="414">
        <v>0</v>
      </c>
      <c r="J254" s="414">
        <v>0</v>
      </c>
    </row>
    <row r="255" spans="1:10" x14ac:dyDescent="0.25">
      <c r="A255" s="2">
        <v>540203</v>
      </c>
      <c r="B255" s="2" t="s">
        <v>86</v>
      </c>
      <c r="C255" s="2" t="s">
        <v>87</v>
      </c>
      <c r="D255" s="2" t="s">
        <v>5</v>
      </c>
      <c r="E255" s="2">
        <v>4</v>
      </c>
      <c r="F255" s="2">
        <v>354803</v>
      </c>
      <c r="G255" s="2">
        <v>6814</v>
      </c>
      <c r="H255" s="2">
        <v>0</v>
      </c>
      <c r="I255" s="159">
        <v>0</v>
      </c>
      <c r="J255" s="159">
        <v>0</v>
      </c>
    </row>
    <row r="256" spans="1:10" x14ac:dyDescent="0.25">
      <c r="A256" s="2">
        <v>540204</v>
      </c>
      <c r="B256" s="2" t="s">
        <v>263</v>
      </c>
      <c r="C256" s="2" t="s">
        <v>87</v>
      </c>
      <c r="D256" s="2" t="s">
        <v>115</v>
      </c>
      <c r="E256" s="2">
        <v>4</v>
      </c>
      <c r="F256" s="2">
        <v>303</v>
      </c>
      <c r="G256" s="2">
        <v>43</v>
      </c>
      <c r="H256" s="2">
        <v>0</v>
      </c>
      <c r="I256" s="159">
        <v>0</v>
      </c>
      <c r="J256" s="159">
        <v>0</v>
      </c>
    </row>
    <row r="257" spans="1:10" x14ac:dyDescent="0.25">
      <c r="A257" s="2">
        <v>540205</v>
      </c>
      <c r="B257" s="2" t="s">
        <v>264</v>
      </c>
      <c r="C257" s="2" t="s">
        <v>87</v>
      </c>
      <c r="D257" s="2" t="s">
        <v>115</v>
      </c>
      <c r="E257" s="2">
        <v>4</v>
      </c>
      <c r="F257" s="2">
        <v>214</v>
      </c>
      <c r="G257" s="2">
        <v>18</v>
      </c>
      <c r="H257" s="2">
        <v>0</v>
      </c>
      <c r="I257" s="159">
        <v>0</v>
      </c>
      <c r="J257" s="159">
        <v>0</v>
      </c>
    </row>
    <row r="258" spans="1:10" x14ac:dyDescent="0.25">
      <c r="A258" s="2">
        <v>540206</v>
      </c>
      <c r="B258" s="2" t="s">
        <v>265</v>
      </c>
      <c r="C258" s="2" t="s">
        <v>87</v>
      </c>
      <c r="D258" s="2" t="s">
        <v>115</v>
      </c>
      <c r="E258" s="2">
        <v>4</v>
      </c>
      <c r="F258" s="2">
        <v>403</v>
      </c>
      <c r="G258" s="2">
        <v>56</v>
      </c>
      <c r="H258" s="2">
        <v>0</v>
      </c>
      <c r="I258" s="159">
        <v>0</v>
      </c>
      <c r="J258" s="159">
        <v>0</v>
      </c>
    </row>
    <row r="259" spans="1:10" x14ac:dyDescent="0.25">
      <c r="A259" s="252"/>
      <c r="B259" s="252"/>
      <c r="C259" s="252" t="s">
        <v>87</v>
      </c>
      <c r="D259" s="252"/>
      <c r="E259" s="252"/>
      <c r="F259" s="252">
        <v>355723</v>
      </c>
      <c r="G259" s="252">
        <v>6931</v>
      </c>
      <c r="H259" s="252">
        <v>0</v>
      </c>
      <c r="I259" s="414">
        <v>0</v>
      </c>
      <c r="J259" s="414">
        <v>0</v>
      </c>
    </row>
    <row r="260" spans="1:10" x14ac:dyDescent="0.25">
      <c r="A260" s="2">
        <v>540207</v>
      </c>
      <c r="B260" s="2" t="s">
        <v>88</v>
      </c>
      <c r="C260" s="2" t="s">
        <v>89</v>
      </c>
      <c r="D260" s="2" t="s">
        <v>5</v>
      </c>
      <c r="E260" s="2">
        <v>10</v>
      </c>
      <c r="F260" s="2">
        <v>228227</v>
      </c>
      <c r="G260" s="2">
        <v>6297</v>
      </c>
      <c r="H260" s="2">
        <v>0</v>
      </c>
      <c r="I260" s="159">
        <v>0</v>
      </c>
      <c r="J260" s="159">
        <v>0</v>
      </c>
    </row>
    <row r="261" spans="1:10" x14ac:dyDescent="0.25">
      <c r="A261" s="2">
        <v>540196</v>
      </c>
      <c r="B261" s="2" t="s">
        <v>259</v>
      </c>
      <c r="C261" s="2" t="s">
        <v>89</v>
      </c>
      <c r="D261" s="2" t="s">
        <v>115</v>
      </c>
      <c r="E261" s="2">
        <v>5</v>
      </c>
      <c r="F261" s="2">
        <v>332</v>
      </c>
      <c r="G261" s="2">
        <v>35</v>
      </c>
      <c r="H261" s="2">
        <v>0</v>
      </c>
      <c r="I261" s="159">
        <v>0</v>
      </c>
      <c r="J261" s="159">
        <v>0</v>
      </c>
    </row>
    <row r="262" spans="1:10" x14ac:dyDescent="0.25">
      <c r="A262" s="2">
        <v>540208</v>
      </c>
      <c r="B262" s="2" t="s">
        <v>266</v>
      </c>
      <c r="C262" s="2" t="s">
        <v>89</v>
      </c>
      <c r="D262" s="2" t="s">
        <v>115</v>
      </c>
      <c r="E262" s="2">
        <v>10</v>
      </c>
      <c r="F262" s="2">
        <v>1735</v>
      </c>
      <c r="G262" s="2">
        <v>519</v>
      </c>
      <c r="H262" s="2">
        <v>2</v>
      </c>
      <c r="I262" s="159">
        <v>3.8535645472099998E-3</v>
      </c>
      <c r="J262" s="159">
        <v>0.19267822736000001</v>
      </c>
    </row>
    <row r="263" spans="1:10" x14ac:dyDescent="0.25">
      <c r="A263" s="2">
        <v>540210</v>
      </c>
      <c r="B263" s="2" t="s">
        <v>267</v>
      </c>
      <c r="C263" s="2" t="s">
        <v>89</v>
      </c>
      <c r="D263" s="2" t="s">
        <v>115</v>
      </c>
      <c r="E263" s="2">
        <v>10</v>
      </c>
      <c r="F263" s="2">
        <v>243</v>
      </c>
      <c r="G263" s="2">
        <v>103</v>
      </c>
      <c r="H263" s="2">
        <v>1</v>
      </c>
      <c r="I263" s="159">
        <v>9.7087378640800005E-3</v>
      </c>
      <c r="J263" s="159">
        <v>0.48543689320400002</v>
      </c>
    </row>
    <row r="264" spans="1:10" x14ac:dyDescent="0.25">
      <c r="A264" s="2">
        <v>540256</v>
      </c>
      <c r="B264" s="2" t="s">
        <v>301</v>
      </c>
      <c r="C264" s="2" t="s">
        <v>89</v>
      </c>
      <c r="D264" s="2" t="s">
        <v>115</v>
      </c>
      <c r="E264" s="2">
        <v>10</v>
      </c>
      <c r="F264" s="2">
        <v>322</v>
      </c>
      <c r="G264" s="2">
        <v>53</v>
      </c>
      <c r="H264" s="2">
        <v>0</v>
      </c>
      <c r="I264" s="159">
        <v>0</v>
      </c>
      <c r="J264" s="159">
        <v>0</v>
      </c>
    </row>
    <row r="265" spans="1:10" x14ac:dyDescent="0.25">
      <c r="A265" s="2">
        <v>540258</v>
      </c>
      <c r="B265" s="2" t="s">
        <v>303</v>
      </c>
      <c r="C265" s="2" t="s">
        <v>89</v>
      </c>
      <c r="D265" s="2" t="s">
        <v>115</v>
      </c>
      <c r="E265" s="2">
        <v>10</v>
      </c>
      <c r="F265" s="2">
        <v>191</v>
      </c>
      <c r="G265" s="2">
        <v>36</v>
      </c>
      <c r="H265" s="2">
        <v>0</v>
      </c>
      <c r="I265" s="159">
        <v>0</v>
      </c>
      <c r="J265" s="159">
        <v>0</v>
      </c>
    </row>
    <row r="266" spans="1:10" x14ac:dyDescent="0.25">
      <c r="A266" s="252"/>
      <c r="B266" s="252"/>
      <c r="C266" s="252" t="s">
        <v>89</v>
      </c>
      <c r="D266" s="252"/>
      <c r="E266" s="252"/>
      <c r="F266" s="252">
        <v>231050</v>
      </c>
      <c r="G266" s="252">
        <v>7043</v>
      </c>
      <c r="H266" s="252">
        <v>3</v>
      </c>
      <c r="I266" s="414">
        <v>4.2595484878600002E-4</v>
      </c>
      <c r="J266" s="414">
        <v>2.1297742439300001E-2</v>
      </c>
    </row>
    <row r="267" spans="1:10" x14ac:dyDescent="0.25">
      <c r="A267" s="2">
        <v>540211</v>
      </c>
      <c r="B267" s="2" t="s">
        <v>90</v>
      </c>
      <c r="C267" s="2" t="s">
        <v>91</v>
      </c>
      <c r="D267" s="2" t="s">
        <v>5</v>
      </c>
      <c r="E267" s="2">
        <v>5</v>
      </c>
      <c r="F267" s="2">
        <v>149950</v>
      </c>
      <c r="G267" s="2">
        <v>8144</v>
      </c>
      <c r="H267" s="2">
        <v>0</v>
      </c>
      <c r="I267" s="159">
        <v>0</v>
      </c>
      <c r="J267" s="159">
        <v>0</v>
      </c>
    </row>
    <row r="268" spans="1:10" x14ac:dyDescent="0.25">
      <c r="A268" s="2">
        <v>540212</v>
      </c>
      <c r="B268" s="2" t="s">
        <v>268</v>
      </c>
      <c r="C268" s="2" t="s">
        <v>91</v>
      </c>
      <c r="D268" s="2" t="s">
        <v>115</v>
      </c>
      <c r="E268" s="2">
        <v>5</v>
      </c>
      <c r="F268" s="2">
        <v>343</v>
      </c>
      <c r="G268" s="2">
        <v>147</v>
      </c>
      <c r="H268" s="2">
        <v>0</v>
      </c>
      <c r="I268" s="159">
        <v>0</v>
      </c>
      <c r="J268" s="159">
        <v>0</v>
      </c>
    </row>
    <row r="269" spans="1:10" x14ac:dyDescent="0.25">
      <c r="A269" s="252"/>
      <c r="B269" s="252"/>
      <c r="C269" s="252" t="s">
        <v>91</v>
      </c>
      <c r="D269" s="252"/>
      <c r="E269" s="252"/>
      <c r="F269" s="252">
        <v>150293</v>
      </c>
      <c r="G269" s="252">
        <v>8291</v>
      </c>
      <c r="H269" s="252">
        <v>0</v>
      </c>
      <c r="I269" s="414">
        <v>0</v>
      </c>
      <c r="J269" s="414">
        <v>0</v>
      </c>
    </row>
    <row r="270" spans="1:10" x14ac:dyDescent="0.25">
      <c r="A270" s="2">
        <v>540213</v>
      </c>
      <c r="B270" s="2" t="s">
        <v>92</v>
      </c>
      <c r="C270" s="2" t="s">
        <v>93</v>
      </c>
      <c r="D270" s="2" t="s">
        <v>5</v>
      </c>
      <c r="E270" s="2">
        <v>5</v>
      </c>
      <c r="F270" s="2">
        <v>229238</v>
      </c>
      <c r="G270" s="2">
        <v>14388</v>
      </c>
      <c r="H270" s="2">
        <v>4</v>
      </c>
      <c r="I270" s="159">
        <v>2.7800945232100001E-4</v>
      </c>
      <c r="J270" s="159">
        <v>1.39004726161E-2</v>
      </c>
    </row>
    <row r="271" spans="1:10" x14ac:dyDescent="0.25">
      <c r="A271" s="2">
        <v>540042</v>
      </c>
      <c r="B271" s="2" t="s">
        <v>143</v>
      </c>
      <c r="C271" s="2" t="s">
        <v>93</v>
      </c>
      <c r="D271" s="2" t="s">
        <v>115</v>
      </c>
      <c r="E271" s="2">
        <v>5</v>
      </c>
      <c r="F271" s="2">
        <v>353</v>
      </c>
      <c r="G271" s="2">
        <v>15</v>
      </c>
      <c r="H271" s="2">
        <v>0</v>
      </c>
      <c r="I271" s="159">
        <v>0</v>
      </c>
      <c r="J271" s="159">
        <v>0</v>
      </c>
    </row>
    <row r="272" spans="1:10" x14ac:dyDescent="0.25">
      <c r="A272" s="2">
        <v>540214</v>
      </c>
      <c r="B272" s="2" t="s">
        <v>269</v>
      </c>
      <c r="C272" s="2" t="s">
        <v>93</v>
      </c>
      <c r="D272" s="2" t="s">
        <v>115</v>
      </c>
      <c r="E272" s="2">
        <v>5</v>
      </c>
      <c r="F272" s="2">
        <v>7879</v>
      </c>
      <c r="G272" s="2">
        <v>939</v>
      </c>
      <c r="H272" s="2">
        <v>0</v>
      </c>
      <c r="I272" s="159">
        <v>0</v>
      </c>
      <c r="J272" s="159">
        <v>0</v>
      </c>
    </row>
    <row r="273" spans="1:10" x14ac:dyDescent="0.25">
      <c r="A273" s="2">
        <v>540215</v>
      </c>
      <c r="B273" s="2" t="s">
        <v>270</v>
      </c>
      <c r="C273" s="2" t="s">
        <v>93</v>
      </c>
      <c r="D273" s="2" t="s">
        <v>115</v>
      </c>
      <c r="E273" s="2">
        <v>5</v>
      </c>
      <c r="F273" s="2">
        <v>2525</v>
      </c>
      <c r="G273" s="2">
        <v>224</v>
      </c>
      <c r="H273" s="2">
        <v>0</v>
      </c>
      <c r="I273" s="159">
        <v>0</v>
      </c>
      <c r="J273" s="159">
        <v>0</v>
      </c>
    </row>
    <row r="274" spans="1:10" x14ac:dyDescent="0.25">
      <c r="A274" s="2">
        <v>540216</v>
      </c>
      <c r="B274" s="2" t="s">
        <v>271</v>
      </c>
      <c r="C274" s="2" t="s">
        <v>93</v>
      </c>
      <c r="D274" s="2" t="s">
        <v>115</v>
      </c>
      <c r="E274" s="2">
        <v>5</v>
      </c>
      <c r="F274" s="2">
        <v>1055</v>
      </c>
      <c r="G274" s="2">
        <v>146</v>
      </c>
      <c r="H274" s="2">
        <v>0</v>
      </c>
      <c r="I274" s="159">
        <v>0</v>
      </c>
      <c r="J274" s="159">
        <v>0</v>
      </c>
    </row>
    <row r="275" spans="1:10" x14ac:dyDescent="0.25">
      <c r="A275" s="252"/>
      <c r="B275" s="252"/>
      <c r="C275" s="252" t="s">
        <v>93</v>
      </c>
      <c r="D275" s="252"/>
      <c r="E275" s="252"/>
      <c r="F275" s="252">
        <v>241050</v>
      </c>
      <c r="G275" s="252">
        <v>15712</v>
      </c>
      <c r="H275" s="252">
        <v>4</v>
      </c>
      <c r="I275" s="414">
        <v>2.5458248472499999E-4</v>
      </c>
      <c r="J275" s="414">
        <v>1.27291242363E-2</v>
      </c>
    </row>
    <row r="276" spans="1:10" x14ac:dyDescent="0.25">
      <c r="A276" s="2">
        <v>540224</v>
      </c>
      <c r="B276" s="2" t="s">
        <v>96</v>
      </c>
      <c r="C276" s="2" t="s">
        <v>97</v>
      </c>
      <c r="D276" s="2" t="s">
        <v>5</v>
      </c>
      <c r="E276" s="2">
        <v>5</v>
      </c>
      <c r="F276" s="2">
        <v>286084</v>
      </c>
      <c r="G276" s="2">
        <v>7943</v>
      </c>
      <c r="H276" s="2">
        <v>0</v>
      </c>
      <c r="I276" s="159">
        <v>0</v>
      </c>
      <c r="J276" s="159">
        <v>0</v>
      </c>
    </row>
    <row r="277" spans="1:10" x14ac:dyDescent="0.25">
      <c r="A277" s="2">
        <v>540132</v>
      </c>
      <c r="B277" s="2" t="s">
        <v>216</v>
      </c>
      <c r="C277" s="2" t="s">
        <v>97</v>
      </c>
      <c r="D277" s="2" t="s">
        <v>115</v>
      </c>
      <c r="E277" s="2">
        <v>5</v>
      </c>
      <c r="F277" s="2">
        <v>1020</v>
      </c>
      <c r="G277" s="2">
        <v>21</v>
      </c>
      <c r="H277" s="2">
        <v>0</v>
      </c>
      <c r="I277" s="159">
        <v>0</v>
      </c>
      <c r="J277" s="159">
        <v>0</v>
      </c>
    </row>
    <row r="278" spans="1:10" x14ac:dyDescent="0.25">
      <c r="A278" s="2">
        <v>540179</v>
      </c>
      <c r="B278" s="2" t="s">
        <v>250</v>
      </c>
      <c r="C278" s="2" t="s">
        <v>97</v>
      </c>
      <c r="D278" s="2" t="s">
        <v>115</v>
      </c>
      <c r="E278" s="2">
        <v>5</v>
      </c>
      <c r="F278" s="2">
        <v>312</v>
      </c>
      <c r="G278" s="2">
        <v>38</v>
      </c>
      <c r="H278" s="2">
        <v>0</v>
      </c>
      <c r="I278" s="159">
        <v>0</v>
      </c>
      <c r="J278" s="159">
        <v>0</v>
      </c>
    </row>
    <row r="279" spans="1:10" x14ac:dyDescent="0.25">
      <c r="A279" s="2">
        <v>540180</v>
      </c>
      <c r="B279" s="2" t="s">
        <v>251</v>
      </c>
      <c r="C279" s="2" t="s">
        <v>97</v>
      </c>
      <c r="D279" s="2" t="s">
        <v>115</v>
      </c>
      <c r="E279" s="2">
        <v>5</v>
      </c>
      <c r="F279" s="2">
        <v>720</v>
      </c>
      <c r="G279" s="2">
        <v>33</v>
      </c>
      <c r="H279" s="2">
        <v>0</v>
      </c>
      <c r="I279" s="159">
        <v>0</v>
      </c>
      <c r="J279" s="159">
        <v>0</v>
      </c>
    </row>
    <row r="280" spans="1:10" x14ac:dyDescent="0.25">
      <c r="A280" s="2">
        <v>540182</v>
      </c>
      <c r="B280" s="2" t="s">
        <v>252</v>
      </c>
      <c r="C280" s="2" t="s">
        <v>97</v>
      </c>
      <c r="D280" s="2" t="s">
        <v>115</v>
      </c>
      <c r="E280" s="2">
        <v>5</v>
      </c>
      <c r="F280" s="2">
        <v>1742</v>
      </c>
      <c r="G280" s="2">
        <v>52</v>
      </c>
      <c r="H280" s="2">
        <v>0</v>
      </c>
      <c r="I280" s="159">
        <v>0</v>
      </c>
      <c r="J280" s="159">
        <v>0</v>
      </c>
    </row>
    <row r="281" spans="1:10" x14ac:dyDescent="0.25">
      <c r="A281" s="2">
        <v>540262</v>
      </c>
      <c r="B281" s="2" t="s">
        <v>305</v>
      </c>
      <c r="C281" s="2" t="s">
        <v>97</v>
      </c>
      <c r="D281" s="2" t="s">
        <v>115</v>
      </c>
      <c r="E281" s="2">
        <v>5</v>
      </c>
      <c r="F281" s="2">
        <v>215</v>
      </c>
      <c r="G281" s="2">
        <v>22</v>
      </c>
      <c r="H281" s="2">
        <v>0</v>
      </c>
      <c r="I281" s="159">
        <v>0</v>
      </c>
      <c r="J281" s="159">
        <v>0</v>
      </c>
    </row>
    <row r="282" spans="1:10" x14ac:dyDescent="0.25">
      <c r="A282" s="2">
        <v>540263</v>
      </c>
      <c r="B282" s="2" t="s">
        <v>306</v>
      </c>
      <c r="C282" s="2" t="s">
        <v>97</v>
      </c>
      <c r="D282" s="2" t="s">
        <v>115</v>
      </c>
      <c r="E282" s="2">
        <v>5</v>
      </c>
      <c r="F282" s="2">
        <v>156</v>
      </c>
      <c r="G282" s="2">
        <v>16</v>
      </c>
      <c r="H282" s="2">
        <v>0</v>
      </c>
      <c r="I282" s="159">
        <v>0</v>
      </c>
      <c r="J282" s="159">
        <v>0</v>
      </c>
    </row>
    <row r="283" spans="1:10" x14ac:dyDescent="0.25">
      <c r="A283" s="252"/>
      <c r="B283" s="252"/>
      <c r="C283" s="252" t="s">
        <v>97</v>
      </c>
      <c r="D283" s="252"/>
      <c r="E283" s="252"/>
      <c r="F283" s="252">
        <v>290249</v>
      </c>
      <c r="G283" s="252">
        <v>8125</v>
      </c>
      <c r="H283" s="252">
        <v>0</v>
      </c>
      <c r="I283" s="414">
        <v>0</v>
      </c>
      <c r="J283" s="414">
        <v>0</v>
      </c>
    </row>
    <row r="284" spans="1:10" x14ac:dyDescent="0.25">
      <c r="A284" s="2">
        <v>540225</v>
      </c>
      <c r="B284" s="2" t="s">
        <v>98</v>
      </c>
      <c r="C284" s="2" t="s">
        <v>99</v>
      </c>
      <c r="D284" s="2" t="s">
        <v>5</v>
      </c>
      <c r="E284" s="2">
        <v>5</v>
      </c>
      <c r="F284" s="2">
        <v>85133</v>
      </c>
      <c r="G284" s="2">
        <v>3571</v>
      </c>
      <c r="H284" s="2">
        <v>0</v>
      </c>
      <c r="I284" s="159">
        <v>0</v>
      </c>
      <c r="J284" s="159">
        <v>0</v>
      </c>
    </row>
    <row r="285" spans="1:10" x14ac:dyDescent="0.25">
      <c r="A285" s="2">
        <v>540156</v>
      </c>
      <c r="B285" s="2" t="s">
        <v>232</v>
      </c>
      <c r="C285" s="2" t="s">
        <v>99</v>
      </c>
      <c r="D285" s="2" t="s">
        <v>115</v>
      </c>
      <c r="E285" s="2">
        <v>5</v>
      </c>
      <c r="F285" s="2">
        <v>657</v>
      </c>
      <c r="G285" s="2">
        <v>57</v>
      </c>
      <c r="H285" s="2">
        <v>0</v>
      </c>
      <c r="I285" s="159">
        <v>0</v>
      </c>
      <c r="J285" s="159">
        <v>0</v>
      </c>
    </row>
    <row r="286" spans="1:10" x14ac:dyDescent="0.25">
      <c r="A286" s="2">
        <v>540253</v>
      </c>
      <c r="B286" s="2" t="s">
        <v>299</v>
      </c>
      <c r="C286" s="2" t="s">
        <v>99</v>
      </c>
      <c r="D286" s="2" t="s">
        <v>115</v>
      </c>
      <c r="E286" s="2">
        <v>5</v>
      </c>
      <c r="F286" s="2">
        <v>262</v>
      </c>
      <c r="G286" s="2">
        <v>16</v>
      </c>
      <c r="H286" s="2">
        <v>0</v>
      </c>
      <c r="I286" s="159">
        <v>0</v>
      </c>
      <c r="J286" s="159">
        <v>0</v>
      </c>
    </row>
    <row r="287" spans="1:10" x14ac:dyDescent="0.25">
      <c r="A287" s="252"/>
      <c r="B287" s="252"/>
      <c r="C287" s="252" t="s">
        <v>99</v>
      </c>
      <c r="D287" s="252"/>
      <c r="E287" s="252"/>
      <c r="F287" s="252">
        <v>86052</v>
      </c>
      <c r="G287" s="252">
        <v>3644</v>
      </c>
      <c r="H287" s="252">
        <v>0</v>
      </c>
      <c r="I287" s="414">
        <v>0</v>
      </c>
      <c r="J287" s="414">
        <v>0</v>
      </c>
    </row>
    <row r="288" spans="1:10" x14ac:dyDescent="0.25">
      <c r="A288" s="2">
        <v>540226</v>
      </c>
      <c r="B288" s="2" t="s">
        <v>100</v>
      </c>
      <c r="C288" s="2" t="s">
        <v>101</v>
      </c>
      <c r="D288" s="2" t="s">
        <v>5</v>
      </c>
      <c r="E288" s="2">
        <v>8</v>
      </c>
      <c r="F288" s="2">
        <v>411595</v>
      </c>
      <c r="G288" s="2">
        <v>20413</v>
      </c>
      <c r="H288" s="2">
        <v>0</v>
      </c>
      <c r="I288" s="159">
        <v>0</v>
      </c>
      <c r="J288" s="159">
        <v>0</v>
      </c>
    </row>
    <row r="289" spans="1:10" x14ac:dyDescent="0.25">
      <c r="A289" s="2">
        <v>540046</v>
      </c>
      <c r="B289" s="2" t="s">
        <v>147</v>
      </c>
      <c r="C289" s="2" t="s">
        <v>101</v>
      </c>
      <c r="D289" s="2" t="s">
        <v>115</v>
      </c>
      <c r="E289" s="2">
        <v>8</v>
      </c>
      <c r="F289" s="2">
        <v>447</v>
      </c>
      <c r="G289" s="2">
        <v>56</v>
      </c>
      <c r="H289" s="2">
        <v>0</v>
      </c>
      <c r="I289" s="159">
        <v>0</v>
      </c>
      <c r="J289" s="159">
        <v>0</v>
      </c>
    </row>
    <row r="290" spans="1:10" x14ac:dyDescent="0.25">
      <c r="A290" s="2">
        <v>540276</v>
      </c>
      <c r="B290" s="2" t="s">
        <v>319</v>
      </c>
      <c r="C290" s="2" t="s">
        <v>101</v>
      </c>
      <c r="D290" s="2" t="s">
        <v>115</v>
      </c>
      <c r="E290" s="2">
        <v>8</v>
      </c>
      <c r="F290" s="2">
        <v>615</v>
      </c>
      <c r="G290" s="2">
        <v>22</v>
      </c>
      <c r="H290" s="2">
        <v>0</v>
      </c>
      <c r="I290" s="159">
        <v>0</v>
      </c>
      <c r="J290" s="159">
        <v>0</v>
      </c>
    </row>
    <row r="291" spans="1:10" x14ac:dyDescent="0.25">
      <c r="A291" s="252"/>
      <c r="B291" s="252"/>
      <c r="C291" s="252" t="s">
        <v>101</v>
      </c>
      <c r="D291" s="252"/>
      <c r="E291" s="252"/>
      <c r="F291" s="252">
        <v>412657</v>
      </c>
      <c r="G291" s="252">
        <v>20491</v>
      </c>
      <c r="H291" s="252">
        <v>0</v>
      </c>
      <c r="I291" s="414">
        <v>0</v>
      </c>
      <c r="J291" s="414">
        <v>0</v>
      </c>
    </row>
    <row r="292" spans="1:10" x14ac:dyDescent="0.25">
      <c r="A292" s="2">
        <v>540277</v>
      </c>
      <c r="B292" s="2" t="s">
        <v>102</v>
      </c>
      <c r="C292" s="2" t="s">
        <v>103</v>
      </c>
      <c r="D292" s="2" t="s">
        <v>5</v>
      </c>
      <c r="E292" s="2">
        <v>5</v>
      </c>
      <c r="F292" s="2">
        <v>165884</v>
      </c>
      <c r="G292" s="2">
        <v>7778</v>
      </c>
      <c r="H292" s="2">
        <v>0</v>
      </c>
      <c r="I292" s="159">
        <v>0</v>
      </c>
      <c r="J292" s="159">
        <v>0</v>
      </c>
    </row>
    <row r="293" spans="1:10" x14ac:dyDescent="0.25">
      <c r="A293" s="2">
        <v>540195</v>
      </c>
      <c r="B293" s="2" t="s">
        <v>258</v>
      </c>
      <c r="C293" s="2" t="s">
        <v>103</v>
      </c>
      <c r="D293" s="2" t="s">
        <v>115</v>
      </c>
      <c r="E293" s="2">
        <v>5</v>
      </c>
      <c r="F293" s="2">
        <v>242</v>
      </c>
      <c r="G293" s="2">
        <v>14</v>
      </c>
      <c r="H293" s="2">
        <v>0</v>
      </c>
      <c r="I293" s="159">
        <v>0</v>
      </c>
      <c r="J293" s="159">
        <v>0</v>
      </c>
    </row>
    <row r="294" spans="1:10" x14ac:dyDescent="0.25">
      <c r="A294" s="2">
        <v>540196</v>
      </c>
      <c r="B294" s="2" t="s">
        <v>259</v>
      </c>
      <c r="C294" s="2" t="s">
        <v>103</v>
      </c>
      <c r="D294" s="2" t="s">
        <v>115</v>
      </c>
      <c r="E294" s="2">
        <v>5</v>
      </c>
      <c r="F294" s="2">
        <v>210</v>
      </c>
      <c r="G294" s="2">
        <v>25</v>
      </c>
      <c r="H294" s="2">
        <v>0</v>
      </c>
      <c r="I294" s="159">
        <v>0</v>
      </c>
      <c r="J294" s="159">
        <v>0</v>
      </c>
    </row>
    <row r="295" spans="1:10" x14ac:dyDescent="0.25">
      <c r="A295" s="2">
        <v>540197</v>
      </c>
      <c r="B295" s="2" t="s">
        <v>260</v>
      </c>
      <c r="C295" s="2" t="s">
        <v>103</v>
      </c>
      <c r="D295" s="2" t="s">
        <v>115</v>
      </c>
      <c r="E295" s="2">
        <v>5</v>
      </c>
      <c r="F295" s="2">
        <v>336</v>
      </c>
      <c r="G295" s="2">
        <v>50</v>
      </c>
      <c r="H295" s="2">
        <v>0</v>
      </c>
      <c r="I295" s="159">
        <v>0</v>
      </c>
      <c r="J295" s="159">
        <v>0</v>
      </c>
    </row>
    <row r="296" spans="1:10" x14ac:dyDescent="0.25">
      <c r="A296" s="2">
        <v>540259</v>
      </c>
      <c r="B296" s="2" t="s">
        <v>304</v>
      </c>
      <c r="C296" s="2" t="s">
        <v>103</v>
      </c>
      <c r="D296" s="2" t="s">
        <v>115</v>
      </c>
      <c r="E296" s="2">
        <v>5</v>
      </c>
      <c r="F296" s="2">
        <v>65</v>
      </c>
      <c r="G296" s="2">
        <v>36</v>
      </c>
      <c r="H296" s="2">
        <v>0</v>
      </c>
      <c r="I296" s="159">
        <v>0</v>
      </c>
      <c r="J296" s="159">
        <v>0</v>
      </c>
    </row>
    <row r="297" spans="1:10" x14ac:dyDescent="0.25">
      <c r="A297" s="252"/>
      <c r="B297" s="252"/>
      <c r="C297" s="252" t="s">
        <v>103</v>
      </c>
      <c r="D297" s="252"/>
      <c r="E297" s="252"/>
      <c r="F297" s="252">
        <v>166737</v>
      </c>
      <c r="G297" s="252">
        <v>7903</v>
      </c>
      <c r="H297" s="252">
        <v>0</v>
      </c>
      <c r="I297" s="414">
        <v>0</v>
      </c>
      <c r="J297" s="414">
        <v>0</v>
      </c>
    </row>
    <row r="298" spans="1:10" x14ac:dyDescent="0.25">
      <c r="A298" s="2">
        <v>540278</v>
      </c>
      <c r="B298" s="2" t="s">
        <v>104</v>
      </c>
      <c r="C298" s="2" t="s">
        <v>105</v>
      </c>
      <c r="D298" s="2" t="s">
        <v>5</v>
      </c>
      <c r="E298" s="2">
        <v>1</v>
      </c>
      <c r="F298" s="2">
        <v>302113</v>
      </c>
      <c r="G298" s="2">
        <v>7526</v>
      </c>
      <c r="H298" s="2">
        <v>1</v>
      </c>
      <c r="I298" s="159">
        <v>1.32872707946E-4</v>
      </c>
      <c r="J298" s="159">
        <v>6.6436353972899997E-3</v>
      </c>
    </row>
    <row r="299" spans="1:10" x14ac:dyDescent="0.25">
      <c r="A299" s="2">
        <v>540041</v>
      </c>
      <c r="B299" s="2" t="s">
        <v>142</v>
      </c>
      <c r="C299" s="2" t="s">
        <v>105</v>
      </c>
      <c r="D299" s="2" t="s">
        <v>115</v>
      </c>
      <c r="E299" s="2">
        <v>1</v>
      </c>
      <c r="F299" s="2">
        <v>193</v>
      </c>
      <c r="G299" s="2">
        <v>43</v>
      </c>
      <c r="H299" s="2">
        <v>1</v>
      </c>
      <c r="I299" s="159">
        <v>2.3255813953500001E-2</v>
      </c>
      <c r="J299" s="159">
        <v>1.16279069767</v>
      </c>
    </row>
    <row r="300" spans="1:10" x14ac:dyDescent="0.25">
      <c r="A300" s="2">
        <v>540143</v>
      </c>
      <c r="B300" s="2" t="s">
        <v>224</v>
      </c>
      <c r="C300" s="2" t="s">
        <v>105</v>
      </c>
      <c r="D300" s="2" t="s">
        <v>115</v>
      </c>
      <c r="E300" s="2">
        <v>1</v>
      </c>
      <c r="F300" s="2">
        <v>202</v>
      </c>
      <c r="G300" s="2">
        <v>25</v>
      </c>
      <c r="H300" s="2">
        <v>0</v>
      </c>
      <c r="I300" s="159">
        <v>0</v>
      </c>
      <c r="J300" s="159">
        <v>0</v>
      </c>
    </row>
    <row r="301" spans="1:10" x14ac:dyDescent="0.25">
      <c r="A301" s="2">
        <v>540290</v>
      </c>
      <c r="B301" s="2" t="s">
        <v>327</v>
      </c>
      <c r="C301" s="2" t="s">
        <v>105</v>
      </c>
      <c r="D301" s="2" t="s">
        <v>115</v>
      </c>
      <c r="E301" s="2">
        <v>1</v>
      </c>
      <c r="F301" s="2">
        <v>287</v>
      </c>
      <c r="G301" s="2">
        <v>0</v>
      </c>
      <c r="H301" s="2">
        <v>0</v>
      </c>
      <c r="I301" s="159" t="s">
        <v>488</v>
      </c>
      <c r="J301" s="159" t="s">
        <v>488</v>
      </c>
    </row>
    <row r="302" spans="1:10" x14ac:dyDescent="0.25">
      <c r="A302" s="252"/>
      <c r="B302" s="252"/>
      <c r="C302" s="252" t="s">
        <v>105</v>
      </c>
      <c r="D302" s="252"/>
      <c r="E302" s="252"/>
      <c r="F302" s="252">
        <v>302795</v>
      </c>
      <c r="G302" s="252">
        <v>7594</v>
      </c>
      <c r="H302" s="252">
        <v>2</v>
      </c>
      <c r="I302" s="414">
        <v>2.6336581511699999E-4</v>
      </c>
      <c r="J302" s="414">
        <v>1.31682907559E-2</v>
      </c>
    </row>
    <row r="303" spans="1:10" x14ac:dyDescent="0.25">
      <c r="A303" s="2">
        <v>540282</v>
      </c>
      <c r="B303" s="2" t="s">
        <v>106</v>
      </c>
      <c r="C303" s="2" t="s">
        <v>107</v>
      </c>
      <c r="D303" s="2" t="s">
        <v>5</v>
      </c>
      <c r="E303" s="2">
        <v>9</v>
      </c>
      <c r="F303" s="2">
        <v>201588</v>
      </c>
      <c r="G303" s="2">
        <v>8820</v>
      </c>
      <c r="H303" s="2">
        <v>10</v>
      </c>
      <c r="I303" s="159">
        <v>1.13378684807E-3</v>
      </c>
      <c r="J303" s="159">
        <v>5.6689342403599997E-2</v>
      </c>
    </row>
    <row r="304" spans="1:10" x14ac:dyDescent="0.25">
      <c r="A304" s="2">
        <v>540006</v>
      </c>
      <c r="B304" s="2" t="s">
        <v>119</v>
      </c>
      <c r="C304" s="2" t="s">
        <v>107</v>
      </c>
      <c r="D304" s="2" t="s">
        <v>115</v>
      </c>
      <c r="E304" s="2">
        <v>9</v>
      </c>
      <c r="F304" s="2">
        <v>4259</v>
      </c>
      <c r="G304" s="2">
        <v>139</v>
      </c>
      <c r="H304" s="2">
        <v>0</v>
      </c>
      <c r="I304" s="159">
        <v>0</v>
      </c>
      <c r="J304" s="159">
        <v>0</v>
      </c>
    </row>
    <row r="305" spans="1:10" x14ac:dyDescent="0.25">
      <c r="A305" s="2">
        <v>545550</v>
      </c>
      <c r="B305" s="2" t="s">
        <v>339</v>
      </c>
      <c r="C305" s="2" t="s">
        <v>107</v>
      </c>
      <c r="D305" s="2" t="s">
        <v>115</v>
      </c>
      <c r="E305" s="2">
        <v>9</v>
      </c>
      <c r="F305" s="2">
        <v>85</v>
      </c>
      <c r="G305" s="2">
        <v>0</v>
      </c>
      <c r="H305" s="2">
        <v>0</v>
      </c>
      <c r="I305" s="159" t="s">
        <v>488</v>
      </c>
      <c r="J305" s="159" t="s">
        <v>488</v>
      </c>
    </row>
    <row r="306" spans="1:10" x14ac:dyDescent="0.25">
      <c r="A306" s="252"/>
      <c r="B306" s="252"/>
      <c r="C306" s="252" t="s">
        <v>107</v>
      </c>
      <c r="D306" s="252"/>
      <c r="E306" s="252"/>
      <c r="F306" s="252">
        <v>205932</v>
      </c>
      <c r="G306" s="252">
        <v>8959</v>
      </c>
      <c r="H306" s="252">
        <v>10</v>
      </c>
      <c r="I306" s="414">
        <v>1.1161960040199999E-3</v>
      </c>
      <c r="J306" s="414">
        <v>5.5809800200899998E-2</v>
      </c>
    </row>
    <row r="307" spans="1:10" x14ac:dyDescent="0.25">
      <c r="A307" s="2">
        <v>540283</v>
      </c>
      <c r="B307" s="2" t="s">
        <v>108</v>
      </c>
      <c r="C307" s="2" t="s">
        <v>109</v>
      </c>
      <c r="D307" s="2" t="s">
        <v>5</v>
      </c>
      <c r="E307" s="2">
        <v>4</v>
      </c>
      <c r="F307" s="2">
        <v>600184</v>
      </c>
      <c r="G307" s="2">
        <v>8050</v>
      </c>
      <c r="H307" s="2">
        <v>0</v>
      </c>
      <c r="I307" s="159">
        <v>0</v>
      </c>
      <c r="J307" s="159">
        <v>0</v>
      </c>
    </row>
    <row r="308" spans="1:10" x14ac:dyDescent="0.25">
      <c r="A308" s="2">
        <v>540158</v>
      </c>
      <c r="B308" s="2" t="s">
        <v>233</v>
      </c>
      <c r="C308" s="2" t="s">
        <v>109</v>
      </c>
      <c r="D308" s="2" t="s">
        <v>115</v>
      </c>
      <c r="E308" s="2">
        <v>4</v>
      </c>
      <c r="F308" s="2">
        <v>366</v>
      </c>
      <c r="G308" s="2">
        <v>23</v>
      </c>
      <c r="H308" s="2">
        <v>0</v>
      </c>
      <c r="I308" s="159">
        <v>0</v>
      </c>
      <c r="J308" s="159">
        <v>0</v>
      </c>
    </row>
    <row r="309" spans="1:10" x14ac:dyDescent="0.25">
      <c r="A309" s="2">
        <v>540159</v>
      </c>
      <c r="B309" s="2" t="s">
        <v>234</v>
      </c>
      <c r="C309" s="2" t="s">
        <v>109</v>
      </c>
      <c r="D309" s="2" t="s">
        <v>115</v>
      </c>
      <c r="E309" s="2">
        <v>4</v>
      </c>
      <c r="F309" s="2">
        <v>1566</v>
      </c>
      <c r="G309" s="2">
        <v>330</v>
      </c>
      <c r="H309" s="2">
        <v>0</v>
      </c>
      <c r="I309" s="159">
        <v>0</v>
      </c>
      <c r="J309" s="159">
        <v>0</v>
      </c>
    </row>
    <row r="310" spans="1:10" x14ac:dyDescent="0.25">
      <c r="A310" s="2">
        <v>540288</v>
      </c>
      <c r="B310" s="2" t="s">
        <v>340</v>
      </c>
      <c r="C310" s="2" t="s">
        <v>109</v>
      </c>
      <c r="D310" s="2" t="s">
        <v>115</v>
      </c>
      <c r="E310" s="2">
        <v>4</v>
      </c>
      <c r="F310" s="2">
        <v>230</v>
      </c>
      <c r="G310" s="2">
        <v>0</v>
      </c>
      <c r="H310" s="2">
        <v>0</v>
      </c>
      <c r="I310" s="159" t="s">
        <v>488</v>
      </c>
      <c r="J310" s="159" t="s">
        <v>488</v>
      </c>
    </row>
    <row r="311" spans="1:10" x14ac:dyDescent="0.25">
      <c r="A311" s="252"/>
      <c r="B311" s="252"/>
      <c r="C311" s="252" t="s">
        <v>109</v>
      </c>
      <c r="D311" s="252"/>
      <c r="E311" s="252"/>
      <c r="F311" s="252">
        <v>602346</v>
      </c>
      <c r="G311" s="252">
        <v>8403</v>
      </c>
      <c r="H311" s="252">
        <v>0</v>
      </c>
      <c r="I311" s="414">
        <v>0</v>
      </c>
      <c r="J311" s="414">
        <v>0</v>
      </c>
    </row>
    <row r="312" spans="1:10" x14ac:dyDescent="0.25">
      <c r="A312" s="2">
        <v>545536</v>
      </c>
      <c r="B312" s="2" t="s">
        <v>110</v>
      </c>
      <c r="C312" s="2" t="s">
        <v>111</v>
      </c>
      <c r="D312" s="2" t="s">
        <v>5</v>
      </c>
      <c r="E312" s="2">
        <v>2</v>
      </c>
      <c r="F312" s="2">
        <v>289017</v>
      </c>
      <c r="G312" s="2">
        <v>3652</v>
      </c>
      <c r="H312" s="2">
        <v>4</v>
      </c>
      <c r="I312" s="159">
        <v>1.0952902519199999E-3</v>
      </c>
      <c r="J312" s="159">
        <v>5.4764512595800001E-2</v>
      </c>
    </row>
    <row r="313" spans="1:10" x14ac:dyDescent="0.25">
      <c r="A313" s="2">
        <v>540092</v>
      </c>
      <c r="B313" s="2" t="s">
        <v>183</v>
      </c>
      <c r="C313" s="2" t="s">
        <v>111</v>
      </c>
      <c r="D313" s="2" t="s">
        <v>115</v>
      </c>
      <c r="E313" s="2">
        <v>2</v>
      </c>
      <c r="F313" s="2">
        <v>436</v>
      </c>
      <c r="G313" s="2">
        <v>39</v>
      </c>
      <c r="H313" s="2">
        <v>0</v>
      </c>
      <c r="I313" s="159">
        <v>0</v>
      </c>
      <c r="J313" s="159">
        <v>0</v>
      </c>
    </row>
    <row r="314" spans="1:10" x14ac:dyDescent="0.25">
      <c r="A314" s="2">
        <v>540095</v>
      </c>
      <c r="B314" s="2" t="s">
        <v>186</v>
      </c>
      <c r="C314" s="2" t="s">
        <v>111</v>
      </c>
      <c r="D314" s="2" t="s">
        <v>115</v>
      </c>
      <c r="E314" s="2">
        <v>2</v>
      </c>
      <c r="F314" s="2">
        <v>215</v>
      </c>
      <c r="G314" s="2">
        <v>11</v>
      </c>
      <c r="H314" s="2">
        <v>0</v>
      </c>
      <c r="I314" s="159">
        <v>0</v>
      </c>
      <c r="J314" s="159">
        <v>0</v>
      </c>
    </row>
    <row r="315" spans="1:10" x14ac:dyDescent="0.25">
      <c r="A315" s="2">
        <v>545535</v>
      </c>
      <c r="B315" s="2" t="s">
        <v>332</v>
      </c>
      <c r="C315" s="2" t="s">
        <v>111</v>
      </c>
      <c r="D315" s="2" t="s">
        <v>115</v>
      </c>
      <c r="E315" s="2">
        <v>2</v>
      </c>
      <c r="F315" s="2">
        <v>790</v>
      </c>
      <c r="G315" s="2">
        <v>16</v>
      </c>
      <c r="H315" s="2">
        <v>0</v>
      </c>
      <c r="I315" s="159">
        <v>0</v>
      </c>
      <c r="J315" s="159">
        <v>0</v>
      </c>
    </row>
    <row r="316" spans="1:10" x14ac:dyDescent="0.25">
      <c r="A316" s="2">
        <v>545537</v>
      </c>
      <c r="B316" s="2" t="s">
        <v>333</v>
      </c>
      <c r="C316" s="2" t="s">
        <v>111</v>
      </c>
      <c r="D316" s="2" t="s">
        <v>115</v>
      </c>
      <c r="E316" s="2">
        <v>2</v>
      </c>
      <c r="F316" s="2">
        <v>737</v>
      </c>
      <c r="G316" s="2">
        <v>67</v>
      </c>
      <c r="H316" s="2">
        <v>0</v>
      </c>
      <c r="I316" s="159">
        <v>0</v>
      </c>
      <c r="J316" s="159">
        <v>0</v>
      </c>
    </row>
    <row r="317" spans="1:10" x14ac:dyDescent="0.25">
      <c r="A317" s="2">
        <v>545539</v>
      </c>
      <c r="B317" s="2" t="s">
        <v>335</v>
      </c>
      <c r="C317" s="2" t="s">
        <v>111</v>
      </c>
      <c r="D317" s="2" t="s">
        <v>115</v>
      </c>
      <c r="E317" s="2">
        <v>2</v>
      </c>
      <c r="F317" s="2">
        <v>216</v>
      </c>
      <c r="G317" s="2">
        <v>5</v>
      </c>
      <c r="H317" s="2">
        <v>0</v>
      </c>
      <c r="I317" s="159">
        <v>0</v>
      </c>
      <c r="J317" s="159">
        <v>0</v>
      </c>
    </row>
    <row r="318" spans="1:10" x14ac:dyDescent="0.25">
      <c r="A318" s="252"/>
      <c r="B318" s="252"/>
      <c r="C318" s="252" t="s">
        <v>111</v>
      </c>
      <c r="D318" s="252"/>
      <c r="E318" s="252"/>
      <c r="F318" s="252">
        <v>291411</v>
      </c>
      <c r="G318" s="252">
        <v>3790</v>
      </c>
      <c r="H318" s="252">
        <v>4</v>
      </c>
      <c r="I318" s="414">
        <v>1.05540897098E-3</v>
      </c>
      <c r="J318" s="414">
        <v>5.2770448548800003E-2</v>
      </c>
    </row>
    <row r="319" spans="1:10" x14ac:dyDescent="0.25">
      <c r="A319" s="2">
        <v>540191</v>
      </c>
      <c r="B319" s="2" t="s">
        <v>112</v>
      </c>
      <c r="C319" s="2" t="s">
        <v>113</v>
      </c>
      <c r="D319" s="2" t="s">
        <v>5</v>
      </c>
      <c r="E319" s="2">
        <v>7</v>
      </c>
      <c r="F319" s="2">
        <v>264953</v>
      </c>
      <c r="G319" s="2">
        <v>5471</v>
      </c>
      <c r="H319" s="2">
        <v>1</v>
      </c>
      <c r="I319" s="159">
        <v>1.82781941144E-4</v>
      </c>
      <c r="J319" s="159">
        <v>9.1390970572099994E-3</v>
      </c>
    </row>
    <row r="320" spans="1:10" x14ac:dyDescent="0.25">
      <c r="A320" s="2">
        <v>540193</v>
      </c>
      <c r="B320" s="2" t="s">
        <v>342</v>
      </c>
      <c r="C320" s="2" t="s">
        <v>113</v>
      </c>
      <c r="D320" s="2" t="s">
        <v>115</v>
      </c>
      <c r="E320" s="2">
        <v>7</v>
      </c>
      <c r="F320" s="2">
        <v>274</v>
      </c>
      <c r="G320" s="2">
        <v>50</v>
      </c>
      <c r="H320" s="2">
        <v>0</v>
      </c>
      <c r="I320" s="159">
        <v>0</v>
      </c>
      <c r="J320" s="159">
        <v>0</v>
      </c>
    </row>
    <row r="321" spans="1:10" x14ac:dyDescent="0.25">
      <c r="A321" s="2">
        <v>540192</v>
      </c>
      <c r="B321" s="2" t="s">
        <v>343</v>
      </c>
      <c r="C321" s="2" t="s">
        <v>113</v>
      </c>
      <c r="D321" s="2" t="s">
        <v>115</v>
      </c>
      <c r="E321" s="2">
        <v>7</v>
      </c>
      <c r="F321" s="2">
        <v>166</v>
      </c>
      <c r="G321" s="2">
        <v>13</v>
      </c>
      <c r="H321" s="2">
        <v>0</v>
      </c>
      <c r="I321" s="159">
        <v>0</v>
      </c>
      <c r="J321" s="159">
        <v>0</v>
      </c>
    </row>
    <row r="322" spans="1:10" x14ac:dyDescent="0.25">
      <c r="A322" s="2">
        <v>540194</v>
      </c>
      <c r="B322" s="2" t="s">
        <v>344</v>
      </c>
      <c r="C322" s="2" t="s">
        <v>113</v>
      </c>
      <c r="D322" s="2" t="s">
        <v>115</v>
      </c>
      <c r="E322" s="2">
        <v>7</v>
      </c>
      <c r="F322" s="2">
        <v>529</v>
      </c>
      <c r="G322" s="2">
        <v>133</v>
      </c>
      <c r="H322" s="2">
        <v>3</v>
      </c>
      <c r="I322" s="159">
        <v>2.25563909774E-2</v>
      </c>
      <c r="J322" s="159">
        <v>1.12781954887</v>
      </c>
    </row>
    <row r="323" spans="1:10" x14ac:dyDescent="0.25">
      <c r="A323" s="2">
        <v>540261</v>
      </c>
      <c r="B323" s="2" t="s">
        <v>345</v>
      </c>
      <c r="C323" s="2" t="s">
        <v>113</v>
      </c>
      <c r="D323" s="2" t="s">
        <v>115</v>
      </c>
      <c r="E323" s="2">
        <v>7</v>
      </c>
      <c r="F323" s="2">
        <v>2257</v>
      </c>
      <c r="G323" s="2">
        <v>130</v>
      </c>
      <c r="H323" s="2">
        <v>0</v>
      </c>
      <c r="I323" s="159">
        <v>0</v>
      </c>
      <c r="J323" s="159">
        <v>0</v>
      </c>
    </row>
    <row r="324" spans="1:10" x14ac:dyDescent="0.25">
      <c r="A324" s="2">
        <v>540260</v>
      </c>
      <c r="B324" s="2" t="s">
        <v>346</v>
      </c>
      <c r="C324" s="2" t="s">
        <v>113</v>
      </c>
      <c r="D324" s="2" t="s">
        <v>115</v>
      </c>
      <c r="E324" s="2">
        <v>7</v>
      </c>
      <c r="F324" s="2">
        <v>1280</v>
      </c>
      <c r="G324" s="2">
        <v>74</v>
      </c>
      <c r="H324" s="2">
        <v>0</v>
      </c>
      <c r="I324" s="159">
        <v>0</v>
      </c>
      <c r="J324" s="159">
        <v>0</v>
      </c>
    </row>
    <row r="325" spans="1:10" x14ac:dyDescent="0.25">
      <c r="A325" s="252"/>
      <c r="B325" s="252"/>
      <c r="C325" s="252" t="s">
        <v>113</v>
      </c>
      <c r="D325" s="252"/>
      <c r="E325" s="252"/>
      <c r="F325" s="252">
        <v>269459</v>
      </c>
      <c r="G325" s="252">
        <v>5871</v>
      </c>
      <c r="H325" s="252">
        <v>4</v>
      </c>
      <c r="I325" s="414">
        <v>6.8131493782999999E-4</v>
      </c>
      <c r="J325" s="414">
        <v>3.40657468915E-2</v>
      </c>
    </row>
    <row r="326" spans="1:10" x14ac:dyDescent="0.25">
      <c r="A326" s="2">
        <v>540027</v>
      </c>
      <c r="B326" s="2" t="s">
        <v>132</v>
      </c>
      <c r="C326" s="2" t="s">
        <v>21</v>
      </c>
      <c r="D326" s="2" t="s">
        <v>115</v>
      </c>
      <c r="E326" s="2">
        <v>4</v>
      </c>
      <c r="F326" s="2">
        <v>1065</v>
      </c>
      <c r="G326" s="2">
        <v>19</v>
      </c>
      <c r="H326" s="2">
        <v>0</v>
      </c>
      <c r="I326" s="159">
        <v>0</v>
      </c>
      <c r="J326" s="159">
        <v>0</v>
      </c>
    </row>
    <row r="327" spans="1:10" x14ac:dyDescent="0.25">
      <c r="A327" s="2">
        <v>540028</v>
      </c>
      <c r="B327" s="2" t="s">
        <v>133</v>
      </c>
      <c r="C327" s="2" t="s">
        <v>21</v>
      </c>
      <c r="D327" s="2" t="s">
        <v>115</v>
      </c>
      <c r="E327" s="2">
        <v>4</v>
      </c>
      <c r="F327" s="2">
        <v>260</v>
      </c>
      <c r="G327" s="2">
        <v>50</v>
      </c>
      <c r="H327" s="2">
        <v>0</v>
      </c>
      <c r="I327" s="159">
        <v>0</v>
      </c>
      <c r="J327" s="159">
        <v>0</v>
      </c>
    </row>
    <row r="328" spans="1:10" x14ac:dyDescent="0.25">
      <c r="A328" s="2">
        <v>540029</v>
      </c>
      <c r="B328" s="2" t="s">
        <v>134</v>
      </c>
      <c r="C328" s="2" t="s">
        <v>21</v>
      </c>
      <c r="D328" s="2" t="s">
        <v>115</v>
      </c>
      <c r="E328" s="2">
        <v>4</v>
      </c>
      <c r="F328" s="2">
        <v>777</v>
      </c>
      <c r="G328" s="2">
        <v>15</v>
      </c>
      <c r="H328" s="2">
        <v>0</v>
      </c>
      <c r="I328" s="159">
        <v>0</v>
      </c>
      <c r="J328" s="159">
        <v>0</v>
      </c>
    </row>
    <row r="329" spans="1:10" x14ac:dyDescent="0.25">
      <c r="A329" s="2">
        <v>540031</v>
      </c>
      <c r="B329" s="2" t="s">
        <v>136</v>
      </c>
      <c r="C329" s="2" t="s">
        <v>21</v>
      </c>
      <c r="D329" s="2" t="s">
        <v>115</v>
      </c>
      <c r="E329" s="2">
        <v>4</v>
      </c>
      <c r="F329" s="2">
        <v>6159</v>
      </c>
      <c r="G329" s="2">
        <v>86</v>
      </c>
      <c r="H329" s="2">
        <v>1</v>
      </c>
      <c r="I329" s="159">
        <v>1.1627906976700001E-2</v>
      </c>
      <c r="J329" s="159">
        <v>0.58139534883699995</v>
      </c>
    </row>
    <row r="330" spans="1:10" x14ac:dyDescent="0.25">
      <c r="A330" s="2">
        <v>540032</v>
      </c>
      <c r="B330" s="2" t="s">
        <v>137</v>
      </c>
      <c r="C330" s="2" t="s">
        <v>21</v>
      </c>
      <c r="D330" s="2" t="s">
        <v>115</v>
      </c>
      <c r="E330" s="2">
        <v>4</v>
      </c>
      <c r="F330" s="2">
        <v>192</v>
      </c>
      <c r="G330" s="2">
        <v>26</v>
      </c>
      <c r="H330" s="2">
        <v>1</v>
      </c>
      <c r="I330" s="159">
        <v>3.8461538461500001E-2</v>
      </c>
      <c r="J330" s="159">
        <v>1.92307692308</v>
      </c>
    </row>
    <row r="331" spans="1:10" x14ac:dyDescent="0.25">
      <c r="A331" s="2">
        <v>540050</v>
      </c>
      <c r="B331" s="2" t="s">
        <v>150</v>
      </c>
      <c r="C331" s="2" t="s">
        <v>21</v>
      </c>
      <c r="D331" s="2" t="s">
        <v>115</v>
      </c>
      <c r="E331" s="2">
        <v>4</v>
      </c>
      <c r="F331" s="2">
        <v>61</v>
      </c>
      <c r="G331" s="2">
        <v>0</v>
      </c>
      <c r="H331" s="2">
        <v>0</v>
      </c>
      <c r="I331" s="159" t="s">
        <v>488</v>
      </c>
      <c r="J331" s="159" t="s">
        <v>488</v>
      </c>
    </row>
    <row r="332" spans="1:10" x14ac:dyDescent="0.25">
      <c r="A332" s="2">
        <v>540293</v>
      </c>
      <c r="B332" s="2" t="s">
        <v>330</v>
      </c>
      <c r="C332" s="2" t="s">
        <v>21</v>
      </c>
      <c r="D332" s="2" t="s">
        <v>115</v>
      </c>
      <c r="E332" s="2">
        <v>4</v>
      </c>
      <c r="F332" s="2">
        <v>3572</v>
      </c>
      <c r="G332" s="2">
        <v>12</v>
      </c>
      <c r="H332" s="2">
        <v>0</v>
      </c>
      <c r="I332" s="159">
        <v>0</v>
      </c>
      <c r="J332" s="159">
        <v>0</v>
      </c>
    </row>
    <row r="333" spans="1:10" x14ac:dyDescent="0.25">
      <c r="A333" s="2">
        <v>540294</v>
      </c>
      <c r="B333" s="2" t="s">
        <v>331</v>
      </c>
      <c r="C333" s="2" t="s">
        <v>21</v>
      </c>
      <c r="D333" s="2" t="s">
        <v>115</v>
      </c>
      <c r="E333" s="2">
        <v>4</v>
      </c>
      <c r="F333" s="2">
        <v>1042</v>
      </c>
      <c r="G333" s="2">
        <v>22</v>
      </c>
      <c r="H333" s="2">
        <v>0</v>
      </c>
      <c r="I333" s="159">
        <v>0</v>
      </c>
      <c r="J333" s="159">
        <v>0</v>
      </c>
    </row>
    <row r="334" spans="1:10" x14ac:dyDescent="0.25">
      <c r="A334" s="2">
        <v>540033</v>
      </c>
      <c r="B334" s="2" t="s">
        <v>138</v>
      </c>
      <c r="C334" s="2" t="s">
        <v>21</v>
      </c>
      <c r="D334" s="2" t="s">
        <v>115</v>
      </c>
      <c r="E334" s="2">
        <v>4</v>
      </c>
      <c r="F334" s="2">
        <v>1049</v>
      </c>
      <c r="G334" s="2">
        <v>22</v>
      </c>
      <c r="H334" s="2">
        <v>1</v>
      </c>
      <c r="I334" s="159">
        <v>4.5454545454499999E-2</v>
      </c>
      <c r="J334" s="159">
        <v>2.2727272727300001</v>
      </c>
    </row>
    <row r="335" spans="1:10" x14ac:dyDescent="0.25">
      <c r="A335" s="2">
        <v>540280</v>
      </c>
      <c r="B335" s="2" t="s">
        <v>321</v>
      </c>
      <c r="C335" s="2" t="s">
        <v>21</v>
      </c>
      <c r="D335" s="2" t="s">
        <v>115</v>
      </c>
      <c r="E335" s="2">
        <v>4</v>
      </c>
      <c r="F335" s="2">
        <v>996</v>
      </c>
      <c r="G335" s="2">
        <v>41</v>
      </c>
      <c r="H335" s="2">
        <v>12</v>
      </c>
      <c r="I335" s="159">
        <v>0.29268292682899999</v>
      </c>
      <c r="J335" s="159">
        <v>14.634146341499999</v>
      </c>
    </row>
    <row r="336" spans="1:10" x14ac:dyDescent="0.25">
      <c r="A336" s="2">
        <v>540026</v>
      </c>
      <c r="B336" s="2" t="s">
        <v>20</v>
      </c>
      <c r="C336" s="2" t="s">
        <v>21</v>
      </c>
      <c r="D336" s="2" t="s">
        <v>5</v>
      </c>
      <c r="E336" s="2">
        <v>4</v>
      </c>
      <c r="F336" s="2">
        <v>412491</v>
      </c>
      <c r="G336" s="2">
        <v>3393</v>
      </c>
      <c r="H336" s="2">
        <v>27</v>
      </c>
      <c r="I336" s="159">
        <v>7.9575596816999997E-3</v>
      </c>
      <c r="J336" s="159">
        <v>0.39787798408500002</v>
      </c>
    </row>
    <row r="337" spans="1:10" x14ac:dyDescent="0.25">
      <c r="A337" s="252"/>
      <c r="B337" s="252"/>
      <c r="C337" s="252" t="s">
        <v>21</v>
      </c>
      <c r="D337" s="252"/>
      <c r="E337" s="252"/>
      <c r="F337" s="252">
        <v>427664</v>
      </c>
      <c r="G337" s="252">
        <v>3686</v>
      </c>
      <c r="H337" s="252">
        <v>42</v>
      </c>
      <c r="I337" s="414">
        <v>1.1394465545300001E-2</v>
      </c>
      <c r="J337" s="414">
        <v>0.56972327726500005</v>
      </c>
    </row>
    <row r="338" spans="1:10" x14ac:dyDescent="0.25">
      <c r="A338" s="2">
        <v>540176</v>
      </c>
      <c r="B338" s="2" t="s">
        <v>247</v>
      </c>
      <c r="C338" s="2" t="s">
        <v>75</v>
      </c>
      <c r="D338" s="2" t="s">
        <v>115</v>
      </c>
      <c r="E338" s="2">
        <v>7</v>
      </c>
      <c r="F338" s="2">
        <v>265</v>
      </c>
      <c r="G338" s="2">
        <v>73</v>
      </c>
      <c r="H338" s="2">
        <v>0</v>
      </c>
      <c r="I338" s="159">
        <v>0</v>
      </c>
      <c r="J338" s="159">
        <v>0</v>
      </c>
    </row>
    <row r="339" spans="1:10" x14ac:dyDescent="0.25">
      <c r="A339" s="2">
        <v>540178</v>
      </c>
      <c r="B339" s="2" t="s">
        <v>249</v>
      </c>
      <c r="C339" s="2" t="s">
        <v>75</v>
      </c>
      <c r="D339" s="2" t="s">
        <v>115</v>
      </c>
      <c r="E339" s="2">
        <v>7</v>
      </c>
      <c r="F339" s="2">
        <v>207</v>
      </c>
      <c r="G339" s="2">
        <v>56</v>
      </c>
      <c r="H339" s="2">
        <v>0</v>
      </c>
      <c r="I339" s="159">
        <v>0</v>
      </c>
      <c r="J339" s="159">
        <v>0</v>
      </c>
    </row>
    <row r="340" spans="1:10" x14ac:dyDescent="0.25">
      <c r="A340" s="2">
        <v>540264</v>
      </c>
      <c r="B340" s="2" t="s">
        <v>307</v>
      </c>
      <c r="C340" s="2" t="s">
        <v>75</v>
      </c>
      <c r="D340" s="2" t="s">
        <v>115</v>
      </c>
      <c r="E340" s="2">
        <v>7</v>
      </c>
      <c r="F340" s="2">
        <v>194</v>
      </c>
      <c r="G340" s="2">
        <v>37</v>
      </c>
      <c r="H340" s="2">
        <v>0</v>
      </c>
      <c r="I340" s="159">
        <v>0</v>
      </c>
      <c r="J340" s="159">
        <v>0</v>
      </c>
    </row>
    <row r="341" spans="1:10" x14ac:dyDescent="0.25">
      <c r="A341" s="2">
        <v>540265</v>
      </c>
      <c r="B341" s="2" t="s">
        <v>308</v>
      </c>
      <c r="C341" s="2" t="s">
        <v>75</v>
      </c>
      <c r="D341" s="2" t="s">
        <v>115</v>
      </c>
      <c r="E341" s="2">
        <v>7</v>
      </c>
      <c r="F341" s="2">
        <v>402</v>
      </c>
      <c r="G341" s="2">
        <v>118</v>
      </c>
      <c r="H341" s="2">
        <v>0</v>
      </c>
      <c r="I341" s="159">
        <v>0</v>
      </c>
      <c r="J341" s="159">
        <v>0</v>
      </c>
    </row>
    <row r="342" spans="1:10" x14ac:dyDescent="0.25">
      <c r="A342" s="2">
        <v>540266</v>
      </c>
      <c r="B342" s="2" t="s">
        <v>309</v>
      </c>
      <c r="C342" s="2" t="s">
        <v>75</v>
      </c>
      <c r="D342" s="2" t="s">
        <v>115</v>
      </c>
      <c r="E342" s="2">
        <v>7</v>
      </c>
      <c r="F342" s="2">
        <v>293</v>
      </c>
      <c r="G342" s="2">
        <v>22</v>
      </c>
      <c r="H342" s="2">
        <v>0</v>
      </c>
      <c r="I342" s="159">
        <v>0</v>
      </c>
      <c r="J342" s="159">
        <v>0</v>
      </c>
    </row>
    <row r="343" spans="1:10" x14ac:dyDescent="0.25">
      <c r="A343" s="2">
        <v>540267</v>
      </c>
      <c r="B343" s="2" t="s">
        <v>310</v>
      </c>
      <c r="C343" s="2" t="s">
        <v>75</v>
      </c>
      <c r="D343" s="2" t="s">
        <v>115</v>
      </c>
      <c r="E343" s="2">
        <v>7</v>
      </c>
      <c r="F343" s="2">
        <v>281</v>
      </c>
      <c r="G343" s="2">
        <v>72</v>
      </c>
      <c r="H343" s="2">
        <v>0</v>
      </c>
      <c r="I343" s="159">
        <v>0</v>
      </c>
      <c r="J343" s="159">
        <v>0</v>
      </c>
    </row>
    <row r="344" spans="1:10" x14ac:dyDescent="0.25">
      <c r="A344" s="2">
        <v>540177</v>
      </c>
      <c r="B344" s="2" t="s">
        <v>248</v>
      </c>
      <c r="C344" s="2" t="s">
        <v>75</v>
      </c>
      <c r="D344" s="2" t="s">
        <v>115</v>
      </c>
      <c r="E344" s="2">
        <v>7</v>
      </c>
      <c r="F344" s="2">
        <v>2325</v>
      </c>
      <c r="G344" s="2">
        <v>289</v>
      </c>
      <c r="H344" s="2">
        <v>1</v>
      </c>
      <c r="I344" s="159">
        <v>3.4602076124600001E-3</v>
      </c>
      <c r="J344" s="159">
        <v>0.173010380623</v>
      </c>
    </row>
    <row r="345" spans="1:10" x14ac:dyDescent="0.25">
      <c r="A345" s="2">
        <v>540175</v>
      </c>
      <c r="B345" s="2" t="s">
        <v>74</v>
      </c>
      <c r="C345" s="2" t="s">
        <v>75</v>
      </c>
      <c r="D345" s="2" t="s">
        <v>5</v>
      </c>
      <c r="E345" s="2">
        <v>7</v>
      </c>
      <c r="F345" s="2">
        <v>661204</v>
      </c>
      <c r="G345" s="2">
        <v>19842</v>
      </c>
      <c r="H345" s="2">
        <v>11</v>
      </c>
      <c r="I345" s="159">
        <v>5.54379598831E-4</v>
      </c>
      <c r="J345" s="159">
        <v>2.7718979941500001E-2</v>
      </c>
    </row>
    <row r="346" spans="1:10" x14ac:dyDescent="0.25">
      <c r="A346" s="252"/>
      <c r="B346" s="252"/>
      <c r="C346" s="252" t="s">
        <v>75</v>
      </c>
      <c r="D346" s="252"/>
      <c r="E346" s="252"/>
      <c r="F346" s="252">
        <v>665171</v>
      </c>
      <c r="G346" s="252">
        <v>20509</v>
      </c>
      <c r="H346" s="252">
        <v>12</v>
      </c>
      <c r="I346" s="414">
        <v>5.8510897654700004E-4</v>
      </c>
      <c r="J346" s="414">
        <v>2.9255448827299999E-2</v>
      </c>
    </row>
    <row r="347" spans="1:10" x14ac:dyDescent="0.25">
      <c r="A347" s="2">
        <v>540219</v>
      </c>
      <c r="B347" s="2" t="s">
        <v>273</v>
      </c>
      <c r="C347" s="2" t="s">
        <v>95</v>
      </c>
      <c r="D347" s="2" t="s">
        <v>115</v>
      </c>
      <c r="E347" s="2">
        <v>1</v>
      </c>
      <c r="F347" s="2">
        <v>852</v>
      </c>
      <c r="G347" s="2">
        <v>88</v>
      </c>
      <c r="H347" s="2">
        <v>3</v>
      </c>
      <c r="I347" s="159">
        <v>3.4090909090899998E-2</v>
      </c>
      <c r="J347" s="159">
        <v>1.7045454545500001</v>
      </c>
    </row>
    <row r="348" spans="1:10" x14ac:dyDescent="0.25">
      <c r="A348" s="2">
        <v>540220</v>
      </c>
      <c r="B348" s="2" t="s">
        <v>274</v>
      </c>
      <c r="C348" s="2" t="s">
        <v>95</v>
      </c>
      <c r="D348" s="2" t="s">
        <v>115</v>
      </c>
      <c r="E348" s="2">
        <v>1</v>
      </c>
      <c r="F348" s="2">
        <v>518</v>
      </c>
      <c r="G348" s="2">
        <v>52</v>
      </c>
      <c r="H348" s="2">
        <v>1</v>
      </c>
      <c r="I348" s="159">
        <v>1.9230769230799999E-2</v>
      </c>
      <c r="J348" s="159">
        <v>0.96153846153800004</v>
      </c>
    </row>
    <row r="349" spans="1:10" x14ac:dyDescent="0.25">
      <c r="A349" s="2">
        <v>540218</v>
      </c>
      <c r="B349" s="2" t="s">
        <v>272</v>
      </c>
      <c r="C349" s="2" t="s">
        <v>95</v>
      </c>
      <c r="D349" s="2" t="s">
        <v>115</v>
      </c>
      <c r="E349" s="2">
        <v>1</v>
      </c>
      <c r="F349" s="2">
        <v>1213</v>
      </c>
      <c r="G349" s="2">
        <v>52</v>
      </c>
      <c r="H349" s="2">
        <v>2</v>
      </c>
      <c r="I349" s="159">
        <v>3.8461538461500001E-2</v>
      </c>
      <c r="J349" s="159">
        <v>1.92307692308</v>
      </c>
    </row>
    <row r="350" spans="1:10" x14ac:dyDescent="0.25">
      <c r="A350" s="2">
        <v>540217</v>
      </c>
      <c r="B350" s="2" t="s">
        <v>94</v>
      </c>
      <c r="C350" s="2" t="s">
        <v>95</v>
      </c>
      <c r="D350" s="2" t="s">
        <v>5</v>
      </c>
      <c r="E350" s="2">
        <v>1</v>
      </c>
      <c r="F350" s="2">
        <v>318426</v>
      </c>
      <c r="G350" s="2">
        <v>3852</v>
      </c>
      <c r="H350" s="2">
        <v>14</v>
      </c>
      <c r="I350" s="159">
        <v>3.6344755970900001E-3</v>
      </c>
      <c r="J350" s="159">
        <v>0.18172377985499999</v>
      </c>
    </row>
    <row r="351" spans="1:10" x14ac:dyDescent="0.25">
      <c r="A351" s="252"/>
      <c r="B351" s="252"/>
      <c r="C351" s="252" t="s">
        <v>95</v>
      </c>
      <c r="D351" s="252"/>
      <c r="E351" s="252"/>
      <c r="F351" s="252">
        <v>321009</v>
      </c>
      <c r="G351" s="252">
        <v>4044</v>
      </c>
      <c r="H351" s="252">
        <v>20</v>
      </c>
      <c r="I351" s="414">
        <v>4.9455984174099996E-3</v>
      </c>
      <c r="J351" s="414">
        <v>0.24727992087</v>
      </c>
    </row>
    <row r="352" spans="1:10" x14ac:dyDescent="0.25">
      <c r="A352" s="3" t="s">
        <v>535</v>
      </c>
      <c r="B352" s="2"/>
      <c r="C352" s="2"/>
      <c r="D352" s="2"/>
      <c r="E352" s="2"/>
      <c r="F352" s="2"/>
      <c r="G352" s="2"/>
      <c r="H352" s="2"/>
      <c r="I352" s="159"/>
      <c r="J352" s="159"/>
    </row>
    <row r="353" spans="1:10" x14ac:dyDescent="0.25">
      <c r="A353" s="2">
        <v>540152</v>
      </c>
      <c r="B353" s="2" t="s">
        <v>229</v>
      </c>
      <c r="C353" s="2" t="s">
        <v>544</v>
      </c>
      <c r="D353" s="2" t="s">
        <v>115</v>
      </c>
      <c r="E353" s="2" t="s">
        <v>545</v>
      </c>
      <c r="F353" s="2">
        <v>10101</v>
      </c>
      <c r="G353" s="2">
        <v>934</v>
      </c>
      <c r="H353" s="2">
        <v>0</v>
      </c>
      <c r="I353" s="159">
        <v>0</v>
      </c>
      <c r="J353" s="159">
        <v>0</v>
      </c>
    </row>
    <row r="354" spans="1:10" x14ac:dyDescent="0.25">
      <c r="A354" s="2">
        <v>540196</v>
      </c>
      <c r="B354" s="2" t="s">
        <v>259</v>
      </c>
      <c r="C354" s="2" t="s">
        <v>546</v>
      </c>
      <c r="D354" s="2" t="s">
        <v>115</v>
      </c>
      <c r="E354" s="2" t="s">
        <v>547</v>
      </c>
      <c r="F354" s="2">
        <v>542</v>
      </c>
      <c r="G354" s="2">
        <v>60</v>
      </c>
      <c r="H354" s="2">
        <v>0</v>
      </c>
      <c r="I354" s="159">
        <v>0</v>
      </c>
      <c r="J354" s="159">
        <v>0</v>
      </c>
    </row>
    <row r="355" spans="1:10" x14ac:dyDescent="0.25">
      <c r="A355" s="2">
        <v>540041</v>
      </c>
      <c r="B355" s="2" t="s">
        <v>142</v>
      </c>
      <c r="C355" s="2" t="s">
        <v>540</v>
      </c>
      <c r="D355" s="2" t="s">
        <v>115</v>
      </c>
      <c r="E355" s="2" t="s">
        <v>541</v>
      </c>
      <c r="F355" s="2">
        <v>611</v>
      </c>
      <c r="G355" s="2">
        <v>126</v>
      </c>
      <c r="H355" s="2">
        <v>1</v>
      </c>
      <c r="I355" s="159">
        <v>7.9365079365100004E-3</v>
      </c>
      <c r="J355" s="159">
        <v>0.39682539682500001</v>
      </c>
    </row>
    <row r="356" spans="1:10" x14ac:dyDescent="0.25">
      <c r="A356" s="2">
        <v>540018</v>
      </c>
      <c r="B356" s="2" t="s">
        <v>127</v>
      </c>
      <c r="C356" s="2" t="s">
        <v>538</v>
      </c>
      <c r="D356" s="2" t="s">
        <v>115</v>
      </c>
      <c r="E356" s="2" t="s">
        <v>539</v>
      </c>
      <c r="F356" s="2">
        <v>11784</v>
      </c>
      <c r="G356" s="2">
        <v>394</v>
      </c>
      <c r="H356" s="2">
        <v>1</v>
      </c>
      <c r="I356" s="159">
        <v>2.5380710659900002E-3</v>
      </c>
      <c r="J356" s="159">
        <v>0.12690355329899999</v>
      </c>
    </row>
    <row r="357" spans="1:10" x14ac:dyDescent="0.25">
      <c r="A357" s="2">
        <v>540014</v>
      </c>
      <c r="B357" s="2" t="s">
        <v>124</v>
      </c>
      <c r="C357" s="2" t="s">
        <v>536</v>
      </c>
      <c r="D357" s="2" t="s">
        <v>115</v>
      </c>
      <c r="E357" s="2" t="s">
        <v>537</v>
      </c>
      <c r="F357" s="2">
        <v>12182</v>
      </c>
      <c r="G357" s="2">
        <v>382</v>
      </c>
      <c r="H357" s="2">
        <v>3</v>
      </c>
      <c r="I357" s="159">
        <v>7.8534031413600002E-3</v>
      </c>
      <c r="J357" s="159">
        <v>0.39267015706800001</v>
      </c>
    </row>
    <row r="358" spans="1:10" x14ac:dyDescent="0.25">
      <c r="A358" s="2">
        <v>540081</v>
      </c>
      <c r="B358" s="2" t="s">
        <v>176</v>
      </c>
      <c r="C358" s="2" t="s">
        <v>542</v>
      </c>
      <c r="D358" s="2" t="s">
        <v>115</v>
      </c>
      <c r="E358" s="2" t="s">
        <v>543</v>
      </c>
      <c r="F358" s="2">
        <v>3723</v>
      </c>
      <c r="G358" s="2">
        <v>190</v>
      </c>
      <c r="H358" s="2">
        <v>0</v>
      </c>
      <c r="I358" s="159">
        <v>0</v>
      </c>
      <c r="J358" s="159">
        <v>0</v>
      </c>
    </row>
    <row r="359" spans="1:10" x14ac:dyDescent="0.25">
      <c r="A359" s="2">
        <v>540033</v>
      </c>
      <c r="B359" s="2" t="s">
        <v>138</v>
      </c>
      <c r="C359" s="2" t="s">
        <v>1299</v>
      </c>
      <c r="D359" s="2" t="s">
        <v>115</v>
      </c>
      <c r="E359" s="2" t="s">
        <v>1298</v>
      </c>
      <c r="F359" s="2">
        <v>1054</v>
      </c>
      <c r="G359" s="2">
        <v>23</v>
      </c>
      <c r="H359" s="2">
        <v>1</v>
      </c>
      <c r="I359" s="159">
        <v>4.3478260869600001E-2</v>
      </c>
      <c r="J359" s="159">
        <v>2.1739130434799998</v>
      </c>
    </row>
    <row r="360" spans="1:10" x14ac:dyDescent="0.25">
      <c r="A360" s="2">
        <v>540029</v>
      </c>
      <c r="B360" s="2" t="s">
        <v>134</v>
      </c>
      <c r="C360" s="2" t="s">
        <v>1299</v>
      </c>
      <c r="D360" s="2" t="s">
        <v>115</v>
      </c>
      <c r="E360" s="2" t="s">
        <v>1298</v>
      </c>
      <c r="F360" s="2">
        <v>1016</v>
      </c>
      <c r="G360" s="2">
        <v>28</v>
      </c>
      <c r="H360" s="2">
        <v>0</v>
      </c>
      <c r="I360" s="159">
        <v>0</v>
      </c>
      <c r="J360" s="159">
        <v>0</v>
      </c>
    </row>
  </sheetData>
  <hyperlinks>
    <hyperlink ref="M3" r:id="rId1"/>
  </hyperlink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0"/>
  <sheetViews>
    <sheetView tabSelected="1" topLeftCell="D1" workbookViewId="0">
      <selection sqref="A1:XFD1048576"/>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21" bestFit="1" customWidth="1"/>
    <col min="7" max="7" width="6.5703125" bestFit="1" customWidth="1"/>
    <col min="8" max="9" width="8.85546875" bestFit="1" customWidth="1"/>
    <col min="10" max="12" width="12" bestFit="1" customWidth="1"/>
    <col min="20" max="20" width="9.42578125" bestFit="1" customWidth="1"/>
    <col min="21" max="21" width="89.140625" bestFit="1" customWidth="1"/>
  </cols>
  <sheetData>
    <row r="1" spans="1:16" x14ac:dyDescent="0.25">
      <c r="A1" s="251" t="s">
        <v>0</v>
      </c>
      <c r="B1" s="251" t="s">
        <v>1</v>
      </c>
      <c r="C1" s="251" t="s">
        <v>2</v>
      </c>
      <c r="D1" s="251" t="s">
        <v>512</v>
      </c>
      <c r="E1" s="251" t="s">
        <v>403</v>
      </c>
      <c r="F1" s="251" t="s">
        <v>1316</v>
      </c>
      <c r="G1" s="251" t="s">
        <v>470</v>
      </c>
      <c r="H1" s="251" t="s">
        <v>1364</v>
      </c>
      <c r="I1" s="251" t="s">
        <v>1365</v>
      </c>
      <c r="J1" s="251" t="s">
        <v>1366</v>
      </c>
      <c r="K1" s="251" t="s">
        <v>1367</v>
      </c>
      <c r="L1" s="251" t="s">
        <v>1368</v>
      </c>
    </row>
    <row r="2" spans="1:16" x14ac:dyDescent="0.25">
      <c r="A2" s="2">
        <v>540001</v>
      </c>
      <c r="B2" s="2" t="s">
        <v>3</v>
      </c>
      <c r="C2" s="2" t="s">
        <v>4</v>
      </c>
      <c r="D2" s="2" t="s">
        <v>5</v>
      </c>
      <c r="E2" s="2">
        <v>7</v>
      </c>
      <c r="F2" s="2">
        <v>215785</v>
      </c>
      <c r="G2" s="2">
        <v>6204</v>
      </c>
      <c r="H2" s="2">
        <v>458</v>
      </c>
      <c r="I2" s="2">
        <v>458</v>
      </c>
      <c r="J2" s="159">
        <v>7.3823339780799996E-2</v>
      </c>
      <c r="K2" s="159">
        <v>7.3823339780799996E-2</v>
      </c>
      <c r="L2" s="159">
        <v>17.717601547400001</v>
      </c>
      <c r="O2" s="199" t="s">
        <v>1325</v>
      </c>
      <c r="P2" t="s">
        <v>5660</v>
      </c>
    </row>
    <row r="3" spans="1:16" x14ac:dyDescent="0.25">
      <c r="A3" s="2">
        <v>540002</v>
      </c>
      <c r="B3" s="2" t="s">
        <v>114</v>
      </c>
      <c r="C3" s="2" t="s">
        <v>4</v>
      </c>
      <c r="D3" s="2" t="s">
        <v>115</v>
      </c>
      <c r="E3" s="2">
        <v>7</v>
      </c>
      <c r="F3" s="2">
        <v>1363</v>
      </c>
      <c r="G3" s="2">
        <v>119</v>
      </c>
      <c r="H3" s="2">
        <v>0</v>
      </c>
      <c r="I3" s="2">
        <v>0</v>
      </c>
      <c r="J3" s="159">
        <v>0</v>
      </c>
      <c r="K3" s="159">
        <v>0</v>
      </c>
      <c r="L3" s="159">
        <v>0</v>
      </c>
      <c r="O3" s="199" t="s">
        <v>1326</v>
      </c>
      <c r="P3" t="s">
        <v>5661</v>
      </c>
    </row>
    <row r="4" spans="1:16" x14ac:dyDescent="0.25">
      <c r="A4" s="2">
        <v>540003</v>
      </c>
      <c r="B4" s="2" t="s">
        <v>116</v>
      </c>
      <c r="C4" s="2" t="s">
        <v>4</v>
      </c>
      <c r="D4" s="2" t="s">
        <v>115</v>
      </c>
      <c r="E4" s="2">
        <v>7</v>
      </c>
      <c r="F4" s="2">
        <v>217</v>
      </c>
      <c r="G4" s="2">
        <v>45</v>
      </c>
      <c r="H4" s="2">
        <v>5</v>
      </c>
      <c r="I4" s="2">
        <v>5</v>
      </c>
      <c r="J4" s="159">
        <v>0.111111111111</v>
      </c>
      <c r="K4" s="159">
        <v>0.111111111111</v>
      </c>
      <c r="L4" s="159">
        <v>26.666666666699999</v>
      </c>
    </row>
    <row r="5" spans="1:16" x14ac:dyDescent="0.25">
      <c r="A5" s="2">
        <v>540004</v>
      </c>
      <c r="B5" s="2" t="s">
        <v>117</v>
      </c>
      <c r="C5" s="2" t="s">
        <v>4</v>
      </c>
      <c r="D5" s="2" t="s">
        <v>115</v>
      </c>
      <c r="E5" s="2">
        <v>7</v>
      </c>
      <c r="F5" s="2">
        <v>1869</v>
      </c>
      <c r="G5" s="2">
        <v>175</v>
      </c>
      <c r="H5" s="2">
        <v>41</v>
      </c>
      <c r="I5" s="2">
        <v>41</v>
      </c>
      <c r="J5" s="159">
        <v>0.23428571428600001</v>
      </c>
      <c r="K5" s="159">
        <v>0.23428571428600001</v>
      </c>
      <c r="L5" s="159">
        <v>56.228571428599999</v>
      </c>
    </row>
    <row r="6" spans="1:16" x14ac:dyDescent="0.25">
      <c r="A6" s="252"/>
      <c r="B6" s="252"/>
      <c r="C6" s="252" t="s">
        <v>4</v>
      </c>
      <c r="D6" s="252"/>
      <c r="E6" s="252"/>
      <c r="F6" s="252">
        <v>219234</v>
      </c>
      <c r="G6" s="252">
        <v>6543</v>
      </c>
      <c r="H6" s="252">
        <v>504</v>
      </c>
      <c r="I6" s="252">
        <v>504</v>
      </c>
      <c r="J6" s="414">
        <v>7.7028885832199995E-2</v>
      </c>
      <c r="K6" s="414">
        <v>7.7028885832199995E-2</v>
      </c>
      <c r="L6" s="414">
        <v>18.486932599700001</v>
      </c>
    </row>
    <row r="7" spans="1:16" x14ac:dyDescent="0.25">
      <c r="A7" s="2">
        <v>540007</v>
      </c>
      <c r="B7" s="2" t="s">
        <v>6</v>
      </c>
      <c r="C7" s="2" t="s">
        <v>7</v>
      </c>
      <c r="D7" s="2" t="s">
        <v>5</v>
      </c>
      <c r="E7" s="2">
        <v>3</v>
      </c>
      <c r="F7" s="2">
        <v>316257</v>
      </c>
      <c r="G7" s="2">
        <v>5273</v>
      </c>
      <c r="H7" s="2">
        <v>1</v>
      </c>
      <c r="I7" s="2">
        <v>1</v>
      </c>
      <c r="J7" s="159">
        <v>1.89645363171E-4</v>
      </c>
      <c r="K7" s="159">
        <v>1.89645363171E-4</v>
      </c>
      <c r="L7" s="159">
        <v>4.5514887161000002E-2</v>
      </c>
    </row>
    <row r="8" spans="1:16" x14ac:dyDescent="0.25">
      <c r="A8" s="2">
        <v>540008</v>
      </c>
      <c r="B8" s="2" t="s">
        <v>120</v>
      </c>
      <c r="C8" s="2" t="s">
        <v>7</v>
      </c>
      <c r="D8" s="2" t="s">
        <v>115</v>
      </c>
      <c r="E8" s="2">
        <v>3</v>
      </c>
      <c r="F8" s="2">
        <v>4517</v>
      </c>
      <c r="G8" s="2">
        <v>151</v>
      </c>
      <c r="H8" s="2">
        <v>5</v>
      </c>
      <c r="I8" s="2">
        <v>5</v>
      </c>
      <c r="J8" s="159">
        <v>3.3112582781499998E-2</v>
      </c>
      <c r="K8" s="159">
        <v>3.3112582781499998E-2</v>
      </c>
      <c r="L8" s="159">
        <v>7.9470198675499999</v>
      </c>
    </row>
    <row r="9" spans="1:16" x14ac:dyDescent="0.25">
      <c r="A9" s="2">
        <v>540229</v>
      </c>
      <c r="B9" s="2" t="s">
        <v>279</v>
      </c>
      <c r="C9" s="2" t="s">
        <v>7</v>
      </c>
      <c r="D9" s="2" t="s">
        <v>115</v>
      </c>
      <c r="E9" s="2">
        <v>3</v>
      </c>
      <c r="F9" s="2">
        <v>212</v>
      </c>
      <c r="G9" s="2">
        <v>39</v>
      </c>
      <c r="H9" s="2">
        <v>0</v>
      </c>
      <c r="I9" s="2">
        <v>0</v>
      </c>
      <c r="J9" s="159">
        <v>0</v>
      </c>
      <c r="K9" s="159">
        <v>0</v>
      </c>
      <c r="L9" s="159">
        <v>0</v>
      </c>
    </row>
    <row r="10" spans="1:16" x14ac:dyDescent="0.25">
      <c r="A10" s="2">
        <v>540230</v>
      </c>
      <c r="B10" s="2" t="s">
        <v>280</v>
      </c>
      <c r="C10" s="2" t="s">
        <v>7</v>
      </c>
      <c r="D10" s="2" t="s">
        <v>115</v>
      </c>
      <c r="E10" s="2">
        <v>3</v>
      </c>
      <c r="F10" s="2">
        <v>694</v>
      </c>
      <c r="G10" s="2">
        <v>79</v>
      </c>
      <c r="H10" s="2">
        <v>9</v>
      </c>
      <c r="I10" s="2">
        <v>9</v>
      </c>
      <c r="J10" s="159">
        <v>0.113924050633</v>
      </c>
      <c r="K10" s="159">
        <v>0.113924050633</v>
      </c>
      <c r="L10" s="159">
        <v>27.341772151899999</v>
      </c>
    </row>
    <row r="11" spans="1:16" x14ac:dyDescent="0.25">
      <c r="A11" s="2">
        <v>540238</v>
      </c>
      <c r="B11" s="2" t="s">
        <v>286</v>
      </c>
      <c r="C11" s="2" t="s">
        <v>7</v>
      </c>
      <c r="D11" s="2" t="s">
        <v>115</v>
      </c>
      <c r="E11" s="2">
        <v>3</v>
      </c>
      <c r="F11" s="2">
        <v>165</v>
      </c>
      <c r="G11" s="2">
        <v>27</v>
      </c>
      <c r="H11" s="2">
        <v>0</v>
      </c>
      <c r="I11" s="2">
        <v>0</v>
      </c>
      <c r="J11" s="159">
        <v>0</v>
      </c>
      <c r="K11" s="159">
        <v>0</v>
      </c>
      <c r="L11" s="159">
        <v>0</v>
      </c>
    </row>
    <row r="12" spans="1:16" x14ac:dyDescent="0.25">
      <c r="A12" s="252"/>
      <c r="B12" s="252"/>
      <c r="C12" s="252" t="s">
        <v>7</v>
      </c>
      <c r="D12" s="252"/>
      <c r="E12" s="252"/>
      <c r="F12" s="252">
        <v>321845</v>
      </c>
      <c r="G12" s="252">
        <v>5569</v>
      </c>
      <c r="H12" s="252">
        <v>15</v>
      </c>
      <c r="I12" s="252">
        <v>15</v>
      </c>
      <c r="J12" s="414">
        <v>2.6934817741099998E-3</v>
      </c>
      <c r="K12" s="414">
        <v>2.6934817741099998E-3</v>
      </c>
      <c r="L12" s="414">
        <v>0.646435625786</v>
      </c>
    </row>
    <row r="13" spans="1:16" x14ac:dyDescent="0.25">
      <c r="A13" s="2">
        <v>540009</v>
      </c>
      <c r="B13" s="2" t="s">
        <v>8</v>
      </c>
      <c r="C13" s="2" t="s">
        <v>9</v>
      </c>
      <c r="D13" s="2" t="s">
        <v>5</v>
      </c>
      <c r="E13" s="2">
        <v>7</v>
      </c>
      <c r="F13" s="2">
        <v>327977</v>
      </c>
      <c r="G13" s="2">
        <v>7774</v>
      </c>
      <c r="H13" s="2">
        <v>651</v>
      </c>
      <c r="I13" s="2">
        <v>651</v>
      </c>
      <c r="J13" s="159">
        <v>8.3740674041700006E-2</v>
      </c>
      <c r="K13" s="159">
        <v>8.3740674041700006E-2</v>
      </c>
      <c r="L13" s="159">
        <v>20.097761770000002</v>
      </c>
    </row>
    <row r="14" spans="1:16" x14ac:dyDescent="0.25">
      <c r="A14" s="2">
        <v>540010</v>
      </c>
      <c r="B14" s="2" t="s">
        <v>121</v>
      </c>
      <c r="C14" s="2" t="s">
        <v>9</v>
      </c>
      <c r="D14" s="2" t="s">
        <v>115</v>
      </c>
      <c r="E14" s="2">
        <v>7</v>
      </c>
      <c r="F14" s="2">
        <v>698</v>
      </c>
      <c r="G14" s="2">
        <v>106</v>
      </c>
      <c r="H14" s="2">
        <v>0</v>
      </c>
      <c r="I14" s="2">
        <v>0</v>
      </c>
      <c r="J14" s="159">
        <v>0</v>
      </c>
      <c r="K14" s="159">
        <v>0</v>
      </c>
      <c r="L14" s="159">
        <v>0</v>
      </c>
    </row>
    <row r="15" spans="1:16" x14ac:dyDescent="0.25">
      <c r="A15" s="2">
        <v>540235</v>
      </c>
      <c r="B15" s="2" t="s">
        <v>283</v>
      </c>
      <c r="C15" s="2" t="s">
        <v>9</v>
      </c>
      <c r="D15" s="2" t="s">
        <v>115</v>
      </c>
      <c r="E15" s="2">
        <v>7</v>
      </c>
      <c r="F15" s="2">
        <v>420</v>
      </c>
      <c r="G15" s="2">
        <v>0</v>
      </c>
      <c r="H15" s="2">
        <v>0</v>
      </c>
      <c r="I15" s="2">
        <v>0</v>
      </c>
      <c r="J15" s="159" t="s">
        <v>488</v>
      </c>
      <c r="K15" s="159" t="s">
        <v>488</v>
      </c>
      <c r="L15" s="159" t="s">
        <v>488</v>
      </c>
    </row>
    <row r="16" spans="1:16" x14ac:dyDescent="0.25">
      <c r="A16" s="2">
        <v>540236</v>
      </c>
      <c r="B16" s="2" t="s">
        <v>284</v>
      </c>
      <c r="C16" s="2" t="s">
        <v>9</v>
      </c>
      <c r="D16" s="2" t="s">
        <v>115</v>
      </c>
      <c r="E16" s="2">
        <v>7</v>
      </c>
      <c r="F16" s="2">
        <v>526</v>
      </c>
      <c r="G16" s="2">
        <v>94</v>
      </c>
      <c r="H16" s="2">
        <v>1</v>
      </c>
      <c r="I16" s="2">
        <v>1</v>
      </c>
      <c r="J16" s="159">
        <v>1.0638297872299999E-2</v>
      </c>
      <c r="K16" s="159">
        <v>1.0638297872299999E-2</v>
      </c>
      <c r="L16" s="159">
        <v>2.5531914893600001</v>
      </c>
    </row>
    <row r="17" spans="1:12" x14ac:dyDescent="0.25">
      <c r="A17" s="2">
        <v>540237</v>
      </c>
      <c r="B17" s="2" t="s">
        <v>285</v>
      </c>
      <c r="C17" s="2" t="s">
        <v>9</v>
      </c>
      <c r="D17" s="2" t="s">
        <v>115</v>
      </c>
      <c r="E17" s="2">
        <v>7</v>
      </c>
      <c r="F17" s="2">
        <v>779</v>
      </c>
      <c r="G17" s="2">
        <v>110</v>
      </c>
      <c r="H17" s="2">
        <v>0</v>
      </c>
      <c r="I17" s="2">
        <v>0</v>
      </c>
      <c r="J17" s="159">
        <v>0</v>
      </c>
      <c r="K17" s="159">
        <v>0</v>
      </c>
      <c r="L17" s="159">
        <v>0</v>
      </c>
    </row>
    <row r="18" spans="1:12" x14ac:dyDescent="0.25">
      <c r="A18" s="252"/>
      <c r="B18" s="252"/>
      <c r="C18" s="252" t="s">
        <v>9</v>
      </c>
      <c r="D18" s="252"/>
      <c r="E18" s="252"/>
      <c r="F18" s="252">
        <v>330400</v>
      </c>
      <c r="G18" s="252">
        <v>8084</v>
      </c>
      <c r="H18" s="252">
        <v>652</v>
      </c>
      <c r="I18" s="252">
        <v>652</v>
      </c>
      <c r="J18" s="414">
        <v>8.0653142008900003E-2</v>
      </c>
      <c r="K18" s="414">
        <v>8.0653142008900003E-2</v>
      </c>
      <c r="L18" s="414">
        <v>19.3567540821</v>
      </c>
    </row>
    <row r="19" spans="1:12" x14ac:dyDescent="0.25">
      <c r="A19" s="2">
        <v>540011</v>
      </c>
      <c r="B19" s="2" t="s">
        <v>10</v>
      </c>
      <c r="C19" s="2" t="s">
        <v>11</v>
      </c>
      <c r="D19" s="2" t="s">
        <v>5</v>
      </c>
      <c r="E19" s="2">
        <v>11</v>
      </c>
      <c r="F19" s="2">
        <v>51003</v>
      </c>
      <c r="G19" s="2">
        <v>1405</v>
      </c>
      <c r="H19" s="2">
        <v>83</v>
      </c>
      <c r="I19" s="2">
        <v>83</v>
      </c>
      <c r="J19" s="159">
        <v>5.90747330961E-2</v>
      </c>
      <c r="K19" s="159">
        <v>5.90747330961E-2</v>
      </c>
      <c r="L19" s="159">
        <v>14.1779359431</v>
      </c>
    </row>
    <row r="20" spans="1:12" x14ac:dyDescent="0.25">
      <c r="A20" s="2">
        <v>540012</v>
      </c>
      <c r="B20" s="2" t="s">
        <v>122</v>
      </c>
      <c r="C20" s="2" t="s">
        <v>11</v>
      </c>
      <c r="D20" s="2" t="s">
        <v>115</v>
      </c>
      <c r="E20" s="2">
        <v>11</v>
      </c>
      <c r="F20" s="2">
        <v>471</v>
      </c>
      <c r="G20" s="2">
        <v>65</v>
      </c>
      <c r="H20" s="2">
        <v>17</v>
      </c>
      <c r="I20" s="2">
        <v>17</v>
      </c>
      <c r="J20" s="159">
        <v>0.26153846153799998</v>
      </c>
      <c r="K20" s="159">
        <v>0.26153846153799998</v>
      </c>
      <c r="L20" s="159">
        <v>62.7692307692</v>
      </c>
    </row>
    <row r="21" spans="1:12" x14ac:dyDescent="0.25">
      <c r="A21" s="2">
        <v>540013</v>
      </c>
      <c r="B21" s="2" t="s">
        <v>123</v>
      </c>
      <c r="C21" s="2" t="s">
        <v>11</v>
      </c>
      <c r="D21" s="2" t="s">
        <v>115</v>
      </c>
      <c r="E21" s="2">
        <v>11</v>
      </c>
      <c r="F21" s="2">
        <v>1337</v>
      </c>
      <c r="G21" s="2">
        <v>27</v>
      </c>
      <c r="H21" s="2">
        <v>0</v>
      </c>
      <c r="I21" s="2">
        <v>0</v>
      </c>
      <c r="J21" s="159">
        <v>0</v>
      </c>
      <c r="K21" s="159">
        <v>0</v>
      </c>
      <c r="L21" s="159">
        <v>0</v>
      </c>
    </row>
    <row r="22" spans="1:12" x14ac:dyDescent="0.25">
      <c r="A22" s="2">
        <v>540014</v>
      </c>
      <c r="B22" s="2" t="s">
        <v>124</v>
      </c>
      <c r="C22" s="2" t="s">
        <v>11</v>
      </c>
      <c r="D22" s="2" t="s">
        <v>115</v>
      </c>
      <c r="E22" s="2">
        <v>11</v>
      </c>
      <c r="F22" s="2">
        <v>4407</v>
      </c>
      <c r="G22" s="2">
        <v>90</v>
      </c>
      <c r="H22" s="2">
        <v>0</v>
      </c>
      <c r="I22" s="2">
        <v>0</v>
      </c>
      <c r="J22" s="159">
        <v>0</v>
      </c>
      <c r="K22" s="159">
        <v>0</v>
      </c>
      <c r="L22" s="159">
        <v>0</v>
      </c>
    </row>
    <row r="23" spans="1:12" x14ac:dyDescent="0.25">
      <c r="A23" s="2">
        <v>540015</v>
      </c>
      <c r="B23" s="2" t="s">
        <v>125</v>
      </c>
      <c r="C23" s="2" t="s">
        <v>11</v>
      </c>
      <c r="D23" s="2" t="s">
        <v>115</v>
      </c>
      <c r="E23" s="2">
        <v>11</v>
      </c>
      <c r="F23" s="2">
        <v>850</v>
      </c>
      <c r="G23" s="2">
        <v>253</v>
      </c>
      <c r="H23" s="2">
        <v>14</v>
      </c>
      <c r="I23" s="2">
        <v>14</v>
      </c>
      <c r="J23" s="159">
        <v>5.5335968379399997E-2</v>
      </c>
      <c r="K23" s="159">
        <v>5.5335968379399997E-2</v>
      </c>
      <c r="L23" s="159">
        <v>13.280632411099999</v>
      </c>
    </row>
    <row r="24" spans="1:12" x14ac:dyDescent="0.25">
      <c r="A24" s="2">
        <v>540093</v>
      </c>
      <c r="B24" s="2" t="s">
        <v>184</v>
      </c>
      <c r="C24" s="2" t="s">
        <v>11</v>
      </c>
      <c r="D24" s="2" t="s">
        <v>115</v>
      </c>
      <c r="E24" s="2">
        <v>11</v>
      </c>
      <c r="F24" s="2">
        <v>1193</v>
      </c>
      <c r="G24" s="2">
        <v>146</v>
      </c>
      <c r="H24" s="2">
        <v>0</v>
      </c>
      <c r="I24" s="2">
        <v>0</v>
      </c>
      <c r="J24" s="159">
        <v>0</v>
      </c>
      <c r="K24" s="159">
        <v>0</v>
      </c>
      <c r="L24" s="159">
        <v>0</v>
      </c>
    </row>
    <row r="25" spans="1:12" x14ac:dyDescent="0.25">
      <c r="A25" s="2">
        <v>540084</v>
      </c>
      <c r="B25" s="2" t="s">
        <v>341</v>
      </c>
      <c r="C25" s="2" t="s">
        <v>11</v>
      </c>
      <c r="D25" s="2" t="s">
        <v>115</v>
      </c>
      <c r="E25" s="2">
        <v>11</v>
      </c>
      <c r="F25" s="2">
        <v>92</v>
      </c>
      <c r="G25" s="2">
        <v>0</v>
      </c>
      <c r="H25" s="2">
        <v>0</v>
      </c>
      <c r="I25" s="2">
        <v>0</v>
      </c>
      <c r="J25" s="159" t="s">
        <v>488</v>
      </c>
      <c r="K25" s="159" t="s">
        <v>488</v>
      </c>
      <c r="L25" s="159" t="s">
        <v>488</v>
      </c>
    </row>
    <row r="26" spans="1:12" x14ac:dyDescent="0.25">
      <c r="A26" s="252"/>
      <c r="B26" s="252"/>
      <c r="C26" s="252" t="s">
        <v>11</v>
      </c>
      <c r="D26" s="252"/>
      <c r="E26" s="252"/>
      <c r="F26" s="252">
        <v>59353</v>
      </c>
      <c r="G26" s="252">
        <v>1986</v>
      </c>
      <c r="H26" s="252">
        <v>114</v>
      </c>
      <c r="I26" s="252">
        <v>114</v>
      </c>
      <c r="J26" s="414">
        <v>5.74018126888E-2</v>
      </c>
      <c r="K26" s="414">
        <v>5.74018126888E-2</v>
      </c>
      <c r="L26" s="414">
        <v>13.7764350453</v>
      </c>
    </row>
    <row r="27" spans="1:12" x14ac:dyDescent="0.25">
      <c r="A27" s="2">
        <v>540016</v>
      </c>
      <c r="B27" s="2" t="s">
        <v>12</v>
      </c>
      <c r="C27" s="2" t="s">
        <v>13</v>
      </c>
      <c r="D27" s="2" t="s">
        <v>5</v>
      </c>
      <c r="E27" s="2">
        <v>2</v>
      </c>
      <c r="F27" s="2">
        <v>169628</v>
      </c>
      <c r="G27" s="2">
        <v>7103</v>
      </c>
      <c r="H27" s="2">
        <v>484</v>
      </c>
      <c r="I27" s="2">
        <v>484</v>
      </c>
      <c r="J27" s="159">
        <v>6.8140222441199993E-2</v>
      </c>
      <c r="K27" s="159">
        <v>6.8140222441199993E-2</v>
      </c>
      <c r="L27" s="159">
        <v>16.3536533859</v>
      </c>
    </row>
    <row r="28" spans="1:12" x14ac:dyDescent="0.25">
      <c r="A28" s="2">
        <v>540017</v>
      </c>
      <c r="B28" s="2" t="s">
        <v>126</v>
      </c>
      <c r="C28" s="2" t="s">
        <v>13</v>
      </c>
      <c r="D28" s="2" t="s">
        <v>115</v>
      </c>
      <c r="E28" s="2">
        <v>2</v>
      </c>
      <c r="F28" s="2">
        <v>2679</v>
      </c>
      <c r="G28" s="2">
        <v>156</v>
      </c>
      <c r="H28" s="2">
        <v>18</v>
      </c>
      <c r="I28" s="2">
        <v>18</v>
      </c>
      <c r="J28" s="159">
        <v>0.115384615385</v>
      </c>
      <c r="K28" s="159">
        <v>0.115384615385</v>
      </c>
      <c r="L28" s="159">
        <v>27.692307692300002</v>
      </c>
    </row>
    <row r="29" spans="1:12" x14ac:dyDescent="0.25">
      <c r="A29" s="2">
        <v>540018</v>
      </c>
      <c r="B29" s="2" t="s">
        <v>127</v>
      </c>
      <c r="C29" s="2" t="s">
        <v>13</v>
      </c>
      <c r="D29" s="2" t="s">
        <v>115</v>
      </c>
      <c r="E29" s="2">
        <v>2</v>
      </c>
      <c r="F29" s="2">
        <v>10925</v>
      </c>
      <c r="G29" s="2">
        <v>319</v>
      </c>
      <c r="H29" s="2">
        <v>36</v>
      </c>
      <c r="I29" s="2">
        <v>36</v>
      </c>
      <c r="J29" s="159">
        <v>0.11285266457699999</v>
      </c>
      <c r="K29" s="159">
        <v>0.11285266457699999</v>
      </c>
      <c r="L29" s="159">
        <v>27.084639498400001</v>
      </c>
    </row>
    <row r="30" spans="1:12" x14ac:dyDescent="0.25">
      <c r="A30" s="2">
        <v>540019</v>
      </c>
      <c r="B30" s="2" t="s">
        <v>128</v>
      </c>
      <c r="C30" s="2" t="s">
        <v>13</v>
      </c>
      <c r="D30" s="2" t="s">
        <v>115</v>
      </c>
      <c r="E30" s="2">
        <v>2</v>
      </c>
      <c r="F30" s="2">
        <v>1005</v>
      </c>
      <c r="G30" s="2">
        <v>219</v>
      </c>
      <c r="H30" s="2">
        <v>4</v>
      </c>
      <c r="I30" s="2">
        <v>4</v>
      </c>
      <c r="J30" s="159">
        <v>1.8264840182599999E-2</v>
      </c>
      <c r="K30" s="159">
        <v>1.8264840182599999E-2</v>
      </c>
      <c r="L30" s="159">
        <v>4.3835616438400002</v>
      </c>
    </row>
    <row r="31" spans="1:12" x14ac:dyDescent="0.25">
      <c r="A31" s="252"/>
      <c r="B31" s="252"/>
      <c r="C31" s="252" t="s">
        <v>13</v>
      </c>
      <c r="D31" s="252"/>
      <c r="E31" s="252"/>
      <c r="F31" s="252">
        <v>184237</v>
      </c>
      <c r="G31" s="252">
        <v>7797</v>
      </c>
      <c r="H31" s="252">
        <v>542</v>
      </c>
      <c r="I31" s="252">
        <v>542</v>
      </c>
      <c r="J31" s="414">
        <v>6.9513915608599999E-2</v>
      </c>
      <c r="K31" s="414">
        <v>6.9513915608599999E-2</v>
      </c>
      <c r="L31" s="414">
        <v>16.6833397461</v>
      </c>
    </row>
    <row r="32" spans="1:12" x14ac:dyDescent="0.25">
      <c r="A32" s="2">
        <v>540020</v>
      </c>
      <c r="B32" s="2" t="s">
        <v>14</v>
      </c>
      <c r="C32" s="2" t="s">
        <v>15</v>
      </c>
      <c r="D32" s="2" t="s">
        <v>5</v>
      </c>
      <c r="E32" s="2">
        <v>5</v>
      </c>
      <c r="F32" s="2">
        <v>179082</v>
      </c>
      <c r="G32" s="2">
        <v>6397</v>
      </c>
      <c r="H32" s="2">
        <v>33</v>
      </c>
      <c r="I32" s="2">
        <v>33</v>
      </c>
      <c r="J32" s="159">
        <v>5.1586681256800002E-3</v>
      </c>
      <c r="K32" s="159">
        <v>5.1586681256800002E-3</v>
      </c>
      <c r="L32" s="159">
        <v>1.23808035016</v>
      </c>
    </row>
    <row r="33" spans="1:12" x14ac:dyDescent="0.25">
      <c r="A33" s="2">
        <v>540021</v>
      </c>
      <c r="B33" s="2" t="s">
        <v>129</v>
      </c>
      <c r="C33" s="2" t="s">
        <v>15</v>
      </c>
      <c r="D33" s="2" t="s">
        <v>115</v>
      </c>
      <c r="E33" s="2">
        <v>5</v>
      </c>
      <c r="F33" s="2">
        <v>296</v>
      </c>
      <c r="G33" s="2">
        <v>88</v>
      </c>
      <c r="H33" s="2">
        <v>0</v>
      </c>
      <c r="I33" s="2">
        <v>0</v>
      </c>
      <c r="J33" s="159">
        <v>0</v>
      </c>
      <c r="K33" s="159">
        <v>0</v>
      </c>
      <c r="L33" s="159">
        <v>0</v>
      </c>
    </row>
    <row r="34" spans="1:12" x14ac:dyDescent="0.25">
      <c r="A34" s="252"/>
      <c r="B34" s="252"/>
      <c r="C34" s="252" t="s">
        <v>15</v>
      </c>
      <c r="D34" s="252"/>
      <c r="E34" s="252"/>
      <c r="F34" s="252">
        <v>179378</v>
      </c>
      <c r="G34" s="252">
        <v>6485</v>
      </c>
      <c r="H34" s="252">
        <v>33</v>
      </c>
      <c r="I34" s="252">
        <v>33</v>
      </c>
      <c r="J34" s="414">
        <v>5.0886661526599996E-3</v>
      </c>
      <c r="K34" s="414">
        <v>5.0886661526599996E-3</v>
      </c>
      <c r="L34" s="414">
        <v>1.2212798766399999</v>
      </c>
    </row>
    <row r="35" spans="1:12" x14ac:dyDescent="0.25">
      <c r="A35" s="2">
        <v>540022</v>
      </c>
      <c r="B35" s="2" t="s">
        <v>16</v>
      </c>
      <c r="C35" s="2" t="s">
        <v>17</v>
      </c>
      <c r="D35" s="2" t="s">
        <v>5</v>
      </c>
      <c r="E35" s="2">
        <v>3</v>
      </c>
      <c r="F35" s="2">
        <v>219517</v>
      </c>
      <c r="G35" s="2">
        <v>5618</v>
      </c>
      <c r="H35" s="2">
        <v>33</v>
      </c>
      <c r="I35" s="2">
        <v>33</v>
      </c>
      <c r="J35" s="159">
        <v>5.8739765040900001E-3</v>
      </c>
      <c r="K35" s="159">
        <v>5.8739765040900001E-3</v>
      </c>
      <c r="L35" s="159">
        <v>1.4097543609800001</v>
      </c>
    </row>
    <row r="36" spans="1:12" x14ac:dyDescent="0.25">
      <c r="A36" s="2">
        <v>540023</v>
      </c>
      <c r="B36" s="2" t="s">
        <v>130</v>
      </c>
      <c r="C36" s="2" t="s">
        <v>17</v>
      </c>
      <c r="D36" s="2" t="s">
        <v>115</v>
      </c>
      <c r="E36" s="2">
        <v>3</v>
      </c>
      <c r="F36" s="2">
        <v>394</v>
      </c>
      <c r="G36" s="2">
        <v>114</v>
      </c>
      <c r="H36" s="2">
        <v>0</v>
      </c>
      <c r="I36" s="2">
        <v>0</v>
      </c>
      <c r="J36" s="159">
        <v>0</v>
      </c>
      <c r="K36" s="159">
        <v>0</v>
      </c>
      <c r="L36" s="159">
        <v>0</v>
      </c>
    </row>
    <row r="37" spans="1:12" x14ac:dyDescent="0.25">
      <c r="A37" s="252"/>
      <c r="B37" s="252"/>
      <c r="C37" s="252" t="s">
        <v>17</v>
      </c>
      <c r="D37" s="252"/>
      <c r="E37" s="252"/>
      <c r="F37" s="252">
        <v>219911</v>
      </c>
      <c r="G37" s="252">
        <v>5732</v>
      </c>
      <c r="H37" s="252">
        <v>33</v>
      </c>
      <c r="I37" s="252">
        <v>33</v>
      </c>
      <c r="J37" s="414">
        <v>5.7571528262399998E-3</v>
      </c>
      <c r="K37" s="414">
        <v>5.7571528262399998E-3</v>
      </c>
      <c r="L37" s="414">
        <v>1.3817166782999999</v>
      </c>
    </row>
    <row r="38" spans="1:12" x14ac:dyDescent="0.25">
      <c r="A38" s="2">
        <v>540024</v>
      </c>
      <c r="B38" s="2" t="s">
        <v>18</v>
      </c>
      <c r="C38" s="2" t="s">
        <v>19</v>
      </c>
      <c r="D38" s="2" t="s">
        <v>5</v>
      </c>
      <c r="E38" s="2">
        <v>6</v>
      </c>
      <c r="F38" s="2">
        <v>204680</v>
      </c>
      <c r="G38" s="2">
        <v>5643</v>
      </c>
      <c r="H38" s="2">
        <v>25</v>
      </c>
      <c r="I38" s="2">
        <v>25</v>
      </c>
      <c r="J38" s="159">
        <v>4.4302675881599998E-3</v>
      </c>
      <c r="K38" s="159">
        <v>4.4302675881599998E-3</v>
      </c>
      <c r="L38" s="159">
        <v>1.0632642211600001</v>
      </c>
    </row>
    <row r="39" spans="1:12" x14ac:dyDescent="0.25">
      <c r="A39" s="2">
        <v>540025</v>
      </c>
      <c r="B39" s="2" t="s">
        <v>131</v>
      </c>
      <c r="C39" s="2" t="s">
        <v>19</v>
      </c>
      <c r="D39" s="2" t="s">
        <v>115</v>
      </c>
      <c r="E39" s="2">
        <v>6</v>
      </c>
      <c r="F39" s="2">
        <v>241</v>
      </c>
      <c r="G39" s="2">
        <v>29</v>
      </c>
      <c r="H39" s="2">
        <v>0</v>
      </c>
      <c r="I39" s="2">
        <v>0</v>
      </c>
      <c r="J39" s="159">
        <v>0</v>
      </c>
      <c r="K39" s="159">
        <v>0</v>
      </c>
      <c r="L39" s="159">
        <v>0</v>
      </c>
    </row>
    <row r="40" spans="1:12" x14ac:dyDescent="0.25">
      <c r="A40" s="252"/>
      <c r="B40" s="252"/>
      <c r="C40" s="252" t="s">
        <v>19</v>
      </c>
      <c r="D40" s="252"/>
      <c r="E40" s="252"/>
      <c r="F40" s="252">
        <v>204921</v>
      </c>
      <c r="G40" s="252">
        <v>5672</v>
      </c>
      <c r="H40" s="252">
        <v>25</v>
      </c>
      <c r="I40" s="252">
        <v>25</v>
      </c>
      <c r="J40" s="414">
        <v>4.4076163610699999E-3</v>
      </c>
      <c r="K40" s="414">
        <v>4.4076163610699999E-3</v>
      </c>
      <c r="L40" s="414">
        <v>1.0578279266599999</v>
      </c>
    </row>
    <row r="41" spans="1:12" x14ac:dyDescent="0.25">
      <c r="A41" s="2">
        <v>540035</v>
      </c>
      <c r="B41" s="2" t="s">
        <v>22</v>
      </c>
      <c r="C41" s="2" t="s">
        <v>23</v>
      </c>
      <c r="D41" s="2" t="s">
        <v>5</v>
      </c>
      <c r="E41" s="2">
        <v>7</v>
      </c>
      <c r="F41" s="2">
        <v>216311</v>
      </c>
      <c r="G41" s="2">
        <v>6892</v>
      </c>
      <c r="H41" s="2">
        <v>136</v>
      </c>
      <c r="I41" s="2">
        <v>136</v>
      </c>
      <c r="J41" s="159">
        <v>1.9733023795700001E-2</v>
      </c>
      <c r="K41" s="159">
        <v>1.9733023795700001E-2</v>
      </c>
      <c r="L41" s="159">
        <v>4.7359257109700001</v>
      </c>
    </row>
    <row r="42" spans="1:12" x14ac:dyDescent="0.25">
      <c r="A42" s="2">
        <v>540036</v>
      </c>
      <c r="B42" s="2" t="s">
        <v>139</v>
      </c>
      <c r="C42" s="2" t="s">
        <v>23</v>
      </c>
      <c r="D42" s="2" t="s">
        <v>115</v>
      </c>
      <c r="E42" s="2">
        <v>7</v>
      </c>
      <c r="F42" s="2">
        <v>662</v>
      </c>
      <c r="G42" s="2">
        <v>165</v>
      </c>
      <c r="H42" s="2">
        <v>1</v>
      </c>
      <c r="I42" s="2">
        <v>1</v>
      </c>
      <c r="J42" s="159">
        <v>6.0606060606100002E-3</v>
      </c>
      <c r="K42" s="159">
        <v>6.0606060606100002E-3</v>
      </c>
      <c r="L42" s="159">
        <v>1.4545454545500001</v>
      </c>
    </row>
    <row r="43" spans="1:12" x14ac:dyDescent="0.25">
      <c r="A43" s="2">
        <v>540037</v>
      </c>
      <c r="B43" s="2" t="s">
        <v>140</v>
      </c>
      <c r="C43" s="2" t="s">
        <v>23</v>
      </c>
      <c r="D43" s="2" t="s">
        <v>115</v>
      </c>
      <c r="E43" s="2">
        <v>7</v>
      </c>
      <c r="F43" s="2">
        <v>224</v>
      </c>
      <c r="G43" s="2">
        <v>70</v>
      </c>
      <c r="H43" s="2">
        <v>0</v>
      </c>
      <c r="I43" s="2">
        <v>0</v>
      </c>
      <c r="J43" s="159">
        <v>0</v>
      </c>
      <c r="K43" s="159">
        <v>0</v>
      </c>
      <c r="L43" s="159">
        <v>0</v>
      </c>
    </row>
    <row r="44" spans="1:12" x14ac:dyDescent="0.25">
      <c r="A44" s="252"/>
      <c r="B44" s="252"/>
      <c r="C44" s="252" t="s">
        <v>23</v>
      </c>
      <c r="D44" s="252"/>
      <c r="E44" s="252"/>
      <c r="F44" s="252">
        <v>217197</v>
      </c>
      <c r="G44" s="252">
        <v>7127</v>
      </c>
      <c r="H44" s="252">
        <v>137</v>
      </c>
      <c r="I44" s="252">
        <v>137</v>
      </c>
      <c r="J44" s="414">
        <v>1.9222674336999999E-2</v>
      </c>
      <c r="K44" s="414">
        <v>1.9222674336999999E-2</v>
      </c>
      <c r="L44" s="414">
        <v>4.6134418408900002</v>
      </c>
    </row>
    <row r="45" spans="1:12" x14ac:dyDescent="0.25">
      <c r="A45" s="2">
        <v>540038</v>
      </c>
      <c r="B45" s="2" t="s">
        <v>24</v>
      </c>
      <c r="C45" s="2" t="s">
        <v>25</v>
      </c>
      <c r="D45" s="2" t="s">
        <v>5</v>
      </c>
      <c r="E45" s="2">
        <v>8</v>
      </c>
      <c r="F45" s="2">
        <v>305978</v>
      </c>
      <c r="G45" s="2">
        <v>7024</v>
      </c>
      <c r="H45" s="2">
        <v>104</v>
      </c>
      <c r="I45" s="2">
        <v>104</v>
      </c>
      <c r="J45" s="159">
        <v>1.48063781321E-2</v>
      </c>
      <c r="K45" s="159">
        <v>1.48063781321E-2</v>
      </c>
      <c r="L45" s="159">
        <v>3.5535307517099999</v>
      </c>
    </row>
    <row r="46" spans="1:12" x14ac:dyDescent="0.25">
      <c r="A46" s="2">
        <v>540039</v>
      </c>
      <c r="B46" s="2" t="s">
        <v>141</v>
      </c>
      <c r="C46" s="2" t="s">
        <v>25</v>
      </c>
      <c r="D46" s="2" t="s">
        <v>115</v>
      </c>
      <c r="E46" s="2">
        <v>8</v>
      </c>
      <c r="F46" s="2">
        <v>1035</v>
      </c>
      <c r="G46" s="2">
        <v>190</v>
      </c>
      <c r="H46" s="2">
        <v>0</v>
      </c>
      <c r="I46" s="2">
        <v>0</v>
      </c>
      <c r="J46" s="159">
        <v>0</v>
      </c>
      <c r="K46" s="159">
        <v>0</v>
      </c>
      <c r="L46" s="159">
        <v>0</v>
      </c>
    </row>
    <row r="47" spans="1:12" x14ac:dyDescent="0.25">
      <c r="A47" s="2">
        <v>540240</v>
      </c>
      <c r="B47" s="2" t="s">
        <v>287</v>
      </c>
      <c r="C47" s="2" t="s">
        <v>25</v>
      </c>
      <c r="D47" s="2" t="s">
        <v>115</v>
      </c>
      <c r="E47" s="2">
        <v>8</v>
      </c>
      <c r="F47" s="2">
        <v>195</v>
      </c>
      <c r="G47" s="2">
        <v>18</v>
      </c>
      <c r="H47" s="2">
        <v>0</v>
      </c>
      <c r="I47" s="2">
        <v>0</v>
      </c>
      <c r="J47" s="159">
        <v>0</v>
      </c>
      <c r="K47" s="159">
        <v>0</v>
      </c>
      <c r="L47" s="159">
        <v>0</v>
      </c>
    </row>
    <row r="48" spans="1:12" x14ac:dyDescent="0.25">
      <c r="A48" s="252"/>
      <c r="B48" s="252"/>
      <c r="C48" s="252" t="s">
        <v>25</v>
      </c>
      <c r="D48" s="252"/>
      <c r="E48" s="252"/>
      <c r="F48" s="252">
        <v>307208</v>
      </c>
      <c r="G48" s="252">
        <v>7232</v>
      </c>
      <c r="H48" s="252">
        <v>104</v>
      </c>
      <c r="I48" s="252">
        <v>104</v>
      </c>
      <c r="J48" s="414">
        <v>1.43805309735E-2</v>
      </c>
      <c r="K48" s="414">
        <v>1.43805309735E-2</v>
      </c>
      <c r="L48" s="414">
        <v>3.4513274336299999</v>
      </c>
    </row>
    <row r="49" spans="1:12" x14ac:dyDescent="0.25">
      <c r="A49" s="2">
        <v>540040</v>
      </c>
      <c r="B49" s="2" t="s">
        <v>26</v>
      </c>
      <c r="C49" s="2" t="s">
        <v>27</v>
      </c>
      <c r="D49" s="2" t="s">
        <v>5</v>
      </c>
      <c r="E49" s="2">
        <v>4</v>
      </c>
      <c r="F49" s="2">
        <v>648250</v>
      </c>
      <c r="G49" s="2">
        <v>19278</v>
      </c>
      <c r="H49" s="2">
        <v>1448</v>
      </c>
      <c r="I49" s="2">
        <v>1448</v>
      </c>
      <c r="J49" s="159">
        <v>7.5111526091899999E-2</v>
      </c>
      <c r="K49" s="159">
        <v>7.5111526091899999E-2</v>
      </c>
      <c r="L49" s="159">
        <v>18.026766262100001</v>
      </c>
    </row>
    <row r="50" spans="1:12" x14ac:dyDescent="0.25">
      <c r="A50" s="2">
        <v>540041</v>
      </c>
      <c r="B50" s="2" t="s">
        <v>142</v>
      </c>
      <c r="C50" s="2" t="s">
        <v>27</v>
      </c>
      <c r="D50" s="2" t="s">
        <v>115</v>
      </c>
      <c r="E50" s="2">
        <v>4</v>
      </c>
      <c r="F50" s="2">
        <v>418</v>
      </c>
      <c r="G50" s="2">
        <v>83</v>
      </c>
      <c r="H50" s="2">
        <v>1</v>
      </c>
      <c r="I50" s="2">
        <v>1</v>
      </c>
      <c r="J50" s="159">
        <v>1.2048192771100001E-2</v>
      </c>
      <c r="K50" s="159">
        <v>1.2048192771100001E-2</v>
      </c>
      <c r="L50" s="159">
        <v>2.8915662650599998</v>
      </c>
    </row>
    <row r="51" spans="1:12" x14ac:dyDescent="0.25">
      <c r="A51" s="2">
        <v>540043</v>
      </c>
      <c r="B51" s="2" t="s">
        <v>144</v>
      </c>
      <c r="C51" s="2" t="s">
        <v>27</v>
      </c>
      <c r="D51" s="2" t="s">
        <v>115</v>
      </c>
      <c r="E51" s="2">
        <v>4</v>
      </c>
      <c r="F51" s="2">
        <v>1106</v>
      </c>
      <c r="G51" s="2">
        <v>137</v>
      </c>
      <c r="H51" s="2">
        <v>13</v>
      </c>
      <c r="I51" s="2">
        <v>13</v>
      </c>
      <c r="J51" s="159">
        <v>9.4890510948899998E-2</v>
      </c>
      <c r="K51" s="159">
        <v>9.4890510948899998E-2</v>
      </c>
      <c r="L51" s="159">
        <v>22.7737226277</v>
      </c>
    </row>
    <row r="52" spans="1:12" x14ac:dyDescent="0.25">
      <c r="A52" s="2">
        <v>540044</v>
      </c>
      <c r="B52" s="2" t="s">
        <v>145</v>
      </c>
      <c r="C52" s="2" t="s">
        <v>27</v>
      </c>
      <c r="D52" s="2" t="s">
        <v>115</v>
      </c>
      <c r="E52" s="2">
        <v>4</v>
      </c>
      <c r="F52" s="2">
        <v>501</v>
      </c>
      <c r="G52" s="2">
        <v>114</v>
      </c>
      <c r="H52" s="2">
        <v>23</v>
      </c>
      <c r="I52" s="2">
        <v>23</v>
      </c>
      <c r="J52" s="159">
        <v>0.201754385965</v>
      </c>
      <c r="K52" s="159">
        <v>0.201754385965</v>
      </c>
      <c r="L52" s="159">
        <v>48.421052631599999</v>
      </c>
    </row>
    <row r="53" spans="1:12" x14ac:dyDescent="0.25">
      <c r="A53" s="2">
        <v>540045</v>
      </c>
      <c r="B53" s="2" t="s">
        <v>146</v>
      </c>
      <c r="C53" s="2" t="s">
        <v>27</v>
      </c>
      <c r="D53" s="2" t="s">
        <v>115</v>
      </c>
      <c r="E53" s="2">
        <v>4</v>
      </c>
      <c r="F53" s="2">
        <v>1214</v>
      </c>
      <c r="G53" s="2">
        <v>189</v>
      </c>
      <c r="H53" s="2">
        <v>5</v>
      </c>
      <c r="I53" s="2">
        <v>5</v>
      </c>
      <c r="J53" s="159">
        <v>2.6455026454999999E-2</v>
      </c>
      <c r="K53" s="159">
        <v>2.6455026454999999E-2</v>
      </c>
      <c r="L53" s="159">
        <v>6.3492063492100002</v>
      </c>
    </row>
    <row r="54" spans="1:12" x14ac:dyDescent="0.25">
      <c r="A54" s="2">
        <v>540228</v>
      </c>
      <c r="B54" s="2" t="s">
        <v>278</v>
      </c>
      <c r="C54" s="2" t="s">
        <v>27</v>
      </c>
      <c r="D54" s="2" t="s">
        <v>115</v>
      </c>
      <c r="E54" s="2">
        <v>4</v>
      </c>
      <c r="F54" s="2">
        <v>714</v>
      </c>
      <c r="G54" s="2">
        <v>66</v>
      </c>
      <c r="H54" s="2">
        <v>0</v>
      </c>
      <c r="I54" s="2">
        <v>0</v>
      </c>
      <c r="J54" s="159">
        <v>0</v>
      </c>
      <c r="K54" s="159">
        <v>0</v>
      </c>
      <c r="L54" s="159">
        <v>0</v>
      </c>
    </row>
    <row r="55" spans="1:12" x14ac:dyDescent="0.25">
      <c r="A55" s="2">
        <v>540243</v>
      </c>
      <c r="B55" s="2" t="s">
        <v>290</v>
      </c>
      <c r="C55" s="2" t="s">
        <v>27</v>
      </c>
      <c r="D55" s="2" t="s">
        <v>115</v>
      </c>
      <c r="E55" s="2">
        <v>4</v>
      </c>
      <c r="F55" s="2">
        <v>338</v>
      </c>
      <c r="G55" s="2">
        <v>36</v>
      </c>
      <c r="H55" s="2">
        <v>0</v>
      </c>
      <c r="I55" s="2">
        <v>0</v>
      </c>
      <c r="J55" s="159">
        <v>0</v>
      </c>
      <c r="K55" s="159">
        <v>0</v>
      </c>
      <c r="L55" s="159">
        <v>0</v>
      </c>
    </row>
    <row r="56" spans="1:12" x14ac:dyDescent="0.25">
      <c r="A56" s="2">
        <v>540244</v>
      </c>
      <c r="B56" s="2" t="s">
        <v>291</v>
      </c>
      <c r="C56" s="2" t="s">
        <v>27</v>
      </c>
      <c r="D56" s="2" t="s">
        <v>115</v>
      </c>
      <c r="E56" s="2">
        <v>4</v>
      </c>
      <c r="F56" s="2">
        <v>221</v>
      </c>
      <c r="G56" s="2">
        <v>1</v>
      </c>
      <c r="H56" s="2">
        <v>0</v>
      </c>
      <c r="I56" s="2">
        <v>0</v>
      </c>
      <c r="J56" s="159">
        <v>0</v>
      </c>
      <c r="K56" s="159">
        <v>0</v>
      </c>
      <c r="L56" s="159">
        <v>0</v>
      </c>
    </row>
    <row r="57" spans="1:12" x14ac:dyDescent="0.25">
      <c r="A57" s="2">
        <v>540281</v>
      </c>
      <c r="B57" s="2" t="s">
        <v>322</v>
      </c>
      <c r="C57" s="2" t="s">
        <v>27</v>
      </c>
      <c r="D57" s="2" t="s">
        <v>115</v>
      </c>
      <c r="E57" s="2">
        <v>4</v>
      </c>
      <c r="F57" s="2">
        <v>2437</v>
      </c>
      <c r="G57" s="2">
        <v>0</v>
      </c>
      <c r="H57" s="2">
        <v>0</v>
      </c>
      <c r="I57" s="2">
        <v>0</v>
      </c>
      <c r="J57" s="159" t="s">
        <v>488</v>
      </c>
      <c r="K57" s="159" t="s">
        <v>488</v>
      </c>
      <c r="L57" s="159" t="s">
        <v>488</v>
      </c>
    </row>
    <row r="58" spans="1:12" x14ac:dyDescent="0.25">
      <c r="A58" s="252"/>
      <c r="B58" s="252"/>
      <c r="C58" s="252" t="s">
        <v>27</v>
      </c>
      <c r="D58" s="252"/>
      <c r="E58" s="252"/>
      <c r="F58" s="252">
        <v>655199</v>
      </c>
      <c r="G58" s="252">
        <v>19904</v>
      </c>
      <c r="H58" s="252">
        <v>1490</v>
      </c>
      <c r="I58" s="252">
        <v>1490</v>
      </c>
      <c r="J58" s="414">
        <v>7.48593247588E-2</v>
      </c>
      <c r="K58" s="414">
        <v>7.48593247588E-2</v>
      </c>
      <c r="L58" s="414">
        <v>17.966237942100001</v>
      </c>
    </row>
    <row r="59" spans="1:12" x14ac:dyDescent="0.25">
      <c r="A59" s="2">
        <v>540047</v>
      </c>
      <c r="B59" s="2" t="s">
        <v>28</v>
      </c>
      <c r="C59" s="2" t="s">
        <v>29</v>
      </c>
      <c r="D59" s="2" t="s">
        <v>5</v>
      </c>
      <c r="E59" s="2">
        <v>11</v>
      </c>
      <c r="F59" s="2">
        <v>46787</v>
      </c>
      <c r="G59" s="2">
        <v>644</v>
      </c>
      <c r="H59" s="2">
        <v>8</v>
      </c>
      <c r="I59" s="2">
        <v>8</v>
      </c>
      <c r="J59" s="159">
        <v>1.2422360248400001E-2</v>
      </c>
      <c r="K59" s="159">
        <v>1.2422360248400001E-2</v>
      </c>
      <c r="L59" s="159">
        <v>2.9813664596299998</v>
      </c>
    </row>
    <row r="60" spans="1:12" x14ac:dyDescent="0.25">
      <c r="A60" s="2">
        <v>540014</v>
      </c>
      <c r="B60" s="2" t="s">
        <v>124</v>
      </c>
      <c r="C60" s="2" t="s">
        <v>29</v>
      </c>
      <c r="D60" s="2" t="s">
        <v>115</v>
      </c>
      <c r="E60" s="2">
        <v>11</v>
      </c>
      <c r="F60" s="2">
        <v>7775</v>
      </c>
      <c r="G60" s="2">
        <v>292</v>
      </c>
      <c r="H60" s="2">
        <v>7</v>
      </c>
      <c r="I60" s="2">
        <v>7</v>
      </c>
      <c r="J60" s="159">
        <v>2.3972602739699998E-2</v>
      </c>
      <c r="K60" s="159">
        <v>2.3972602739699998E-2</v>
      </c>
      <c r="L60" s="159">
        <v>5.7534246575300001</v>
      </c>
    </row>
    <row r="61" spans="1:12" x14ac:dyDescent="0.25">
      <c r="A61" s="2">
        <v>540048</v>
      </c>
      <c r="B61" s="2" t="s">
        <v>148</v>
      </c>
      <c r="C61" s="2" t="s">
        <v>29</v>
      </c>
      <c r="D61" s="2" t="s">
        <v>115</v>
      </c>
      <c r="E61" s="2">
        <v>11</v>
      </c>
      <c r="F61" s="2">
        <v>639</v>
      </c>
      <c r="G61" s="2">
        <v>39</v>
      </c>
      <c r="H61" s="2">
        <v>12</v>
      </c>
      <c r="I61" s="2">
        <v>12</v>
      </c>
      <c r="J61" s="159">
        <v>0.30769230769200001</v>
      </c>
      <c r="K61" s="159">
        <v>0.30769230769200001</v>
      </c>
      <c r="L61" s="159">
        <v>73.846153846199996</v>
      </c>
    </row>
    <row r="62" spans="1:12" x14ac:dyDescent="0.25">
      <c r="A62" s="2">
        <v>540049</v>
      </c>
      <c r="B62" s="2" t="s">
        <v>149</v>
      </c>
      <c r="C62" s="2" t="s">
        <v>29</v>
      </c>
      <c r="D62" s="2" t="s">
        <v>115</v>
      </c>
      <c r="E62" s="2">
        <v>11</v>
      </c>
      <c r="F62" s="2">
        <v>1189</v>
      </c>
      <c r="G62" s="2">
        <v>148</v>
      </c>
      <c r="H62" s="2">
        <v>7</v>
      </c>
      <c r="I62" s="2">
        <v>7</v>
      </c>
      <c r="J62" s="159">
        <v>4.7297297297299999E-2</v>
      </c>
      <c r="K62" s="159">
        <v>4.7297297297299999E-2</v>
      </c>
      <c r="L62" s="159">
        <v>11.3513513514</v>
      </c>
    </row>
    <row r="63" spans="1:12" x14ac:dyDescent="0.25">
      <c r="A63" s="252"/>
      <c r="B63" s="252"/>
      <c r="C63" s="252" t="s">
        <v>29</v>
      </c>
      <c r="D63" s="252"/>
      <c r="E63" s="252"/>
      <c r="F63" s="252">
        <v>56390</v>
      </c>
      <c r="G63" s="252">
        <v>1123</v>
      </c>
      <c r="H63" s="252">
        <v>34</v>
      </c>
      <c r="I63" s="252">
        <v>34</v>
      </c>
      <c r="J63" s="414">
        <v>3.0276046304499999E-2</v>
      </c>
      <c r="K63" s="414">
        <v>3.0276046304499999E-2</v>
      </c>
      <c r="L63" s="414">
        <v>7.26625111309</v>
      </c>
    </row>
    <row r="64" spans="1:12" x14ac:dyDescent="0.25">
      <c r="A64" s="2">
        <v>540051</v>
      </c>
      <c r="B64" s="2" t="s">
        <v>30</v>
      </c>
      <c r="C64" s="2" t="s">
        <v>31</v>
      </c>
      <c r="D64" s="2" t="s">
        <v>5</v>
      </c>
      <c r="E64" s="2">
        <v>8</v>
      </c>
      <c r="F64" s="2">
        <v>372059</v>
      </c>
      <c r="G64" s="2">
        <v>16850</v>
      </c>
      <c r="H64" s="2">
        <v>392</v>
      </c>
      <c r="I64" s="2">
        <v>392</v>
      </c>
      <c r="J64" s="159">
        <v>2.3264094955500001E-2</v>
      </c>
      <c r="K64" s="159">
        <v>2.3264094955500001E-2</v>
      </c>
      <c r="L64" s="159">
        <v>5.5833827893199999</v>
      </c>
    </row>
    <row r="65" spans="1:12" x14ac:dyDescent="0.25">
      <c r="A65" s="2">
        <v>540052</v>
      </c>
      <c r="B65" s="2" t="s">
        <v>151</v>
      </c>
      <c r="C65" s="2" t="s">
        <v>31</v>
      </c>
      <c r="D65" s="2" t="s">
        <v>115</v>
      </c>
      <c r="E65" s="2">
        <v>8</v>
      </c>
      <c r="F65" s="2">
        <v>1784</v>
      </c>
      <c r="G65" s="2">
        <v>475</v>
      </c>
      <c r="H65" s="2">
        <v>7</v>
      </c>
      <c r="I65" s="2">
        <v>7</v>
      </c>
      <c r="J65" s="159">
        <v>1.47368421053E-2</v>
      </c>
      <c r="K65" s="159">
        <v>1.47368421053E-2</v>
      </c>
      <c r="L65" s="159">
        <v>3.5368421052599999</v>
      </c>
    </row>
    <row r="66" spans="1:12" x14ac:dyDescent="0.25">
      <c r="A66" s="2">
        <v>540245</v>
      </c>
      <c r="B66" s="2" t="s">
        <v>292</v>
      </c>
      <c r="C66" s="2" t="s">
        <v>31</v>
      </c>
      <c r="D66" s="2" t="s">
        <v>115</v>
      </c>
      <c r="E66" s="2">
        <v>8</v>
      </c>
      <c r="F66" s="2">
        <v>212</v>
      </c>
      <c r="G66" s="2">
        <v>12</v>
      </c>
      <c r="H66" s="2">
        <v>0</v>
      </c>
      <c r="I66" s="2">
        <v>0</v>
      </c>
      <c r="J66" s="159">
        <v>0</v>
      </c>
      <c r="K66" s="159">
        <v>0</v>
      </c>
      <c r="L66" s="159">
        <v>0</v>
      </c>
    </row>
    <row r="67" spans="1:12" x14ac:dyDescent="0.25">
      <c r="A67" s="252"/>
      <c r="B67" s="252"/>
      <c r="C67" s="252" t="s">
        <v>31</v>
      </c>
      <c r="D67" s="252"/>
      <c r="E67" s="252"/>
      <c r="F67" s="252">
        <v>374055</v>
      </c>
      <c r="G67" s="252">
        <v>17337</v>
      </c>
      <c r="H67" s="252">
        <v>399</v>
      </c>
      <c r="I67" s="252">
        <v>399</v>
      </c>
      <c r="J67" s="414">
        <v>2.3014362346399999E-2</v>
      </c>
      <c r="K67" s="414">
        <v>2.3014362346399999E-2</v>
      </c>
      <c r="L67" s="414">
        <v>5.5234469631399996</v>
      </c>
    </row>
    <row r="68" spans="1:12" x14ac:dyDescent="0.25">
      <c r="A68" s="2">
        <v>540053</v>
      </c>
      <c r="B68" s="2" t="s">
        <v>32</v>
      </c>
      <c r="C68" s="2" t="s">
        <v>33</v>
      </c>
      <c r="D68" s="2" t="s">
        <v>5</v>
      </c>
      <c r="E68" s="2">
        <v>6</v>
      </c>
      <c r="F68" s="2">
        <v>248423</v>
      </c>
      <c r="G68" s="2">
        <v>5597</v>
      </c>
      <c r="H68" s="2">
        <v>44</v>
      </c>
      <c r="I68" s="2">
        <v>44</v>
      </c>
      <c r="J68" s="159">
        <v>7.8613542969399996E-3</v>
      </c>
      <c r="K68" s="159">
        <v>7.8613542969399996E-3</v>
      </c>
      <c r="L68" s="159">
        <v>1.8867250312699999</v>
      </c>
    </row>
    <row r="69" spans="1:12" x14ac:dyDescent="0.25">
      <c r="A69" s="2">
        <v>540054</v>
      </c>
      <c r="B69" s="2" t="s">
        <v>152</v>
      </c>
      <c r="C69" s="2" t="s">
        <v>33</v>
      </c>
      <c r="D69" s="2" t="s">
        <v>115</v>
      </c>
      <c r="E69" s="2">
        <v>6</v>
      </c>
      <c r="F69" s="2">
        <v>676</v>
      </c>
      <c r="G69" s="2">
        <v>15</v>
      </c>
      <c r="H69" s="2">
        <v>0</v>
      </c>
      <c r="I69" s="2">
        <v>0</v>
      </c>
      <c r="J69" s="159">
        <v>0</v>
      </c>
      <c r="K69" s="159">
        <v>0</v>
      </c>
      <c r="L69" s="159">
        <v>0</v>
      </c>
    </row>
    <row r="70" spans="1:12" x14ac:dyDescent="0.25">
      <c r="A70" s="2">
        <v>540055</v>
      </c>
      <c r="B70" s="2" t="s">
        <v>153</v>
      </c>
      <c r="C70" s="2" t="s">
        <v>33</v>
      </c>
      <c r="D70" s="2" t="s">
        <v>115</v>
      </c>
      <c r="E70" s="2">
        <v>6</v>
      </c>
      <c r="F70" s="2">
        <v>6899</v>
      </c>
      <c r="G70" s="2">
        <v>182</v>
      </c>
      <c r="H70" s="2">
        <v>22</v>
      </c>
      <c r="I70" s="2">
        <v>22</v>
      </c>
      <c r="J70" s="159">
        <v>0.120879120879</v>
      </c>
      <c r="K70" s="159">
        <v>0.120879120879</v>
      </c>
      <c r="L70" s="159">
        <v>29.010989010999999</v>
      </c>
    </row>
    <row r="71" spans="1:12" x14ac:dyDescent="0.25">
      <c r="A71" s="2">
        <v>540056</v>
      </c>
      <c r="B71" s="2" t="s">
        <v>154</v>
      </c>
      <c r="C71" s="2" t="s">
        <v>33</v>
      </c>
      <c r="D71" s="2" t="s">
        <v>115</v>
      </c>
      <c r="E71" s="2">
        <v>6</v>
      </c>
      <c r="F71" s="2">
        <v>6225</v>
      </c>
      <c r="G71" s="2">
        <v>183</v>
      </c>
      <c r="H71" s="2">
        <v>12</v>
      </c>
      <c r="I71" s="2">
        <v>12</v>
      </c>
      <c r="J71" s="159">
        <v>6.5573770491799993E-2</v>
      </c>
      <c r="K71" s="159">
        <v>6.5573770491799993E-2</v>
      </c>
      <c r="L71" s="159">
        <v>15.737704918</v>
      </c>
    </row>
    <row r="72" spans="1:12" x14ac:dyDescent="0.25">
      <c r="A72" s="2">
        <v>540057</v>
      </c>
      <c r="B72" s="2" t="s">
        <v>155</v>
      </c>
      <c r="C72" s="2" t="s">
        <v>33</v>
      </c>
      <c r="D72" s="2" t="s">
        <v>115</v>
      </c>
      <c r="E72" s="2">
        <v>6</v>
      </c>
      <c r="F72" s="2">
        <v>621</v>
      </c>
      <c r="G72" s="2">
        <v>115</v>
      </c>
      <c r="H72" s="2">
        <v>1</v>
      </c>
      <c r="I72" s="2">
        <v>1</v>
      </c>
      <c r="J72" s="159">
        <v>8.6956521739099991E-3</v>
      </c>
      <c r="K72" s="159">
        <v>8.6956521739099991E-3</v>
      </c>
      <c r="L72" s="159">
        <v>2.0869565217399999</v>
      </c>
    </row>
    <row r="73" spans="1:12" x14ac:dyDescent="0.25">
      <c r="A73" s="2">
        <v>540058</v>
      </c>
      <c r="B73" s="2" t="s">
        <v>156</v>
      </c>
      <c r="C73" s="2" t="s">
        <v>33</v>
      </c>
      <c r="D73" s="2" t="s">
        <v>115</v>
      </c>
      <c r="E73" s="2">
        <v>6</v>
      </c>
      <c r="F73" s="2">
        <v>322</v>
      </c>
      <c r="G73" s="2">
        <v>48</v>
      </c>
      <c r="H73" s="2">
        <v>1</v>
      </c>
      <c r="I73" s="2">
        <v>1</v>
      </c>
      <c r="J73" s="159">
        <v>2.0833333333300001E-2</v>
      </c>
      <c r="K73" s="159">
        <v>2.0833333333300001E-2</v>
      </c>
      <c r="L73" s="159">
        <v>5</v>
      </c>
    </row>
    <row r="74" spans="1:12" x14ac:dyDescent="0.25">
      <c r="A74" s="2">
        <v>540059</v>
      </c>
      <c r="B74" s="2" t="s">
        <v>157</v>
      </c>
      <c r="C74" s="2" t="s">
        <v>33</v>
      </c>
      <c r="D74" s="2" t="s">
        <v>115</v>
      </c>
      <c r="E74" s="2">
        <v>6</v>
      </c>
      <c r="F74" s="2">
        <v>569</v>
      </c>
      <c r="G74" s="2">
        <v>36</v>
      </c>
      <c r="H74" s="2">
        <v>21</v>
      </c>
      <c r="I74" s="2">
        <v>21</v>
      </c>
      <c r="J74" s="159">
        <v>0.58333333333299997</v>
      </c>
      <c r="K74" s="159">
        <v>0.58333333333299997</v>
      </c>
      <c r="L74" s="159">
        <v>140</v>
      </c>
    </row>
    <row r="75" spans="1:12" x14ac:dyDescent="0.25">
      <c r="A75" s="2">
        <v>540060</v>
      </c>
      <c r="B75" s="2" t="s">
        <v>158</v>
      </c>
      <c r="C75" s="2" t="s">
        <v>33</v>
      </c>
      <c r="D75" s="2" t="s">
        <v>115</v>
      </c>
      <c r="E75" s="2">
        <v>6</v>
      </c>
      <c r="F75" s="2">
        <v>1070</v>
      </c>
      <c r="G75" s="2">
        <v>68</v>
      </c>
      <c r="H75" s="2">
        <v>2</v>
      </c>
      <c r="I75" s="2">
        <v>2</v>
      </c>
      <c r="J75" s="159">
        <v>2.9411764705900002E-2</v>
      </c>
      <c r="K75" s="159">
        <v>2.9411764705900002E-2</v>
      </c>
      <c r="L75" s="159">
        <v>7.0588235294099997</v>
      </c>
    </row>
    <row r="76" spans="1:12" x14ac:dyDescent="0.25">
      <c r="A76" s="2">
        <v>540061</v>
      </c>
      <c r="B76" s="2" t="s">
        <v>159</v>
      </c>
      <c r="C76" s="2" t="s">
        <v>33</v>
      </c>
      <c r="D76" s="2" t="s">
        <v>115</v>
      </c>
      <c r="E76" s="2">
        <v>6</v>
      </c>
      <c r="F76" s="2">
        <v>545</v>
      </c>
      <c r="G76" s="2">
        <v>13</v>
      </c>
      <c r="H76" s="2">
        <v>0</v>
      </c>
      <c r="I76" s="2">
        <v>0</v>
      </c>
      <c r="J76" s="159">
        <v>0</v>
      </c>
      <c r="K76" s="159">
        <v>0</v>
      </c>
      <c r="L76" s="159">
        <v>0</v>
      </c>
    </row>
    <row r="77" spans="1:12" x14ac:dyDescent="0.25">
      <c r="A77" s="2">
        <v>540062</v>
      </c>
      <c r="B77" s="2" t="s">
        <v>160</v>
      </c>
      <c r="C77" s="2" t="s">
        <v>33</v>
      </c>
      <c r="D77" s="2" t="s">
        <v>115</v>
      </c>
      <c r="E77" s="2">
        <v>6</v>
      </c>
      <c r="F77" s="2">
        <v>340</v>
      </c>
      <c r="G77" s="2">
        <v>5</v>
      </c>
      <c r="H77" s="2">
        <v>0</v>
      </c>
      <c r="I77" s="2">
        <v>0</v>
      </c>
      <c r="J77" s="159">
        <v>0</v>
      </c>
      <c r="K77" s="159">
        <v>0</v>
      </c>
      <c r="L77" s="159">
        <v>0</v>
      </c>
    </row>
    <row r="78" spans="1:12" x14ac:dyDescent="0.25">
      <c r="A78" s="2">
        <v>540242</v>
      </c>
      <c r="B78" s="2" t="s">
        <v>289</v>
      </c>
      <c r="C78" s="2" t="s">
        <v>33</v>
      </c>
      <c r="D78" s="2" t="s">
        <v>115</v>
      </c>
      <c r="E78" s="2">
        <v>6</v>
      </c>
      <c r="F78" s="2">
        <v>854</v>
      </c>
      <c r="G78" s="2">
        <v>45</v>
      </c>
      <c r="H78" s="2">
        <v>0</v>
      </c>
      <c r="I78" s="2">
        <v>0</v>
      </c>
      <c r="J78" s="159">
        <v>0</v>
      </c>
      <c r="K78" s="159">
        <v>0</v>
      </c>
      <c r="L78" s="159">
        <v>0</v>
      </c>
    </row>
    <row r="79" spans="1:12" x14ac:dyDescent="0.25">
      <c r="A79" s="252"/>
      <c r="B79" s="252"/>
      <c r="C79" s="252" t="s">
        <v>33</v>
      </c>
      <c r="D79" s="252"/>
      <c r="E79" s="252"/>
      <c r="F79" s="252">
        <v>266544</v>
      </c>
      <c r="G79" s="252">
        <v>6307</v>
      </c>
      <c r="H79" s="252">
        <v>103</v>
      </c>
      <c r="I79" s="252">
        <v>103</v>
      </c>
      <c r="J79" s="414">
        <v>1.6331060726200001E-2</v>
      </c>
      <c r="K79" s="414">
        <v>1.6331060726200001E-2</v>
      </c>
      <c r="L79" s="414">
        <v>3.91945457428</v>
      </c>
    </row>
    <row r="80" spans="1:12" x14ac:dyDescent="0.25">
      <c r="A80" s="2">
        <v>540063</v>
      </c>
      <c r="B80" s="2" t="s">
        <v>34</v>
      </c>
      <c r="C80" s="2" t="s">
        <v>35</v>
      </c>
      <c r="D80" s="2" t="s">
        <v>5</v>
      </c>
      <c r="E80" s="2">
        <v>5</v>
      </c>
      <c r="F80" s="2">
        <v>298304</v>
      </c>
      <c r="G80" s="2">
        <v>13908</v>
      </c>
      <c r="H80" s="2">
        <v>732</v>
      </c>
      <c r="I80" s="2">
        <v>732</v>
      </c>
      <c r="J80" s="159">
        <v>5.2631578947399997E-2</v>
      </c>
      <c r="K80" s="159">
        <v>5.2631578947399997E-2</v>
      </c>
      <c r="L80" s="159">
        <v>12.6315789474</v>
      </c>
    </row>
    <row r="81" spans="1:12" x14ac:dyDescent="0.25">
      <c r="A81" s="2">
        <v>540064</v>
      </c>
      <c r="B81" s="2" t="s">
        <v>161</v>
      </c>
      <c r="C81" s="2" t="s">
        <v>35</v>
      </c>
      <c r="D81" s="2" t="s">
        <v>115</v>
      </c>
      <c r="E81" s="2">
        <v>5</v>
      </c>
      <c r="F81" s="2">
        <v>2101</v>
      </c>
      <c r="G81" s="2">
        <v>149</v>
      </c>
      <c r="H81" s="2">
        <v>1</v>
      </c>
      <c r="I81" s="2">
        <v>1</v>
      </c>
      <c r="J81" s="159">
        <v>6.7114093959699996E-3</v>
      </c>
      <c r="K81" s="159">
        <v>6.7114093959699996E-3</v>
      </c>
      <c r="L81" s="159">
        <v>1.61073825503</v>
      </c>
    </row>
    <row r="82" spans="1:12" x14ac:dyDescent="0.25">
      <c r="A82" s="2">
        <v>540241</v>
      </c>
      <c r="B82" s="2" t="s">
        <v>288</v>
      </c>
      <c r="C82" s="2" t="s">
        <v>35</v>
      </c>
      <c r="D82" s="2" t="s">
        <v>115</v>
      </c>
      <c r="E82" s="2">
        <v>5</v>
      </c>
      <c r="F82" s="2">
        <v>1208</v>
      </c>
      <c r="G82" s="2">
        <v>217</v>
      </c>
      <c r="H82" s="2">
        <v>18</v>
      </c>
      <c r="I82" s="2">
        <v>18</v>
      </c>
      <c r="J82" s="159">
        <v>8.2949308755800005E-2</v>
      </c>
      <c r="K82" s="159">
        <v>8.2949308755800005E-2</v>
      </c>
      <c r="L82" s="159">
        <v>19.907834101399999</v>
      </c>
    </row>
    <row r="83" spans="1:12" x14ac:dyDescent="0.25">
      <c r="A83" s="252"/>
      <c r="B83" s="252"/>
      <c r="C83" s="252" t="s">
        <v>35</v>
      </c>
      <c r="D83" s="252"/>
      <c r="E83" s="252"/>
      <c r="F83" s="252">
        <v>301613</v>
      </c>
      <c r="G83" s="252">
        <v>14274</v>
      </c>
      <c r="H83" s="252">
        <v>751</v>
      </c>
      <c r="I83" s="252">
        <v>751</v>
      </c>
      <c r="J83" s="414">
        <v>5.2613142777099997E-2</v>
      </c>
      <c r="K83" s="414">
        <v>5.2613142777099997E-2</v>
      </c>
      <c r="L83" s="414">
        <v>12.6271542665</v>
      </c>
    </row>
    <row r="84" spans="1:12" x14ac:dyDescent="0.25">
      <c r="A84" s="2">
        <v>540065</v>
      </c>
      <c r="B84" s="2" t="s">
        <v>36</v>
      </c>
      <c r="C84" s="2" t="s">
        <v>37</v>
      </c>
      <c r="D84" s="2" t="s">
        <v>5</v>
      </c>
      <c r="E84" s="2">
        <v>9</v>
      </c>
      <c r="F84" s="2">
        <v>125719</v>
      </c>
      <c r="G84" s="2">
        <v>6538</v>
      </c>
      <c r="H84" s="2">
        <v>93</v>
      </c>
      <c r="I84" s="2">
        <v>93</v>
      </c>
      <c r="J84" s="159">
        <v>1.42245334965E-2</v>
      </c>
      <c r="K84" s="159">
        <v>1.42245334965E-2</v>
      </c>
      <c r="L84" s="159">
        <v>3.4138880391600002</v>
      </c>
    </row>
    <row r="85" spans="1:12" x14ac:dyDescent="0.25">
      <c r="A85" s="2">
        <v>540030</v>
      </c>
      <c r="B85" s="2" t="s">
        <v>135</v>
      </c>
      <c r="C85" s="2" t="s">
        <v>37</v>
      </c>
      <c r="D85" s="2" t="s">
        <v>115</v>
      </c>
      <c r="E85" s="2">
        <v>9</v>
      </c>
      <c r="F85" s="2">
        <v>278</v>
      </c>
      <c r="G85" s="2">
        <v>1</v>
      </c>
      <c r="H85" s="2">
        <v>0</v>
      </c>
      <c r="I85" s="2">
        <v>0</v>
      </c>
      <c r="J85" s="159">
        <v>0</v>
      </c>
      <c r="K85" s="159">
        <v>0</v>
      </c>
      <c r="L85" s="159">
        <v>0</v>
      </c>
    </row>
    <row r="86" spans="1:12" x14ac:dyDescent="0.25">
      <c r="A86" s="2">
        <v>540066</v>
      </c>
      <c r="B86" s="2" t="s">
        <v>162</v>
      </c>
      <c r="C86" s="2" t="s">
        <v>37</v>
      </c>
      <c r="D86" s="2" t="s">
        <v>115</v>
      </c>
      <c r="E86" s="2">
        <v>9</v>
      </c>
      <c r="F86" s="2">
        <v>3744</v>
      </c>
      <c r="G86" s="2">
        <v>187</v>
      </c>
      <c r="H86" s="2">
        <v>24</v>
      </c>
      <c r="I86" s="2">
        <v>24</v>
      </c>
      <c r="J86" s="159">
        <v>0.12834224598899999</v>
      </c>
      <c r="K86" s="159">
        <v>0.12834224598899999</v>
      </c>
      <c r="L86" s="159">
        <v>30.8021390374</v>
      </c>
    </row>
    <row r="87" spans="1:12" x14ac:dyDescent="0.25">
      <c r="A87" s="2">
        <v>540067</v>
      </c>
      <c r="B87" s="2" t="s">
        <v>163</v>
      </c>
      <c r="C87" s="2" t="s">
        <v>37</v>
      </c>
      <c r="D87" s="2" t="s">
        <v>115</v>
      </c>
      <c r="E87" s="2">
        <v>9</v>
      </c>
      <c r="F87" s="2">
        <v>400</v>
      </c>
      <c r="G87" s="2">
        <v>74</v>
      </c>
      <c r="H87" s="2">
        <v>1</v>
      </c>
      <c r="I87" s="2">
        <v>1</v>
      </c>
      <c r="J87" s="159">
        <v>1.3513513513500001E-2</v>
      </c>
      <c r="K87" s="159">
        <v>1.3513513513500001E-2</v>
      </c>
      <c r="L87" s="159">
        <v>3.2432432432399998</v>
      </c>
    </row>
    <row r="88" spans="1:12" x14ac:dyDescent="0.25">
      <c r="A88" s="2">
        <v>540068</v>
      </c>
      <c r="B88" s="2" t="s">
        <v>164</v>
      </c>
      <c r="C88" s="2" t="s">
        <v>37</v>
      </c>
      <c r="D88" s="2" t="s">
        <v>115</v>
      </c>
      <c r="E88" s="2">
        <v>9</v>
      </c>
      <c r="F88" s="2">
        <v>5185</v>
      </c>
      <c r="G88" s="2">
        <v>178</v>
      </c>
      <c r="H88" s="2">
        <v>14</v>
      </c>
      <c r="I88" s="2">
        <v>14</v>
      </c>
      <c r="J88" s="159">
        <v>7.8651685393300003E-2</v>
      </c>
      <c r="K88" s="159">
        <v>7.8651685393300003E-2</v>
      </c>
      <c r="L88" s="159">
        <v>18.876404494399999</v>
      </c>
    </row>
    <row r="89" spans="1:12" x14ac:dyDescent="0.25">
      <c r="A89" s="2">
        <v>540069</v>
      </c>
      <c r="B89" s="2" t="s">
        <v>165</v>
      </c>
      <c r="C89" s="2" t="s">
        <v>37</v>
      </c>
      <c r="D89" s="2" t="s">
        <v>115</v>
      </c>
      <c r="E89" s="2">
        <v>9</v>
      </c>
      <c r="F89" s="2">
        <v>240</v>
      </c>
      <c r="G89" s="2">
        <v>21</v>
      </c>
      <c r="H89" s="2">
        <v>0</v>
      </c>
      <c r="I89" s="2">
        <v>0</v>
      </c>
      <c r="J89" s="159">
        <v>0</v>
      </c>
      <c r="K89" s="159">
        <v>0</v>
      </c>
      <c r="L89" s="159">
        <v>0</v>
      </c>
    </row>
    <row r="90" spans="1:12" x14ac:dyDescent="0.25">
      <c r="A90" s="252"/>
      <c r="B90" s="252"/>
      <c r="C90" s="252" t="s">
        <v>37</v>
      </c>
      <c r="D90" s="252"/>
      <c r="E90" s="252"/>
      <c r="F90" s="252">
        <v>135566</v>
      </c>
      <c r="G90" s="252">
        <v>6999</v>
      </c>
      <c r="H90" s="252">
        <v>132</v>
      </c>
      <c r="I90" s="252">
        <v>132</v>
      </c>
      <c r="J90" s="414">
        <v>1.8859837119600001E-2</v>
      </c>
      <c r="K90" s="414">
        <v>1.8859837119600001E-2</v>
      </c>
      <c r="L90" s="414">
        <v>4.5263609087000001</v>
      </c>
    </row>
    <row r="91" spans="1:12" x14ac:dyDescent="0.25">
      <c r="A91" s="2">
        <v>540070</v>
      </c>
      <c r="B91" s="2" t="s">
        <v>38</v>
      </c>
      <c r="C91" s="2" t="s">
        <v>39</v>
      </c>
      <c r="D91" s="2" t="s">
        <v>5</v>
      </c>
      <c r="E91" s="2">
        <v>3</v>
      </c>
      <c r="F91" s="2">
        <v>543863</v>
      </c>
      <c r="G91" s="2">
        <v>14219</v>
      </c>
      <c r="H91" s="2">
        <v>489</v>
      </c>
      <c r="I91" s="2">
        <v>489</v>
      </c>
      <c r="J91" s="159">
        <v>3.43906041212E-2</v>
      </c>
      <c r="K91" s="159">
        <v>3.43906041212E-2</v>
      </c>
      <c r="L91" s="159">
        <v>8.2537449890999994</v>
      </c>
    </row>
    <row r="92" spans="1:12" x14ac:dyDescent="0.25">
      <c r="A92" s="2">
        <v>540029</v>
      </c>
      <c r="B92" s="2" t="s">
        <v>134</v>
      </c>
      <c r="C92" s="2" t="s">
        <v>39</v>
      </c>
      <c r="D92" s="2" t="s">
        <v>115</v>
      </c>
      <c r="E92" s="2">
        <v>3</v>
      </c>
      <c r="F92" s="2">
        <v>239</v>
      </c>
      <c r="G92" s="2">
        <v>13</v>
      </c>
      <c r="H92" s="2">
        <v>0</v>
      </c>
      <c r="I92" s="2">
        <v>0</v>
      </c>
      <c r="J92" s="159">
        <v>0</v>
      </c>
      <c r="K92" s="159">
        <v>0</v>
      </c>
      <c r="L92" s="159">
        <v>0</v>
      </c>
    </row>
    <row r="93" spans="1:12" x14ac:dyDescent="0.25">
      <c r="A93" s="2">
        <v>540071</v>
      </c>
      <c r="B93" s="2" t="s">
        <v>166</v>
      </c>
      <c r="C93" s="2" t="s">
        <v>39</v>
      </c>
      <c r="D93" s="2" t="s">
        <v>115</v>
      </c>
      <c r="E93" s="2">
        <v>3</v>
      </c>
      <c r="F93" s="2">
        <v>500</v>
      </c>
      <c r="G93" s="2">
        <v>18</v>
      </c>
      <c r="H93" s="2">
        <v>0</v>
      </c>
      <c r="I93" s="2">
        <v>0</v>
      </c>
      <c r="J93" s="159">
        <v>0</v>
      </c>
      <c r="K93" s="159">
        <v>0</v>
      </c>
      <c r="L93" s="159">
        <v>0</v>
      </c>
    </row>
    <row r="94" spans="1:12" x14ac:dyDescent="0.25">
      <c r="A94" s="2">
        <v>540072</v>
      </c>
      <c r="B94" s="2" t="s">
        <v>167</v>
      </c>
      <c r="C94" s="2" t="s">
        <v>39</v>
      </c>
      <c r="D94" s="2" t="s">
        <v>115</v>
      </c>
      <c r="E94" s="2">
        <v>3</v>
      </c>
      <c r="F94" s="2">
        <v>459</v>
      </c>
      <c r="G94" s="2">
        <v>34</v>
      </c>
      <c r="H94" s="2">
        <v>0</v>
      </c>
      <c r="I94" s="2">
        <v>0</v>
      </c>
      <c r="J94" s="159">
        <v>0</v>
      </c>
      <c r="K94" s="159">
        <v>0</v>
      </c>
      <c r="L94" s="159">
        <v>0</v>
      </c>
    </row>
    <row r="95" spans="1:12" x14ac:dyDescent="0.25">
      <c r="A95" s="2">
        <v>540073</v>
      </c>
      <c r="B95" s="2" t="s">
        <v>168</v>
      </c>
      <c r="C95" s="2" t="s">
        <v>39</v>
      </c>
      <c r="D95" s="2" t="s">
        <v>115</v>
      </c>
      <c r="E95" s="2">
        <v>3</v>
      </c>
      <c r="F95" s="2">
        <v>20875</v>
      </c>
      <c r="G95" s="2">
        <v>768</v>
      </c>
      <c r="H95" s="2">
        <v>11</v>
      </c>
      <c r="I95" s="2">
        <v>11</v>
      </c>
      <c r="J95" s="159">
        <v>1.4322916666700001E-2</v>
      </c>
      <c r="K95" s="159">
        <v>1.4322916666700001E-2</v>
      </c>
      <c r="L95" s="159">
        <v>3.4375</v>
      </c>
    </row>
    <row r="96" spans="1:12" x14ac:dyDescent="0.25">
      <c r="A96" s="2">
        <v>540074</v>
      </c>
      <c r="B96" s="2" t="s">
        <v>169</v>
      </c>
      <c r="C96" s="2" t="s">
        <v>39</v>
      </c>
      <c r="D96" s="2" t="s">
        <v>115</v>
      </c>
      <c r="E96" s="2">
        <v>3</v>
      </c>
      <c r="F96" s="2">
        <v>411</v>
      </c>
      <c r="G96" s="2">
        <v>39</v>
      </c>
      <c r="H96" s="2">
        <v>0</v>
      </c>
      <c r="I96" s="2">
        <v>0</v>
      </c>
      <c r="J96" s="159">
        <v>0</v>
      </c>
      <c r="K96" s="159">
        <v>0</v>
      </c>
      <c r="L96" s="159">
        <v>0</v>
      </c>
    </row>
    <row r="97" spans="1:12" x14ac:dyDescent="0.25">
      <c r="A97" s="2">
        <v>540075</v>
      </c>
      <c r="B97" s="2" t="s">
        <v>170</v>
      </c>
      <c r="C97" s="2" t="s">
        <v>39</v>
      </c>
      <c r="D97" s="2" t="s">
        <v>115</v>
      </c>
      <c r="E97" s="2">
        <v>3</v>
      </c>
      <c r="F97" s="2">
        <v>974</v>
      </c>
      <c r="G97" s="2">
        <v>133</v>
      </c>
      <c r="H97" s="2">
        <v>1</v>
      </c>
      <c r="I97" s="2">
        <v>1</v>
      </c>
      <c r="J97" s="159">
        <v>7.5187969924800004E-3</v>
      </c>
      <c r="K97" s="159">
        <v>7.5187969924800004E-3</v>
      </c>
      <c r="L97" s="159">
        <v>1.8045112781999999</v>
      </c>
    </row>
    <row r="98" spans="1:12" x14ac:dyDescent="0.25">
      <c r="A98" s="2">
        <v>540076</v>
      </c>
      <c r="B98" s="2" t="s">
        <v>171</v>
      </c>
      <c r="C98" s="2" t="s">
        <v>39</v>
      </c>
      <c r="D98" s="2" t="s">
        <v>115</v>
      </c>
      <c r="E98" s="2">
        <v>3</v>
      </c>
      <c r="F98" s="2">
        <v>1795</v>
      </c>
      <c r="G98" s="2">
        <v>291</v>
      </c>
      <c r="H98" s="2">
        <v>1</v>
      </c>
      <c r="I98" s="2">
        <v>1</v>
      </c>
      <c r="J98" s="159">
        <v>3.4364261168400002E-3</v>
      </c>
      <c r="K98" s="159">
        <v>3.4364261168400002E-3</v>
      </c>
      <c r="L98" s="159">
        <v>0.82474226804100004</v>
      </c>
    </row>
    <row r="99" spans="1:12" x14ac:dyDescent="0.25">
      <c r="A99" s="2">
        <v>540077</v>
      </c>
      <c r="B99" s="2" t="s">
        <v>172</v>
      </c>
      <c r="C99" s="2" t="s">
        <v>39</v>
      </c>
      <c r="D99" s="2" t="s">
        <v>115</v>
      </c>
      <c r="E99" s="2">
        <v>3</v>
      </c>
      <c r="F99" s="2">
        <v>309</v>
      </c>
      <c r="G99" s="2">
        <v>35</v>
      </c>
      <c r="H99" s="2">
        <v>3</v>
      </c>
      <c r="I99" s="2">
        <v>3</v>
      </c>
      <c r="J99" s="159">
        <v>8.5714285714299995E-2</v>
      </c>
      <c r="K99" s="159">
        <v>8.5714285714299995E-2</v>
      </c>
      <c r="L99" s="159">
        <v>20.571428571399998</v>
      </c>
    </row>
    <row r="100" spans="1:12" x14ac:dyDescent="0.25">
      <c r="A100" s="2">
        <v>540078</v>
      </c>
      <c r="B100" s="2" t="s">
        <v>173</v>
      </c>
      <c r="C100" s="2" t="s">
        <v>39</v>
      </c>
      <c r="D100" s="2" t="s">
        <v>115</v>
      </c>
      <c r="E100" s="2">
        <v>3</v>
      </c>
      <c r="F100" s="2">
        <v>301</v>
      </c>
      <c r="G100" s="2">
        <v>22</v>
      </c>
      <c r="H100" s="2">
        <v>0</v>
      </c>
      <c r="I100" s="2">
        <v>0</v>
      </c>
      <c r="J100" s="159">
        <v>0</v>
      </c>
      <c r="K100" s="159">
        <v>0</v>
      </c>
      <c r="L100" s="159">
        <v>0</v>
      </c>
    </row>
    <row r="101" spans="1:12" x14ac:dyDescent="0.25">
      <c r="A101" s="2">
        <v>540079</v>
      </c>
      <c r="B101" s="2" t="s">
        <v>174</v>
      </c>
      <c r="C101" s="2" t="s">
        <v>39</v>
      </c>
      <c r="D101" s="2" t="s">
        <v>115</v>
      </c>
      <c r="E101" s="2">
        <v>3</v>
      </c>
      <c r="F101" s="2">
        <v>901</v>
      </c>
      <c r="G101" s="2">
        <v>20</v>
      </c>
      <c r="H101" s="2">
        <v>0</v>
      </c>
      <c r="I101" s="2">
        <v>0</v>
      </c>
      <c r="J101" s="159">
        <v>0</v>
      </c>
      <c r="K101" s="159">
        <v>0</v>
      </c>
      <c r="L101" s="159">
        <v>0</v>
      </c>
    </row>
    <row r="102" spans="1:12" x14ac:dyDescent="0.25">
      <c r="A102" s="2">
        <v>540081</v>
      </c>
      <c r="B102" s="2" t="s">
        <v>176</v>
      </c>
      <c r="C102" s="2" t="s">
        <v>39</v>
      </c>
      <c r="D102" s="2" t="s">
        <v>115</v>
      </c>
      <c r="E102" s="2">
        <v>3</v>
      </c>
      <c r="F102" s="2">
        <v>3090</v>
      </c>
      <c r="G102" s="2">
        <v>163</v>
      </c>
      <c r="H102" s="2">
        <v>13</v>
      </c>
      <c r="I102" s="2">
        <v>13</v>
      </c>
      <c r="J102" s="159">
        <v>7.9754601226999997E-2</v>
      </c>
      <c r="K102" s="159">
        <v>7.9754601226999997E-2</v>
      </c>
      <c r="L102" s="159">
        <v>19.1411042945</v>
      </c>
    </row>
    <row r="103" spans="1:12" x14ac:dyDescent="0.25">
      <c r="A103" s="2">
        <v>540082</v>
      </c>
      <c r="B103" s="2" t="s">
        <v>177</v>
      </c>
      <c r="C103" s="2" t="s">
        <v>39</v>
      </c>
      <c r="D103" s="2" t="s">
        <v>115</v>
      </c>
      <c r="E103" s="2">
        <v>3</v>
      </c>
      <c r="F103" s="2">
        <v>187</v>
      </c>
      <c r="G103" s="2">
        <v>24</v>
      </c>
      <c r="H103" s="2">
        <v>0</v>
      </c>
      <c r="I103" s="2">
        <v>0</v>
      </c>
      <c r="J103" s="159">
        <v>0</v>
      </c>
      <c r="K103" s="159">
        <v>0</v>
      </c>
      <c r="L103" s="159">
        <v>0</v>
      </c>
    </row>
    <row r="104" spans="1:12" x14ac:dyDescent="0.25">
      <c r="A104" s="2">
        <v>540083</v>
      </c>
      <c r="B104" s="2" t="s">
        <v>178</v>
      </c>
      <c r="C104" s="2" t="s">
        <v>39</v>
      </c>
      <c r="D104" s="2" t="s">
        <v>115</v>
      </c>
      <c r="E104" s="2">
        <v>3</v>
      </c>
      <c r="F104" s="2">
        <v>2361</v>
      </c>
      <c r="G104" s="2">
        <v>151</v>
      </c>
      <c r="H104" s="2">
        <v>9</v>
      </c>
      <c r="I104" s="2">
        <v>9</v>
      </c>
      <c r="J104" s="159">
        <v>5.9602649006599999E-2</v>
      </c>
      <c r="K104" s="159">
        <v>5.9602649006599999E-2</v>
      </c>
      <c r="L104" s="159">
        <v>14.3046357616</v>
      </c>
    </row>
    <row r="105" spans="1:12" x14ac:dyDescent="0.25">
      <c r="A105" s="2">
        <v>540223</v>
      </c>
      <c r="B105" s="2" t="s">
        <v>277</v>
      </c>
      <c r="C105" s="2" t="s">
        <v>39</v>
      </c>
      <c r="D105" s="2" t="s">
        <v>115</v>
      </c>
      <c r="E105" s="2">
        <v>3</v>
      </c>
      <c r="F105" s="2">
        <v>5617</v>
      </c>
      <c r="G105" s="2">
        <v>231</v>
      </c>
      <c r="H105" s="2">
        <v>19</v>
      </c>
      <c r="I105" s="2">
        <v>19</v>
      </c>
      <c r="J105" s="159">
        <v>8.2251082251100005E-2</v>
      </c>
      <c r="K105" s="159">
        <v>8.2251082251100005E-2</v>
      </c>
      <c r="L105" s="159">
        <v>19.740259740300001</v>
      </c>
    </row>
    <row r="106" spans="1:12" x14ac:dyDescent="0.25">
      <c r="A106" s="2">
        <v>540279</v>
      </c>
      <c r="B106" s="2" t="s">
        <v>320</v>
      </c>
      <c r="C106" s="2" t="s">
        <v>39</v>
      </c>
      <c r="D106" s="2" t="s">
        <v>115</v>
      </c>
      <c r="E106" s="2">
        <v>3</v>
      </c>
      <c r="F106" s="2">
        <v>622</v>
      </c>
      <c r="G106" s="2">
        <v>22</v>
      </c>
      <c r="H106" s="2">
        <v>0</v>
      </c>
      <c r="I106" s="2">
        <v>0</v>
      </c>
      <c r="J106" s="159">
        <v>0</v>
      </c>
      <c r="K106" s="159">
        <v>0</v>
      </c>
      <c r="L106" s="159">
        <v>0</v>
      </c>
    </row>
    <row r="107" spans="1:12" x14ac:dyDescent="0.25">
      <c r="A107" s="2">
        <v>540033</v>
      </c>
      <c r="B107" s="2" t="s">
        <v>138</v>
      </c>
      <c r="C107" s="2" t="s">
        <v>39</v>
      </c>
      <c r="D107" s="2" t="s">
        <v>115</v>
      </c>
      <c r="E107" s="2">
        <v>3</v>
      </c>
      <c r="F107" s="2">
        <v>5</v>
      </c>
      <c r="G107" s="2">
        <v>1</v>
      </c>
      <c r="H107" s="2">
        <v>0</v>
      </c>
      <c r="I107" s="2">
        <v>0</v>
      </c>
      <c r="J107" s="159">
        <v>0</v>
      </c>
      <c r="K107" s="159">
        <v>0</v>
      </c>
      <c r="L107" s="159">
        <v>0</v>
      </c>
    </row>
    <row r="108" spans="1:12" x14ac:dyDescent="0.25">
      <c r="A108" s="252"/>
      <c r="B108" s="252"/>
      <c r="C108" s="252" t="s">
        <v>39</v>
      </c>
      <c r="D108" s="252"/>
      <c r="E108" s="252"/>
      <c r="F108" s="252">
        <v>582509</v>
      </c>
      <c r="G108" s="252">
        <v>16184</v>
      </c>
      <c r="H108" s="252">
        <v>546</v>
      </c>
      <c r="I108" s="252">
        <v>546</v>
      </c>
      <c r="J108" s="414">
        <v>3.3737024221500003E-2</v>
      </c>
      <c r="K108" s="414">
        <v>3.3737024221500003E-2</v>
      </c>
      <c r="L108" s="414">
        <v>8.0968858131499992</v>
      </c>
    </row>
    <row r="109" spans="1:12" x14ac:dyDescent="0.25">
      <c r="A109" s="2">
        <v>540085</v>
      </c>
      <c r="B109" s="2" t="s">
        <v>40</v>
      </c>
      <c r="C109" s="2" t="s">
        <v>41</v>
      </c>
      <c r="D109" s="2" t="s">
        <v>5</v>
      </c>
      <c r="E109" s="2">
        <v>7</v>
      </c>
      <c r="F109" s="2">
        <v>247701</v>
      </c>
      <c r="G109" s="2">
        <v>6853</v>
      </c>
      <c r="H109" s="2">
        <v>285</v>
      </c>
      <c r="I109" s="2">
        <v>285</v>
      </c>
      <c r="J109" s="159">
        <v>4.1587625857299998E-2</v>
      </c>
      <c r="K109" s="159">
        <v>4.1587625857299998E-2</v>
      </c>
      <c r="L109" s="159">
        <v>9.9810302057500007</v>
      </c>
    </row>
    <row r="110" spans="1:12" x14ac:dyDescent="0.25">
      <c r="A110" s="2">
        <v>540086</v>
      </c>
      <c r="B110" s="2" t="s">
        <v>179</v>
      </c>
      <c r="C110" s="2" t="s">
        <v>41</v>
      </c>
      <c r="D110" s="2" t="s">
        <v>115</v>
      </c>
      <c r="E110" s="2">
        <v>7</v>
      </c>
      <c r="F110" s="2">
        <v>158</v>
      </c>
      <c r="G110" s="2">
        <v>50</v>
      </c>
      <c r="H110" s="2">
        <v>3</v>
      </c>
      <c r="I110" s="2">
        <v>3</v>
      </c>
      <c r="J110" s="159">
        <v>0.06</v>
      </c>
      <c r="K110" s="159">
        <v>0.06</v>
      </c>
      <c r="L110" s="159">
        <v>14.4</v>
      </c>
    </row>
    <row r="111" spans="1:12" x14ac:dyDescent="0.25">
      <c r="A111" s="2">
        <v>540087</v>
      </c>
      <c r="B111" s="2" t="s">
        <v>180</v>
      </c>
      <c r="C111" s="2" t="s">
        <v>41</v>
      </c>
      <c r="D111" s="2" t="s">
        <v>115</v>
      </c>
      <c r="E111" s="2">
        <v>7</v>
      </c>
      <c r="F111" s="2">
        <v>1275</v>
      </c>
      <c r="G111" s="2">
        <v>158</v>
      </c>
      <c r="H111" s="2">
        <v>2</v>
      </c>
      <c r="I111" s="2">
        <v>2</v>
      </c>
      <c r="J111" s="159">
        <v>1.2658227848099999E-2</v>
      </c>
      <c r="K111" s="159">
        <v>1.2658227848099999E-2</v>
      </c>
      <c r="L111" s="159">
        <v>3.0379746835399999</v>
      </c>
    </row>
    <row r="112" spans="1:12" x14ac:dyDescent="0.25">
      <c r="A112" s="252"/>
      <c r="B112" s="252"/>
      <c r="C112" s="252" t="s">
        <v>41</v>
      </c>
      <c r="D112" s="252"/>
      <c r="E112" s="252"/>
      <c r="F112" s="252">
        <v>249134</v>
      </c>
      <c r="G112" s="252">
        <v>7061</v>
      </c>
      <c r="H112" s="252">
        <v>290</v>
      </c>
      <c r="I112" s="252">
        <v>290</v>
      </c>
      <c r="J112" s="414">
        <v>4.1070669876799998E-2</v>
      </c>
      <c r="K112" s="414">
        <v>4.1070669876799998E-2</v>
      </c>
      <c r="L112" s="414">
        <v>9.8569607704299997</v>
      </c>
    </row>
    <row r="113" spans="1:12" x14ac:dyDescent="0.25">
      <c r="A113" s="2">
        <v>540088</v>
      </c>
      <c r="B113" s="2" t="s">
        <v>42</v>
      </c>
      <c r="C113" s="2" t="s">
        <v>43</v>
      </c>
      <c r="D113" s="2" t="s">
        <v>5</v>
      </c>
      <c r="E113" s="2">
        <v>2</v>
      </c>
      <c r="F113" s="2">
        <v>280041</v>
      </c>
      <c r="G113" s="2">
        <v>8422</v>
      </c>
      <c r="H113" s="2">
        <v>295</v>
      </c>
      <c r="I113" s="2">
        <v>295</v>
      </c>
      <c r="J113" s="159">
        <v>3.50273094277E-2</v>
      </c>
      <c r="K113" s="159">
        <v>3.50273094277E-2</v>
      </c>
      <c r="L113" s="159">
        <v>8.4065542626499994</v>
      </c>
    </row>
    <row r="114" spans="1:12" x14ac:dyDescent="0.25">
      <c r="A114" s="2">
        <v>540089</v>
      </c>
      <c r="B114" s="2" t="s">
        <v>181</v>
      </c>
      <c r="C114" s="2" t="s">
        <v>43</v>
      </c>
      <c r="D114" s="2" t="s">
        <v>115</v>
      </c>
      <c r="E114" s="2">
        <v>2</v>
      </c>
      <c r="F114" s="2">
        <v>385</v>
      </c>
      <c r="G114" s="2">
        <v>44</v>
      </c>
      <c r="H114" s="2">
        <v>1</v>
      </c>
      <c r="I114" s="2">
        <v>1</v>
      </c>
      <c r="J114" s="159">
        <v>2.2727272727300001E-2</v>
      </c>
      <c r="K114" s="159">
        <v>2.2727272727300001E-2</v>
      </c>
      <c r="L114" s="159">
        <v>5.4545454545499998</v>
      </c>
    </row>
    <row r="115" spans="1:12" x14ac:dyDescent="0.25">
      <c r="A115" s="2">
        <v>540090</v>
      </c>
      <c r="B115" s="2" t="s">
        <v>182</v>
      </c>
      <c r="C115" s="2" t="s">
        <v>43</v>
      </c>
      <c r="D115" s="2" t="s">
        <v>115</v>
      </c>
      <c r="E115" s="2">
        <v>2</v>
      </c>
      <c r="F115" s="2">
        <v>354</v>
      </c>
      <c r="G115" s="2">
        <v>52</v>
      </c>
      <c r="H115" s="2">
        <v>1</v>
      </c>
      <c r="I115" s="2">
        <v>1</v>
      </c>
      <c r="J115" s="159">
        <v>1.9230769230799999E-2</v>
      </c>
      <c r="K115" s="159">
        <v>1.9230769230799999E-2</v>
      </c>
      <c r="L115" s="159">
        <v>4.61538461538</v>
      </c>
    </row>
    <row r="116" spans="1:12" x14ac:dyDescent="0.25">
      <c r="A116" s="252"/>
      <c r="B116" s="252"/>
      <c r="C116" s="252" t="s">
        <v>43</v>
      </c>
      <c r="D116" s="252"/>
      <c r="E116" s="252"/>
      <c r="F116" s="252">
        <v>280780</v>
      </c>
      <c r="G116" s="252">
        <v>8518</v>
      </c>
      <c r="H116" s="252">
        <v>297</v>
      </c>
      <c r="I116" s="252">
        <v>297</v>
      </c>
      <c r="J116" s="414">
        <v>3.4867339751099999E-2</v>
      </c>
      <c r="K116" s="414">
        <v>3.4867339751099999E-2</v>
      </c>
      <c r="L116" s="414">
        <v>8.36816154027</v>
      </c>
    </row>
    <row r="117" spans="1:12" x14ac:dyDescent="0.25">
      <c r="A117" s="2">
        <v>540097</v>
      </c>
      <c r="B117" s="2" t="s">
        <v>44</v>
      </c>
      <c r="C117" s="2" t="s">
        <v>45</v>
      </c>
      <c r="D117" s="2" t="s">
        <v>5</v>
      </c>
      <c r="E117" s="2">
        <v>6</v>
      </c>
      <c r="F117" s="2">
        <v>187538</v>
      </c>
      <c r="G117" s="2">
        <v>4187</v>
      </c>
      <c r="H117" s="2">
        <v>112</v>
      </c>
      <c r="I117" s="2">
        <v>112</v>
      </c>
      <c r="J117" s="159">
        <v>2.6749462622400001E-2</v>
      </c>
      <c r="K117" s="159">
        <v>2.6749462622400001E-2</v>
      </c>
      <c r="L117" s="159">
        <v>6.4198710293800003</v>
      </c>
    </row>
    <row r="118" spans="1:12" x14ac:dyDescent="0.25">
      <c r="A118" s="2">
        <v>540098</v>
      </c>
      <c r="B118" s="2" t="s">
        <v>187</v>
      </c>
      <c r="C118" s="2" t="s">
        <v>45</v>
      </c>
      <c r="D118" s="2" t="s">
        <v>115</v>
      </c>
      <c r="E118" s="2">
        <v>6</v>
      </c>
      <c r="F118" s="2">
        <v>454</v>
      </c>
      <c r="G118" s="2">
        <v>55</v>
      </c>
      <c r="H118" s="2">
        <v>0</v>
      </c>
      <c r="I118" s="2">
        <v>0</v>
      </c>
      <c r="J118" s="159">
        <v>0</v>
      </c>
      <c r="K118" s="159">
        <v>0</v>
      </c>
      <c r="L118" s="159">
        <v>0</v>
      </c>
    </row>
    <row r="119" spans="1:12" x14ac:dyDescent="0.25">
      <c r="A119" s="2">
        <v>540099</v>
      </c>
      <c r="B119" s="2" t="s">
        <v>188</v>
      </c>
      <c r="C119" s="2" t="s">
        <v>45</v>
      </c>
      <c r="D119" s="2" t="s">
        <v>115</v>
      </c>
      <c r="E119" s="2">
        <v>6</v>
      </c>
      <c r="F119" s="2">
        <v>5740</v>
      </c>
      <c r="G119" s="2">
        <v>77</v>
      </c>
      <c r="H119" s="2">
        <v>2</v>
      </c>
      <c r="I119" s="2">
        <v>2</v>
      </c>
      <c r="J119" s="159">
        <v>2.5974025974E-2</v>
      </c>
      <c r="K119" s="159">
        <v>2.5974025974E-2</v>
      </c>
      <c r="L119" s="159">
        <v>6.2337662337699999</v>
      </c>
    </row>
    <row r="120" spans="1:12" x14ac:dyDescent="0.25">
      <c r="A120" s="2">
        <v>540100</v>
      </c>
      <c r="B120" s="2" t="s">
        <v>189</v>
      </c>
      <c r="C120" s="2" t="s">
        <v>45</v>
      </c>
      <c r="D120" s="2" t="s">
        <v>115</v>
      </c>
      <c r="E120" s="2">
        <v>6</v>
      </c>
      <c r="F120" s="2">
        <v>179</v>
      </c>
      <c r="G120" s="2">
        <v>20</v>
      </c>
      <c r="H120" s="2">
        <v>0</v>
      </c>
      <c r="I120" s="2">
        <v>0</v>
      </c>
      <c r="J120" s="159">
        <v>0</v>
      </c>
      <c r="K120" s="159">
        <v>0</v>
      </c>
      <c r="L120" s="159">
        <v>0</v>
      </c>
    </row>
    <row r="121" spans="1:12" x14ac:dyDescent="0.25">
      <c r="A121" s="2">
        <v>540101</v>
      </c>
      <c r="B121" s="2" t="s">
        <v>190</v>
      </c>
      <c r="C121" s="2" t="s">
        <v>45</v>
      </c>
      <c r="D121" s="2" t="s">
        <v>115</v>
      </c>
      <c r="E121" s="2">
        <v>6</v>
      </c>
      <c r="F121" s="2">
        <v>274</v>
      </c>
      <c r="G121" s="2">
        <v>52</v>
      </c>
      <c r="H121" s="2">
        <v>0</v>
      </c>
      <c r="I121" s="2">
        <v>0</v>
      </c>
      <c r="J121" s="159">
        <v>0</v>
      </c>
      <c r="K121" s="159">
        <v>0</v>
      </c>
      <c r="L121" s="159">
        <v>0</v>
      </c>
    </row>
    <row r="122" spans="1:12" x14ac:dyDescent="0.25">
      <c r="A122" s="2">
        <v>540102</v>
      </c>
      <c r="B122" s="2" t="s">
        <v>191</v>
      </c>
      <c r="C122" s="2" t="s">
        <v>45</v>
      </c>
      <c r="D122" s="2" t="s">
        <v>115</v>
      </c>
      <c r="E122" s="2">
        <v>6</v>
      </c>
      <c r="F122" s="2">
        <v>347</v>
      </c>
      <c r="G122" s="2">
        <v>56</v>
      </c>
      <c r="H122" s="2">
        <v>2</v>
      </c>
      <c r="I122" s="2">
        <v>2</v>
      </c>
      <c r="J122" s="159">
        <v>3.5714285714299999E-2</v>
      </c>
      <c r="K122" s="159">
        <v>3.5714285714299999E-2</v>
      </c>
      <c r="L122" s="159">
        <v>8.5714285714299994</v>
      </c>
    </row>
    <row r="123" spans="1:12" x14ac:dyDescent="0.25">
      <c r="A123" s="2">
        <v>540103</v>
      </c>
      <c r="B123" s="2" t="s">
        <v>192</v>
      </c>
      <c r="C123" s="2" t="s">
        <v>45</v>
      </c>
      <c r="D123" s="2" t="s">
        <v>115</v>
      </c>
      <c r="E123" s="2">
        <v>6</v>
      </c>
      <c r="F123" s="2">
        <v>729</v>
      </c>
      <c r="G123" s="2">
        <v>94</v>
      </c>
      <c r="H123" s="2">
        <v>8</v>
      </c>
      <c r="I123" s="2">
        <v>8</v>
      </c>
      <c r="J123" s="159">
        <v>8.5106382978700004E-2</v>
      </c>
      <c r="K123" s="159">
        <v>8.5106382978700004E-2</v>
      </c>
      <c r="L123" s="159">
        <v>20.425531914899999</v>
      </c>
    </row>
    <row r="124" spans="1:12" x14ac:dyDescent="0.25">
      <c r="A124" s="2">
        <v>540104</v>
      </c>
      <c r="B124" s="2" t="s">
        <v>193</v>
      </c>
      <c r="C124" s="2" t="s">
        <v>45</v>
      </c>
      <c r="D124" s="2" t="s">
        <v>115</v>
      </c>
      <c r="E124" s="2">
        <v>6</v>
      </c>
      <c r="F124" s="2">
        <v>341</v>
      </c>
      <c r="G124" s="2">
        <v>68</v>
      </c>
      <c r="H124" s="2">
        <v>7</v>
      </c>
      <c r="I124" s="2">
        <v>7</v>
      </c>
      <c r="J124" s="159">
        <v>0.102941176471</v>
      </c>
      <c r="K124" s="159">
        <v>0.102941176471</v>
      </c>
      <c r="L124" s="159">
        <v>24.705882352900002</v>
      </c>
    </row>
    <row r="125" spans="1:12" x14ac:dyDescent="0.25">
      <c r="A125" s="2">
        <v>540105</v>
      </c>
      <c r="B125" s="2" t="s">
        <v>194</v>
      </c>
      <c r="C125" s="2" t="s">
        <v>45</v>
      </c>
      <c r="D125" s="2" t="s">
        <v>115</v>
      </c>
      <c r="E125" s="2">
        <v>6</v>
      </c>
      <c r="F125" s="2">
        <v>381</v>
      </c>
      <c r="G125" s="2">
        <v>28</v>
      </c>
      <c r="H125" s="2">
        <v>0</v>
      </c>
      <c r="I125" s="2">
        <v>0</v>
      </c>
      <c r="J125" s="159">
        <v>0</v>
      </c>
      <c r="K125" s="159">
        <v>0</v>
      </c>
      <c r="L125" s="159">
        <v>0</v>
      </c>
    </row>
    <row r="126" spans="1:12" x14ac:dyDescent="0.25">
      <c r="A126" s="2">
        <v>540106</v>
      </c>
      <c r="B126" s="2" t="s">
        <v>195</v>
      </c>
      <c r="C126" s="2" t="s">
        <v>45</v>
      </c>
      <c r="D126" s="2" t="s">
        <v>115</v>
      </c>
      <c r="E126" s="2">
        <v>6</v>
      </c>
      <c r="F126" s="2">
        <v>383</v>
      </c>
      <c r="G126" s="2">
        <v>44</v>
      </c>
      <c r="H126" s="2">
        <v>5</v>
      </c>
      <c r="I126" s="2">
        <v>5</v>
      </c>
      <c r="J126" s="159">
        <v>0.11363636363600001</v>
      </c>
      <c r="K126" s="159">
        <v>0.11363636363600001</v>
      </c>
      <c r="L126" s="159">
        <v>27.272727272699999</v>
      </c>
    </row>
    <row r="127" spans="1:12" x14ac:dyDescent="0.25">
      <c r="A127" s="2">
        <v>540292</v>
      </c>
      <c r="B127" s="2" t="s">
        <v>329</v>
      </c>
      <c r="C127" s="2" t="s">
        <v>45</v>
      </c>
      <c r="D127" s="2" t="s">
        <v>115</v>
      </c>
      <c r="E127" s="2">
        <v>6</v>
      </c>
      <c r="F127" s="2">
        <v>2179</v>
      </c>
      <c r="G127" s="2">
        <v>99</v>
      </c>
      <c r="H127" s="2">
        <v>1</v>
      </c>
      <c r="I127" s="2">
        <v>1</v>
      </c>
      <c r="J127" s="159">
        <v>1.0101010101000001E-2</v>
      </c>
      <c r="K127" s="159">
        <v>1.0101010101000001E-2</v>
      </c>
      <c r="L127" s="159">
        <v>2.42424242424</v>
      </c>
    </row>
    <row r="128" spans="1:12" x14ac:dyDescent="0.25">
      <c r="A128" s="2">
        <v>545556</v>
      </c>
      <c r="B128" s="2" t="s">
        <v>337</v>
      </c>
      <c r="C128" s="2" t="s">
        <v>45</v>
      </c>
      <c r="D128" s="2" t="s">
        <v>115</v>
      </c>
      <c r="E128" s="2">
        <v>6</v>
      </c>
      <c r="F128" s="2">
        <v>674</v>
      </c>
      <c r="G128" s="2">
        <v>12</v>
      </c>
      <c r="H128" s="2">
        <v>0</v>
      </c>
      <c r="I128" s="2">
        <v>0</v>
      </c>
      <c r="J128" s="159">
        <v>0</v>
      </c>
      <c r="K128" s="159">
        <v>0</v>
      </c>
      <c r="L128" s="159">
        <v>0</v>
      </c>
    </row>
    <row r="129" spans="1:12" x14ac:dyDescent="0.25">
      <c r="A129" s="252"/>
      <c r="B129" s="252"/>
      <c r="C129" s="252" t="s">
        <v>45</v>
      </c>
      <c r="D129" s="252"/>
      <c r="E129" s="252"/>
      <c r="F129" s="252">
        <v>199219</v>
      </c>
      <c r="G129" s="252">
        <v>4792</v>
      </c>
      <c r="H129" s="252">
        <v>137</v>
      </c>
      <c r="I129" s="252">
        <v>137</v>
      </c>
      <c r="J129" s="414">
        <v>2.8589315525900001E-2</v>
      </c>
      <c r="K129" s="414">
        <v>2.8589315525900001E-2</v>
      </c>
      <c r="L129" s="414">
        <v>6.8614357262099999</v>
      </c>
    </row>
    <row r="130" spans="1:12" x14ac:dyDescent="0.25">
      <c r="A130" s="2">
        <v>540107</v>
      </c>
      <c r="B130" s="2" t="s">
        <v>46</v>
      </c>
      <c r="C130" s="2" t="s">
        <v>47</v>
      </c>
      <c r="D130" s="2" t="s">
        <v>5</v>
      </c>
      <c r="E130" s="2">
        <v>10</v>
      </c>
      <c r="F130" s="2">
        <v>194254</v>
      </c>
      <c r="G130" s="2">
        <v>4878</v>
      </c>
      <c r="H130" s="2">
        <v>200</v>
      </c>
      <c r="I130" s="2">
        <v>200</v>
      </c>
      <c r="J130" s="159">
        <v>4.1000410004099999E-2</v>
      </c>
      <c r="K130" s="159">
        <v>4.1000410004099999E-2</v>
      </c>
      <c r="L130" s="159">
        <v>9.8400984009800005</v>
      </c>
    </row>
    <row r="131" spans="1:12" x14ac:dyDescent="0.25">
      <c r="A131" s="2">
        <v>540108</v>
      </c>
      <c r="B131" s="2" t="s">
        <v>196</v>
      </c>
      <c r="C131" s="2" t="s">
        <v>47</v>
      </c>
      <c r="D131" s="2" t="s">
        <v>115</v>
      </c>
      <c r="E131" s="2">
        <v>10</v>
      </c>
      <c r="F131" s="2">
        <v>1137</v>
      </c>
      <c r="G131" s="2">
        <v>189</v>
      </c>
      <c r="H131" s="2">
        <v>0</v>
      </c>
      <c r="I131" s="2">
        <v>0</v>
      </c>
      <c r="J131" s="159">
        <v>0</v>
      </c>
      <c r="K131" s="159">
        <v>0</v>
      </c>
      <c r="L131" s="159">
        <v>0</v>
      </c>
    </row>
    <row r="132" spans="1:12" x14ac:dyDescent="0.25">
      <c r="A132" s="2">
        <v>540109</v>
      </c>
      <c r="B132" s="2" t="s">
        <v>197</v>
      </c>
      <c r="C132" s="2" t="s">
        <v>47</v>
      </c>
      <c r="D132" s="2" t="s">
        <v>115</v>
      </c>
      <c r="E132" s="2">
        <v>10</v>
      </c>
      <c r="F132" s="2">
        <v>742</v>
      </c>
      <c r="G132" s="2">
        <v>108</v>
      </c>
      <c r="H132" s="2">
        <v>0</v>
      </c>
      <c r="I132" s="2">
        <v>0</v>
      </c>
      <c r="J132" s="159">
        <v>0</v>
      </c>
      <c r="K132" s="159">
        <v>0</v>
      </c>
      <c r="L132" s="159">
        <v>0</v>
      </c>
    </row>
    <row r="133" spans="1:12" x14ac:dyDescent="0.25">
      <c r="A133" s="2">
        <v>540110</v>
      </c>
      <c r="B133" s="2" t="s">
        <v>198</v>
      </c>
      <c r="C133" s="2" t="s">
        <v>47</v>
      </c>
      <c r="D133" s="2" t="s">
        <v>115</v>
      </c>
      <c r="E133" s="2">
        <v>10</v>
      </c>
      <c r="F133" s="2">
        <v>517</v>
      </c>
      <c r="G133" s="2">
        <v>106</v>
      </c>
      <c r="H133" s="2">
        <v>0</v>
      </c>
      <c r="I133" s="2">
        <v>0</v>
      </c>
      <c r="J133" s="159">
        <v>0</v>
      </c>
      <c r="K133" s="159">
        <v>0</v>
      </c>
      <c r="L133" s="159">
        <v>0</v>
      </c>
    </row>
    <row r="134" spans="1:12" x14ac:dyDescent="0.25">
      <c r="A134" s="2">
        <v>540111</v>
      </c>
      <c r="B134" s="2" t="s">
        <v>199</v>
      </c>
      <c r="C134" s="2" t="s">
        <v>47</v>
      </c>
      <c r="D134" s="2" t="s">
        <v>115</v>
      </c>
      <c r="E134" s="2">
        <v>10</v>
      </c>
      <c r="F134" s="2">
        <v>2124</v>
      </c>
      <c r="G134" s="2">
        <v>533</v>
      </c>
      <c r="H134" s="2">
        <v>45</v>
      </c>
      <c r="I134" s="2">
        <v>45</v>
      </c>
      <c r="J134" s="159">
        <v>8.4427767354600003E-2</v>
      </c>
      <c r="K134" s="159">
        <v>8.4427767354600003E-2</v>
      </c>
      <c r="L134" s="159">
        <v>20.262664165099999</v>
      </c>
    </row>
    <row r="135" spans="1:12" x14ac:dyDescent="0.25">
      <c r="A135" s="2">
        <v>540287</v>
      </c>
      <c r="B135" s="2" t="s">
        <v>326</v>
      </c>
      <c r="C135" s="2" t="s">
        <v>47</v>
      </c>
      <c r="D135" s="2" t="s">
        <v>115</v>
      </c>
      <c r="E135" s="2">
        <v>10</v>
      </c>
      <c r="F135" s="2">
        <v>557</v>
      </c>
      <c r="G135" s="2">
        <v>26</v>
      </c>
      <c r="H135" s="2">
        <v>0</v>
      </c>
      <c r="I135" s="2">
        <v>0</v>
      </c>
      <c r="J135" s="159">
        <v>0</v>
      </c>
      <c r="K135" s="159">
        <v>0</v>
      </c>
      <c r="L135" s="159">
        <v>0</v>
      </c>
    </row>
    <row r="136" spans="1:12" x14ac:dyDescent="0.25">
      <c r="A136" s="2">
        <v>540152</v>
      </c>
      <c r="B136" s="2" t="s">
        <v>229</v>
      </c>
      <c r="C136" s="2" t="s">
        <v>47</v>
      </c>
      <c r="D136" s="2" t="s">
        <v>115</v>
      </c>
      <c r="E136" s="2">
        <v>10</v>
      </c>
      <c r="F136" s="2">
        <v>132</v>
      </c>
      <c r="G136" s="2">
        <v>3</v>
      </c>
      <c r="H136" s="2">
        <v>0</v>
      </c>
      <c r="I136" s="2">
        <v>0</v>
      </c>
      <c r="J136" s="159">
        <v>0</v>
      </c>
      <c r="K136" s="159">
        <v>0</v>
      </c>
      <c r="L136" s="159">
        <v>0</v>
      </c>
    </row>
    <row r="137" spans="1:12" x14ac:dyDescent="0.25">
      <c r="A137" s="253"/>
      <c r="B137" s="253"/>
      <c r="C137" s="253" t="s">
        <v>47</v>
      </c>
      <c r="D137" s="253"/>
      <c r="E137" s="253"/>
      <c r="F137" s="253">
        <v>199463</v>
      </c>
      <c r="G137" s="253">
        <v>5843</v>
      </c>
      <c r="H137" s="253">
        <v>245</v>
      </c>
      <c r="I137" s="253">
        <v>245</v>
      </c>
      <c r="J137" s="417">
        <v>4.1930515146300001E-2</v>
      </c>
      <c r="K137" s="417">
        <v>4.1930515146300001E-2</v>
      </c>
      <c r="L137" s="417">
        <v>10.0633236351</v>
      </c>
    </row>
    <row r="138" spans="1:12" x14ac:dyDescent="0.25">
      <c r="A138" s="2">
        <v>540112</v>
      </c>
      <c r="B138" s="2" t="s">
        <v>48</v>
      </c>
      <c r="C138" s="2" t="s">
        <v>49</v>
      </c>
      <c r="D138" s="2" t="s">
        <v>5</v>
      </c>
      <c r="E138" s="2">
        <v>2</v>
      </c>
      <c r="F138" s="2">
        <v>280220</v>
      </c>
      <c r="G138" s="2">
        <v>19997</v>
      </c>
      <c r="H138" s="2">
        <v>369</v>
      </c>
      <c r="I138" s="2">
        <v>369</v>
      </c>
      <c r="J138" s="159">
        <v>1.8452767915200001E-2</v>
      </c>
      <c r="K138" s="159">
        <v>1.8452767915200001E-2</v>
      </c>
      <c r="L138" s="159">
        <v>4.4286642996400003</v>
      </c>
    </row>
    <row r="139" spans="1:12" x14ac:dyDescent="0.25">
      <c r="A139" s="2">
        <v>540113</v>
      </c>
      <c r="B139" s="2" t="s">
        <v>200</v>
      </c>
      <c r="C139" s="2" t="s">
        <v>49</v>
      </c>
      <c r="D139" s="2" t="s">
        <v>115</v>
      </c>
      <c r="E139" s="2">
        <v>2</v>
      </c>
      <c r="F139" s="2">
        <v>240</v>
      </c>
      <c r="G139" s="2">
        <v>31</v>
      </c>
      <c r="H139" s="2">
        <v>0</v>
      </c>
      <c r="I139" s="2">
        <v>0</v>
      </c>
      <c r="J139" s="159">
        <v>0</v>
      </c>
      <c r="K139" s="159">
        <v>0</v>
      </c>
      <c r="L139" s="159">
        <v>0</v>
      </c>
    </row>
    <row r="140" spans="1:12" x14ac:dyDescent="0.25">
      <c r="A140" s="2">
        <v>540247</v>
      </c>
      <c r="B140" s="2" t="s">
        <v>293</v>
      </c>
      <c r="C140" s="2" t="s">
        <v>49</v>
      </c>
      <c r="D140" s="2" t="s">
        <v>115</v>
      </c>
      <c r="E140" s="2">
        <v>2</v>
      </c>
      <c r="F140" s="2">
        <v>793</v>
      </c>
      <c r="G140" s="2">
        <v>249</v>
      </c>
      <c r="H140" s="2">
        <v>0</v>
      </c>
      <c r="I140" s="2">
        <v>0</v>
      </c>
      <c r="J140" s="159">
        <v>0</v>
      </c>
      <c r="K140" s="159">
        <v>0</v>
      </c>
      <c r="L140" s="159">
        <v>0</v>
      </c>
    </row>
    <row r="141" spans="1:12" x14ac:dyDescent="0.25">
      <c r="A141" s="2">
        <v>540248</v>
      </c>
      <c r="B141" s="2" t="s">
        <v>294</v>
      </c>
      <c r="C141" s="2" t="s">
        <v>49</v>
      </c>
      <c r="D141" s="2" t="s">
        <v>115</v>
      </c>
      <c r="E141" s="2">
        <v>2</v>
      </c>
      <c r="F141" s="2">
        <v>374</v>
      </c>
      <c r="G141" s="2">
        <v>76</v>
      </c>
      <c r="H141" s="2">
        <v>6</v>
      </c>
      <c r="I141" s="2">
        <v>6</v>
      </c>
      <c r="J141" s="159">
        <v>7.8947368421100006E-2</v>
      </c>
      <c r="K141" s="159">
        <v>7.8947368421100006E-2</v>
      </c>
      <c r="L141" s="159">
        <v>18.947368421099998</v>
      </c>
    </row>
    <row r="142" spans="1:12" x14ac:dyDescent="0.25">
      <c r="A142" s="2">
        <v>540249</v>
      </c>
      <c r="B142" s="2" t="s">
        <v>295</v>
      </c>
      <c r="C142" s="2" t="s">
        <v>49</v>
      </c>
      <c r="D142" s="2" t="s">
        <v>115</v>
      </c>
      <c r="E142" s="2">
        <v>2</v>
      </c>
      <c r="F142" s="2">
        <v>833</v>
      </c>
      <c r="G142" s="2">
        <v>186</v>
      </c>
      <c r="H142" s="2">
        <v>4</v>
      </c>
      <c r="I142" s="2">
        <v>4</v>
      </c>
      <c r="J142" s="159">
        <v>2.1505376344100002E-2</v>
      </c>
      <c r="K142" s="159">
        <v>2.1505376344100002E-2</v>
      </c>
      <c r="L142" s="159">
        <v>5.1612903225800002</v>
      </c>
    </row>
    <row r="143" spans="1:12" x14ac:dyDescent="0.25">
      <c r="A143" s="2">
        <v>540250</v>
      </c>
      <c r="B143" s="2" t="s">
        <v>296</v>
      </c>
      <c r="C143" s="2" t="s">
        <v>49</v>
      </c>
      <c r="D143" s="2" t="s">
        <v>115</v>
      </c>
      <c r="E143" s="2">
        <v>2</v>
      </c>
      <c r="F143" s="2">
        <v>1977</v>
      </c>
      <c r="G143" s="2">
        <v>583</v>
      </c>
      <c r="H143" s="2">
        <v>58</v>
      </c>
      <c r="I143" s="2">
        <v>58</v>
      </c>
      <c r="J143" s="159">
        <v>9.94854202401E-2</v>
      </c>
      <c r="K143" s="159">
        <v>9.94854202401E-2</v>
      </c>
      <c r="L143" s="159">
        <v>23.8765008576</v>
      </c>
    </row>
    <row r="144" spans="1:12" x14ac:dyDescent="0.25">
      <c r="A144" s="2">
        <v>540251</v>
      </c>
      <c r="B144" s="2" t="s">
        <v>297</v>
      </c>
      <c r="C144" s="2" t="s">
        <v>49</v>
      </c>
      <c r="D144" s="2" t="s">
        <v>115</v>
      </c>
      <c r="E144" s="2">
        <v>2</v>
      </c>
      <c r="F144" s="2">
        <v>298</v>
      </c>
      <c r="G144" s="2">
        <v>121</v>
      </c>
      <c r="H144" s="2">
        <v>0</v>
      </c>
      <c r="I144" s="2">
        <v>0</v>
      </c>
      <c r="J144" s="159">
        <v>0</v>
      </c>
      <c r="K144" s="159">
        <v>0</v>
      </c>
      <c r="L144" s="159">
        <v>0</v>
      </c>
    </row>
    <row r="145" spans="1:12" x14ac:dyDescent="0.25">
      <c r="A145" s="252"/>
      <c r="B145" s="252"/>
      <c r="C145" s="252" t="s">
        <v>49</v>
      </c>
      <c r="D145" s="252"/>
      <c r="E145" s="252"/>
      <c r="F145" s="252">
        <v>284735</v>
      </c>
      <c r="G145" s="252">
        <v>21243</v>
      </c>
      <c r="H145" s="252">
        <v>437</v>
      </c>
      <c r="I145" s="252">
        <v>437</v>
      </c>
      <c r="J145" s="414">
        <v>2.0571482370700001E-2</v>
      </c>
      <c r="K145" s="414">
        <v>2.0571482370700001E-2</v>
      </c>
      <c r="L145" s="414">
        <v>4.9371557689600003</v>
      </c>
    </row>
    <row r="146" spans="1:12" x14ac:dyDescent="0.25">
      <c r="A146" s="2">
        <v>540114</v>
      </c>
      <c r="B146" s="2" t="s">
        <v>50</v>
      </c>
      <c r="C146" s="2" t="s">
        <v>51</v>
      </c>
      <c r="D146" s="2" t="s">
        <v>5</v>
      </c>
      <c r="E146" s="2">
        <v>1</v>
      </c>
      <c r="F146" s="2">
        <v>333847</v>
      </c>
      <c r="G146" s="2">
        <v>2014</v>
      </c>
      <c r="H146" s="2">
        <v>93</v>
      </c>
      <c r="I146" s="2">
        <v>93</v>
      </c>
      <c r="J146" s="159">
        <v>4.61767626614E-2</v>
      </c>
      <c r="K146" s="159">
        <v>4.61767626614E-2</v>
      </c>
      <c r="L146" s="159">
        <v>11.0824230387</v>
      </c>
    </row>
    <row r="147" spans="1:12" x14ac:dyDescent="0.25">
      <c r="A147" s="2">
        <v>540115</v>
      </c>
      <c r="B147" s="2" t="s">
        <v>201</v>
      </c>
      <c r="C147" s="2" t="s">
        <v>51</v>
      </c>
      <c r="D147" s="2" t="s">
        <v>115</v>
      </c>
      <c r="E147" s="2">
        <v>1</v>
      </c>
      <c r="F147" s="2">
        <v>368</v>
      </c>
      <c r="G147" s="2">
        <v>15</v>
      </c>
      <c r="H147" s="2">
        <v>2</v>
      </c>
      <c r="I147" s="2">
        <v>2</v>
      </c>
      <c r="J147" s="159">
        <v>0.13333333333299999</v>
      </c>
      <c r="K147" s="159">
        <v>0.13333333333299999</v>
      </c>
      <c r="L147" s="159">
        <v>32</v>
      </c>
    </row>
    <row r="148" spans="1:12" x14ac:dyDescent="0.25">
      <c r="A148" s="2">
        <v>540116</v>
      </c>
      <c r="B148" s="2" t="s">
        <v>202</v>
      </c>
      <c r="C148" s="2" t="s">
        <v>51</v>
      </c>
      <c r="D148" s="2" t="s">
        <v>115</v>
      </c>
      <c r="E148" s="2">
        <v>1</v>
      </c>
      <c r="F148" s="2">
        <v>828</v>
      </c>
      <c r="G148" s="2">
        <v>39</v>
      </c>
      <c r="H148" s="2">
        <v>4</v>
      </c>
      <c r="I148" s="2">
        <v>4</v>
      </c>
      <c r="J148" s="159">
        <v>0.102564102564</v>
      </c>
      <c r="K148" s="159">
        <v>0.102564102564</v>
      </c>
      <c r="L148" s="159">
        <v>24.6153846154</v>
      </c>
    </row>
    <row r="149" spans="1:12" x14ac:dyDescent="0.25">
      <c r="A149" s="2">
        <v>540117</v>
      </c>
      <c r="B149" s="2" t="s">
        <v>203</v>
      </c>
      <c r="C149" s="2" t="s">
        <v>51</v>
      </c>
      <c r="D149" s="2" t="s">
        <v>115</v>
      </c>
      <c r="E149" s="2">
        <v>1</v>
      </c>
      <c r="F149" s="2">
        <v>559</v>
      </c>
      <c r="G149" s="2">
        <v>122</v>
      </c>
      <c r="H149" s="2">
        <v>0</v>
      </c>
      <c r="I149" s="2">
        <v>0</v>
      </c>
      <c r="J149" s="159">
        <v>0</v>
      </c>
      <c r="K149" s="159">
        <v>0</v>
      </c>
      <c r="L149" s="159">
        <v>0</v>
      </c>
    </row>
    <row r="150" spans="1:12" x14ac:dyDescent="0.25">
      <c r="A150" s="2">
        <v>540118</v>
      </c>
      <c r="B150" s="2" t="s">
        <v>204</v>
      </c>
      <c r="C150" s="2" t="s">
        <v>51</v>
      </c>
      <c r="D150" s="2" t="s">
        <v>115</v>
      </c>
      <c r="E150" s="2">
        <v>1</v>
      </c>
      <c r="F150" s="2">
        <v>535</v>
      </c>
      <c r="G150" s="2">
        <v>25</v>
      </c>
      <c r="H150" s="2">
        <v>0</v>
      </c>
      <c r="I150" s="2">
        <v>0</v>
      </c>
      <c r="J150" s="159">
        <v>0</v>
      </c>
      <c r="K150" s="159">
        <v>0</v>
      </c>
      <c r="L150" s="159">
        <v>0</v>
      </c>
    </row>
    <row r="151" spans="1:12" x14ac:dyDescent="0.25">
      <c r="A151" s="2">
        <v>540119</v>
      </c>
      <c r="B151" s="2" t="s">
        <v>205</v>
      </c>
      <c r="C151" s="2" t="s">
        <v>51</v>
      </c>
      <c r="D151" s="2" t="s">
        <v>115</v>
      </c>
      <c r="E151" s="2">
        <v>1</v>
      </c>
      <c r="F151" s="2">
        <v>208</v>
      </c>
      <c r="G151" s="2">
        <v>17</v>
      </c>
      <c r="H151" s="2">
        <v>1</v>
      </c>
      <c r="I151" s="2">
        <v>1</v>
      </c>
      <c r="J151" s="159">
        <v>5.8823529411800003E-2</v>
      </c>
      <c r="K151" s="159">
        <v>5.8823529411800003E-2</v>
      </c>
      <c r="L151" s="159">
        <v>14.117647058799999</v>
      </c>
    </row>
    <row r="152" spans="1:12" x14ac:dyDescent="0.25">
      <c r="A152" s="2">
        <v>540120</v>
      </c>
      <c r="B152" s="2" t="s">
        <v>206</v>
      </c>
      <c r="C152" s="2" t="s">
        <v>51</v>
      </c>
      <c r="D152" s="2" t="s">
        <v>115</v>
      </c>
      <c r="E152" s="2">
        <v>1</v>
      </c>
      <c r="F152" s="2">
        <v>162</v>
      </c>
      <c r="G152" s="2">
        <v>18</v>
      </c>
      <c r="H152" s="2">
        <v>1</v>
      </c>
      <c r="I152" s="2">
        <v>1</v>
      </c>
      <c r="J152" s="159">
        <v>5.5555555555600003E-2</v>
      </c>
      <c r="K152" s="159">
        <v>5.5555555555600003E-2</v>
      </c>
      <c r="L152" s="159">
        <v>13.333333333300001</v>
      </c>
    </row>
    <row r="153" spans="1:12" x14ac:dyDescent="0.25">
      <c r="A153" s="2">
        <v>540121</v>
      </c>
      <c r="B153" s="2" t="s">
        <v>207</v>
      </c>
      <c r="C153" s="2" t="s">
        <v>51</v>
      </c>
      <c r="D153" s="2" t="s">
        <v>115</v>
      </c>
      <c r="E153" s="2">
        <v>1</v>
      </c>
      <c r="F153" s="2">
        <v>617</v>
      </c>
      <c r="G153" s="2">
        <v>46</v>
      </c>
      <c r="H153" s="2">
        <v>1</v>
      </c>
      <c r="I153" s="2">
        <v>1</v>
      </c>
      <c r="J153" s="159">
        <v>2.17391304348E-2</v>
      </c>
      <c r="K153" s="159">
        <v>2.17391304348E-2</v>
      </c>
      <c r="L153" s="159">
        <v>5.2173913043500004</v>
      </c>
    </row>
    <row r="154" spans="1:12" x14ac:dyDescent="0.25">
      <c r="A154" s="2">
        <v>540122</v>
      </c>
      <c r="B154" s="2" t="s">
        <v>208</v>
      </c>
      <c r="C154" s="2" t="s">
        <v>51</v>
      </c>
      <c r="D154" s="2" t="s">
        <v>115</v>
      </c>
      <c r="E154" s="2">
        <v>1</v>
      </c>
      <c r="F154" s="2">
        <v>589</v>
      </c>
      <c r="G154" s="2">
        <v>31</v>
      </c>
      <c r="H154" s="2">
        <v>0</v>
      </c>
      <c r="I154" s="2">
        <v>0</v>
      </c>
      <c r="J154" s="159">
        <v>0</v>
      </c>
      <c r="K154" s="159">
        <v>0</v>
      </c>
      <c r="L154" s="159">
        <v>0</v>
      </c>
    </row>
    <row r="155" spans="1:12" x14ac:dyDescent="0.25">
      <c r="A155" s="2">
        <v>540123</v>
      </c>
      <c r="B155" s="2" t="s">
        <v>209</v>
      </c>
      <c r="C155" s="2" t="s">
        <v>51</v>
      </c>
      <c r="D155" s="2" t="s">
        <v>115</v>
      </c>
      <c r="E155" s="2">
        <v>1</v>
      </c>
      <c r="F155" s="2">
        <v>3878</v>
      </c>
      <c r="G155" s="2">
        <v>108</v>
      </c>
      <c r="H155" s="2">
        <v>6</v>
      </c>
      <c r="I155" s="2">
        <v>6</v>
      </c>
      <c r="J155" s="159">
        <v>5.5555555555600003E-2</v>
      </c>
      <c r="K155" s="159">
        <v>5.5555555555600003E-2</v>
      </c>
      <c r="L155" s="159">
        <v>13.333333333300001</v>
      </c>
    </row>
    <row r="156" spans="1:12" x14ac:dyDescent="0.25">
      <c r="A156" s="2">
        <v>540291</v>
      </c>
      <c r="B156" s="2" t="s">
        <v>328</v>
      </c>
      <c r="C156" s="2" t="s">
        <v>51</v>
      </c>
      <c r="D156" s="2" t="s">
        <v>115</v>
      </c>
      <c r="E156" s="2">
        <v>1</v>
      </c>
      <c r="F156" s="2">
        <v>512</v>
      </c>
      <c r="G156" s="2">
        <v>10</v>
      </c>
      <c r="H156" s="2">
        <v>0</v>
      </c>
      <c r="I156" s="2">
        <v>0</v>
      </c>
      <c r="J156" s="159">
        <v>0</v>
      </c>
      <c r="K156" s="159">
        <v>0</v>
      </c>
      <c r="L156" s="159">
        <v>0</v>
      </c>
    </row>
    <row r="157" spans="1:12" x14ac:dyDescent="0.25">
      <c r="A157" s="252"/>
      <c r="B157" s="252"/>
      <c r="C157" s="252" t="s">
        <v>51</v>
      </c>
      <c r="D157" s="252"/>
      <c r="E157" s="252"/>
      <c r="F157" s="252">
        <v>342103</v>
      </c>
      <c r="G157" s="252">
        <v>2445</v>
      </c>
      <c r="H157" s="252">
        <v>108</v>
      </c>
      <c r="I157" s="252">
        <v>108</v>
      </c>
      <c r="J157" s="414">
        <v>4.4171779141100001E-2</v>
      </c>
      <c r="K157" s="414">
        <v>4.4171779141100001E-2</v>
      </c>
      <c r="L157" s="414">
        <v>10.601226993899999</v>
      </c>
    </row>
    <row r="158" spans="1:12" x14ac:dyDescent="0.25">
      <c r="A158" s="2">
        <v>540124</v>
      </c>
      <c r="B158" s="2" t="s">
        <v>52</v>
      </c>
      <c r="C158" s="2" t="s">
        <v>53</v>
      </c>
      <c r="D158" s="2" t="s">
        <v>5</v>
      </c>
      <c r="E158" s="2">
        <v>1</v>
      </c>
      <c r="F158" s="2">
        <v>260256</v>
      </c>
      <c r="G158" s="2">
        <v>5887</v>
      </c>
      <c r="H158" s="2">
        <v>191</v>
      </c>
      <c r="I158" s="2">
        <v>191</v>
      </c>
      <c r="J158" s="159">
        <v>3.2444368948500002E-2</v>
      </c>
      <c r="K158" s="159">
        <v>3.2444368948500002E-2</v>
      </c>
      <c r="L158" s="159">
        <v>7.7866485476499996</v>
      </c>
    </row>
    <row r="159" spans="1:12" x14ac:dyDescent="0.25">
      <c r="A159" s="2">
        <v>540125</v>
      </c>
      <c r="B159" s="2" t="s">
        <v>210</v>
      </c>
      <c r="C159" s="2" t="s">
        <v>53</v>
      </c>
      <c r="D159" s="2" t="s">
        <v>115</v>
      </c>
      <c r="E159" s="2">
        <v>1</v>
      </c>
      <c r="F159" s="2">
        <v>374</v>
      </c>
      <c r="G159" s="2">
        <v>14</v>
      </c>
      <c r="H159" s="2">
        <v>0</v>
      </c>
      <c r="I159" s="2">
        <v>0</v>
      </c>
      <c r="J159" s="159">
        <v>0</v>
      </c>
      <c r="K159" s="159">
        <v>0</v>
      </c>
      <c r="L159" s="159">
        <v>0</v>
      </c>
    </row>
    <row r="160" spans="1:12" x14ac:dyDescent="0.25">
      <c r="A160" s="2">
        <v>540126</v>
      </c>
      <c r="B160" s="2" t="s">
        <v>211</v>
      </c>
      <c r="C160" s="2" t="s">
        <v>53</v>
      </c>
      <c r="D160" s="2" t="s">
        <v>115</v>
      </c>
      <c r="E160" s="2">
        <v>1</v>
      </c>
      <c r="F160" s="2">
        <v>169</v>
      </c>
      <c r="G160" s="2">
        <v>24</v>
      </c>
      <c r="H160" s="2">
        <v>1</v>
      </c>
      <c r="I160" s="2">
        <v>1</v>
      </c>
      <c r="J160" s="159">
        <v>4.1666666666699999E-2</v>
      </c>
      <c r="K160" s="159">
        <v>4.1666666666699999E-2</v>
      </c>
      <c r="L160" s="159">
        <v>10</v>
      </c>
    </row>
    <row r="161" spans="1:12" x14ac:dyDescent="0.25">
      <c r="A161" s="2">
        <v>540127</v>
      </c>
      <c r="B161" s="2" t="s">
        <v>212</v>
      </c>
      <c r="C161" s="2" t="s">
        <v>53</v>
      </c>
      <c r="D161" s="2" t="s">
        <v>115</v>
      </c>
      <c r="E161" s="2">
        <v>1</v>
      </c>
      <c r="F161" s="2">
        <v>269</v>
      </c>
      <c r="G161" s="2">
        <v>19</v>
      </c>
      <c r="H161" s="2">
        <v>3</v>
      </c>
      <c r="I161" s="2">
        <v>3</v>
      </c>
      <c r="J161" s="159">
        <v>0.15789473684200001</v>
      </c>
      <c r="K161" s="159">
        <v>0.15789473684200001</v>
      </c>
      <c r="L161" s="159">
        <v>37.894736842100002</v>
      </c>
    </row>
    <row r="162" spans="1:12" x14ac:dyDescent="0.25">
      <c r="A162" s="2">
        <v>540128</v>
      </c>
      <c r="B162" s="2" t="s">
        <v>213</v>
      </c>
      <c r="C162" s="2" t="s">
        <v>53</v>
      </c>
      <c r="D162" s="2" t="s">
        <v>115</v>
      </c>
      <c r="E162" s="2">
        <v>1</v>
      </c>
      <c r="F162" s="2">
        <v>1953</v>
      </c>
      <c r="G162" s="2">
        <v>294</v>
      </c>
      <c r="H162" s="2">
        <v>0</v>
      </c>
      <c r="I162" s="2">
        <v>0</v>
      </c>
      <c r="J162" s="159">
        <v>0</v>
      </c>
      <c r="K162" s="159">
        <v>0</v>
      </c>
      <c r="L162" s="159">
        <v>0</v>
      </c>
    </row>
    <row r="163" spans="1:12" x14ac:dyDescent="0.25">
      <c r="A163" s="2">
        <v>540172</v>
      </c>
      <c r="B163" s="2" t="s">
        <v>244</v>
      </c>
      <c r="C163" s="2" t="s">
        <v>53</v>
      </c>
      <c r="D163" s="2" t="s">
        <v>115</v>
      </c>
      <c r="E163" s="2">
        <v>1</v>
      </c>
      <c r="F163" s="2">
        <v>252</v>
      </c>
      <c r="G163" s="2">
        <v>0</v>
      </c>
      <c r="H163" s="2">
        <v>0</v>
      </c>
      <c r="I163" s="2">
        <v>0</v>
      </c>
      <c r="J163" s="159" t="s">
        <v>488</v>
      </c>
      <c r="K163" s="159" t="s">
        <v>488</v>
      </c>
      <c r="L163" s="159" t="s">
        <v>488</v>
      </c>
    </row>
    <row r="164" spans="1:12" x14ac:dyDescent="0.25">
      <c r="A164" s="2">
        <v>540285</v>
      </c>
      <c r="B164" s="2" t="s">
        <v>324</v>
      </c>
      <c r="C164" s="2" t="s">
        <v>53</v>
      </c>
      <c r="D164" s="2" t="s">
        <v>115</v>
      </c>
      <c r="E164" s="2">
        <v>1</v>
      </c>
      <c r="F164" s="2">
        <v>5771</v>
      </c>
      <c r="G164" s="2">
        <v>8</v>
      </c>
      <c r="H164" s="2">
        <v>0</v>
      </c>
      <c r="I164" s="2">
        <v>0</v>
      </c>
      <c r="J164" s="159">
        <v>0</v>
      </c>
      <c r="K164" s="159">
        <v>0</v>
      </c>
      <c r="L164" s="159">
        <v>0</v>
      </c>
    </row>
    <row r="165" spans="1:12" x14ac:dyDescent="0.25">
      <c r="A165" s="252"/>
      <c r="B165" s="252"/>
      <c r="C165" s="252" t="s">
        <v>53</v>
      </c>
      <c r="D165" s="252"/>
      <c r="E165" s="252"/>
      <c r="F165" s="252">
        <v>269044</v>
      </c>
      <c r="G165" s="252">
        <v>6246</v>
      </c>
      <c r="H165" s="252">
        <v>195</v>
      </c>
      <c r="I165" s="252">
        <v>195</v>
      </c>
      <c r="J165" s="414">
        <v>3.12199807877E-2</v>
      </c>
      <c r="K165" s="414">
        <v>3.12199807877E-2</v>
      </c>
      <c r="L165" s="414">
        <v>7.4927953890500003</v>
      </c>
    </row>
    <row r="166" spans="1:12" x14ac:dyDescent="0.25">
      <c r="A166" s="2">
        <v>540129</v>
      </c>
      <c r="B166" s="2" t="s">
        <v>54</v>
      </c>
      <c r="C166" s="2" t="s">
        <v>55</v>
      </c>
      <c r="D166" s="2" t="s">
        <v>5</v>
      </c>
      <c r="E166" s="2">
        <v>8</v>
      </c>
      <c r="F166" s="2">
        <v>208143</v>
      </c>
      <c r="G166" s="2">
        <v>6960</v>
      </c>
      <c r="H166" s="2">
        <v>162</v>
      </c>
      <c r="I166" s="2">
        <v>162</v>
      </c>
      <c r="J166" s="159">
        <v>2.3275862069000001E-2</v>
      </c>
      <c r="K166" s="159">
        <v>2.3275862069000001E-2</v>
      </c>
      <c r="L166" s="159">
        <v>5.5862068965500002</v>
      </c>
    </row>
    <row r="167" spans="1:12" x14ac:dyDescent="0.25">
      <c r="A167" s="2">
        <v>540130</v>
      </c>
      <c r="B167" s="2" t="s">
        <v>214</v>
      </c>
      <c r="C167" s="2" t="s">
        <v>55</v>
      </c>
      <c r="D167" s="2" t="s">
        <v>115</v>
      </c>
      <c r="E167" s="2">
        <v>8</v>
      </c>
      <c r="F167" s="2">
        <v>1259</v>
      </c>
      <c r="G167" s="2">
        <v>98</v>
      </c>
      <c r="H167" s="2">
        <v>5</v>
      </c>
      <c r="I167" s="2">
        <v>5</v>
      </c>
      <c r="J167" s="159">
        <v>5.1020408163300002E-2</v>
      </c>
      <c r="K167" s="159">
        <v>5.1020408163300002E-2</v>
      </c>
      <c r="L167" s="159">
        <v>12.244897959199999</v>
      </c>
    </row>
    <row r="168" spans="1:12" x14ac:dyDescent="0.25">
      <c r="A168" s="2">
        <v>540131</v>
      </c>
      <c r="B168" s="2" t="s">
        <v>215</v>
      </c>
      <c r="C168" s="2" t="s">
        <v>55</v>
      </c>
      <c r="D168" s="2" t="s">
        <v>115</v>
      </c>
      <c r="E168" s="2">
        <v>8</v>
      </c>
      <c r="F168" s="2">
        <v>244</v>
      </c>
      <c r="G168" s="2">
        <v>19</v>
      </c>
      <c r="H168" s="2">
        <v>1</v>
      </c>
      <c r="I168" s="2">
        <v>1</v>
      </c>
      <c r="J168" s="159">
        <v>5.2631578947399997E-2</v>
      </c>
      <c r="K168" s="159">
        <v>5.2631578947399997E-2</v>
      </c>
      <c r="L168" s="159">
        <v>12.6315789474</v>
      </c>
    </row>
    <row r="169" spans="1:12" x14ac:dyDescent="0.25">
      <c r="A169" s="2">
        <v>540155</v>
      </c>
      <c r="B169" s="2" t="s">
        <v>231</v>
      </c>
      <c r="C169" s="2" t="s">
        <v>55</v>
      </c>
      <c r="D169" s="2" t="s">
        <v>115</v>
      </c>
      <c r="E169" s="2">
        <v>8</v>
      </c>
      <c r="F169" s="2">
        <v>187</v>
      </c>
      <c r="G169" s="2">
        <v>23</v>
      </c>
      <c r="H169" s="2">
        <v>0</v>
      </c>
      <c r="I169" s="2">
        <v>0</v>
      </c>
      <c r="J169" s="159">
        <v>0</v>
      </c>
      <c r="K169" s="159">
        <v>0</v>
      </c>
      <c r="L169" s="159">
        <v>0</v>
      </c>
    </row>
    <row r="170" spans="1:12" x14ac:dyDescent="0.25">
      <c r="A170" s="2">
        <v>545555</v>
      </c>
      <c r="B170" s="2" t="s">
        <v>336</v>
      </c>
      <c r="C170" s="2" t="s">
        <v>55</v>
      </c>
      <c r="D170" s="2" t="s">
        <v>115</v>
      </c>
      <c r="E170" s="2">
        <v>8</v>
      </c>
      <c r="F170" s="2">
        <v>835</v>
      </c>
      <c r="G170" s="2">
        <v>33</v>
      </c>
      <c r="H170" s="2">
        <v>0</v>
      </c>
      <c r="I170" s="2">
        <v>0</v>
      </c>
      <c r="J170" s="159">
        <v>0</v>
      </c>
      <c r="K170" s="159">
        <v>0</v>
      </c>
      <c r="L170" s="159">
        <v>0</v>
      </c>
    </row>
    <row r="171" spans="1:12" x14ac:dyDescent="0.25">
      <c r="A171" s="2">
        <v>540091</v>
      </c>
      <c r="B171" s="2" t="s">
        <v>338</v>
      </c>
      <c r="C171" s="2" t="s">
        <v>55</v>
      </c>
      <c r="D171" s="2" t="s">
        <v>115</v>
      </c>
      <c r="E171" s="2">
        <v>8</v>
      </c>
      <c r="F171" s="2">
        <v>165</v>
      </c>
      <c r="G171" s="2">
        <v>0</v>
      </c>
      <c r="H171" s="2">
        <v>0</v>
      </c>
      <c r="I171" s="2">
        <v>0</v>
      </c>
      <c r="J171" s="159" t="s">
        <v>488</v>
      </c>
      <c r="K171" s="159" t="s">
        <v>488</v>
      </c>
      <c r="L171" s="159" t="s">
        <v>488</v>
      </c>
    </row>
    <row r="172" spans="1:12" x14ac:dyDescent="0.25">
      <c r="A172" s="252"/>
      <c r="B172" s="252"/>
      <c r="C172" s="252" t="s">
        <v>55</v>
      </c>
      <c r="D172" s="252"/>
      <c r="E172" s="252"/>
      <c r="F172" s="252">
        <v>210833</v>
      </c>
      <c r="G172" s="252">
        <v>7133</v>
      </c>
      <c r="H172" s="252">
        <v>168</v>
      </c>
      <c r="I172" s="252">
        <v>168</v>
      </c>
      <c r="J172" s="414">
        <v>2.3552502453400001E-2</v>
      </c>
      <c r="K172" s="414">
        <v>2.3552502453400001E-2</v>
      </c>
      <c r="L172" s="414">
        <v>5.6526005888100004</v>
      </c>
    </row>
    <row r="173" spans="1:12" x14ac:dyDescent="0.25">
      <c r="A173" s="2">
        <v>540133</v>
      </c>
      <c r="B173" s="2" t="s">
        <v>56</v>
      </c>
      <c r="C173" s="2" t="s">
        <v>57</v>
      </c>
      <c r="D173" s="2" t="s">
        <v>5</v>
      </c>
      <c r="E173" s="2">
        <v>2</v>
      </c>
      <c r="F173" s="2">
        <v>266606</v>
      </c>
      <c r="G173" s="2">
        <v>3191</v>
      </c>
      <c r="H173" s="2">
        <v>58</v>
      </c>
      <c r="I173" s="2">
        <v>58</v>
      </c>
      <c r="J173" s="159">
        <v>1.8176120338499999E-2</v>
      </c>
      <c r="K173" s="159">
        <v>1.8176120338499999E-2</v>
      </c>
      <c r="L173" s="159">
        <v>4.3622688812300003</v>
      </c>
    </row>
    <row r="174" spans="1:12" x14ac:dyDescent="0.25">
      <c r="A174" s="2">
        <v>540134</v>
      </c>
      <c r="B174" s="2" t="s">
        <v>217</v>
      </c>
      <c r="C174" s="2" t="s">
        <v>57</v>
      </c>
      <c r="D174" s="2" t="s">
        <v>115</v>
      </c>
      <c r="E174" s="2">
        <v>2</v>
      </c>
      <c r="F174" s="2">
        <v>1272</v>
      </c>
      <c r="G174" s="2">
        <v>35</v>
      </c>
      <c r="H174" s="2">
        <v>0</v>
      </c>
      <c r="I174" s="2">
        <v>0</v>
      </c>
      <c r="J174" s="159">
        <v>0</v>
      </c>
      <c r="K174" s="159">
        <v>0</v>
      </c>
      <c r="L174" s="159">
        <v>0</v>
      </c>
    </row>
    <row r="175" spans="1:12" x14ac:dyDescent="0.25">
      <c r="A175" s="2">
        <v>540135</v>
      </c>
      <c r="B175" s="2" t="s">
        <v>218</v>
      </c>
      <c r="C175" s="2" t="s">
        <v>57</v>
      </c>
      <c r="D175" s="2" t="s">
        <v>115</v>
      </c>
      <c r="E175" s="2">
        <v>2</v>
      </c>
      <c r="F175" s="2">
        <v>666</v>
      </c>
      <c r="G175" s="2">
        <v>20</v>
      </c>
      <c r="H175" s="2">
        <v>0</v>
      </c>
      <c r="I175" s="2">
        <v>0</v>
      </c>
      <c r="J175" s="159">
        <v>0</v>
      </c>
      <c r="K175" s="159">
        <v>0</v>
      </c>
      <c r="L175" s="159">
        <v>0</v>
      </c>
    </row>
    <row r="176" spans="1:12" x14ac:dyDescent="0.25">
      <c r="A176" s="2">
        <v>540136</v>
      </c>
      <c r="B176" s="2" t="s">
        <v>219</v>
      </c>
      <c r="C176" s="2" t="s">
        <v>57</v>
      </c>
      <c r="D176" s="2" t="s">
        <v>115</v>
      </c>
      <c r="E176" s="2">
        <v>2</v>
      </c>
      <c r="F176" s="2">
        <v>251</v>
      </c>
      <c r="G176" s="2">
        <v>36</v>
      </c>
      <c r="H176" s="2">
        <v>3</v>
      </c>
      <c r="I176" s="2">
        <v>3</v>
      </c>
      <c r="J176" s="159">
        <v>8.3333333333299994E-2</v>
      </c>
      <c r="K176" s="159">
        <v>8.3333333333299994E-2</v>
      </c>
      <c r="L176" s="159">
        <v>20</v>
      </c>
    </row>
    <row r="177" spans="1:12" x14ac:dyDescent="0.25">
      <c r="A177" s="2">
        <v>540138</v>
      </c>
      <c r="B177" s="2" t="s">
        <v>221</v>
      </c>
      <c r="C177" s="2" t="s">
        <v>57</v>
      </c>
      <c r="D177" s="2" t="s">
        <v>115</v>
      </c>
      <c r="E177" s="2">
        <v>2</v>
      </c>
      <c r="F177" s="2">
        <v>2074</v>
      </c>
      <c r="G177" s="2">
        <v>134</v>
      </c>
      <c r="H177" s="2">
        <v>2</v>
      </c>
      <c r="I177" s="2">
        <v>2</v>
      </c>
      <c r="J177" s="159">
        <v>1.49253731343E-2</v>
      </c>
      <c r="K177" s="159">
        <v>1.49253731343E-2</v>
      </c>
      <c r="L177" s="159">
        <v>3.5820895522399998</v>
      </c>
    </row>
    <row r="178" spans="1:12" x14ac:dyDescent="0.25">
      <c r="A178" s="2">
        <v>545538</v>
      </c>
      <c r="B178" s="2" t="s">
        <v>334</v>
      </c>
      <c r="C178" s="2" t="s">
        <v>57</v>
      </c>
      <c r="D178" s="2" t="s">
        <v>115</v>
      </c>
      <c r="E178" s="2">
        <v>2</v>
      </c>
      <c r="F178" s="2">
        <v>348</v>
      </c>
      <c r="G178" s="2">
        <v>62</v>
      </c>
      <c r="H178" s="2">
        <v>0</v>
      </c>
      <c r="I178" s="2">
        <v>0</v>
      </c>
      <c r="J178" s="159">
        <v>0</v>
      </c>
      <c r="K178" s="159">
        <v>0</v>
      </c>
      <c r="L178" s="159">
        <v>0</v>
      </c>
    </row>
    <row r="179" spans="1:12" x14ac:dyDescent="0.25">
      <c r="A179" s="252"/>
      <c r="B179" s="252"/>
      <c r="C179" s="252" t="s">
        <v>57</v>
      </c>
      <c r="D179" s="252"/>
      <c r="E179" s="252"/>
      <c r="F179" s="252">
        <v>271217</v>
      </c>
      <c r="G179" s="252">
        <v>3478</v>
      </c>
      <c r="H179" s="252">
        <v>63</v>
      </c>
      <c r="I179" s="252">
        <v>63</v>
      </c>
      <c r="J179" s="414">
        <v>1.81138585394E-2</v>
      </c>
      <c r="K179" s="414">
        <v>1.81138585394E-2</v>
      </c>
      <c r="L179" s="414">
        <v>4.3473260494500003</v>
      </c>
    </row>
    <row r="180" spans="1:12" x14ac:dyDescent="0.25">
      <c r="A180" s="2">
        <v>540139</v>
      </c>
      <c r="B180" s="2" t="s">
        <v>58</v>
      </c>
      <c r="C180" s="2" t="s">
        <v>59</v>
      </c>
      <c r="D180" s="2" t="s">
        <v>5</v>
      </c>
      <c r="E180" s="2">
        <v>6</v>
      </c>
      <c r="F180" s="2">
        <v>224992</v>
      </c>
      <c r="G180" s="2">
        <v>4322</v>
      </c>
      <c r="H180" s="2">
        <v>158</v>
      </c>
      <c r="I180" s="2">
        <v>158</v>
      </c>
      <c r="J180" s="159">
        <v>3.6557149467799997E-2</v>
      </c>
      <c r="K180" s="159">
        <v>3.6557149467799997E-2</v>
      </c>
      <c r="L180" s="159">
        <v>8.7737158722800004</v>
      </c>
    </row>
    <row r="181" spans="1:12" x14ac:dyDescent="0.25">
      <c r="A181" s="2">
        <v>540140</v>
      </c>
      <c r="B181" s="2" t="s">
        <v>222</v>
      </c>
      <c r="C181" s="2" t="s">
        <v>59</v>
      </c>
      <c r="D181" s="2" t="s">
        <v>115</v>
      </c>
      <c r="E181" s="2">
        <v>6</v>
      </c>
      <c r="F181" s="2">
        <v>198</v>
      </c>
      <c r="G181" s="2">
        <v>17</v>
      </c>
      <c r="H181" s="2">
        <v>0</v>
      </c>
      <c r="I181" s="2">
        <v>0</v>
      </c>
      <c r="J181" s="159">
        <v>0</v>
      </c>
      <c r="K181" s="159">
        <v>0</v>
      </c>
      <c r="L181" s="159">
        <v>0</v>
      </c>
    </row>
    <row r="182" spans="1:12" x14ac:dyDescent="0.25">
      <c r="A182" s="2">
        <v>540141</v>
      </c>
      <c r="B182" s="2" t="s">
        <v>223</v>
      </c>
      <c r="C182" s="2" t="s">
        <v>59</v>
      </c>
      <c r="D182" s="2" t="s">
        <v>115</v>
      </c>
      <c r="E182" s="2">
        <v>6</v>
      </c>
      <c r="F182" s="2">
        <v>6672</v>
      </c>
      <c r="G182" s="2">
        <v>202</v>
      </c>
      <c r="H182" s="2">
        <v>15</v>
      </c>
      <c r="I182" s="2">
        <v>15</v>
      </c>
      <c r="J182" s="159">
        <v>7.4257425742599997E-2</v>
      </c>
      <c r="K182" s="159">
        <v>7.4257425742599997E-2</v>
      </c>
      <c r="L182" s="159">
        <v>17.821782178199999</v>
      </c>
    </row>
    <row r="183" spans="1:12" x14ac:dyDescent="0.25">
      <c r="A183" s="2">
        <v>540272</v>
      </c>
      <c r="B183" s="2" t="s">
        <v>315</v>
      </c>
      <c r="C183" s="2" t="s">
        <v>59</v>
      </c>
      <c r="D183" s="2" t="s">
        <v>115</v>
      </c>
      <c r="E183" s="2">
        <v>6</v>
      </c>
      <c r="F183" s="2">
        <v>831</v>
      </c>
      <c r="G183" s="2">
        <v>23</v>
      </c>
      <c r="H183" s="2">
        <v>4</v>
      </c>
      <c r="I183" s="2">
        <v>4</v>
      </c>
      <c r="J183" s="159">
        <v>0.17391304347799999</v>
      </c>
      <c r="K183" s="159">
        <v>0.17391304347799999</v>
      </c>
      <c r="L183" s="159">
        <v>41.739130434800003</v>
      </c>
    </row>
    <row r="184" spans="1:12" x14ac:dyDescent="0.25">
      <c r="A184" s="2">
        <v>540273</v>
      </c>
      <c r="B184" s="2" t="s">
        <v>316</v>
      </c>
      <c r="C184" s="2" t="s">
        <v>59</v>
      </c>
      <c r="D184" s="2" t="s">
        <v>115</v>
      </c>
      <c r="E184" s="2">
        <v>6</v>
      </c>
      <c r="F184" s="2">
        <v>378</v>
      </c>
      <c r="G184" s="2">
        <v>7</v>
      </c>
      <c r="H184" s="2">
        <v>1</v>
      </c>
      <c r="I184" s="2">
        <v>1</v>
      </c>
      <c r="J184" s="159">
        <v>0.14285714285699999</v>
      </c>
      <c r="K184" s="159">
        <v>0.14285714285699999</v>
      </c>
      <c r="L184" s="159">
        <v>34.285714285700003</v>
      </c>
    </row>
    <row r="185" spans="1:12" x14ac:dyDescent="0.25">
      <c r="A185" s="2">
        <v>540274</v>
      </c>
      <c r="B185" s="2" t="s">
        <v>317</v>
      </c>
      <c r="C185" s="2" t="s">
        <v>59</v>
      </c>
      <c r="D185" s="2" t="s">
        <v>115</v>
      </c>
      <c r="E185" s="2">
        <v>6</v>
      </c>
      <c r="F185" s="2">
        <v>963</v>
      </c>
      <c r="G185" s="2">
        <v>23</v>
      </c>
      <c r="H185" s="2">
        <v>1</v>
      </c>
      <c r="I185" s="2">
        <v>1</v>
      </c>
      <c r="J185" s="159">
        <v>4.3478260869600001E-2</v>
      </c>
      <c r="K185" s="159">
        <v>4.3478260869600001E-2</v>
      </c>
      <c r="L185" s="159">
        <v>10.434782608700001</v>
      </c>
    </row>
    <row r="186" spans="1:12" x14ac:dyDescent="0.25">
      <c r="A186" s="252"/>
      <c r="B186" s="252"/>
      <c r="C186" s="252" t="s">
        <v>59</v>
      </c>
      <c r="D186" s="252"/>
      <c r="E186" s="252"/>
      <c r="F186" s="252">
        <v>234034</v>
      </c>
      <c r="G186" s="252">
        <v>4594</v>
      </c>
      <c r="H186" s="252">
        <v>179</v>
      </c>
      <c r="I186" s="252">
        <v>179</v>
      </c>
      <c r="J186" s="414">
        <v>3.89638659121E-2</v>
      </c>
      <c r="K186" s="414">
        <v>3.89638659121E-2</v>
      </c>
      <c r="L186" s="414">
        <v>9.3513278188900006</v>
      </c>
    </row>
    <row r="187" spans="1:12" x14ac:dyDescent="0.25">
      <c r="A187" s="2">
        <v>540144</v>
      </c>
      <c r="B187" s="2" t="s">
        <v>60</v>
      </c>
      <c r="C187" s="2" t="s">
        <v>61</v>
      </c>
      <c r="D187" s="2" t="s">
        <v>5</v>
      </c>
      <c r="E187" s="2">
        <v>9</v>
      </c>
      <c r="F187" s="2">
        <v>146585</v>
      </c>
      <c r="G187" s="2">
        <v>7210</v>
      </c>
      <c r="H187" s="2">
        <v>119</v>
      </c>
      <c r="I187" s="2">
        <v>119</v>
      </c>
      <c r="J187" s="159">
        <v>1.65048543689E-2</v>
      </c>
      <c r="K187" s="159">
        <v>1.65048543689E-2</v>
      </c>
      <c r="L187" s="159">
        <v>3.9611650485399998</v>
      </c>
    </row>
    <row r="188" spans="1:12" x14ac:dyDescent="0.25">
      <c r="A188" s="2">
        <v>540005</v>
      </c>
      <c r="B188" s="2" t="s">
        <v>118</v>
      </c>
      <c r="C188" s="2" t="s">
        <v>61</v>
      </c>
      <c r="D188" s="2" t="s">
        <v>115</v>
      </c>
      <c r="E188" s="2">
        <v>9</v>
      </c>
      <c r="F188" s="2">
        <v>215</v>
      </c>
      <c r="G188" s="2">
        <v>20</v>
      </c>
      <c r="H188" s="2">
        <v>3</v>
      </c>
      <c r="I188" s="2">
        <v>3</v>
      </c>
      <c r="J188" s="159">
        <v>0.15</v>
      </c>
      <c r="K188" s="159">
        <v>0.15</v>
      </c>
      <c r="L188" s="159">
        <v>36</v>
      </c>
    </row>
    <row r="189" spans="1:12" x14ac:dyDescent="0.25">
      <c r="A189" s="2">
        <v>540252</v>
      </c>
      <c r="B189" s="2" t="s">
        <v>298</v>
      </c>
      <c r="C189" s="2" t="s">
        <v>61</v>
      </c>
      <c r="D189" s="2" t="s">
        <v>115</v>
      </c>
      <c r="E189" s="2">
        <v>9</v>
      </c>
      <c r="F189" s="2">
        <v>340</v>
      </c>
      <c r="G189" s="2">
        <v>119</v>
      </c>
      <c r="H189" s="2">
        <v>2</v>
      </c>
      <c r="I189" s="2">
        <v>2</v>
      </c>
      <c r="J189" s="159">
        <v>1.6806722689099999E-2</v>
      </c>
      <c r="K189" s="159">
        <v>1.6806722689099999E-2</v>
      </c>
      <c r="L189" s="159">
        <v>4.0336134453800003</v>
      </c>
    </row>
    <row r="190" spans="1:12" x14ac:dyDescent="0.25">
      <c r="A190" s="252"/>
      <c r="B190" s="252"/>
      <c r="C190" s="252" t="s">
        <v>61</v>
      </c>
      <c r="D190" s="252"/>
      <c r="E190" s="252"/>
      <c r="F190" s="252">
        <v>147140</v>
      </c>
      <c r="G190" s="252">
        <v>7349</v>
      </c>
      <c r="H190" s="252">
        <v>124</v>
      </c>
      <c r="I190" s="252">
        <v>124</v>
      </c>
      <c r="J190" s="414">
        <v>1.6873043951600001E-2</v>
      </c>
      <c r="K190" s="414">
        <v>1.6873043951600001E-2</v>
      </c>
      <c r="L190" s="414">
        <v>4.0495305483699999</v>
      </c>
    </row>
    <row r="191" spans="1:12" x14ac:dyDescent="0.25">
      <c r="A191" s="2">
        <v>540146</v>
      </c>
      <c r="B191" s="2" t="s">
        <v>62</v>
      </c>
      <c r="C191" s="2" t="s">
        <v>63</v>
      </c>
      <c r="D191" s="2" t="s">
        <v>5</v>
      </c>
      <c r="E191" s="2">
        <v>4</v>
      </c>
      <c r="F191" s="2">
        <v>414533</v>
      </c>
      <c r="G191" s="2">
        <v>8579</v>
      </c>
      <c r="H191" s="2">
        <v>1</v>
      </c>
      <c r="I191" s="2">
        <v>1</v>
      </c>
      <c r="J191" s="159">
        <v>1.16563702063E-4</v>
      </c>
      <c r="K191" s="159">
        <v>1.16563702063E-4</v>
      </c>
      <c r="L191" s="159">
        <v>2.79752884952E-2</v>
      </c>
    </row>
    <row r="192" spans="1:12" x14ac:dyDescent="0.25">
      <c r="A192" s="2">
        <v>540147</v>
      </c>
      <c r="B192" s="2" t="s">
        <v>225</v>
      </c>
      <c r="C192" s="2" t="s">
        <v>63</v>
      </c>
      <c r="D192" s="2" t="s">
        <v>115</v>
      </c>
      <c r="E192" s="2">
        <v>4</v>
      </c>
      <c r="F192" s="2">
        <v>1068</v>
      </c>
      <c r="G192" s="2">
        <v>122</v>
      </c>
      <c r="H192" s="2">
        <v>8</v>
      </c>
      <c r="I192" s="2">
        <v>8</v>
      </c>
      <c r="J192" s="159">
        <v>6.5573770491799993E-2</v>
      </c>
      <c r="K192" s="159">
        <v>6.5573770491799993E-2</v>
      </c>
      <c r="L192" s="159">
        <v>15.737704918</v>
      </c>
    </row>
    <row r="193" spans="1:12" x14ac:dyDescent="0.25">
      <c r="A193" s="2">
        <v>540148</v>
      </c>
      <c r="B193" s="2" t="s">
        <v>226</v>
      </c>
      <c r="C193" s="2" t="s">
        <v>63</v>
      </c>
      <c r="D193" s="2" t="s">
        <v>115</v>
      </c>
      <c r="E193" s="2">
        <v>4</v>
      </c>
      <c r="F193" s="2">
        <v>2897</v>
      </c>
      <c r="G193" s="2">
        <v>106</v>
      </c>
      <c r="H193" s="2">
        <v>5</v>
      </c>
      <c r="I193" s="2">
        <v>5</v>
      </c>
      <c r="J193" s="159">
        <v>4.7169811320799997E-2</v>
      </c>
      <c r="K193" s="159">
        <v>4.7169811320799997E-2</v>
      </c>
      <c r="L193" s="159">
        <v>11.320754717</v>
      </c>
    </row>
    <row r="194" spans="1:12" x14ac:dyDescent="0.25">
      <c r="A194" s="252"/>
      <c r="B194" s="252"/>
      <c r="C194" s="252" t="s">
        <v>63</v>
      </c>
      <c r="D194" s="252"/>
      <c r="E194" s="252"/>
      <c r="F194" s="252">
        <v>418498</v>
      </c>
      <c r="G194" s="252">
        <v>8807</v>
      </c>
      <c r="H194" s="252">
        <v>14</v>
      </c>
      <c r="I194" s="252">
        <v>14</v>
      </c>
      <c r="J194" s="414">
        <v>1.58964460089E-3</v>
      </c>
      <c r="K194" s="414">
        <v>1.58964460089E-3</v>
      </c>
      <c r="L194" s="414">
        <v>0.38151470421299999</v>
      </c>
    </row>
    <row r="195" spans="1:12" x14ac:dyDescent="0.25">
      <c r="A195" s="2">
        <v>540149</v>
      </c>
      <c r="B195" s="2" t="s">
        <v>64</v>
      </c>
      <c r="C195" s="2" t="s">
        <v>65</v>
      </c>
      <c r="D195" s="2" t="s">
        <v>5</v>
      </c>
      <c r="E195" s="2">
        <v>10</v>
      </c>
      <c r="F195" s="2">
        <v>55697</v>
      </c>
      <c r="G195" s="2">
        <v>1119</v>
      </c>
      <c r="H195" s="2">
        <v>22</v>
      </c>
      <c r="I195" s="2">
        <v>22</v>
      </c>
      <c r="J195" s="159">
        <v>1.9660411081300001E-2</v>
      </c>
      <c r="K195" s="159">
        <v>1.9660411081300001E-2</v>
      </c>
      <c r="L195" s="159">
        <v>4.7184986595199998</v>
      </c>
    </row>
    <row r="196" spans="1:12" x14ac:dyDescent="0.25">
      <c r="A196" s="2">
        <v>540080</v>
      </c>
      <c r="B196" s="2" t="s">
        <v>175</v>
      </c>
      <c r="C196" s="2" t="s">
        <v>65</v>
      </c>
      <c r="D196" s="2" t="s">
        <v>115</v>
      </c>
      <c r="E196" s="2">
        <v>10</v>
      </c>
      <c r="F196" s="2">
        <v>259</v>
      </c>
      <c r="G196" s="2">
        <v>0</v>
      </c>
      <c r="H196" s="2">
        <v>0</v>
      </c>
      <c r="I196" s="2">
        <v>0</v>
      </c>
      <c r="J196" s="159" t="s">
        <v>488</v>
      </c>
      <c r="K196" s="159" t="s">
        <v>488</v>
      </c>
      <c r="L196" s="159" t="s">
        <v>488</v>
      </c>
    </row>
    <row r="197" spans="1:12" x14ac:dyDescent="0.25">
      <c r="A197" s="2">
        <v>540094</v>
      </c>
      <c r="B197" s="2" t="s">
        <v>185</v>
      </c>
      <c r="C197" s="2" t="s">
        <v>65</v>
      </c>
      <c r="D197" s="2" t="s">
        <v>115</v>
      </c>
      <c r="E197" s="2">
        <v>10</v>
      </c>
      <c r="F197" s="2">
        <v>700</v>
      </c>
      <c r="G197" s="2">
        <v>28</v>
      </c>
      <c r="H197" s="2">
        <v>0</v>
      </c>
      <c r="I197" s="2">
        <v>0</v>
      </c>
      <c r="J197" s="159">
        <v>0</v>
      </c>
      <c r="K197" s="159">
        <v>0</v>
      </c>
      <c r="L197" s="159">
        <v>0</v>
      </c>
    </row>
    <row r="198" spans="1:12" x14ac:dyDescent="0.25">
      <c r="A198" s="2">
        <v>540150</v>
      </c>
      <c r="B198" s="2" t="s">
        <v>227</v>
      </c>
      <c r="C198" s="2" t="s">
        <v>65</v>
      </c>
      <c r="D198" s="2" t="s">
        <v>115</v>
      </c>
      <c r="E198" s="2">
        <v>10</v>
      </c>
      <c r="F198" s="2">
        <v>432</v>
      </c>
      <c r="G198" s="2">
        <v>33</v>
      </c>
      <c r="H198" s="2">
        <v>1</v>
      </c>
      <c r="I198" s="2">
        <v>1</v>
      </c>
      <c r="J198" s="159">
        <v>3.0303030303000002E-2</v>
      </c>
      <c r="K198" s="159">
        <v>3.0303030303000002E-2</v>
      </c>
      <c r="L198" s="159">
        <v>7.2727272727300001</v>
      </c>
    </row>
    <row r="199" spans="1:12" x14ac:dyDescent="0.25">
      <c r="A199" s="2">
        <v>540151</v>
      </c>
      <c r="B199" s="2" t="s">
        <v>228</v>
      </c>
      <c r="C199" s="2" t="s">
        <v>65</v>
      </c>
      <c r="D199" s="2" t="s">
        <v>115</v>
      </c>
      <c r="E199" s="2">
        <v>10</v>
      </c>
      <c r="F199" s="2">
        <v>350</v>
      </c>
      <c r="G199" s="2">
        <v>75</v>
      </c>
      <c r="H199" s="2">
        <v>2</v>
      </c>
      <c r="I199" s="2">
        <v>2</v>
      </c>
      <c r="J199" s="159">
        <v>2.6666666666699999E-2</v>
      </c>
      <c r="K199" s="159">
        <v>2.6666666666699999E-2</v>
      </c>
      <c r="L199" s="159">
        <v>6.4</v>
      </c>
    </row>
    <row r="200" spans="1:12" x14ac:dyDescent="0.25">
      <c r="A200" s="2">
        <v>540152</v>
      </c>
      <c r="B200" s="2" t="s">
        <v>229</v>
      </c>
      <c r="C200" s="2" t="s">
        <v>65</v>
      </c>
      <c r="D200" s="2" t="s">
        <v>115</v>
      </c>
      <c r="E200" s="2">
        <v>10</v>
      </c>
      <c r="F200" s="2">
        <v>9969</v>
      </c>
      <c r="G200" s="2">
        <v>931</v>
      </c>
      <c r="H200" s="2">
        <v>17</v>
      </c>
      <c r="I200" s="2">
        <v>17</v>
      </c>
      <c r="J200" s="159">
        <v>1.8259935553200001E-2</v>
      </c>
      <c r="K200" s="159">
        <v>1.8259935553200001E-2</v>
      </c>
      <c r="L200" s="159">
        <v>4.3823845327599997</v>
      </c>
    </row>
    <row r="201" spans="1:12" x14ac:dyDescent="0.25">
      <c r="A201" s="2">
        <v>540275</v>
      </c>
      <c r="B201" s="2" t="s">
        <v>318</v>
      </c>
      <c r="C201" s="2" t="s">
        <v>65</v>
      </c>
      <c r="D201" s="2" t="s">
        <v>115</v>
      </c>
      <c r="E201" s="2">
        <v>10</v>
      </c>
      <c r="F201" s="2">
        <v>2268</v>
      </c>
      <c r="G201" s="2">
        <v>0</v>
      </c>
      <c r="H201" s="2">
        <v>0</v>
      </c>
      <c r="I201" s="2">
        <v>0</v>
      </c>
      <c r="J201" s="159" t="s">
        <v>488</v>
      </c>
      <c r="K201" s="159" t="s">
        <v>488</v>
      </c>
      <c r="L201" s="159" t="s">
        <v>488</v>
      </c>
    </row>
    <row r="202" spans="1:12" x14ac:dyDescent="0.25">
      <c r="A202" s="252"/>
      <c r="B202" s="252"/>
      <c r="C202" s="252" t="s">
        <v>65</v>
      </c>
      <c r="D202" s="252"/>
      <c r="E202" s="252"/>
      <c r="F202" s="252">
        <v>69675</v>
      </c>
      <c r="G202" s="252">
        <v>2186</v>
      </c>
      <c r="H202" s="252">
        <v>42</v>
      </c>
      <c r="I202" s="252">
        <v>42</v>
      </c>
      <c r="J202" s="414">
        <v>1.9213174748400001E-2</v>
      </c>
      <c r="K202" s="414">
        <v>1.9213174748400001E-2</v>
      </c>
      <c r="L202" s="414">
        <v>4.6111619396199997</v>
      </c>
    </row>
    <row r="203" spans="1:12" x14ac:dyDescent="0.25">
      <c r="A203" s="2">
        <v>540153</v>
      </c>
      <c r="B203" s="2" t="s">
        <v>66</v>
      </c>
      <c r="C203" s="2" t="s">
        <v>67</v>
      </c>
      <c r="D203" s="2" t="s">
        <v>5</v>
      </c>
      <c r="E203" s="2">
        <v>8</v>
      </c>
      <c r="F203" s="2">
        <v>446299</v>
      </c>
      <c r="G203" s="2">
        <v>13198</v>
      </c>
      <c r="H203" s="2">
        <v>48</v>
      </c>
      <c r="I203" s="2">
        <v>48</v>
      </c>
      <c r="J203" s="159">
        <v>3.6369146840400002E-3</v>
      </c>
      <c r="K203" s="159">
        <v>3.6369146840400002E-3</v>
      </c>
      <c r="L203" s="159">
        <v>0.87285952417000001</v>
      </c>
    </row>
    <row r="204" spans="1:12" x14ac:dyDescent="0.25">
      <c r="A204" s="2">
        <v>540154</v>
      </c>
      <c r="B204" s="2" t="s">
        <v>230</v>
      </c>
      <c r="C204" s="2" t="s">
        <v>67</v>
      </c>
      <c r="D204" s="2" t="s">
        <v>115</v>
      </c>
      <c r="E204" s="2">
        <v>8</v>
      </c>
      <c r="F204" s="2">
        <v>361</v>
      </c>
      <c r="G204" s="2">
        <v>29</v>
      </c>
      <c r="H204" s="2">
        <v>8</v>
      </c>
      <c r="I204" s="2">
        <v>8</v>
      </c>
      <c r="J204" s="159">
        <v>0.27586206896600002</v>
      </c>
      <c r="K204" s="159">
        <v>0.27586206896600002</v>
      </c>
      <c r="L204" s="159">
        <v>66.206896551699998</v>
      </c>
    </row>
    <row r="205" spans="1:12" x14ac:dyDescent="0.25">
      <c r="A205" s="252"/>
      <c r="B205" s="252"/>
      <c r="C205" s="252" t="s">
        <v>67</v>
      </c>
      <c r="D205" s="252"/>
      <c r="E205" s="252"/>
      <c r="F205" s="252">
        <v>446660</v>
      </c>
      <c r="G205" s="252">
        <v>13227</v>
      </c>
      <c r="H205" s="252">
        <v>56</v>
      </c>
      <c r="I205" s="252">
        <v>56</v>
      </c>
      <c r="J205" s="414">
        <v>4.2337642700499998E-3</v>
      </c>
      <c r="K205" s="414">
        <v>4.2337642700499998E-3</v>
      </c>
      <c r="L205" s="414">
        <v>1.01610342481</v>
      </c>
    </row>
    <row r="206" spans="1:12" x14ac:dyDescent="0.25">
      <c r="A206" s="2">
        <v>540160</v>
      </c>
      <c r="B206" s="2" t="s">
        <v>68</v>
      </c>
      <c r="C206" s="2" t="s">
        <v>69</v>
      </c>
      <c r="D206" s="2" t="s">
        <v>5</v>
      </c>
      <c r="E206" s="2">
        <v>6</v>
      </c>
      <c r="F206" s="2">
        <v>411882</v>
      </c>
      <c r="G206" s="2">
        <v>9839</v>
      </c>
      <c r="H206" s="2">
        <v>513</v>
      </c>
      <c r="I206" s="2">
        <v>513</v>
      </c>
      <c r="J206" s="159">
        <v>5.2139445065599997E-2</v>
      </c>
      <c r="K206" s="159">
        <v>5.2139445065599997E-2</v>
      </c>
      <c r="L206" s="159">
        <v>12.513466815699999</v>
      </c>
    </row>
    <row r="207" spans="1:12" x14ac:dyDescent="0.25">
      <c r="A207" s="2">
        <v>540137</v>
      </c>
      <c r="B207" s="2" t="s">
        <v>220</v>
      </c>
      <c r="C207" s="2" t="s">
        <v>69</v>
      </c>
      <c r="D207" s="2" t="s">
        <v>115</v>
      </c>
      <c r="E207" s="2">
        <v>6</v>
      </c>
      <c r="F207" s="2">
        <v>215</v>
      </c>
      <c r="G207" s="2">
        <v>0</v>
      </c>
      <c r="H207" s="2">
        <v>0</v>
      </c>
      <c r="I207" s="2">
        <v>0</v>
      </c>
      <c r="J207" s="159" t="s">
        <v>488</v>
      </c>
      <c r="K207" s="159" t="s">
        <v>488</v>
      </c>
      <c r="L207" s="159" t="s">
        <v>488</v>
      </c>
    </row>
    <row r="208" spans="1:12" x14ac:dyDescent="0.25">
      <c r="A208" s="2">
        <v>540161</v>
      </c>
      <c r="B208" s="2" t="s">
        <v>235</v>
      </c>
      <c r="C208" s="2" t="s">
        <v>69</v>
      </c>
      <c r="D208" s="2" t="s">
        <v>115</v>
      </c>
      <c r="E208" s="2">
        <v>6</v>
      </c>
      <c r="F208" s="2">
        <v>175</v>
      </c>
      <c r="G208" s="2">
        <v>31</v>
      </c>
      <c r="H208" s="2">
        <v>1</v>
      </c>
      <c r="I208" s="2">
        <v>1</v>
      </c>
      <c r="J208" s="159">
        <v>3.2258064516099999E-2</v>
      </c>
      <c r="K208" s="159">
        <v>3.2258064516099999E-2</v>
      </c>
      <c r="L208" s="159">
        <v>7.7419354838699999</v>
      </c>
    </row>
    <row r="209" spans="1:12" x14ac:dyDescent="0.25">
      <c r="A209" s="2">
        <v>540162</v>
      </c>
      <c r="B209" s="2" t="s">
        <v>236</v>
      </c>
      <c r="C209" s="2" t="s">
        <v>69</v>
      </c>
      <c r="D209" s="2" t="s">
        <v>115</v>
      </c>
      <c r="E209" s="2">
        <v>6</v>
      </c>
      <c r="F209" s="2">
        <v>36</v>
      </c>
      <c r="G209" s="2">
        <v>14</v>
      </c>
      <c r="H209" s="2">
        <v>1</v>
      </c>
      <c r="I209" s="2">
        <v>1</v>
      </c>
      <c r="J209" s="159">
        <v>7.1428571428599999E-2</v>
      </c>
      <c r="K209" s="159">
        <v>7.1428571428599999E-2</v>
      </c>
      <c r="L209" s="159">
        <v>17.142857142899999</v>
      </c>
    </row>
    <row r="210" spans="1:12" x14ac:dyDescent="0.25">
      <c r="A210" s="2">
        <v>540163</v>
      </c>
      <c r="B210" s="2" t="s">
        <v>237</v>
      </c>
      <c r="C210" s="2" t="s">
        <v>69</v>
      </c>
      <c r="D210" s="2" t="s">
        <v>115</v>
      </c>
      <c r="E210" s="2">
        <v>6</v>
      </c>
      <c r="F210" s="2">
        <v>702</v>
      </c>
      <c r="G210" s="2">
        <v>153</v>
      </c>
      <c r="H210" s="2">
        <v>3</v>
      </c>
      <c r="I210" s="2">
        <v>3</v>
      </c>
      <c r="J210" s="159">
        <v>1.9607843137300001E-2</v>
      </c>
      <c r="K210" s="159">
        <v>1.9607843137300001E-2</v>
      </c>
      <c r="L210" s="159">
        <v>4.7058823529399998</v>
      </c>
    </row>
    <row r="211" spans="1:12" x14ac:dyDescent="0.25">
      <c r="A211" s="2">
        <v>540254</v>
      </c>
      <c r="B211" s="2" t="s">
        <v>300</v>
      </c>
      <c r="C211" s="2" t="s">
        <v>69</v>
      </c>
      <c r="D211" s="2" t="s">
        <v>115</v>
      </c>
      <c r="E211" s="2">
        <v>6</v>
      </c>
      <c r="F211" s="2">
        <v>1555</v>
      </c>
      <c r="G211" s="2">
        <v>18</v>
      </c>
      <c r="H211" s="2">
        <v>0</v>
      </c>
      <c r="I211" s="2">
        <v>0</v>
      </c>
      <c r="J211" s="159">
        <v>0</v>
      </c>
      <c r="K211" s="159">
        <v>0</v>
      </c>
      <c r="L211" s="159">
        <v>0</v>
      </c>
    </row>
    <row r="212" spans="1:12" x14ac:dyDescent="0.25">
      <c r="A212" s="2">
        <v>540257</v>
      </c>
      <c r="B212" s="2" t="s">
        <v>302</v>
      </c>
      <c r="C212" s="2" t="s">
        <v>69</v>
      </c>
      <c r="D212" s="2" t="s">
        <v>115</v>
      </c>
      <c r="E212" s="2">
        <v>6</v>
      </c>
      <c r="F212" s="2">
        <v>759</v>
      </c>
      <c r="G212" s="2">
        <v>36</v>
      </c>
      <c r="H212" s="2">
        <v>0</v>
      </c>
      <c r="I212" s="2">
        <v>0</v>
      </c>
      <c r="J212" s="159">
        <v>0</v>
      </c>
      <c r="K212" s="159">
        <v>0</v>
      </c>
      <c r="L212" s="159">
        <v>0</v>
      </c>
    </row>
    <row r="213" spans="1:12" x14ac:dyDescent="0.25">
      <c r="A213" s="2">
        <v>540268</v>
      </c>
      <c r="B213" s="2" t="s">
        <v>311</v>
      </c>
      <c r="C213" s="2" t="s">
        <v>69</v>
      </c>
      <c r="D213" s="2" t="s">
        <v>115</v>
      </c>
      <c r="E213" s="2">
        <v>6</v>
      </c>
      <c r="F213" s="2">
        <v>503</v>
      </c>
      <c r="G213" s="2">
        <v>25</v>
      </c>
      <c r="H213" s="2">
        <v>2</v>
      </c>
      <c r="I213" s="2">
        <v>2</v>
      </c>
      <c r="J213" s="159">
        <v>0.08</v>
      </c>
      <c r="K213" s="159">
        <v>0.08</v>
      </c>
      <c r="L213" s="159">
        <v>19.2</v>
      </c>
    </row>
    <row r="214" spans="1:12" x14ac:dyDescent="0.25">
      <c r="A214" s="2">
        <v>540269</v>
      </c>
      <c r="B214" s="2" t="s">
        <v>312</v>
      </c>
      <c r="C214" s="2" t="s">
        <v>69</v>
      </c>
      <c r="D214" s="2" t="s">
        <v>115</v>
      </c>
      <c r="E214" s="2">
        <v>6</v>
      </c>
      <c r="F214" s="2">
        <v>416</v>
      </c>
      <c r="G214" s="2">
        <v>17</v>
      </c>
      <c r="H214" s="2">
        <v>0</v>
      </c>
      <c r="I214" s="2">
        <v>0</v>
      </c>
      <c r="J214" s="159">
        <v>0</v>
      </c>
      <c r="K214" s="159">
        <v>0</v>
      </c>
      <c r="L214" s="159">
        <v>0</v>
      </c>
    </row>
    <row r="215" spans="1:12" x14ac:dyDescent="0.25">
      <c r="A215" s="2">
        <v>540270</v>
      </c>
      <c r="B215" s="2" t="s">
        <v>313</v>
      </c>
      <c r="C215" s="2" t="s">
        <v>69</v>
      </c>
      <c r="D215" s="2" t="s">
        <v>115</v>
      </c>
      <c r="E215" s="2">
        <v>6</v>
      </c>
      <c r="F215" s="2">
        <v>178</v>
      </c>
      <c r="G215" s="2">
        <v>1</v>
      </c>
      <c r="H215" s="2">
        <v>1</v>
      </c>
      <c r="I215" s="2">
        <v>1</v>
      </c>
      <c r="J215" s="159">
        <v>1</v>
      </c>
      <c r="K215" s="159">
        <v>1</v>
      </c>
      <c r="L215" s="159">
        <v>240</v>
      </c>
    </row>
    <row r="216" spans="1:12" x14ac:dyDescent="0.25">
      <c r="A216" s="2">
        <v>540284</v>
      </c>
      <c r="B216" s="2" t="s">
        <v>323</v>
      </c>
      <c r="C216" s="2" t="s">
        <v>69</v>
      </c>
      <c r="D216" s="2" t="s">
        <v>115</v>
      </c>
      <c r="E216" s="2">
        <v>6</v>
      </c>
      <c r="F216" s="2">
        <v>247</v>
      </c>
      <c r="G216" s="2">
        <v>18</v>
      </c>
      <c r="H216" s="2">
        <v>0</v>
      </c>
      <c r="I216" s="2">
        <v>0</v>
      </c>
      <c r="J216" s="159">
        <v>0</v>
      </c>
      <c r="K216" s="159">
        <v>0</v>
      </c>
      <c r="L216" s="159">
        <v>0</v>
      </c>
    </row>
    <row r="217" spans="1:12" x14ac:dyDescent="0.25">
      <c r="A217" s="252"/>
      <c r="B217" s="252"/>
      <c r="C217" s="252" t="s">
        <v>69</v>
      </c>
      <c r="D217" s="252"/>
      <c r="E217" s="252"/>
      <c r="F217" s="252">
        <v>416668</v>
      </c>
      <c r="G217" s="252">
        <v>10152</v>
      </c>
      <c r="H217" s="252">
        <v>521</v>
      </c>
      <c r="I217" s="252">
        <v>521</v>
      </c>
      <c r="J217" s="414">
        <v>5.1319936958200002E-2</v>
      </c>
      <c r="K217" s="414">
        <v>5.1319936958200002E-2</v>
      </c>
      <c r="L217" s="414">
        <v>12.316784869999999</v>
      </c>
    </row>
    <row r="218" spans="1:12" x14ac:dyDescent="0.25">
      <c r="A218" s="2">
        <v>540164</v>
      </c>
      <c r="B218" s="2" t="s">
        <v>70</v>
      </c>
      <c r="C218" s="2" t="s">
        <v>71</v>
      </c>
      <c r="D218" s="2" t="s">
        <v>5</v>
      </c>
      <c r="E218" s="2">
        <v>3</v>
      </c>
      <c r="F218" s="2">
        <v>216488</v>
      </c>
      <c r="G218" s="2">
        <v>8874</v>
      </c>
      <c r="H218" s="2">
        <v>116</v>
      </c>
      <c r="I218" s="2">
        <v>116</v>
      </c>
      <c r="J218" s="159">
        <v>1.3071895424800001E-2</v>
      </c>
      <c r="K218" s="159">
        <v>1.3071895424800001E-2</v>
      </c>
      <c r="L218" s="159">
        <v>3.13725490196</v>
      </c>
    </row>
    <row r="219" spans="1:12" x14ac:dyDescent="0.25">
      <c r="A219" s="2">
        <v>540081</v>
      </c>
      <c r="B219" s="2" t="s">
        <v>176</v>
      </c>
      <c r="C219" s="2" t="s">
        <v>71</v>
      </c>
      <c r="D219" s="2" t="s">
        <v>115</v>
      </c>
      <c r="E219" s="2">
        <v>3</v>
      </c>
      <c r="F219" s="2">
        <v>633</v>
      </c>
      <c r="G219" s="2">
        <v>27</v>
      </c>
      <c r="H219" s="2">
        <v>1</v>
      </c>
      <c r="I219" s="2">
        <v>1</v>
      </c>
      <c r="J219" s="159">
        <v>3.7037037037000002E-2</v>
      </c>
      <c r="K219" s="159">
        <v>3.7037037037000002E-2</v>
      </c>
      <c r="L219" s="159">
        <v>8.8888888888899995</v>
      </c>
    </row>
    <row r="220" spans="1:12" x14ac:dyDescent="0.25">
      <c r="A220" s="2">
        <v>540165</v>
      </c>
      <c r="B220" s="2" t="s">
        <v>238</v>
      </c>
      <c r="C220" s="2" t="s">
        <v>71</v>
      </c>
      <c r="D220" s="2" t="s">
        <v>115</v>
      </c>
      <c r="E220" s="2">
        <v>3</v>
      </c>
      <c r="F220" s="2">
        <v>93</v>
      </c>
      <c r="G220" s="2">
        <v>26</v>
      </c>
      <c r="H220" s="2">
        <v>3</v>
      </c>
      <c r="I220" s="2">
        <v>3</v>
      </c>
      <c r="J220" s="159">
        <v>0.115384615385</v>
      </c>
      <c r="K220" s="159">
        <v>0.115384615385</v>
      </c>
      <c r="L220" s="159">
        <v>27.692307692300002</v>
      </c>
    </row>
    <row r="221" spans="1:12" x14ac:dyDescent="0.25">
      <c r="A221" s="2">
        <v>540166</v>
      </c>
      <c r="B221" s="2" t="s">
        <v>239</v>
      </c>
      <c r="C221" s="2" t="s">
        <v>71</v>
      </c>
      <c r="D221" s="2" t="s">
        <v>115</v>
      </c>
      <c r="E221" s="2">
        <v>3</v>
      </c>
      <c r="F221" s="2">
        <v>1054</v>
      </c>
      <c r="G221" s="2">
        <v>307</v>
      </c>
      <c r="H221" s="2">
        <v>0</v>
      </c>
      <c r="I221" s="2">
        <v>0</v>
      </c>
      <c r="J221" s="159">
        <v>0</v>
      </c>
      <c r="K221" s="159">
        <v>0</v>
      </c>
      <c r="L221" s="159">
        <v>0</v>
      </c>
    </row>
    <row r="222" spans="1:12" x14ac:dyDescent="0.25">
      <c r="A222" s="2">
        <v>540167</v>
      </c>
      <c r="B222" s="2" t="s">
        <v>240</v>
      </c>
      <c r="C222" s="2" t="s">
        <v>71</v>
      </c>
      <c r="D222" s="2" t="s">
        <v>115</v>
      </c>
      <c r="E222" s="2">
        <v>3</v>
      </c>
      <c r="F222" s="2">
        <v>2415</v>
      </c>
      <c r="G222" s="2">
        <v>46</v>
      </c>
      <c r="H222" s="2">
        <v>3</v>
      </c>
      <c r="I222" s="2">
        <v>3</v>
      </c>
      <c r="J222" s="159">
        <v>6.5217391304300001E-2</v>
      </c>
      <c r="K222" s="159">
        <v>6.5217391304300001E-2</v>
      </c>
      <c r="L222" s="159">
        <v>15.652173913</v>
      </c>
    </row>
    <row r="223" spans="1:12" x14ac:dyDescent="0.25">
      <c r="A223" s="2">
        <v>540168</v>
      </c>
      <c r="B223" s="2" t="s">
        <v>241</v>
      </c>
      <c r="C223" s="2" t="s">
        <v>71</v>
      </c>
      <c r="D223" s="2" t="s">
        <v>115</v>
      </c>
      <c r="E223" s="2">
        <v>3</v>
      </c>
      <c r="F223" s="2">
        <v>482</v>
      </c>
      <c r="G223" s="2">
        <v>81</v>
      </c>
      <c r="H223" s="2">
        <v>0</v>
      </c>
      <c r="I223" s="2">
        <v>0</v>
      </c>
      <c r="J223" s="159">
        <v>0</v>
      </c>
      <c r="K223" s="159">
        <v>0</v>
      </c>
      <c r="L223" s="159">
        <v>0</v>
      </c>
    </row>
    <row r="224" spans="1:12" x14ac:dyDescent="0.25">
      <c r="A224" s="2">
        <v>540222</v>
      </c>
      <c r="B224" s="2" t="s">
        <v>276</v>
      </c>
      <c r="C224" s="2" t="s">
        <v>71</v>
      </c>
      <c r="D224" s="2" t="s">
        <v>115</v>
      </c>
      <c r="E224" s="2">
        <v>3</v>
      </c>
      <c r="F224" s="2">
        <v>1361</v>
      </c>
      <c r="G224" s="2">
        <v>319</v>
      </c>
      <c r="H224" s="2">
        <v>72</v>
      </c>
      <c r="I224" s="2">
        <v>72</v>
      </c>
      <c r="J224" s="159">
        <v>0.22570532915399999</v>
      </c>
      <c r="K224" s="159">
        <v>0.22570532915399999</v>
      </c>
      <c r="L224" s="159">
        <v>54.169278996899997</v>
      </c>
    </row>
    <row r="225" spans="1:12" x14ac:dyDescent="0.25">
      <c r="A225" s="2">
        <v>540271</v>
      </c>
      <c r="B225" s="2" t="s">
        <v>314</v>
      </c>
      <c r="C225" s="2" t="s">
        <v>71</v>
      </c>
      <c r="D225" s="2" t="s">
        <v>115</v>
      </c>
      <c r="E225" s="2">
        <v>3</v>
      </c>
      <c r="F225" s="2">
        <v>1554</v>
      </c>
      <c r="G225" s="2">
        <v>88</v>
      </c>
      <c r="H225" s="2">
        <v>0</v>
      </c>
      <c r="I225" s="2">
        <v>0</v>
      </c>
      <c r="J225" s="159">
        <v>0</v>
      </c>
      <c r="K225" s="159">
        <v>0</v>
      </c>
      <c r="L225" s="159">
        <v>0</v>
      </c>
    </row>
    <row r="226" spans="1:12" x14ac:dyDescent="0.25">
      <c r="A226" s="252"/>
      <c r="B226" s="252"/>
      <c r="C226" s="252" t="s">
        <v>71</v>
      </c>
      <c r="D226" s="252"/>
      <c r="E226" s="252"/>
      <c r="F226" s="252">
        <v>224080</v>
      </c>
      <c r="G226" s="252">
        <v>9768</v>
      </c>
      <c r="H226" s="252">
        <v>195</v>
      </c>
      <c r="I226" s="252">
        <v>195</v>
      </c>
      <c r="J226" s="414">
        <v>1.9963144963100001E-2</v>
      </c>
      <c r="K226" s="414">
        <v>1.9963144963100001E-2</v>
      </c>
      <c r="L226" s="414">
        <v>4.7911547911500003</v>
      </c>
    </row>
    <row r="227" spans="1:12" x14ac:dyDescent="0.25">
      <c r="A227" s="2">
        <v>540169</v>
      </c>
      <c r="B227" s="2" t="s">
        <v>72</v>
      </c>
      <c r="C227" s="2" t="s">
        <v>73</v>
      </c>
      <c r="D227" s="2" t="s">
        <v>5</v>
      </c>
      <c r="E227" s="2">
        <v>1</v>
      </c>
      <c r="F227" s="2">
        <v>381875</v>
      </c>
      <c r="G227" s="2">
        <v>8611</v>
      </c>
      <c r="H227" s="2">
        <v>93</v>
      </c>
      <c r="I227" s="2">
        <v>93</v>
      </c>
      <c r="J227" s="159">
        <v>1.08001393566E-2</v>
      </c>
      <c r="K227" s="159">
        <v>1.08001393566E-2</v>
      </c>
      <c r="L227" s="159">
        <v>2.5920334455899998</v>
      </c>
    </row>
    <row r="228" spans="1:12" x14ac:dyDescent="0.25">
      <c r="A228" s="2">
        <v>540170</v>
      </c>
      <c r="B228" s="2" t="s">
        <v>242</v>
      </c>
      <c r="C228" s="2" t="s">
        <v>73</v>
      </c>
      <c r="D228" s="2" t="s">
        <v>115</v>
      </c>
      <c r="E228" s="2">
        <v>1</v>
      </c>
      <c r="F228" s="2">
        <v>6083</v>
      </c>
      <c r="G228" s="2">
        <v>76</v>
      </c>
      <c r="H228" s="2">
        <v>3</v>
      </c>
      <c r="I228" s="2">
        <v>3</v>
      </c>
      <c r="J228" s="159">
        <v>3.9473684210500001E-2</v>
      </c>
      <c r="K228" s="159">
        <v>3.9473684210500001E-2</v>
      </c>
      <c r="L228" s="159">
        <v>9.4736842105299992</v>
      </c>
    </row>
    <row r="229" spans="1:12" x14ac:dyDescent="0.25">
      <c r="A229" s="2">
        <v>540171</v>
      </c>
      <c r="B229" s="2" t="s">
        <v>243</v>
      </c>
      <c r="C229" s="2" t="s">
        <v>73</v>
      </c>
      <c r="D229" s="2" t="s">
        <v>115</v>
      </c>
      <c r="E229" s="2">
        <v>1</v>
      </c>
      <c r="F229" s="2">
        <v>321</v>
      </c>
      <c r="G229" s="2">
        <v>45</v>
      </c>
      <c r="H229" s="2">
        <v>0</v>
      </c>
      <c r="I229" s="2">
        <v>0</v>
      </c>
      <c r="J229" s="159">
        <v>0</v>
      </c>
      <c r="K229" s="159">
        <v>0</v>
      </c>
      <c r="L229" s="159">
        <v>0</v>
      </c>
    </row>
    <row r="230" spans="1:12" x14ac:dyDescent="0.25">
      <c r="A230" s="2">
        <v>540173</v>
      </c>
      <c r="B230" s="2" t="s">
        <v>245</v>
      </c>
      <c r="C230" s="2" t="s">
        <v>73</v>
      </c>
      <c r="D230" s="2" t="s">
        <v>115</v>
      </c>
      <c r="E230" s="2">
        <v>1</v>
      </c>
      <c r="F230" s="2">
        <v>201</v>
      </c>
      <c r="G230" s="2">
        <v>60</v>
      </c>
      <c r="H230" s="2">
        <v>1</v>
      </c>
      <c r="I230" s="2">
        <v>1</v>
      </c>
      <c r="J230" s="159">
        <v>1.6666666666700001E-2</v>
      </c>
      <c r="K230" s="159">
        <v>1.6666666666700001E-2</v>
      </c>
      <c r="L230" s="159">
        <v>4</v>
      </c>
    </row>
    <row r="231" spans="1:12" x14ac:dyDescent="0.25">
      <c r="A231" s="2">
        <v>540174</v>
      </c>
      <c r="B231" s="2" t="s">
        <v>246</v>
      </c>
      <c r="C231" s="2" t="s">
        <v>73</v>
      </c>
      <c r="D231" s="2" t="s">
        <v>115</v>
      </c>
      <c r="E231" s="2">
        <v>1</v>
      </c>
      <c r="F231" s="2">
        <v>447</v>
      </c>
      <c r="G231" s="2">
        <v>10</v>
      </c>
      <c r="H231" s="2">
        <v>0</v>
      </c>
      <c r="I231" s="2">
        <v>0</v>
      </c>
      <c r="J231" s="159">
        <v>0</v>
      </c>
      <c r="K231" s="159">
        <v>0</v>
      </c>
      <c r="L231" s="159">
        <v>0</v>
      </c>
    </row>
    <row r="232" spans="1:12" x14ac:dyDescent="0.25">
      <c r="A232" s="2">
        <v>540286</v>
      </c>
      <c r="B232" s="2" t="s">
        <v>325</v>
      </c>
      <c r="C232" s="2" t="s">
        <v>73</v>
      </c>
      <c r="D232" s="2" t="s">
        <v>115</v>
      </c>
      <c r="E232" s="2">
        <v>1</v>
      </c>
      <c r="F232" s="2">
        <v>553</v>
      </c>
      <c r="G232" s="2">
        <v>49</v>
      </c>
      <c r="H232" s="2">
        <v>0</v>
      </c>
      <c r="I232" s="2">
        <v>0</v>
      </c>
      <c r="J232" s="159">
        <v>0</v>
      </c>
      <c r="K232" s="159">
        <v>0</v>
      </c>
      <c r="L232" s="159">
        <v>0</v>
      </c>
    </row>
    <row r="233" spans="1:12" x14ac:dyDescent="0.25">
      <c r="A233" s="252"/>
      <c r="B233" s="252"/>
      <c r="C233" s="252" t="s">
        <v>73</v>
      </c>
      <c r="D233" s="252"/>
      <c r="E233" s="252"/>
      <c r="F233" s="252">
        <v>389480</v>
      </c>
      <c r="G233" s="252">
        <v>8851</v>
      </c>
      <c r="H233" s="252">
        <v>97</v>
      </c>
      <c r="I233" s="252">
        <v>97</v>
      </c>
      <c r="J233" s="414">
        <v>1.09592136482E-2</v>
      </c>
      <c r="K233" s="414">
        <v>1.09592136482E-2</v>
      </c>
      <c r="L233" s="414">
        <v>2.6302112755599998</v>
      </c>
    </row>
    <row r="234" spans="1:12" x14ac:dyDescent="0.25">
      <c r="A234" s="2">
        <v>540183</v>
      </c>
      <c r="B234" s="2" t="s">
        <v>76</v>
      </c>
      <c r="C234" s="2" t="s">
        <v>77</v>
      </c>
      <c r="D234" s="2" t="s">
        <v>5</v>
      </c>
      <c r="E234" s="2">
        <v>5</v>
      </c>
      <c r="F234" s="2">
        <v>308455</v>
      </c>
      <c r="G234" s="2">
        <v>6894</v>
      </c>
      <c r="H234" s="2">
        <v>62</v>
      </c>
      <c r="I234" s="2">
        <v>62</v>
      </c>
      <c r="J234" s="159">
        <v>8.9933275311900006E-3</v>
      </c>
      <c r="K234" s="159">
        <v>8.9933275311900006E-3</v>
      </c>
      <c r="L234" s="159">
        <v>2.1583986074800001</v>
      </c>
    </row>
    <row r="235" spans="1:12" x14ac:dyDescent="0.25">
      <c r="A235" s="2">
        <v>540184</v>
      </c>
      <c r="B235" s="2" t="s">
        <v>253</v>
      </c>
      <c r="C235" s="2" t="s">
        <v>77</v>
      </c>
      <c r="D235" s="2" t="s">
        <v>115</v>
      </c>
      <c r="E235" s="2">
        <v>5</v>
      </c>
      <c r="F235" s="2">
        <v>125</v>
      </c>
      <c r="G235" s="2">
        <v>60</v>
      </c>
      <c r="H235" s="2">
        <v>0</v>
      </c>
      <c r="I235" s="2">
        <v>0</v>
      </c>
      <c r="J235" s="159">
        <v>0</v>
      </c>
      <c r="K235" s="159">
        <v>0</v>
      </c>
      <c r="L235" s="159">
        <v>0</v>
      </c>
    </row>
    <row r="236" spans="1:12" x14ac:dyDescent="0.25">
      <c r="A236" s="2">
        <v>540185</v>
      </c>
      <c r="B236" s="2" t="s">
        <v>254</v>
      </c>
      <c r="C236" s="2" t="s">
        <v>77</v>
      </c>
      <c r="D236" s="2" t="s">
        <v>115</v>
      </c>
      <c r="E236" s="2">
        <v>5</v>
      </c>
      <c r="F236" s="2">
        <v>816</v>
      </c>
      <c r="G236" s="2">
        <v>85</v>
      </c>
      <c r="H236" s="2">
        <v>0</v>
      </c>
      <c r="I236" s="2">
        <v>0</v>
      </c>
      <c r="J236" s="159">
        <v>0</v>
      </c>
      <c r="K236" s="159">
        <v>0</v>
      </c>
      <c r="L236" s="159">
        <v>0</v>
      </c>
    </row>
    <row r="237" spans="1:12" x14ac:dyDescent="0.25">
      <c r="A237" s="253"/>
      <c r="B237" s="253"/>
      <c r="C237" s="253" t="s">
        <v>77</v>
      </c>
      <c r="D237" s="253"/>
      <c r="E237" s="253"/>
      <c r="F237" s="253">
        <v>309396</v>
      </c>
      <c r="G237" s="253">
        <v>7039</v>
      </c>
      <c r="H237" s="253">
        <v>62</v>
      </c>
      <c r="I237" s="253">
        <v>62</v>
      </c>
      <c r="J237" s="417">
        <v>8.8080693280300007E-3</v>
      </c>
      <c r="K237" s="417">
        <v>8.8080693280300007E-3</v>
      </c>
      <c r="L237" s="417">
        <v>2.1139366387299998</v>
      </c>
    </row>
    <row r="238" spans="1:12" x14ac:dyDescent="0.25">
      <c r="A238" s="2">
        <v>540186</v>
      </c>
      <c r="B238" s="2" t="s">
        <v>78</v>
      </c>
      <c r="C238" s="2" t="s">
        <v>79</v>
      </c>
      <c r="D238" s="2" t="s">
        <v>5</v>
      </c>
      <c r="E238" s="2">
        <v>1</v>
      </c>
      <c r="F238" s="2">
        <v>233224</v>
      </c>
      <c r="G238" s="2">
        <v>2078</v>
      </c>
      <c r="H238" s="2">
        <v>2</v>
      </c>
      <c r="I238" s="2">
        <v>2</v>
      </c>
      <c r="J238" s="159">
        <v>9.6246390760300002E-4</v>
      </c>
      <c r="K238" s="159">
        <v>9.6246390760300002E-4</v>
      </c>
      <c r="L238" s="159">
        <v>0.230991337825</v>
      </c>
    </row>
    <row r="239" spans="1:12" x14ac:dyDescent="0.25">
      <c r="A239" s="2">
        <v>540187</v>
      </c>
      <c r="B239" s="2" t="s">
        <v>255</v>
      </c>
      <c r="C239" s="2" t="s">
        <v>79</v>
      </c>
      <c r="D239" s="2" t="s">
        <v>115</v>
      </c>
      <c r="E239" s="2">
        <v>1</v>
      </c>
      <c r="F239" s="2">
        <v>1914</v>
      </c>
      <c r="G239" s="2">
        <v>47</v>
      </c>
      <c r="H239" s="2">
        <v>1</v>
      </c>
      <c r="I239" s="2">
        <v>1</v>
      </c>
      <c r="J239" s="159">
        <v>2.1276595744699998E-2</v>
      </c>
      <c r="K239" s="159">
        <v>2.1276595744699998E-2</v>
      </c>
      <c r="L239" s="159">
        <v>5.1063829787200001</v>
      </c>
    </row>
    <row r="240" spans="1:12" x14ac:dyDescent="0.25">
      <c r="A240" s="252"/>
      <c r="B240" s="252"/>
      <c r="C240" s="252" t="s">
        <v>79</v>
      </c>
      <c r="D240" s="252"/>
      <c r="E240" s="252"/>
      <c r="F240" s="252">
        <v>235138</v>
      </c>
      <c r="G240" s="252">
        <v>2125</v>
      </c>
      <c r="H240" s="252">
        <v>3</v>
      </c>
      <c r="I240" s="252">
        <v>3</v>
      </c>
      <c r="J240" s="414">
        <v>1.4117647058800001E-3</v>
      </c>
      <c r="K240" s="414">
        <v>1.4117647058800001E-3</v>
      </c>
      <c r="L240" s="414">
        <v>0.338823529412</v>
      </c>
    </row>
    <row r="241" spans="1:12" x14ac:dyDescent="0.25">
      <c r="A241" s="2">
        <v>540188</v>
      </c>
      <c r="B241" s="2" t="s">
        <v>80</v>
      </c>
      <c r="C241" s="2" t="s">
        <v>81</v>
      </c>
      <c r="D241" s="2" t="s">
        <v>5</v>
      </c>
      <c r="E241" s="2">
        <v>6</v>
      </c>
      <c r="F241" s="2">
        <v>109727</v>
      </c>
      <c r="G241" s="2">
        <v>3083</v>
      </c>
      <c r="H241" s="2">
        <v>808</v>
      </c>
      <c r="I241" s="2">
        <v>808</v>
      </c>
      <c r="J241" s="159">
        <v>0.262082387285</v>
      </c>
      <c r="K241" s="159">
        <v>0.262082387285</v>
      </c>
      <c r="L241" s="159">
        <v>62.899772948399999</v>
      </c>
    </row>
    <row r="242" spans="1:12" x14ac:dyDescent="0.25">
      <c r="A242" s="2">
        <v>540189</v>
      </c>
      <c r="B242" s="2" t="s">
        <v>256</v>
      </c>
      <c r="C242" s="2" t="s">
        <v>81</v>
      </c>
      <c r="D242" s="2" t="s">
        <v>115</v>
      </c>
      <c r="E242" s="2">
        <v>6</v>
      </c>
      <c r="F242" s="2">
        <v>196</v>
      </c>
      <c r="G242" s="2">
        <v>21</v>
      </c>
      <c r="H242" s="2">
        <v>0</v>
      </c>
      <c r="I242" s="2">
        <v>0</v>
      </c>
      <c r="J242" s="159">
        <v>0</v>
      </c>
      <c r="K242" s="159">
        <v>0</v>
      </c>
      <c r="L242" s="159">
        <v>0</v>
      </c>
    </row>
    <row r="243" spans="1:12" x14ac:dyDescent="0.25">
      <c r="A243" s="2">
        <v>540190</v>
      </c>
      <c r="B243" s="2" t="s">
        <v>257</v>
      </c>
      <c r="C243" s="2" t="s">
        <v>81</v>
      </c>
      <c r="D243" s="2" t="s">
        <v>115</v>
      </c>
      <c r="E243" s="2">
        <v>6</v>
      </c>
      <c r="F243" s="2">
        <v>2433</v>
      </c>
      <c r="G243" s="2">
        <v>224</v>
      </c>
      <c r="H243" s="2">
        <v>4</v>
      </c>
      <c r="I243" s="2">
        <v>4</v>
      </c>
      <c r="J243" s="159">
        <v>1.7857142857100002E-2</v>
      </c>
      <c r="K243" s="159">
        <v>1.7857142857100002E-2</v>
      </c>
      <c r="L243" s="159">
        <v>4.2857142857100001</v>
      </c>
    </row>
    <row r="244" spans="1:12" x14ac:dyDescent="0.25">
      <c r="A244" s="252"/>
      <c r="B244" s="252"/>
      <c r="C244" s="252" t="s">
        <v>81</v>
      </c>
      <c r="D244" s="252"/>
      <c r="E244" s="252"/>
      <c r="F244" s="252">
        <v>112356</v>
      </c>
      <c r="G244" s="252">
        <v>3328</v>
      </c>
      <c r="H244" s="252">
        <v>812</v>
      </c>
      <c r="I244" s="252">
        <v>812</v>
      </c>
      <c r="J244" s="414">
        <v>0.243990384615</v>
      </c>
      <c r="K244" s="414">
        <v>0.243990384615</v>
      </c>
      <c r="L244" s="414">
        <v>58.557692307700002</v>
      </c>
    </row>
    <row r="245" spans="1:12" x14ac:dyDescent="0.25">
      <c r="A245" s="2">
        <v>540198</v>
      </c>
      <c r="B245" s="2" t="s">
        <v>82</v>
      </c>
      <c r="C245" s="2" t="s">
        <v>83</v>
      </c>
      <c r="D245" s="2" t="s">
        <v>5</v>
      </c>
      <c r="E245" s="2">
        <v>7</v>
      </c>
      <c r="F245" s="2">
        <v>225085</v>
      </c>
      <c r="G245" s="2">
        <v>6152</v>
      </c>
      <c r="H245" s="2">
        <v>49</v>
      </c>
      <c r="I245" s="2">
        <v>49</v>
      </c>
      <c r="J245" s="159">
        <v>7.96488946684E-3</v>
      </c>
      <c r="K245" s="159">
        <v>7.96488946684E-3</v>
      </c>
      <c r="L245" s="159">
        <v>1.9115734720399999</v>
      </c>
    </row>
    <row r="246" spans="1:12" x14ac:dyDescent="0.25">
      <c r="A246" s="2">
        <v>540199</v>
      </c>
      <c r="B246" s="2" t="s">
        <v>261</v>
      </c>
      <c r="C246" s="2" t="s">
        <v>83</v>
      </c>
      <c r="D246" s="2" t="s">
        <v>115</v>
      </c>
      <c r="E246" s="2">
        <v>7</v>
      </c>
      <c r="F246" s="2">
        <v>1822</v>
      </c>
      <c r="G246" s="2">
        <v>539</v>
      </c>
      <c r="H246" s="2">
        <v>10</v>
      </c>
      <c r="I246" s="2">
        <v>10</v>
      </c>
      <c r="J246" s="159">
        <v>1.8552875695700001E-2</v>
      </c>
      <c r="K246" s="159">
        <v>1.8552875695700001E-2</v>
      </c>
      <c r="L246" s="159">
        <v>4.4526901669800001</v>
      </c>
    </row>
    <row r="247" spans="1:12" x14ac:dyDescent="0.25">
      <c r="A247" s="252"/>
      <c r="B247" s="252"/>
      <c r="C247" s="252" t="s">
        <v>83</v>
      </c>
      <c r="D247" s="252"/>
      <c r="E247" s="252"/>
      <c r="F247" s="252">
        <v>226907</v>
      </c>
      <c r="G247" s="252">
        <v>6691</v>
      </c>
      <c r="H247" s="252">
        <v>59</v>
      </c>
      <c r="I247" s="252">
        <v>59</v>
      </c>
      <c r="J247" s="414">
        <v>8.8178149753399999E-3</v>
      </c>
      <c r="K247" s="414">
        <v>8.8178149753399999E-3</v>
      </c>
      <c r="L247" s="414">
        <v>2.1162755940800002</v>
      </c>
    </row>
    <row r="248" spans="1:12" x14ac:dyDescent="0.25">
      <c r="A248" s="2">
        <v>540200</v>
      </c>
      <c r="B248" s="2" t="s">
        <v>84</v>
      </c>
      <c r="C248" s="2" t="s">
        <v>85</v>
      </c>
      <c r="D248" s="2" t="s">
        <v>5</v>
      </c>
      <c r="E248" s="2">
        <v>2</v>
      </c>
      <c r="F248" s="2">
        <v>323384</v>
      </c>
      <c r="G248" s="2">
        <v>9381</v>
      </c>
      <c r="H248" s="2">
        <v>439</v>
      </c>
      <c r="I248" s="2">
        <v>439</v>
      </c>
      <c r="J248" s="159">
        <v>4.6796716767900003E-2</v>
      </c>
      <c r="K248" s="159">
        <v>4.6796716767900003E-2</v>
      </c>
      <c r="L248" s="159">
        <v>11.2312120243</v>
      </c>
    </row>
    <row r="249" spans="1:12" x14ac:dyDescent="0.25">
      <c r="A249" s="2">
        <v>540018</v>
      </c>
      <c r="B249" s="2" t="s">
        <v>127</v>
      </c>
      <c r="C249" s="2" t="s">
        <v>85</v>
      </c>
      <c r="D249" s="2" t="s">
        <v>115</v>
      </c>
      <c r="E249" s="2">
        <v>2</v>
      </c>
      <c r="F249" s="2">
        <v>859</v>
      </c>
      <c r="G249" s="2">
        <v>75</v>
      </c>
      <c r="H249" s="2">
        <v>0</v>
      </c>
      <c r="I249" s="2">
        <v>0</v>
      </c>
      <c r="J249" s="159">
        <v>0</v>
      </c>
      <c r="K249" s="159">
        <v>0</v>
      </c>
      <c r="L249" s="159">
        <v>0</v>
      </c>
    </row>
    <row r="250" spans="1:12" x14ac:dyDescent="0.25">
      <c r="A250" s="2">
        <v>540202</v>
      </c>
      <c r="B250" s="2" t="s">
        <v>262</v>
      </c>
      <c r="C250" s="2" t="s">
        <v>85</v>
      </c>
      <c r="D250" s="2" t="s">
        <v>115</v>
      </c>
      <c r="E250" s="2">
        <v>2</v>
      </c>
      <c r="F250" s="2">
        <v>567</v>
      </c>
      <c r="G250" s="2">
        <v>91</v>
      </c>
      <c r="H250" s="2">
        <v>0</v>
      </c>
      <c r="I250" s="2">
        <v>0</v>
      </c>
      <c r="J250" s="159">
        <v>0</v>
      </c>
      <c r="K250" s="159">
        <v>0</v>
      </c>
      <c r="L250" s="159">
        <v>0</v>
      </c>
    </row>
    <row r="251" spans="1:12" x14ac:dyDescent="0.25">
      <c r="A251" s="2">
        <v>540221</v>
      </c>
      <c r="B251" s="2" t="s">
        <v>275</v>
      </c>
      <c r="C251" s="2" t="s">
        <v>85</v>
      </c>
      <c r="D251" s="2" t="s">
        <v>115</v>
      </c>
      <c r="E251" s="2">
        <v>2</v>
      </c>
      <c r="F251" s="2">
        <v>1056</v>
      </c>
      <c r="G251" s="2">
        <v>81</v>
      </c>
      <c r="H251" s="2">
        <v>4</v>
      </c>
      <c r="I251" s="2">
        <v>4</v>
      </c>
      <c r="J251" s="159">
        <v>4.9382716049399998E-2</v>
      </c>
      <c r="K251" s="159">
        <v>4.9382716049399998E-2</v>
      </c>
      <c r="L251" s="159">
        <v>11.851851851899999</v>
      </c>
    </row>
    <row r="252" spans="1:12" x14ac:dyDescent="0.25">
      <c r="A252" s="2">
        <v>540231</v>
      </c>
      <c r="B252" s="2" t="s">
        <v>281</v>
      </c>
      <c r="C252" s="2" t="s">
        <v>85</v>
      </c>
      <c r="D252" s="2" t="s">
        <v>115</v>
      </c>
      <c r="E252" s="2">
        <v>2</v>
      </c>
      <c r="F252" s="2">
        <v>533</v>
      </c>
      <c r="G252" s="2">
        <v>83</v>
      </c>
      <c r="H252" s="2">
        <v>5</v>
      </c>
      <c r="I252" s="2">
        <v>5</v>
      </c>
      <c r="J252" s="159">
        <v>6.0240963855400002E-2</v>
      </c>
      <c r="K252" s="159">
        <v>6.0240963855400002E-2</v>
      </c>
      <c r="L252" s="159">
        <v>14.457831325300001</v>
      </c>
    </row>
    <row r="253" spans="1:12" x14ac:dyDescent="0.25">
      <c r="A253" s="2">
        <v>540232</v>
      </c>
      <c r="B253" s="2" t="s">
        <v>282</v>
      </c>
      <c r="C253" s="2" t="s">
        <v>85</v>
      </c>
      <c r="D253" s="2" t="s">
        <v>115</v>
      </c>
      <c r="E253" s="2">
        <v>2</v>
      </c>
      <c r="F253" s="2">
        <v>1388</v>
      </c>
      <c r="G253" s="2">
        <v>175</v>
      </c>
      <c r="H253" s="2">
        <v>2</v>
      </c>
      <c r="I253" s="2">
        <v>2</v>
      </c>
      <c r="J253" s="159">
        <v>1.1428571428599999E-2</v>
      </c>
      <c r="K253" s="159">
        <v>1.1428571428599999E-2</v>
      </c>
      <c r="L253" s="159">
        <v>2.7428571428600002</v>
      </c>
    </row>
    <row r="254" spans="1:12" x14ac:dyDescent="0.25">
      <c r="A254" s="252"/>
      <c r="B254" s="252"/>
      <c r="C254" s="252" t="s">
        <v>85</v>
      </c>
      <c r="D254" s="252"/>
      <c r="E254" s="252"/>
      <c r="F254" s="252">
        <v>327787</v>
      </c>
      <c r="G254" s="252">
        <v>9886</v>
      </c>
      <c r="H254" s="252">
        <v>450</v>
      </c>
      <c r="I254" s="252">
        <v>450</v>
      </c>
      <c r="J254" s="414">
        <v>4.5518915638300003E-2</v>
      </c>
      <c r="K254" s="414">
        <v>4.5518915638300003E-2</v>
      </c>
      <c r="L254" s="414">
        <v>10.924539753199999</v>
      </c>
    </row>
    <row r="255" spans="1:12" x14ac:dyDescent="0.25">
      <c r="A255" s="2">
        <v>540203</v>
      </c>
      <c r="B255" s="2" t="s">
        <v>86</v>
      </c>
      <c r="C255" s="2" t="s">
        <v>87</v>
      </c>
      <c r="D255" s="2" t="s">
        <v>5</v>
      </c>
      <c r="E255" s="2">
        <v>4</v>
      </c>
      <c r="F255" s="2">
        <v>354803</v>
      </c>
      <c r="G255" s="2">
        <v>6759</v>
      </c>
      <c r="H255" s="2">
        <v>149</v>
      </c>
      <c r="I255" s="2">
        <v>149</v>
      </c>
      <c r="J255" s="159">
        <v>2.2044681165899999E-2</v>
      </c>
      <c r="K255" s="159">
        <v>2.2044681165899999E-2</v>
      </c>
      <c r="L255" s="159">
        <v>5.2907234797999996</v>
      </c>
    </row>
    <row r="256" spans="1:12" x14ac:dyDescent="0.25">
      <c r="A256" s="2">
        <v>540204</v>
      </c>
      <c r="B256" s="2" t="s">
        <v>263</v>
      </c>
      <c r="C256" s="2" t="s">
        <v>87</v>
      </c>
      <c r="D256" s="2" t="s">
        <v>115</v>
      </c>
      <c r="E256" s="2">
        <v>4</v>
      </c>
      <c r="F256" s="2">
        <v>303</v>
      </c>
      <c r="G256" s="2">
        <v>43</v>
      </c>
      <c r="H256" s="2">
        <v>4</v>
      </c>
      <c r="I256" s="2">
        <v>4</v>
      </c>
      <c r="J256" s="159">
        <v>9.3023255814000005E-2</v>
      </c>
      <c r="K256" s="159">
        <v>9.3023255814000005E-2</v>
      </c>
      <c r="L256" s="159">
        <v>22.325581395299999</v>
      </c>
    </row>
    <row r="257" spans="1:12" x14ac:dyDescent="0.25">
      <c r="A257" s="2">
        <v>540205</v>
      </c>
      <c r="B257" s="2" t="s">
        <v>264</v>
      </c>
      <c r="C257" s="2" t="s">
        <v>87</v>
      </c>
      <c r="D257" s="2" t="s">
        <v>115</v>
      </c>
      <c r="E257" s="2">
        <v>4</v>
      </c>
      <c r="F257" s="2">
        <v>214</v>
      </c>
      <c r="G257" s="2">
        <v>18</v>
      </c>
      <c r="H257" s="2">
        <v>1</v>
      </c>
      <c r="I257" s="2">
        <v>1</v>
      </c>
      <c r="J257" s="159">
        <v>5.5555555555600003E-2</v>
      </c>
      <c r="K257" s="159">
        <v>5.5555555555600003E-2</v>
      </c>
      <c r="L257" s="159">
        <v>13.333333333300001</v>
      </c>
    </row>
    <row r="258" spans="1:12" x14ac:dyDescent="0.25">
      <c r="A258" s="2">
        <v>540206</v>
      </c>
      <c r="B258" s="2" t="s">
        <v>265</v>
      </c>
      <c r="C258" s="2" t="s">
        <v>87</v>
      </c>
      <c r="D258" s="2" t="s">
        <v>115</v>
      </c>
      <c r="E258" s="2">
        <v>4</v>
      </c>
      <c r="F258" s="2">
        <v>403</v>
      </c>
      <c r="G258" s="2">
        <v>56</v>
      </c>
      <c r="H258" s="2">
        <v>0</v>
      </c>
      <c r="I258" s="2">
        <v>0</v>
      </c>
      <c r="J258" s="159">
        <v>0</v>
      </c>
      <c r="K258" s="159">
        <v>0</v>
      </c>
      <c r="L258" s="159">
        <v>0</v>
      </c>
    </row>
    <row r="259" spans="1:12" x14ac:dyDescent="0.25">
      <c r="A259" s="252"/>
      <c r="B259" s="252"/>
      <c r="C259" s="252" t="s">
        <v>87</v>
      </c>
      <c r="D259" s="252"/>
      <c r="E259" s="252"/>
      <c r="F259" s="252">
        <v>355723</v>
      </c>
      <c r="G259" s="252">
        <v>6876</v>
      </c>
      <c r="H259" s="252">
        <v>154</v>
      </c>
      <c r="I259" s="252">
        <v>154</v>
      </c>
      <c r="J259" s="414">
        <v>2.2396742292000001E-2</v>
      </c>
      <c r="K259" s="414">
        <v>2.2396742292000001E-2</v>
      </c>
      <c r="L259" s="414">
        <v>5.3752181500900003</v>
      </c>
    </row>
    <row r="260" spans="1:12" x14ac:dyDescent="0.25">
      <c r="A260" s="2">
        <v>540207</v>
      </c>
      <c r="B260" s="2" t="s">
        <v>88</v>
      </c>
      <c r="C260" s="2" t="s">
        <v>89</v>
      </c>
      <c r="D260" s="2" t="s">
        <v>5</v>
      </c>
      <c r="E260" s="2">
        <v>10</v>
      </c>
      <c r="F260" s="2">
        <v>228227</v>
      </c>
      <c r="G260" s="2">
        <v>6297</v>
      </c>
      <c r="H260" s="2">
        <v>121</v>
      </c>
      <c r="I260" s="2">
        <v>121</v>
      </c>
      <c r="J260" s="159">
        <v>1.92154994442E-2</v>
      </c>
      <c r="K260" s="159">
        <v>1.92154994442E-2</v>
      </c>
      <c r="L260" s="159">
        <v>4.6117198665999997</v>
      </c>
    </row>
    <row r="261" spans="1:12" x14ac:dyDescent="0.25">
      <c r="A261" s="2">
        <v>540196</v>
      </c>
      <c r="B261" s="2" t="s">
        <v>259</v>
      </c>
      <c r="C261" s="2" t="s">
        <v>89</v>
      </c>
      <c r="D261" s="2" t="s">
        <v>115</v>
      </c>
      <c r="E261" s="2">
        <v>5</v>
      </c>
      <c r="F261" s="2">
        <v>332</v>
      </c>
      <c r="G261" s="2">
        <v>35</v>
      </c>
      <c r="H261" s="2">
        <v>21</v>
      </c>
      <c r="I261" s="2">
        <v>21</v>
      </c>
      <c r="J261" s="159">
        <v>0.6</v>
      </c>
      <c r="K261" s="159">
        <v>0.6</v>
      </c>
      <c r="L261" s="159">
        <v>144</v>
      </c>
    </row>
    <row r="262" spans="1:12" x14ac:dyDescent="0.25">
      <c r="A262" s="2">
        <v>540208</v>
      </c>
      <c r="B262" s="2" t="s">
        <v>266</v>
      </c>
      <c r="C262" s="2" t="s">
        <v>89</v>
      </c>
      <c r="D262" s="2" t="s">
        <v>115</v>
      </c>
      <c r="E262" s="2">
        <v>10</v>
      </c>
      <c r="F262" s="2">
        <v>1735</v>
      </c>
      <c r="G262" s="2">
        <v>519</v>
      </c>
      <c r="H262" s="2">
        <v>28</v>
      </c>
      <c r="I262" s="2">
        <v>28</v>
      </c>
      <c r="J262" s="159">
        <v>5.3949903660900002E-2</v>
      </c>
      <c r="K262" s="159">
        <v>5.3949903660900002E-2</v>
      </c>
      <c r="L262" s="159">
        <v>12.9479768786</v>
      </c>
    </row>
    <row r="263" spans="1:12" x14ac:dyDescent="0.25">
      <c r="A263" s="2">
        <v>540210</v>
      </c>
      <c r="B263" s="2" t="s">
        <v>267</v>
      </c>
      <c r="C263" s="2" t="s">
        <v>89</v>
      </c>
      <c r="D263" s="2" t="s">
        <v>115</v>
      </c>
      <c r="E263" s="2">
        <v>10</v>
      </c>
      <c r="F263" s="2">
        <v>243</v>
      </c>
      <c r="G263" s="2">
        <v>103</v>
      </c>
      <c r="H263" s="2">
        <v>10</v>
      </c>
      <c r="I263" s="2">
        <v>10</v>
      </c>
      <c r="J263" s="159">
        <v>9.7087378640799998E-2</v>
      </c>
      <c r="K263" s="159">
        <v>9.7087378640799998E-2</v>
      </c>
      <c r="L263" s="159">
        <v>23.300970873800001</v>
      </c>
    </row>
    <row r="264" spans="1:12" x14ac:dyDescent="0.25">
      <c r="A264" s="2">
        <v>540256</v>
      </c>
      <c r="B264" s="2" t="s">
        <v>301</v>
      </c>
      <c r="C264" s="2" t="s">
        <v>89</v>
      </c>
      <c r="D264" s="2" t="s">
        <v>115</v>
      </c>
      <c r="E264" s="2">
        <v>10</v>
      </c>
      <c r="F264" s="2">
        <v>322</v>
      </c>
      <c r="G264" s="2">
        <v>53</v>
      </c>
      <c r="H264" s="2">
        <v>2</v>
      </c>
      <c r="I264" s="2">
        <v>2</v>
      </c>
      <c r="J264" s="159">
        <v>3.7735849056599997E-2</v>
      </c>
      <c r="K264" s="159">
        <v>3.7735849056599997E-2</v>
      </c>
      <c r="L264" s="159">
        <v>9.0566037735799991</v>
      </c>
    </row>
    <row r="265" spans="1:12" x14ac:dyDescent="0.25">
      <c r="A265" s="2">
        <v>540258</v>
      </c>
      <c r="B265" s="2" t="s">
        <v>303</v>
      </c>
      <c r="C265" s="2" t="s">
        <v>89</v>
      </c>
      <c r="D265" s="2" t="s">
        <v>115</v>
      </c>
      <c r="E265" s="2">
        <v>10</v>
      </c>
      <c r="F265" s="2">
        <v>191</v>
      </c>
      <c r="G265" s="2">
        <v>36</v>
      </c>
      <c r="H265" s="2">
        <v>2</v>
      </c>
      <c r="I265" s="2">
        <v>2</v>
      </c>
      <c r="J265" s="159">
        <v>5.5555555555600003E-2</v>
      </c>
      <c r="K265" s="159">
        <v>5.5555555555600003E-2</v>
      </c>
      <c r="L265" s="159">
        <v>13.333333333300001</v>
      </c>
    </row>
    <row r="266" spans="1:12" x14ac:dyDescent="0.25">
      <c r="A266" s="252"/>
      <c r="B266" s="252"/>
      <c r="C266" s="252" t="s">
        <v>89</v>
      </c>
      <c r="D266" s="252"/>
      <c r="E266" s="252"/>
      <c r="F266" s="252">
        <v>231050</v>
      </c>
      <c r="G266" s="252">
        <v>7043</v>
      </c>
      <c r="H266" s="252">
        <v>184</v>
      </c>
      <c r="I266" s="252">
        <v>184</v>
      </c>
      <c r="J266" s="414">
        <v>2.61252307255E-2</v>
      </c>
      <c r="K266" s="414">
        <v>2.61252307255E-2</v>
      </c>
      <c r="L266" s="414">
        <v>6.27005537413</v>
      </c>
    </row>
    <row r="267" spans="1:12" x14ac:dyDescent="0.25">
      <c r="A267" s="2">
        <v>540211</v>
      </c>
      <c r="B267" s="2" t="s">
        <v>90</v>
      </c>
      <c r="C267" s="2" t="s">
        <v>91</v>
      </c>
      <c r="D267" s="2" t="s">
        <v>5</v>
      </c>
      <c r="E267" s="2">
        <v>5</v>
      </c>
      <c r="F267" s="2">
        <v>149950</v>
      </c>
      <c r="G267" s="2">
        <v>8144</v>
      </c>
      <c r="H267" s="2">
        <v>450</v>
      </c>
      <c r="I267" s="2">
        <v>450</v>
      </c>
      <c r="J267" s="159">
        <v>5.5255402750499998E-2</v>
      </c>
      <c r="K267" s="159">
        <v>5.5255402750499998E-2</v>
      </c>
      <c r="L267" s="159">
        <v>13.261296660099999</v>
      </c>
    </row>
    <row r="268" spans="1:12" x14ac:dyDescent="0.25">
      <c r="A268" s="2">
        <v>540212</v>
      </c>
      <c r="B268" s="2" t="s">
        <v>268</v>
      </c>
      <c r="C268" s="2" t="s">
        <v>91</v>
      </c>
      <c r="D268" s="2" t="s">
        <v>115</v>
      </c>
      <c r="E268" s="2">
        <v>5</v>
      </c>
      <c r="F268" s="2">
        <v>343</v>
      </c>
      <c r="G268" s="2">
        <v>147</v>
      </c>
      <c r="H268" s="2">
        <v>1</v>
      </c>
      <c r="I268" s="2">
        <v>1</v>
      </c>
      <c r="J268" s="159">
        <v>6.8027210884400004E-3</v>
      </c>
      <c r="K268" s="159">
        <v>6.8027210884400004E-3</v>
      </c>
      <c r="L268" s="159">
        <v>1.6326530612200001</v>
      </c>
    </row>
    <row r="269" spans="1:12" x14ac:dyDescent="0.25">
      <c r="A269" s="252"/>
      <c r="B269" s="252"/>
      <c r="C269" s="252" t="s">
        <v>91</v>
      </c>
      <c r="D269" s="252"/>
      <c r="E269" s="252"/>
      <c r="F269" s="252">
        <v>150293</v>
      </c>
      <c r="G269" s="252">
        <v>8291</v>
      </c>
      <c r="H269" s="252">
        <v>451</v>
      </c>
      <c r="I269" s="252">
        <v>451</v>
      </c>
      <c r="J269" s="414">
        <v>5.43963333735E-2</v>
      </c>
      <c r="K269" s="414">
        <v>5.43963333735E-2</v>
      </c>
      <c r="L269" s="414">
        <v>13.0551200096</v>
      </c>
    </row>
    <row r="270" spans="1:12" x14ac:dyDescent="0.25">
      <c r="A270" s="2">
        <v>540213</v>
      </c>
      <c r="B270" s="2" t="s">
        <v>92</v>
      </c>
      <c r="C270" s="2" t="s">
        <v>93</v>
      </c>
      <c r="D270" s="2" t="s">
        <v>5</v>
      </c>
      <c r="E270" s="2">
        <v>5</v>
      </c>
      <c r="F270" s="2">
        <v>229238</v>
      </c>
      <c r="G270" s="2">
        <v>14388</v>
      </c>
      <c r="H270" s="2">
        <v>194</v>
      </c>
      <c r="I270" s="2">
        <v>194</v>
      </c>
      <c r="J270" s="159">
        <v>1.34834584376E-2</v>
      </c>
      <c r="K270" s="159">
        <v>1.34834584376E-2</v>
      </c>
      <c r="L270" s="159">
        <v>3.2360300250199998</v>
      </c>
    </row>
    <row r="271" spans="1:12" x14ac:dyDescent="0.25">
      <c r="A271" s="2">
        <v>540042</v>
      </c>
      <c r="B271" s="2" t="s">
        <v>143</v>
      </c>
      <c r="C271" s="2" t="s">
        <v>93</v>
      </c>
      <c r="D271" s="2" t="s">
        <v>115</v>
      </c>
      <c r="E271" s="2">
        <v>5</v>
      </c>
      <c r="F271" s="2">
        <v>353</v>
      </c>
      <c r="G271" s="2">
        <v>15</v>
      </c>
      <c r="H271" s="2">
        <v>0</v>
      </c>
      <c r="I271" s="2">
        <v>0</v>
      </c>
      <c r="J271" s="159">
        <v>0</v>
      </c>
      <c r="K271" s="159">
        <v>0</v>
      </c>
      <c r="L271" s="159">
        <v>0</v>
      </c>
    </row>
    <row r="272" spans="1:12" x14ac:dyDescent="0.25">
      <c r="A272" s="2">
        <v>540214</v>
      </c>
      <c r="B272" s="2" t="s">
        <v>269</v>
      </c>
      <c r="C272" s="2" t="s">
        <v>93</v>
      </c>
      <c r="D272" s="2" t="s">
        <v>115</v>
      </c>
      <c r="E272" s="2">
        <v>5</v>
      </c>
      <c r="F272" s="2">
        <v>7879</v>
      </c>
      <c r="G272" s="2">
        <v>939</v>
      </c>
      <c r="H272" s="2">
        <v>71</v>
      </c>
      <c r="I272" s="2">
        <v>71</v>
      </c>
      <c r="J272" s="159">
        <v>7.5612353567600002E-2</v>
      </c>
      <c r="K272" s="159">
        <v>7.5612353567600002E-2</v>
      </c>
      <c r="L272" s="159">
        <v>18.1469648562</v>
      </c>
    </row>
    <row r="273" spans="1:12" x14ac:dyDescent="0.25">
      <c r="A273" s="2">
        <v>540215</v>
      </c>
      <c r="B273" s="2" t="s">
        <v>270</v>
      </c>
      <c r="C273" s="2" t="s">
        <v>93</v>
      </c>
      <c r="D273" s="2" t="s">
        <v>115</v>
      </c>
      <c r="E273" s="2">
        <v>5</v>
      </c>
      <c r="F273" s="2">
        <v>2525</v>
      </c>
      <c r="G273" s="2">
        <v>224</v>
      </c>
      <c r="H273" s="2">
        <v>19</v>
      </c>
      <c r="I273" s="2">
        <v>19</v>
      </c>
      <c r="J273" s="159">
        <v>8.4821428571400001E-2</v>
      </c>
      <c r="K273" s="159">
        <v>8.4821428571400001E-2</v>
      </c>
      <c r="L273" s="159">
        <v>20.357142857100001</v>
      </c>
    </row>
    <row r="274" spans="1:12" x14ac:dyDescent="0.25">
      <c r="A274" s="2">
        <v>540216</v>
      </c>
      <c r="B274" s="2" t="s">
        <v>271</v>
      </c>
      <c r="C274" s="2" t="s">
        <v>93</v>
      </c>
      <c r="D274" s="2" t="s">
        <v>115</v>
      </c>
      <c r="E274" s="2">
        <v>5</v>
      </c>
      <c r="F274" s="2">
        <v>1055</v>
      </c>
      <c r="G274" s="2">
        <v>146</v>
      </c>
      <c r="H274" s="2">
        <v>3</v>
      </c>
      <c r="I274" s="2">
        <v>3</v>
      </c>
      <c r="J274" s="159">
        <v>2.05479452055E-2</v>
      </c>
      <c r="K274" s="159">
        <v>2.05479452055E-2</v>
      </c>
      <c r="L274" s="159">
        <v>4.9315068493199998</v>
      </c>
    </row>
    <row r="275" spans="1:12" x14ac:dyDescent="0.25">
      <c r="A275" s="252"/>
      <c r="B275" s="252"/>
      <c r="C275" s="252" t="s">
        <v>93</v>
      </c>
      <c r="D275" s="252"/>
      <c r="E275" s="252"/>
      <c r="F275" s="252">
        <v>241050</v>
      </c>
      <c r="G275" s="252">
        <v>15712</v>
      </c>
      <c r="H275" s="252">
        <v>287</v>
      </c>
      <c r="I275" s="252">
        <v>287</v>
      </c>
      <c r="J275" s="414">
        <v>1.8266293279E-2</v>
      </c>
      <c r="K275" s="414">
        <v>1.8266293279E-2</v>
      </c>
      <c r="L275" s="414">
        <v>4.3839103869700002</v>
      </c>
    </row>
    <row r="276" spans="1:12" x14ac:dyDescent="0.25">
      <c r="A276" s="2">
        <v>540224</v>
      </c>
      <c r="B276" s="2" t="s">
        <v>96</v>
      </c>
      <c r="C276" s="2" t="s">
        <v>97</v>
      </c>
      <c r="D276" s="2" t="s">
        <v>5</v>
      </c>
      <c r="E276" s="2">
        <v>5</v>
      </c>
      <c r="F276" s="2">
        <v>286084</v>
      </c>
      <c r="G276" s="2">
        <v>7943</v>
      </c>
      <c r="H276" s="2">
        <v>480</v>
      </c>
      <c r="I276" s="2">
        <v>480</v>
      </c>
      <c r="J276" s="159">
        <v>6.0430567795499997E-2</v>
      </c>
      <c r="K276" s="159">
        <v>6.0430567795499997E-2</v>
      </c>
      <c r="L276" s="159">
        <v>14.5033362709</v>
      </c>
    </row>
    <row r="277" spans="1:12" x14ac:dyDescent="0.25">
      <c r="A277" s="2">
        <v>540132</v>
      </c>
      <c r="B277" s="2" t="s">
        <v>216</v>
      </c>
      <c r="C277" s="2" t="s">
        <v>97</v>
      </c>
      <c r="D277" s="2" t="s">
        <v>115</v>
      </c>
      <c r="E277" s="2">
        <v>5</v>
      </c>
      <c r="F277" s="2">
        <v>1020</v>
      </c>
      <c r="G277" s="2">
        <v>21</v>
      </c>
      <c r="H277" s="2">
        <v>20</v>
      </c>
      <c r="I277" s="2">
        <v>20</v>
      </c>
      <c r="J277" s="159">
        <v>0.95238095238099996</v>
      </c>
      <c r="K277" s="159">
        <v>0.95238095238099996</v>
      </c>
      <c r="L277" s="159">
        <v>228.57142857100001</v>
      </c>
    </row>
    <row r="278" spans="1:12" x14ac:dyDescent="0.25">
      <c r="A278" s="2">
        <v>540179</v>
      </c>
      <c r="B278" s="2" t="s">
        <v>250</v>
      </c>
      <c r="C278" s="2" t="s">
        <v>97</v>
      </c>
      <c r="D278" s="2" t="s">
        <v>115</v>
      </c>
      <c r="E278" s="2">
        <v>5</v>
      </c>
      <c r="F278" s="2">
        <v>312</v>
      </c>
      <c r="G278" s="2">
        <v>38</v>
      </c>
      <c r="H278" s="2">
        <v>1</v>
      </c>
      <c r="I278" s="2">
        <v>1</v>
      </c>
      <c r="J278" s="159">
        <v>2.6315789473699999E-2</v>
      </c>
      <c r="K278" s="159">
        <v>2.6315789473699999E-2</v>
      </c>
      <c r="L278" s="159">
        <v>6.3157894736799998</v>
      </c>
    </row>
    <row r="279" spans="1:12" x14ac:dyDescent="0.25">
      <c r="A279" s="2">
        <v>540180</v>
      </c>
      <c r="B279" s="2" t="s">
        <v>251</v>
      </c>
      <c r="C279" s="2" t="s">
        <v>97</v>
      </c>
      <c r="D279" s="2" t="s">
        <v>115</v>
      </c>
      <c r="E279" s="2">
        <v>5</v>
      </c>
      <c r="F279" s="2">
        <v>720</v>
      </c>
      <c r="G279" s="2">
        <v>33</v>
      </c>
      <c r="H279" s="2">
        <v>0</v>
      </c>
      <c r="I279" s="2">
        <v>0</v>
      </c>
      <c r="J279" s="159">
        <v>0</v>
      </c>
      <c r="K279" s="159">
        <v>0</v>
      </c>
      <c r="L279" s="159">
        <v>0</v>
      </c>
    </row>
    <row r="280" spans="1:12" x14ac:dyDescent="0.25">
      <c r="A280" s="2">
        <v>540182</v>
      </c>
      <c r="B280" s="2" t="s">
        <v>252</v>
      </c>
      <c r="C280" s="2" t="s">
        <v>97</v>
      </c>
      <c r="D280" s="2" t="s">
        <v>115</v>
      </c>
      <c r="E280" s="2">
        <v>5</v>
      </c>
      <c r="F280" s="2">
        <v>1742</v>
      </c>
      <c r="G280" s="2">
        <v>52</v>
      </c>
      <c r="H280" s="2">
        <v>2</v>
      </c>
      <c r="I280" s="2">
        <v>2</v>
      </c>
      <c r="J280" s="159">
        <v>3.8461538461500001E-2</v>
      </c>
      <c r="K280" s="159">
        <v>3.8461538461500001E-2</v>
      </c>
      <c r="L280" s="159">
        <v>9.2307692307700009</v>
      </c>
    </row>
    <row r="281" spans="1:12" x14ac:dyDescent="0.25">
      <c r="A281" s="2">
        <v>540262</v>
      </c>
      <c r="B281" s="2" t="s">
        <v>305</v>
      </c>
      <c r="C281" s="2" t="s">
        <v>97</v>
      </c>
      <c r="D281" s="2" t="s">
        <v>115</v>
      </c>
      <c r="E281" s="2">
        <v>5</v>
      </c>
      <c r="F281" s="2">
        <v>215</v>
      </c>
      <c r="G281" s="2">
        <v>22</v>
      </c>
      <c r="H281" s="2">
        <v>0</v>
      </c>
      <c r="I281" s="2">
        <v>0</v>
      </c>
      <c r="J281" s="159">
        <v>0</v>
      </c>
      <c r="K281" s="159">
        <v>0</v>
      </c>
      <c r="L281" s="159">
        <v>0</v>
      </c>
    </row>
    <row r="282" spans="1:12" x14ac:dyDescent="0.25">
      <c r="A282" s="2">
        <v>540263</v>
      </c>
      <c r="B282" s="2" t="s">
        <v>306</v>
      </c>
      <c r="C282" s="2" t="s">
        <v>97</v>
      </c>
      <c r="D282" s="2" t="s">
        <v>115</v>
      </c>
      <c r="E282" s="2">
        <v>5</v>
      </c>
      <c r="F282" s="2">
        <v>156</v>
      </c>
      <c r="G282" s="2">
        <v>16</v>
      </c>
      <c r="H282" s="2">
        <v>0</v>
      </c>
      <c r="I282" s="2">
        <v>0</v>
      </c>
      <c r="J282" s="159">
        <v>0</v>
      </c>
      <c r="K282" s="159">
        <v>0</v>
      </c>
      <c r="L282" s="159">
        <v>0</v>
      </c>
    </row>
    <row r="283" spans="1:12" x14ac:dyDescent="0.25">
      <c r="A283" s="252"/>
      <c r="B283" s="252"/>
      <c r="C283" s="252" t="s">
        <v>97</v>
      </c>
      <c r="D283" s="252"/>
      <c r="E283" s="252"/>
      <c r="F283" s="252">
        <v>290249</v>
      </c>
      <c r="G283" s="252">
        <v>8125</v>
      </c>
      <c r="H283" s="252">
        <v>503</v>
      </c>
      <c r="I283" s="252">
        <v>503</v>
      </c>
      <c r="J283" s="414">
        <v>6.1907692307699998E-2</v>
      </c>
      <c r="K283" s="414">
        <v>6.1907692307699998E-2</v>
      </c>
      <c r="L283" s="414">
        <v>14.857846153800001</v>
      </c>
    </row>
    <row r="284" spans="1:12" x14ac:dyDescent="0.25">
      <c r="A284" s="2">
        <v>540225</v>
      </c>
      <c r="B284" s="2" t="s">
        <v>98</v>
      </c>
      <c r="C284" s="2" t="s">
        <v>99</v>
      </c>
      <c r="D284" s="2" t="s">
        <v>5</v>
      </c>
      <c r="E284" s="2">
        <v>5</v>
      </c>
      <c r="F284" s="2">
        <v>85133</v>
      </c>
      <c r="G284" s="2">
        <v>3556</v>
      </c>
      <c r="H284" s="2">
        <v>76</v>
      </c>
      <c r="I284" s="2">
        <v>76</v>
      </c>
      <c r="J284" s="159">
        <v>2.1372328458900001E-2</v>
      </c>
      <c r="K284" s="159">
        <v>2.1372328458900001E-2</v>
      </c>
      <c r="L284" s="159">
        <v>5.1293588301500002</v>
      </c>
    </row>
    <row r="285" spans="1:12" x14ac:dyDescent="0.25">
      <c r="A285" s="2">
        <v>540156</v>
      </c>
      <c r="B285" s="2" t="s">
        <v>232</v>
      </c>
      <c r="C285" s="2" t="s">
        <v>99</v>
      </c>
      <c r="D285" s="2" t="s">
        <v>115</v>
      </c>
      <c r="E285" s="2">
        <v>5</v>
      </c>
      <c r="F285" s="2">
        <v>657</v>
      </c>
      <c r="G285" s="2">
        <v>57</v>
      </c>
      <c r="H285" s="2">
        <v>0</v>
      </c>
      <c r="I285" s="2">
        <v>0</v>
      </c>
      <c r="J285" s="159">
        <v>0</v>
      </c>
      <c r="K285" s="159">
        <v>0</v>
      </c>
      <c r="L285" s="159">
        <v>0</v>
      </c>
    </row>
    <row r="286" spans="1:12" x14ac:dyDescent="0.25">
      <c r="A286" s="2">
        <v>540253</v>
      </c>
      <c r="B286" s="2" t="s">
        <v>299</v>
      </c>
      <c r="C286" s="2" t="s">
        <v>99</v>
      </c>
      <c r="D286" s="2" t="s">
        <v>115</v>
      </c>
      <c r="E286" s="2">
        <v>5</v>
      </c>
      <c r="F286" s="2">
        <v>262</v>
      </c>
      <c r="G286" s="2">
        <v>16</v>
      </c>
      <c r="H286" s="2">
        <v>0</v>
      </c>
      <c r="I286" s="2">
        <v>0</v>
      </c>
      <c r="J286" s="159">
        <v>0</v>
      </c>
      <c r="K286" s="159">
        <v>0</v>
      </c>
      <c r="L286" s="159">
        <v>0</v>
      </c>
    </row>
    <row r="287" spans="1:12" x14ac:dyDescent="0.25">
      <c r="A287" s="252"/>
      <c r="B287" s="252"/>
      <c r="C287" s="252" t="s">
        <v>99</v>
      </c>
      <c r="D287" s="252"/>
      <c r="E287" s="252"/>
      <c r="F287" s="252">
        <v>86052</v>
      </c>
      <c r="G287" s="252">
        <v>3629</v>
      </c>
      <c r="H287" s="252">
        <v>76</v>
      </c>
      <c r="I287" s="252">
        <v>76</v>
      </c>
      <c r="J287" s="414">
        <v>2.0942408377E-2</v>
      </c>
      <c r="K287" s="414">
        <v>2.0942408377E-2</v>
      </c>
      <c r="L287" s="414">
        <v>5.0261780104699998</v>
      </c>
    </row>
    <row r="288" spans="1:12" x14ac:dyDescent="0.25">
      <c r="A288" s="2">
        <v>540226</v>
      </c>
      <c r="B288" s="2" t="s">
        <v>100</v>
      </c>
      <c r="C288" s="2" t="s">
        <v>101</v>
      </c>
      <c r="D288" s="2" t="s">
        <v>5</v>
      </c>
      <c r="E288" s="2">
        <v>8</v>
      </c>
      <c r="F288" s="2">
        <v>411595</v>
      </c>
      <c r="G288" s="2">
        <v>20404</v>
      </c>
      <c r="H288" s="2">
        <v>351</v>
      </c>
      <c r="I288" s="2">
        <v>351</v>
      </c>
      <c r="J288" s="159">
        <v>1.72025093119E-2</v>
      </c>
      <c r="K288" s="159">
        <v>1.72025093119E-2</v>
      </c>
      <c r="L288" s="159">
        <v>4.1286022348599998</v>
      </c>
    </row>
    <row r="289" spans="1:12" x14ac:dyDescent="0.25">
      <c r="A289" s="2">
        <v>540046</v>
      </c>
      <c r="B289" s="2" t="s">
        <v>147</v>
      </c>
      <c r="C289" s="2" t="s">
        <v>101</v>
      </c>
      <c r="D289" s="2" t="s">
        <v>115</v>
      </c>
      <c r="E289" s="2">
        <v>8</v>
      </c>
      <c r="F289" s="2">
        <v>447</v>
      </c>
      <c r="G289" s="2">
        <v>56</v>
      </c>
      <c r="H289" s="2">
        <v>0</v>
      </c>
      <c r="I289" s="2">
        <v>0</v>
      </c>
      <c r="J289" s="159">
        <v>0</v>
      </c>
      <c r="K289" s="159">
        <v>0</v>
      </c>
      <c r="L289" s="159">
        <v>0</v>
      </c>
    </row>
    <row r="290" spans="1:12" x14ac:dyDescent="0.25">
      <c r="A290" s="2">
        <v>540276</v>
      </c>
      <c r="B290" s="2" t="s">
        <v>319</v>
      </c>
      <c r="C290" s="2" t="s">
        <v>101</v>
      </c>
      <c r="D290" s="2" t="s">
        <v>115</v>
      </c>
      <c r="E290" s="2">
        <v>8</v>
      </c>
      <c r="F290" s="2">
        <v>615</v>
      </c>
      <c r="G290" s="2">
        <v>22</v>
      </c>
      <c r="H290" s="2">
        <v>0</v>
      </c>
      <c r="I290" s="2">
        <v>0</v>
      </c>
      <c r="J290" s="159">
        <v>0</v>
      </c>
      <c r="K290" s="159">
        <v>0</v>
      </c>
      <c r="L290" s="159">
        <v>0</v>
      </c>
    </row>
    <row r="291" spans="1:12" x14ac:dyDescent="0.25">
      <c r="A291" s="252"/>
      <c r="B291" s="252"/>
      <c r="C291" s="252" t="s">
        <v>101</v>
      </c>
      <c r="D291" s="252"/>
      <c r="E291" s="252"/>
      <c r="F291" s="252">
        <v>412657</v>
      </c>
      <c r="G291" s="252">
        <v>20482</v>
      </c>
      <c r="H291" s="252">
        <v>351</v>
      </c>
      <c r="I291" s="252">
        <v>351</v>
      </c>
      <c r="J291" s="414">
        <v>1.7136998340000001E-2</v>
      </c>
      <c r="K291" s="414">
        <v>1.7136998340000001E-2</v>
      </c>
      <c r="L291" s="414">
        <v>4.1128796016000004</v>
      </c>
    </row>
    <row r="292" spans="1:12" x14ac:dyDescent="0.25">
      <c r="A292" s="2">
        <v>540277</v>
      </c>
      <c r="B292" s="2" t="s">
        <v>102</v>
      </c>
      <c r="C292" s="2" t="s">
        <v>103</v>
      </c>
      <c r="D292" s="2" t="s">
        <v>5</v>
      </c>
      <c r="E292" s="2">
        <v>5</v>
      </c>
      <c r="F292" s="2">
        <v>165884</v>
      </c>
      <c r="G292" s="2">
        <v>7778</v>
      </c>
      <c r="H292" s="2">
        <v>158</v>
      </c>
      <c r="I292" s="2">
        <v>158</v>
      </c>
      <c r="J292" s="159">
        <v>2.03137053227E-2</v>
      </c>
      <c r="K292" s="159">
        <v>2.03137053227E-2</v>
      </c>
      <c r="L292" s="159">
        <v>4.8752892774500003</v>
      </c>
    </row>
    <row r="293" spans="1:12" x14ac:dyDescent="0.25">
      <c r="A293" s="2">
        <v>540195</v>
      </c>
      <c r="B293" s="2" t="s">
        <v>258</v>
      </c>
      <c r="C293" s="2" t="s">
        <v>103</v>
      </c>
      <c r="D293" s="2" t="s">
        <v>115</v>
      </c>
      <c r="E293" s="2">
        <v>5</v>
      </c>
      <c r="F293" s="2">
        <v>242</v>
      </c>
      <c r="G293" s="2">
        <v>14</v>
      </c>
      <c r="H293" s="2">
        <v>0</v>
      </c>
      <c r="I293" s="2">
        <v>0</v>
      </c>
      <c r="J293" s="159">
        <v>0</v>
      </c>
      <c r="K293" s="159">
        <v>0</v>
      </c>
      <c r="L293" s="159">
        <v>0</v>
      </c>
    </row>
    <row r="294" spans="1:12" x14ac:dyDescent="0.25">
      <c r="A294" s="2">
        <v>540196</v>
      </c>
      <c r="B294" s="2" t="s">
        <v>259</v>
      </c>
      <c r="C294" s="2" t="s">
        <v>103</v>
      </c>
      <c r="D294" s="2" t="s">
        <v>115</v>
      </c>
      <c r="E294" s="2">
        <v>5</v>
      </c>
      <c r="F294" s="2">
        <v>210</v>
      </c>
      <c r="G294" s="2">
        <v>25</v>
      </c>
      <c r="H294" s="2">
        <v>0</v>
      </c>
      <c r="I294" s="2">
        <v>0</v>
      </c>
      <c r="J294" s="159">
        <v>0</v>
      </c>
      <c r="K294" s="159">
        <v>0</v>
      </c>
      <c r="L294" s="159">
        <v>0</v>
      </c>
    </row>
    <row r="295" spans="1:12" x14ac:dyDescent="0.25">
      <c r="A295" s="2">
        <v>540197</v>
      </c>
      <c r="B295" s="2" t="s">
        <v>260</v>
      </c>
      <c r="C295" s="2" t="s">
        <v>103</v>
      </c>
      <c r="D295" s="2" t="s">
        <v>115</v>
      </c>
      <c r="E295" s="2">
        <v>5</v>
      </c>
      <c r="F295" s="2">
        <v>336</v>
      </c>
      <c r="G295" s="2">
        <v>50</v>
      </c>
      <c r="H295" s="2">
        <v>0</v>
      </c>
      <c r="I295" s="2">
        <v>0</v>
      </c>
      <c r="J295" s="159">
        <v>0</v>
      </c>
      <c r="K295" s="159">
        <v>0</v>
      </c>
      <c r="L295" s="159">
        <v>0</v>
      </c>
    </row>
    <row r="296" spans="1:12" x14ac:dyDescent="0.25">
      <c r="A296" s="2">
        <v>540259</v>
      </c>
      <c r="B296" s="2" t="s">
        <v>304</v>
      </c>
      <c r="C296" s="2" t="s">
        <v>103</v>
      </c>
      <c r="D296" s="2" t="s">
        <v>115</v>
      </c>
      <c r="E296" s="2">
        <v>5</v>
      </c>
      <c r="F296" s="2">
        <v>65</v>
      </c>
      <c r="G296" s="2">
        <v>36</v>
      </c>
      <c r="H296" s="2">
        <v>0</v>
      </c>
      <c r="I296" s="2">
        <v>0</v>
      </c>
      <c r="J296" s="159">
        <v>0</v>
      </c>
      <c r="K296" s="159">
        <v>0</v>
      </c>
      <c r="L296" s="159">
        <v>0</v>
      </c>
    </row>
    <row r="297" spans="1:12" x14ac:dyDescent="0.25">
      <c r="A297" s="252"/>
      <c r="B297" s="252"/>
      <c r="C297" s="252" t="s">
        <v>103</v>
      </c>
      <c r="D297" s="252"/>
      <c r="E297" s="252"/>
      <c r="F297" s="252">
        <v>166737</v>
      </c>
      <c r="G297" s="252">
        <v>7903</v>
      </c>
      <c r="H297" s="252">
        <v>158</v>
      </c>
      <c r="I297" s="252">
        <v>158</v>
      </c>
      <c r="J297" s="414">
        <v>1.99924079463E-2</v>
      </c>
      <c r="K297" s="414">
        <v>1.99924079463E-2</v>
      </c>
      <c r="L297" s="414">
        <v>4.7981779071200004</v>
      </c>
    </row>
    <row r="298" spans="1:12" x14ac:dyDescent="0.25">
      <c r="A298" s="2">
        <v>540278</v>
      </c>
      <c r="B298" s="2" t="s">
        <v>104</v>
      </c>
      <c r="C298" s="2" t="s">
        <v>105</v>
      </c>
      <c r="D298" s="2" t="s">
        <v>5</v>
      </c>
      <c r="E298" s="2">
        <v>1</v>
      </c>
      <c r="F298" s="2">
        <v>302113</v>
      </c>
      <c r="G298" s="2">
        <v>7526</v>
      </c>
      <c r="H298" s="2">
        <v>173</v>
      </c>
      <c r="I298" s="2">
        <v>173</v>
      </c>
      <c r="J298" s="159">
        <v>2.29869784746E-2</v>
      </c>
      <c r="K298" s="159">
        <v>2.29869784746E-2</v>
      </c>
      <c r="L298" s="159">
        <v>5.5168748339100002</v>
      </c>
    </row>
    <row r="299" spans="1:12" x14ac:dyDescent="0.25">
      <c r="A299" s="2">
        <v>540041</v>
      </c>
      <c r="B299" s="2" t="s">
        <v>142</v>
      </c>
      <c r="C299" s="2" t="s">
        <v>105</v>
      </c>
      <c r="D299" s="2" t="s">
        <v>115</v>
      </c>
      <c r="E299" s="2">
        <v>1</v>
      </c>
      <c r="F299" s="2">
        <v>193</v>
      </c>
      <c r="G299" s="2">
        <v>43</v>
      </c>
      <c r="H299" s="2">
        <v>1</v>
      </c>
      <c r="I299" s="2">
        <v>1</v>
      </c>
      <c r="J299" s="159">
        <v>2.3255813953500001E-2</v>
      </c>
      <c r="K299" s="159">
        <v>2.3255813953500001E-2</v>
      </c>
      <c r="L299" s="159">
        <v>5.5813953488400001</v>
      </c>
    </row>
    <row r="300" spans="1:12" x14ac:dyDescent="0.25">
      <c r="A300" s="2">
        <v>540143</v>
      </c>
      <c r="B300" s="2" t="s">
        <v>224</v>
      </c>
      <c r="C300" s="2" t="s">
        <v>105</v>
      </c>
      <c r="D300" s="2" t="s">
        <v>115</v>
      </c>
      <c r="E300" s="2">
        <v>1</v>
      </c>
      <c r="F300" s="2">
        <v>202</v>
      </c>
      <c r="G300" s="2">
        <v>25</v>
      </c>
      <c r="H300" s="2">
        <v>0</v>
      </c>
      <c r="I300" s="2">
        <v>0</v>
      </c>
      <c r="J300" s="159">
        <v>0</v>
      </c>
      <c r="K300" s="159">
        <v>0</v>
      </c>
      <c r="L300" s="159">
        <v>0</v>
      </c>
    </row>
    <row r="301" spans="1:12" x14ac:dyDescent="0.25">
      <c r="A301" s="2">
        <v>540290</v>
      </c>
      <c r="B301" s="2" t="s">
        <v>327</v>
      </c>
      <c r="C301" s="2" t="s">
        <v>105</v>
      </c>
      <c r="D301" s="2" t="s">
        <v>115</v>
      </c>
      <c r="E301" s="2">
        <v>1</v>
      </c>
      <c r="F301" s="2">
        <v>287</v>
      </c>
      <c r="G301" s="2">
        <v>0</v>
      </c>
      <c r="H301" s="2">
        <v>0</v>
      </c>
      <c r="I301" s="2">
        <v>0</v>
      </c>
      <c r="J301" s="159" t="s">
        <v>488</v>
      </c>
      <c r="K301" s="159" t="s">
        <v>488</v>
      </c>
      <c r="L301" s="159" t="s">
        <v>488</v>
      </c>
    </row>
    <row r="302" spans="1:12" x14ac:dyDescent="0.25">
      <c r="A302" s="252"/>
      <c r="B302" s="252"/>
      <c r="C302" s="252" t="s">
        <v>105</v>
      </c>
      <c r="D302" s="252"/>
      <c r="E302" s="252"/>
      <c r="F302" s="252">
        <v>302795</v>
      </c>
      <c r="G302" s="252">
        <v>7594</v>
      </c>
      <c r="H302" s="252">
        <v>174</v>
      </c>
      <c r="I302" s="252">
        <v>174</v>
      </c>
      <c r="J302" s="414">
        <v>2.29128259152E-2</v>
      </c>
      <c r="K302" s="414">
        <v>2.29128259152E-2</v>
      </c>
      <c r="L302" s="414">
        <v>5.4990782196500003</v>
      </c>
    </row>
    <row r="303" spans="1:12" x14ac:dyDescent="0.25">
      <c r="A303" s="2">
        <v>540282</v>
      </c>
      <c r="B303" s="2" t="s">
        <v>106</v>
      </c>
      <c r="C303" s="2" t="s">
        <v>107</v>
      </c>
      <c r="D303" s="2" t="s">
        <v>5</v>
      </c>
      <c r="E303" s="2">
        <v>9</v>
      </c>
      <c r="F303" s="2">
        <v>201588</v>
      </c>
      <c r="G303" s="2">
        <v>8820</v>
      </c>
      <c r="H303" s="2">
        <v>134</v>
      </c>
      <c r="I303" s="2">
        <v>134</v>
      </c>
      <c r="J303" s="159">
        <v>1.51927437642E-2</v>
      </c>
      <c r="K303" s="159">
        <v>1.51927437642E-2</v>
      </c>
      <c r="L303" s="159">
        <v>3.6462585033999999</v>
      </c>
    </row>
    <row r="304" spans="1:12" x14ac:dyDescent="0.25">
      <c r="A304" s="2">
        <v>540006</v>
      </c>
      <c r="B304" s="2" t="s">
        <v>119</v>
      </c>
      <c r="C304" s="2" t="s">
        <v>107</v>
      </c>
      <c r="D304" s="2" t="s">
        <v>115</v>
      </c>
      <c r="E304" s="2">
        <v>9</v>
      </c>
      <c r="F304" s="2">
        <v>4259</v>
      </c>
      <c r="G304" s="2">
        <v>128</v>
      </c>
      <c r="H304" s="2">
        <v>20</v>
      </c>
      <c r="I304" s="2">
        <v>20</v>
      </c>
      <c r="J304" s="159">
        <v>0.15625</v>
      </c>
      <c r="K304" s="159">
        <v>0.15625</v>
      </c>
      <c r="L304" s="159">
        <v>37.5</v>
      </c>
    </row>
    <row r="305" spans="1:12" x14ac:dyDescent="0.25">
      <c r="A305" s="2">
        <v>545550</v>
      </c>
      <c r="B305" s="2" t="s">
        <v>339</v>
      </c>
      <c r="C305" s="2" t="s">
        <v>107</v>
      </c>
      <c r="D305" s="2" t="s">
        <v>115</v>
      </c>
      <c r="E305" s="2">
        <v>9</v>
      </c>
      <c r="F305" s="2">
        <v>85</v>
      </c>
      <c r="G305" s="2">
        <v>0</v>
      </c>
      <c r="H305" s="2">
        <v>0</v>
      </c>
      <c r="I305" s="2">
        <v>0</v>
      </c>
      <c r="J305" s="159" t="s">
        <v>488</v>
      </c>
      <c r="K305" s="159" t="s">
        <v>488</v>
      </c>
      <c r="L305" s="159" t="s">
        <v>488</v>
      </c>
    </row>
    <row r="306" spans="1:12" x14ac:dyDescent="0.25">
      <c r="A306" s="252"/>
      <c r="B306" s="252"/>
      <c r="C306" s="252" t="s">
        <v>107</v>
      </c>
      <c r="D306" s="252"/>
      <c r="E306" s="252"/>
      <c r="F306" s="252">
        <v>205932</v>
      </c>
      <c r="G306" s="252">
        <v>8948</v>
      </c>
      <c r="H306" s="252">
        <v>154</v>
      </c>
      <c r="I306" s="252">
        <v>154</v>
      </c>
      <c r="J306" s="414">
        <v>1.7210549843500001E-2</v>
      </c>
      <c r="K306" s="414">
        <v>1.7210549843500001E-2</v>
      </c>
      <c r="L306" s="414">
        <v>4.1305319624500001</v>
      </c>
    </row>
    <row r="307" spans="1:12" x14ac:dyDescent="0.25">
      <c r="A307" s="2">
        <v>540283</v>
      </c>
      <c r="B307" s="2" t="s">
        <v>108</v>
      </c>
      <c r="C307" s="2" t="s">
        <v>109</v>
      </c>
      <c r="D307" s="2" t="s">
        <v>5</v>
      </c>
      <c r="E307" s="2">
        <v>4</v>
      </c>
      <c r="F307" s="2">
        <v>600184</v>
      </c>
      <c r="G307" s="2">
        <v>8050</v>
      </c>
      <c r="H307" s="2">
        <v>600</v>
      </c>
      <c r="I307" s="2">
        <v>600</v>
      </c>
      <c r="J307" s="159">
        <v>7.4534161490699996E-2</v>
      </c>
      <c r="K307" s="159">
        <v>7.4534161490699996E-2</v>
      </c>
      <c r="L307" s="159">
        <v>17.888198757800001</v>
      </c>
    </row>
    <row r="308" spans="1:12" x14ac:dyDescent="0.25">
      <c r="A308" s="2">
        <v>540158</v>
      </c>
      <c r="B308" s="2" t="s">
        <v>233</v>
      </c>
      <c r="C308" s="2" t="s">
        <v>109</v>
      </c>
      <c r="D308" s="2" t="s">
        <v>115</v>
      </c>
      <c r="E308" s="2">
        <v>4</v>
      </c>
      <c r="F308" s="2">
        <v>366</v>
      </c>
      <c r="G308" s="2">
        <v>23</v>
      </c>
      <c r="H308" s="2">
        <v>0</v>
      </c>
      <c r="I308" s="2">
        <v>0</v>
      </c>
      <c r="J308" s="159">
        <v>0</v>
      </c>
      <c r="K308" s="159">
        <v>0</v>
      </c>
      <c r="L308" s="159">
        <v>0</v>
      </c>
    </row>
    <row r="309" spans="1:12" x14ac:dyDescent="0.25">
      <c r="A309" s="2">
        <v>540159</v>
      </c>
      <c r="B309" s="2" t="s">
        <v>234</v>
      </c>
      <c r="C309" s="2" t="s">
        <v>109</v>
      </c>
      <c r="D309" s="2" t="s">
        <v>115</v>
      </c>
      <c r="E309" s="2">
        <v>4</v>
      </c>
      <c r="F309" s="2">
        <v>1566</v>
      </c>
      <c r="G309" s="2">
        <v>330</v>
      </c>
      <c r="H309" s="2">
        <v>35</v>
      </c>
      <c r="I309" s="2">
        <v>35</v>
      </c>
      <c r="J309" s="159">
        <v>0.106060606061</v>
      </c>
      <c r="K309" s="159">
        <v>0.106060606061</v>
      </c>
      <c r="L309" s="159">
        <v>25.4545454545</v>
      </c>
    </row>
    <row r="310" spans="1:12" x14ac:dyDescent="0.25">
      <c r="A310" s="2">
        <v>540288</v>
      </c>
      <c r="B310" s="2" t="s">
        <v>340</v>
      </c>
      <c r="C310" s="2" t="s">
        <v>109</v>
      </c>
      <c r="D310" s="2" t="s">
        <v>115</v>
      </c>
      <c r="E310" s="2">
        <v>4</v>
      </c>
      <c r="F310" s="2">
        <v>230</v>
      </c>
      <c r="G310" s="2">
        <v>0</v>
      </c>
      <c r="H310" s="2">
        <v>0</v>
      </c>
      <c r="I310" s="2">
        <v>0</v>
      </c>
      <c r="J310" s="159" t="s">
        <v>488</v>
      </c>
      <c r="K310" s="159" t="s">
        <v>488</v>
      </c>
      <c r="L310" s="159" t="s">
        <v>488</v>
      </c>
    </row>
    <row r="311" spans="1:12" x14ac:dyDescent="0.25">
      <c r="A311" s="252"/>
      <c r="B311" s="252"/>
      <c r="C311" s="252" t="s">
        <v>109</v>
      </c>
      <c r="D311" s="252"/>
      <c r="E311" s="252"/>
      <c r="F311" s="252">
        <v>602346</v>
      </c>
      <c r="G311" s="252">
        <v>8403</v>
      </c>
      <c r="H311" s="252">
        <v>635</v>
      </c>
      <c r="I311" s="252">
        <v>635</v>
      </c>
      <c r="J311" s="414">
        <v>7.5568249434700002E-2</v>
      </c>
      <c r="K311" s="414">
        <v>7.5568249434700002E-2</v>
      </c>
      <c r="L311" s="414">
        <v>18.1363798643</v>
      </c>
    </row>
    <row r="312" spans="1:12" x14ac:dyDescent="0.25">
      <c r="A312" s="2">
        <v>545536</v>
      </c>
      <c r="B312" s="2" t="s">
        <v>110</v>
      </c>
      <c r="C312" s="2" t="s">
        <v>111</v>
      </c>
      <c r="D312" s="2" t="s">
        <v>5</v>
      </c>
      <c r="E312" s="2">
        <v>2</v>
      </c>
      <c r="F312" s="2">
        <v>289017</v>
      </c>
      <c r="G312" s="2">
        <v>3652</v>
      </c>
      <c r="H312" s="2">
        <v>33</v>
      </c>
      <c r="I312" s="2">
        <v>33</v>
      </c>
      <c r="J312" s="159">
        <v>9.03614457831E-3</v>
      </c>
      <c r="K312" s="159">
        <v>9.03614457831E-3</v>
      </c>
      <c r="L312" s="159">
        <v>2.1686746987999999</v>
      </c>
    </row>
    <row r="313" spans="1:12" x14ac:dyDescent="0.25">
      <c r="A313" s="2">
        <v>540092</v>
      </c>
      <c r="B313" s="2" t="s">
        <v>183</v>
      </c>
      <c r="C313" s="2" t="s">
        <v>111</v>
      </c>
      <c r="D313" s="2" t="s">
        <v>115</v>
      </c>
      <c r="E313" s="2">
        <v>2</v>
      </c>
      <c r="F313" s="2">
        <v>436</v>
      </c>
      <c r="G313" s="2">
        <v>39</v>
      </c>
      <c r="H313" s="2">
        <v>0</v>
      </c>
      <c r="I313" s="2">
        <v>0</v>
      </c>
      <c r="J313" s="159">
        <v>0</v>
      </c>
      <c r="K313" s="159">
        <v>0</v>
      </c>
      <c r="L313" s="159">
        <v>0</v>
      </c>
    </row>
    <row r="314" spans="1:12" x14ac:dyDescent="0.25">
      <c r="A314" s="2">
        <v>540095</v>
      </c>
      <c r="B314" s="2" t="s">
        <v>186</v>
      </c>
      <c r="C314" s="2" t="s">
        <v>111</v>
      </c>
      <c r="D314" s="2" t="s">
        <v>115</v>
      </c>
      <c r="E314" s="2">
        <v>2</v>
      </c>
      <c r="F314" s="2">
        <v>215</v>
      </c>
      <c r="G314" s="2">
        <v>11</v>
      </c>
      <c r="H314" s="2">
        <v>0</v>
      </c>
      <c r="I314" s="2">
        <v>0</v>
      </c>
      <c r="J314" s="159">
        <v>0</v>
      </c>
      <c r="K314" s="159">
        <v>0</v>
      </c>
      <c r="L314" s="159">
        <v>0</v>
      </c>
    </row>
    <row r="315" spans="1:12" x14ac:dyDescent="0.25">
      <c r="A315" s="2">
        <v>545535</v>
      </c>
      <c r="B315" s="2" t="s">
        <v>332</v>
      </c>
      <c r="C315" s="2" t="s">
        <v>111</v>
      </c>
      <c r="D315" s="2" t="s">
        <v>115</v>
      </c>
      <c r="E315" s="2">
        <v>2</v>
      </c>
      <c r="F315" s="2">
        <v>790</v>
      </c>
      <c r="G315" s="2">
        <v>16</v>
      </c>
      <c r="H315" s="2">
        <v>0</v>
      </c>
      <c r="I315" s="2">
        <v>0</v>
      </c>
      <c r="J315" s="159">
        <v>0</v>
      </c>
      <c r="K315" s="159">
        <v>0</v>
      </c>
      <c r="L315" s="159">
        <v>0</v>
      </c>
    </row>
    <row r="316" spans="1:12" x14ac:dyDescent="0.25">
      <c r="A316" s="2">
        <v>545537</v>
      </c>
      <c r="B316" s="2" t="s">
        <v>333</v>
      </c>
      <c r="C316" s="2" t="s">
        <v>111</v>
      </c>
      <c r="D316" s="2" t="s">
        <v>115</v>
      </c>
      <c r="E316" s="2">
        <v>2</v>
      </c>
      <c r="F316" s="2">
        <v>737</v>
      </c>
      <c r="G316" s="2">
        <v>67</v>
      </c>
      <c r="H316" s="2">
        <v>0</v>
      </c>
      <c r="I316" s="2">
        <v>0</v>
      </c>
      <c r="J316" s="159">
        <v>0</v>
      </c>
      <c r="K316" s="159">
        <v>0</v>
      </c>
      <c r="L316" s="159">
        <v>0</v>
      </c>
    </row>
    <row r="317" spans="1:12" x14ac:dyDescent="0.25">
      <c r="A317" s="2">
        <v>545539</v>
      </c>
      <c r="B317" s="2" t="s">
        <v>335</v>
      </c>
      <c r="C317" s="2" t="s">
        <v>111</v>
      </c>
      <c r="D317" s="2" t="s">
        <v>115</v>
      </c>
      <c r="E317" s="2">
        <v>2</v>
      </c>
      <c r="F317" s="2">
        <v>216</v>
      </c>
      <c r="G317" s="2">
        <v>5</v>
      </c>
      <c r="H317" s="2">
        <v>0</v>
      </c>
      <c r="I317" s="2">
        <v>0</v>
      </c>
      <c r="J317" s="159">
        <v>0</v>
      </c>
      <c r="K317" s="159">
        <v>0</v>
      </c>
      <c r="L317" s="159">
        <v>0</v>
      </c>
    </row>
    <row r="318" spans="1:12" x14ac:dyDescent="0.25">
      <c r="A318" s="252"/>
      <c r="B318" s="252"/>
      <c r="C318" s="252" t="s">
        <v>111</v>
      </c>
      <c r="D318" s="252"/>
      <c r="E318" s="252"/>
      <c r="F318" s="252">
        <v>291411</v>
      </c>
      <c r="G318" s="252">
        <v>3790</v>
      </c>
      <c r="H318" s="252">
        <v>33</v>
      </c>
      <c r="I318" s="252">
        <v>33</v>
      </c>
      <c r="J318" s="414">
        <v>8.7071240105500002E-3</v>
      </c>
      <c r="K318" s="414">
        <v>8.7071240105500002E-3</v>
      </c>
      <c r="L318" s="414">
        <v>2.0897097625300001</v>
      </c>
    </row>
    <row r="319" spans="1:12" x14ac:dyDescent="0.25">
      <c r="A319" s="2">
        <v>540191</v>
      </c>
      <c r="B319" s="2" t="s">
        <v>112</v>
      </c>
      <c r="C319" s="2" t="s">
        <v>113</v>
      </c>
      <c r="D319" s="2" t="s">
        <v>5</v>
      </c>
      <c r="E319" s="2">
        <v>7</v>
      </c>
      <c r="F319" s="2">
        <v>264953</v>
      </c>
      <c r="G319" s="2">
        <v>5432</v>
      </c>
      <c r="H319" s="2">
        <v>518</v>
      </c>
      <c r="I319" s="2">
        <v>518</v>
      </c>
      <c r="J319" s="159">
        <v>9.5360824742299996E-2</v>
      </c>
      <c r="K319" s="159">
        <v>9.5360824742299996E-2</v>
      </c>
      <c r="L319" s="159">
        <v>22.8865979381</v>
      </c>
    </row>
    <row r="320" spans="1:12" x14ac:dyDescent="0.25">
      <c r="A320" s="2">
        <v>540193</v>
      </c>
      <c r="B320" s="2" t="s">
        <v>342</v>
      </c>
      <c r="C320" s="2" t="s">
        <v>113</v>
      </c>
      <c r="D320" s="2" t="s">
        <v>115</v>
      </c>
      <c r="E320" s="2">
        <v>7</v>
      </c>
      <c r="F320" s="2">
        <v>274</v>
      </c>
      <c r="G320" s="2">
        <v>50</v>
      </c>
      <c r="H320" s="2">
        <v>0</v>
      </c>
      <c r="I320" s="2">
        <v>0</v>
      </c>
      <c r="J320" s="159">
        <v>0</v>
      </c>
      <c r="K320" s="159">
        <v>0</v>
      </c>
      <c r="L320" s="159">
        <v>0</v>
      </c>
    </row>
    <row r="321" spans="1:12" x14ac:dyDescent="0.25">
      <c r="A321" s="2">
        <v>540192</v>
      </c>
      <c r="B321" s="2" t="s">
        <v>343</v>
      </c>
      <c r="C321" s="2" t="s">
        <v>113</v>
      </c>
      <c r="D321" s="2" t="s">
        <v>115</v>
      </c>
      <c r="E321" s="2">
        <v>7</v>
      </c>
      <c r="F321" s="2">
        <v>166</v>
      </c>
      <c r="G321" s="2">
        <v>13</v>
      </c>
      <c r="H321" s="2">
        <v>0</v>
      </c>
      <c r="I321" s="2">
        <v>0</v>
      </c>
      <c r="J321" s="159">
        <v>0</v>
      </c>
      <c r="K321" s="159">
        <v>0</v>
      </c>
      <c r="L321" s="159">
        <v>0</v>
      </c>
    </row>
    <row r="322" spans="1:12" x14ac:dyDescent="0.25">
      <c r="A322" s="2">
        <v>540194</v>
      </c>
      <c r="B322" s="2" t="s">
        <v>344</v>
      </c>
      <c r="C322" s="2" t="s">
        <v>113</v>
      </c>
      <c r="D322" s="2" t="s">
        <v>115</v>
      </c>
      <c r="E322" s="2">
        <v>7</v>
      </c>
      <c r="F322" s="2">
        <v>529</v>
      </c>
      <c r="G322" s="2">
        <v>133</v>
      </c>
      <c r="H322" s="2">
        <v>33</v>
      </c>
      <c r="I322" s="2">
        <v>33</v>
      </c>
      <c r="J322" s="159">
        <v>0.24812030075200001</v>
      </c>
      <c r="K322" s="159">
        <v>0.24812030075200001</v>
      </c>
      <c r="L322" s="159">
        <v>59.548872180499998</v>
      </c>
    </row>
    <row r="323" spans="1:12" x14ac:dyDescent="0.25">
      <c r="A323" s="2">
        <v>540261</v>
      </c>
      <c r="B323" s="2" t="s">
        <v>345</v>
      </c>
      <c r="C323" s="2" t="s">
        <v>113</v>
      </c>
      <c r="D323" s="2" t="s">
        <v>115</v>
      </c>
      <c r="E323" s="2">
        <v>7</v>
      </c>
      <c r="F323" s="2">
        <v>2257</v>
      </c>
      <c r="G323" s="2">
        <v>113</v>
      </c>
      <c r="H323" s="2">
        <v>0</v>
      </c>
      <c r="I323" s="2">
        <v>0</v>
      </c>
      <c r="J323" s="159">
        <v>0</v>
      </c>
      <c r="K323" s="159">
        <v>0</v>
      </c>
      <c r="L323" s="159">
        <v>0</v>
      </c>
    </row>
    <row r="324" spans="1:12" x14ac:dyDescent="0.25">
      <c r="A324" s="2">
        <v>540260</v>
      </c>
      <c r="B324" s="2" t="s">
        <v>346</v>
      </c>
      <c r="C324" s="2" t="s">
        <v>113</v>
      </c>
      <c r="D324" s="2" t="s">
        <v>115</v>
      </c>
      <c r="E324" s="2">
        <v>7</v>
      </c>
      <c r="F324" s="2">
        <v>1280</v>
      </c>
      <c r="G324" s="2">
        <v>74</v>
      </c>
      <c r="H324" s="2">
        <v>5</v>
      </c>
      <c r="I324" s="2">
        <v>5</v>
      </c>
      <c r="J324" s="159">
        <v>6.7567567567600004E-2</v>
      </c>
      <c r="K324" s="159">
        <v>6.7567567567600004E-2</v>
      </c>
      <c r="L324" s="159">
        <v>16.216216216199999</v>
      </c>
    </row>
    <row r="325" spans="1:12" x14ac:dyDescent="0.25">
      <c r="A325" s="252"/>
      <c r="B325" s="252"/>
      <c r="C325" s="252" t="s">
        <v>113</v>
      </c>
      <c r="D325" s="252"/>
      <c r="E325" s="252"/>
      <c r="F325" s="252">
        <v>269459</v>
      </c>
      <c r="G325" s="252">
        <v>5815</v>
      </c>
      <c r="H325" s="252">
        <v>556</v>
      </c>
      <c r="I325" s="252">
        <v>556</v>
      </c>
      <c r="J325" s="414">
        <v>9.5614789337900005E-2</v>
      </c>
      <c r="K325" s="414">
        <v>9.5614789337900005E-2</v>
      </c>
      <c r="L325" s="414">
        <v>22.947549441100001</v>
      </c>
    </row>
    <row r="326" spans="1:12" x14ac:dyDescent="0.25">
      <c r="A326" s="2">
        <v>540027</v>
      </c>
      <c r="B326" s="2" t="s">
        <v>132</v>
      </c>
      <c r="C326" s="2" t="s">
        <v>21</v>
      </c>
      <c r="D326" s="2" t="s">
        <v>115</v>
      </c>
      <c r="E326" s="2">
        <v>4</v>
      </c>
      <c r="F326" s="2">
        <v>1065</v>
      </c>
      <c r="G326" s="2">
        <v>19</v>
      </c>
      <c r="H326" s="2">
        <v>0</v>
      </c>
      <c r="I326" s="2">
        <v>0</v>
      </c>
      <c r="J326" s="159">
        <v>0</v>
      </c>
      <c r="K326" s="159">
        <v>0</v>
      </c>
      <c r="L326" s="159">
        <v>0</v>
      </c>
    </row>
    <row r="327" spans="1:12" x14ac:dyDescent="0.25">
      <c r="A327" s="2">
        <v>540028</v>
      </c>
      <c r="B327" s="2" t="s">
        <v>133</v>
      </c>
      <c r="C327" s="2" t="s">
        <v>21</v>
      </c>
      <c r="D327" s="2" t="s">
        <v>115</v>
      </c>
      <c r="E327" s="2">
        <v>4</v>
      </c>
      <c r="F327" s="2">
        <v>260</v>
      </c>
      <c r="G327" s="2">
        <v>50</v>
      </c>
      <c r="H327" s="2">
        <v>0</v>
      </c>
      <c r="I327" s="2">
        <v>0</v>
      </c>
      <c r="J327" s="159">
        <v>0</v>
      </c>
      <c r="K327" s="159">
        <v>0</v>
      </c>
      <c r="L327" s="159">
        <v>0</v>
      </c>
    </row>
    <row r="328" spans="1:12" x14ac:dyDescent="0.25">
      <c r="A328" s="2">
        <v>540029</v>
      </c>
      <c r="B328" s="2" t="s">
        <v>134</v>
      </c>
      <c r="C328" s="2" t="s">
        <v>21</v>
      </c>
      <c r="D328" s="2" t="s">
        <v>115</v>
      </c>
      <c r="E328" s="2">
        <v>4</v>
      </c>
      <c r="F328" s="2">
        <v>777</v>
      </c>
      <c r="G328" s="2">
        <v>15</v>
      </c>
      <c r="H328" s="2">
        <v>0</v>
      </c>
      <c r="I328" s="2">
        <v>0</v>
      </c>
      <c r="J328" s="159">
        <v>0</v>
      </c>
      <c r="K328" s="159">
        <v>0</v>
      </c>
      <c r="L328" s="159">
        <v>0</v>
      </c>
    </row>
    <row r="329" spans="1:12" x14ac:dyDescent="0.25">
      <c r="A329" s="2">
        <v>540031</v>
      </c>
      <c r="B329" s="2" t="s">
        <v>136</v>
      </c>
      <c r="C329" s="2" t="s">
        <v>21</v>
      </c>
      <c r="D329" s="2" t="s">
        <v>115</v>
      </c>
      <c r="E329" s="2">
        <v>4</v>
      </c>
      <c r="F329" s="2">
        <v>6159</v>
      </c>
      <c r="G329" s="2">
        <v>86</v>
      </c>
      <c r="H329" s="2">
        <v>1</v>
      </c>
      <c r="I329" s="2">
        <v>1</v>
      </c>
      <c r="J329" s="159">
        <v>1.1627906976700001E-2</v>
      </c>
      <c r="K329" s="159">
        <v>1.1627906976700001E-2</v>
      </c>
      <c r="L329" s="159">
        <v>2.7906976744200001</v>
      </c>
    </row>
    <row r="330" spans="1:12" x14ac:dyDescent="0.25">
      <c r="A330" s="2">
        <v>540032</v>
      </c>
      <c r="B330" s="2" t="s">
        <v>137</v>
      </c>
      <c r="C330" s="2" t="s">
        <v>21</v>
      </c>
      <c r="D330" s="2" t="s">
        <v>115</v>
      </c>
      <c r="E330" s="2">
        <v>4</v>
      </c>
      <c r="F330" s="2">
        <v>192</v>
      </c>
      <c r="G330" s="2">
        <v>26</v>
      </c>
      <c r="H330" s="2">
        <v>1</v>
      </c>
      <c r="I330" s="2">
        <v>1</v>
      </c>
      <c r="J330" s="159">
        <v>3.8461538461500001E-2</v>
      </c>
      <c r="K330" s="159">
        <v>3.8461538461500001E-2</v>
      </c>
      <c r="L330" s="159">
        <v>9.2307692307700009</v>
      </c>
    </row>
    <row r="331" spans="1:12" x14ac:dyDescent="0.25">
      <c r="A331" s="2">
        <v>540050</v>
      </c>
      <c r="B331" s="2" t="s">
        <v>150</v>
      </c>
      <c r="C331" s="2" t="s">
        <v>21</v>
      </c>
      <c r="D331" s="2" t="s">
        <v>115</v>
      </c>
      <c r="E331" s="2">
        <v>4</v>
      </c>
      <c r="F331" s="2">
        <v>61</v>
      </c>
      <c r="G331" s="2">
        <v>0</v>
      </c>
      <c r="H331" s="2">
        <v>0</v>
      </c>
      <c r="I331" s="2">
        <v>0</v>
      </c>
      <c r="J331" s="159" t="s">
        <v>488</v>
      </c>
      <c r="K331" s="159" t="s">
        <v>488</v>
      </c>
      <c r="L331" s="159" t="s">
        <v>488</v>
      </c>
    </row>
    <row r="332" spans="1:12" x14ac:dyDescent="0.25">
      <c r="A332" s="2">
        <v>540293</v>
      </c>
      <c r="B332" s="2" t="s">
        <v>330</v>
      </c>
      <c r="C332" s="2" t="s">
        <v>21</v>
      </c>
      <c r="D332" s="2" t="s">
        <v>115</v>
      </c>
      <c r="E332" s="2">
        <v>4</v>
      </c>
      <c r="F332" s="2">
        <v>3572</v>
      </c>
      <c r="G332" s="2">
        <v>12</v>
      </c>
      <c r="H332" s="2">
        <v>2</v>
      </c>
      <c r="I332" s="2">
        <v>2</v>
      </c>
      <c r="J332" s="159">
        <v>0.166666666667</v>
      </c>
      <c r="K332" s="159">
        <v>0.166666666667</v>
      </c>
      <c r="L332" s="159">
        <v>40</v>
      </c>
    </row>
    <row r="333" spans="1:12" x14ac:dyDescent="0.25">
      <c r="A333" s="2">
        <v>540294</v>
      </c>
      <c r="B333" s="2" t="s">
        <v>331</v>
      </c>
      <c r="C333" s="2" t="s">
        <v>21</v>
      </c>
      <c r="D333" s="2" t="s">
        <v>115</v>
      </c>
      <c r="E333" s="2">
        <v>4</v>
      </c>
      <c r="F333" s="2">
        <v>1042</v>
      </c>
      <c r="G333" s="2">
        <v>22</v>
      </c>
      <c r="H333" s="2">
        <v>1</v>
      </c>
      <c r="I333" s="2">
        <v>1</v>
      </c>
      <c r="J333" s="159">
        <v>4.5454545454499999E-2</v>
      </c>
      <c r="K333" s="159">
        <v>4.5454545454499999E-2</v>
      </c>
      <c r="L333" s="159">
        <v>10.9090909091</v>
      </c>
    </row>
    <row r="334" spans="1:12" x14ac:dyDescent="0.25">
      <c r="A334" s="2">
        <v>540033</v>
      </c>
      <c r="B334" s="2" t="s">
        <v>138</v>
      </c>
      <c r="C334" s="2" t="s">
        <v>21</v>
      </c>
      <c r="D334" s="2" t="s">
        <v>115</v>
      </c>
      <c r="E334" s="2">
        <v>4</v>
      </c>
      <c r="F334" s="2">
        <v>1049</v>
      </c>
      <c r="G334" s="2">
        <v>22</v>
      </c>
      <c r="H334" s="2">
        <v>1</v>
      </c>
      <c r="I334" s="2">
        <v>1</v>
      </c>
      <c r="J334" s="159">
        <v>4.5454545454499999E-2</v>
      </c>
      <c r="K334" s="159">
        <v>4.5454545454499999E-2</v>
      </c>
      <c r="L334" s="159">
        <v>10.9090909091</v>
      </c>
    </row>
    <row r="335" spans="1:12" x14ac:dyDescent="0.25">
      <c r="A335" s="2">
        <v>540280</v>
      </c>
      <c r="B335" s="2" t="s">
        <v>321</v>
      </c>
      <c r="C335" s="2" t="s">
        <v>21</v>
      </c>
      <c r="D335" s="2" t="s">
        <v>115</v>
      </c>
      <c r="E335" s="2">
        <v>4</v>
      </c>
      <c r="F335" s="2">
        <v>996</v>
      </c>
      <c r="G335" s="2">
        <v>41</v>
      </c>
      <c r="H335" s="2">
        <v>12</v>
      </c>
      <c r="I335" s="2">
        <v>12</v>
      </c>
      <c r="J335" s="159">
        <v>0.29268292682899999</v>
      </c>
      <c r="K335" s="159">
        <v>0.29268292682899999</v>
      </c>
      <c r="L335" s="159">
        <v>70.243902438999996</v>
      </c>
    </row>
    <row r="336" spans="1:12" x14ac:dyDescent="0.25">
      <c r="A336" s="2">
        <v>540026</v>
      </c>
      <c r="B336" s="2" t="s">
        <v>20</v>
      </c>
      <c r="C336" s="2" t="s">
        <v>21</v>
      </c>
      <c r="D336" s="2" t="s">
        <v>5</v>
      </c>
      <c r="E336" s="2">
        <v>4</v>
      </c>
      <c r="F336" s="2">
        <v>412491</v>
      </c>
      <c r="G336" s="2">
        <v>3393</v>
      </c>
      <c r="H336" s="2">
        <v>50</v>
      </c>
      <c r="I336" s="2">
        <v>50</v>
      </c>
      <c r="J336" s="159">
        <v>1.4736221632800001E-2</v>
      </c>
      <c r="K336" s="159">
        <v>1.4736221632800001E-2</v>
      </c>
      <c r="L336" s="159">
        <v>3.53669319187</v>
      </c>
    </row>
    <row r="337" spans="1:12" x14ac:dyDescent="0.25">
      <c r="A337" s="252"/>
      <c r="B337" s="252"/>
      <c r="C337" s="252" t="s">
        <v>21</v>
      </c>
      <c r="D337" s="252"/>
      <c r="E337" s="252"/>
      <c r="F337" s="252">
        <v>427664</v>
      </c>
      <c r="G337" s="252">
        <v>3686</v>
      </c>
      <c r="H337" s="252">
        <v>68</v>
      </c>
      <c r="I337" s="252">
        <v>68</v>
      </c>
      <c r="J337" s="414">
        <v>1.84481823114E-2</v>
      </c>
      <c r="K337" s="414">
        <v>1.84481823114E-2</v>
      </c>
      <c r="L337" s="414">
        <v>4.4275637547500004</v>
      </c>
    </row>
    <row r="338" spans="1:12" x14ac:dyDescent="0.25">
      <c r="A338" s="2">
        <v>540176</v>
      </c>
      <c r="B338" s="2" t="s">
        <v>247</v>
      </c>
      <c r="C338" s="2" t="s">
        <v>75</v>
      </c>
      <c r="D338" s="2" t="s">
        <v>115</v>
      </c>
      <c r="E338" s="2">
        <v>7</v>
      </c>
      <c r="F338" s="2">
        <v>265</v>
      </c>
      <c r="G338" s="2">
        <v>73</v>
      </c>
      <c r="H338" s="2">
        <v>0</v>
      </c>
      <c r="I338" s="2">
        <v>0</v>
      </c>
      <c r="J338" s="159">
        <v>0</v>
      </c>
      <c r="K338" s="159">
        <v>0</v>
      </c>
      <c r="L338" s="159">
        <v>0</v>
      </c>
    </row>
    <row r="339" spans="1:12" x14ac:dyDescent="0.25">
      <c r="A339" s="2">
        <v>540178</v>
      </c>
      <c r="B339" s="2" t="s">
        <v>249</v>
      </c>
      <c r="C339" s="2" t="s">
        <v>75</v>
      </c>
      <c r="D339" s="2" t="s">
        <v>115</v>
      </c>
      <c r="E339" s="2">
        <v>7</v>
      </c>
      <c r="F339" s="2">
        <v>207</v>
      </c>
      <c r="G339" s="2">
        <v>56</v>
      </c>
      <c r="H339" s="2">
        <v>0</v>
      </c>
      <c r="I339" s="2">
        <v>0</v>
      </c>
      <c r="J339" s="159">
        <v>0</v>
      </c>
      <c r="K339" s="159">
        <v>0</v>
      </c>
      <c r="L339" s="159">
        <v>0</v>
      </c>
    </row>
    <row r="340" spans="1:12" x14ac:dyDescent="0.25">
      <c r="A340" s="2">
        <v>540264</v>
      </c>
      <c r="B340" s="2" t="s">
        <v>307</v>
      </c>
      <c r="C340" s="2" t="s">
        <v>75</v>
      </c>
      <c r="D340" s="2" t="s">
        <v>115</v>
      </c>
      <c r="E340" s="2">
        <v>7</v>
      </c>
      <c r="F340" s="2">
        <v>194</v>
      </c>
      <c r="G340" s="2">
        <v>37</v>
      </c>
      <c r="H340" s="2">
        <v>1</v>
      </c>
      <c r="I340" s="2">
        <v>1</v>
      </c>
      <c r="J340" s="159">
        <v>2.7027027027000002E-2</v>
      </c>
      <c r="K340" s="159">
        <v>2.7027027027000002E-2</v>
      </c>
      <c r="L340" s="159">
        <v>6.4864864864899996</v>
      </c>
    </row>
    <row r="341" spans="1:12" x14ac:dyDescent="0.25">
      <c r="A341" s="2">
        <v>540265</v>
      </c>
      <c r="B341" s="2" t="s">
        <v>308</v>
      </c>
      <c r="C341" s="2" t="s">
        <v>75</v>
      </c>
      <c r="D341" s="2" t="s">
        <v>115</v>
      </c>
      <c r="E341" s="2">
        <v>7</v>
      </c>
      <c r="F341" s="2">
        <v>402</v>
      </c>
      <c r="G341" s="2">
        <v>118</v>
      </c>
      <c r="H341" s="2">
        <v>0</v>
      </c>
      <c r="I341" s="2">
        <v>0</v>
      </c>
      <c r="J341" s="159">
        <v>0</v>
      </c>
      <c r="K341" s="159">
        <v>0</v>
      </c>
      <c r="L341" s="159">
        <v>0</v>
      </c>
    </row>
    <row r="342" spans="1:12" x14ac:dyDescent="0.25">
      <c r="A342" s="2">
        <v>540266</v>
      </c>
      <c r="B342" s="2" t="s">
        <v>309</v>
      </c>
      <c r="C342" s="2" t="s">
        <v>75</v>
      </c>
      <c r="D342" s="2" t="s">
        <v>115</v>
      </c>
      <c r="E342" s="2">
        <v>7</v>
      </c>
      <c r="F342" s="2">
        <v>293</v>
      </c>
      <c r="G342" s="2">
        <v>22</v>
      </c>
      <c r="H342" s="2">
        <v>0</v>
      </c>
      <c r="I342" s="2">
        <v>0</v>
      </c>
      <c r="J342" s="159">
        <v>0</v>
      </c>
      <c r="K342" s="159">
        <v>0</v>
      </c>
      <c r="L342" s="159">
        <v>0</v>
      </c>
    </row>
    <row r="343" spans="1:12" x14ac:dyDescent="0.25">
      <c r="A343" s="2">
        <v>540267</v>
      </c>
      <c r="B343" s="2" t="s">
        <v>310</v>
      </c>
      <c r="C343" s="2" t="s">
        <v>75</v>
      </c>
      <c r="D343" s="2" t="s">
        <v>115</v>
      </c>
      <c r="E343" s="2">
        <v>7</v>
      </c>
      <c r="F343" s="2">
        <v>281</v>
      </c>
      <c r="G343" s="2">
        <v>72</v>
      </c>
      <c r="H343" s="2">
        <v>0</v>
      </c>
      <c r="I343" s="2">
        <v>0</v>
      </c>
      <c r="J343" s="159">
        <v>0</v>
      </c>
      <c r="K343" s="159">
        <v>0</v>
      </c>
      <c r="L343" s="159">
        <v>0</v>
      </c>
    </row>
    <row r="344" spans="1:12" x14ac:dyDescent="0.25">
      <c r="A344" s="2">
        <v>540177</v>
      </c>
      <c r="B344" s="2" t="s">
        <v>248</v>
      </c>
      <c r="C344" s="2" t="s">
        <v>75</v>
      </c>
      <c r="D344" s="2" t="s">
        <v>115</v>
      </c>
      <c r="E344" s="2">
        <v>7</v>
      </c>
      <c r="F344" s="2">
        <v>2325</v>
      </c>
      <c r="G344" s="2">
        <v>289</v>
      </c>
      <c r="H344" s="2">
        <v>43</v>
      </c>
      <c r="I344" s="2">
        <v>43</v>
      </c>
      <c r="J344" s="159">
        <v>0.14878892733599999</v>
      </c>
      <c r="K344" s="159">
        <v>0.14878892733599999</v>
      </c>
      <c r="L344" s="159">
        <v>35.7093425606</v>
      </c>
    </row>
    <row r="345" spans="1:12" x14ac:dyDescent="0.25">
      <c r="A345" s="2">
        <v>540175</v>
      </c>
      <c r="B345" s="2" t="s">
        <v>74</v>
      </c>
      <c r="C345" s="2" t="s">
        <v>75</v>
      </c>
      <c r="D345" s="2" t="s">
        <v>5</v>
      </c>
      <c r="E345" s="2">
        <v>7</v>
      </c>
      <c r="F345" s="2">
        <v>661204</v>
      </c>
      <c r="G345" s="2">
        <v>19834</v>
      </c>
      <c r="H345" s="2">
        <v>625</v>
      </c>
      <c r="I345" s="2">
        <v>625</v>
      </c>
      <c r="J345" s="159">
        <v>3.1511545830400001E-2</v>
      </c>
      <c r="K345" s="159">
        <v>3.1511545830400001E-2</v>
      </c>
      <c r="L345" s="159">
        <v>7.5627709992899996</v>
      </c>
    </row>
    <row r="346" spans="1:12" x14ac:dyDescent="0.25">
      <c r="A346" s="252"/>
      <c r="B346" s="252"/>
      <c r="C346" s="252" t="s">
        <v>75</v>
      </c>
      <c r="D346" s="252"/>
      <c r="E346" s="252"/>
      <c r="F346" s="252">
        <v>665171</v>
      </c>
      <c r="G346" s="252">
        <v>20501</v>
      </c>
      <c r="H346" s="252">
        <v>669</v>
      </c>
      <c r="I346" s="252">
        <v>669</v>
      </c>
      <c r="J346" s="414">
        <v>3.2632554509499999E-2</v>
      </c>
      <c r="K346" s="414">
        <v>3.2632554509499999E-2</v>
      </c>
      <c r="L346" s="414">
        <v>7.8318130822900001</v>
      </c>
    </row>
    <row r="347" spans="1:12" x14ac:dyDescent="0.25">
      <c r="A347" s="2">
        <v>540219</v>
      </c>
      <c r="B347" s="2" t="s">
        <v>273</v>
      </c>
      <c r="C347" s="2" t="s">
        <v>95</v>
      </c>
      <c r="D347" s="2" t="s">
        <v>115</v>
      </c>
      <c r="E347" s="2">
        <v>1</v>
      </c>
      <c r="F347" s="2">
        <v>852</v>
      </c>
      <c r="G347" s="2">
        <v>88</v>
      </c>
      <c r="H347" s="2">
        <v>6</v>
      </c>
      <c r="I347" s="2">
        <v>6</v>
      </c>
      <c r="J347" s="159">
        <v>6.8181818181799997E-2</v>
      </c>
      <c r="K347" s="159">
        <v>6.8181818181799997E-2</v>
      </c>
      <c r="L347" s="159">
        <v>16.363636363600001</v>
      </c>
    </row>
    <row r="348" spans="1:12" x14ac:dyDescent="0.25">
      <c r="A348" s="2">
        <v>540220</v>
      </c>
      <c r="B348" s="2" t="s">
        <v>274</v>
      </c>
      <c r="C348" s="2" t="s">
        <v>95</v>
      </c>
      <c r="D348" s="2" t="s">
        <v>115</v>
      </c>
      <c r="E348" s="2">
        <v>1</v>
      </c>
      <c r="F348" s="2">
        <v>518</v>
      </c>
      <c r="G348" s="2">
        <v>52</v>
      </c>
      <c r="H348" s="2">
        <v>2</v>
      </c>
      <c r="I348" s="2">
        <v>2</v>
      </c>
      <c r="J348" s="159">
        <v>3.8461538461500001E-2</v>
      </c>
      <c r="K348" s="159">
        <v>3.8461538461500001E-2</v>
      </c>
      <c r="L348" s="159">
        <v>9.2307692307700009</v>
      </c>
    </row>
    <row r="349" spans="1:12" x14ac:dyDescent="0.25">
      <c r="A349" s="2">
        <v>540218</v>
      </c>
      <c r="B349" s="2" t="s">
        <v>272</v>
      </c>
      <c r="C349" s="2" t="s">
        <v>95</v>
      </c>
      <c r="D349" s="2" t="s">
        <v>115</v>
      </c>
      <c r="E349" s="2">
        <v>1</v>
      </c>
      <c r="F349" s="2">
        <v>1213</v>
      </c>
      <c r="G349" s="2">
        <v>52</v>
      </c>
      <c r="H349" s="2">
        <v>4</v>
      </c>
      <c r="I349" s="2">
        <v>4</v>
      </c>
      <c r="J349" s="159">
        <v>7.6923076923100006E-2</v>
      </c>
      <c r="K349" s="159">
        <v>7.6923076923100006E-2</v>
      </c>
      <c r="L349" s="159">
        <v>18.461538461500002</v>
      </c>
    </row>
    <row r="350" spans="1:12" x14ac:dyDescent="0.25">
      <c r="A350" s="2">
        <v>540217</v>
      </c>
      <c r="B350" s="2" t="s">
        <v>94</v>
      </c>
      <c r="C350" s="2" t="s">
        <v>95</v>
      </c>
      <c r="D350" s="2" t="s">
        <v>5</v>
      </c>
      <c r="E350" s="2">
        <v>1</v>
      </c>
      <c r="F350" s="2">
        <v>318426</v>
      </c>
      <c r="G350" s="2">
        <v>3852</v>
      </c>
      <c r="H350" s="2">
        <v>14</v>
      </c>
      <c r="I350" s="2">
        <v>14</v>
      </c>
      <c r="J350" s="159">
        <v>3.6344755970900001E-3</v>
      </c>
      <c r="K350" s="159">
        <v>3.6344755970900001E-3</v>
      </c>
      <c r="L350" s="159">
        <v>0.87227414330200004</v>
      </c>
    </row>
    <row r="351" spans="1:12" x14ac:dyDescent="0.25">
      <c r="A351" s="252"/>
      <c r="B351" s="252"/>
      <c r="C351" s="252" t="s">
        <v>95</v>
      </c>
      <c r="D351" s="252"/>
      <c r="E351" s="252"/>
      <c r="F351" s="252">
        <v>321009</v>
      </c>
      <c r="G351" s="252">
        <v>4044</v>
      </c>
      <c r="H351" s="252">
        <v>26</v>
      </c>
      <c r="I351" s="252">
        <v>26</v>
      </c>
      <c r="J351" s="414">
        <v>6.4292779426299998E-3</v>
      </c>
      <c r="K351" s="414">
        <v>6.4292779426299998E-3</v>
      </c>
      <c r="L351" s="414">
        <v>1.54302670623</v>
      </c>
    </row>
    <row r="352" spans="1:12" x14ac:dyDescent="0.25">
      <c r="A352" s="2" t="s">
        <v>535</v>
      </c>
      <c r="B352" s="2"/>
      <c r="C352" s="2"/>
      <c r="D352" s="2"/>
      <c r="E352" s="2"/>
      <c r="F352" s="2"/>
      <c r="G352" s="2"/>
      <c r="H352" s="2"/>
      <c r="I352" s="2"/>
      <c r="J352" s="159"/>
      <c r="K352" s="159"/>
      <c r="L352" s="159"/>
    </row>
    <row r="353" spans="1:12" x14ac:dyDescent="0.25">
      <c r="A353" s="2">
        <v>540152</v>
      </c>
      <c r="B353" s="2" t="s">
        <v>229</v>
      </c>
      <c r="C353" s="2" t="s">
        <v>544</v>
      </c>
      <c r="D353" s="2" t="s">
        <v>115</v>
      </c>
      <c r="E353" s="2" t="s">
        <v>545</v>
      </c>
      <c r="F353" s="2">
        <v>10101</v>
      </c>
      <c r="G353" s="2">
        <v>934</v>
      </c>
      <c r="H353" s="2">
        <v>17</v>
      </c>
      <c r="I353" s="2">
        <v>17</v>
      </c>
      <c r="J353" s="159">
        <v>1.8201284796599999E-2</v>
      </c>
      <c r="K353" s="159">
        <v>1.8201284796599999E-2</v>
      </c>
      <c r="L353" s="159">
        <v>4.3683083511799996</v>
      </c>
    </row>
    <row r="354" spans="1:12" x14ac:dyDescent="0.25">
      <c r="A354" s="2">
        <v>540196</v>
      </c>
      <c r="B354" s="2" t="s">
        <v>259</v>
      </c>
      <c r="C354" s="2" t="s">
        <v>546</v>
      </c>
      <c r="D354" s="2" t="s">
        <v>115</v>
      </c>
      <c r="E354" s="2" t="s">
        <v>547</v>
      </c>
      <c r="F354" s="2">
        <v>542</v>
      </c>
      <c r="G354" s="2">
        <v>60</v>
      </c>
      <c r="H354" s="2">
        <v>21</v>
      </c>
      <c r="I354" s="2">
        <v>21</v>
      </c>
      <c r="J354" s="159">
        <v>0.35</v>
      </c>
      <c r="K354" s="159">
        <v>0.35</v>
      </c>
      <c r="L354" s="159">
        <v>84</v>
      </c>
    </row>
    <row r="355" spans="1:12" x14ac:dyDescent="0.25">
      <c r="A355" s="2">
        <v>540041</v>
      </c>
      <c r="B355" s="2" t="s">
        <v>142</v>
      </c>
      <c r="C355" s="2" t="s">
        <v>540</v>
      </c>
      <c r="D355" s="2" t="s">
        <v>115</v>
      </c>
      <c r="E355" s="2" t="s">
        <v>541</v>
      </c>
      <c r="F355" s="2">
        <v>611</v>
      </c>
      <c r="G355" s="2">
        <v>126</v>
      </c>
      <c r="H355" s="2">
        <v>2</v>
      </c>
      <c r="I355" s="2">
        <v>2</v>
      </c>
      <c r="J355" s="159">
        <v>1.5873015872999999E-2</v>
      </c>
      <c r="K355" s="159">
        <v>1.5873015872999999E-2</v>
      </c>
      <c r="L355" s="159">
        <v>3.8095238095199999</v>
      </c>
    </row>
    <row r="356" spans="1:12" x14ac:dyDescent="0.25">
      <c r="A356" s="2">
        <v>540018</v>
      </c>
      <c r="B356" s="2" t="s">
        <v>127</v>
      </c>
      <c r="C356" s="2" t="s">
        <v>538</v>
      </c>
      <c r="D356" s="2" t="s">
        <v>115</v>
      </c>
      <c r="E356" s="2" t="s">
        <v>539</v>
      </c>
      <c r="F356" s="2">
        <v>11784</v>
      </c>
      <c r="G356" s="2">
        <v>394</v>
      </c>
      <c r="H356" s="2">
        <v>36</v>
      </c>
      <c r="I356" s="2">
        <v>36</v>
      </c>
      <c r="J356" s="159">
        <v>9.13705583756E-2</v>
      </c>
      <c r="K356" s="159">
        <v>9.13705583756E-2</v>
      </c>
      <c r="L356" s="159">
        <v>21.928934010199999</v>
      </c>
    </row>
    <row r="357" spans="1:12" x14ac:dyDescent="0.25">
      <c r="A357" s="2">
        <v>540014</v>
      </c>
      <c r="B357" s="2" t="s">
        <v>124</v>
      </c>
      <c r="C357" s="2" t="s">
        <v>536</v>
      </c>
      <c r="D357" s="2" t="s">
        <v>115</v>
      </c>
      <c r="E357" s="2" t="s">
        <v>537</v>
      </c>
      <c r="F357" s="2">
        <v>12182</v>
      </c>
      <c r="G357" s="2">
        <v>382</v>
      </c>
      <c r="H357" s="2">
        <v>7</v>
      </c>
      <c r="I357" s="2">
        <v>7</v>
      </c>
      <c r="J357" s="159">
        <v>1.83246073298E-2</v>
      </c>
      <c r="K357" s="159">
        <v>1.83246073298E-2</v>
      </c>
      <c r="L357" s="159">
        <v>4.3979057591600004</v>
      </c>
    </row>
    <row r="358" spans="1:12" x14ac:dyDescent="0.25">
      <c r="A358" s="2">
        <v>540081</v>
      </c>
      <c r="B358" s="2" t="s">
        <v>176</v>
      </c>
      <c r="C358" s="2" t="s">
        <v>542</v>
      </c>
      <c r="D358" s="2" t="s">
        <v>115</v>
      </c>
      <c r="E358" s="2" t="s">
        <v>543</v>
      </c>
      <c r="F358" s="2">
        <v>3723</v>
      </c>
      <c r="G358" s="2">
        <v>190</v>
      </c>
      <c r="H358" s="2">
        <v>14</v>
      </c>
      <c r="I358" s="2">
        <v>14</v>
      </c>
      <c r="J358" s="159">
        <v>7.3684210526300004E-2</v>
      </c>
      <c r="K358" s="159">
        <v>7.3684210526300004E-2</v>
      </c>
      <c r="L358" s="159">
        <v>17.684210526299999</v>
      </c>
    </row>
    <row r="359" spans="1:12" x14ac:dyDescent="0.25">
      <c r="A359" s="2">
        <v>540033</v>
      </c>
      <c r="B359" s="2" t="s">
        <v>138</v>
      </c>
      <c r="C359" s="2" t="s">
        <v>1299</v>
      </c>
      <c r="D359" s="2" t="s">
        <v>115</v>
      </c>
      <c r="E359" s="2" t="s">
        <v>1298</v>
      </c>
      <c r="F359" s="2">
        <v>1054</v>
      </c>
      <c r="G359" s="2">
        <v>23</v>
      </c>
      <c r="H359" s="2">
        <v>1</v>
      </c>
      <c r="I359" s="2">
        <v>1</v>
      </c>
      <c r="J359" s="159">
        <v>4.3478260869600001E-2</v>
      </c>
      <c r="K359" s="159">
        <v>4.3478260869600001E-2</v>
      </c>
      <c r="L359" s="159">
        <v>10.434782608700001</v>
      </c>
    </row>
    <row r="360" spans="1:12" x14ac:dyDescent="0.25">
      <c r="A360" s="2">
        <v>540029</v>
      </c>
      <c r="B360" s="2" t="s">
        <v>134</v>
      </c>
      <c r="C360" s="2" t="s">
        <v>1299</v>
      </c>
      <c r="D360" s="2" t="s">
        <v>115</v>
      </c>
      <c r="E360" s="2" t="s">
        <v>1298</v>
      </c>
      <c r="F360" s="2">
        <v>1016</v>
      </c>
      <c r="G360" s="2">
        <v>28</v>
      </c>
      <c r="H360" s="2">
        <v>0</v>
      </c>
      <c r="I360" s="2">
        <v>0</v>
      </c>
      <c r="J360" s="159">
        <v>0</v>
      </c>
      <c r="K360" s="159">
        <v>0</v>
      </c>
      <c r="L360" s="159">
        <v>0</v>
      </c>
    </row>
  </sheetData>
  <hyperlinks>
    <hyperlink ref="O3" r:id="rId1" display="\\gistc-filesrv2\HazardData\Working\aSFHA_bSF\Data\script_outputs\Community_Reports\CRS_422_c_20200416_final.csv"/>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0"/>
  <sheetViews>
    <sheetView topLeftCell="G1" workbookViewId="0">
      <selection activeCell="N2" sqref="N2:O3"/>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8.42578125" bestFit="1" customWidth="1"/>
    <col min="7" max="7" width="21" bestFit="1" customWidth="1"/>
    <col min="8" max="8" width="6.5703125" bestFit="1" customWidth="1"/>
    <col min="9" max="9" width="5.5703125" bestFit="1" customWidth="1"/>
    <col min="10" max="10" width="6" bestFit="1" customWidth="1"/>
    <col min="11" max="11" width="12.140625" bestFit="1" customWidth="1"/>
    <col min="12" max="12" width="12.5703125" bestFit="1" customWidth="1"/>
    <col min="15" max="15" width="112.140625" bestFit="1" customWidth="1"/>
  </cols>
  <sheetData>
    <row r="1" spans="1:15" x14ac:dyDescent="0.25">
      <c r="A1" s="251" t="s">
        <v>0</v>
      </c>
      <c r="B1" s="251" t="s">
        <v>1</v>
      </c>
      <c r="C1" s="251" t="s">
        <v>2</v>
      </c>
      <c r="D1" s="251" t="s">
        <v>512</v>
      </c>
      <c r="E1" s="251" t="s">
        <v>403</v>
      </c>
      <c r="F1" s="251" t="s">
        <v>2207</v>
      </c>
      <c r="G1" s="251" t="s">
        <v>1316</v>
      </c>
      <c r="H1" s="251" t="s">
        <v>470</v>
      </c>
      <c r="I1" s="251" t="s">
        <v>1317</v>
      </c>
      <c r="J1" s="251" t="s">
        <v>2208</v>
      </c>
      <c r="K1" s="251" t="s">
        <v>2209</v>
      </c>
      <c r="L1" s="251" t="s">
        <v>2210</v>
      </c>
    </row>
    <row r="2" spans="1:15" x14ac:dyDescent="0.25">
      <c r="A2" s="2">
        <v>540001</v>
      </c>
      <c r="B2" s="2" t="s">
        <v>3</v>
      </c>
      <c r="C2" s="2" t="s">
        <v>4</v>
      </c>
      <c r="D2" s="2" t="s">
        <v>5</v>
      </c>
      <c r="E2" s="2">
        <v>7</v>
      </c>
      <c r="F2" s="2">
        <v>2</v>
      </c>
      <c r="G2" s="2">
        <v>215785</v>
      </c>
      <c r="H2" s="2">
        <v>4494</v>
      </c>
      <c r="I2" s="2">
        <v>117</v>
      </c>
      <c r="J2" s="2">
        <v>4377</v>
      </c>
      <c r="K2" s="268">
        <v>0.97396528699999996</v>
      </c>
      <c r="L2" s="268">
        <v>219.14218959999999</v>
      </c>
      <c r="N2" s="199" t="s">
        <v>1325</v>
      </c>
      <c r="O2" s="62" t="s">
        <v>2213</v>
      </c>
    </row>
    <row r="3" spans="1:15" x14ac:dyDescent="0.25">
      <c r="A3" s="2">
        <v>540002</v>
      </c>
      <c r="B3" s="2" t="s">
        <v>114</v>
      </c>
      <c r="C3" s="2" t="s">
        <v>4</v>
      </c>
      <c r="D3" s="2" t="s">
        <v>115</v>
      </c>
      <c r="E3" s="2">
        <v>7</v>
      </c>
      <c r="F3" s="2">
        <v>2</v>
      </c>
      <c r="G3" s="2">
        <v>1363</v>
      </c>
      <c r="H3" s="2">
        <v>117</v>
      </c>
      <c r="I3" s="2">
        <v>0</v>
      </c>
      <c r="J3" s="2">
        <v>117</v>
      </c>
      <c r="K3" s="268">
        <v>1</v>
      </c>
      <c r="L3" s="268">
        <v>225</v>
      </c>
      <c r="N3" s="199" t="s">
        <v>1326</v>
      </c>
      <c r="O3" s="393" t="s">
        <v>2212</v>
      </c>
    </row>
    <row r="4" spans="1:15" x14ac:dyDescent="0.25">
      <c r="A4" s="2">
        <v>540003</v>
      </c>
      <c r="B4" s="2" t="s">
        <v>116</v>
      </c>
      <c r="C4" s="2" t="s">
        <v>4</v>
      </c>
      <c r="D4" s="2" t="s">
        <v>115</v>
      </c>
      <c r="E4" s="2">
        <v>7</v>
      </c>
      <c r="F4" s="2">
        <v>2</v>
      </c>
      <c r="G4" s="2">
        <v>217</v>
      </c>
      <c r="H4" s="2">
        <v>29</v>
      </c>
      <c r="I4" s="2">
        <v>5</v>
      </c>
      <c r="J4" s="2">
        <v>24</v>
      </c>
      <c r="K4" s="268">
        <v>0.82758620699999996</v>
      </c>
      <c r="L4" s="268">
        <v>186.20689659999999</v>
      </c>
    </row>
    <row r="5" spans="1:15" x14ac:dyDescent="0.25">
      <c r="A5" s="2">
        <v>540004</v>
      </c>
      <c r="B5" s="2" t="s">
        <v>117</v>
      </c>
      <c r="C5" s="2" t="s">
        <v>4</v>
      </c>
      <c r="D5" s="2" t="s">
        <v>115</v>
      </c>
      <c r="E5" s="2">
        <v>7</v>
      </c>
      <c r="F5" s="2">
        <v>2</v>
      </c>
      <c r="G5" s="2">
        <v>1869</v>
      </c>
      <c r="H5" s="2">
        <v>163</v>
      </c>
      <c r="I5" s="2">
        <v>41</v>
      </c>
      <c r="J5" s="2">
        <v>122</v>
      </c>
      <c r="K5" s="268">
        <v>0.748466258</v>
      </c>
      <c r="L5" s="268">
        <v>168.40490800000001</v>
      </c>
    </row>
    <row r="6" spans="1:15" x14ac:dyDescent="0.25">
      <c r="A6" s="255"/>
      <c r="B6" s="255"/>
      <c r="C6" s="255" t="s">
        <v>4</v>
      </c>
      <c r="D6" s="255"/>
      <c r="E6" s="255"/>
      <c r="F6" s="255"/>
      <c r="G6" s="255">
        <v>219234</v>
      </c>
      <c r="H6" s="255">
        <v>4803</v>
      </c>
      <c r="I6" s="255">
        <v>163</v>
      </c>
      <c r="J6" s="255">
        <v>4640</v>
      </c>
      <c r="K6" s="274">
        <v>0.96606287700000004</v>
      </c>
      <c r="L6" s="274">
        <v>217.36414740000001</v>
      </c>
    </row>
    <row r="7" spans="1:15" x14ac:dyDescent="0.25">
      <c r="A7" s="2">
        <v>540007</v>
      </c>
      <c r="B7" s="2" t="s">
        <v>6</v>
      </c>
      <c r="C7" s="2" t="s">
        <v>7</v>
      </c>
      <c r="D7" s="2" t="s">
        <v>5</v>
      </c>
      <c r="E7" s="2">
        <v>3</v>
      </c>
      <c r="F7" s="2">
        <v>2</v>
      </c>
      <c r="G7" s="2">
        <v>316257</v>
      </c>
      <c r="H7" s="2">
        <v>5123</v>
      </c>
      <c r="I7" s="2">
        <v>1</v>
      </c>
      <c r="J7" s="2">
        <v>5122</v>
      </c>
      <c r="K7" s="268">
        <v>0.99980480199999999</v>
      </c>
      <c r="L7" s="268">
        <v>224.95608039999999</v>
      </c>
    </row>
    <row r="8" spans="1:15" x14ac:dyDescent="0.25">
      <c r="A8" s="2">
        <v>540008</v>
      </c>
      <c r="B8" s="2" t="s">
        <v>120</v>
      </c>
      <c r="C8" s="2" t="s">
        <v>7</v>
      </c>
      <c r="D8" s="2" t="s">
        <v>115</v>
      </c>
      <c r="E8" s="2">
        <v>3</v>
      </c>
      <c r="F8" s="2">
        <v>2</v>
      </c>
      <c r="G8" s="2">
        <v>4517</v>
      </c>
      <c r="H8" s="2">
        <v>146</v>
      </c>
      <c r="I8" s="2">
        <v>5</v>
      </c>
      <c r="J8" s="2">
        <v>141</v>
      </c>
      <c r="K8" s="268">
        <v>0.96575342500000005</v>
      </c>
      <c r="L8" s="268">
        <v>217.2945205</v>
      </c>
    </row>
    <row r="9" spans="1:15" x14ac:dyDescent="0.25">
      <c r="A9" s="2">
        <v>540229</v>
      </c>
      <c r="B9" s="2" t="s">
        <v>279</v>
      </c>
      <c r="C9" s="2" t="s">
        <v>7</v>
      </c>
      <c r="D9" s="2" t="s">
        <v>115</v>
      </c>
      <c r="E9" s="2">
        <v>3</v>
      </c>
      <c r="F9" s="2">
        <v>2</v>
      </c>
      <c r="G9" s="2">
        <v>212</v>
      </c>
      <c r="H9" s="2">
        <v>39</v>
      </c>
      <c r="I9" s="2">
        <v>0</v>
      </c>
      <c r="J9" s="2">
        <v>39</v>
      </c>
      <c r="K9" s="268">
        <v>1</v>
      </c>
      <c r="L9" s="268">
        <v>225</v>
      </c>
    </row>
    <row r="10" spans="1:15" x14ac:dyDescent="0.25">
      <c r="A10" s="2">
        <v>540230</v>
      </c>
      <c r="B10" s="2" t="s">
        <v>280</v>
      </c>
      <c r="C10" s="2" t="s">
        <v>7</v>
      </c>
      <c r="D10" s="2" t="s">
        <v>115</v>
      </c>
      <c r="E10" s="2">
        <v>3</v>
      </c>
      <c r="F10" s="2">
        <v>2</v>
      </c>
      <c r="G10" s="2">
        <v>694</v>
      </c>
      <c r="H10" s="2">
        <v>79</v>
      </c>
      <c r="I10" s="2">
        <v>9</v>
      </c>
      <c r="J10" s="2">
        <v>70</v>
      </c>
      <c r="K10" s="268">
        <v>0.88607594899999997</v>
      </c>
      <c r="L10" s="268">
        <v>199.36708859999999</v>
      </c>
    </row>
    <row r="11" spans="1:15" x14ac:dyDescent="0.25">
      <c r="A11" s="2">
        <v>540238</v>
      </c>
      <c r="B11" s="2" t="s">
        <v>286</v>
      </c>
      <c r="C11" s="2" t="s">
        <v>7</v>
      </c>
      <c r="D11" s="2" t="s">
        <v>115</v>
      </c>
      <c r="E11" s="2">
        <v>3</v>
      </c>
      <c r="F11" s="2">
        <v>2</v>
      </c>
      <c r="G11" s="2">
        <v>165</v>
      </c>
      <c r="H11" s="2">
        <v>27</v>
      </c>
      <c r="I11" s="2">
        <v>0</v>
      </c>
      <c r="J11" s="2">
        <v>27</v>
      </c>
      <c r="K11" s="268">
        <v>1</v>
      </c>
      <c r="L11" s="268">
        <v>225</v>
      </c>
    </row>
    <row r="12" spans="1:15" x14ac:dyDescent="0.25">
      <c r="A12" s="255"/>
      <c r="B12" s="255"/>
      <c r="C12" s="255" t="s">
        <v>7</v>
      </c>
      <c r="D12" s="255"/>
      <c r="E12" s="255"/>
      <c r="F12" s="255"/>
      <c r="G12" s="255">
        <v>321845</v>
      </c>
      <c r="H12" s="255">
        <v>5414</v>
      </c>
      <c r="I12" s="255">
        <v>15</v>
      </c>
      <c r="J12" s="255">
        <v>5399</v>
      </c>
      <c r="K12" s="274">
        <v>0.99722940500000001</v>
      </c>
      <c r="L12" s="274">
        <v>224.3766162</v>
      </c>
    </row>
    <row r="13" spans="1:15" x14ac:dyDescent="0.25">
      <c r="A13" s="2">
        <v>540009</v>
      </c>
      <c r="B13" s="2" t="s">
        <v>8</v>
      </c>
      <c r="C13" s="2" t="s">
        <v>9</v>
      </c>
      <c r="D13" s="2" t="s">
        <v>5</v>
      </c>
      <c r="E13" s="2">
        <v>7</v>
      </c>
      <c r="F13" s="2">
        <v>2</v>
      </c>
      <c r="G13" s="2">
        <v>327977</v>
      </c>
      <c r="H13" s="2">
        <v>6927</v>
      </c>
      <c r="I13" s="2">
        <v>640</v>
      </c>
      <c r="J13" s="2">
        <v>6287</v>
      </c>
      <c r="K13" s="268">
        <v>0.90760791100000004</v>
      </c>
      <c r="L13" s="268">
        <v>204.21178</v>
      </c>
    </row>
    <row r="14" spans="1:15" x14ac:dyDescent="0.25">
      <c r="A14" s="2">
        <v>540010</v>
      </c>
      <c r="B14" s="2" t="s">
        <v>121</v>
      </c>
      <c r="C14" s="2" t="s">
        <v>9</v>
      </c>
      <c r="D14" s="2" t="s">
        <v>115</v>
      </c>
      <c r="E14" s="2">
        <v>7</v>
      </c>
      <c r="F14" s="2">
        <v>2</v>
      </c>
      <c r="G14" s="2">
        <v>698</v>
      </c>
      <c r="H14" s="2">
        <v>86</v>
      </c>
      <c r="I14" s="2">
        <v>0</v>
      </c>
      <c r="J14" s="2">
        <v>86</v>
      </c>
      <c r="K14" s="268">
        <v>1</v>
      </c>
      <c r="L14" s="268">
        <v>225</v>
      </c>
    </row>
    <row r="15" spans="1:15" x14ac:dyDescent="0.25">
      <c r="A15" s="2">
        <v>540235</v>
      </c>
      <c r="B15" s="2" t="s">
        <v>283</v>
      </c>
      <c r="C15" s="2" t="s">
        <v>9</v>
      </c>
      <c r="D15" s="2" t="s">
        <v>115</v>
      </c>
      <c r="E15" s="2">
        <v>7</v>
      </c>
      <c r="F15" s="2">
        <v>2</v>
      </c>
      <c r="G15" s="2">
        <v>420</v>
      </c>
      <c r="H15" s="2">
        <v>0</v>
      </c>
      <c r="I15" s="2">
        <v>0</v>
      </c>
      <c r="J15" s="2">
        <v>0</v>
      </c>
      <c r="K15" s="2" t="s">
        <v>488</v>
      </c>
      <c r="L15" s="2" t="s">
        <v>488</v>
      </c>
    </row>
    <row r="16" spans="1:15" x14ac:dyDescent="0.25">
      <c r="A16" s="2">
        <v>540236</v>
      </c>
      <c r="B16" s="2" t="s">
        <v>284</v>
      </c>
      <c r="C16" s="2" t="s">
        <v>9</v>
      </c>
      <c r="D16" s="2" t="s">
        <v>115</v>
      </c>
      <c r="E16" s="2">
        <v>7</v>
      </c>
      <c r="F16" s="2">
        <v>2</v>
      </c>
      <c r="G16" s="2">
        <v>526</v>
      </c>
      <c r="H16" s="2">
        <v>65</v>
      </c>
      <c r="I16" s="2">
        <v>1</v>
      </c>
      <c r="J16" s="2">
        <v>64</v>
      </c>
      <c r="K16" s="268">
        <v>0.98461538500000001</v>
      </c>
      <c r="L16" s="268">
        <v>221.53846150000001</v>
      </c>
    </row>
    <row r="17" spans="1:12" x14ac:dyDescent="0.25">
      <c r="A17" s="2">
        <v>540237</v>
      </c>
      <c r="B17" s="2" t="s">
        <v>285</v>
      </c>
      <c r="C17" s="2" t="s">
        <v>9</v>
      </c>
      <c r="D17" s="2" t="s">
        <v>115</v>
      </c>
      <c r="E17" s="2">
        <v>7</v>
      </c>
      <c r="F17" s="2">
        <v>2</v>
      </c>
      <c r="G17" s="2">
        <v>779</v>
      </c>
      <c r="H17" s="2">
        <v>72</v>
      </c>
      <c r="I17" s="2">
        <v>0</v>
      </c>
      <c r="J17" s="2">
        <v>72</v>
      </c>
      <c r="K17" s="268">
        <v>1</v>
      </c>
      <c r="L17" s="268">
        <v>225</v>
      </c>
    </row>
    <row r="18" spans="1:12" x14ac:dyDescent="0.25">
      <c r="A18" s="255"/>
      <c r="B18" s="255"/>
      <c r="C18" s="255" t="s">
        <v>9</v>
      </c>
      <c r="D18" s="255"/>
      <c r="E18" s="255"/>
      <c r="F18" s="255"/>
      <c r="G18" s="255">
        <v>330400</v>
      </c>
      <c r="H18" s="255">
        <v>7150</v>
      </c>
      <c r="I18" s="255">
        <v>641</v>
      </c>
      <c r="J18" s="255">
        <v>6509</v>
      </c>
      <c r="K18" s="274">
        <v>0.91034965000000001</v>
      </c>
      <c r="L18" s="274">
        <v>204.8286713</v>
      </c>
    </row>
    <row r="19" spans="1:12" x14ac:dyDescent="0.25">
      <c r="A19" s="2">
        <v>540011</v>
      </c>
      <c r="B19" s="2" t="s">
        <v>10</v>
      </c>
      <c r="C19" s="2" t="s">
        <v>11</v>
      </c>
      <c r="D19" s="2" t="s">
        <v>5</v>
      </c>
      <c r="E19" s="2">
        <v>11</v>
      </c>
      <c r="F19" s="2">
        <v>2</v>
      </c>
      <c r="G19" s="2">
        <v>51003</v>
      </c>
      <c r="H19" s="2">
        <v>1210</v>
      </c>
      <c r="I19" s="2">
        <v>78</v>
      </c>
      <c r="J19" s="2">
        <v>1132</v>
      </c>
      <c r="K19" s="268">
        <v>0.93553719000000002</v>
      </c>
      <c r="L19" s="268">
        <v>210.49586780000001</v>
      </c>
    </row>
    <row r="20" spans="1:12" x14ac:dyDescent="0.25">
      <c r="A20" s="2">
        <v>540012</v>
      </c>
      <c r="B20" s="2" t="s">
        <v>122</v>
      </c>
      <c r="C20" s="2" t="s">
        <v>11</v>
      </c>
      <c r="D20" s="2" t="s">
        <v>115</v>
      </c>
      <c r="E20" s="2">
        <v>11</v>
      </c>
      <c r="F20" s="2">
        <v>2</v>
      </c>
      <c r="G20" s="2">
        <v>471</v>
      </c>
      <c r="H20" s="2">
        <v>65</v>
      </c>
      <c r="I20" s="2">
        <v>17</v>
      </c>
      <c r="J20" s="2">
        <v>48</v>
      </c>
      <c r="K20" s="268">
        <v>0.73846153800000003</v>
      </c>
      <c r="L20" s="268">
        <v>166.1538462</v>
      </c>
    </row>
    <row r="21" spans="1:12" x14ac:dyDescent="0.25">
      <c r="A21" s="2">
        <v>540013</v>
      </c>
      <c r="B21" s="2" t="s">
        <v>123</v>
      </c>
      <c r="C21" s="2" t="s">
        <v>11</v>
      </c>
      <c r="D21" s="2" t="s">
        <v>115</v>
      </c>
      <c r="E21" s="2">
        <v>11</v>
      </c>
      <c r="F21" s="2">
        <v>2</v>
      </c>
      <c r="G21" s="2">
        <v>1337</v>
      </c>
      <c r="H21" s="2">
        <v>27</v>
      </c>
      <c r="I21" s="2">
        <v>0</v>
      </c>
      <c r="J21" s="2">
        <v>27</v>
      </c>
      <c r="K21" s="268">
        <v>1</v>
      </c>
      <c r="L21" s="268">
        <v>225</v>
      </c>
    </row>
    <row r="22" spans="1:12" x14ac:dyDescent="0.25">
      <c r="A22" s="2">
        <v>540014</v>
      </c>
      <c r="B22" s="2" t="s">
        <v>124</v>
      </c>
      <c r="C22" s="2" t="s">
        <v>11</v>
      </c>
      <c r="D22" s="2" t="s">
        <v>115</v>
      </c>
      <c r="E22" s="2">
        <v>11</v>
      </c>
      <c r="F22" s="2">
        <v>2</v>
      </c>
      <c r="G22" s="2">
        <v>4407</v>
      </c>
      <c r="H22" s="2">
        <v>89</v>
      </c>
      <c r="I22" s="2">
        <v>0</v>
      </c>
      <c r="J22" s="2">
        <v>89</v>
      </c>
      <c r="K22" s="268">
        <v>1</v>
      </c>
      <c r="L22" s="268">
        <v>225</v>
      </c>
    </row>
    <row r="23" spans="1:12" x14ac:dyDescent="0.25">
      <c r="A23" s="2">
        <v>540015</v>
      </c>
      <c r="B23" s="2" t="s">
        <v>125</v>
      </c>
      <c r="C23" s="2" t="s">
        <v>11</v>
      </c>
      <c r="D23" s="2" t="s">
        <v>115</v>
      </c>
      <c r="E23" s="2">
        <v>11</v>
      </c>
      <c r="F23" s="2">
        <v>2</v>
      </c>
      <c r="G23" s="2">
        <v>850</v>
      </c>
      <c r="H23" s="2">
        <v>253</v>
      </c>
      <c r="I23" s="2">
        <v>14</v>
      </c>
      <c r="J23" s="2">
        <v>239</v>
      </c>
      <c r="K23" s="268">
        <v>0.94466403200000004</v>
      </c>
      <c r="L23" s="268">
        <v>212.5494071</v>
      </c>
    </row>
    <row r="24" spans="1:12" x14ac:dyDescent="0.25">
      <c r="A24" s="2">
        <v>540093</v>
      </c>
      <c r="B24" s="2" t="s">
        <v>184</v>
      </c>
      <c r="C24" s="2" t="s">
        <v>11</v>
      </c>
      <c r="D24" s="2" t="s">
        <v>115</v>
      </c>
      <c r="E24" s="2">
        <v>11</v>
      </c>
      <c r="F24" s="2">
        <v>2</v>
      </c>
      <c r="G24" s="2">
        <v>1193</v>
      </c>
      <c r="H24" s="2">
        <v>146</v>
      </c>
      <c r="I24" s="2">
        <v>0</v>
      </c>
      <c r="J24" s="2">
        <v>146</v>
      </c>
      <c r="K24" s="268">
        <v>1</v>
      </c>
      <c r="L24" s="268">
        <v>225</v>
      </c>
    </row>
    <row r="25" spans="1:12" x14ac:dyDescent="0.25">
      <c r="A25" s="2">
        <v>540084</v>
      </c>
      <c r="B25" s="2" t="s">
        <v>341</v>
      </c>
      <c r="C25" s="2" t="s">
        <v>11</v>
      </c>
      <c r="D25" s="2" t="s">
        <v>115</v>
      </c>
      <c r="E25" s="2">
        <v>11</v>
      </c>
      <c r="F25" s="2">
        <v>2</v>
      </c>
      <c r="G25" s="2">
        <v>92</v>
      </c>
      <c r="H25" s="2">
        <v>0</v>
      </c>
      <c r="I25" s="2">
        <v>0</v>
      </c>
      <c r="J25" s="2">
        <v>0</v>
      </c>
      <c r="K25" s="2" t="s">
        <v>488</v>
      </c>
      <c r="L25" s="2" t="s">
        <v>488</v>
      </c>
    </row>
    <row r="26" spans="1:12" x14ac:dyDescent="0.25">
      <c r="A26" s="255"/>
      <c r="B26" s="255"/>
      <c r="C26" s="255" t="s">
        <v>11</v>
      </c>
      <c r="D26" s="255"/>
      <c r="E26" s="255"/>
      <c r="F26" s="255"/>
      <c r="G26" s="255">
        <v>59353</v>
      </c>
      <c r="H26" s="255">
        <v>1790</v>
      </c>
      <c r="I26" s="255">
        <v>109</v>
      </c>
      <c r="J26" s="255">
        <v>1681</v>
      </c>
      <c r="K26" s="274">
        <v>0.939106145</v>
      </c>
      <c r="L26" s="274">
        <v>211.29888270000001</v>
      </c>
    </row>
    <row r="27" spans="1:12" x14ac:dyDescent="0.25">
      <c r="A27" s="2">
        <v>540016</v>
      </c>
      <c r="B27" s="2" t="s">
        <v>12</v>
      </c>
      <c r="C27" s="2" t="s">
        <v>13</v>
      </c>
      <c r="D27" s="2" t="s">
        <v>5</v>
      </c>
      <c r="E27" s="2">
        <v>2</v>
      </c>
      <c r="F27" s="2">
        <v>2</v>
      </c>
      <c r="G27" s="2">
        <v>169628</v>
      </c>
      <c r="H27" s="2">
        <v>7040</v>
      </c>
      <c r="I27" s="2">
        <v>478</v>
      </c>
      <c r="J27" s="2">
        <v>6562</v>
      </c>
      <c r="K27" s="268">
        <v>0.93210227300000004</v>
      </c>
      <c r="L27" s="268">
        <v>209.72301139999999</v>
      </c>
    </row>
    <row r="28" spans="1:12" x14ac:dyDescent="0.25">
      <c r="A28" s="2">
        <v>540017</v>
      </c>
      <c r="B28" s="2" t="s">
        <v>126</v>
      </c>
      <c r="C28" s="2" t="s">
        <v>13</v>
      </c>
      <c r="D28" s="2" t="s">
        <v>115</v>
      </c>
      <c r="E28" s="2">
        <v>2</v>
      </c>
      <c r="F28" s="2">
        <v>2</v>
      </c>
      <c r="G28" s="2">
        <v>2679</v>
      </c>
      <c r="H28" s="2">
        <v>155</v>
      </c>
      <c r="I28" s="2">
        <v>18</v>
      </c>
      <c r="J28" s="2">
        <v>137</v>
      </c>
      <c r="K28" s="268">
        <v>0.88387096799999998</v>
      </c>
      <c r="L28" s="268">
        <v>198.87096769999999</v>
      </c>
    </row>
    <row r="29" spans="1:12" x14ac:dyDescent="0.25">
      <c r="A29" s="2">
        <v>540018</v>
      </c>
      <c r="B29" s="2" t="s">
        <v>127</v>
      </c>
      <c r="C29" s="2" t="s">
        <v>13</v>
      </c>
      <c r="D29" s="2" t="s">
        <v>115</v>
      </c>
      <c r="E29" s="2">
        <v>2</v>
      </c>
      <c r="F29" s="2">
        <v>2</v>
      </c>
      <c r="G29" s="2">
        <v>10925</v>
      </c>
      <c r="H29" s="2">
        <v>317</v>
      </c>
      <c r="I29" s="2">
        <v>36</v>
      </c>
      <c r="J29" s="2">
        <v>281</v>
      </c>
      <c r="K29" s="268">
        <v>0.88643533100000005</v>
      </c>
      <c r="L29" s="268">
        <v>199.44794949999999</v>
      </c>
    </row>
    <row r="30" spans="1:12" x14ac:dyDescent="0.25">
      <c r="A30" s="2">
        <v>540019</v>
      </c>
      <c r="B30" s="2" t="s">
        <v>128</v>
      </c>
      <c r="C30" s="2" t="s">
        <v>13</v>
      </c>
      <c r="D30" s="2" t="s">
        <v>115</v>
      </c>
      <c r="E30" s="2">
        <v>2</v>
      </c>
      <c r="F30" s="2">
        <v>2</v>
      </c>
      <c r="G30" s="2">
        <v>1005</v>
      </c>
      <c r="H30" s="2">
        <v>216</v>
      </c>
      <c r="I30" s="2">
        <v>4</v>
      </c>
      <c r="J30" s="2">
        <v>212</v>
      </c>
      <c r="K30" s="268">
        <v>0.98148148099999999</v>
      </c>
      <c r="L30" s="268">
        <v>220.83333329999999</v>
      </c>
    </row>
    <row r="31" spans="1:12" x14ac:dyDescent="0.25">
      <c r="A31" s="255"/>
      <c r="B31" s="255"/>
      <c r="C31" s="255" t="s">
        <v>13</v>
      </c>
      <c r="D31" s="255"/>
      <c r="E31" s="255"/>
      <c r="F31" s="255"/>
      <c r="G31" s="255">
        <v>184237</v>
      </c>
      <c r="H31" s="255">
        <v>7728</v>
      </c>
      <c r="I31" s="255">
        <v>536</v>
      </c>
      <c r="J31" s="255">
        <v>7192</v>
      </c>
      <c r="K31" s="274">
        <v>0.93064182200000001</v>
      </c>
      <c r="L31" s="274">
        <v>209.3944099</v>
      </c>
    </row>
    <row r="32" spans="1:12" x14ac:dyDescent="0.25">
      <c r="A32" s="2">
        <v>540020</v>
      </c>
      <c r="B32" s="2" t="s">
        <v>14</v>
      </c>
      <c r="C32" s="2" t="s">
        <v>15</v>
      </c>
      <c r="D32" s="2" t="s">
        <v>5</v>
      </c>
      <c r="E32" s="2">
        <v>5</v>
      </c>
      <c r="F32" s="2">
        <v>2</v>
      </c>
      <c r="G32" s="2">
        <v>179082</v>
      </c>
      <c r="H32" s="2">
        <v>5554</v>
      </c>
      <c r="I32" s="2">
        <v>31</v>
      </c>
      <c r="J32" s="2">
        <v>5523</v>
      </c>
      <c r="K32" s="268">
        <v>0.99441843699999999</v>
      </c>
      <c r="L32" s="268">
        <v>223.7441484</v>
      </c>
    </row>
    <row r="33" spans="1:12" x14ac:dyDescent="0.25">
      <c r="A33" s="2">
        <v>540021</v>
      </c>
      <c r="B33" s="2" t="s">
        <v>129</v>
      </c>
      <c r="C33" s="2" t="s">
        <v>15</v>
      </c>
      <c r="D33" s="2" t="s">
        <v>115</v>
      </c>
      <c r="E33" s="2">
        <v>5</v>
      </c>
      <c r="F33" s="2">
        <v>2</v>
      </c>
      <c r="G33" s="2">
        <v>296</v>
      </c>
      <c r="H33" s="2">
        <v>73</v>
      </c>
      <c r="I33" s="2">
        <v>0</v>
      </c>
      <c r="J33" s="2">
        <v>73</v>
      </c>
      <c r="K33" s="268">
        <v>1</v>
      </c>
      <c r="L33" s="268">
        <v>225</v>
      </c>
    </row>
    <row r="34" spans="1:12" x14ac:dyDescent="0.25">
      <c r="A34" s="255"/>
      <c r="B34" s="255"/>
      <c r="C34" s="255" t="s">
        <v>15</v>
      </c>
      <c r="D34" s="255"/>
      <c r="E34" s="255"/>
      <c r="F34" s="255"/>
      <c r="G34" s="255">
        <v>179378</v>
      </c>
      <c r="H34" s="255">
        <v>5627</v>
      </c>
      <c r="I34" s="255">
        <v>31</v>
      </c>
      <c r="J34" s="255">
        <v>5596</v>
      </c>
      <c r="K34" s="274">
        <v>0.99449084799999998</v>
      </c>
      <c r="L34" s="274">
        <v>223.7604407</v>
      </c>
    </row>
    <row r="35" spans="1:12" x14ac:dyDescent="0.25">
      <c r="A35" s="2">
        <v>540022</v>
      </c>
      <c r="B35" s="2" t="s">
        <v>16</v>
      </c>
      <c r="C35" s="2" t="s">
        <v>17</v>
      </c>
      <c r="D35" s="2" t="s">
        <v>5</v>
      </c>
      <c r="E35" s="2">
        <v>3</v>
      </c>
      <c r="F35" s="2">
        <v>0</v>
      </c>
      <c r="G35" s="2">
        <v>219517</v>
      </c>
      <c r="H35" s="2">
        <v>4548</v>
      </c>
      <c r="I35" s="2">
        <v>30</v>
      </c>
      <c r="J35" s="2">
        <v>4518</v>
      </c>
      <c r="K35" s="268">
        <v>0.99340369399999995</v>
      </c>
      <c r="L35" s="268">
        <v>223.51583110000001</v>
      </c>
    </row>
    <row r="36" spans="1:12" x14ac:dyDescent="0.25">
      <c r="A36" s="2">
        <v>540023</v>
      </c>
      <c r="B36" s="2" t="s">
        <v>130</v>
      </c>
      <c r="C36" s="2" t="s">
        <v>17</v>
      </c>
      <c r="D36" s="2" t="s">
        <v>115</v>
      </c>
      <c r="E36" s="2">
        <v>3</v>
      </c>
      <c r="F36" s="2">
        <v>0</v>
      </c>
      <c r="G36" s="2">
        <v>394</v>
      </c>
      <c r="H36" s="2">
        <v>78</v>
      </c>
      <c r="I36" s="2">
        <v>0</v>
      </c>
      <c r="J36" s="2">
        <v>78</v>
      </c>
      <c r="K36" s="268">
        <v>1</v>
      </c>
      <c r="L36" s="268">
        <v>225</v>
      </c>
    </row>
    <row r="37" spans="1:12" x14ac:dyDescent="0.25">
      <c r="A37" s="255"/>
      <c r="B37" s="255"/>
      <c r="C37" s="255" t="s">
        <v>17</v>
      </c>
      <c r="D37" s="255"/>
      <c r="E37" s="255"/>
      <c r="F37" s="255"/>
      <c r="G37" s="255">
        <v>219911</v>
      </c>
      <c r="H37" s="255">
        <v>4626</v>
      </c>
      <c r="I37" s="255">
        <v>30</v>
      </c>
      <c r="J37" s="255">
        <v>4596</v>
      </c>
      <c r="K37" s="274">
        <v>0.99351491599999997</v>
      </c>
      <c r="L37" s="274">
        <v>223.54085599999999</v>
      </c>
    </row>
    <row r="38" spans="1:12" x14ac:dyDescent="0.25">
      <c r="A38" s="2">
        <v>540024</v>
      </c>
      <c r="B38" s="2" t="s">
        <v>18</v>
      </c>
      <c r="C38" s="2" t="s">
        <v>19</v>
      </c>
      <c r="D38" s="2" t="s">
        <v>5</v>
      </c>
      <c r="E38" s="2">
        <v>6</v>
      </c>
      <c r="F38" s="2">
        <v>2</v>
      </c>
      <c r="G38" s="2">
        <v>204680</v>
      </c>
      <c r="H38" s="2">
        <v>5244</v>
      </c>
      <c r="I38" s="2">
        <v>20</v>
      </c>
      <c r="J38" s="2">
        <v>5224</v>
      </c>
      <c r="K38" s="268">
        <v>0.99618611700000004</v>
      </c>
      <c r="L38" s="268">
        <v>224.1418764</v>
      </c>
    </row>
    <row r="39" spans="1:12" x14ac:dyDescent="0.25">
      <c r="A39" s="2">
        <v>540025</v>
      </c>
      <c r="B39" s="2" t="s">
        <v>131</v>
      </c>
      <c r="C39" s="2" t="s">
        <v>19</v>
      </c>
      <c r="D39" s="2" t="s">
        <v>115</v>
      </c>
      <c r="E39" s="2">
        <v>6</v>
      </c>
      <c r="F39" s="2">
        <v>2</v>
      </c>
      <c r="G39" s="2">
        <v>241</v>
      </c>
      <c r="H39" s="2">
        <v>20</v>
      </c>
      <c r="I39" s="2">
        <v>0</v>
      </c>
      <c r="J39" s="2">
        <v>20</v>
      </c>
      <c r="K39" s="268">
        <v>1</v>
      </c>
      <c r="L39" s="268">
        <v>225</v>
      </c>
    </row>
    <row r="40" spans="1:12" x14ac:dyDescent="0.25">
      <c r="A40" s="255"/>
      <c r="B40" s="255"/>
      <c r="C40" s="255" t="s">
        <v>19</v>
      </c>
      <c r="D40" s="255"/>
      <c r="E40" s="255"/>
      <c r="F40" s="255"/>
      <c r="G40" s="255">
        <v>204921</v>
      </c>
      <c r="H40" s="255">
        <v>5264</v>
      </c>
      <c r="I40" s="255">
        <v>20</v>
      </c>
      <c r="J40" s="255">
        <v>5244</v>
      </c>
      <c r="K40" s="274">
        <v>0.99620060799999999</v>
      </c>
      <c r="L40" s="274">
        <v>224.14513679999999</v>
      </c>
    </row>
    <row r="41" spans="1:12" x14ac:dyDescent="0.25">
      <c r="A41" s="2">
        <v>540035</v>
      </c>
      <c r="B41" s="2" t="s">
        <v>22</v>
      </c>
      <c r="C41" s="2" t="s">
        <v>23</v>
      </c>
      <c r="D41" s="2" t="s">
        <v>5</v>
      </c>
      <c r="E41" s="2">
        <v>7</v>
      </c>
      <c r="F41" s="2">
        <v>2</v>
      </c>
      <c r="G41" s="2">
        <v>216311</v>
      </c>
      <c r="H41" s="2">
        <v>6004</v>
      </c>
      <c r="I41" s="2">
        <v>110</v>
      </c>
      <c r="J41" s="2">
        <v>5894</v>
      </c>
      <c r="K41" s="268">
        <v>0.981678881</v>
      </c>
      <c r="L41" s="268">
        <v>220.87774820000001</v>
      </c>
    </row>
    <row r="42" spans="1:12" x14ac:dyDescent="0.25">
      <c r="A42" s="2">
        <v>540036</v>
      </c>
      <c r="B42" s="2" t="s">
        <v>139</v>
      </c>
      <c r="C42" s="2" t="s">
        <v>23</v>
      </c>
      <c r="D42" s="2" t="s">
        <v>115</v>
      </c>
      <c r="E42" s="2">
        <v>7</v>
      </c>
      <c r="F42" s="2">
        <v>2</v>
      </c>
      <c r="G42" s="2">
        <v>662</v>
      </c>
      <c r="H42" s="2">
        <v>142</v>
      </c>
      <c r="I42" s="2">
        <v>1</v>
      </c>
      <c r="J42" s="2">
        <v>141</v>
      </c>
      <c r="K42" s="268">
        <v>0.99295774599999997</v>
      </c>
      <c r="L42" s="268">
        <v>223.415493</v>
      </c>
    </row>
    <row r="43" spans="1:12" x14ac:dyDescent="0.25">
      <c r="A43" s="2">
        <v>540037</v>
      </c>
      <c r="B43" s="2" t="s">
        <v>140</v>
      </c>
      <c r="C43" s="2" t="s">
        <v>23</v>
      </c>
      <c r="D43" s="2" t="s">
        <v>115</v>
      </c>
      <c r="E43" s="2">
        <v>7</v>
      </c>
      <c r="F43" s="2">
        <v>2</v>
      </c>
      <c r="G43" s="2">
        <v>224</v>
      </c>
      <c r="H43" s="2">
        <v>56</v>
      </c>
      <c r="I43" s="2">
        <v>0</v>
      </c>
      <c r="J43" s="2">
        <v>56</v>
      </c>
      <c r="K43" s="268">
        <v>1</v>
      </c>
      <c r="L43" s="268">
        <v>225</v>
      </c>
    </row>
    <row r="44" spans="1:12" x14ac:dyDescent="0.25">
      <c r="A44" s="255"/>
      <c r="B44" s="255"/>
      <c r="C44" s="255" t="s">
        <v>23</v>
      </c>
      <c r="D44" s="255"/>
      <c r="E44" s="255"/>
      <c r="F44" s="255"/>
      <c r="G44" s="255">
        <v>217197</v>
      </c>
      <c r="H44" s="255">
        <v>6202</v>
      </c>
      <c r="I44" s="255">
        <v>111</v>
      </c>
      <c r="J44" s="255">
        <v>6091</v>
      </c>
      <c r="K44" s="274">
        <v>0.98210254799999996</v>
      </c>
      <c r="L44" s="274">
        <v>220.97307319999999</v>
      </c>
    </row>
    <row r="45" spans="1:12" x14ac:dyDescent="0.25">
      <c r="A45" s="2">
        <v>540038</v>
      </c>
      <c r="B45" s="2" t="s">
        <v>24</v>
      </c>
      <c r="C45" s="2" t="s">
        <v>25</v>
      </c>
      <c r="D45" s="2" t="s">
        <v>5</v>
      </c>
      <c r="E45" s="2">
        <v>8</v>
      </c>
      <c r="F45" s="2">
        <v>2</v>
      </c>
      <c r="G45" s="2">
        <v>305978</v>
      </c>
      <c r="H45" s="2">
        <v>6497</v>
      </c>
      <c r="I45" s="2">
        <v>99</v>
      </c>
      <c r="J45" s="2">
        <v>6398</v>
      </c>
      <c r="K45" s="268">
        <v>0.98476219799999998</v>
      </c>
      <c r="L45" s="268">
        <v>221.5714945</v>
      </c>
    </row>
    <row r="46" spans="1:12" x14ac:dyDescent="0.25">
      <c r="A46" s="2">
        <v>540039</v>
      </c>
      <c r="B46" s="2" t="s">
        <v>141</v>
      </c>
      <c r="C46" s="2" t="s">
        <v>25</v>
      </c>
      <c r="D46" s="2" t="s">
        <v>115</v>
      </c>
      <c r="E46" s="2">
        <v>8</v>
      </c>
      <c r="F46" s="2">
        <v>2</v>
      </c>
      <c r="G46" s="2">
        <v>1035</v>
      </c>
      <c r="H46" s="2">
        <v>159</v>
      </c>
      <c r="I46" s="2">
        <v>0</v>
      </c>
      <c r="J46" s="2">
        <v>159</v>
      </c>
      <c r="K46" s="268">
        <v>1</v>
      </c>
      <c r="L46" s="268">
        <v>225</v>
      </c>
    </row>
    <row r="47" spans="1:12" x14ac:dyDescent="0.25">
      <c r="A47" s="2">
        <v>540240</v>
      </c>
      <c r="B47" s="2" t="s">
        <v>287</v>
      </c>
      <c r="C47" s="2" t="s">
        <v>25</v>
      </c>
      <c r="D47" s="2" t="s">
        <v>115</v>
      </c>
      <c r="E47" s="2">
        <v>8</v>
      </c>
      <c r="F47" s="2">
        <v>2</v>
      </c>
      <c r="G47" s="2">
        <v>195</v>
      </c>
      <c r="H47" s="2">
        <v>18</v>
      </c>
      <c r="I47" s="2">
        <v>0</v>
      </c>
      <c r="J47" s="2">
        <v>18</v>
      </c>
      <c r="K47" s="268">
        <v>1</v>
      </c>
      <c r="L47" s="268">
        <v>225</v>
      </c>
    </row>
    <row r="48" spans="1:12" x14ac:dyDescent="0.25">
      <c r="A48" s="255"/>
      <c r="B48" s="255"/>
      <c r="C48" s="255" t="s">
        <v>25</v>
      </c>
      <c r="D48" s="255"/>
      <c r="E48" s="255"/>
      <c r="F48" s="255"/>
      <c r="G48" s="255">
        <v>307208</v>
      </c>
      <c r="H48" s="255">
        <v>6674</v>
      </c>
      <c r="I48" s="255">
        <v>99</v>
      </c>
      <c r="J48" s="255">
        <v>6575</v>
      </c>
      <c r="K48" s="274">
        <v>0.98516631700000001</v>
      </c>
      <c r="L48" s="274">
        <v>221.66242130000001</v>
      </c>
    </row>
    <row r="49" spans="1:12" x14ac:dyDescent="0.25">
      <c r="A49" s="2">
        <v>540040</v>
      </c>
      <c r="B49" s="2" t="s">
        <v>26</v>
      </c>
      <c r="C49" s="2" t="s">
        <v>27</v>
      </c>
      <c r="D49" s="2" t="s">
        <v>5</v>
      </c>
      <c r="E49" s="2">
        <v>4</v>
      </c>
      <c r="F49" s="2">
        <v>2</v>
      </c>
      <c r="G49" s="2">
        <v>648250</v>
      </c>
      <c r="H49" s="2">
        <v>16980</v>
      </c>
      <c r="I49" s="2">
        <v>1358</v>
      </c>
      <c r="J49" s="2">
        <v>15622</v>
      </c>
      <c r="K49" s="268">
        <v>0.92002355700000005</v>
      </c>
      <c r="L49" s="268">
        <v>207.00530040000001</v>
      </c>
    </row>
    <row r="50" spans="1:12" x14ac:dyDescent="0.25">
      <c r="A50" s="2">
        <v>540041</v>
      </c>
      <c r="B50" s="2" t="s">
        <v>142</v>
      </c>
      <c r="C50" s="2" t="s">
        <v>27</v>
      </c>
      <c r="D50" s="2" t="s">
        <v>115</v>
      </c>
      <c r="E50" s="2">
        <v>4</v>
      </c>
      <c r="F50" s="2">
        <v>2</v>
      </c>
      <c r="G50" s="2">
        <v>418</v>
      </c>
      <c r="H50" s="2">
        <v>79</v>
      </c>
      <c r="I50" s="2">
        <v>1</v>
      </c>
      <c r="J50" s="2">
        <v>78</v>
      </c>
      <c r="K50" s="268">
        <v>0.98734177199999995</v>
      </c>
      <c r="L50" s="268">
        <v>222.1518987</v>
      </c>
    </row>
    <row r="51" spans="1:12" x14ac:dyDescent="0.25">
      <c r="A51" s="2">
        <v>540043</v>
      </c>
      <c r="B51" s="2" t="s">
        <v>144</v>
      </c>
      <c r="C51" s="2" t="s">
        <v>27</v>
      </c>
      <c r="D51" s="2" t="s">
        <v>115</v>
      </c>
      <c r="E51" s="2">
        <v>4</v>
      </c>
      <c r="F51" s="2">
        <v>2</v>
      </c>
      <c r="G51" s="2">
        <v>1106</v>
      </c>
      <c r="H51" s="2">
        <v>120</v>
      </c>
      <c r="I51" s="2">
        <v>13</v>
      </c>
      <c r="J51" s="2">
        <v>107</v>
      </c>
      <c r="K51" s="268">
        <v>0.89166666699999997</v>
      </c>
      <c r="L51" s="268">
        <v>200.625</v>
      </c>
    </row>
    <row r="52" spans="1:12" x14ac:dyDescent="0.25">
      <c r="A52" s="2">
        <v>540044</v>
      </c>
      <c r="B52" s="2" t="s">
        <v>145</v>
      </c>
      <c r="C52" s="2" t="s">
        <v>27</v>
      </c>
      <c r="D52" s="2" t="s">
        <v>115</v>
      </c>
      <c r="E52" s="2">
        <v>4</v>
      </c>
      <c r="F52" s="2">
        <v>2</v>
      </c>
      <c r="G52" s="2">
        <v>501</v>
      </c>
      <c r="H52" s="2">
        <v>105</v>
      </c>
      <c r="I52" s="2">
        <v>22</v>
      </c>
      <c r="J52" s="2">
        <v>83</v>
      </c>
      <c r="K52" s="268">
        <v>0.79047619000000002</v>
      </c>
      <c r="L52" s="268">
        <v>177.85714290000001</v>
      </c>
    </row>
    <row r="53" spans="1:12" x14ac:dyDescent="0.25">
      <c r="A53" s="2">
        <v>540045</v>
      </c>
      <c r="B53" s="2" t="s">
        <v>146</v>
      </c>
      <c r="C53" s="2" t="s">
        <v>27</v>
      </c>
      <c r="D53" s="2" t="s">
        <v>115</v>
      </c>
      <c r="E53" s="2">
        <v>4</v>
      </c>
      <c r="F53" s="2">
        <v>2</v>
      </c>
      <c r="G53" s="2">
        <v>1214</v>
      </c>
      <c r="H53" s="2">
        <v>186</v>
      </c>
      <c r="I53" s="2">
        <v>5</v>
      </c>
      <c r="J53" s="2">
        <v>181</v>
      </c>
      <c r="K53" s="268">
        <v>0.97311828</v>
      </c>
      <c r="L53" s="268">
        <v>218.95161289999999</v>
      </c>
    </row>
    <row r="54" spans="1:12" x14ac:dyDescent="0.25">
      <c r="A54" s="2">
        <v>540228</v>
      </c>
      <c r="B54" s="2" t="s">
        <v>278</v>
      </c>
      <c r="C54" s="2" t="s">
        <v>27</v>
      </c>
      <c r="D54" s="2" t="s">
        <v>115</v>
      </c>
      <c r="E54" s="2">
        <v>4</v>
      </c>
      <c r="F54" s="2">
        <v>2</v>
      </c>
      <c r="G54" s="2">
        <v>714</v>
      </c>
      <c r="H54" s="2">
        <v>66</v>
      </c>
      <c r="I54" s="2">
        <v>0</v>
      </c>
      <c r="J54" s="2">
        <v>66</v>
      </c>
      <c r="K54" s="268">
        <v>1</v>
      </c>
      <c r="L54" s="268">
        <v>225</v>
      </c>
    </row>
    <row r="55" spans="1:12" x14ac:dyDescent="0.25">
      <c r="A55" s="2">
        <v>540243</v>
      </c>
      <c r="B55" s="2" t="s">
        <v>290</v>
      </c>
      <c r="C55" s="2" t="s">
        <v>27</v>
      </c>
      <c r="D55" s="2" t="s">
        <v>115</v>
      </c>
      <c r="E55" s="2">
        <v>4</v>
      </c>
      <c r="F55" s="2">
        <v>2</v>
      </c>
      <c r="G55" s="2">
        <v>338</v>
      </c>
      <c r="H55" s="2">
        <v>28</v>
      </c>
      <c r="I55" s="2">
        <v>0</v>
      </c>
      <c r="J55" s="2">
        <v>28</v>
      </c>
      <c r="K55" s="268">
        <v>1</v>
      </c>
      <c r="L55" s="268">
        <v>225</v>
      </c>
    </row>
    <row r="56" spans="1:12" x14ac:dyDescent="0.25">
      <c r="A56" s="2">
        <v>540244</v>
      </c>
      <c r="B56" s="2" t="s">
        <v>291</v>
      </c>
      <c r="C56" s="2" t="s">
        <v>27</v>
      </c>
      <c r="D56" s="2" t="s">
        <v>115</v>
      </c>
      <c r="E56" s="2">
        <v>4</v>
      </c>
      <c r="F56" s="2">
        <v>2</v>
      </c>
      <c r="G56" s="2">
        <v>221</v>
      </c>
      <c r="H56" s="2">
        <v>1</v>
      </c>
      <c r="I56" s="2">
        <v>0</v>
      </c>
      <c r="J56" s="2">
        <v>1</v>
      </c>
      <c r="K56" s="268">
        <v>1</v>
      </c>
      <c r="L56" s="268">
        <v>225</v>
      </c>
    </row>
    <row r="57" spans="1:12" x14ac:dyDescent="0.25">
      <c r="A57" s="2">
        <v>540281</v>
      </c>
      <c r="B57" s="2" t="s">
        <v>322</v>
      </c>
      <c r="C57" s="2" t="s">
        <v>27</v>
      </c>
      <c r="D57" s="2" t="s">
        <v>115</v>
      </c>
      <c r="E57" s="2">
        <v>4</v>
      </c>
      <c r="F57" s="2">
        <v>2</v>
      </c>
      <c r="G57" s="2">
        <v>2437</v>
      </c>
      <c r="H57" s="2">
        <v>0</v>
      </c>
      <c r="I57" s="2">
        <v>0</v>
      </c>
      <c r="J57" s="2">
        <v>0</v>
      </c>
      <c r="K57" s="268" t="s">
        <v>488</v>
      </c>
      <c r="L57" s="268" t="s">
        <v>488</v>
      </c>
    </row>
    <row r="58" spans="1:12" x14ac:dyDescent="0.25">
      <c r="A58" s="255"/>
      <c r="B58" s="255"/>
      <c r="C58" s="255" t="s">
        <v>27</v>
      </c>
      <c r="D58" s="255"/>
      <c r="E58" s="255"/>
      <c r="F58" s="255"/>
      <c r="G58" s="255">
        <v>655199</v>
      </c>
      <c r="H58" s="255">
        <v>17565</v>
      </c>
      <c r="I58" s="255">
        <v>1399</v>
      </c>
      <c r="J58" s="255">
        <v>16166</v>
      </c>
      <c r="K58" s="274">
        <v>0.92035297500000002</v>
      </c>
      <c r="L58" s="274">
        <v>207.07941930000001</v>
      </c>
    </row>
    <row r="59" spans="1:12" x14ac:dyDescent="0.25">
      <c r="A59" s="2">
        <v>540047</v>
      </c>
      <c r="B59" s="2" t="s">
        <v>28</v>
      </c>
      <c r="C59" s="2" t="s">
        <v>29</v>
      </c>
      <c r="D59" s="2" t="s">
        <v>5</v>
      </c>
      <c r="E59" s="2">
        <v>11</v>
      </c>
      <c r="F59" s="2">
        <v>2</v>
      </c>
      <c r="G59" s="2">
        <v>46787</v>
      </c>
      <c r="H59" s="2">
        <v>634</v>
      </c>
      <c r="I59" s="2">
        <v>8</v>
      </c>
      <c r="J59" s="2">
        <v>626</v>
      </c>
      <c r="K59" s="268">
        <v>0.98738170300000005</v>
      </c>
      <c r="L59" s="268">
        <v>222.16088329999999</v>
      </c>
    </row>
    <row r="60" spans="1:12" x14ac:dyDescent="0.25">
      <c r="A60" s="2">
        <v>540014</v>
      </c>
      <c r="B60" s="2" t="s">
        <v>124</v>
      </c>
      <c r="C60" s="2" t="s">
        <v>29</v>
      </c>
      <c r="D60" s="2" t="s">
        <v>115</v>
      </c>
      <c r="E60" s="2">
        <v>11</v>
      </c>
      <c r="F60" s="2">
        <v>2</v>
      </c>
      <c r="G60" s="2">
        <v>7775</v>
      </c>
      <c r="H60" s="2">
        <v>290</v>
      </c>
      <c r="I60" s="2">
        <v>7</v>
      </c>
      <c r="J60" s="2">
        <v>283</v>
      </c>
      <c r="K60" s="268">
        <v>0.97586206900000005</v>
      </c>
      <c r="L60" s="268">
        <v>219.56896549999999</v>
      </c>
    </row>
    <row r="61" spans="1:12" x14ac:dyDescent="0.25">
      <c r="A61" s="2">
        <v>540048</v>
      </c>
      <c r="B61" s="2" t="s">
        <v>148</v>
      </c>
      <c r="C61" s="2" t="s">
        <v>29</v>
      </c>
      <c r="D61" s="2" t="s">
        <v>115</v>
      </c>
      <c r="E61" s="2">
        <v>11</v>
      </c>
      <c r="F61" s="2">
        <v>2</v>
      </c>
      <c r="G61" s="2">
        <v>639</v>
      </c>
      <c r="H61" s="2">
        <v>39</v>
      </c>
      <c r="I61" s="2">
        <v>12</v>
      </c>
      <c r="J61" s="2">
        <v>27</v>
      </c>
      <c r="K61" s="268">
        <v>0.69230769199999997</v>
      </c>
      <c r="L61" s="268">
        <v>155.7692308</v>
      </c>
    </row>
    <row r="62" spans="1:12" x14ac:dyDescent="0.25">
      <c r="A62" s="2">
        <v>540049</v>
      </c>
      <c r="B62" s="2" t="s">
        <v>149</v>
      </c>
      <c r="C62" s="2" t="s">
        <v>29</v>
      </c>
      <c r="D62" s="2" t="s">
        <v>115</v>
      </c>
      <c r="E62" s="2">
        <v>11</v>
      </c>
      <c r="F62" s="2">
        <v>2</v>
      </c>
      <c r="G62" s="2">
        <v>1189</v>
      </c>
      <c r="H62" s="2">
        <v>147</v>
      </c>
      <c r="I62" s="2">
        <v>6</v>
      </c>
      <c r="J62" s="2">
        <v>141</v>
      </c>
      <c r="K62" s="268">
        <v>0.95918367299999996</v>
      </c>
      <c r="L62" s="268">
        <v>215.8163265</v>
      </c>
    </row>
    <row r="63" spans="1:12" x14ac:dyDescent="0.25">
      <c r="A63" s="255"/>
      <c r="B63" s="255"/>
      <c r="C63" s="255" t="s">
        <v>29</v>
      </c>
      <c r="D63" s="255"/>
      <c r="E63" s="255"/>
      <c r="F63" s="255"/>
      <c r="G63" s="255">
        <v>56390</v>
      </c>
      <c r="H63" s="255">
        <v>1110</v>
      </c>
      <c r="I63" s="255">
        <v>33</v>
      </c>
      <c r="J63" s="255">
        <v>1077</v>
      </c>
      <c r="K63" s="274">
        <v>0.97027026999999999</v>
      </c>
      <c r="L63" s="274">
        <v>218.31081080000001</v>
      </c>
    </row>
    <row r="64" spans="1:12" x14ac:dyDescent="0.25">
      <c r="A64" s="2">
        <v>540051</v>
      </c>
      <c r="B64" s="2" t="s">
        <v>30</v>
      </c>
      <c r="C64" s="2" t="s">
        <v>31</v>
      </c>
      <c r="D64" s="2" t="s">
        <v>5</v>
      </c>
      <c r="E64" s="2">
        <v>8</v>
      </c>
      <c r="F64" s="2">
        <v>2</v>
      </c>
      <c r="G64" s="2">
        <v>372059</v>
      </c>
      <c r="H64" s="2">
        <v>15725</v>
      </c>
      <c r="I64" s="2">
        <v>337</v>
      </c>
      <c r="J64" s="2">
        <v>15388</v>
      </c>
      <c r="K64" s="268">
        <v>0.97856915700000002</v>
      </c>
      <c r="L64" s="268">
        <v>220.17806039999999</v>
      </c>
    </row>
    <row r="65" spans="1:12" x14ac:dyDescent="0.25">
      <c r="A65" s="2">
        <v>540052</v>
      </c>
      <c r="B65" s="2" t="s">
        <v>151</v>
      </c>
      <c r="C65" s="2" t="s">
        <v>31</v>
      </c>
      <c r="D65" s="2" t="s">
        <v>115</v>
      </c>
      <c r="E65" s="2">
        <v>8</v>
      </c>
      <c r="F65" s="2">
        <v>2</v>
      </c>
      <c r="G65" s="2">
        <v>1784</v>
      </c>
      <c r="H65" s="2">
        <v>445</v>
      </c>
      <c r="I65" s="2">
        <v>6</v>
      </c>
      <c r="J65" s="2">
        <v>439</v>
      </c>
      <c r="K65" s="268">
        <v>0.986516854</v>
      </c>
      <c r="L65" s="268">
        <v>221.9662921</v>
      </c>
    </row>
    <row r="66" spans="1:12" x14ac:dyDescent="0.25">
      <c r="A66" s="2">
        <v>540245</v>
      </c>
      <c r="B66" s="2" t="s">
        <v>292</v>
      </c>
      <c r="C66" s="2" t="s">
        <v>31</v>
      </c>
      <c r="D66" s="2" t="s">
        <v>115</v>
      </c>
      <c r="E66" s="2">
        <v>8</v>
      </c>
      <c r="F66" s="2">
        <v>2</v>
      </c>
      <c r="G66" s="2">
        <v>212</v>
      </c>
      <c r="H66" s="2">
        <v>9</v>
      </c>
      <c r="I66" s="2">
        <v>0</v>
      </c>
      <c r="J66" s="2">
        <v>9</v>
      </c>
      <c r="K66" s="268">
        <v>1</v>
      </c>
      <c r="L66" s="268">
        <v>225</v>
      </c>
    </row>
    <row r="67" spans="1:12" x14ac:dyDescent="0.25">
      <c r="A67" s="255"/>
      <c r="B67" s="255"/>
      <c r="C67" s="255" t="s">
        <v>31</v>
      </c>
      <c r="D67" s="255"/>
      <c r="E67" s="255"/>
      <c r="F67" s="255"/>
      <c r="G67" s="255">
        <v>374055</v>
      </c>
      <c r="H67" s="255">
        <v>16179</v>
      </c>
      <c r="I67" s="255">
        <v>343</v>
      </c>
      <c r="J67" s="255">
        <v>15836</v>
      </c>
      <c r="K67" s="274">
        <v>0.97879967899999998</v>
      </c>
      <c r="L67" s="274">
        <v>220.22992769999999</v>
      </c>
    </row>
    <row r="68" spans="1:12" x14ac:dyDescent="0.25">
      <c r="A68" s="2">
        <v>540053</v>
      </c>
      <c r="B68" s="2" t="s">
        <v>32</v>
      </c>
      <c r="C68" s="2" t="s">
        <v>33</v>
      </c>
      <c r="D68" s="2" t="s">
        <v>5</v>
      </c>
      <c r="E68" s="2">
        <v>6</v>
      </c>
      <c r="F68" s="2">
        <v>2</v>
      </c>
      <c r="G68" s="2">
        <v>248423</v>
      </c>
      <c r="H68" s="2">
        <v>5497</v>
      </c>
      <c r="I68" s="2">
        <v>44</v>
      </c>
      <c r="J68" s="2">
        <v>5453</v>
      </c>
      <c r="K68" s="268">
        <v>0.99199563400000002</v>
      </c>
      <c r="L68" s="268">
        <v>223.19901759999999</v>
      </c>
    </row>
    <row r="69" spans="1:12" x14ac:dyDescent="0.25">
      <c r="A69" s="2">
        <v>540054</v>
      </c>
      <c r="B69" s="2" t="s">
        <v>152</v>
      </c>
      <c r="C69" s="2" t="s">
        <v>33</v>
      </c>
      <c r="D69" s="2" t="s">
        <v>115</v>
      </c>
      <c r="E69" s="2">
        <v>6</v>
      </c>
      <c r="F69" s="2">
        <v>2</v>
      </c>
      <c r="G69" s="2">
        <v>676</v>
      </c>
      <c r="H69" s="2">
        <v>15</v>
      </c>
      <c r="I69" s="2">
        <v>0</v>
      </c>
      <c r="J69" s="2">
        <v>15</v>
      </c>
      <c r="K69" s="268">
        <v>1</v>
      </c>
      <c r="L69" s="268">
        <v>225</v>
      </c>
    </row>
    <row r="70" spans="1:12" x14ac:dyDescent="0.25">
      <c r="A70" s="2">
        <v>540055</v>
      </c>
      <c r="B70" s="2" t="s">
        <v>153</v>
      </c>
      <c r="C70" s="2" t="s">
        <v>33</v>
      </c>
      <c r="D70" s="2" t="s">
        <v>115</v>
      </c>
      <c r="E70" s="2">
        <v>6</v>
      </c>
      <c r="F70" s="2">
        <v>2</v>
      </c>
      <c r="G70" s="2">
        <v>6899</v>
      </c>
      <c r="H70" s="2">
        <v>175</v>
      </c>
      <c r="I70" s="2">
        <v>16</v>
      </c>
      <c r="J70" s="2">
        <v>159</v>
      </c>
      <c r="K70" s="268">
        <v>0.90857142899999999</v>
      </c>
      <c r="L70" s="268">
        <v>204.42857140000001</v>
      </c>
    </row>
    <row r="71" spans="1:12" x14ac:dyDescent="0.25">
      <c r="A71" s="2">
        <v>540056</v>
      </c>
      <c r="B71" s="2" t="s">
        <v>154</v>
      </c>
      <c r="C71" s="2" t="s">
        <v>33</v>
      </c>
      <c r="D71" s="2" t="s">
        <v>115</v>
      </c>
      <c r="E71" s="2">
        <v>6</v>
      </c>
      <c r="F71" s="2">
        <v>2</v>
      </c>
      <c r="G71" s="2">
        <v>6225</v>
      </c>
      <c r="H71" s="2">
        <v>181</v>
      </c>
      <c r="I71" s="2">
        <v>12</v>
      </c>
      <c r="J71" s="2">
        <v>169</v>
      </c>
      <c r="K71" s="268">
        <v>0.93370165699999996</v>
      </c>
      <c r="L71" s="268">
        <v>210.08287290000001</v>
      </c>
    </row>
    <row r="72" spans="1:12" x14ac:dyDescent="0.25">
      <c r="A72" s="2">
        <v>540057</v>
      </c>
      <c r="B72" s="2" t="s">
        <v>155</v>
      </c>
      <c r="C72" s="2" t="s">
        <v>33</v>
      </c>
      <c r="D72" s="2" t="s">
        <v>115</v>
      </c>
      <c r="E72" s="2">
        <v>6</v>
      </c>
      <c r="F72" s="2">
        <v>2</v>
      </c>
      <c r="G72" s="2">
        <v>621</v>
      </c>
      <c r="H72" s="2">
        <v>115</v>
      </c>
      <c r="I72" s="2">
        <v>1</v>
      </c>
      <c r="J72" s="2">
        <v>114</v>
      </c>
      <c r="K72" s="268">
        <v>0.991304348</v>
      </c>
      <c r="L72" s="268">
        <v>223.0434783</v>
      </c>
    </row>
    <row r="73" spans="1:12" x14ac:dyDescent="0.25">
      <c r="A73" s="2">
        <v>540058</v>
      </c>
      <c r="B73" s="2" t="s">
        <v>156</v>
      </c>
      <c r="C73" s="2" t="s">
        <v>33</v>
      </c>
      <c r="D73" s="2" t="s">
        <v>115</v>
      </c>
      <c r="E73" s="2">
        <v>6</v>
      </c>
      <c r="F73" s="2">
        <v>2</v>
      </c>
      <c r="G73" s="2">
        <v>322</v>
      </c>
      <c r="H73" s="2">
        <v>48</v>
      </c>
      <c r="I73" s="2">
        <v>1</v>
      </c>
      <c r="J73" s="2">
        <v>47</v>
      </c>
      <c r="K73" s="268">
        <v>0.97916666699999999</v>
      </c>
      <c r="L73" s="268">
        <v>220.3125</v>
      </c>
    </row>
    <row r="74" spans="1:12" x14ac:dyDescent="0.25">
      <c r="A74" s="2">
        <v>540059</v>
      </c>
      <c r="B74" s="2" t="s">
        <v>157</v>
      </c>
      <c r="C74" s="2" t="s">
        <v>33</v>
      </c>
      <c r="D74" s="2" t="s">
        <v>115</v>
      </c>
      <c r="E74" s="2">
        <v>6</v>
      </c>
      <c r="F74" s="2">
        <v>2</v>
      </c>
      <c r="G74" s="2">
        <v>569</v>
      </c>
      <c r="H74" s="2">
        <v>36</v>
      </c>
      <c r="I74" s="2">
        <v>21</v>
      </c>
      <c r="J74" s="2">
        <v>15</v>
      </c>
      <c r="K74" s="268">
        <v>0.41666666699999999</v>
      </c>
      <c r="L74" s="268">
        <v>93.75</v>
      </c>
    </row>
    <row r="75" spans="1:12" x14ac:dyDescent="0.25">
      <c r="A75" s="2">
        <v>540060</v>
      </c>
      <c r="B75" s="2" t="s">
        <v>158</v>
      </c>
      <c r="C75" s="2" t="s">
        <v>33</v>
      </c>
      <c r="D75" s="2" t="s">
        <v>115</v>
      </c>
      <c r="E75" s="2">
        <v>6</v>
      </c>
      <c r="F75" s="2">
        <v>2</v>
      </c>
      <c r="G75" s="2">
        <v>1070</v>
      </c>
      <c r="H75" s="2">
        <v>67</v>
      </c>
      <c r="I75" s="2">
        <v>2</v>
      </c>
      <c r="J75" s="2">
        <v>65</v>
      </c>
      <c r="K75" s="268">
        <v>0.97014925399999996</v>
      </c>
      <c r="L75" s="268">
        <v>218.28358209999999</v>
      </c>
    </row>
    <row r="76" spans="1:12" x14ac:dyDescent="0.25">
      <c r="A76" s="2">
        <v>540061</v>
      </c>
      <c r="B76" s="2" t="s">
        <v>159</v>
      </c>
      <c r="C76" s="2" t="s">
        <v>33</v>
      </c>
      <c r="D76" s="2" t="s">
        <v>115</v>
      </c>
      <c r="E76" s="2">
        <v>6</v>
      </c>
      <c r="F76" s="2">
        <v>2</v>
      </c>
      <c r="G76" s="2">
        <v>545</v>
      </c>
      <c r="H76" s="2">
        <v>13</v>
      </c>
      <c r="I76" s="2">
        <v>0</v>
      </c>
      <c r="J76" s="2">
        <v>13</v>
      </c>
      <c r="K76" s="268">
        <v>1</v>
      </c>
      <c r="L76" s="268">
        <v>225</v>
      </c>
    </row>
    <row r="77" spans="1:12" x14ac:dyDescent="0.25">
      <c r="A77" s="2">
        <v>540062</v>
      </c>
      <c r="B77" s="2" t="s">
        <v>160</v>
      </c>
      <c r="C77" s="2" t="s">
        <v>33</v>
      </c>
      <c r="D77" s="2" t="s">
        <v>115</v>
      </c>
      <c r="E77" s="2">
        <v>6</v>
      </c>
      <c r="F77" s="2">
        <v>2</v>
      </c>
      <c r="G77" s="2">
        <v>340</v>
      </c>
      <c r="H77" s="2">
        <v>5</v>
      </c>
      <c r="I77" s="2">
        <v>0</v>
      </c>
      <c r="J77" s="2">
        <v>5</v>
      </c>
      <c r="K77" s="268">
        <v>1</v>
      </c>
      <c r="L77" s="268">
        <v>225</v>
      </c>
    </row>
    <row r="78" spans="1:12" x14ac:dyDescent="0.25">
      <c r="A78" s="2">
        <v>540242</v>
      </c>
      <c r="B78" s="2" t="s">
        <v>289</v>
      </c>
      <c r="C78" s="2" t="s">
        <v>33</v>
      </c>
      <c r="D78" s="2" t="s">
        <v>115</v>
      </c>
      <c r="E78" s="2">
        <v>6</v>
      </c>
      <c r="F78" s="2">
        <v>2</v>
      </c>
      <c r="G78" s="2">
        <v>854</v>
      </c>
      <c r="H78" s="2">
        <v>45</v>
      </c>
      <c r="I78" s="2">
        <v>0</v>
      </c>
      <c r="J78" s="2">
        <v>45</v>
      </c>
      <c r="K78" s="268">
        <v>1</v>
      </c>
      <c r="L78" s="268">
        <v>225</v>
      </c>
    </row>
    <row r="79" spans="1:12" x14ac:dyDescent="0.25">
      <c r="A79" s="255"/>
      <c r="B79" s="255"/>
      <c r="C79" s="255" t="s">
        <v>33</v>
      </c>
      <c r="D79" s="255"/>
      <c r="E79" s="255"/>
      <c r="F79" s="255"/>
      <c r="G79" s="255">
        <v>266544</v>
      </c>
      <c r="H79" s="255">
        <v>6197</v>
      </c>
      <c r="I79" s="255">
        <v>97</v>
      </c>
      <c r="J79" s="255">
        <v>6100</v>
      </c>
      <c r="K79" s="274">
        <v>0.98434726500000003</v>
      </c>
      <c r="L79" s="274">
        <v>221.4781346</v>
      </c>
    </row>
    <row r="80" spans="1:12" x14ac:dyDescent="0.25">
      <c r="A80" s="2">
        <v>540063</v>
      </c>
      <c r="B80" s="2" t="s">
        <v>34</v>
      </c>
      <c r="C80" s="2" t="s">
        <v>35</v>
      </c>
      <c r="D80" s="2" t="s">
        <v>5</v>
      </c>
      <c r="E80" s="2">
        <v>5</v>
      </c>
      <c r="F80" s="2">
        <v>2</v>
      </c>
      <c r="G80" s="2">
        <v>298304</v>
      </c>
      <c r="H80" s="2">
        <v>13430</v>
      </c>
      <c r="I80" s="2">
        <v>668</v>
      </c>
      <c r="J80" s="2">
        <v>12762</v>
      </c>
      <c r="K80" s="268">
        <v>0.95026061100000003</v>
      </c>
      <c r="L80" s="268">
        <v>213.80863740000001</v>
      </c>
    </row>
    <row r="81" spans="1:12" x14ac:dyDescent="0.25">
      <c r="A81" s="2">
        <v>540064</v>
      </c>
      <c r="B81" s="2" t="s">
        <v>161</v>
      </c>
      <c r="C81" s="2" t="s">
        <v>35</v>
      </c>
      <c r="D81" s="2" t="s">
        <v>115</v>
      </c>
      <c r="E81" s="2">
        <v>5</v>
      </c>
      <c r="F81" s="2">
        <v>2</v>
      </c>
      <c r="G81" s="2">
        <v>2101</v>
      </c>
      <c r="H81" s="2">
        <v>135</v>
      </c>
      <c r="I81" s="2">
        <v>1</v>
      </c>
      <c r="J81" s="2">
        <v>134</v>
      </c>
      <c r="K81" s="268">
        <v>0.99259259300000002</v>
      </c>
      <c r="L81" s="268">
        <v>223.33333329999999</v>
      </c>
    </row>
    <row r="82" spans="1:12" x14ac:dyDescent="0.25">
      <c r="A82" s="2">
        <v>540241</v>
      </c>
      <c r="B82" s="2" t="s">
        <v>288</v>
      </c>
      <c r="C82" s="2" t="s">
        <v>35</v>
      </c>
      <c r="D82" s="2" t="s">
        <v>115</v>
      </c>
      <c r="E82" s="2">
        <v>5</v>
      </c>
      <c r="F82" s="2">
        <v>2</v>
      </c>
      <c r="G82" s="2">
        <v>1208</v>
      </c>
      <c r="H82" s="2">
        <v>207</v>
      </c>
      <c r="I82" s="2">
        <v>18</v>
      </c>
      <c r="J82" s="2">
        <v>189</v>
      </c>
      <c r="K82" s="268">
        <v>0.91304347799999996</v>
      </c>
      <c r="L82" s="268">
        <v>205.43478260000001</v>
      </c>
    </row>
    <row r="83" spans="1:12" x14ac:dyDescent="0.25">
      <c r="A83" s="255"/>
      <c r="B83" s="255"/>
      <c r="C83" s="255" t="s">
        <v>35</v>
      </c>
      <c r="D83" s="255"/>
      <c r="E83" s="255"/>
      <c r="F83" s="255"/>
      <c r="G83" s="255">
        <v>301613</v>
      </c>
      <c r="H83" s="255">
        <v>13772</v>
      </c>
      <c r="I83" s="255">
        <v>687</v>
      </c>
      <c r="J83" s="255">
        <v>13085</v>
      </c>
      <c r="K83" s="274">
        <v>0.95011617800000003</v>
      </c>
      <c r="L83" s="274">
        <v>213.77614</v>
      </c>
    </row>
    <row r="84" spans="1:12" x14ac:dyDescent="0.25">
      <c r="A84" s="2">
        <v>540065</v>
      </c>
      <c r="B84" s="2" t="s">
        <v>36</v>
      </c>
      <c r="C84" s="2" t="s">
        <v>37</v>
      </c>
      <c r="D84" s="2" t="s">
        <v>5</v>
      </c>
      <c r="E84" s="2">
        <v>9</v>
      </c>
      <c r="F84" s="2">
        <v>3</v>
      </c>
      <c r="G84" s="2">
        <v>125719</v>
      </c>
      <c r="H84" s="2">
        <v>6241</v>
      </c>
      <c r="I84" s="2">
        <v>92</v>
      </c>
      <c r="J84" s="2">
        <v>6149</v>
      </c>
      <c r="K84" s="268">
        <v>0.98525877299999998</v>
      </c>
      <c r="L84" s="268">
        <v>221.68322380000001</v>
      </c>
    </row>
    <row r="85" spans="1:12" x14ac:dyDescent="0.25">
      <c r="A85" s="2">
        <v>540030</v>
      </c>
      <c r="B85" s="2" t="s">
        <v>135</v>
      </c>
      <c r="C85" s="2" t="s">
        <v>37</v>
      </c>
      <c r="D85" s="2" t="s">
        <v>115</v>
      </c>
      <c r="E85" s="2">
        <v>9</v>
      </c>
      <c r="F85" s="2">
        <v>2</v>
      </c>
      <c r="G85" s="2">
        <v>278</v>
      </c>
      <c r="H85" s="2">
        <v>1</v>
      </c>
      <c r="I85" s="2">
        <v>0</v>
      </c>
      <c r="J85" s="2">
        <v>1</v>
      </c>
      <c r="K85" s="268">
        <v>1</v>
      </c>
      <c r="L85" s="268">
        <v>225</v>
      </c>
    </row>
    <row r="86" spans="1:12" x14ac:dyDescent="0.25">
      <c r="A86" s="2">
        <v>540066</v>
      </c>
      <c r="B86" s="2" t="s">
        <v>162</v>
      </c>
      <c r="C86" s="2" t="s">
        <v>37</v>
      </c>
      <c r="D86" s="2" t="s">
        <v>115</v>
      </c>
      <c r="E86" s="2">
        <v>9</v>
      </c>
      <c r="F86" s="2">
        <v>2</v>
      </c>
      <c r="G86" s="2">
        <v>3744</v>
      </c>
      <c r="H86" s="2">
        <v>184</v>
      </c>
      <c r="I86" s="2">
        <v>24</v>
      </c>
      <c r="J86" s="2">
        <v>160</v>
      </c>
      <c r="K86" s="268">
        <v>0.869565217</v>
      </c>
      <c r="L86" s="268">
        <v>195.65217390000001</v>
      </c>
    </row>
    <row r="87" spans="1:12" x14ac:dyDescent="0.25">
      <c r="A87" s="2">
        <v>540067</v>
      </c>
      <c r="B87" s="2" t="s">
        <v>163</v>
      </c>
      <c r="C87" s="2" t="s">
        <v>37</v>
      </c>
      <c r="D87" s="2" t="s">
        <v>115</v>
      </c>
      <c r="E87" s="2">
        <v>9</v>
      </c>
      <c r="F87" s="2">
        <v>2</v>
      </c>
      <c r="G87" s="2">
        <v>400</v>
      </c>
      <c r="H87" s="2">
        <v>24</v>
      </c>
      <c r="I87" s="2">
        <v>1</v>
      </c>
      <c r="J87" s="2">
        <v>23</v>
      </c>
      <c r="K87" s="268">
        <v>0.95833333300000001</v>
      </c>
      <c r="L87" s="268">
        <v>215.625</v>
      </c>
    </row>
    <row r="88" spans="1:12" x14ac:dyDescent="0.25">
      <c r="A88" s="2">
        <v>540068</v>
      </c>
      <c r="B88" s="2" t="s">
        <v>164</v>
      </c>
      <c r="C88" s="2" t="s">
        <v>37</v>
      </c>
      <c r="D88" s="2" t="s">
        <v>115</v>
      </c>
      <c r="E88" s="2">
        <v>9</v>
      </c>
      <c r="F88" s="2">
        <v>2</v>
      </c>
      <c r="G88" s="2">
        <v>5185</v>
      </c>
      <c r="H88" s="2">
        <v>176</v>
      </c>
      <c r="I88" s="2">
        <v>14</v>
      </c>
      <c r="J88" s="2">
        <v>162</v>
      </c>
      <c r="K88" s="268">
        <v>0.92045454500000001</v>
      </c>
      <c r="L88" s="268">
        <v>207.10227269999999</v>
      </c>
    </row>
    <row r="89" spans="1:12" x14ac:dyDescent="0.25">
      <c r="A89" s="2">
        <v>540069</v>
      </c>
      <c r="B89" s="2" t="s">
        <v>165</v>
      </c>
      <c r="C89" s="2" t="s">
        <v>37</v>
      </c>
      <c r="D89" s="2" t="s">
        <v>115</v>
      </c>
      <c r="E89" s="2">
        <v>9</v>
      </c>
      <c r="F89" s="2">
        <v>2</v>
      </c>
      <c r="G89" s="2">
        <v>240</v>
      </c>
      <c r="H89" s="2">
        <v>21</v>
      </c>
      <c r="I89" s="2">
        <v>0</v>
      </c>
      <c r="J89" s="2">
        <v>21</v>
      </c>
      <c r="K89" s="268">
        <v>1</v>
      </c>
      <c r="L89" s="268">
        <v>225</v>
      </c>
    </row>
    <row r="90" spans="1:12" x14ac:dyDescent="0.25">
      <c r="A90" s="255"/>
      <c r="B90" s="255"/>
      <c r="C90" s="255" t="s">
        <v>37</v>
      </c>
      <c r="D90" s="255"/>
      <c r="E90" s="255"/>
      <c r="F90" s="255"/>
      <c r="G90" s="255">
        <v>135566</v>
      </c>
      <c r="H90" s="255">
        <v>6647</v>
      </c>
      <c r="I90" s="255">
        <v>131</v>
      </c>
      <c r="J90" s="255">
        <v>6516</v>
      </c>
      <c r="K90" s="274">
        <v>0.98029186099999999</v>
      </c>
      <c r="L90" s="274">
        <v>220.5656687</v>
      </c>
    </row>
    <row r="91" spans="1:12" x14ac:dyDescent="0.25">
      <c r="A91" s="2">
        <v>540070</v>
      </c>
      <c r="B91" s="2" t="s">
        <v>38</v>
      </c>
      <c r="C91" s="2" t="s">
        <v>39</v>
      </c>
      <c r="D91" s="2" t="s">
        <v>5</v>
      </c>
      <c r="E91" s="2">
        <v>3</v>
      </c>
      <c r="F91" s="2">
        <v>2</v>
      </c>
      <c r="G91" s="2">
        <v>543863</v>
      </c>
      <c r="H91" s="2">
        <v>13813</v>
      </c>
      <c r="I91" s="2">
        <v>481</v>
      </c>
      <c r="J91" s="2">
        <v>13332</v>
      </c>
      <c r="K91" s="268">
        <v>0.96517773100000004</v>
      </c>
      <c r="L91" s="268">
        <v>217.16498949999999</v>
      </c>
    </row>
    <row r="92" spans="1:12" x14ac:dyDescent="0.25">
      <c r="A92" s="2">
        <v>540029</v>
      </c>
      <c r="B92" s="2" t="s">
        <v>134</v>
      </c>
      <c r="C92" s="2" t="s">
        <v>39</v>
      </c>
      <c r="D92" s="2" t="s">
        <v>115</v>
      </c>
      <c r="E92" s="2">
        <v>3</v>
      </c>
      <c r="F92" s="2">
        <v>2</v>
      </c>
      <c r="G92" s="2">
        <v>239</v>
      </c>
      <c r="H92" s="2">
        <v>13</v>
      </c>
      <c r="I92" s="2">
        <v>0</v>
      </c>
      <c r="J92" s="2">
        <v>13</v>
      </c>
      <c r="K92" s="268">
        <v>1</v>
      </c>
      <c r="L92" s="268">
        <v>225</v>
      </c>
    </row>
    <row r="93" spans="1:12" x14ac:dyDescent="0.25">
      <c r="A93" s="2">
        <v>540071</v>
      </c>
      <c r="B93" s="2" t="s">
        <v>166</v>
      </c>
      <c r="C93" s="2" t="s">
        <v>39</v>
      </c>
      <c r="D93" s="2" t="s">
        <v>115</v>
      </c>
      <c r="E93" s="2">
        <v>3</v>
      </c>
      <c r="F93" s="2">
        <v>2</v>
      </c>
      <c r="G93" s="2">
        <v>500</v>
      </c>
      <c r="H93" s="2">
        <v>18</v>
      </c>
      <c r="I93" s="2">
        <v>0</v>
      </c>
      <c r="J93" s="2">
        <v>18</v>
      </c>
      <c r="K93" s="268">
        <v>1</v>
      </c>
      <c r="L93" s="268">
        <v>225</v>
      </c>
    </row>
    <row r="94" spans="1:12" x14ac:dyDescent="0.25">
      <c r="A94" s="2">
        <v>540072</v>
      </c>
      <c r="B94" s="2" t="s">
        <v>167</v>
      </c>
      <c r="C94" s="2" t="s">
        <v>39</v>
      </c>
      <c r="D94" s="2" t="s">
        <v>115</v>
      </c>
      <c r="E94" s="2">
        <v>3</v>
      </c>
      <c r="F94" s="2">
        <v>2</v>
      </c>
      <c r="G94" s="2">
        <v>459</v>
      </c>
      <c r="H94" s="2">
        <v>34</v>
      </c>
      <c r="I94" s="2">
        <v>0</v>
      </c>
      <c r="J94" s="2">
        <v>34</v>
      </c>
      <c r="K94" s="268">
        <v>1</v>
      </c>
      <c r="L94" s="268">
        <v>225</v>
      </c>
    </row>
    <row r="95" spans="1:12" x14ac:dyDescent="0.25">
      <c r="A95" s="2">
        <v>540073</v>
      </c>
      <c r="B95" s="2" t="s">
        <v>168</v>
      </c>
      <c r="C95" s="2" t="s">
        <v>39</v>
      </c>
      <c r="D95" s="2" t="s">
        <v>115</v>
      </c>
      <c r="E95" s="2">
        <v>3</v>
      </c>
      <c r="F95" s="2">
        <v>2</v>
      </c>
      <c r="G95" s="2">
        <v>20875</v>
      </c>
      <c r="H95" s="2">
        <v>763</v>
      </c>
      <c r="I95" s="2">
        <v>11</v>
      </c>
      <c r="J95" s="2">
        <v>752</v>
      </c>
      <c r="K95" s="268">
        <v>0.98558322399999998</v>
      </c>
      <c r="L95" s="268">
        <v>221.75622540000001</v>
      </c>
    </row>
    <row r="96" spans="1:12" x14ac:dyDescent="0.25">
      <c r="A96" s="2">
        <v>540074</v>
      </c>
      <c r="B96" s="2" t="s">
        <v>169</v>
      </c>
      <c r="C96" s="2" t="s">
        <v>39</v>
      </c>
      <c r="D96" s="2" t="s">
        <v>115</v>
      </c>
      <c r="E96" s="2">
        <v>3</v>
      </c>
      <c r="F96" s="2">
        <v>2</v>
      </c>
      <c r="G96" s="2">
        <v>411</v>
      </c>
      <c r="H96" s="2">
        <v>39</v>
      </c>
      <c r="I96" s="2">
        <v>0</v>
      </c>
      <c r="J96" s="2">
        <v>39</v>
      </c>
      <c r="K96" s="268">
        <v>1</v>
      </c>
      <c r="L96" s="268">
        <v>225</v>
      </c>
    </row>
    <row r="97" spans="1:12" x14ac:dyDescent="0.25">
      <c r="A97" s="2">
        <v>540075</v>
      </c>
      <c r="B97" s="2" t="s">
        <v>170</v>
      </c>
      <c r="C97" s="2" t="s">
        <v>39</v>
      </c>
      <c r="D97" s="2" t="s">
        <v>115</v>
      </c>
      <c r="E97" s="2">
        <v>3</v>
      </c>
      <c r="F97" s="2">
        <v>2</v>
      </c>
      <c r="G97" s="2">
        <v>974</v>
      </c>
      <c r="H97" s="2">
        <v>131</v>
      </c>
      <c r="I97" s="2">
        <v>1</v>
      </c>
      <c r="J97" s="2">
        <v>130</v>
      </c>
      <c r="K97" s="268">
        <v>0.99236641199999998</v>
      </c>
      <c r="L97" s="268">
        <v>223.28244269999999</v>
      </c>
    </row>
    <row r="98" spans="1:12" x14ac:dyDescent="0.25">
      <c r="A98" s="2">
        <v>540076</v>
      </c>
      <c r="B98" s="2" t="s">
        <v>171</v>
      </c>
      <c r="C98" s="2" t="s">
        <v>39</v>
      </c>
      <c r="D98" s="2" t="s">
        <v>115</v>
      </c>
      <c r="E98" s="2">
        <v>3</v>
      </c>
      <c r="F98" s="2">
        <v>2</v>
      </c>
      <c r="G98" s="2">
        <v>1795</v>
      </c>
      <c r="H98" s="2">
        <v>291</v>
      </c>
      <c r="I98" s="2">
        <v>1</v>
      </c>
      <c r="J98" s="2">
        <v>290</v>
      </c>
      <c r="K98" s="268">
        <v>0.99656357399999995</v>
      </c>
      <c r="L98" s="268">
        <v>224.22680410000001</v>
      </c>
    </row>
    <row r="99" spans="1:12" x14ac:dyDescent="0.25">
      <c r="A99" s="2">
        <v>540077</v>
      </c>
      <c r="B99" s="2" t="s">
        <v>172</v>
      </c>
      <c r="C99" s="2" t="s">
        <v>39</v>
      </c>
      <c r="D99" s="2" t="s">
        <v>115</v>
      </c>
      <c r="E99" s="2">
        <v>3</v>
      </c>
      <c r="F99" s="2">
        <v>2</v>
      </c>
      <c r="G99" s="2">
        <v>309</v>
      </c>
      <c r="H99" s="2">
        <v>35</v>
      </c>
      <c r="I99" s="2">
        <v>3</v>
      </c>
      <c r="J99" s="2">
        <v>32</v>
      </c>
      <c r="K99" s="268">
        <v>0.91428571400000003</v>
      </c>
      <c r="L99" s="268">
        <v>205.7142857</v>
      </c>
    </row>
    <row r="100" spans="1:12" x14ac:dyDescent="0.25">
      <c r="A100" s="2">
        <v>540078</v>
      </c>
      <c r="B100" s="2" t="s">
        <v>173</v>
      </c>
      <c r="C100" s="2" t="s">
        <v>39</v>
      </c>
      <c r="D100" s="2" t="s">
        <v>115</v>
      </c>
      <c r="E100" s="2">
        <v>3</v>
      </c>
      <c r="F100" s="2">
        <v>2</v>
      </c>
      <c r="G100" s="2">
        <v>301</v>
      </c>
      <c r="H100" s="2">
        <v>22</v>
      </c>
      <c r="I100" s="2">
        <v>0</v>
      </c>
      <c r="J100" s="2">
        <v>22</v>
      </c>
      <c r="K100" s="268">
        <v>1</v>
      </c>
      <c r="L100" s="268">
        <v>225</v>
      </c>
    </row>
    <row r="101" spans="1:12" x14ac:dyDescent="0.25">
      <c r="A101" s="2">
        <v>540079</v>
      </c>
      <c r="B101" s="2" t="s">
        <v>174</v>
      </c>
      <c r="C101" s="2" t="s">
        <v>39</v>
      </c>
      <c r="D101" s="2" t="s">
        <v>115</v>
      </c>
      <c r="E101" s="2">
        <v>3</v>
      </c>
      <c r="F101" s="2">
        <v>2</v>
      </c>
      <c r="G101" s="2">
        <v>901</v>
      </c>
      <c r="H101" s="2">
        <v>18</v>
      </c>
      <c r="I101" s="2">
        <v>0</v>
      </c>
      <c r="J101" s="2">
        <v>18</v>
      </c>
      <c r="K101" s="268">
        <v>1</v>
      </c>
      <c r="L101" s="268">
        <v>225</v>
      </c>
    </row>
    <row r="102" spans="1:12" x14ac:dyDescent="0.25">
      <c r="A102" s="2">
        <v>540081</v>
      </c>
      <c r="B102" s="2" t="s">
        <v>176</v>
      </c>
      <c r="C102" s="2" t="s">
        <v>39</v>
      </c>
      <c r="D102" s="2" t="s">
        <v>115</v>
      </c>
      <c r="E102" s="2">
        <v>3</v>
      </c>
      <c r="F102" s="2">
        <v>2</v>
      </c>
      <c r="G102" s="2">
        <v>3090</v>
      </c>
      <c r="H102" s="2">
        <v>163</v>
      </c>
      <c r="I102" s="2">
        <v>13</v>
      </c>
      <c r="J102" s="2">
        <v>150</v>
      </c>
      <c r="K102" s="268">
        <v>0.92024539900000002</v>
      </c>
      <c r="L102" s="268">
        <v>207.05521469999999</v>
      </c>
    </row>
    <row r="103" spans="1:12" x14ac:dyDescent="0.25">
      <c r="A103" s="2">
        <v>540082</v>
      </c>
      <c r="B103" s="2" t="s">
        <v>177</v>
      </c>
      <c r="C103" s="2" t="s">
        <v>39</v>
      </c>
      <c r="D103" s="2" t="s">
        <v>115</v>
      </c>
      <c r="E103" s="2">
        <v>3</v>
      </c>
      <c r="F103" s="2">
        <v>2</v>
      </c>
      <c r="G103" s="2">
        <v>187</v>
      </c>
      <c r="H103" s="2">
        <v>23</v>
      </c>
      <c r="I103" s="2">
        <v>0</v>
      </c>
      <c r="J103" s="2">
        <v>23</v>
      </c>
      <c r="K103" s="268">
        <v>1</v>
      </c>
      <c r="L103" s="268">
        <v>225</v>
      </c>
    </row>
    <row r="104" spans="1:12" x14ac:dyDescent="0.25">
      <c r="A104" s="2">
        <v>540083</v>
      </c>
      <c r="B104" s="2" t="s">
        <v>178</v>
      </c>
      <c r="C104" s="2" t="s">
        <v>39</v>
      </c>
      <c r="D104" s="2" t="s">
        <v>115</v>
      </c>
      <c r="E104" s="2">
        <v>3</v>
      </c>
      <c r="F104" s="2">
        <v>2</v>
      </c>
      <c r="G104" s="2">
        <v>2361</v>
      </c>
      <c r="H104" s="2">
        <v>146</v>
      </c>
      <c r="I104" s="2">
        <v>9</v>
      </c>
      <c r="J104" s="2">
        <v>137</v>
      </c>
      <c r="K104" s="268">
        <v>0.93835616399999999</v>
      </c>
      <c r="L104" s="268">
        <v>211.13013699999999</v>
      </c>
    </row>
    <row r="105" spans="1:12" x14ac:dyDescent="0.25">
      <c r="A105" s="2">
        <v>540223</v>
      </c>
      <c r="B105" s="2" t="s">
        <v>277</v>
      </c>
      <c r="C105" s="2" t="s">
        <v>39</v>
      </c>
      <c r="D105" s="2" t="s">
        <v>115</v>
      </c>
      <c r="E105" s="2">
        <v>3</v>
      </c>
      <c r="F105" s="2">
        <v>2</v>
      </c>
      <c r="G105" s="2">
        <v>5617</v>
      </c>
      <c r="H105" s="2">
        <v>230</v>
      </c>
      <c r="I105" s="2">
        <v>19</v>
      </c>
      <c r="J105" s="2">
        <v>211</v>
      </c>
      <c r="K105" s="268">
        <v>0.91739130400000002</v>
      </c>
      <c r="L105" s="268">
        <v>206.41304349999999</v>
      </c>
    </row>
    <row r="106" spans="1:12" x14ac:dyDescent="0.25">
      <c r="A106" s="2">
        <v>540279</v>
      </c>
      <c r="B106" s="2" t="s">
        <v>320</v>
      </c>
      <c r="C106" s="2" t="s">
        <v>39</v>
      </c>
      <c r="D106" s="2" t="s">
        <v>115</v>
      </c>
      <c r="E106" s="2">
        <v>3</v>
      </c>
      <c r="F106" s="2">
        <v>2</v>
      </c>
      <c r="G106" s="2">
        <v>622</v>
      </c>
      <c r="H106" s="2">
        <v>22</v>
      </c>
      <c r="I106" s="2">
        <v>0</v>
      </c>
      <c r="J106" s="2">
        <v>22</v>
      </c>
      <c r="K106" s="268">
        <v>1</v>
      </c>
      <c r="L106" s="268">
        <v>225</v>
      </c>
    </row>
    <row r="107" spans="1:12" x14ac:dyDescent="0.25">
      <c r="A107" s="2">
        <v>540033</v>
      </c>
      <c r="B107" s="2" t="s">
        <v>138</v>
      </c>
      <c r="C107" s="2" t="s">
        <v>39</v>
      </c>
      <c r="D107" s="2" t="s">
        <v>115</v>
      </c>
      <c r="E107" s="2">
        <v>3</v>
      </c>
      <c r="F107" s="2">
        <v>2</v>
      </c>
      <c r="G107" s="2">
        <v>5</v>
      </c>
      <c r="H107" s="2">
        <v>1</v>
      </c>
      <c r="I107" s="2">
        <v>0</v>
      </c>
      <c r="J107" s="2">
        <v>1</v>
      </c>
      <c r="K107" s="268">
        <v>1</v>
      </c>
      <c r="L107" s="268">
        <v>225</v>
      </c>
    </row>
    <row r="108" spans="1:12" x14ac:dyDescent="0.25">
      <c r="A108" s="255"/>
      <c r="B108" s="255"/>
      <c r="C108" s="255" t="s">
        <v>39</v>
      </c>
      <c r="D108" s="255"/>
      <c r="E108" s="255"/>
      <c r="F108" s="255"/>
      <c r="G108" s="255">
        <v>582509</v>
      </c>
      <c r="H108" s="255">
        <v>15762</v>
      </c>
      <c r="I108" s="255">
        <v>538</v>
      </c>
      <c r="J108" s="255">
        <v>15224</v>
      </c>
      <c r="K108" s="274">
        <v>0.965867276</v>
      </c>
      <c r="L108" s="274">
        <v>217.32013699999999</v>
      </c>
    </row>
    <row r="109" spans="1:12" x14ac:dyDescent="0.25">
      <c r="A109" s="2">
        <v>540085</v>
      </c>
      <c r="B109" s="2" t="s">
        <v>40</v>
      </c>
      <c r="C109" s="2" t="s">
        <v>41</v>
      </c>
      <c r="D109" s="2" t="s">
        <v>5</v>
      </c>
      <c r="E109" s="2">
        <v>7</v>
      </c>
      <c r="F109" s="2">
        <v>2</v>
      </c>
      <c r="G109" s="2">
        <v>247701</v>
      </c>
      <c r="H109" s="2">
        <v>6522</v>
      </c>
      <c r="I109" s="2">
        <v>276</v>
      </c>
      <c r="J109" s="2">
        <v>6246</v>
      </c>
      <c r="K109" s="268">
        <v>0.95768169299999995</v>
      </c>
      <c r="L109" s="268">
        <v>215.47838089999999</v>
      </c>
    </row>
    <row r="110" spans="1:12" x14ac:dyDescent="0.25">
      <c r="A110" s="2">
        <v>540086</v>
      </c>
      <c r="B110" s="2" t="s">
        <v>179</v>
      </c>
      <c r="C110" s="2" t="s">
        <v>41</v>
      </c>
      <c r="D110" s="2" t="s">
        <v>115</v>
      </c>
      <c r="E110" s="2">
        <v>7</v>
      </c>
      <c r="F110" s="2">
        <v>2</v>
      </c>
      <c r="G110" s="2">
        <v>158</v>
      </c>
      <c r="H110" s="2">
        <v>46</v>
      </c>
      <c r="I110" s="2">
        <v>3</v>
      </c>
      <c r="J110" s="2">
        <v>43</v>
      </c>
      <c r="K110" s="268">
        <v>0.93478260899999999</v>
      </c>
      <c r="L110" s="268">
        <v>210.326087</v>
      </c>
    </row>
    <row r="111" spans="1:12" x14ac:dyDescent="0.25">
      <c r="A111" s="2">
        <v>540087</v>
      </c>
      <c r="B111" s="2" t="s">
        <v>180</v>
      </c>
      <c r="C111" s="2" t="s">
        <v>41</v>
      </c>
      <c r="D111" s="2" t="s">
        <v>115</v>
      </c>
      <c r="E111" s="2">
        <v>7</v>
      </c>
      <c r="F111" s="2">
        <v>2</v>
      </c>
      <c r="G111" s="2">
        <v>1275</v>
      </c>
      <c r="H111" s="2">
        <v>150</v>
      </c>
      <c r="I111" s="2">
        <v>1</v>
      </c>
      <c r="J111" s="2">
        <v>149</v>
      </c>
      <c r="K111" s="268">
        <v>0.99333333300000004</v>
      </c>
      <c r="L111" s="268">
        <v>223.5</v>
      </c>
    </row>
    <row r="112" spans="1:12" x14ac:dyDescent="0.25">
      <c r="A112" s="255"/>
      <c r="B112" s="255"/>
      <c r="C112" s="255" t="s">
        <v>41</v>
      </c>
      <c r="D112" s="255"/>
      <c r="E112" s="255"/>
      <c r="F112" s="255"/>
      <c r="G112" s="255">
        <v>249134</v>
      </c>
      <c r="H112" s="255">
        <v>6718</v>
      </c>
      <c r="I112" s="255">
        <v>280</v>
      </c>
      <c r="J112" s="255">
        <v>6438</v>
      </c>
      <c r="K112" s="274">
        <v>0.95832092899999999</v>
      </c>
      <c r="L112" s="274">
        <v>215.622209</v>
      </c>
    </row>
    <row r="113" spans="1:12" x14ac:dyDescent="0.25">
      <c r="A113" s="2">
        <v>540088</v>
      </c>
      <c r="B113" s="2" t="s">
        <v>42</v>
      </c>
      <c r="C113" s="2" t="s">
        <v>43</v>
      </c>
      <c r="D113" s="2" t="s">
        <v>5</v>
      </c>
      <c r="E113" s="2">
        <v>2</v>
      </c>
      <c r="F113" s="2">
        <v>2</v>
      </c>
      <c r="G113" s="2">
        <v>280041</v>
      </c>
      <c r="H113" s="2">
        <v>8289</v>
      </c>
      <c r="I113" s="2">
        <v>292</v>
      </c>
      <c r="J113" s="2">
        <v>7997</v>
      </c>
      <c r="K113" s="268">
        <v>0.96477259000000004</v>
      </c>
      <c r="L113" s="268">
        <v>217.07383279999999</v>
      </c>
    </row>
    <row r="114" spans="1:12" x14ac:dyDescent="0.25">
      <c r="A114" s="2">
        <v>540089</v>
      </c>
      <c r="B114" s="2" t="s">
        <v>181</v>
      </c>
      <c r="C114" s="2" t="s">
        <v>43</v>
      </c>
      <c r="D114" s="2" t="s">
        <v>115</v>
      </c>
      <c r="E114" s="2">
        <v>2</v>
      </c>
      <c r="F114" s="2">
        <v>2</v>
      </c>
      <c r="G114" s="2">
        <v>385</v>
      </c>
      <c r="H114" s="2">
        <v>44</v>
      </c>
      <c r="I114" s="2">
        <v>1</v>
      </c>
      <c r="J114" s="2">
        <v>43</v>
      </c>
      <c r="K114" s="268">
        <v>0.97727272700000001</v>
      </c>
      <c r="L114" s="268">
        <v>219.88636360000001</v>
      </c>
    </row>
    <row r="115" spans="1:12" x14ac:dyDescent="0.25">
      <c r="A115" s="2">
        <v>540090</v>
      </c>
      <c r="B115" s="2" t="s">
        <v>182</v>
      </c>
      <c r="C115" s="2" t="s">
        <v>43</v>
      </c>
      <c r="D115" s="2" t="s">
        <v>115</v>
      </c>
      <c r="E115" s="2">
        <v>2</v>
      </c>
      <c r="F115" s="2">
        <v>2</v>
      </c>
      <c r="G115" s="2">
        <v>354</v>
      </c>
      <c r="H115" s="2">
        <v>52</v>
      </c>
      <c r="I115" s="2">
        <v>1</v>
      </c>
      <c r="J115" s="2">
        <v>51</v>
      </c>
      <c r="K115" s="268">
        <v>0.98076923100000002</v>
      </c>
      <c r="L115" s="268">
        <v>220.67307690000001</v>
      </c>
    </row>
    <row r="116" spans="1:12" x14ac:dyDescent="0.25">
      <c r="A116" s="255"/>
      <c r="B116" s="255"/>
      <c r="C116" s="255" t="s">
        <v>43</v>
      </c>
      <c r="D116" s="255"/>
      <c r="E116" s="255"/>
      <c r="F116" s="255"/>
      <c r="G116" s="255">
        <v>280780</v>
      </c>
      <c r="H116" s="255">
        <v>8385</v>
      </c>
      <c r="I116" s="255">
        <v>294</v>
      </c>
      <c r="J116" s="255">
        <v>8091</v>
      </c>
      <c r="K116" s="274">
        <v>0.96493738799999995</v>
      </c>
      <c r="L116" s="274">
        <v>217.1109123</v>
      </c>
    </row>
    <row r="117" spans="1:12" x14ac:dyDescent="0.25">
      <c r="A117" s="2">
        <v>540097</v>
      </c>
      <c r="B117" s="2" t="s">
        <v>44</v>
      </c>
      <c r="C117" s="2" t="s">
        <v>45</v>
      </c>
      <c r="D117" s="2" t="s">
        <v>5</v>
      </c>
      <c r="E117" s="2">
        <v>6</v>
      </c>
      <c r="F117" s="2">
        <v>2</v>
      </c>
      <c r="G117" s="2">
        <v>187538</v>
      </c>
      <c r="H117" s="2">
        <v>3723</v>
      </c>
      <c r="I117" s="2">
        <v>84</v>
      </c>
      <c r="J117" s="2">
        <v>3639</v>
      </c>
      <c r="K117" s="268">
        <v>0.97743754999999999</v>
      </c>
      <c r="L117" s="268">
        <v>219.92344879999999</v>
      </c>
    </row>
    <row r="118" spans="1:12" x14ac:dyDescent="0.25">
      <c r="A118" s="2">
        <v>540098</v>
      </c>
      <c r="B118" s="2" t="s">
        <v>187</v>
      </c>
      <c r="C118" s="2" t="s">
        <v>45</v>
      </c>
      <c r="D118" s="2" t="s">
        <v>115</v>
      </c>
      <c r="E118" s="2">
        <v>6</v>
      </c>
      <c r="F118" s="2">
        <v>2</v>
      </c>
      <c r="G118" s="2">
        <v>454</v>
      </c>
      <c r="H118" s="2">
        <v>45</v>
      </c>
      <c r="I118" s="2">
        <v>0</v>
      </c>
      <c r="J118" s="2">
        <v>45</v>
      </c>
      <c r="K118" s="268">
        <v>1</v>
      </c>
      <c r="L118" s="268">
        <v>225</v>
      </c>
    </row>
    <row r="119" spans="1:12" x14ac:dyDescent="0.25">
      <c r="A119" s="2">
        <v>540099</v>
      </c>
      <c r="B119" s="2" t="s">
        <v>188</v>
      </c>
      <c r="C119" s="2" t="s">
        <v>45</v>
      </c>
      <c r="D119" s="2" t="s">
        <v>115</v>
      </c>
      <c r="E119" s="2">
        <v>6</v>
      </c>
      <c r="F119" s="2">
        <v>2</v>
      </c>
      <c r="G119" s="2">
        <v>5740</v>
      </c>
      <c r="H119" s="2">
        <v>76</v>
      </c>
      <c r="I119" s="2">
        <v>2</v>
      </c>
      <c r="J119" s="2">
        <v>74</v>
      </c>
      <c r="K119" s="268">
        <v>0.97368421100000002</v>
      </c>
      <c r="L119" s="268">
        <v>219.0789474</v>
      </c>
    </row>
    <row r="120" spans="1:12" x14ac:dyDescent="0.25">
      <c r="A120" s="2">
        <v>540100</v>
      </c>
      <c r="B120" s="2" t="s">
        <v>189</v>
      </c>
      <c r="C120" s="2" t="s">
        <v>45</v>
      </c>
      <c r="D120" s="2" t="s">
        <v>115</v>
      </c>
      <c r="E120" s="2">
        <v>6</v>
      </c>
      <c r="F120" s="2">
        <v>2</v>
      </c>
      <c r="G120" s="2">
        <v>179</v>
      </c>
      <c r="H120" s="2">
        <v>20</v>
      </c>
      <c r="I120" s="2">
        <v>0</v>
      </c>
      <c r="J120" s="2">
        <v>20</v>
      </c>
      <c r="K120" s="268">
        <v>1</v>
      </c>
      <c r="L120" s="268">
        <v>225</v>
      </c>
    </row>
    <row r="121" spans="1:12" x14ac:dyDescent="0.25">
      <c r="A121" s="2">
        <v>540101</v>
      </c>
      <c r="B121" s="2" t="s">
        <v>190</v>
      </c>
      <c r="C121" s="2" t="s">
        <v>45</v>
      </c>
      <c r="D121" s="2" t="s">
        <v>115</v>
      </c>
      <c r="E121" s="2">
        <v>6</v>
      </c>
      <c r="F121" s="2">
        <v>2</v>
      </c>
      <c r="G121" s="2">
        <v>274</v>
      </c>
      <c r="H121" s="2">
        <v>46</v>
      </c>
      <c r="I121" s="2">
        <v>0</v>
      </c>
      <c r="J121" s="2">
        <v>46</v>
      </c>
      <c r="K121" s="268">
        <v>1</v>
      </c>
      <c r="L121" s="268">
        <v>225</v>
      </c>
    </row>
    <row r="122" spans="1:12" x14ac:dyDescent="0.25">
      <c r="A122" s="2">
        <v>540102</v>
      </c>
      <c r="B122" s="2" t="s">
        <v>191</v>
      </c>
      <c r="C122" s="2" t="s">
        <v>45</v>
      </c>
      <c r="D122" s="2" t="s">
        <v>115</v>
      </c>
      <c r="E122" s="2">
        <v>6</v>
      </c>
      <c r="F122" s="2">
        <v>2</v>
      </c>
      <c r="G122" s="2">
        <v>347</v>
      </c>
      <c r="H122" s="2">
        <v>48</v>
      </c>
      <c r="I122" s="2">
        <v>2</v>
      </c>
      <c r="J122" s="2">
        <v>46</v>
      </c>
      <c r="K122" s="268">
        <v>0.95833333300000001</v>
      </c>
      <c r="L122" s="268">
        <v>215.625</v>
      </c>
    </row>
    <row r="123" spans="1:12" x14ac:dyDescent="0.25">
      <c r="A123" s="2">
        <v>540103</v>
      </c>
      <c r="B123" s="2" t="s">
        <v>192</v>
      </c>
      <c r="C123" s="2" t="s">
        <v>45</v>
      </c>
      <c r="D123" s="2" t="s">
        <v>115</v>
      </c>
      <c r="E123" s="2">
        <v>6</v>
      </c>
      <c r="F123" s="2">
        <v>2</v>
      </c>
      <c r="G123" s="2">
        <v>729</v>
      </c>
      <c r="H123" s="2">
        <v>90</v>
      </c>
      <c r="I123" s="2">
        <v>8</v>
      </c>
      <c r="J123" s="2">
        <v>82</v>
      </c>
      <c r="K123" s="268">
        <v>0.91111111099999997</v>
      </c>
      <c r="L123" s="268">
        <v>205</v>
      </c>
    </row>
    <row r="124" spans="1:12" x14ac:dyDescent="0.25">
      <c r="A124" s="2">
        <v>540104</v>
      </c>
      <c r="B124" s="2" t="s">
        <v>193</v>
      </c>
      <c r="C124" s="2" t="s">
        <v>45</v>
      </c>
      <c r="D124" s="2" t="s">
        <v>115</v>
      </c>
      <c r="E124" s="2">
        <v>6</v>
      </c>
      <c r="F124" s="2">
        <v>2</v>
      </c>
      <c r="G124" s="2">
        <v>341</v>
      </c>
      <c r="H124" s="2">
        <v>47</v>
      </c>
      <c r="I124" s="2">
        <v>7</v>
      </c>
      <c r="J124" s="2">
        <v>40</v>
      </c>
      <c r="K124" s="268">
        <v>0.85106382999999997</v>
      </c>
      <c r="L124" s="268">
        <v>191.48936169999999</v>
      </c>
    </row>
    <row r="125" spans="1:12" x14ac:dyDescent="0.25">
      <c r="A125" s="2">
        <v>540105</v>
      </c>
      <c r="B125" s="2" t="s">
        <v>194</v>
      </c>
      <c r="C125" s="2" t="s">
        <v>45</v>
      </c>
      <c r="D125" s="2" t="s">
        <v>115</v>
      </c>
      <c r="E125" s="2">
        <v>6</v>
      </c>
      <c r="F125" s="2">
        <v>2</v>
      </c>
      <c r="G125" s="2">
        <v>381</v>
      </c>
      <c r="H125" s="2">
        <v>25</v>
      </c>
      <c r="I125" s="2">
        <v>0</v>
      </c>
      <c r="J125" s="2">
        <v>25</v>
      </c>
      <c r="K125" s="268">
        <v>1</v>
      </c>
      <c r="L125" s="268">
        <v>225</v>
      </c>
    </row>
    <row r="126" spans="1:12" x14ac:dyDescent="0.25">
      <c r="A126" s="2">
        <v>540106</v>
      </c>
      <c r="B126" s="2" t="s">
        <v>195</v>
      </c>
      <c r="C126" s="2" t="s">
        <v>45</v>
      </c>
      <c r="D126" s="2" t="s">
        <v>115</v>
      </c>
      <c r="E126" s="2">
        <v>6</v>
      </c>
      <c r="F126" s="2">
        <v>2</v>
      </c>
      <c r="G126" s="2">
        <v>383</v>
      </c>
      <c r="H126" s="2">
        <v>34</v>
      </c>
      <c r="I126" s="2">
        <v>5</v>
      </c>
      <c r="J126" s="2">
        <v>29</v>
      </c>
      <c r="K126" s="268">
        <v>0.85294117599999997</v>
      </c>
      <c r="L126" s="268">
        <v>191.91176469999999</v>
      </c>
    </row>
    <row r="127" spans="1:12" x14ac:dyDescent="0.25">
      <c r="A127" s="2">
        <v>540292</v>
      </c>
      <c r="B127" s="2" t="s">
        <v>329</v>
      </c>
      <c r="C127" s="2" t="s">
        <v>45</v>
      </c>
      <c r="D127" s="2" t="s">
        <v>115</v>
      </c>
      <c r="E127" s="2">
        <v>6</v>
      </c>
      <c r="F127" s="2">
        <v>2</v>
      </c>
      <c r="G127" s="2">
        <v>2179</v>
      </c>
      <c r="H127" s="2">
        <v>47</v>
      </c>
      <c r="I127" s="2">
        <v>1</v>
      </c>
      <c r="J127" s="2">
        <v>46</v>
      </c>
      <c r="K127" s="268">
        <v>0.97872340400000002</v>
      </c>
      <c r="L127" s="268">
        <v>220.21276599999999</v>
      </c>
    </row>
    <row r="128" spans="1:12" x14ac:dyDescent="0.25">
      <c r="A128" s="2">
        <v>545556</v>
      </c>
      <c r="B128" s="2" t="s">
        <v>337</v>
      </c>
      <c r="C128" s="2" t="s">
        <v>45</v>
      </c>
      <c r="D128" s="2" t="s">
        <v>115</v>
      </c>
      <c r="E128" s="2">
        <v>6</v>
      </c>
      <c r="F128" s="2">
        <v>2</v>
      </c>
      <c r="G128" s="2">
        <v>674</v>
      </c>
      <c r="H128" s="2">
        <v>12</v>
      </c>
      <c r="I128" s="2">
        <v>0</v>
      </c>
      <c r="J128" s="2">
        <v>12</v>
      </c>
      <c r="K128" s="268">
        <v>1</v>
      </c>
      <c r="L128" s="268">
        <v>225</v>
      </c>
    </row>
    <row r="129" spans="1:12" x14ac:dyDescent="0.25">
      <c r="A129" s="255"/>
      <c r="B129" s="255"/>
      <c r="C129" s="255" t="s">
        <v>45</v>
      </c>
      <c r="D129" s="255"/>
      <c r="E129" s="255"/>
      <c r="F129" s="255"/>
      <c r="G129" s="255">
        <v>199219</v>
      </c>
      <c r="H129" s="255">
        <v>4213</v>
      </c>
      <c r="I129" s="255">
        <v>109</v>
      </c>
      <c r="J129" s="255">
        <v>4104</v>
      </c>
      <c r="K129" s="274">
        <v>0.97412770000000004</v>
      </c>
      <c r="L129" s="274">
        <v>219.1787325</v>
      </c>
    </row>
    <row r="130" spans="1:12" x14ac:dyDescent="0.25">
      <c r="A130" s="2">
        <v>540107</v>
      </c>
      <c r="B130" s="2" t="s">
        <v>46</v>
      </c>
      <c r="C130" s="2" t="s">
        <v>47</v>
      </c>
      <c r="D130" s="2" t="s">
        <v>5</v>
      </c>
      <c r="E130" s="2">
        <v>10</v>
      </c>
      <c r="F130" s="2">
        <v>2</v>
      </c>
      <c r="G130" s="2">
        <v>194254</v>
      </c>
      <c r="H130" s="2">
        <v>4299</v>
      </c>
      <c r="I130" s="2">
        <v>164</v>
      </c>
      <c r="J130" s="2">
        <v>4135</v>
      </c>
      <c r="K130" s="268">
        <v>0.961851593</v>
      </c>
      <c r="L130" s="268">
        <v>216.4166085</v>
      </c>
    </row>
    <row r="131" spans="1:12" x14ac:dyDescent="0.25">
      <c r="A131" s="2">
        <v>540108</v>
      </c>
      <c r="B131" s="2" t="s">
        <v>196</v>
      </c>
      <c r="C131" s="2" t="s">
        <v>47</v>
      </c>
      <c r="D131" s="2" t="s">
        <v>115</v>
      </c>
      <c r="E131" s="2">
        <v>10</v>
      </c>
      <c r="F131" s="2">
        <v>2</v>
      </c>
      <c r="G131" s="2">
        <v>1137</v>
      </c>
      <c r="H131" s="2">
        <v>189</v>
      </c>
      <c r="I131" s="2">
        <v>0</v>
      </c>
      <c r="J131" s="2">
        <v>189</v>
      </c>
      <c r="K131" s="268">
        <v>1</v>
      </c>
      <c r="L131" s="268">
        <v>225</v>
      </c>
    </row>
    <row r="132" spans="1:12" x14ac:dyDescent="0.25">
      <c r="A132" s="2">
        <v>540109</v>
      </c>
      <c r="B132" s="2" t="s">
        <v>197</v>
      </c>
      <c r="C132" s="2" t="s">
        <v>47</v>
      </c>
      <c r="D132" s="2" t="s">
        <v>115</v>
      </c>
      <c r="E132" s="2">
        <v>10</v>
      </c>
      <c r="F132" s="2">
        <v>2</v>
      </c>
      <c r="G132" s="2">
        <v>742</v>
      </c>
      <c r="H132" s="2">
        <v>108</v>
      </c>
      <c r="I132" s="2">
        <v>0</v>
      </c>
      <c r="J132" s="2">
        <v>108</v>
      </c>
      <c r="K132" s="268">
        <v>1</v>
      </c>
      <c r="L132" s="268">
        <v>225</v>
      </c>
    </row>
    <row r="133" spans="1:12" x14ac:dyDescent="0.25">
      <c r="A133" s="2">
        <v>540110</v>
      </c>
      <c r="B133" s="2" t="s">
        <v>198</v>
      </c>
      <c r="C133" s="2" t="s">
        <v>47</v>
      </c>
      <c r="D133" s="2" t="s">
        <v>115</v>
      </c>
      <c r="E133" s="2">
        <v>10</v>
      </c>
      <c r="F133" s="2">
        <v>2</v>
      </c>
      <c r="G133" s="2">
        <v>517</v>
      </c>
      <c r="H133" s="2">
        <v>106</v>
      </c>
      <c r="I133" s="2">
        <v>0</v>
      </c>
      <c r="J133" s="2">
        <v>106</v>
      </c>
      <c r="K133" s="268">
        <v>1</v>
      </c>
      <c r="L133" s="268">
        <v>225</v>
      </c>
    </row>
    <row r="134" spans="1:12" x14ac:dyDescent="0.25">
      <c r="A134" s="2">
        <v>540111</v>
      </c>
      <c r="B134" s="2" t="s">
        <v>199</v>
      </c>
      <c r="C134" s="2" t="s">
        <v>47</v>
      </c>
      <c r="D134" s="2" t="s">
        <v>115</v>
      </c>
      <c r="E134" s="2">
        <v>10</v>
      </c>
      <c r="F134" s="2">
        <v>2</v>
      </c>
      <c r="G134" s="2">
        <v>2124</v>
      </c>
      <c r="H134" s="2">
        <v>527</v>
      </c>
      <c r="I134" s="2">
        <v>45</v>
      </c>
      <c r="J134" s="2">
        <v>482</v>
      </c>
      <c r="K134" s="268">
        <v>0.914611006</v>
      </c>
      <c r="L134" s="268">
        <v>205.78747630000001</v>
      </c>
    </row>
    <row r="135" spans="1:12" x14ac:dyDescent="0.25">
      <c r="A135" s="2">
        <v>540287</v>
      </c>
      <c r="B135" s="2" t="s">
        <v>326</v>
      </c>
      <c r="C135" s="2" t="s">
        <v>47</v>
      </c>
      <c r="D135" s="2" t="s">
        <v>115</v>
      </c>
      <c r="E135" s="2">
        <v>10</v>
      </c>
      <c r="F135" s="2">
        <v>2</v>
      </c>
      <c r="G135" s="2">
        <v>557</v>
      </c>
      <c r="H135" s="2">
        <v>26</v>
      </c>
      <c r="I135" s="2">
        <v>0</v>
      </c>
      <c r="J135" s="2">
        <v>26</v>
      </c>
      <c r="K135" s="268">
        <v>1</v>
      </c>
      <c r="L135" s="268">
        <v>225</v>
      </c>
    </row>
    <row r="136" spans="1:12" x14ac:dyDescent="0.25">
      <c r="A136" s="2">
        <v>540152</v>
      </c>
      <c r="B136" s="2" t="s">
        <v>229</v>
      </c>
      <c r="C136" s="2" t="s">
        <v>47</v>
      </c>
      <c r="D136" s="2" t="s">
        <v>115</v>
      </c>
      <c r="E136" s="2">
        <v>10</v>
      </c>
      <c r="F136" s="2">
        <v>2</v>
      </c>
      <c r="G136" s="2">
        <v>132</v>
      </c>
      <c r="H136" s="2">
        <v>3</v>
      </c>
      <c r="I136" s="2">
        <v>0</v>
      </c>
      <c r="J136" s="2">
        <v>3</v>
      </c>
      <c r="K136" s="268">
        <v>1</v>
      </c>
      <c r="L136" s="268">
        <v>225</v>
      </c>
    </row>
    <row r="137" spans="1:12" x14ac:dyDescent="0.25">
      <c r="A137" s="255"/>
      <c r="B137" s="255"/>
      <c r="C137" s="255" t="s">
        <v>47</v>
      </c>
      <c r="D137" s="255"/>
      <c r="E137" s="255"/>
      <c r="F137" s="255"/>
      <c r="G137" s="255">
        <v>199463</v>
      </c>
      <c r="H137" s="255">
        <v>5258</v>
      </c>
      <c r="I137" s="255">
        <v>209</v>
      </c>
      <c r="J137" s="255">
        <v>5049</v>
      </c>
      <c r="K137" s="274">
        <v>0.960251046</v>
      </c>
      <c r="L137" s="274">
        <v>216.05648540000001</v>
      </c>
    </row>
    <row r="138" spans="1:12" x14ac:dyDescent="0.25">
      <c r="A138" s="2">
        <v>540112</v>
      </c>
      <c r="B138" s="2" t="s">
        <v>48</v>
      </c>
      <c r="C138" s="2" t="s">
        <v>49</v>
      </c>
      <c r="D138" s="2" t="s">
        <v>5</v>
      </c>
      <c r="E138" s="2">
        <v>2</v>
      </c>
      <c r="F138" s="2">
        <v>2</v>
      </c>
      <c r="G138" s="2">
        <v>280220</v>
      </c>
      <c r="H138" s="2">
        <v>19731</v>
      </c>
      <c r="I138" s="2">
        <v>363</v>
      </c>
      <c r="J138" s="2">
        <v>19368</v>
      </c>
      <c r="K138" s="268">
        <v>0.98160255399999996</v>
      </c>
      <c r="L138" s="268">
        <v>220.8605747</v>
      </c>
    </row>
    <row r="139" spans="1:12" x14ac:dyDescent="0.25">
      <c r="A139" s="2">
        <v>540113</v>
      </c>
      <c r="B139" s="2" t="s">
        <v>200</v>
      </c>
      <c r="C139" s="2" t="s">
        <v>49</v>
      </c>
      <c r="D139" s="2" t="s">
        <v>115</v>
      </c>
      <c r="E139" s="2">
        <v>2</v>
      </c>
      <c r="F139" s="2">
        <v>2</v>
      </c>
      <c r="G139" s="2">
        <v>240</v>
      </c>
      <c r="H139" s="2">
        <v>31</v>
      </c>
      <c r="I139" s="2">
        <v>0</v>
      </c>
      <c r="J139" s="2">
        <v>31</v>
      </c>
      <c r="K139" s="268">
        <v>1</v>
      </c>
      <c r="L139" s="268">
        <v>225</v>
      </c>
    </row>
    <row r="140" spans="1:12" x14ac:dyDescent="0.25">
      <c r="A140" s="2">
        <v>540247</v>
      </c>
      <c r="B140" s="2" t="s">
        <v>293</v>
      </c>
      <c r="C140" s="2" t="s">
        <v>49</v>
      </c>
      <c r="D140" s="2" t="s">
        <v>115</v>
      </c>
      <c r="E140" s="2">
        <v>2</v>
      </c>
      <c r="F140" s="2">
        <v>2</v>
      </c>
      <c r="G140" s="2">
        <v>793</v>
      </c>
      <c r="H140" s="2">
        <v>249</v>
      </c>
      <c r="I140" s="2">
        <v>0</v>
      </c>
      <c r="J140" s="2">
        <v>249</v>
      </c>
      <c r="K140" s="268">
        <v>1</v>
      </c>
      <c r="L140" s="268">
        <v>225</v>
      </c>
    </row>
    <row r="141" spans="1:12" x14ac:dyDescent="0.25">
      <c r="A141" s="2">
        <v>540248</v>
      </c>
      <c r="B141" s="2" t="s">
        <v>294</v>
      </c>
      <c r="C141" s="2" t="s">
        <v>49</v>
      </c>
      <c r="D141" s="2" t="s">
        <v>115</v>
      </c>
      <c r="E141" s="2">
        <v>2</v>
      </c>
      <c r="F141" s="2">
        <v>2</v>
      </c>
      <c r="G141" s="2">
        <v>374</v>
      </c>
      <c r="H141" s="2">
        <v>76</v>
      </c>
      <c r="I141" s="2">
        <v>6</v>
      </c>
      <c r="J141" s="2">
        <v>70</v>
      </c>
      <c r="K141" s="268">
        <v>0.92105263199999998</v>
      </c>
      <c r="L141" s="268">
        <v>207.23684209999999</v>
      </c>
    </row>
    <row r="142" spans="1:12" x14ac:dyDescent="0.25">
      <c r="A142" s="2">
        <v>540249</v>
      </c>
      <c r="B142" s="2" t="s">
        <v>295</v>
      </c>
      <c r="C142" s="2" t="s">
        <v>49</v>
      </c>
      <c r="D142" s="2" t="s">
        <v>115</v>
      </c>
      <c r="E142" s="2">
        <v>2</v>
      </c>
      <c r="F142" s="2">
        <v>2</v>
      </c>
      <c r="G142" s="2">
        <v>833</v>
      </c>
      <c r="H142" s="2">
        <v>186</v>
      </c>
      <c r="I142" s="2">
        <v>4</v>
      </c>
      <c r="J142" s="2">
        <v>182</v>
      </c>
      <c r="K142" s="268">
        <v>0.97849462399999998</v>
      </c>
      <c r="L142" s="268">
        <v>220.16129029999999</v>
      </c>
    </row>
    <row r="143" spans="1:12" x14ac:dyDescent="0.25">
      <c r="A143" s="2">
        <v>540250</v>
      </c>
      <c r="B143" s="2" t="s">
        <v>296</v>
      </c>
      <c r="C143" s="2" t="s">
        <v>49</v>
      </c>
      <c r="D143" s="2" t="s">
        <v>115</v>
      </c>
      <c r="E143" s="2">
        <v>2</v>
      </c>
      <c r="F143" s="2">
        <v>2</v>
      </c>
      <c r="G143" s="2">
        <v>1977</v>
      </c>
      <c r="H143" s="2">
        <v>573</v>
      </c>
      <c r="I143" s="2">
        <v>58</v>
      </c>
      <c r="J143" s="2">
        <v>515</v>
      </c>
      <c r="K143" s="268">
        <v>0.89877836</v>
      </c>
      <c r="L143" s="268">
        <v>202.22513090000001</v>
      </c>
    </row>
    <row r="144" spans="1:12" x14ac:dyDescent="0.25">
      <c r="A144" s="2">
        <v>540251</v>
      </c>
      <c r="B144" s="2" t="s">
        <v>297</v>
      </c>
      <c r="C144" s="2" t="s">
        <v>49</v>
      </c>
      <c r="D144" s="2" t="s">
        <v>115</v>
      </c>
      <c r="E144" s="2">
        <v>2</v>
      </c>
      <c r="F144" s="2">
        <v>2</v>
      </c>
      <c r="G144" s="2">
        <v>298</v>
      </c>
      <c r="H144" s="2">
        <v>121</v>
      </c>
      <c r="I144" s="2">
        <v>0</v>
      </c>
      <c r="J144" s="2">
        <v>121</v>
      </c>
      <c r="K144" s="268">
        <v>1</v>
      </c>
      <c r="L144" s="268">
        <v>225</v>
      </c>
    </row>
    <row r="145" spans="1:12" x14ac:dyDescent="0.25">
      <c r="A145" s="255"/>
      <c r="B145" s="255"/>
      <c r="C145" s="255" t="s">
        <v>49</v>
      </c>
      <c r="D145" s="255"/>
      <c r="E145" s="255"/>
      <c r="F145" s="255"/>
      <c r="G145" s="255">
        <v>284735</v>
      </c>
      <c r="H145" s="255">
        <v>20967</v>
      </c>
      <c r="I145" s="255">
        <v>431</v>
      </c>
      <c r="J145" s="255">
        <v>20536</v>
      </c>
      <c r="K145" s="274">
        <v>0.97944388800000004</v>
      </c>
      <c r="L145" s="274">
        <v>220.37487479999999</v>
      </c>
    </row>
    <row r="146" spans="1:12" x14ac:dyDescent="0.25">
      <c r="A146" s="2">
        <v>540114</v>
      </c>
      <c r="B146" s="2" t="s">
        <v>50</v>
      </c>
      <c r="C146" s="2" t="s">
        <v>51</v>
      </c>
      <c r="D146" s="2" t="s">
        <v>5</v>
      </c>
      <c r="E146" s="2">
        <v>1</v>
      </c>
      <c r="F146" s="2">
        <v>2</v>
      </c>
      <c r="G146" s="2">
        <v>333847</v>
      </c>
      <c r="H146" s="2">
        <v>1930</v>
      </c>
      <c r="I146" s="2">
        <v>83</v>
      </c>
      <c r="J146" s="2">
        <v>1847</v>
      </c>
      <c r="K146" s="268">
        <v>0.95699481900000005</v>
      </c>
      <c r="L146" s="268">
        <v>215.32383419999999</v>
      </c>
    </row>
    <row r="147" spans="1:12" x14ac:dyDescent="0.25">
      <c r="A147" s="2">
        <v>540115</v>
      </c>
      <c r="B147" s="2" t="s">
        <v>201</v>
      </c>
      <c r="C147" s="2" t="s">
        <v>51</v>
      </c>
      <c r="D147" s="2" t="s">
        <v>115</v>
      </c>
      <c r="E147" s="2">
        <v>1</v>
      </c>
      <c r="F147" s="2">
        <v>2</v>
      </c>
      <c r="G147" s="2">
        <v>368</v>
      </c>
      <c r="H147" s="2">
        <v>15</v>
      </c>
      <c r="I147" s="2">
        <v>2</v>
      </c>
      <c r="J147" s="2">
        <v>13</v>
      </c>
      <c r="K147" s="268">
        <v>0.86666666699999995</v>
      </c>
      <c r="L147" s="268">
        <v>195</v>
      </c>
    </row>
    <row r="148" spans="1:12" x14ac:dyDescent="0.25">
      <c r="A148" s="2">
        <v>540116</v>
      </c>
      <c r="B148" s="2" t="s">
        <v>202</v>
      </c>
      <c r="C148" s="2" t="s">
        <v>51</v>
      </c>
      <c r="D148" s="2" t="s">
        <v>115</v>
      </c>
      <c r="E148" s="2">
        <v>1</v>
      </c>
      <c r="F148" s="2">
        <v>2</v>
      </c>
      <c r="G148" s="2">
        <v>828</v>
      </c>
      <c r="H148" s="2">
        <v>38</v>
      </c>
      <c r="I148" s="2">
        <v>3</v>
      </c>
      <c r="J148" s="2">
        <v>35</v>
      </c>
      <c r="K148" s="268">
        <v>0.92105263199999998</v>
      </c>
      <c r="L148" s="268">
        <v>207.23684209999999</v>
      </c>
    </row>
    <row r="149" spans="1:12" x14ac:dyDescent="0.25">
      <c r="A149" s="2">
        <v>540117</v>
      </c>
      <c r="B149" s="2" t="s">
        <v>203</v>
      </c>
      <c r="C149" s="2" t="s">
        <v>51</v>
      </c>
      <c r="D149" s="2" t="s">
        <v>115</v>
      </c>
      <c r="E149" s="2">
        <v>1</v>
      </c>
      <c r="F149" s="2">
        <v>2</v>
      </c>
      <c r="G149" s="2">
        <v>559</v>
      </c>
      <c r="H149" s="2">
        <v>118</v>
      </c>
      <c r="I149" s="2">
        <v>0</v>
      </c>
      <c r="J149" s="2">
        <v>118</v>
      </c>
      <c r="K149" s="268">
        <v>1</v>
      </c>
      <c r="L149" s="268">
        <v>225</v>
      </c>
    </row>
    <row r="150" spans="1:12" x14ac:dyDescent="0.25">
      <c r="A150" s="2">
        <v>540118</v>
      </c>
      <c r="B150" s="2" t="s">
        <v>204</v>
      </c>
      <c r="C150" s="2" t="s">
        <v>51</v>
      </c>
      <c r="D150" s="2" t="s">
        <v>115</v>
      </c>
      <c r="E150" s="2">
        <v>1</v>
      </c>
      <c r="F150" s="2">
        <v>2</v>
      </c>
      <c r="G150" s="2">
        <v>535</v>
      </c>
      <c r="H150" s="2">
        <v>25</v>
      </c>
      <c r="I150" s="2">
        <v>0</v>
      </c>
      <c r="J150" s="2">
        <v>25</v>
      </c>
      <c r="K150" s="268">
        <v>1</v>
      </c>
      <c r="L150" s="268">
        <v>225</v>
      </c>
    </row>
    <row r="151" spans="1:12" x14ac:dyDescent="0.25">
      <c r="A151" s="2">
        <v>540119</v>
      </c>
      <c r="B151" s="2" t="s">
        <v>205</v>
      </c>
      <c r="C151" s="2" t="s">
        <v>51</v>
      </c>
      <c r="D151" s="2" t="s">
        <v>115</v>
      </c>
      <c r="E151" s="2">
        <v>1</v>
      </c>
      <c r="F151" s="2">
        <v>2</v>
      </c>
      <c r="G151" s="2">
        <v>208</v>
      </c>
      <c r="H151" s="2">
        <v>17</v>
      </c>
      <c r="I151" s="2">
        <v>1</v>
      </c>
      <c r="J151" s="2">
        <v>16</v>
      </c>
      <c r="K151" s="268">
        <v>0.94117647100000001</v>
      </c>
      <c r="L151" s="268">
        <v>211.7647059</v>
      </c>
    </row>
    <row r="152" spans="1:12" x14ac:dyDescent="0.25">
      <c r="A152" s="2">
        <v>540120</v>
      </c>
      <c r="B152" s="2" t="s">
        <v>206</v>
      </c>
      <c r="C152" s="2" t="s">
        <v>51</v>
      </c>
      <c r="D152" s="2" t="s">
        <v>115</v>
      </c>
      <c r="E152" s="2">
        <v>1</v>
      </c>
      <c r="F152" s="2">
        <v>2</v>
      </c>
      <c r="G152" s="2">
        <v>162</v>
      </c>
      <c r="H152" s="2">
        <v>18</v>
      </c>
      <c r="I152" s="2">
        <v>1</v>
      </c>
      <c r="J152" s="2">
        <v>17</v>
      </c>
      <c r="K152" s="268">
        <v>0.94444444400000005</v>
      </c>
      <c r="L152" s="268">
        <v>212.5</v>
      </c>
    </row>
    <row r="153" spans="1:12" x14ac:dyDescent="0.25">
      <c r="A153" s="2">
        <v>540121</v>
      </c>
      <c r="B153" s="2" t="s">
        <v>207</v>
      </c>
      <c r="C153" s="2" t="s">
        <v>51</v>
      </c>
      <c r="D153" s="2" t="s">
        <v>115</v>
      </c>
      <c r="E153" s="2">
        <v>1</v>
      </c>
      <c r="F153" s="2">
        <v>2</v>
      </c>
      <c r="G153" s="2">
        <v>617</v>
      </c>
      <c r="H153" s="2">
        <v>46</v>
      </c>
      <c r="I153" s="2">
        <v>1</v>
      </c>
      <c r="J153" s="2">
        <v>45</v>
      </c>
      <c r="K153" s="268">
        <v>0.97826086999999995</v>
      </c>
      <c r="L153" s="268">
        <v>220.1086957</v>
      </c>
    </row>
    <row r="154" spans="1:12" x14ac:dyDescent="0.25">
      <c r="A154" s="2">
        <v>540122</v>
      </c>
      <c r="B154" s="2" t="s">
        <v>208</v>
      </c>
      <c r="C154" s="2" t="s">
        <v>51</v>
      </c>
      <c r="D154" s="2" t="s">
        <v>115</v>
      </c>
      <c r="E154" s="2">
        <v>1</v>
      </c>
      <c r="F154" s="2">
        <v>2</v>
      </c>
      <c r="G154" s="2">
        <v>589</v>
      </c>
      <c r="H154" s="2">
        <v>30</v>
      </c>
      <c r="I154" s="2">
        <v>0</v>
      </c>
      <c r="J154" s="2">
        <v>30</v>
      </c>
      <c r="K154" s="268">
        <v>1</v>
      </c>
      <c r="L154" s="268">
        <v>225</v>
      </c>
    </row>
    <row r="155" spans="1:12" x14ac:dyDescent="0.25">
      <c r="A155" s="2">
        <v>540123</v>
      </c>
      <c r="B155" s="2" t="s">
        <v>209</v>
      </c>
      <c r="C155" s="2" t="s">
        <v>51</v>
      </c>
      <c r="D155" s="2" t="s">
        <v>115</v>
      </c>
      <c r="E155" s="2">
        <v>1</v>
      </c>
      <c r="F155" s="2">
        <v>2</v>
      </c>
      <c r="G155" s="2">
        <v>3878</v>
      </c>
      <c r="H155" s="2">
        <v>107</v>
      </c>
      <c r="I155" s="2">
        <v>6</v>
      </c>
      <c r="J155" s="2">
        <v>101</v>
      </c>
      <c r="K155" s="268">
        <v>0.94392523399999995</v>
      </c>
      <c r="L155" s="268">
        <v>212.38317760000001</v>
      </c>
    </row>
    <row r="156" spans="1:12" x14ac:dyDescent="0.25">
      <c r="A156" s="2">
        <v>540291</v>
      </c>
      <c r="B156" s="2" t="s">
        <v>328</v>
      </c>
      <c r="C156" s="2" t="s">
        <v>51</v>
      </c>
      <c r="D156" s="2" t="s">
        <v>115</v>
      </c>
      <c r="E156" s="2">
        <v>1</v>
      </c>
      <c r="F156" s="2">
        <v>2</v>
      </c>
      <c r="G156" s="2">
        <v>512</v>
      </c>
      <c r="H156" s="2">
        <v>8</v>
      </c>
      <c r="I156" s="2">
        <v>0</v>
      </c>
      <c r="J156" s="2">
        <v>8</v>
      </c>
      <c r="K156" s="268">
        <v>1</v>
      </c>
      <c r="L156" s="268">
        <v>225</v>
      </c>
    </row>
    <row r="157" spans="1:12" x14ac:dyDescent="0.25">
      <c r="A157" s="255"/>
      <c r="B157" s="255"/>
      <c r="C157" s="255" t="s">
        <v>51</v>
      </c>
      <c r="D157" s="255"/>
      <c r="E157" s="255"/>
      <c r="F157" s="255"/>
      <c r="G157" s="255">
        <v>342103</v>
      </c>
      <c r="H157" s="255">
        <v>2352</v>
      </c>
      <c r="I157" s="255">
        <v>97</v>
      </c>
      <c r="J157" s="255">
        <v>2255</v>
      </c>
      <c r="K157" s="274">
        <v>0.95875850299999998</v>
      </c>
      <c r="L157" s="274">
        <v>215.72066330000001</v>
      </c>
    </row>
    <row r="158" spans="1:12" x14ac:dyDescent="0.25">
      <c r="A158" s="2">
        <v>540124</v>
      </c>
      <c r="B158" s="2" t="s">
        <v>52</v>
      </c>
      <c r="C158" s="2" t="s">
        <v>53</v>
      </c>
      <c r="D158" s="2" t="s">
        <v>5</v>
      </c>
      <c r="E158" s="2">
        <v>1</v>
      </c>
      <c r="F158" s="2">
        <v>2</v>
      </c>
      <c r="G158" s="2">
        <v>260256</v>
      </c>
      <c r="H158" s="2">
        <v>5634</v>
      </c>
      <c r="I158" s="2">
        <v>163</v>
      </c>
      <c r="J158" s="2">
        <v>5471</v>
      </c>
      <c r="K158" s="268">
        <v>0.97106851299999997</v>
      </c>
      <c r="L158" s="268">
        <v>218.4904153</v>
      </c>
    </row>
    <row r="159" spans="1:12" x14ac:dyDescent="0.25">
      <c r="A159" s="2">
        <v>540125</v>
      </c>
      <c r="B159" s="2" t="s">
        <v>210</v>
      </c>
      <c r="C159" s="2" t="s">
        <v>53</v>
      </c>
      <c r="D159" s="2" t="s">
        <v>115</v>
      </c>
      <c r="E159" s="2">
        <v>1</v>
      </c>
      <c r="F159" s="2">
        <v>2</v>
      </c>
      <c r="G159" s="2">
        <v>374</v>
      </c>
      <c r="H159" s="2">
        <v>14</v>
      </c>
      <c r="I159" s="2">
        <v>0</v>
      </c>
      <c r="J159" s="2">
        <v>14</v>
      </c>
      <c r="K159" s="268">
        <v>1</v>
      </c>
      <c r="L159" s="268">
        <v>225</v>
      </c>
    </row>
    <row r="160" spans="1:12" x14ac:dyDescent="0.25">
      <c r="A160" s="2">
        <v>540126</v>
      </c>
      <c r="B160" s="2" t="s">
        <v>211</v>
      </c>
      <c r="C160" s="2" t="s">
        <v>53</v>
      </c>
      <c r="D160" s="2" t="s">
        <v>115</v>
      </c>
      <c r="E160" s="2">
        <v>1</v>
      </c>
      <c r="F160" s="2">
        <v>2</v>
      </c>
      <c r="G160" s="2">
        <v>169</v>
      </c>
      <c r="H160" s="2">
        <v>24</v>
      </c>
      <c r="I160" s="2">
        <v>1</v>
      </c>
      <c r="J160" s="2">
        <v>23</v>
      </c>
      <c r="K160" s="268">
        <v>0.95833333300000001</v>
      </c>
      <c r="L160" s="268">
        <v>215.625</v>
      </c>
    </row>
    <row r="161" spans="1:12" x14ac:dyDescent="0.25">
      <c r="A161" s="2">
        <v>540127</v>
      </c>
      <c r="B161" s="2" t="s">
        <v>212</v>
      </c>
      <c r="C161" s="2" t="s">
        <v>53</v>
      </c>
      <c r="D161" s="2" t="s">
        <v>115</v>
      </c>
      <c r="E161" s="2">
        <v>1</v>
      </c>
      <c r="F161" s="2">
        <v>2</v>
      </c>
      <c r="G161" s="2">
        <v>269</v>
      </c>
      <c r="H161" s="2">
        <v>19</v>
      </c>
      <c r="I161" s="2">
        <v>3</v>
      </c>
      <c r="J161" s="2">
        <v>16</v>
      </c>
      <c r="K161" s="268">
        <v>0.84210526299999999</v>
      </c>
      <c r="L161" s="268">
        <v>189.47368420000001</v>
      </c>
    </row>
    <row r="162" spans="1:12" x14ac:dyDescent="0.25">
      <c r="A162" s="2">
        <v>540128</v>
      </c>
      <c r="B162" s="2" t="s">
        <v>213</v>
      </c>
      <c r="C162" s="2" t="s">
        <v>53</v>
      </c>
      <c r="D162" s="2" t="s">
        <v>115</v>
      </c>
      <c r="E162" s="2">
        <v>1</v>
      </c>
      <c r="F162" s="2">
        <v>2</v>
      </c>
      <c r="G162" s="2">
        <v>1953</v>
      </c>
      <c r="H162" s="2">
        <v>290</v>
      </c>
      <c r="I162" s="2">
        <v>0</v>
      </c>
      <c r="J162" s="2">
        <v>290</v>
      </c>
      <c r="K162" s="268">
        <v>1</v>
      </c>
      <c r="L162" s="268">
        <v>225</v>
      </c>
    </row>
    <row r="163" spans="1:12" x14ac:dyDescent="0.25">
      <c r="A163" s="2">
        <v>540172</v>
      </c>
      <c r="B163" s="2" t="s">
        <v>244</v>
      </c>
      <c r="C163" s="2" t="s">
        <v>53</v>
      </c>
      <c r="D163" s="2" t="s">
        <v>115</v>
      </c>
      <c r="E163" s="2">
        <v>1</v>
      </c>
      <c r="F163" s="2">
        <v>2</v>
      </c>
      <c r="G163" s="2">
        <v>252</v>
      </c>
      <c r="H163" s="2">
        <v>0</v>
      </c>
      <c r="I163" s="2">
        <v>0</v>
      </c>
      <c r="J163" s="2">
        <v>0</v>
      </c>
      <c r="K163" s="268" t="s">
        <v>488</v>
      </c>
      <c r="L163" s="268" t="s">
        <v>488</v>
      </c>
    </row>
    <row r="164" spans="1:12" x14ac:dyDescent="0.25">
      <c r="A164" s="2">
        <v>540285</v>
      </c>
      <c r="B164" s="2" t="s">
        <v>324</v>
      </c>
      <c r="C164" s="2" t="s">
        <v>53</v>
      </c>
      <c r="D164" s="2" t="s">
        <v>115</v>
      </c>
      <c r="E164" s="2">
        <v>1</v>
      </c>
      <c r="F164" s="2">
        <v>2</v>
      </c>
      <c r="G164" s="2">
        <v>5771</v>
      </c>
      <c r="H164" s="2">
        <v>8</v>
      </c>
      <c r="I164" s="2">
        <v>0</v>
      </c>
      <c r="J164" s="2">
        <v>8</v>
      </c>
      <c r="K164" s="268">
        <v>1</v>
      </c>
      <c r="L164" s="268">
        <v>225</v>
      </c>
    </row>
    <row r="165" spans="1:12" x14ac:dyDescent="0.25">
      <c r="A165" s="255"/>
      <c r="B165" s="255"/>
      <c r="C165" s="255" t="s">
        <v>53</v>
      </c>
      <c r="D165" s="255"/>
      <c r="E165" s="255"/>
      <c r="F165" s="255"/>
      <c r="G165" s="255">
        <v>269044</v>
      </c>
      <c r="H165" s="255">
        <v>5989</v>
      </c>
      <c r="I165" s="255">
        <v>167</v>
      </c>
      <c r="J165" s="255">
        <v>5822</v>
      </c>
      <c r="K165" s="274">
        <v>0.97211554499999997</v>
      </c>
      <c r="L165" s="274">
        <v>218.72599769999999</v>
      </c>
    </row>
    <row r="166" spans="1:12" x14ac:dyDescent="0.25">
      <c r="A166" s="2">
        <v>540129</v>
      </c>
      <c r="B166" s="2" t="s">
        <v>54</v>
      </c>
      <c r="C166" s="2" t="s">
        <v>55</v>
      </c>
      <c r="D166" s="2" t="s">
        <v>5</v>
      </c>
      <c r="E166" s="2">
        <v>8</v>
      </c>
      <c r="F166" s="2">
        <v>2</v>
      </c>
      <c r="G166" s="2">
        <v>208143</v>
      </c>
      <c r="H166" s="2">
        <v>6672</v>
      </c>
      <c r="I166" s="2">
        <v>152</v>
      </c>
      <c r="J166" s="2">
        <v>6520</v>
      </c>
      <c r="K166" s="268">
        <v>0.977218225</v>
      </c>
      <c r="L166" s="268">
        <v>219.87410070000001</v>
      </c>
    </row>
    <row r="167" spans="1:12" x14ac:dyDescent="0.25">
      <c r="A167" s="2">
        <v>540130</v>
      </c>
      <c r="B167" s="2" t="s">
        <v>214</v>
      </c>
      <c r="C167" s="2" t="s">
        <v>55</v>
      </c>
      <c r="D167" s="2" t="s">
        <v>115</v>
      </c>
      <c r="E167" s="2">
        <v>8</v>
      </c>
      <c r="F167" s="2">
        <v>2</v>
      </c>
      <c r="G167" s="2">
        <v>1259</v>
      </c>
      <c r="H167" s="2">
        <v>96</v>
      </c>
      <c r="I167" s="2">
        <v>5</v>
      </c>
      <c r="J167" s="2">
        <v>91</v>
      </c>
      <c r="K167" s="268">
        <v>0.94791666699999999</v>
      </c>
      <c r="L167" s="268">
        <v>213.28125</v>
      </c>
    </row>
    <row r="168" spans="1:12" x14ac:dyDescent="0.25">
      <c r="A168" s="2">
        <v>540131</v>
      </c>
      <c r="B168" s="2" t="s">
        <v>215</v>
      </c>
      <c r="C168" s="2" t="s">
        <v>55</v>
      </c>
      <c r="D168" s="2" t="s">
        <v>115</v>
      </c>
      <c r="E168" s="2">
        <v>8</v>
      </c>
      <c r="F168" s="2">
        <v>2</v>
      </c>
      <c r="G168" s="2">
        <v>244</v>
      </c>
      <c r="H168" s="2">
        <v>19</v>
      </c>
      <c r="I168" s="2">
        <v>1</v>
      </c>
      <c r="J168" s="2">
        <v>18</v>
      </c>
      <c r="K168" s="268">
        <v>0.94736842099999996</v>
      </c>
      <c r="L168" s="268">
        <v>213.15789470000001</v>
      </c>
    </row>
    <row r="169" spans="1:12" x14ac:dyDescent="0.25">
      <c r="A169" s="2">
        <v>540155</v>
      </c>
      <c r="B169" s="2" t="s">
        <v>231</v>
      </c>
      <c r="C169" s="2" t="s">
        <v>55</v>
      </c>
      <c r="D169" s="2" t="s">
        <v>115</v>
      </c>
      <c r="E169" s="2">
        <v>8</v>
      </c>
      <c r="F169" s="2">
        <v>2</v>
      </c>
      <c r="G169" s="2">
        <v>187</v>
      </c>
      <c r="H169" s="2">
        <v>20</v>
      </c>
      <c r="I169" s="2">
        <v>0</v>
      </c>
      <c r="J169" s="2">
        <v>20</v>
      </c>
      <c r="K169" s="268">
        <v>1</v>
      </c>
      <c r="L169" s="268">
        <v>225</v>
      </c>
    </row>
    <row r="170" spans="1:12" x14ac:dyDescent="0.25">
      <c r="A170" s="2">
        <v>545555</v>
      </c>
      <c r="B170" s="2" t="s">
        <v>336</v>
      </c>
      <c r="C170" s="2" t="s">
        <v>55</v>
      </c>
      <c r="D170" s="2" t="s">
        <v>115</v>
      </c>
      <c r="E170" s="2">
        <v>8</v>
      </c>
      <c r="F170" s="2">
        <v>2</v>
      </c>
      <c r="G170" s="2">
        <v>835</v>
      </c>
      <c r="H170" s="2">
        <v>33</v>
      </c>
      <c r="I170" s="2">
        <v>0</v>
      </c>
      <c r="J170" s="2">
        <v>33</v>
      </c>
      <c r="K170" s="268">
        <v>1</v>
      </c>
      <c r="L170" s="268">
        <v>225</v>
      </c>
    </row>
    <row r="171" spans="1:12" x14ac:dyDescent="0.25">
      <c r="A171" s="2">
        <v>540091</v>
      </c>
      <c r="B171" s="2" t="s">
        <v>338</v>
      </c>
      <c r="C171" s="2" t="s">
        <v>55</v>
      </c>
      <c r="D171" s="2" t="s">
        <v>115</v>
      </c>
      <c r="E171" s="2">
        <v>8</v>
      </c>
      <c r="F171" s="2">
        <v>2</v>
      </c>
      <c r="G171" s="2">
        <v>165</v>
      </c>
      <c r="H171" s="2">
        <v>0</v>
      </c>
      <c r="I171" s="2">
        <v>0</v>
      </c>
      <c r="J171" s="2">
        <v>0</v>
      </c>
      <c r="K171" s="268" t="s">
        <v>488</v>
      </c>
      <c r="L171" s="268" t="s">
        <v>488</v>
      </c>
    </row>
    <row r="172" spans="1:12" x14ac:dyDescent="0.25">
      <c r="A172" s="255"/>
      <c r="B172" s="255"/>
      <c r="C172" s="255" t="s">
        <v>55</v>
      </c>
      <c r="D172" s="255"/>
      <c r="E172" s="255"/>
      <c r="F172" s="255"/>
      <c r="G172" s="255">
        <v>210833</v>
      </c>
      <c r="H172" s="255">
        <v>6840</v>
      </c>
      <c r="I172" s="255">
        <v>158</v>
      </c>
      <c r="J172" s="255">
        <v>6682</v>
      </c>
      <c r="K172" s="274">
        <v>0.97690058499999999</v>
      </c>
      <c r="L172" s="274">
        <v>219.80263160000001</v>
      </c>
    </row>
    <row r="173" spans="1:12" x14ac:dyDescent="0.25">
      <c r="A173" s="2">
        <v>540133</v>
      </c>
      <c r="B173" s="2" t="s">
        <v>56</v>
      </c>
      <c r="C173" s="2" t="s">
        <v>57</v>
      </c>
      <c r="D173" s="2" t="s">
        <v>5</v>
      </c>
      <c r="E173" s="2">
        <v>2</v>
      </c>
      <c r="F173" s="2">
        <v>2</v>
      </c>
      <c r="G173" s="2">
        <v>266606</v>
      </c>
      <c r="H173" s="2">
        <v>3161</v>
      </c>
      <c r="I173" s="2">
        <v>52</v>
      </c>
      <c r="J173" s="2">
        <v>3109</v>
      </c>
      <c r="K173" s="268">
        <v>0.98354951000000002</v>
      </c>
      <c r="L173" s="268">
        <v>221.2986397</v>
      </c>
    </row>
    <row r="174" spans="1:12" x14ac:dyDescent="0.25">
      <c r="A174" s="2">
        <v>540134</v>
      </c>
      <c r="B174" s="2" t="s">
        <v>217</v>
      </c>
      <c r="C174" s="2" t="s">
        <v>57</v>
      </c>
      <c r="D174" s="2" t="s">
        <v>115</v>
      </c>
      <c r="E174" s="2">
        <v>2</v>
      </c>
      <c r="F174" s="2">
        <v>2</v>
      </c>
      <c r="G174" s="2">
        <v>1272</v>
      </c>
      <c r="H174" s="2">
        <v>35</v>
      </c>
      <c r="I174" s="2">
        <v>0</v>
      </c>
      <c r="J174" s="2">
        <v>35</v>
      </c>
      <c r="K174" s="268">
        <v>1</v>
      </c>
      <c r="L174" s="268">
        <v>225</v>
      </c>
    </row>
    <row r="175" spans="1:12" x14ac:dyDescent="0.25">
      <c r="A175" s="2">
        <v>540135</v>
      </c>
      <c r="B175" s="2" t="s">
        <v>218</v>
      </c>
      <c r="C175" s="2" t="s">
        <v>57</v>
      </c>
      <c r="D175" s="2" t="s">
        <v>115</v>
      </c>
      <c r="E175" s="2">
        <v>2</v>
      </c>
      <c r="F175" s="2">
        <v>2</v>
      </c>
      <c r="G175" s="2">
        <v>666</v>
      </c>
      <c r="H175" s="2">
        <v>20</v>
      </c>
      <c r="I175" s="2">
        <v>0</v>
      </c>
      <c r="J175" s="2">
        <v>20</v>
      </c>
      <c r="K175" s="268">
        <v>1</v>
      </c>
      <c r="L175" s="268">
        <v>225</v>
      </c>
    </row>
    <row r="176" spans="1:12" x14ac:dyDescent="0.25">
      <c r="A176" s="2">
        <v>540136</v>
      </c>
      <c r="B176" s="2" t="s">
        <v>219</v>
      </c>
      <c r="C176" s="2" t="s">
        <v>57</v>
      </c>
      <c r="D176" s="2" t="s">
        <v>115</v>
      </c>
      <c r="E176" s="2">
        <v>2</v>
      </c>
      <c r="F176" s="2">
        <v>2</v>
      </c>
      <c r="G176" s="2">
        <v>251</v>
      </c>
      <c r="H176" s="2">
        <v>36</v>
      </c>
      <c r="I176" s="2">
        <v>3</v>
      </c>
      <c r="J176" s="2">
        <v>33</v>
      </c>
      <c r="K176" s="268">
        <v>0.91666666699999999</v>
      </c>
      <c r="L176" s="268">
        <v>206.25</v>
      </c>
    </row>
    <row r="177" spans="1:12" x14ac:dyDescent="0.25">
      <c r="A177" s="2">
        <v>540138</v>
      </c>
      <c r="B177" s="2" t="s">
        <v>221</v>
      </c>
      <c r="C177" s="2" t="s">
        <v>57</v>
      </c>
      <c r="D177" s="2" t="s">
        <v>115</v>
      </c>
      <c r="E177" s="2">
        <v>2</v>
      </c>
      <c r="F177" s="2">
        <v>2</v>
      </c>
      <c r="G177" s="2">
        <v>2074</v>
      </c>
      <c r="H177" s="2">
        <v>134</v>
      </c>
      <c r="I177" s="2">
        <v>2</v>
      </c>
      <c r="J177" s="2">
        <v>132</v>
      </c>
      <c r="K177" s="268">
        <v>0.98507462700000004</v>
      </c>
      <c r="L177" s="268">
        <v>221.64179100000001</v>
      </c>
    </row>
    <row r="178" spans="1:12" x14ac:dyDescent="0.25">
      <c r="A178" s="2">
        <v>545538</v>
      </c>
      <c r="B178" s="2" t="s">
        <v>334</v>
      </c>
      <c r="C178" s="2" t="s">
        <v>57</v>
      </c>
      <c r="D178" s="2" t="s">
        <v>115</v>
      </c>
      <c r="E178" s="2">
        <v>2</v>
      </c>
      <c r="F178" s="2">
        <v>2</v>
      </c>
      <c r="G178" s="2">
        <v>348</v>
      </c>
      <c r="H178" s="2">
        <v>61</v>
      </c>
      <c r="I178" s="2">
        <v>0</v>
      </c>
      <c r="J178" s="2">
        <v>61</v>
      </c>
      <c r="K178" s="268">
        <v>1</v>
      </c>
      <c r="L178" s="268">
        <v>225</v>
      </c>
    </row>
    <row r="179" spans="1:12" x14ac:dyDescent="0.25">
      <c r="A179" s="255"/>
      <c r="B179" s="255"/>
      <c r="C179" s="255" t="s">
        <v>57</v>
      </c>
      <c r="D179" s="255"/>
      <c r="E179" s="255"/>
      <c r="F179" s="255"/>
      <c r="G179" s="255">
        <v>271217</v>
      </c>
      <c r="H179" s="255">
        <v>3447</v>
      </c>
      <c r="I179" s="255">
        <v>57</v>
      </c>
      <c r="J179" s="255">
        <v>3390</v>
      </c>
      <c r="K179" s="274">
        <v>0.98346388200000001</v>
      </c>
      <c r="L179" s="274">
        <v>221.2793734</v>
      </c>
    </row>
    <row r="180" spans="1:12" x14ac:dyDescent="0.25">
      <c r="A180" s="2">
        <v>540139</v>
      </c>
      <c r="B180" s="2" t="s">
        <v>58</v>
      </c>
      <c r="C180" s="2" t="s">
        <v>59</v>
      </c>
      <c r="D180" s="2" t="s">
        <v>5</v>
      </c>
      <c r="E180" s="2">
        <v>6</v>
      </c>
      <c r="F180" s="2">
        <v>2</v>
      </c>
      <c r="G180" s="2">
        <v>224992</v>
      </c>
      <c r="H180" s="2">
        <v>3991</v>
      </c>
      <c r="I180" s="2">
        <v>105</v>
      </c>
      <c r="J180" s="2">
        <v>3886</v>
      </c>
      <c r="K180" s="268">
        <v>0.97369080399999997</v>
      </c>
      <c r="L180" s="268">
        <v>219.080431</v>
      </c>
    </row>
    <row r="181" spans="1:12" x14ac:dyDescent="0.25">
      <c r="A181" s="2">
        <v>540140</v>
      </c>
      <c r="B181" s="2" t="s">
        <v>222</v>
      </c>
      <c r="C181" s="2" t="s">
        <v>59</v>
      </c>
      <c r="D181" s="2" t="s">
        <v>115</v>
      </c>
      <c r="E181" s="2">
        <v>6</v>
      </c>
      <c r="F181" s="2">
        <v>2</v>
      </c>
      <c r="G181" s="2">
        <v>198</v>
      </c>
      <c r="H181" s="2">
        <v>11</v>
      </c>
      <c r="I181" s="2">
        <v>0</v>
      </c>
      <c r="J181" s="2">
        <v>11</v>
      </c>
      <c r="K181" s="268">
        <v>1</v>
      </c>
      <c r="L181" s="268">
        <v>225</v>
      </c>
    </row>
    <row r="182" spans="1:12" x14ac:dyDescent="0.25">
      <c r="A182" s="2">
        <v>540141</v>
      </c>
      <c r="B182" s="2" t="s">
        <v>223</v>
      </c>
      <c r="C182" s="2" t="s">
        <v>59</v>
      </c>
      <c r="D182" s="2" t="s">
        <v>115</v>
      </c>
      <c r="E182" s="2">
        <v>6</v>
      </c>
      <c r="F182" s="2">
        <v>2</v>
      </c>
      <c r="G182" s="2">
        <v>6672</v>
      </c>
      <c r="H182" s="2">
        <v>198</v>
      </c>
      <c r="I182" s="2">
        <v>15</v>
      </c>
      <c r="J182" s="2">
        <v>183</v>
      </c>
      <c r="K182" s="268">
        <v>0.92424242400000001</v>
      </c>
      <c r="L182" s="268">
        <v>207.95454549999999</v>
      </c>
    </row>
    <row r="183" spans="1:12" x14ac:dyDescent="0.25">
      <c r="A183" s="2">
        <v>540272</v>
      </c>
      <c r="B183" s="2" t="s">
        <v>315</v>
      </c>
      <c r="C183" s="2" t="s">
        <v>59</v>
      </c>
      <c r="D183" s="2" t="s">
        <v>115</v>
      </c>
      <c r="E183" s="2">
        <v>6</v>
      </c>
      <c r="F183" s="2">
        <v>2</v>
      </c>
      <c r="G183" s="2">
        <v>831</v>
      </c>
      <c r="H183" s="2">
        <v>23</v>
      </c>
      <c r="I183" s="2">
        <v>4</v>
      </c>
      <c r="J183" s="2">
        <v>19</v>
      </c>
      <c r="K183" s="268">
        <v>0.82608695700000001</v>
      </c>
      <c r="L183" s="268">
        <v>185.86956520000001</v>
      </c>
    </row>
    <row r="184" spans="1:12" x14ac:dyDescent="0.25">
      <c r="A184" s="2">
        <v>540273</v>
      </c>
      <c r="B184" s="2" t="s">
        <v>316</v>
      </c>
      <c r="C184" s="2" t="s">
        <v>59</v>
      </c>
      <c r="D184" s="2" t="s">
        <v>115</v>
      </c>
      <c r="E184" s="2">
        <v>6</v>
      </c>
      <c r="F184" s="2">
        <v>2</v>
      </c>
      <c r="G184" s="2">
        <v>378</v>
      </c>
      <c r="H184" s="2">
        <v>7</v>
      </c>
      <c r="I184" s="2">
        <v>1</v>
      </c>
      <c r="J184" s="2">
        <v>6</v>
      </c>
      <c r="K184" s="268">
        <v>0.85714285700000004</v>
      </c>
      <c r="L184" s="268">
        <v>192.85714290000001</v>
      </c>
    </row>
    <row r="185" spans="1:12" x14ac:dyDescent="0.25">
      <c r="A185" s="2">
        <v>540274</v>
      </c>
      <c r="B185" s="2" t="s">
        <v>317</v>
      </c>
      <c r="C185" s="2" t="s">
        <v>59</v>
      </c>
      <c r="D185" s="2" t="s">
        <v>115</v>
      </c>
      <c r="E185" s="2">
        <v>6</v>
      </c>
      <c r="F185" s="2">
        <v>2</v>
      </c>
      <c r="G185" s="2">
        <v>963</v>
      </c>
      <c r="H185" s="2">
        <v>23</v>
      </c>
      <c r="I185" s="2">
        <v>1</v>
      </c>
      <c r="J185" s="2">
        <v>22</v>
      </c>
      <c r="K185" s="268">
        <v>0.95652173900000004</v>
      </c>
      <c r="L185" s="268">
        <v>215.2173913</v>
      </c>
    </row>
    <row r="186" spans="1:12" x14ac:dyDescent="0.25">
      <c r="A186" s="255"/>
      <c r="B186" s="255"/>
      <c r="C186" s="255" t="s">
        <v>59</v>
      </c>
      <c r="D186" s="255"/>
      <c r="E186" s="255"/>
      <c r="F186" s="255"/>
      <c r="G186" s="255">
        <v>234034</v>
      </c>
      <c r="H186" s="255">
        <v>4253</v>
      </c>
      <c r="I186" s="255">
        <v>126</v>
      </c>
      <c r="J186" s="255">
        <v>4127</v>
      </c>
      <c r="K186" s="274">
        <v>0.97037385399999998</v>
      </c>
      <c r="L186" s="274">
        <v>218.33411709999999</v>
      </c>
    </row>
    <row r="187" spans="1:12" x14ac:dyDescent="0.25">
      <c r="A187" s="2">
        <v>540144</v>
      </c>
      <c r="B187" s="2" t="s">
        <v>60</v>
      </c>
      <c r="C187" s="2" t="s">
        <v>61</v>
      </c>
      <c r="D187" s="2" t="s">
        <v>5</v>
      </c>
      <c r="E187" s="2">
        <v>9</v>
      </c>
      <c r="F187" s="2">
        <v>2</v>
      </c>
      <c r="G187" s="2">
        <v>146585</v>
      </c>
      <c r="H187" s="2">
        <v>6924</v>
      </c>
      <c r="I187" s="2">
        <v>119</v>
      </c>
      <c r="J187" s="2">
        <v>6805</v>
      </c>
      <c r="K187" s="268">
        <v>0.98281340299999997</v>
      </c>
      <c r="L187" s="268">
        <v>221.13301559999999</v>
      </c>
    </row>
    <row r="188" spans="1:12" x14ac:dyDescent="0.25">
      <c r="A188" s="2">
        <v>540005</v>
      </c>
      <c r="B188" s="2" t="s">
        <v>118</v>
      </c>
      <c r="C188" s="2" t="s">
        <v>61</v>
      </c>
      <c r="D188" s="2" t="s">
        <v>115</v>
      </c>
      <c r="E188" s="2">
        <v>9</v>
      </c>
      <c r="F188" s="2">
        <v>2</v>
      </c>
      <c r="G188" s="2">
        <v>215</v>
      </c>
      <c r="H188" s="2">
        <v>20</v>
      </c>
      <c r="I188" s="2">
        <v>3</v>
      </c>
      <c r="J188" s="2">
        <v>17</v>
      </c>
      <c r="K188" s="268">
        <v>0.85</v>
      </c>
      <c r="L188" s="268">
        <v>191.25</v>
      </c>
    </row>
    <row r="189" spans="1:12" x14ac:dyDescent="0.25">
      <c r="A189" s="2">
        <v>540252</v>
      </c>
      <c r="B189" s="2" t="s">
        <v>298</v>
      </c>
      <c r="C189" s="2" t="s">
        <v>61</v>
      </c>
      <c r="D189" s="2" t="s">
        <v>115</v>
      </c>
      <c r="E189" s="2">
        <v>9</v>
      </c>
      <c r="F189" s="2">
        <v>2</v>
      </c>
      <c r="G189" s="2">
        <v>340</v>
      </c>
      <c r="H189" s="2">
        <v>115</v>
      </c>
      <c r="I189" s="2">
        <v>2</v>
      </c>
      <c r="J189" s="2">
        <v>113</v>
      </c>
      <c r="K189" s="268">
        <v>0.982608696</v>
      </c>
      <c r="L189" s="268">
        <v>221.08695650000001</v>
      </c>
    </row>
    <row r="190" spans="1:12" x14ac:dyDescent="0.25">
      <c r="A190" s="255"/>
      <c r="B190" s="255"/>
      <c r="C190" s="255" t="s">
        <v>61</v>
      </c>
      <c r="D190" s="255"/>
      <c r="E190" s="255"/>
      <c r="F190" s="255"/>
      <c r="G190" s="255">
        <v>147140</v>
      </c>
      <c r="H190" s="255">
        <v>7059</v>
      </c>
      <c r="I190" s="255">
        <v>124</v>
      </c>
      <c r="J190" s="255">
        <v>6935</v>
      </c>
      <c r="K190" s="274">
        <v>0.98243377200000004</v>
      </c>
      <c r="L190" s="274">
        <v>221.0475988</v>
      </c>
    </row>
    <row r="191" spans="1:12" x14ac:dyDescent="0.25">
      <c r="A191" s="2">
        <v>540146</v>
      </c>
      <c r="B191" s="2" t="s">
        <v>62</v>
      </c>
      <c r="C191" s="2" t="s">
        <v>63</v>
      </c>
      <c r="D191" s="2" t="s">
        <v>5</v>
      </c>
      <c r="E191" s="2">
        <v>4</v>
      </c>
      <c r="F191" s="2">
        <v>2</v>
      </c>
      <c r="G191" s="2">
        <v>414533</v>
      </c>
      <c r="H191" s="2">
        <v>7226</v>
      </c>
      <c r="I191" s="2">
        <v>1</v>
      </c>
      <c r="J191" s="2">
        <v>7225</v>
      </c>
      <c r="K191" s="268">
        <v>0.99986161100000004</v>
      </c>
      <c r="L191" s="268">
        <v>224.96886240000001</v>
      </c>
    </row>
    <row r="192" spans="1:12" x14ac:dyDescent="0.25">
      <c r="A192" s="2">
        <v>540147</v>
      </c>
      <c r="B192" s="2" t="s">
        <v>225</v>
      </c>
      <c r="C192" s="2" t="s">
        <v>63</v>
      </c>
      <c r="D192" s="2" t="s">
        <v>115</v>
      </c>
      <c r="E192" s="2">
        <v>4</v>
      </c>
      <c r="F192" s="2">
        <v>2</v>
      </c>
      <c r="G192" s="2">
        <v>1068</v>
      </c>
      <c r="H192" s="2">
        <v>121</v>
      </c>
      <c r="I192" s="2">
        <v>8</v>
      </c>
      <c r="J192" s="2">
        <v>113</v>
      </c>
      <c r="K192" s="268">
        <v>0.93388429799999995</v>
      </c>
      <c r="L192" s="268">
        <v>210.1239669</v>
      </c>
    </row>
    <row r="193" spans="1:12" x14ac:dyDescent="0.25">
      <c r="A193" s="2">
        <v>540148</v>
      </c>
      <c r="B193" s="2" t="s">
        <v>226</v>
      </c>
      <c r="C193" s="2" t="s">
        <v>63</v>
      </c>
      <c r="D193" s="2" t="s">
        <v>115</v>
      </c>
      <c r="E193" s="2">
        <v>4</v>
      </c>
      <c r="F193" s="2">
        <v>2</v>
      </c>
      <c r="G193" s="2">
        <v>2897</v>
      </c>
      <c r="H193" s="2">
        <v>92</v>
      </c>
      <c r="I193" s="2">
        <v>3</v>
      </c>
      <c r="J193" s="2">
        <v>89</v>
      </c>
      <c r="K193" s="268">
        <v>0.96739130399999995</v>
      </c>
      <c r="L193" s="268">
        <v>217.66304349999999</v>
      </c>
    </row>
    <row r="194" spans="1:12" x14ac:dyDescent="0.25">
      <c r="A194" s="255"/>
      <c r="B194" s="255"/>
      <c r="C194" s="255" t="s">
        <v>63</v>
      </c>
      <c r="D194" s="255"/>
      <c r="E194" s="255"/>
      <c r="F194" s="255"/>
      <c r="G194" s="255">
        <v>418498</v>
      </c>
      <c r="H194" s="255">
        <v>7439</v>
      </c>
      <c r="I194" s="255">
        <v>12</v>
      </c>
      <c r="J194" s="255">
        <v>7427</v>
      </c>
      <c r="K194" s="274">
        <v>0.99838687999999998</v>
      </c>
      <c r="L194" s="274">
        <v>224.63704799999999</v>
      </c>
    </row>
    <row r="195" spans="1:12" x14ac:dyDescent="0.25">
      <c r="A195" s="2">
        <v>540149</v>
      </c>
      <c r="B195" s="2" t="s">
        <v>64</v>
      </c>
      <c r="C195" s="2" t="s">
        <v>65</v>
      </c>
      <c r="D195" s="2" t="s">
        <v>5</v>
      </c>
      <c r="E195" s="2">
        <v>10</v>
      </c>
      <c r="F195" s="2">
        <v>2</v>
      </c>
      <c r="G195" s="2">
        <v>55697</v>
      </c>
      <c r="H195" s="2">
        <v>1096</v>
      </c>
      <c r="I195" s="2">
        <v>22</v>
      </c>
      <c r="J195" s="2">
        <v>1074</v>
      </c>
      <c r="K195" s="268">
        <v>0.97992700700000002</v>
      </c>
      <c r="L195" s="268">
        <v>220.48357659999999</v>
      </c>
    </row>
    <row r="196" spans="1:12" x14ac:dyDescent="0.25">
      <c r="A196" s="2">
        <v>540080</v>
      </c>
      <c r="B196" s="2" t="s">
        <v>175</v>
      </c>
      <c r="C196" s="2" t="s">
        <v>65</v>
      </c>
      <c r="D196" s="2" t="s">
        <v>115</v>
      </c>
      <c r="E196" s="2">
        <v>10</v>
      </c>
      <c r="F196" s="2">
        <v>2</v>
      </c>
      <c r="G196" s="2">
        <v>259</v>
      </c>
      <c r="H196" s="2">
        <v>0</v>
      </c>
      <c r="I196" s="2">
        <v>0</v>
      </c>
      <c r="J196" s="2">
        <v>0</v>
      </c>
      <c r="K196" s="268" t="s">
        <v>488</v>
      </c>
      <c r="L196" s="268" t="s">
        <v>488</v>
      </c>
    </row>
    <row r="197" spans="1:12" x14ac:dyDescent="0.25">
      <c r="A197" s="2">
        <v>540094</v>
      </c>
      <c r="B197" s="2" t="s">
        <v>185</v>
      </c>
      <c r="C197" s="2" t="s">
        <v>65</v>
      </c>
      <c r="D197" s="2" t="s">
        <v>115</v>
      </c>
      <c r="E197" s="2">
        <v>10</v>
      </c>
      <c r="F197" s="2">
        <v>2</v>
      </c>
      <c r="G197" s="2">
        <v>700</v>
      </c>
      <c r="H197" s="2">
        <v>28</v>
      </c>
      <c r="I197" s="2">
        <v>0</v>
      </c>
      <c r="J197" s="2">
        <v>28</v>
      </c>
      <c r="K197" s="268">
        <v>1</v>
      </c>
      <c r="L197" s="268">
        <v>225</v>
      </c>
    </row>
    <row r="198" spans="1:12" x14ac:dyDescent="0.25">
      <c r="A198" s="2">
        <v>540150</v>
      </c>
      <c r="B198" s="2" t="s">
        <v>227</v>
      </c>
      <c r="C198" s="2" t="s">
        <v>65</v>
      </c>
      <c r="D198" s="2" t="s">
        <v>115</v>
      </c>
      <c r="E198" s="2">
        <v>10</v>
      </c>
      <c r="F198" s="2">
        <v>2</v>
      </c>
      <c r="G198" s="2">
        <v>432</v>
      </c>
      <c r="H198" s="2">
        <v>33</v>
      </c>
      <c r="I198" s="2">
        <v>1</v>
      </c>
      <c r="J198" s="2">
        <v>32</v>
      </c>
      <c r="K198" s="268">
        <v>0.96969696999999999</v>
      </c>
      <c r="L198" s="268">
        <v>218.18181820000001</v>
      </c>
    </row>
    <row r="199" spans="1:12" x14ac:dyDescent="0.25">
      <c r="A199" s="2">
        <v>540151</v>
      </c>
      <c r="B199" s="2" t="s">
        <v>228</v>
      </c>
      <c r="C199" s="2" t="s">
        <v>65</v>
      </c>
      <c r="D199" s="2" t="s">
        <v>115</v>
      </c>
      <c r="E199" s="2">
        <v>10</v>
      </c>
      <c r="F199" s="2">
        <v>2</v>
      </c>
      <c r="G199" s="2">
        <v>350</v>
      </c>
      <c r="H199" s="2">
        <v>75</v>
      </c>
      <c r="I199" s="2">
        <v>2</v>
      </c>
      <c r="J199" s="2">
        <v>73</v>
      </c>
      <c r="K199" s="268">
        <v>0.97333333300000002</v>
      </c>
      <c r="L199" s="268">
        <v>219</v>
      </c>
    </row>
    <row r="200" spans="1:12" x14ac:dyDescent="0.25">
      <c r="A200" s="2">
        <v>540152</v>
      </c>
      <c r="B200" s="2" t="s">
        <v>229</v>
      </c>
      <c r="C200" s="2" t="s">
        <v>65</v>
      </c>
      <c r="D200" s="2" t="s">
        <v>115</v>
      </c>
      <c r="E200" s="2">
        <v>10</v>
      </c>
      <c r="F200" s="2">
        <v>2</v>
      </c>
      <c r="G200" s="2">
        <v>9969</v>
      </c>
      <c r="H200" s="2">
        <v>928</v>
      </c>
      <c r="I200" s="2">
        <v>17</v>
      </c>
      <c r="J200" s="2">
        <v>911</v>
      </c>
      <c r="K200" s="268">
        <v>0.98168103399999995</v>
      </c>
      <c r="L200" s="268">
        <v>220.87823280000001</v>
      </c>
    </row>
    <row r="201" spans="1:12" x14ac:dyDescent="0.25">
      <c r="A201" s="2">
        <v>540275</v>
      </c>
      <c r="B201" s="2" t="s">
        <v>318</v>
      </c>
      <c r="C201" s="2" t="s">
        <v>65</v>
      </c>
      <c r="D201" s="2" t="s">
        <v>115</v>
      </c>
      <c r="E201" s="2">
        <v>10</v>
      </c>
      <c r="F201" s="2">
        <v>2</v>
      </c>
      <c r="G201" s="2">
        <v>2268</v>
      </c>
      <c r="H201" s="2">
        <v>0</v>
      </c>
      <c r="I201" s="2">
        <v>0</v>
      </c>
      <c r="J201" s="2">
        <v>0</v>
      </c>
      <c r="K201" s="268" t="s">
        <v>488</v>
      </c>
      <c r="L201" s="268" t="s">
        <v>488</v>
      </c>
    </row>
    <row r="202" spans="1:12" x14ac:dyDescent="0.25">
      <c r="A202" s="255"/>
      <c r="B202" s="255"/>
      <c r="C202" s="255" t="s">
        <v>65</v>
      </c>
      <c r="D202" s="255"/>
      <c r="E202" s="255"/>
      <c r="F202" s="255"/>
      <c r="G202" s="255">
        <v>69675</v>
      </c>
      <c r="H202" s="255">
        <v>2160</v>
      </c>
      <c r="I202" s="255">
        <v>42</v>
      </c>
      <c r="J202" s="255">
        <v>2118</v>
      </c>
      <c r="K202" s="274">
        <v>0.98055555599999999</v>
      </c>
      <c r="L202" s="274">
        <v>220.625</v>
      </c>
    </row>
    <row r="203" spans="1:12" x14ac:dyDescent="0.25">
      <c r="A203" s="2">
        <v>540153</v>
      </c>
      <c r="B203" s="2" t="s">
        <v>66</v>
      </c>
      <c r="C203" s="2" t="s">
        <v>67</v>
      </c>
      <c r="D203" s="2" t="s">
        <v>5</v>
      </c>
      <c r="E203" s="2">
        <v>8</v>
      </c>
      <c r="F203" s="2">
        <v>2</v>
      </c>
      <c r="G203" s="2">
        <v>446299</v>
      </c>
      <c r="H203" s="2">
        <v>12235</v>
      </c>
      <c r="I203" s="2">
        <v>46</v>
      </c>
      <c r="J203" s="2">
        <v>12189</v>
      </c>
      <c r="K203" s="268">
        <v>0.99624029400000003</v>
      </c>
      <c r="L203" s="268">
        <v>224.15406619999999</v>
      </c>
    </row>
    <row r="204" spans="1:12" x14ac:dyDescent="0.25">
      <c r="A204" s="2">
        <v>540154</v>
      </c>
      <c r="B204" s="2" t="s">
        <v>230</v>
      </c>
      <c r="C204" s="2" t="s">
        <v>67</v>
      </c>
      <c r="D204" s="2" t="s">
        <v>115</v>
      </c>
      <c r="E204" s="2">
        <v>8</v>
      </c>
      <c r="F204" s="2">
        <v>2</v>
      </c>
      <c r="G204" s="2">
        <v>361</v>
      </c>
      <c r="H204" s="2">
        <v>28</v>
      </c>
      <c r="I204" s="2">
        <v>8</v>
      </c>
      <c r="J204" s="2">
        <v>20</v>
      </c>
      <c r="K204" s="268">
        <v>0.71428571399999996</v>
      </c>
      <c r="L204" s="268">
        <v>160.7142857</v>
      </c>
    </row>
    <row r="205" spans="1:12" x14ac:dyDescent="0.25">
      <c r="A205" s="255"/>
      <c r="B205" s="255"/>
      <c r="C205" s="255" t="s">
        <v>67</v>
      </c>
      <c r="D205" s="255"/>
      <c r="E205" s="255"/>
      <c r="F205" s="255"/>
      <c r="G205" s="255">
        <v>446660</v>
      </c>
      <c r="H205" s="255">
        <v>12263</v>
      </c>
      <c r="I205" s="255">
        <v>54</v>
      </c>
      <c r="J205" s="255">
        <v>12209</v>
      </c>
      <c r="K205" s="274">
        <v>0.99559651000000005</v>
      </c>
      <c r="L205" s="274">
        <v>224.0092147</v>
      </c>
    </row>
    <row r="206" spans="1:12" x14ac:dyDescent="0.25">
      <c r="A206" s="2">
        <v>540160</v>
      </c>
      <c r="B206" s="2" t="s">
        <v>68</v>
      </c>
      <c r="C206" s="2" t="s">
        <v>69</v>
      </c>
      <c r="D206" s="2" t="s">
        <v>5</v>
      </c>
      <c r="E206" s="2">
        <v>6</v>
      </c>
      <c r="F206" s="2">
        <v>2</v>
      </c>
      <c r="G206" s="2">
        <v>411882</v>
      </c>
      <c r="H206" s="2">
        <v>8190</v>
      </c>
      <c r="I206" s="2">
        <v>233</v>
      </c>
      <c r="J206" s="2">
        <v>7957</v>
      </c>
      <c r="K206" s="268">
        <v>0.971550672</v>
      </c>
      <c r="L206" s="268">
        <v>218.59890110000001</v>
      </c>
    </row>
    <row r="207" spans="1:12" x14ac:dyDescent="0.25">
      <c r="A207" s="2">
        <v>540137</v>
      </c>
      <c r="B207" s="2" t="s">
        <v>220</v>
      </c>
      <c r="C207" s="2" t="s">
        <v>69</v>
      </c>
      <c r="D207" s="2" t="s">
        <v>115</v>
      </c>
      <c r="E207" s="2">
        <v>6</v>
      </c>
      <c r="F207" s="2">
        <v>2</v>
      </c>
      <c r="G207" s="2">
        <v>215</v>
      </c>
      <c r="H207" s="2">
        <v>0</v>
      </c>
      <c r="I207" s="2">
        <v>0</v>
      </c>
      <c r="J207" s="2">
        <v>0</v>
      </c>
      <c r="K207" s="268" t="s">
        <v>488</v>
      </c>
      <c r="L207" s="268" t="s">
        <v>488</v>
      </c>
    </row>
    <row r="208" spans="1:12" x14ac:dyDescent="0.25">
      <c r="A208" s="2">
        <v>540161</v>
      </c>
      <c r="B208" s="2" t="s">
        <v>235</v>
      </c>
      <c r="C208" s="2" t="s">
        <v>69</v>
      </c>
      <c r="D208" s="2" t="s">
        <v>115</v>
      </c>
      <c r="E208" s="2">
        <v>6</v>
      </c>
      <c r="F208" s="2">
        <v>2</v>
      </c>
      <c r="G208" s="2">
        <v>175</v>
      </c>
      <c r="H208" s="2">
        <v>31</v>
      </c>
      <c r="I208" s="2">
        <v>1</v>
      </c>
      <c r="J208" s="2">
        <v>30</v>
      </c>
      <c r="K208" s="268">
        <v>0.96774193500000005</v>
      </c>
      <c r="L208" s="268">
        <v>217.74193550000001</v>
      </c>
    </row>
    <row r="209" spans="1:12" x14ac:dyDescent="0.25">
      <c r="A209" s="2">
        <v>540162</v>
      </c>
      <c r="B209" s="2" t="s">
        <v>236</v>
      </c>
      <c r="C209" s="2" t="s">
        <v>69</v>
      </c>
      <c r="D209" s="2" t="s">
        <v>115</v>
      </c>
      <c r="E209" s="2">
        <v>6</v>
      </c>
      <c r="F209" s="2">
        <v>2</v>
      </c>
      <c r="G209" s="2">
        <v>36</v>
      </c>
      <c r="H209" s="2">
        <v>14</v>
      </c>
      <c r="I209" s="2">
        <v>1</v>
      </c>
      <c r="J209" s="2">
        <v>13</v>
      </c>
      <c r="K209" s="268">
        <v>0.928571429</v>
      </c>
      <c r="L209" s="268">
        <v>208.92857140000001</v>
      </c>
    </row>
    <row r="210" spans="1:12" x14ac:dyDescent="0.25">
      <c r="A210" s="2">
        <v>540163</v>
      </c>
      <c r="B210" s="2" t="s">
        <v>237</v>
      </c>
      <c r="C210" s="2" t="s">
        <v>69</v>
      </c>
      <c r="D210" s="2" t="s">
        <v>115</v>
      </c>
      <c r="E210" s="2">
        <v>6</v>
      </c>
      <c r="F210" s="2">
        <v>2</v>
      </c>
      <c r="G210" s="2">
        <v>702</v>
      </c>
      <c r="H210" s="2">
        <v>144</v>
      </c>
      <c r="I210" s="2">
        <v>3</v>
      </c>
      <c r="J210" s="2">
        <v>141</v>
      </c>
      <c r="K210" s="268">
        <v>0.97916666699999999</v>
      </c>
      <c r="L210" s="268">
        <v>220.3125</v>
      </c>
    </row>
    <row r="211" spans="1:12" x14ac:dyDescent="0.25">
      <c r="A211" s="2">
        <v>540254</v>
      </c>
      <c r="B211" s="2" t="s">
        <v>300</v>
      </c>
      <c r="C211" s="2" t="s">
        <v>69</v>
      </c>
      <c r="D211" s="2" t="s">
        <v>115</v>
      </c>
      <c r="E211" s="2">
        <v>6</v>
      </c>
      <c r="F211" s="2">
        <v>2</v>
      </c>
      <c r="G211" s="2">
        <v>1555</v>
      </c>
      <c r="H211" s="2">
        <v>18</v>
      </c>
      <c r="I211" s="2">
        <v>0</v>
      </c>
      <c r="J211" s="2">
        <v>18</v>
      </c>
      <c r="K211" s="268">
        <v>1</v>
      </c>
      <c r="L211" s="268">
        <v>225</v>
      </c>
    </row>
    <row r="212" spans="1:12" x14ac:dyDescent="0.25">
      <c r="A212" s="2">
        <v>540257</v>
      </c>
      <c r="B212" s="2" t="s">
        <v>302</v>
      </c>
      <c r="C212" s="2" t="s">
        <v>69</v>
      </c>
      <c r="D212" s="2" t="s">
        <v>115</v>
      </c>
      <c r="E212" s="2">
        <v>6</v>
      </c>
      <c r="F212" s="2">
        <v>2</v>
      </c>
      <c r="G212" s="2">
        <v>759</v>
      </c>
      <c r="H212" s="2">
        <v>36</v>
      </c>
      <c r="I212" s="2">
        <v>0</v>
      </c>
      <c r="J212" s="2">
        <v>36</v>
      </c>
      <c r="K212" s="268">
        <v>1</v>
      </c>
      <c r="L212" s="268">
        <v>225</v>
      </c>
    </row>
    <row r="213" spans="1:12" x14ac:dyDescent="0.25">
      <c r="A213" s="2">
        <v>540268</v>
      </c>
      <c r="B213" s="2" t="s">
        <v>311</v>
      </c>
      <c r="C213" s="2" t="s">
        <v>69</v>
      </c>
      <c r="D213" s="2" t="s">
        <v>115</v>
      </c>
      <c r="E213" s="2">
        <v>6</v>
      </c>
      <c r="F213" s="2">
        <v>2</v>
      </c>
      <c r="G213" s="2">
        <v>503</v>
      </c>
      <c r="H213" s="2">
        <v>25</v>
      </c>
      <c r="I213" s="2">
        <v>2</v>
      </c>
      <c r="J213" s="2">
        <v>23</v>
      </c>
      <c r="K213" s="268">
        <v>0.92</v>
      </c>
      <c r="L213" s="268">
        <v>207</v>
      </c>
    </row>
    <row r="214" spans="1:12" x14ac:dyDescent="0.25">
      <c r="A214" s="2">
        <v>540269</v>
      </c>
      <c r="B214" s="2" t="s">
        <v>312</v>
      </c>
      <c r="C214" s="2" t="s">
        <v>69</v>
      </c>
      <c r="D214" s="2" t="s">
        <v>115</v>
      </c>
      <c r="E214" s="2">
        <v>6</v>
      </c>
      <c r="F214" s="2">
        <v>2</v>
      </c>
      <c r="G214" s="2">
        <v>416</v>
      </c>
      <c r="H214" s="2">
        <v>17</v>
      </c>
      <c r="I214" s="2">
        <v>0</v>
      </c>
      <c r="J214" s="2">
        <v>17</v>
      </c>
      <c r="K214" s="268">
        <v>1</v>
      </c>
      <c r="L214" s="268">
        <v>225</v>
      </c>
    </row>
    <row r="215" spans="1:12" x14ac:dyDescent="0.25">
      <c r="A215" s="2">
        <v>540270</v>
      </c>
      <c r="B215" s="2" t="s">
        <v>313</v>
      </c>
      <c r="C215" s="2" t="s">
        <v>69</v>
      </c>
      <c r="D215" s="2" t="s">
        <v>115</v>
      </c>
      <c r="E215" s="2">
        <v>6</v>
      </c>
      <c r="F215" s="2">
        <v>2</v>
      </c>
      <c r="G215" s="2">
        <v>178</v>
      </c>
      <c r="H215" s="2">
        <v>1</v>
      </c>
      <c r="I215" s="2">
        <v>1</v>
      </c>
      <c r="J215" s="2">
        <v>0</v>
      </c>
      <c r="K215" s="268">
        <v>0</v>
      </c>
      <c r="L215" s="268">
        <v>0</v>
      </c>
    </row>
    <row r="216" spans="1:12" x14ac:dyDescent="0.25">
      <c r="A216" s="2">
        <v>540284</v>
      </c>
      <c r="B216" s="2" t="s">
        <v>323</v>
      </c>
      <c r="C216" s="2" t="s">
        <v>69</v>
      </c>
      <c r="D216" s="2" t="s">
        <v>115</v>
      </c>
      <c r="E216" s="2">
        <v>6</v>
      </c>
      <c r="F216" s="2">
        <v>2</v>
      </c>
      <c r="G216" s="2">
        <v>247</v>
      </c>
      <c r="H216" s="2">
        <v>12</v>
      </c>
      <c r="I216" s="2">
        <v>0</v>
      </c>
      <c r="J216" s="2">
        <v>12</v>
      </c>
      <c r="K216" s="268">
        <v>1</v>
      </c>
      <c r="L216" s="268">
        <v>225</v>
      </c>
    </row>
    <row r="217" spans="1:12" x14ac:dyDescent="0.25">
      <c r="A217" s="255"/>
      <c r="B217" s="255"/>
      <c r="C217" s="255" t="s">
        <v>69</v>
      </c>
      <c r="D217" s="255"/>
      <c r="E217" s="255"/>
      <c r="F217" s="255"/>
      <c r="G217" s="255">
        <v>416668</v>
      </c>
      <c r="H217" s="255">
        <v>8488</v>
      </c>
      <c r="I217" s="255">
        <v>241</v>
      </c>
      <c r="J217" s="255">
        <v>8247</v>
      </c>
      <c r="K217" s="274">
        <v>0.97160697500000004</v>
      </c>
      <c r="L217" s="274">
        <v>218.61156930000001</v>
      </c>
    </row>
    <row r="218" spans="1:12" x14ac:dyDescent="0.25">
      <c r="A218" s="2">
        <v>540164</v>
      </c>
      <c r="B218" s="2" t="s">
        <v>70</v>
      </c>
      <c r="C218" s="2" t="s">
        <v>71</v>
      </c>
      <c r="D218" s="2" t="s">
        <v>5</v>
      </c>
      <c r="E218" s="2">
        <v>3</v>
      </c>
      <c r="F218" s="2">
        <v>2</v>
      </c>
      <c r="G218" s="2">
        <v>216488</v>
      </c>
      <c r="H218" s="2">
        <v>8590</v>
      </c>
      <c r="I218" s="2">
        <v>116</v>
      </c>
      <c r="J218" s="2">
        <v>8474</v>
      </c>
      <c r="K218" s="268">
        <v>0.98649592500000005</v>
      </c>
      <c r="L218" s="268">
        <v>221.96158320000001</v>
      </c>
    </row>
    <row r="219" spans="1:12" x14ac:dyDescent="0.25">
      <c r="A219" s="2">
        <v>540081</v>
      </c>
      <c r="B219" s="2" t="s">
        <v>176</v>
      </c>
      <c r="C219" s="2" t="s">
        <v>71</v>
      </c>
      <c r="D219" s="2" t="s">
        <v>115</v>
      </c>
      <c r="E219" s="2">
        <v>3</v>
      </c>
      <c r="F219" s="2">
        <v>2</v>
      </c>
      <c r="G219" s="2">
        <v>633</v>
      </c>
      <c r="H219" s="2">
        <v>27</v>
      </c>
      <c r="I219" s="2">
        <v>1</v>
      </c>
      <c r="J219" s="2">
        <v>26</v>
      </c>
      <c r="K219" s="268">
        <v>0.96296296299999995</v>
      </c>
      <c r="L219" s="268">
        <v>216.66666670000001</v>
      </c>
    </row>
    <row r="220" spans="1:12" x14ac:dyDescent="0.25">
      <c r="A220" s="2">
        <v>540165</v>
      </c>
      <c r="B220" s="2" t="s">
        <v>238</v>
      </c>
      <c r="C220" s="2" t="s">
        <v>71</v>
      </c>
      <c r="D220" s="2" t="s">
        <v>115</v>
      </c>
      <c r="E220" s="2">
        <v>3</v>
      </c>
      <c r="F220" s="2">
        <v>2</v>
      </c>
      <c r="G220" s="2">
        <v>93</v>
      </c>
      <c r="H220" s="2">
        <v>26</v>
      </c>
      <c r="I220" s="2">
        <v>3</v>
      </c>
      <c r="J220" s="2">
        <v>23</v>
      </c>
      <c r="K220" s="268">
        <v>0.88461538500000003</v>
      </c>
      <c r="L220" s="268">
        <v>199.03846150000001</v>
      </c>
    </row>
    <row r="221" spans="1:12" x14ac:dyDescent="0.25">
      <c r="A221" s="2">
        <v>540166</v>
      </c>
      <c r="B221" s="2" t="s">
        <v>239</v>
      </c>
      <c r="C221" s="2" t="s">
        <v>71</v>
      </c>
      <c r="D221" s="2" t="s">
        <v>115</v>
      </c>
      <c r="E221" s="2">
        <v>3</v>
      </c>
      <c r="F221" s="2">
        <v>2</v>
      </c>
      <c r="G221" s="2">
        <v>1054</v>
      </c>
      <c r="H221" s="2">
        <v>307</v>
      </c>
      <c r="I221" s="2">
        <v>0</v>
      </c>
      <c r="J221" s="2">
        <v>307</v>
      </c>
      <c r="K221" s="268">
        <v>1</v>
      </c>
      <c r="L221" s="268">
        <v>225</v>
      </c>
    </row>
    <row r="222" spans="1:12" x14ac:dyDescent="0.25">
      <c r="A222" s="2">
        <v>540167</v>
      </c>
      <c r="B222" s="2" t="s">
        <v>240</v>
      </c>
      <c r="C222" s="2" t="s">
        <v>71</v>
      </c>
      <c r="D222" s="2" t="s">
        <v>115</v>
      </c>
      <c r="E222" s="2">
        <v>3</v>
      </c>
      <c r="F222" s="2">
        <v>2</v>
      </c>
      <c r="G222" s="2">
        <v>2415</v>
      </c>
      <c r="H222" s="2">
        <v>46</v>
      </c>
      <c r="I222" s="2">
        <v>3</v>
      </c>
      <c r="J222" s="2">
        <v>43</v>
      </c>
      <c r="K222" s="268">
        <v>0.93478260899999999</v>
      </c>
      <c r="L222" s="268">
        <v>210.326087</v>
      </c>
    </row>
    <row r="223" spans="1:12" x14ac:dyDescent="0.25">
      <c r="A223" s="2">
        <v>540168</v>
      </c>
      <c r="B223" s="2" t="s">
        <v>241</v>
      </c>
      <c r="C223" s="2" t="s">
        <v>71</v>
      </c>
      <c r="D223" s="2" t="s">
        <v>115</v>
      </c>
      <c r="E223" s="2">
        <v>3</v>
      </c>
      <c r="F223" s="2">
        <v>2</v>
      </c>
      <c r="G223" s="2">
        <v>482</v>
      </c>
      <c r="H223" s="2">
        <v>71</v>
      </c>
      <c r="I223" s="2">
        <v>0</v>
      </c>
      <c r="J223" s="2">
        <v>71</v>
      </c>
      <c r="K223" s="268">
        <v>1</v>
      </c>
      <c r="L223" s="268">
        <v>225</v>
      </c>
    </row>
    <row r="224" spans="1:12" x14ac:dyDescent="0.25">
      <c r="A224" s="2">
        <v>540222</v>
      </c>
      <c r="B224" s="2" t="s">
        <v>276</v>
      </c>
      <c r="C224" s="2" t="s">
        <v>71</v>
      </c>
      <c r="D224" s="2" t="s">
        <v>115</v>
      </c>
      <c r="E224" s="2">
        <v>3</v>
      </c>
      <c r="F224" s="2">
        <v>2</v>
      </c>
      <c r="G224" s="2">
        <v>1361</v>
      </c>
      <c r="H224" s="2">
        <v>319</v>
      </c>
      <c r="I224" s="2">
        <v>72</v>
      </c>
      <c r="J224" s="2">
        <v>247</v>
      </c>
      <c r="K224" s="268">
        <v>0.77429467100000005</v>
      </c>
      <c r="L224" s="268">
        <v>174.21630089999999</v>
      </c>
    </row>
    <row r="225" spans="1:12" x14ac:dyDescent="0.25">
      <c r="A225" s="2">
        <v>540271</v>
      </c>
      <c r="B225" s="2" t="s">
        <v>314</v>
      </c>
      <c r="C225" s="2" t="s">
        <v>71</v>
      </c>
      <c r="D225" s="2" t="s">
        <v>115</v>
      </c>
      <c r="E225" s="2">
        <v>3</v>
      </c>
      <c r="F225" s="2">
        <v>2</v>
      </c>
      <c r="G225" s="2">
        <v>1554</v>
      </c>
      <c r="H225" s="2">
        <v>88</v>
      </c>
      <c r="I225" s="2">
        <v>0</v>
      </c>
      <c r="J225" s="2">
        <v>88</v>
      </c>
      <c r="K225" s="268">
        <v>1</v>
      </c>
      <c r="L225" s="268">
        <v>225</v>
      </c>
    </row>
    <row r="226" spans="1:12" x14ac:dyDescent="0.25">
      <c r="A226" s="255"/>
      <c r="B226" s="255"/>
      <c r="C226" s="255" t="s">
        <v>71</v>
      </c>
      <c r="D226" s="255"/>
      <c r="E226" s="255"/>
      <c r="F226" s="255"/>
      <c r="G226" s="255">
        <v>224080</v>
      </c>
      <c r="H226" s="255">
        <v>9474</v>
      </c>
      <c r="I226" s="255">
        <v>195</v>
      </c>
      <c r="J226" s="255">
        <v>9279</v>
      </c>
      <c r="K226" s="274">
        <v>0.97941735299999999</v>
      </c>
      <c r="L226" s="274">
        <v>220.36890439999999</v>
      </c>
    </row>
    <row r="227" spans="1:12" x14ac:dyDescent="0.25">
      <c r="A227" s="2">
        <v>540169</v>
      </c>
      <c r="B227" s="2" t="s">
        <v>72</v>
      </c>
      <c r="C227" s="2" t="s">
        <v>73</v>
      </c>
      <c r="D227" s="2" t="s">
        <v>5</v>
      </c>
      <c r="E227" s="2">
        <v>1</v>
      </c>
      <c r="F227" s="2">
        <v>2</v>
      </c>
      <c r="G227" s="2">
        <v>381875</v>
      </c>
      <c r="H227" s="2">
        <v>8101</v>
      </c>
      <c r="I227" s="2">
        <v>91</v>
      </c>
      <c r="J227" s="2">
        <v>8010</v>
      </c>
      <c r="K227" s="268">
        <v>0.98876681899999996</v>
      </c>
      <c r="L227" s="268">
        <v>222.47253430000001</v>
      </c>
    </row>
    <row r="228" spans="1:12" x14ac:dyDescent="0.25">
      <c r="A228" s="2">
        <v>540170</v>
      </c>
      <c r="B228" s="2" t="s">
        <v>242</v>
      </c>
      <c r="C228" s="2" t="s">
        <v>73</v>
      </c>
      <c r="D228" s="2" t="s">
        <v>115</v>
      </c>
      <c r="E228" s="2">
        <v>1</v>
      </c>
      <c r="F228" s="2">
        <v>2</v>
      </c>
      <c r="G228" s="2">
        <v>6083</v>
      </c>
      <c r="H228" s="2">
        <v>74</v>
      </c>
      <c r="I228" s="2">
        <v>3</v>
      </c>
      <c r="J228" s="2">
        <v>71</v>
      </c>
      <c r="K228" s="268">
        <v>0.95945945899999996</v>
      </c>
      <c r="L228" s="268">
        <v>215.8783784</v>
      </c>
    </row>
    <row r="229" spans="1:12" x14ac:dyDescent="0.25">
      <c r="A229" s="2">
        <v>540171</v>
      </c>
      <c r="B229" s="2" t="s">
        <v>243</v>
      </c>
      <c r="C229" s="2" t="s">
        <v>73</v>
      </c>
      <c r="D229" s="2" t="s">
        <v>115</v>
      </c>
      <c r="E229" s="2">
        <v>1</v>
      </c>
      <c r="F229" s="2">
        <v>2</v>
      </c>
      <c r="G229" s="2">
        <v>321</v>
      </c>
      <c r="H229" s="2">
        <v>45</v>
      </c>
      <c r="I229" s="2">
        <v>0</v>
      </c>
      <c r="J229" s="2">
        <v>45</v>
      </c>
      <c r="K229" s="268">
        <v>1</v>
      </c>
      <c r="L229" s="268">
        <v>225</v>
      </c>
    </row>
    <row r="230" spans="1:12" x14ac:dyDescent="0.25">
      <c r="A230" s="2">
        <v>540173</v>
      </c>
      <c r="B230" s="2" t="s">
        <v>245</v>
      </c>
      <c r="C230" s="2" t="s">
        <v>73</v>
      </c>
      <c r="D230" s="2" t="s">
        <v>115</v>
      </c>
      <c r="E230" s="2">
        <v>1</v>
      </c>
      <c r="F230" s="2">
        <v>2</v>
      </c>
      <c r="G230" s="2">
        <v>201</v>
      </c>
      <c r="H230" s="2">
        <v>60</v>
      </c>
      <c r="I230" s="2">
        <v>1</v>
      </c>
      <c r="J230" s="2">
        <v>59</v>
      </c>
      <c r="K230" s="268">
        <v>0.98333333300000003</v>
      </c>
      <c r="L230" s="268">
        <v>221.25</v>
      </c>
    </row>
    <row r="231" spans="1:12" x14ac:dyDescent="0.25">
      <c r="A231" s="2">
        <v>540174</v>
      </c>
      <c r="B231" s="2" t="s">
        <v>246</v>
      </c>
      <c r="C231" s="2" t="s">
        <v>73</v>
      </c>
      <c r="D231" s="2" t="s">
        <v>115</v>
      </c>
      <c r="E231" s="2">
        <v>1</v>
      </c>
      <c r="F231" s="2">
        <v>2</v>
      </c>
      <c r="G231" s="2">
        <v>447</v>
      </c>
      <c r="H231" s="2">
        <v>10</v>
      </c>
      <c r="I231" s="2">
        <v>0</v>
      </c>
      <c r="J231" s="2">
        <v>10</v>
      </c>
      <c r="K231" s="268">
        <v>1</v>
      </c>
      <c r="L231" s="268">
        <v>225</v>
      </c>
    </row>
    <row r="232" spans="1:12" x14ac:dyDescent="0.25">
      <c r="A232" s="2">
        <v>540286</v>
      </c>
      <c r="B232" s="2" t="s">
        <v>325</v>
      </c>
      <c r="C232" s="2" t="s">
        <v>73</v>
      </c>
      <c r="D232" s="2" t="s">
        <v>115</v>
      </c>
      <c r="E232" s="2">
        <v>1</v>
      </c>
      <c r="F232" s="2">
        <v>2</v>
      </c>
      <c r="G232" s="2">
        <v>553</v>
      </c>
      <c r="H232" s="2">
        <v>49</v>
      </c>
      <c r="I232" s="2">
        <v>0</v>
      </c>
      <c r="J232" s="2">
        <v>49</v>
      </c>
      <c r="K232" s="268">
        <v>1</v>
      </c>
      <c r="L232" s="268">
        <v>225</v>
      </c>
    </row>
    <row r="233" spans="1:12" x14ac:dyDescent="0.25">
      <c r="A233" s="255"/>
      <c r="B233" s="255"/>
      <c r="C233" s="255" t="s">
        <v>73</v>
      </c>
      <c r="D233" s="255"/>
      <c r="E233" s="255"/>
      <c r="F233" s="255"/>
      <c r="G233" s="255">
        <v>389480</v>
      </c>
      <c r="H233" s="255">
        <v>8339</v>
      </c>
      <c r="I233" s="255">
        <v>95</v>
      </c>
      <c r="J233" s="255">
        <v>8244</v>
      </c>
      <c r="K233" s="274">
        <v>0.98860774699999998</v>
      </c>
      <c r="L233" s="274">
        <v>222.43674300000001</v>
      </c>
    </row>
    <row r="234" spans="1:12" x14ac:dyDescent="0.25">
      <c r="A234" s="2">
        <v>540183</v>
      </c>
      <c r="B234" s="2" t="s">
        <v>76</v>
      </c>
      <c r="C234" s="2" t="s">
        <v>77</v>
      </c>
      <c r="D234" s="2" t="s">
        <v>5</v>
      </c>
      <c r="E234" s="2">
        <v>5</v>
      </c>
      <c r="F234" s="2">
        <v>2</v>
      </c>
      <c r="G234" s="2">
        <v>308455</v>
      </c>
      <c r="H234" s="2">
        <v>6496</v>
      </c>
      <c r="I234" s="2">
        <v>62</v>
      </c>
      <c r="J234" s="2">
        <v>6434</v>
      </c>
      <c r="K234" s="268">
        <v>0.99045566500000004</v>
      </c>
      <c r="L234" s="268">
        <v>222.85252460000001</v>
      </c>
    </row>
    <row r="235" spans="1:12" x14ac:dyDescent="0.25">
      <c r="A235" s="2">
        <v>540184</v>
      </c>
      <c r="B235" s="2" t="s">
        <v>253</v>
      </c>
      <c r="C235" s="2" t="s">
        <v>77</v>
      </c>
      <c r="D235" s="2" t="s">
        <v>115</v>
      </c>
      <c r="E235" s="2">
        <v>5</v>
      </c>
      <c r="F235" s="2">
        <v>2</v>
      </c>
      <c r="G235" s="2">
        <v>125</v>
      </c>
      <c r="H235" s="2">
        <v>59</v>
      </c>
      <c r="I235" s="2">
        <v>0</v>
      </c>
      <c r="J235" s="2">
        <v>59</v>
      </c>
      <c r="K235" s="268">
        <v>1</v>
      </c>
      <c r="L235" s="268">
        <v>225</v>
      </c>
    </row>
    <row r="236" spans="1:12" x14ac:dyDescent="0.25">
      <c r="A236" s="2">
        <v>540185</v>
      </c>
      <c r="B236" s="2" t="s">
        <v>254</v>
      </c>
      <c r="C236" s="2" t="s">
        <v>77</v>
      </c>
      <c r="D236" s="2" t="s">
        <v>115</v>
      </c>
      <c r="E236" s="2">
        <v>5</v>
      </c>
      <c r="F236" s="2">
        <v>2</v>
      </c>
      <c r="G236" s="2">
        <v>816</v>
      </c>
      <c r="H236" s="2">
        <v>84</v>
      </c>
      <c r="I236" s="2">
        <v>0</v>
      </c>
      <c r="J236" s="2">
        <v>84</v>
      </c>
      <c r="K236" s="268">
        <v>1</v>
      </c>
      <c r="L236" s="268">
        <v>225</v>
      </c>
    </row>
    <row r="237" spans="1:12" x14ac:dyDescent="0.25">
      <c r="A237" s="255"/>
      <c r="B237" s="255"/>
      <c r="C237" s="255" t="s">
        <v>77</v>
      </c>
      <c r="D237" s="255"/>
      <c r="E237" s="255"/>
      <c r="F237" s="255"/>
      <c r="G237" s="255">
        <v>309396</v>
      </c>
      <c r="H237" s="255">
        <v>6639</v>
      </c>
      <c r="I237" s="255">
        <v>62</v>
      </c>
      <c r="J237" s="255">
        <v>6577</v>
      </c>
      <c r="K237" s="274">
        <v>0.990661244</v>
      </c>
      <c r="L237" s="274">
        <v>222.89877989999999</v>
      </c>
    </row>
    <row r="238" spans="1:12" x14ac:dyDescent="0.25">
      <c r="A238" s="2">
        <v>540186</v>
      </c>
      <c r="B238" s="2" t="s">
        <v>78</v>
      </c>
      <c r="C238" s="2" t="s">
        <v>79</v>
      </c>
      <c r="D238" s="2" t="s">
        <v>5</v>
      </c>
      <c r="E238" s="2">
        <v>1</v>
      </c>
      <c r="F238" s="2">
        <v>2</v>
      </c>
      <c r="G238" s="2">
        <v>233224</v>
      </c>
      <c r="H238" s="2">
        <v>2048</v>
      </c>
      <c r="I238" s="2">
        <v>2</v>
      </c>
      <c r="J238" s="2">
        <v>2046</v>
      </c>
      <c r="K238" s="268">
        <v>0.99902343800000004</v>
      </c>
      <c r="L238" s="268">
        <v>224.7802734</v>
      </c>
    </row>
    <row r="239" spans="1:12" x14ac:dyDescent="0.25">
      <c r="A239" s="2">
        <v>540187</v>
      </c>
      <c r="B239" s="2" t="s">
        <v>255</v>
      </c>
      <c r="C239" s="2" t="s">
        <v>79</v>
      </c>
      <c r="D239" s="2" t="s">
        <v>115</v>
      </c>
      <c r="E239" s="2">
        <v>1</v>
      </c>
      <c r="F239" s="2">
        <v>2</v>
      </c>
      <c r="G239" s="2">
        <v>1914</v>
      </c>
      <c r="H239" s="2">
        <v>45</v>
      </c>
      <c r="I239" s="2">
        <v>1</v>
      </c>
      <c r="J239" s="2">
        <v>44</v>
      </c>
      <c r="K239" s="268">
        <v>0.97777777799999999</v>
      </c>
      <c r="L239" s="268">
        <v>220</v>
      </c>
    </row>
    <row r="240" spans="1:12" x14ac:dyDescent="0.25">
      <c r="A240" s="255"/>
      <c r="B240" s="255"/>
      <c r="C240" s="255" t="s">
        <v>79</v>
      </c>
      <c r="D240" s="255"/>
      <c r="E240" s="255"/>
      <c r="F240" s="255"/>
      <c r="G240" s="255">
        <v>235138</v>
      </c>
      <c r="H240" s="255">
        <v>2093</v>
      </c>
      <c r="I240" s="255">
        <v>3</v>
      </c>
      <c r="J240" s="255">
        <v>2090</v>
      </c>
      <c r="K240" s="274">
        <v>0.99856665099999997</v>
      </c>
      <c r="L240" s="274">
        <v>224.6774964</v>
      </c>
    </row>
    <row r="241" spans="1:12" x14ac:dyDescent="0.25">
      <c r="A241" s="2">
        <v>540188</v>
      </c>
      <c r="B241" s="2" t="s">
        <v>80</v>
      </c>
      <c r="C241" s="2" t="s">
        <v>81</v>
      </c>
      <c r="D241" s="2" t="s">
        <v>5</v>
      </c>
      <c r="E241" s="2">
        <v>6</v>
      </c>
      <c r="F241" s="2">
        <v>2</v>
      </c>
      <c r="G241" s="2">
        <v>109727</v>
      </c>
      <c r="H241" s="2">
        <v>1803</v>
      </c>
      <c r="I241" s="2">
        <v>128</v>
      </c>
      <c r="J241" s="2">
        <v>1675</v>
      </c>
      <c r="K241" s="268">
        <v>0.92900720999999997</v>
      </c>
      <c r="L241" s="268">
        <v>209.02662230000001</v>
      </c>
    </row>
    <row r="242" spans="1:12" x14ac:dyDescent="0.25">
      <c r="A242" s="2">
        <v>540189</v>
      </c>
      <c r="B242" s="2" t="s">
        <v>256</v>
      </c>
      <c r="C242" s="2" t="s">
        <v>81</v>
      </c>
      <c r="D242" s="2" t="s">
        <v>115</v>
      </c>
      <c r="E242" s="2">
        <v>6</v>
      </c>
      <c r="F242" s="2">
        <v>2</v>
      </c>
      <c r="G242" s="2">
        <v>196</v>
      </c>
      <c r="H242" s="2">
        <v>18</v>
      </c>
      <c r="I242" s="2">
        <v>0</v>
      </c>
      <c r="J242" s="2">
        <v>18</v>
      </c>
      <c r="K242" s="268">
        <v>1</v>
      </c>
      <c r="L242" s="268">
        <v>225</v>
      </c>
    </row>
    <row r="243" spans="1:12" x14ac:dyDescent="0.25">
      <c r="A243" s="2">
        <v>540190</v>
      </c>
      <c r="B243" s="2" t="s">
        <v>257</v>
      </c>
      <c r="C243" s="2" t="s">
        <v>81</v>
      </c>
      <c r="D243" s="2" t="s">
        <v>115</v>
      </c>
      <c r="E243" s="2">
        <v>6</v>
      </c>
      <c r="F243" s="2">
        <v>2</v>
      </c>
      <c r="G243" s="2">
        <v>2433</v>
      </c>
      <c r="H243" s="2">
        <v>126</v>
      </c>
      <c r="I243" s="2">
        <v>4</v>
      </c>
      <c r="J243" s="2">
        <v>122</v>
      </c>
      <c r="K243" s="268">
        <v>0.96825396799999996</v>
      </c>
      <c r="L243" s="268">
        <v>217.85714290000001</v>
      </c>
    </row>
    <row r="244" spans="1:12" x14ac:dyDescent="0.25">
      <c r="A244" s="255"/>
      <c r="B244" s="255"/>
      <c r="C244" s="255" t="s">
        <v>81</v>
      </c>
      <c r="D244" s="255"/>
      <c r="E244" s="255"/>
      <c r="F244" s="255"/>
      <c r="G244" s="255">
        <v>112356</v>
      </c>
      <c r="H244" s="255">
        <v>1947</v>
      </c>
      <c r="I244" s="255">
        <v>132</v>
      </c>
      <c r="J244" s="255">
        <v>1815</v>
      </c>
      <c r="K244" s="274">
        <v>0.93220338999999997</v>
      </c>
      <c r="L244" s="274">
        <v>209.7457627</v>
      </c>
    </row>
    <row r="245" spans="1:12" x14ac:dyDescent="0.25">
      <c r="A245" s="2">
        <v>540198</v>
      </c>
      <c r="B245" s="2" t="s">
        <v>82</v>
      </c>
      <c r="C245" s="2" t="s">
        <v>83</v>
      </c>
      <c r="D245" s="2" t="s">
        <v>5</v>
      </c>
      <c r="E245" s="2">
        <v>7</v>
      </c>
      <c r="F245" s="2">
        <v>2</v>
      </c>
      <c r="G245" s="2">
        <v>225085</v>
      </c>
      <c r="H245" s="2">
        <v>5397</v>
      </c>
      <c r="I245" s="2">
        <v>47</v>
      </c>
      <c r="J245" s="2">
        <v>5350</v>
      </c>
      <c r="K245" s="268">
        <v>0.99129145799999996</v>
      </c>
      <c r="L245" s="268">
        <v>223.0405781</v>
      </c>
    </row>
    <row r="246" spans="1:12" x14ac:dyDescent="0.25">
      <c r="A246" s="2">
        <v>540199</v>
      </c>
      <c r="B246" s="2" t="s">
        <v>261</v>
      </c>
      <c r="C246" s="2" t="s">
        <v>83</v>
      </c>
      <c r="D246" s="2" t="s">
        <v>115</v>
      </c>
      <c r="E246" s="2">
        <v>7</v>
      </c>
      <c r="F246" s="2">
        <v>1.3</v>
      </c>
      <c r="G246" s="2">
        <v>1822</v>
      </c>
      <c r="H246" s="2">
        <v>534</v>
      </c>
      <c r="I246" s="2">
        <v>10</v>
      </c>
      <c r="J246" s="2">
        <v>524</v>
      </c>
      <c r="K246" s="268">
        <v>0.98127340799999996</v>
      </c>
      <c r="L246" s="268">
        <v>220.78651690000001</v>
      </c>
    </row>
    <row r="247" spans="1:12" x14ac:dyDescent="0.25">
      <c r="A247" s="255"/>
      <c r="B247" s="255"/>
      <c r="C247" s="255" t="s">
        <v>83</v>
      </c>
      <c r="D247" s="255"/>
      <c r="E247" s="255"/>
      <c r="F247" s="255"/>
      <c r="G247" s="255">
        <v>226907</v>
      </c>
      <c r="H247" s="255">
        <v>5931</v>
      </c>
      <c r="I247" s="255">
        <v>57</v>
      </c>
      <c r="J247" s="255">
        <v>5874</v>
      </c>
      <c r="K247" s="274">
        <v>0.99038947899999996</v>
      </c>
      <c r="L247" s="274">
        <v>222.83763279999999</v>
      </c>
    </row>
    <row r="248" spans="1:12" x14ac:dyDescent="0.25">
      <c r="A248" s="2">
        <v>540200</v>
      </c>
      <c r="B248" s="2" t="s">
        <v>84</v>
      </c>
      <c r="C248" s="2" t="s">
        <v>85</v>
      </c>
      <c r="D248" s="2" t="s">
        <v>5</v>
      </c>
      <c r="E248" s="2">
        <v>2</v>
      </c>
      <c r="F248" s="2">
        <v>2</v>
      </c>
      <c r="G248" s="2">
        <v>323384</v>
      </c>
      <c r="H248" s="2">
        <v>9157</v>
      </c>
      <c r="I248" s="2">
        <v>424</v>
      </c>
      <c r="J248" s="2">
        <v>8733</v>
      </c>
      <c r="K248" s="268">
        <v>0.95369662600000005</v>
      </c>
      <c r="L248" s="268">
        <v>214.58174070000001</v>
      </c>
    </row>
    <row r="249" spans="1:12" x14ac:dyDescent="0.25">
      <c r="A249" s="2">
        <v>540018</v>
      </c>
      <c r="B249" s="2" t="s">
        <v>127</v>
      </c>
      <c r="C249" s="2" t="s">
        <v>85</v>
      </c>
      <c r="D249" s="2" t="s">
        <v>115</v>
      </c>
      <c r="E249" s="2">
        <v>2</v>
      </c>
      <c r="F249" s="2">
        <v>2</v>
      </c>
      <c r="G249" s="2">
        <v>859</v>
      </c>
      <c r="H249" s="2">
        <v>72</v>
      </c>
      <c r="I249" s="2">
        <v>0</v>
      </c>
      <c r="J249" s="2">
        <v>72</v>
      </c>
      <c r="K249" s="268">
        <v>1</v>
      </c>
      <c r="L249" s="268">
        <v>225</v>
      </c>
    </row>
    <row r="250" spans="1:12" x14ac:dyDescent="0.25">
      <c r="A250" s="2">
        <v>540202</v>
      </c>
      <c r="B250" s="2" t="s">
        <v>262</v>
      </c>
      <c r="C250" s="2" t="s">
        <v>85</v>
      </c>
      <c r="D250" s="2" t="s">
        <v>115</v>
      </c>
      <c r="E250" s="2">
        <v>2</v>
      </c>
      <c r="F250" s="2">
        <v>2</v>
      </c>
      <c r="G250" s="2">
        <v>567</v>
      </c>
      <c r="H250" s="2">
        <v>87</v>
      </c>
      <c r="I250" s="2">
        <v>0</v>
      </c>
      <c r="J250" s="2">
        <v>87</v>
      </c>
      <c r="K250" s="268">
        <v>1</v>
      </c>
      <c r="L250" s="268">
        <v>225</v>
      </c>
    </row>
    <row r="251" spans="1:12" x14ac:dyDescent="0.25">
      <c r="A251" s="2">
        <v>540221</v>
      </c>
      <c r="B251" s="2" t="s">
        <v>275</v>
      </c>
      <c r="C251" s="2" t="s">
        <v>85</v>
      </c>
      <c r="D251" s="2" t="s">
        <v>115</v>
      </c>
      <c r="E251" s="2">
        <v>2</v>
      </c>
      <c r="F251" s="2">
        <v>2</v>
      </c>
      <c r="G251" s="2">
        <v>1056</v>
      </c>
      <c r="H251" s="2">
        <v>80</v>
      </c>
      <c r="I251" s="2">
        <v>4</v>
      </c>
      <c r="J251" s="2">
        <v>76</v>
      </c>
      <c r="K251" s="268">
        <v>0.95</v>
      </c>
      <c r="L251" s="268">
        <v>213.75</v>
      </c>
    </row>
    <row r="252" spans="1:12" x14ac:dyDescent="0.25">
      <c r="A252" s="2">
        <v>540231</v>
      </c>
      <c r="B252" s="2" t="s">
        <v>281</v>
      </c>
      <c r="C252" s="2" t="s">
        <v>85</v>
      </c>
      <c r="D252" s="2" t="s">
        <v>115</v>
      </c>
      <c r="E252" s="2">
        <v>2</v>
      </c>
      <c r="F252" s="2">
        <v>2</v>
      </c>
      <c r="G252" s="2">
        <v>533</v>
      </c>
      <c r="H252" s="2">
        <v>82</v>
      </c>
      <c r="I252" s="2">
        <v>5</v>
      </c>
      <c r="J252" s="2">
        <v>77</v>
      </c>
      <c r="K252" s="268">
        <v>0.93902439000000004</v>
      </c>
      <c r="L252" s="268">
        <v>211.2804878</v>
      </c>
    </row>
    <row r="253" spans="1:12" x14ac:dyDescent="0.25">
      <c r="A253" s="2">
        <v>540232</v>
      </c>
      <c r="B253" s="2" t="s">
        <v>282</v>
      </c>
      <c r="C253" s="2" t="s">
        <v>85</v>
      </c>
      <c r="D253" s="2" t="s">
        <v>115</v>
      </c>
      <c r="E253" s="2">
        <v>2</v>
      </c>
      <c r="F253" s="2">
        <v>2</v>
      </c>
      <c r="G253" s="2">
        <v>1388</v>
      </c>
      <c r="H253" s="2">
        <v>172</v>
      </c>
      <c r="I253" s="2">
        <v>2</v>
      </c>
      <c r="J253" s="2">
        <v>170</v>
      </c>
      <c r="K253" s="268">
        <v>0.98837209299999995</v>
      </c>
      <c r="L253" s="268">
        <v>222.38372089999999</v>
      </c>
    </row>
    <row r="254" spans="1:12" x14ac:dyDescent="0.25">
      <c r="A254" s="255"/>
      <c r="B254" s="255"/>
      <c r="C254" s="255" t="s">
        <v>85</v>
      </c>
      <c r="D254" s="255"/>
      <c r="E254" s="255"/>
      <c r="F254" s="255"/>
      <c r="G254" s="255">
        <v>327787</v>
      </c>
      <c r="H254" s="255">
        <v>9650</v>
      </c>
      <c r="I254" s="255">
        <v>435</v>
      </c>
      <c r="J254" s="255">
        <v>9215</v>
      </c>
      <c r="K254" s="274">
        <v>0.95492228000000001</v>
      </c>
      <c r="L254" s="274">
        <v>214.85751300000001</v>
      </c>
    </row>
    <row r="255" spans="1:12" x14ac:dyDescent="0.25">
      <c r="A255" s="2">
        <v>540203</v>
      </c>
      <c r="B255" s="2" t="s">
        <v>86</v>
      </c>
      <c r="C255" s="2" t="s">
        <v>87</v>
      </c>
      <c r="D255" s="2" t="s">
        <v>5</v>
      </c>
      <c r="E255" s="2">
        <v>4</v>
      </c>
      <c r="F255" s="2">
        <v>2</v>
      </c>
      <c r="G255" s="2">
        <v>354803</v>
      </c>
      <c r="H255" s="2">
        <v>6297</v>
      </c>
      <c r="I255" s="2">
        <v>149</v>
      </c>
      <c r="J255" s="2">
        <v>6148</v>
      </c>
      <c r="K255" s="268">
        <v>0.97633793899999999</v>
      </c>
      <c r="L255" s="268">
        <v>219.6760362</v>
      </c>
    </row>
    <row r="256" spans="1:12" x14ac:dyDescent="0.25">
      <c r="A256" s="2">
        <v>540204</v>
      </c>
      <c r="B256" s="2" t="s">
        <v>263</v>
      </c>
      <c r="C256" s="2" t="s">
        <v>87</v>
      </c>
      <c r="D256" s="2" t="s">
        <v>115</v>
      </c>
      <c r="E256" s="2">
        <v>4</v>
      </c>
      <c r="F256" s="2">
        <v>2</v>
      </c>
      <c r="G256" s="2">
        <v>303</v>
      </c>
      <c r="H256" s="2">
        <v>43</v>
      </c>
      <c r="I256" s="2">
        <v>4</v>
      </c>
      <c r="J256" s="2">
        <v>39</v>
      </c>
      <c r="K256" s="268">
        <v>0.90697674399999995</v>
      </c>
      <c r="L256" s="268">
        <v>204.06976739999999</v>
      </c>
    </row>
    <row r="257" spans="1:12" x14ac:dyDescent="0.25">
      <c r="A257" s="2">
        <v>540205</v>
      </c>
      <c r="B257" s="2" t="s">
        <v>264</v>
      </c>
      <c r="C257" s="2" t="s">
        <v>87</v>
      </c>
      <c r="D257" s="2" t="s">
        <v>115</v>
      </c>
      <c r="E257" s="2">
        <v>4</v>
      </c>
      <c r="F257" s="2">
        <v>2</v>
      </c>
      <c r="G257" s="2">
        <v>214</v>
      </c>
      <c r="H257" s="2">
        <v>18</v>
      </c>
      <c r="I257" s="2">
        <v>1</v>
      </c>
      <c r="J257" s="2">
        <v>17</v>
      </c>
      <c r="K257" s="268">
        <v>0.94444444400000005</v>
      </c>
      <c r="L257" s="268">
        <v>212.5</v>
      </c>
    </row>
    <row r="258" spans="1:12" x14ac:dyDescent="0.25">
      <c r="A258" s="2">
        <v>540206</v>
      </c>
      <c r="B258" s="2" t="s">
        <v>265</v>
      </c>
      <c r="C258" s="2" t="s">
        <v>87</v>
      </c>
      <c r="D258" s="2" t="s">
        <v>115</v>
      </c>
      <c r="E258" s="2">
        <v>4</v>
      </c>
      <c r="F258" s="2">
        <v>2</v>
      </c>
      <c r="G258" s="2">
        <v>403</v>
      </c>
      <c r="H258" s="2">
        <v>56</v>
      </c>
      <c r="I258" s="2">
        <v>0</v>
      </c>
      <c r="J258" s="2">
        <v>56</v>
      </c>
      <c r="K258" s="268">
        <v>1</v>
      </c>
      <c r="L258" s="268">
        <v>225</v>
      </c>
    </row>
    <row r="259" spans="1:12" x14ac:dyDescent="0.25">
      <c r="A259" s="255"/>
      <c r="B259" s="255"/>
      <c r="C259" s="255" t="s">
        <v>87</v>
      </c>
      <c r="D259" s="255"/>
      <c r="E259" s="255"/>
      <c r="F259" s="255"/>
      <c r="G259" s="255">
        <v>355723</v>
      </c>
      <c r="H259" s="255">
        <v>6414</v>
      </c>
      <c r="I259" s="255">
        <v>154</v>
      </c>
      <c r="J259" s="255">
        <v>6260</v>
      </c>
      <c r="K259" s="274">
        <v>0.97599002199999996</v>
      </c>
      <c r="L259" s="274">
        <v>219.59775490000001</v>
      </c>
    </row>
    <row r="260" spans="1:12" x14ac:dyDescent="0.25">
      <c r="A260" s="2">
        <v>540207</v>
      </c>
      <c r="B260" s="2" t="s">
        <v>88</v>
      </c>
      <c r="C260" s="2" t="s">
        <v>89</v>
      </c>
      <c r="D260" s="2" t="s">
        <v>5</v>
      </c>
      <c r="E260" s="2">
        <v>10</v>
      </c>
      <c r="F260" s="2">
        <v>2</v>
      </c>
      <c r="G260" s="2">
        <v>228227</v>
      </c>
      <c r="H260" s="2">
        <v>5735</v>
      </c>
      <c r="I260" s="2">
        <v>110</v>
      </c>
      <c r="J260" s="2">
        <v>5625</v>
      </c>
      <c r="K260" s="268">
        <v>0.98081952900000002</v>
      </c>
      <c r="L260" s="268">
        <v>220.68439409999999</v>
      </c>
    </row>
    <row r="261" spans="1:12" x14ac:dyDescent="0.25">
      <c r="A261" s="2">
        <v>540196</v>
      </c>
      <c r="B261" s="2" t="s">
        <v>259</v>
      </c>
      <c r="C261" s="2" t="s">
        <v>89</v>
      </c>
      <c r="D261" s="2" t="s">
        <v>115</v>
      </c>
      <c r="E261" s="2">
        <v>5</v>
      </c>
      <c r="F261" s="2">
        <v>2</v>
      </c>
      <c r="G261" s="2">
        <v>332</v>
      </c>
      <c r="H261" s="2">
        <v>35</v>
      </c>
      <c r="I261" s="2">
        <v>20</v>
      </c>
      <c r="J261" s="2">
        <v>15</v>
      </c>
      <c r="K261" s="268">
        <v>0.428571429</v>
      </c>
      <c r="L261" s="268">
        <v>96.428571430000005</v>
      </c>
    </row>
    <row r="262" spans="1:12" x14ac:dyDescent="0.25">
      <c r="A262" s="2">
        <v>540208</v>
      </c>
      <c r="B262" s="2" t="s">
        <v>266</v>
      </c>
      <c r="C262" s="2" t="s">
        <v>89</v>
      </c>
      <c r="D262" s="2" t="s">
        <v>115</v>
      </c>
      <c r="E262" s="2">
        <v>10</v>
      </c>
      <c r="F262" s="2">
        <v>2</v>
      </c>
      <c r="G262" s="2">
        <v>1735</v>
      </c>
      <c r="H262" s="2">
        <v>518</v>
      </c>
      <c r="I262" s="2">
        <v>28</v>
      </c>
      <c r="J262" s="2">
        <v>490</v>
      </c>
      <c r="K262" s="268">
        <v>0.94594594600000004</v>
      </c>
      <c r="L262" s="268">
        <v>212.83783779999999</v>
      </c>
    </row>
    <row r="263" spans="1:12" x14ac:dyDescent="0.25">
      <c r="A263" s="2">
        <v>540210</v>
      </c>
      <c r="B263" s="2" t="s">
        <v>267</v>
      </c>
      <c r="C263" s="2" t="s">
        <v>89</v>
      </c>
      <c r="D263" s="2" t="s">
        <v>115</v>
      </c>
      <c r="E263" s="2">
        <v>10</v>
      </c>
      <c r="F263" s="2">
        <v>2</v>
      </c>
      <c r="G263" s="2">
        <v>243</v>
      </c>
      <c r="H263" s="2">
        <v>86</v>
      </c>
      <c r="I263" s="2">
        <v>10</v>
      </c>
      <c r="J263" s="2">
        <v>76</v>
      </c>
      <c r="K263" s="268">
        <v>0.88372092999999996</v>
      </c>
      <c r="L263" s="268">
        <v>198.83720930000001</v>
      </c>
    </row>
    <row r="264" spans="1:12" x14ac:dyDescent="0.25">
      <c r="A264" s="2">
        <v>540256</v>
      </c>
      <c r="B264" s="2" t="s">
        <v>301</v>
      </c>
      <c r="C264" s="2" t="s">
        <v>89</v>
      </c>
      <c r="D264" s="2" t="s">
        <v>115</v>
      </c>
      <c r="E264" s="2">
        <v>10</v>
      </c>
      <c r="F264" s="2">
        <v>2</v>
      </c>
      <c r="G264" s="2">
        <v>322</v>
      </c>
      <c r="H264" s="2">
        <v>53</v>
      </c>
      <c r="I264" s="2">
        <v>2</v>
      </c>
      <c r="J264" s="2">
        <v>51</v>
      </c>
      <c r="K264" s="268">
        <v>0.96226415099999996</v>
      </c>
      <c r="L264" s="268">
        <v>216.509434</v>
      </c>
    </row>
    <row r="265" spans="1:12" x14ac:dyDescent="0.25">
      <c r="A265" s="2">
        <v>540258</v>
      </c>
      <c r="B265" s="2" t="s">
        <v>303</v>
      </c>
      <c r="C265" s="2" t="s">
        <v>89</v>
      </c>
      <c r="D265" s="2" t="s">
        <v>115</v>
      </c>
      <c r="E265" s="2">
        <v>10</v>
      </c>
      <c r="F265" s="2">
        <v>2</v>
      </c>
      <c r="G265" s="2">
        <v>191</v>
      </c>
      <c r="H265" s="2">
        <v>33</v>
      </c>
      <c r="I265" s="2">
        <v>2</v>
      </c>
      <c r="J265" s="2">
        <v>31</v>
      </c>
      <c r="K265" s="268">
        <v>0.93939393900000001</v>
      </c>
      <c r="L265" s="268">
        <v>211.36363639999999</v>
      </c>
    </row>
    <row r="266" spans="1:12" x14ac:dyDescent="0.25">
      <c r="A266" s="255"/>
      <c r="B266" s="255"/>
      <c r="C266" s="255" t="s">
        <v>89</v>
      </c>
      <c r="D266" s="255"/>
      <c r="E266" s="255"/>
      <c r="F266" s="255"/>
      <c r="G266" s="255">
        <v>231050</v>
      </c>
      <c r="H266" s="255">
        <v>6460</v>
      </c>
      <c r="I266" s="255">
        <v>172</v>
      </c>
      <c r="J266" s="255">
        <v>6288</v>
      </c>
      <c r="K266" s="274">
        <v>0.97337461300000006</v>
      </c>
      <c r="L266" s="274">
        <v>219.0092879</v>
      </c>
    </row>
    <row r="267" spans="1:12" x14ac:dyDescent="0.25">
      <c r="A267" s="2">
        <v>540211</v>
      </c>
      <c r="B267" s="2" t="s">
        <v>90</v>
      </c>
      <c r="C267" s="2" t="s">
        <v>91</v>
      </c>
      <c r="D267" s="2" t="s">
        <v>5</v>
      </c>
      <c r="E267" s="2">
        <v>5</v>
      </c>
      <c r="F267" s="2">
        <v>2</v>
      </c>
      <c r="G267" s="2">
        <v>149950</v>
      </c>
      <c r="H267" s="2">
        <v>6772</v>
      </c>
      <c r="I267" s="2">
        <v>415</v>
      </c>
      <c r="J267" s="2">
        <v>6357</v>
      </c>
      <c r="K267" s="268">
        <v>0.93871825200000003</v>
      </c>
      <c r="L267" s="268">
        <v>211.21160660000001</v>
      </c>
    </row>
    <row r="268" spans="1:12" x14ac:dyDescent="0.25">
      <c r="A268" s="2">
        <v>540212</v>
      </c>
      <c r="B268" s="2" t="s">
        <v>268</v>
      </c>
      <c r="C268" s="2" t="s">
        <v>91</v>
      </c>
      <c r="D268" s="2" t="s">
        <v>115</v>
      </c>
      <c r="E268" s="2">
        <v>5</v>
      </c>
      <c r="F268" s="2">
        <v>2</v>
      </c>
      <c r="G268" s="2">
        <v>343</v>
      </c>
      <c r="H268" s="2">
        <v>107</v>
      </c>
      <c r="I268" s="2">
        <v>1</v>
      </c>
      <c r="J268" s="2">
        <v>106</v>
      </c>
      <c r="K268" s="268">
        <v>0.99065420599999998</v>
      </c>
      <c r="L268" s="268">
        <v>222.89719629999999</v>
      </c>
    </row>
    <row r="269" spans="1:12" x14ac:dyDescent="0.25">
      <c r="A269" s="255"/>
      <c r="B269" s="255"/>
      <c r="C269" s="255" t="s">
        <v>91</v>
      </c>
      <c r="D269" s="255"/>
      <c r="E269" s="255"/>
      <c r="F269" s="255"/>
      <c r="G269" s="255">
        <v>150293</v>
      </c>
      <c r="H269" s="255">
        <v>6879</v>
      </c>
      <c r="I269" s="255">
        <v>416</v>
      </c>
      <c r="J269" s="255">
        <v>6463</v>
      </c>
      <c r="K269" s="274">
        <v>0.93952609399999998</v>
      </c>
      <c r="L269" s="274">
        <v>211.3933711</v>
      </c>
    </row>
    <row r="270" spans="1:12" x14ac:dyDescent="0.25">
      <c r="A270" s="2">
        <v>540213</v>
      </c>
      <c r="B270" s="2" t="s">
        <v>92</v>
      </c>
      <c r="C270" s="2" t="s">
        <v>93</v>
      </c>
      <c r="D270" s="2" t="s">
        <v>5</v>
      </c>
      <c r="E270" s="2">
        <v>5</v>
      </c>
      <c r="F270" s="2">
        <v>2</v>
      </c>
      <c r="G270" s="2">
        <v>229238</v>
      </c>
      <c r="H270" s="2">
        <v>14190</v>
      </c>
      <c r="I270" s="2">
        <v>194</v>
      </c>
      <c r="J270" s="2">
        <v>13996</v>
      </c>
      <c r="K270" s="268">
        <v>0.98632839999999999</v>
      </c>
      <c r="L270" s="268">
        <v>221.92389009999999</v>
      </c>
    </row>
    <row r="271" spans="1:12" x14ac:dyDescent="0.25">
      <c r="A271" s="2">
        <v>540042</v>
      </c>
      <c r="B271" s="2" t="s">
        <v>143</v>
      </c>
      <c r="C271" s="2" t="s">
        <v>93</v>
      </c>
      <c r="D271" s="2" t="s">
        <v>115</v>
      </c>
      <c r="E271" s="2">
        <v>5</v>
      </c>
      <c r="F271" s="2">
        <v>2</v>
      </c>
      <c r="G271" s="2">
        <v>353</v>
      </c>
      <c r="H271" s="2">
        <v>12</v>
      </c>
      <c r="I271" s="2">
        <v>0</v>
      </c>
      <c r="J271" s="2">
        <v>12</v>
      </c>
      <c r="K271" s="268">
        <v>1</v>
      </c>
      <c r="L271" s="268">
        <v>225</v>
      </c>
    </row>
    <row r="272" spans="1:12" x14ac:dyDescent="0.25">
      <c r="A272" s="2">
        <v>540214</v>
      </c>
      <c r="B272" s="2" t="s">
        <v>269</v>
      </c>
      <c r="C272" s="2" t="s">
        <v>93</v>
      </c>
      <c r="D272" s="2" t="s">
        <v>115</v>
      </c>
      <c r="E272" s="2">
        <v>5</v>
      </c>
      <c r="F272" s="2">
        <v>2</v>
      </c>
      <c r="G272" s="2">
        <v>7879</v>
      </c>
      <c r="H272" s="2">
        <v>936</v>
      </c>
      <c r="I272" s="2">
        <v>71</v>
      </c>
      <c r="J272" s="2">
        <v>865</v>
      </c>
      <c r="K272" s="268">
        <v>0.92414529899999998</v>
      </c>
      <c r="L272" s="268">
        <v>207.93269230000001</v>
      </c>
    </row>
    <row r="273" spans="1:12" x14ac:dyDescent="0.25">
      <c r="A273" s="2">
        <v>540215</v>
      </c>
      <c r="B273" s="2" t="s">
        <v>270</v>
      </c>
      <c r="C273" s="2" t="s">
        <v>93</v>
      </c>
      <c r="D273" s="2" t="s">
        <v>115</v>
      </c>
      <c r="E273" s="2">
        <v>5</v>
      </c>
      <c r="F273" s="2">
        <v>2</v>
      </c>
      <c r="G273" s="2">
        <v>2525</v>
      </c>
      <c r="H273" s="2">
        <v>224</v>
      </c>
      <c r="I273" s="2">
        <v>19</v>
      </c>
      <c r="J273" s="2">
        <v>205</v>
      </c>
      <c r="K273" s="268">
        <v>0.915178571</v>
      </c>
      <c r="L273" s="268">
        <v>205.91517859999999</v>
      </c>
    </row>
    <row r="274" spans="1:12" x14ac:dyDescent="0.25">
      <c r="A274" s="2">
        <v>540216</v>
      </c>
      <c r="B274" s="2" t="s">
        <v>271</v>
      </c>
      <c r="C274" s="2" t="s">
        <v>93</v>
      </c>
      <c r="D274" s="2" t="s">
        <v>115</v>
      </c>
      <c r="E274" s="2">
        <v>5</v>
      </c>
      <c r="F274" s="2">
        <v>2</v>
      </c>
      <c r="G274" s="2">
        <v>1055</v>
      </c>
      <c r="H274" s="2">
        <v>146</v>
      </c>
      <c r="I274" s="2">
        <v>3</v>
      </c>
      <c r="J274" s="2">
        <v>143</v>
      </c>
      <c r="K274" s="268">
        <v>0.97945205499999999</v>
      </c>
      <c r="L274" s="268">
        <v>220.37671230000001</v>
      </c>
    </row>
    <row r="275" spans="1:12" x14ac:dyDescent="0.25">
      <c r="A275" s="255"/>
      <c r="B275" s="255"/>
      <c r="C275" s="255" t="s">
        <v>93</v>
      </c>
      <c r="D275" s="255"/>
      <c r="E275" s="255"/>
      <c r="F275" s="255"/>
      <c r="G275" s="255">
        <v>241050</v>
      </c>
      <c r="H275" s="255">
        <v>15508</v>
      </c>
      <c r="I275" s="255">
        <v>287</v>
      </c>
      <c r="J275" s="255">
        <v>15221</v>
      </c>
      <c r="K275" s="274">
        <v>0.98149342299999998</v>
      </c>
      <c r="L275" s="274">
        <v>220.83602010000001</v>
      </c>
    </row>
    <row r="276" spans="1:12" x14ac:dyDescent="0.25">
      <c r="A276" s="2">
        <v>540224</v>
      </c>
      <c r="B276" s="2" t="s">
        <v>96</v>
      </c>
      <c r="C276" s="2" t="s">
        <v>97</v>
      </c>
      <c r="D276" s="2" t="s">
        <v>5</v>
      </c>
      <c r="E276" s="2">
        <v>5</v>
      </c>
      <c r="F276" s="2">
        <v>2</v>
      </c>
      <c r="G276" s="2">
        <v>286084</v>
      </c>
      <c r="H276" s="2">
        <v>6826</v>
      </c>
      <c r="I276" s="2">
        <v>393</v>
      </c>
      <c r="J276" s="2">
        <v>6433</v>
      </c>
      <c r="K276" s="268">
        <v>0.94242601800000003</v>
      </c>
      <c r="L276" s="268">
        <v>212.04585410000001</v>
      </c>
    </row>
    <row r="277" spans="1:12" x14ac:dyDescent="0.25">
      <c r="A277" s="2">
        <v>540132</v>
      </c>
      <c r="B277" s="2" t="s">
        <v>216</v>
      </c>
      <c r="C277" s="2" t="s">
        <v>97</v>
      </c>
      <c r="D277" s="2" t="s">
        <v>115</v>
      </c>
      <c r="E277" s="2">
        <v>5</v>
      </c>
      <c r="F277" s="2">
        <v>2</v>
      </c>
      <c r="G277" s="2">
        <v>1020</v>
      </c>
      <c r="H277" s="2">
        <v>9</v>
      </c>
      <c r="I277" s="2">
        <v>9</v>
      </c>
      <c r="J277" s="2">
        <v>0</v>
      </c>
      <c r="K277" s="268">
        <v>0</v>
      </c>
      <c r="L277" s="268">
        <v>0</v>
      </c>
    </row>
    <row r="278" spans="1:12" x14ac:dyDescent="0.25">
      <c r="A278" s="2">
        <v>540179</v>
      </c>
      <c r="B278" s="2" t="s">
        <v>250</v>
      </c>
      <c r="C278" s="2" t="s">
        <v>97</v>
      </c>
      <c r="D278" s="2" t="s">
        <v>115</v>
      </c>
      <c r="E278" s="2">
        <v>5</v>
      </c>
      <c r="F278" s="2">
        <v>2</v>
      </c>
      <c r="G278" s="2">
        <v>312</v>
      </c>
      <c r="H278" s="2">
        <v>30</v>
      </c>
      <c r="I278" s="2">
        <v>1</v>
      </c>
      <c r="J278" s="2">
        <v>29</v>
      </c>
      <c r="K278" s="268">
        <v>0.96666666700000003</v>
      </c>
      <c r="L278" s="268">
        <v>217.5</v>
      </c>
    </row>
    <row r="279" spans="1:12" x14ac:dyDescent="0.25">
      <c r="A279" s="2">
        <v>540180</v>
      </c>
      <c r="B279" s="2" t="s">
        <v>251</v>
      </c>
      <c r="C279" s="2" t="s">
        <v>97</v>
      </c>
      <c r="D279" s="2" t="s">
        <v>115</v>
      </c>
      <c r="E279" s="2">
        <v>5</v>
      </c>
      <c r="F279" s="2">
        <v>2</v>
      </c>
      <c r="G279" s="2">
        <v>720</v>
      </c>
      <c r="H279" s="2">
        <v>33</v>
      </c>
      <c r="I279" s="2">
        <v>0</v>
      </c>
      <c r="J279" s="2">
        <v>33</v>
      </c>
      <c r="K279" s="268">
        <v>1</v>
      </c>
      <c r="L279" s="268">
        <v>225</v>
      </c>
    </row>
    <row r="280" spans="1:12" x14ac:dyDescent="0.25">
      <c r="A280" s="2">
        <v>540182</v>
      </c>
      <c r="B280" s="2" t="s">
        <v>252</v>
      </c>
      <c r="C280" s="2" t="s">
        <v>97</v>
      </c>
      <c r="D280" s="2" t="s">
        <v>115</v>
      </c>
      <c r="E280" s="2">
        <v>5</v>
      </c>
      <c r="F280" s="2">
        <v>2</v>
      </c>
      <c r="G280" s="2">
        <v>1742</v>
      </c>
      <c r="H280" s="2">
        <v>52</v>
      </c>
      <c r="I280" s="2">
        <v>2</v>
      </c>
      <c r="J280" s="2">
        <v>50</v>
      </c>
      <c r="K280" s="268">
        <v>0.96153846200000004</v>
      </c>
      <c r="L280" s="268">
        <v>216.3461538</v>
      </c>
    </row>
    <row r="281" spans="1:12" x14ac:dyDescent="0.25">
      <c r="A281" s="2">
        <v>540262</v>
      </c>
      <c r="B281" s="2" t="s">
        <v>305</v>
      </c>
      <c r="C281" s="2" t="s">
        <v>97</v>
      </c>
      <c r="D281" s="2" t="s">
        <v>115</v>
      </c>
      <c r="E281" s="2">
        <v>5</v>
      </c>
      <c r="F281" s="2">
        <v>2</v>
      </c>
      <c r="G281" s="2">
        <v>215</v>
      </c>
      <c r="H281" s="2">
        <v>22</v>
      </c>
      <c r="I281" s="2">
        <v>0</v>
      </c>
      <c r="J281" s="2">
        <v>22</v>
      </c>
      <c r="K281" s="268">
        <v>1</v>
      </c>
      <c r="L281" s="268">
        <v>225</v>
      </c>
    </row>
    <row r="282" spans="1:12" x14ac:dyDescent="0.25">
      <c r="A282" s="2">
        <v>540263</v>
      </c>
      <c r="B282" s="2" t="s">
        <v>306</v>
      </c>
      <c r="C282" s="2" t="s">
        <v>97</v>
      </c>
      <c r="D282" s="2" t="s">
        <v>115</v>
      </c>
      <c r="E282" s="2">
        <v>5</v>
      </c>
      <c r="F282" s="2">
        <v>2</v>
      </c>
      <c r="G282" s="2">
        <v>156</v>
      </c>
      <c r="H282" s="2">
        <v>16</v>
      </c>
      <c r="I282" s="2">
        <v>0</v>
      </c>
      <c r="J282" s="2">
        <v>16</v>
      </c>
      <c r="K282" s="268">
        <v>1</v>
      </c>
      <c r="L282" s="268">
        <v>225</v>
      </c>
    </row>
    <row r="283" spans="1:12" x14ac:dyDescent="0.25">
      <c r="A283" s="255"/>
      <c r="B283" s="255"/>
      <c r="C283" s="255" t="s">
        <v>97</v>
      </c>
      <c r="D283" s="255"/>
      <c r="E283" s="255"/>
      <c r="F283" s="255"/>
      <c r="G283" s="255">
        <v>290249</v>
      </c>
      <c r="H283" s="255">
        <v>6988</v>
      </c>
      <c r="I283" s="255">
        <v>405</v>
      </c>
      <c r="J283" s="255">
        <v>6583</v>
      </c>
      <c r="K283" s="274">
        <v>0.94204350299999995</v>
      </c>
      <c r="L283" s="274">
        <v>211.95978819999999</v>
      </c>
    </row>
    <row r="284" spans="1:12" x14ac:dyDescent="0.25">
      <c r="A284" s="2">
        <v>540225</v>
      </c>
      <c r="B284" s="2" t="s">
        <v>98</v>
      </c>
      <c r="C284" s="2" t="s">
        <v>99</v>
      </c>
      <c r="D284" s="2" t="s">
        <v>5</v>
      </c>
      <c r="E284" s="2">
        <v>5</v>
      </c>
      <c r="F284" s="2">
        <v>2</v>
      </c>
      <c r="G284" s="2">
        <v>85133</v>
      </c>
      <c r="H284" s="2">
        <v>3264</v>
      </c>
      <c r="I284" s="2">
        <v>76</v>
      </c>
      <c r="J284" s="2">
        <v>3188</v>
      </c>
      <c r="K284" s="268">
        <v>0.97671568600000003</v>
      </c>
      <c r="L284" s="268">
        <v>219.76102940000001</v>
      </c>
    </row>
    <row r="285" spans="1:12" x14ac:dyDescent="0.25">
      <c r="A285" s="2">
        <v>540156</v>
      </c>
      <c r="B285" s="2" t="s">
        <v>232</v>
      </c>
      <c r="C285" s="2" t="s">
        <v>99</v>
      </c>
      <c r="D285" s="2" t="s">
        <v>115</v>
      </c>
      <c r="E285" s="2">
        <v>5</v>
      </c>
      <c r="F285" s="2">
        <v>2</v>
      </c>
      <c r="G285" s="2">
        <v>657</v>
      </c>
      <c r="H285" s="2">
        <v>56</v>
      </c>
      <c r="I285" s="2">
        <v>0</v>
      </c>
      <c r="J285" s="2">
        <v>56</v>
      </c>
      <c r="K285" s="268">
        <v>1</v>
      </c>
      <c r="L285" s="268">
        <v>225</v>
      </c>
    </row>
    <row r="286" spans="1:12" x14ac:dyDescent="0.25">
      <c r="A286" s="2">
        <v>540253</v>
      </c>
      <c r="B286" s="2" t="s">
        <v>299</v>
      </c>
      <c r="C286" s="2" t="s">
        <v>99</v>
      </c>
      <c r="D286" s="2" t="s">
        <v>115</v>
      </c>
      <c r="E286" s="2">
        <v>5</v>
      </c>
      <c r="F286" s="2">
        <v>2</v>
      </c>
      <c r="G286" s="2">
        <v>262</v>
      </c>
      <c r="H286" s="2">
        <v>16</v>
      </c>
      <c r="I286" s="2">
        <v>0</v>
      </c>
      <c r="J286" s="2">
        <v>16</v>
      </c>
      <c r="K286" s="268">
        <v>1</v>
      </c>
      <c r="L286" s="268">
        <v>225</v>
      </c>
    </row>
    <row r="287" spans="1:12" x14ac:dyDescent="0.25">
      <c r="A287" s="255"/>
      <c r="B287" s="255"/>
      <c r="C287" s="255" t="s">
        <v>99</v>
      </c>
      <c r="D287" s="255"/>
      <c r="E287" s="255"/>
      <c r="F287" s="255"/>
      <c r="G287" s="255">
        <v>86052</v>
      </c>
      <c r="H287" s="255">
        <v>3336</v>
      </c>
      <c r="I287" s="255">
        <v>76</v>
      </c>
      <c r="J287" s="255">
        <v>3260</v>
      </c>
      <c r="K287" s="274">
        <v>0.977218225</v>
      </c>
      <c r="L287" s="274">
        <v>219.87410070000001</v>
      </c>
    </row>
    <row r="288" spans="1:12" x14ac:dyDescent="0.25">
      <c r="A288" s="2">
        <v>540226</v>
      </c>
      <c r="B288" s="2" t="s">
        <v>100</v>
      </c>
      <c r="C288" s="2" t="s">
        <v>101</v>
      </c>
      <c r="D288" s="2" t="s">
        <v>5</v>
      </c>
      <c r="E288" s="2">
        <v>8</v>
      </c>
      <c r="F288" s="2">
        <v>2</v>
      </c>
      <c r="G288" s="2">
        <v>411595</v>
      </c>
      <c r="H288" s="2">
        <v>18986</v>
      </c>
      <c r="I288" s="2">
        <v>330</v>
      </c>
      <c r="J288" s="2">
        <v>18656</v>
      </c>
      <c r="K288" s="268">
        <v>0.98261877200000003</v>
      </c>
      <c r="L288" s="268">
        <v>221.0892236</v>
      </c>
    </row>
    <row r="289" spans="1:12" x14ac:dyDescent="0.25">
      <c r="A289" s="2">
        <v>540046</v>
      </c>
      <c r="B289" s="2" t="s">
        <v>147</v>
      </c>
      <c r="C289" s="2" t="s">
        <v>101</v>
      </c>
      <c r="D289" s="2" t="s">
        <v>115</v>
      </c>
      <c r="E289" s="2">
        <v>8</v>
      </c>
      <c r="F289" s="2">
        <v>2</v>
      </c>
      <c r="G289" s="2">
        <v>447</v>
      </c>
      <c r="H289" s="2">
        <v>56</v>
      </c>
      <c r="I289" s="2">
        <v>0</v>
      </c>
      <c r="J289" s="2">
        <v>56</v>
      </c>
      <c r="K289" s="268">
        <v>1</v>
      </c>
      <c r="L289" s="268">
        <v>225</v>
      </c>
    </row>
    <row r="290" spans="1:12" x14ac:dyDescent="0.25">
      <c r="A290" s="2">
        <v>540276</v>
      </c>
      <c r="B290" s="2" t="s">
        <v>319</v>
      </c>
      <c r="C290" s="2" t="s">
        <v>101</v>
      </c>
      <c r="D290" s="2" t="s">
        <v>115</v>
      </c>
      <c r="E290" s="2">
        <v>8</v>
      </c>
      <c r="F290" s="2">
        <v>2</v>
      </c>
      <c r="G290" s="2">
        <v>615</v>
      </c>
      <c r="H290" s="2">
        <v>22</v>
      </c>
      <c r="I290" s="2">
        <v>0</v>
      </c>
      <c r="J290" s="2">
        <v>22</v>
      </c>
      <c r="K290" s="268">
        <v>1</v>
      </c>
      <c r="L290" s="268">
        <v>225</v>
      </c>
    </row>
    <row r="291" spans="1:12" x14ac:dyDescent="0.25">
      <c r="A291" s="255"/>
      <c r="B291" s="255"/>
      <c r="C291" s="255" t="s">
        <v>101</v>
      </c>
      <c r="D291" s="255"/>
      <c r="E291" s="255"/>
      <c r="F291" s="255"/>
      <c r="G291" s="255">
        <v>412657</v>
      </c>
      <c r="H291" s="255">
        <v>19064</v>
      </c>
      <c r="I291" s="255">
        <v>330</v>
      </c>
      <c r="J291" s="255">
        <v>18734</v>
      </c>
      <c r="K291" s="274">
        <v>0.98268988700000004</v>
      </c>
      <c r="L291" s="274">
        <v>221.10522449999999</v>
      </c>
    </row>
    <row r="292" spans="1:12" x14ac:dyDescent="0.25">
      <c r="A292" s="2">
        <v>540277</v>
      </c>
      <c r="B292" s="2" t="s">
        <v>102</v>
      </c>
      <c r="C292" s="2" t="s">
        <v>103</v>
      </c>
      <c r="D292" s="2" t="s">
        <v>5</v>
      </c>
      <c r="E292" s="2">
        <v>5</v>
      </c>
      <c r="F292" s="2">
        <v>2</v>
      </c>
      <c r="G292" s="2">
        <v>165884</v>
      </c>
      <c r="H292" s="2">
        <v>7064</v>
      </c>
      <c r="I292" s="2">
        <v>145</v>
      </c>
      <c r="J292" s="2">
        <v>6919</v>
      </c>
      <c r="K292" s="268">
        <v>0.979473386</v>
      </c>
      <c r="L292" s="268">
        <v>220.38151189999999</v>
      </c>
    </row>
    <row r="293" spans="1:12" x14ac:dyDescent="0.25">
      <c r="A293" s="2">
        <v>540195</v>
      </c>
      <c r="B293" s="2" t="s">
        <v>258</v>
      </c>
      <c r="C293" s="2" t="s">
        <v>103</v>
      </c>
      <c r="D293" s="2" t="s">
        <v>115</v>
      </c>
      <c r="E293" s="2">
        <v>5</v>
      </c>
      <c r="F293" s="2">
        <v>2</v>
      </c>
      <c r="G293" s="2">
        <v>242</v>
      </c>
      <c r="H293" s="2">
        <v>14</v>
      </c>
      <c r="I293" s="2">
        <v>0</v>
      </c>
      <c r="J293" s="2">
        <v>14</v>
      </c>
      <c r="K293" s="268">
        <v>1</v>
      </c>
      <c r="L293" s="268">
        <v>225</v>
      </c>
    </row>
    <row r="294" spans="1:12" x14ac:dyDescent="0.25">
      <c r="A294" s="2">
        <v>540196</v>
      </c>
      <c r="B294" s="2" t="s">
        <v>259</v>
      </c>
      <c r="C294" s="2" t="s">
        <v>103</v>
      </c>
      <c r="D294" s="2" t="s">
        <v>115</v>
      </c>
      <c r="E294" s="2">
        <v>5</v>
      </c>
      <c r="F294" s="2">
        <v>2</v>
      </c>
      <c r="G294" s="2">
        <v>210</v>
      </c>
      <c r="H294" s="2">
        <v>25</v>
      </c>
      <c r="I294" s="2">
        <v>0</v>
      </c>
      <c r="J294" s="2">
        <v>25</v>
      </c>
      <c r="K294" s="268">
        <v>1</v>
      </c>
      <c r="L294" s="268">
        <v>225</v>
      </c>
    </row>
    <row r="295" spans="1:12" x14ac:dyDescent="0.25">
      <c r="A295" s="2">
        <v>540197</v>
      </c>
      <c r="B295" s="2" t="s">
        <v>260</v>
      </c>
      <c r="C295" s="2" t="s">
        <v>103</v>
      </c>
      <c r="D295" s="2" t="s">
        <v>115</v>
      </c>
      <c r="E295" s="2">
        <v>5</v>
      </c>
      <c r="F295" s="2">
        <v>2</v>
      </c>
      <c r="G295" s="2">
        <v>336</v>
      </c>
      <c r="H295" s="2">
        <v>50</v>
      </c>
      <c r="I295" s="2">
        <v>0</v>
      </c>
      <c r="J295" s="2">
        <v>50</v>
      </c>
      <c r="K295" s="268">
        <v>1</v>
      </c>
      <c r="L295" s="268">
        <v>225</v>
      </c>
    </row>
    <row r="296" spans="1:12" x14ac:dyDescent="0.25">
      <c r="A296" s="2">
        <v>540259</v>
      </c>
      <c r="B296" s="2" t="s">
        <v>304</v>
      </c>
      <c r="C296" s="2" t="s">
        <v>103</v>
      </c>
      <c r="D296" s="2" t="s">
        <v>115</v>
      </c>
      <c r="E296" s="2">
        <v>5</v>
      </c>
      <c r="F296" s="2">
        <v>2</v>
      </c>
      <c r="G296" s="2">
        <v>65</v>
      </c>
      <c r="H296" s="2">
        <v>36</v>
      </c>
      <c r="I296" s="2">
        <v>0</v>
      </c>
      <c r="J296" s="2">
        <v>36</v>
      </c>
      <c r="K296" s="268">
        <v>1</v>
      </c>
      <c r="L296" s="268">
        <v>225</v>
      </c>
    </row>
    <row r="297" spans="1:12" x14ac:dyDescent="0.25">
      <c r="A297" s="255"/>
      <c r="B297" s="255"/>
      <c r="C297" s="255" t="s">
        <v>103</v>
      </c>
      <c r="D297" s="255"/>
      <c r="E297" s="255"/>
      <c r="F297" s="255"/>
      <c r="G297" s="255">
        <v>166737</v>
      </c>
      <c r="H297" s="255">
        <v>7189</v>
      </c>
      <c r="I297" s="255">
        <v>145</v>
      </c>
      <c r="J297" s="255">
        <v>7044</v>
      </c>
      <c r="K297" s="274">
        <v>0.97983029600000004</v>
      </c>
      <c r="L297" s="274">
        <v>220.46181670000001</v>
      </c>
    </row>
    <row r="298" spans="1:12" x14ac:dyDescent="0.25">
      <c r="A298" s="2">
        <v>540278</v>
      </c>
      <c r="B298" s="2" t="s">
        <v>104</v>
      </c>
      <c r="C298" s="2" t="s">
        <v>105</v>
      </c>
      <c r="D298" s="2" t="s">
        <v>5</v>
      </c>
      <c r="E298" s="2">
        <v>1</v>
      </c>
      <c r="F298" s="2">
        <v>2</v>
      </c>
      <c r="G298" s="2">
        <v>302113</v>
      </c>
      <c r="H298" s="2">
        <v>7136</v>
      </c>
      <c r="I298" s="2">
        <v>162</v>
      </c>
      <c r="J298" s="2">
        <v>6974</v>
      </c>
      <c r="K298" s="268">
        <v>0.97729820599999995</v>
      </c>
      <c r="L298" s="268">
        <v>219.89209640000001</v>
      </c>
    </row>
    <row r="299" spans="1:12" x14ac:dyDescent="0.25">
      <c r="A299" s="2">
        <v>540041</v>
      </c>
      <c r="B299" s="2" t="s">
        <v>142</v>
      </c>
      <c r="C299" s="2" t="s">
        <v>105</v>
      </c>
      <c r="D299" s="2" t="s">
        <v>115</v>
      </c>
      <c r="E299" s="2">
        <v>1</v>
      </c>
      <c r="F299" s="2">
        <v>2</v>
      </c>
      <c r="G299" s="2">
        <v>193</v>
      </c>
      <c r="H299" s="2">
        <v>41</v>
      </c>
      <c r="I299" s="2">
        <v>1</v>
      </c>
      <c r="J299" s="2">
        <v>40</v>
      </c>
      <c r="K299" s="268">
        <v>0.97560975599999999</v>
      </c>
      <c r="L299" s="268">
        <v>219.51219510000001</v>
      </c>
    </row>
    <row r="300" spans="1:12" x14ac:dyDescent="0.25">
      <c r="A300" s="2">
        <v>540143</v>
      </c>
      <c r="B300" s="2" t="s">
        <v>224</v>
      </c>
      <c r="C300" s="2" t="s">
        <v>105</v>
      </c>
      <c r="D300" s="2" t="s">
        <v>115</v>
      </c>
      <c r="E300" s="2">
        <v>1</v>
      </c>
      <c r="F300" s="2">
        <v>2</v>
      </c>
      <c r="G300" s="2">
        <v>202</v>
      </c>
      <c r="H300" s="2">
        <v>25</v>
      </c>
      <c r="I300" s="2">
        <v>0</v>
      </c>
      <c r="J300" s="2">
        <v>25</v>
      </c>
      <c r="K300" s="268">
        <v>1</v>
      </c>
      <c r="L300" s="268">
        <v>225</v>
      </c>
    </row>
    <row r="301" spans="1:12" x14ac:dyDescent="0.25">
      <c r="A301" s="2">
        <v>540290</v>
      </c>
      <c r="B301" s="2" t="s">
        <v>327</v>
      </c>
      <c r="C301" s="2" t="s">
        <v>105</v>
      </c>
      <c r="D301" s="2" t="s">
        <v>115</v>
      </c>
      <c r="E301" s="2">
        <v>1</v>
      </c>
      <c r="F301" s="2">
        <v>2</v>
      </c>
      <c r="G301" s="2">
        <v>287</v>
      </c>
      <c r="H301" s="2">
        <v>0</v>
      </c>
      <c r="I301" s="2">
        <v>0</v>
      </c>
      <c r="J301" s="2">
        <v>0</v>
      </c>
      <c r="K301" s="268" t="s">
        <v>488</v>
      </c>
      <c r="L301" s="268" t="s">
        <v>488</v>
      </c>
    </row>
    <row r="302" spans="1:12" x14ac:dyDescent="0.25">
      <c r="A302" s="255"/>
      <c r="B302" s="255"/>
      <c r="C302" s="255" t="s">
        <v>105</v>
      </c>
      <c r="D302" s="255"/>
      <c r="E302" s="255"/>
      <c r="F302" s="255"/>
      <c r="G302" s="255">
        <v>302795</v>
      </c>
      <c r="H302" s="255">
        <v>7202</v>
      </c>
      <c r="I302" s="255">
        <v>163</v>
      </c>
      <c r="J302" s="255">
        <v>7039</v>
      </c>
      <c r="K302" s="274">
        <v>0.97736739800000005</v>
      </c>
      <c r="L302" s="274">
        <v>219.90766450000001</v>
      </c>
    </row>
    <row r="303" spans="1:12" x14ac:dyDescent="0.25">
      <c r="A303" s="2">
        <v>540282</v>
      </c>
      <c r="B303" s="2" t="s">
        <v>106</v>
      </c>
      <c r="C303" s="2" t="s">
        <v>107</v>
      </c>
      <c r="D303" s="2" t="s">
        <v>5</v>
      </c>
      <c r="E303" s="2">
        <v>9</v>
      </c>
      <c r="F303" s="2">
        <v>2</v>
      </c>
      <c r="G303" s="2">
        <v>201588</v>
      </c>
      <c r="H303" s="2">
        <v>8511</v>
      </c>
      <c r="I303" s="2">
        <v>134</v>
      </c>
      <c r="J303" s="2">
        <v>8377</v>
      </c>
      <c r="K303" s="268">
        <v>0.98425566900000006</v>
      </c>
      <c r="L303" s="268">
        <v>221.4575256</v>
      </c>
    </row>
    <row r="304" spans="1:12" x14ac:dyDescent="0.25">
      <c r="A304" s="2">
        <v>540006</v>
      </c>
      <c r="B304" s="2" t="s">
        <v>119</v>
      </c>
      <c r="C304" s="2" t="s">
        <v>107</v>
      </c>
      <c r="D304" s="2" t="s">
        <v>115</v>
      </c>
      <c r="E304" s="2">
        <v>9</v>
      </c>
      <c r="F304" s="2">
        <v>2</v>
      </c>
      <c r="G304" s="2">
        <v>4259</v>
      </c>
      <c r="H304" s="2">
        <v>127</v>
      </c>
      <c r="I304" s="2">
        <v>20</v>
      </c>
      <c r="J304" s="2">
        <v>107</v>
      </c>
      <c r="K304" s="268">
        <v>0.84251968499999996</v>
      </c>
      <c r="L304" s="268">
        <v>189.56692910000001</v>
      </c>
    </row>
    <row r="305" spans="1:12" x14ac:dyDescent="0.25">
      <c r="A305" s="2">
        <v>545550</v>
      </c>
      <c r="B305" s="2" t="s">
        <v>339</v>
      </c>
      <c r="C305" s="2" t="s">
        <v>107</v>
      </c>
      <c r="D305" s="2" t="s">
        <v>115</v>
      </c>
      <c r="E305" s="2">
        <v>9</v>
      </c>
      <c r="F305" s="2">
        <v>2</v>
      </c>
      <c r="G305" s="2">
        <v>85</v>
      </c>
      <c r="H305" s="2">
        <v>0</v>
      </c>
      <c r="I305" s="2">
        <v>0</v>
      </c>
      <c r="J305" s="2">
        <v>0</v>
      </c>
      <c r="K305" s="268" t="s">
        <v>488</v>
      </c>
      <c r="L305" s="268" t="s">
        <v>488</v>
      </c>
    </row>
    <row r="306" spans="1:12" x14ac:dyDescent="0.25">
      <c r="A306" s="255"/>
      <c r="B306" s="255"/>
      <c r="C306" s="255" t="s">
        <v>107</v>
      </c>
      <c r="D306" s="255"/>
      <c r="E306" s="255"/>
      <c r="F306" s="255"/>
      <c r="G306" s="255">
        <v>205932</v>
      </c>
      <c r="H306" s="255">
        <v>8638</v>
      </c>
      <c r="I306" s="255">
        <v>154</v>
      </c>
      <c r="J306" s="255">
        <v>8484</v>
      </c>
      <c r="K306" s="274">
        <v>0.98217179899999996</v>
      </c>
      <c r="L306" s="274">
        <v>220.98865480000001</v>
      </c>
    </row>
    <row r="307" spans="1:12" x14ac:dyDescent="0.25">
      <c r="A307" s="2">
        <v>540283</v>
      </c>
      <c r="B307" s="2" t="s">
        <v>108</v>
      </c>
      <c r="C307" s="2" t="s">
        <v>109</v>
      </c>
      <c r="D307" s="2" t="s">
        <v>5</v>
      </c>
      <c r="E307" s="2">
        <v>4</v>
      </c>
      <c r="F307" s="2">
        <v>2</v>
      </c>
      <c r="G307" s="2">
        <v>600184</v>
      </c>
      <c r="H307" s="2">
        <v>7163</v>
      </c>
      <c r="I307" s="2">
        <v>546</v>
      </c>
      <c r="J307" s="2">
        <v>6617</v>
      </c>
      <c r="K307" s="268">
        <v>0.92377495499999995</v>
      </c>
      <c r="L307" s="268">
        <v>207.84936479999999</v>
      </c>
    </row>
    <row r="308" spans="1:12" x14ac:dyDescent="0.25">
      <c r="A308" s="2">
        <v>540158</v>
      </c>
      <c r="B308" s="2" t="s">
        <v>233</v>
      </c>
      <c r="C308" s="2" t="s">
        <v>109</v>
      </c>
      <c r="D308" s="2" t="s">
        <v>115</v>
      </c>
      <c r="E308" s="2">
        <v>4</v>
      </c>
      <c r="F308" s="2">
        <v>2</v>
      </c>
      <c r="G308" s="2">
        <v>366</v>
      </c>
      <c r="H308" s="2">
        <v>23</v>
      </c>
      <c r="I308" s="2">
        <v>0</v>
      </c>
      <c r="J308" s="2">
        <v>23</v>
      </c>
      <c r="K308" s="268">
        <v>1</v>
      </c>
      <c r="L308" s="268">
        <v>225</v>
      </c>
    </row>
    <row r="309" spans="1:12" x14ac:dyDescent="0.25">
      <c r="A309" s="2">
        <v>540159</v>
      </c>
      <c r="B309" s="2" t="s">
        <v>234</v>
      </c>
      <c r="C309" s="2" t="s">
        <v>109</v>
      </c>
      <c r="D309" s="2" t="s">
        <v>115</v>
      </c>
      <c r="E309" s="2">
        <v>4</v>
      </c>
      <c r="F309" s="2">
        <v>2</v>
      </c>
      <c r="G309" s="2">
        <v>1566</v>
      </c>
      <c r="H309" s="2">
        <v>316</v>
      </c>
      <c r="I309" s="2">
        <v>33</v>
      </c>
      <c r="J309" s="2">
        <v>283</v>
      </c>
      <c r="K309" s="268">
        <v>0.89556961999999996</v>
      </c>
      <c r="L309" s="268">
        <v>201.50316459999999</v>
      </c>
    </row>
    <row r="310" spans="1:12" x14ac:dyDescent="0.25">
      <c r="A310" s="2">
        <v>540288</v>
      </c>
      <c r="B310" s="2" t="s">
        <v>340</v>
      </c>
      <c r="C310" s="2" t="s">
        <v>109</v>
      </c>
      <c r="D310" s="2" t="s">
        <v>115</v>
      </c>
      <c r="E310" s="2">
        <v>4</v>
      </c>
      <c r="F310" s="2">
        <v>2</v>
      </c>
      <c r="G310" s="2">
        <v>230</v>
      </c>
      <c r="H310" s="2">
        <v>0</v>
      </c>
      <c r="I310" s="2">
        <v>0</v>
      </c>
      <c r="J310" s="2">
        <v>0</v>
      </c>
      <c r="K310" s="268" t="s">
        <v>488</v>
      </c>
      <c r="L310" s="268" t="s">
        <v>488</v>
      </c>
    </row>
    <row r="311" spans="1:12" x14ac:dyDescent="0.25">
      <c r="A311" s="255"/>
      <c r="B311" s="255"/>
      <c r="C311" s="255" t="s">
        <v>109</v>
      </c>
      <c r="D311" s="255"/>
      <c r="E311" s="255"/>
      <c r="F311" s="255"/>
      <c r="G311" s="255">
        <v>602346</v>
      </c>
      <c r="H311" s="255">
        <v>7502</v>
      </c>
      <c r="I311" s="255">
        <v>579</v>
      </c>
      <c r="J311" s="255">
        <v>6923</v>
      </c>
      <c r="K311" s="274">
        <v>0.92282058099999997</v>
      </c>
      <c r="L311" s="274">
        <v>207.6346308</v>
      </c>
    </row>
    <row r="312" spans="1:12" x14ac:dyDescent="0.25">
      <c r="A312" s="2">
        <v>545536</v>
      </c>
      <c r="B312" s="2" t="s">
        <v>110</v>
      </c>
      <c r="C312" s="2" t="s">
        <v>111</v>
      </c>
      <c r="D312" s="2" t="s">
        <v>5</v>
      </c>
      <c r="E312" s="2">
        <v>2</v>
      </c>
      <c r="F312" s="2">
        <v>2</v>
      </c>
      <c r="G312" s="2">
        <v>289017</v>
      </c>
      <c r="H312" s="2">
        <v>3438</v>
      </c>
      <c r="I312" s="2">
        <v>33</v>
      </c>
      <c r="J312" s="2">
        <v>3405</v>
      </c>
      <c r="K312" s="268">
        <v>0.99040139599999999</v>
      </c>
      <c r="L312" s="268">
        <v>222.8403141</v>
      </c>
    </row>
    <row r="313" spans="1:12" x14ac:dyDescent="0.25">
      <c r="A313" s="2">
        <v>540092</v>
      </c>
      <c r="B313" s="2" t="s">
        <v>183</v>
      </c>
      <c r="C313" s="2" t="s">
        <v>111</v>
      </c>
      <c r="D313" s="2" t="s">
        <v>115</v>
      </c>
      <c r="E313" s="2">
        <v>2</v>
      </c>
      <c r="F313" s="2">
        <v>2</v>
      </c>
      <c r="G313" s="2">
        <v>436</v>
      </c>
      <c r="H313" s="2">
        <v>38</v>
      </c>
      <c r="I313" s="2">
        <v>0</v>
      </c>
      <c r="J313" s="2">
        <v>38</v>
      </c>
      <c r="K313" s="268">
        <v>1</v>
      </c>
      <c r="L313" s="268">
        <v>225</v>
      </c>
    </row>
    <row r="314" spans="1:12" x14ac:dyDescent="0.25">
      <c r="A314" s="2">
        <v>540095</v>
      </c>
      <c r="B314" s="2" t="s">
        <v>186</v>
      </c>
      <c r="C314" s="2" t="s">
        <v>111</v>
      </c>
      <c r="D314" s="2" t="s">
        <v>115</v>
      </c>
      <c r="E314" s="2">
        <v>2</v>
      </c>
      <c r="F314" s="2">
        <v>2</v>
      </c>
      <c r="G314" s="2">
        <v>215</v>
      </c>
      <c r="H314" s="2">
        <v>11</v>
      </c>
      <c r="I314" s="2">
        <v>0</v>
      </c>
      <c r="J314" s="2">
        <v>11</v>
      </c>
      <c r="K314" s="268">
        <v>1</v>
      </c>
      <c r="L314" s="268">
        <v>225</v>
      </c>
    </row>
    <row r="315" spans="1:12" x14ac:dyDescent="0.25">
      <c r="A315" s="2">
        <v>545535</v>
      </c>
      <c r="B315" s="2" t="s">
        <v>332</v>
      </c>
      <c r="C315" s="2" t="s">
        <v>111</v>
      </c>
      <c r="D315" s="2" t="s">
        <v>115</v>
      </c>
      <c r="E315" s="2">
        <v>2</v>
      </c>
      <c r="F315" s="2">
        <v>2</v>
      </c>
      <c r="G315" s="2">
        <v>790</v>
      </c>
      <c r="H315" s="2">
        <v>14</v>
      </c>
      <c r="I315" s="2">
        <v>0</v>
      </c>
      <c r="J315" s="2">
        <v>14</v>
      </c>
      <c r="K315" s="268">
        <v>1</v>
      </c>
      <c r="L315" s="268">
        <v>225</v>
      </c>
    </row>
    <row r="316" spans="1:12" x14ac:dyDescent="0.25">
      <c r="A316" s="2">
        <v>545537</v>
      </c>
      <c r="B316" s="2" t="s">
        <v>333</v>
      </c>
      <c r="C316" s="2" t="s">
        <v>111</v>
      </c>
      <c r="D316" s="2" t="s">
        <v>115</v>
      </c>
      <c r="E316" s="2">
        <v>2</v>
      </c>
      <c r="F316" s="2">
        <v>2</v>
      </c>
      <c r="G316" s="2">
        <v>737</v>
      </c>
      <c r="H316" s="2">
        <v>59</v>
      </c>
      <c r="I316" s="2">
        <v>0</v>
      </c>
      <c r="J316" s="2">
        <v>59</v>
      </c>
      <c r="K316" s="268">
        <v>1</v>
      </c>
      <c r="L316" s="268">
        <v>225</v>
      </c>
    </row>
    <row r="317" spans="1:12" x14ac:dyDescent="0.25">
      <c r="A317" s="2">
        <v>545539</v>
      </c>
      <c r="B317" s="2" t="s">
        <v>335</v>
      </c>
      <c r="C317" s="2" t="s">
        <v>111</v>
      </c>
      <c r="D317" s="2" t="s">
        <v>115</v>
      </c>
      <c r="E317" s="2">
        <v>2</v>
      </c>
      <c r="F317" s="2">
        <v>2</v>
      </c>
      <c r="G317" s="2">
        <v>216</v>
      </c>
      <c r="H317" s="2">
        <v>5</v>
      </c>
      <c r="I317" s="2">
        <v>0</v>
      </c>
      <c r="J317" s="2">
        <v>5</v>
      </c>
      <c r="K317" s="268">
        <v>1</v>
      </c>
      <c r="L317" s="268">
        <v>225</v>
      </c>
    </row>
    <row r="318" spans="1:12" x14ac:dyDescent="0.25">
      <c r="A318" s="255"/>
      <c r="B318" s="255"/>
      <c r="C318" s="255" t="s">
        <v>111</v>
      </c>
      <c r="D318" s="255"/>
      <c r="E318" s="255"/>
      <c r="F318" s="255"/>
      <c r="G318" s="255">
        <v>291411</v>
      </c>
      <c r="H318" s="255">
        <v>3565</v>
      </c>
      <c r="I318" s="255">
        <v>33</v>
      </c>
      <c r="J318" s="255">
        <v>3532</v>
      </c>
      <c r="K318" s="274">
        <v>0.99074333800000003</v>
      </c>
      <c r="L318" s="274">
        <v>222.91725109999999</v>
      </c>
    </row>
    <row r="319" spans="1:12" x14ac:dyDescent="0.25">
      <c r="A319" s="2">
        <v>540191</v>
      </c>
      <c r="B319" s="2" t="s">
        <v>112</v>
      </c>
      <c r="C319" s="2" t="s">
        <v>113</v>
      </c>
      <c r="D319" s="2" t="s">
        <v>5</v>
      </c>
      <c r="E319" s="2">
        <v>7</v>
      </c>
      <c r="F319" s="2">
        <v>2</v>
      </c>
      <c r="G319" s="2">
        <v>264953</v>
      </c>
      <c r="H319" s="2">
        <v>4621</v>
      </c>
      <c r="I319" s="2">
        <v>457</v>
      </c>
      <c r="J319" s="2">
        <v>4164</v>
      </c>
      <c r="K319" s="268">
        <v>0.90110365699999995</v>
      </c>
      <c r="L319" s="268">
        <v>202.74832290000001</v>
      </c>
    </row>
    <row r="320" spans="1:12" x14ac:dyDescent="0.25">
      <c r="A320" s="2">
        <v>540193</v>
      </c>
      <c r="B320" s="2" t="s">
        <v>342</v>
      </c>
      <c r="C320" s="2" t="s">
        <v>113</v>
      </c>
      <c r="D320" s="2" t="s">
        <v>115</v>
      </c>
      <c r="E320" s="2">
        <v>7</v>
      </c>
      <c r="F320" s="2">
        <v>2</v>
      </c>
      <c r="G320" s="2">
        <v>274</v>
      </c>
      <c r="H320" s="2">
        <v>50</v>
      </c>
      <c r="I320" s="2">
        <v>0</v>
      </c>
      <c r="J320" s="2">
        <v>50</v>
      </c>
      <c r="K320" s="268">
        <v>1</v>
      </c>
      <c r="L320" s="268">
        <v>225</v>
      </c>
    </row>
    <row r="321" spans="1:12" x14ac:dyDescent="0.25">
      <c r="A321" s="2">
        <v>540192</v>
      </c>
      <c r="B321" s="2" t="s">
        <v>343</v>
      </c>
      <c r="C321" s="2" t="s">
        <v>113</v>
      </c>
      <c r="D321" s="2" t="s">
        <v>115</v>
      </c>
      <c r="E321" s="2">
        <v>7</v>
      </c>
      <c r="F321" s="2">
        <v>2</v>
      </c>
      <c r="G321" s="2">
        <v>166</v>
      </c>
      <c r="H321" s="2">
        <v>13</v>
      </c>
      <c r="I321" s="2">
        <v>0</v>
      </c>
      <c r="J321" s="2">
        <v>13</v>
      </c>
      <c r="K321" s="268">
        <v>1</v>
      </c>
      <c r="L321" s="268">
        <v>225</v>
      </c>
    </row>
    <row r="322" spans="1:12" x14ac:dyDescent="0.25">
      <c r="A322" s="2">
        <v>540194</v>
      </c>
      <c r="B322" s="2" t="s">
        <v>344</v>
      </c>
      <c r="C322" s="2" t="s">
        <v>113</v>
      </c>
      <c r="D322" s="2" t="s">
        <v>115</v>
      </c>
      <c r="E322" s="2">
        <v>7</v>
      </c>
      <c r="F322" s="2">
        <v>2</v>
      </c>
      <c r="G322" s="2">
        <v>529</v>
      </c>
      <c r="H322" s="2">
        <v>128</v>
      </c>
      <c r="I322" s="2">
        <v>30</v>
      </c>
      <c r="J322" s="2">
        <v>98</v>
      </c>
      <c r="K322" s="268">
        <v>0.765625</v>
      </c>
      <c r="L322" s="268">
        <v>172.265625</v>
      </c>
    </row>
    <row r="323" spans="1:12" x14ac:dyDescent="0.25">
      <c r="A323" s="2">
        <v>540261</v>
      </c>
      <c r="B323" s="2" t="s">
        <v>345</v>
      </c>
      <c r="C323" s="2" t="s">
        <v>113</v>
      </c>
      <c r="D323" s="2" t="s">
        <v>115</v>
      </c>
      <c r="E323" s="2">
        <v>7</v>
      </c>
      <c r="F323" s="2">
        <v>2</v>
      </c>
      <c r="G323" s="2">
        <v>2257</v>
      </c>
      <c r="H323" s="2">
        <v>113</v>
      </c>
      <c r="I323" s="2">
        <v>0</v>
      </c>
      <c r="J323" s="2">
        <v>113</v>
      </c>
      <c r="K323" s="268">
        <v>1</v>
      </c>
      <c r="L323" s="268">
        <v>225</v>
      </c>
    </row>
    <row r="324" spans="1:12" x14ac:dyDescent="0.25">
      <c r="A324" s="2">
        <v>540260</v>
      </c>
      <c r="B324" s="2" t="s">
        <v>346</v>
      </c>
      <c r="C324" s="2" t="s">
        <v>113</v>
      </c>
      <c r="D324" s="2" t="s">
        <v>115</v>
      </c>
      <c r="E324" s="2">
        <v>7</v>
      </c>
      <c r="F324" s="2">
        <v>2</v>
      </c>
      <c r="G324" s="2">
        <v>1280</v>
      </c>
      <c r="H324" s="2">
        <v>66</v>
      </c>
      <c r="I324" s="2">
        <v>5</v>
      </c>
      <c r="J324" s="2">
        <v>61</v>
      </c>
      <c r="K324" s="268">
        <v>0.92424242400000001</v>
      </c>
      <c r="L324" s="268">
        <v>207.95454549999999</v>
      </c>
    </row>
    <row r="325" spans="1:12" x14ac:dyDescent="0.25">
      <c r="A325" s="255"/>
      <c r="B325" s="255"/>
      <c r="C325" s="255" t="s">
        <v>113</v>
      </c>
      <c r="D325" s="255"/>
      <c r="E325" s="255"/>
      <c r="F325" s="255"/>
      <c r="G325" s="255">
        <v>269459</v>
      </c>
      <c r="H325" s="255">
        <v>4991</v>
      </c>
      <c r="I325" s="255">
        <v>492</v>
      </c>
      <c r="J325" s="255">
        <v>4499</v>
      </c>
      <c r="K325" s="274">
        <v>0.90142256099999996</v>
      </c>
      <c r="L325" s="274">
        <v>202.82007609999999</v>
      </c>
    </row>
    <row r="326" spans="1:12" x14ac:dyDescent="0.25">
      <c r="A326" s="2">
        <v>540027</v>
      </c>
      <c r="B326" s="2" t="s">
        <v>132</v>
      </c>
      <c r="C326" s="2" t="s">
        <v>21</v>
      </c>
      <c r="D326" s="2" t="s">
        <v>115</v>
      </c>
      <c r="E326" s="2">
        <v>4</v>
      </c>
      <c r="F326" s="2">
        <v>2</v>
      </c>
      <c r="G326" s="2">
        <v>1065</v>
      </c>
      <c r="H326" s="2">
        <v>18</v>
      </c>
      <c r="I326" s="2">
        <v>0</v>
      </c>
      <c r="J326" s="2">
        <v>18</v>
      </c>
      <c r="K326" s="268">
        <v>1</v>
      </c>
      <c r="L326" s="268">
        <v>225</v>
      </c>
    </row>
    <row r="327" spans="1:12" x14ac:dyDescent="0.25">
      <c r="A327" s="2">
        <v>540028</v>
      </c>
      <c r="B327" s="2" t="s">
        <v>133</v>
      </c>
      <c r="C327" s="2" t="s">
        <v>21</v>
      </c>
      <c r="D327" s="2" t="s">
        <v>115</v>
      </c>
      <c r="E327" s="2">
        <v>4</v>
      </c>
      <c r="F327" s="2">
        <v>2</v>
      </c>
      <c r="G327" s="2">
        <v>260</v>
      </c>
      <c r="H327" s="2">
        <v>50</v>
      </c>
      <c r="I327" s="2">
        <v>0</v>
      </c>
      <c r="J327" s="2">
        <v>50</v>
      </c>
      <c r="K327" s="268">
        <v>1</v>
      </c>
      <c r="L327" s="268">
        <v>225</v>
      </c>
    </row>
    <row r="328" spans="1:12" x14ac:dyDescent="0.25">
      <c r="A328" s="2">
        <v>540029</v>
      </c>
      <c r="B328" s="2" t="s">
        <v>134</v>
      </c>
      <c r="C328" s="2" t="s">
        <v>21</v>
      </c>
      <c r="D328" s="2" t="s">
        <v>115</v>
      </c>
      <c r="E328" s="2">
        <v>4</v>
      </c>
      <c r="F328" s="2">
        <v>2</v>
      </c>
      <c r="G328" s="2">
        <v>777</v>
      </c>
      <c r="H328" s="2">
        <v>15</v>
      </c>
      <c r="I328" s="2">
        <v>0</v>
      </c>
      <c r="J328" s="2">
        <v>15</v>
      </c>
      <c r="K328" s="268">
        <v>1</v>
      </c>
      <c r="L328" s="268">
        <v>225</v>
      </c>
    </row>
    <row r="329" spans="1:12" x14ac:dyDescent="0.25">
      <c r="A329" s="2">
        <v>540031</v>
      </c>
      <c r="B329" s="2" t="s">
        <v>136</v>
      </c>
      <c r="C329" s="2" t="s">
        <v>21</v>
      </c>
      <c r="D329" s="2" t="s">
        <v>115</v>
      </c>
      <c r="E329" s="2">
        <v>4</v>
      </c>
      <c r="F329" s="2">
        <v>2</v>
      </c>
      <c r="G329" s="2">
        <v>6159</v>
      </c>
      <c r="H329" s="2">
        <v>86</v>
      </c>
      <c r="I329" s="2">
        <v>1</v>
      </c>
      <c r="J329" s="2">
        <v>85</v>
      </c>
      <c r="K329" s="268">
        <v>0.98837209299999995</v>
      </c>
      <c r="L329" s="268">
        <v>222.38372089999999</v>
      </c>
    </row>
    <row r="330" spans="1:12" x14ac:dyDescent="0.25">
      <c r="A330" s="2">
        <v>540032</v>
      </c>
      <c r="B330" s="2" t="s">
        <v>137</v>
      </c>
      <c r="C330" s="2" t="s">
        <v>21</v>
      </c>
      <c r="D330" s="2" t="s">
        <v>115</v>
      </c>
      <c r="E330" s="2">
        <v>4</v>
      </c>
      <c r="F330" s="2">
        <v>2</v>
      </c>
      <c r="G330" s="2">
        <v>192</v>
      </c>
      <c r="H330" s="2">
        <v>26</v>
      </c>
      <c r="I330" s="2">
        <v>1</v>
      </c>
      <c r="J330" s="2">
        <v>25</v>
      </c>
      <c r="K330" s="268">
        <v>0.96153846200000004</v>
      </c>
      <c r="L330" s="268">
        <v>216.3461538</v>
      </c>
    </row>
    <row r="331" spans="1:12" x14ac:dyDescent="0.25">
      <c r="A331" s="2">
        <v>540050</v>
      </c>
      <c r="B331" s="2" t="s">
        <v>150</v>
      </c>
      <c r="C331" s="2" t="s">
        <v>21</v>
      </c>
      <c r="D331" s="2" t="s">
        <v>115</v>
      </c>
      <c r="E331" s="2">
        <v>4</v>
      </c>
      <c r="F331" s="2">
        <v>2</v>
      </c>
      <c r="G331" s="2">
        <v>61</v>
      </c>
      <c r="H331" s="2">
        <v>0</v>
      </c>
      <c r="I331" s="2">
        <v>0</v>
      </c>
      <c r="J331" s="2">
        <v>0</v>
      </c>
      <c r="K331" s="268" t="s">
        <v>488</v>
      </c>
      <c r="L331" s="268" t="s">
        <v>488</v>
      </c>
    </row>
    <row r="332" spans="1:12" x14ac:dyDescent="0.25">
      <c r="A332" s="2">
        <v>540293</v>
      </c>
      <c r="B332" s="2" t="s">
        <v>330</v>
      </c>
      <c r="C332" s="2" t="s">
        <v>21</v>
      </c>
      <c r="D332" s="2" t="s">
        <v>115</v>
      </c>
      <c r="E332" s="2">
        <v>4</v>
      </c>
      <c r="F332" s="2">
        <v>2</v>
      </c>
      <c r="G332" s="2">
        <v>3572</v>
      </c>
      <c r="H332" s="2">
        <v>12</v>
      </c>
      <c r="I332" s="2">
        <v>2</v>
      </c>
      <c r="J332" s="2">
        <v>10</v>
      </c>
      <c r="K332" s="268">
        <v>0.83333333300000001</v>
      </c>
      <c r="L332" s="268">
        <v>187.5</v>
      </c>
    </row>
    <row r="333" spans="1:12" x14ac:dyDescent="0.25">
      <c r="A333" s="2">
        <v>540294</v>
      </c>
      <c r="B333" s="2" t="s">
        <v>331</v>
      </c>
      <c r="C333" s="2" t="s">
        <v>21</v>
      </c>
      <c r="D333" s="2" t="s">
        <v>115</v>
      </c>
      <c r="E333" s="2">
        <v>4</v>
      </c>
      <c r="F333" s="2">
        <v>2</v>
      </c>
      <c r="G333" s="2">
        <v>1042</v>
      </c>
      <c r="H333" s="2">
        <v>21</v>
      </c>
      <c r="I333" s="2">
        <v>1</v>
      </c>
      <c r="J333" s="2">
        <v>20</v>
      </c>
      <c r="K333" s="268">
        <v>0.95238095199999995</v>
      </c>
      <c r="L333" s="268">
        <v>214.2857143</v>
      </c>
    </row>
    <row r="334" spans="1:12" x14ac:dyDescent="0.25">
      <c r="A334" s="2">
        <v>540033</v>
      </c>
      <c r="B334" s="2" t="s">
        <v>138</v>
      </c>
      <c r="C334" s="2" t="s">
        <v>21</v>
      </c>
      <c r="D334" s="2" t="s">
        <v>115</v>
      </c>
      <c r="E334" s="2">
        <v>4</v>
      </c>
      <c r="F334" s="2">
        <v>2</v>
      </c>
      <c r="G334" s="2">
        <v>1049</v>
      </c>
      <c r="H334" s="2">
        <v>22</v>
      </c>
      <c r="I334" s="2">
        <v>1</v>
      </c>
      <c r="J334" s="2">
        <v>21</v>
      </c>
      <c r="K334" s="268">
        <v>0.95454545499999999</v>
      </c>
      <c r="L334" s="268">
        <v>214.77272730000001</v>
      </c>
    </row>
    <row r="335" spans="1:12" x14ac:dyDescent="0.25">
      <c r="A335" s="2">
        <v>540280</v>
      </c>
      <c r="B335" s="2" t="s">
        <v>321</v>
      </c>
      <c r="C335" s="2" t="s">
        <v>21</v>
      </c>
      <c r="D335" s="2" t="s">
        <v>115</v>
      </c>
      <c r="E335" s="2">
        <v>4</v>
      </c>
      <c r="F335" s="2">
        <v>2</v>
      </c>
      <c r="G335" s="2">
        <v>996</v>
      </c>
      <c r="H335" s="2">
        <v>41</v>
      </c>
      <c r="I335" s="2">
        <v>12</v>
      </c>
      <c r="J335" s="2">
        <v>29</v>
      </c>
      <c r="K335" s="268">
        <v>0.70731707300000002</v>
      </c>
      <c r="L335" s="268">
        <v>159.14634150000001</v>
      </c>
    </row>
    <row r="336" spans="1:12" x14ac:dyDescent="0.25">
      <c r="A336" s="2">
        <v>540026</v>
      </c>
      <c r="B336" s="2" t="s">
        <v>20</v>
      </c>
      <c r="C336" s="2" t="s">
        <v>21</v>
      </c>
      <c r="D336" s="2" t="s">
        <v>5</v>
      </c>
      <c r="E336" s="2">
        <v>4</v>
      </c>
      <c r="F336" s="2">
        <v>2</v>
      </c>
      <c r="G336" s="2">
        <v>412491</v>
      </c>
      <c r="H336" s="2">
        <v>2692</v>
      </c>
      <c r="I336" s="2">
        <v>49</v>
      </c>
      <c r="J336" s="2">
        <v>2643</v>
      </c>
      <c r="K336" s="268">
        <v>0.98179791999999999</v>
      </c>
      <c r="L336" s="268">
        <v>220.90453189999999</v>
      </c>
    </row>
    <row r="337" spans="1:12" x14ac:dyDescent="0.25">
      <c r="A337" s="255"/>
      <c r="B337" s="255"/>
      <c r="C337" s="255" t="s">
        <v>21</v>
      </c>
      <c r="D337" s="255"/>
      <c r="E337" s="255"/>
      <c r="F337" s="255"/>
      <c r="G337" s="255">
        <v>427664</v>
      </c>
      <c r="H337" s="255">
        <v>2983</v>
      </c>
      <c r="I337" s="255">
        <v>67</v>
      </c>
      <c r="J337" s="255">
        <v>2916</v>
      </c>
      <c r="K337" s="274">
        <v>0.97753939000000001</v>
      </c>
      <c r="L337" s="274">
        <v>219.94636270000001</v>
      </c>
    </row>
    <row r="338" spans="1:12" x14ac:dyDescent="0.25">
      <c r="A338" s="2">
        <v>540176</v>
      </c>
      <c r="B338" s="2" t="s">
        <v>247</v>
      </c>
      <c r="C338" s="2" t="s">
        <v>75</v>
      </c>
      <c r="D338" s="2" t="s">
        <v>115</v>
      </c>
      <c r="E338" s="2">
        <v>7</v>
      </c>
      <c r="F338" s="2">
        <v>2</v>
      </c>
      <c r="G338" s="2">
        <v>265</v>
      </c>
      <c r="H338" s="2">
        <v>73</v>
      </c>
      <c r="I338" s="2">
        <v>0</v>
      </c>
      <c r="J338" s="2">
        <v>73</v>
      </c>
      <c r="K338" s="268">
        <v>1</v>
      </c>
      <c r="L338" s="268">
        <v>225</v>
      </c>
    </row>
    <row r="339" spans="1:12" x14ac:dyDescent="0.25">
      <c r="A339" s="2">
        <v>540178</v>
      </c>
      <c r="B339" s="2" t="s">
        <v>249</v>
      </c>
      <c r="C339" s="2" t="s">
        <v>75</v>
      </c>
      <c r="D339" s="2" t="s">
        <v>115</v>
      </c>
      <c r="E339" s="2">
        <v>7</v>
      </c>
      <c r="F339" s="2">
        <v>2</v>
      </c>
      <c r="G339" s="2">
        <v>207</v>
      </c>
      <c r="H339" s="2">
        <v>52</v>
      </c>
      <c r="I339" s="2">
        <v>0</v>
      </c>
      <c r="J339" s="2">
        <v>52</v>
      </c>
      <c r="K339" s="268">
        <v>1</v>
      </c>
      <c r="L339" s="268">
        <v>225</v>
      </c>
    </row>
    <row r="340" spans="1:12" x14ac:dyDescent="0.25">
      <c r="A340" s="2">
        <v>540264</v>
      </c>
      <c r="B340" s="2" t="s">
        <v>307</v>
      </c>
      <c r="C340" s="2" t="s">
        <v>75</v>
      </c>
      <c r="D340" s="2" t="s">
        <v>115</v>
      </c>
      <c r="E340" s="2">
        <v>7</v>
      </c>
      <c r="F340" s="2">
        <v>2</v>
      </c>
      <c r="G340" s="2">
        <v>194</v>
      </c>
      <c r="H340" s="2">
        <v>33</v>
      </c>
      <c r="I340" s="2">
        <v>1</v>
      </c>
      <c r="J340" s="2">
        <v>32</v>
      </c>
      <c r="K340" s="268">
        <v>0.96969696999999999</v>
      </c>
      <c r="L340" s="268">
        <v>218.18181820000001</v>
      </c>
    </row>
    <row r="341" spans="1:12" x14ac:dyDescent="0.25">
      <c r="A341" s="2">
        <v>540265</v>
      </c>
      <c r="B341" s="2" t="s">
        <v>308</v>
      </c>
      <c r="C341" s="2" t="s">
        <v>75</v>
      </c>
      <c r="D341" s="2" t="s">
        <v>115</v>
      </c>
      <c r="E341" s="2">
        <v>7</v>
      </c>
      <c r="F341" s="2">
        <v>2</v>
      </c>
      <c r="G341" s="2">
        <v>402</v>
      </c>
      <c r="H341" s="2">
        <v>118</v>
      </c>
      <c r="I341" s="2">
        <v>0</v>
      </c>
      <c r="J341" s="2">
        <v>118</v>
      </c>
      <c r="K341" s="268">
        <v>1</v>
      </c>
      <c r="L341" s="268">
        <v>225</v>
      </c>
    </row>
    <row r="342" spans="1:12" x14ac:dyDescent="0.25">
      <c r="A342" s="2">
        <v>540266</v>
      </c>
      <c r="B342" s="2" t="s">
        <v>309</v>
      </c>
      <c r="C342" s="2" t="s">
        <v>75</v>
      </c>
      <c r="D342" s="2" t="s">
        <v>115</v>
      </c>
      <c r="E342" s="2">
        <v>7</v>
      </c>
      <c r="F342" s="2">
        <v>2</v>
      </c>
      <c r="G342" s="2">
        <v>293</v>
      </c>
      <c r="H342" s="2">
        <v>22</v>
      </c>
      <c r="I342" s="2">
        <v>0</v>
      </c>
      <c r="J342" s="2">
        <v>22</v>
      </c>
      <c r="K342" s="268">
        <v>1</v>
      </c>
      <c r="L342" s="268">
        <v>225</v>
      </c>
    </row>
    <row r="343" spans="1:12" x14ac:dyDescent="0.25">
      <c r="A343" s="2">
        <v>540267</v>
      </c>
      <c r="B343" s="2" t="s">
        <v>310</v>
      </c>
      <c r="C343" s="2" t="s">
        <v>75</v>
      </c>
      <c r="D343" s="2" t="s">
        <v>115</v>
      </c>
      <c r="E343" s="2">
        <v>7</v>
      </c>
      <c r="F343" s="2">
        <v>2</v>
      </c>
      <c r="G343" s="2">
        <v>281</v>
      </c>
      <c r="H343" s="2">
        <v>63</v>
      </c>
      <c r="I343" s="2">
        <v>0</v>
      </c>
      <c r="J343" s="2">
        <v>63</v>
      </c>
      <c r="K343" s="268">
        <v>1</v>
      </c>
      <c r="L343" s="268">
        <v>225</v>
      </c>
    </row>
    <row r="344" spans="1:12" x14ac:dyDescent="0.25">
      <c r="A344" s="2">
        <v>540177</v>
      </c>
      <c r="B344" s="2" t="s">
        <v>248</v>
      </c>
      <c r="C344" s="2" t="s">
        <v>75</v>
      </c>
      <c r="D344" s="2" t="s">
        <v>115</v>
      </c>
      <c r="E344" s="2">
        <v>7</v>
      </c>
      <c r="F344" s="2">
        <v>2</v>
      </c>
      <c r="G344" s="2">
        <v>2325</v>
      </c>
      <c r="H344" s="2">
        <v>230</v>
      </c>
      <c r="I344" s="2">
        <v>40</v>
      </c>
      <c r="J344" s="2">
        <v>190</v>
      </c>
      <c r="K344" s="268">
        <v>0.82608695700000001</v>
      </c>
      <c r="L344" s="268">
        <v>185.86956520000001</v>
      </c>
    </row>
    <row r="345" spans="1:12" x14ac:dyDescent="0.25">
      <c r="A345" s="2">
        <v>540175</v>
      </c>
      <c r="B345" s="2" t="s">
        <v>74</v>
      </c>
      <c r="C345" s="2" t="s">
        <v>75</v>
      </c>
      <c r="D345" s="2" t="s">
        <v>5</v>
      </c>
      <c r="E345" s="2">
        <v>7</v>
      </c>
      <c r="F345" s="2">
        <v>2</v>
      </c>
      <c r="G345" s="2">
        <v>661204</v>
      </c>
      <c r="H345" s="2">
        <v>17871</v>
      </c>
      <c r="I345" s="2">
        <v>600</v>
      </c>
      <c r="J345" s="2">
        <v>17271</v>
      </c>
      <c r="K345" s="268">
        <v>0.96642605299999995</v>
      </c>
      <c r="L345" s="268">
        <v>217.44586200000001</v>
      </c>
    </row>
    <row r="346" spans="1:12" x14ac:dyDescent="0.25">
      <c r="A346" s="255"/>
      <c r="B346" s="255"/>
      <c r="C346" s="255" t="s">
        <v>75</v>
      </c>
      <c r="D346" s="255"/>
      <c r="E346" s="255"/>
      <c r="F346" s="255"/>
      <c r="G346" s="255">
        <v>665171</v>
      </c>
      <c r="H346" s="255">
        <v>18462</v>
      </c>
      <c r="I346" s="255">
        <v>641</v>
      </c>
      <c r="J346" s="255">
        <v>17821</v>
      </c>
      <c r="K346" s="274">
        <v>0.96528003500000004</v>
      </c>
      <c r="L346" s="274">
        <v>217.18800780000001</v>
      </c>
    </row>
    <row r="347" spans="1:12" x14ac:dyDescent="0.25">
      <c r="A347" s="2">
        <v>540219</v>
      </c>
      <c r="B347" s="2" t="s">
        <v>273</v>
      </c>
      <c r="C347" s="2" t="s">
        <v>95</v>
      </c>
      <c r="D347" s="2" t="s">
        <v>115</v>
      </c>
      <c r="E347" s="2">
        <v>1</v>
      </c>
      <c r="F347" s="2">
        <v>2</v>
      </c>
      <c r="G347" s="2">
        <v>852</v>
      </c>
      <c r="H347" s="2">
        <v>87</v>
      </c>
      <c r="I347" s="2">
        <v>6</v>
      </c>
      <c r="J347" s="2">
        <v>81</v>
      </c>
      <c r="K347" s="268">
        <v>0.93103448300000002</v>
      </c>
      <c r="L347" s="268">
        <v>209.48275860000001</v>
      </c>
    </row>
    <row r="348" spans="1:12" x14ac:dyDescent="0.25">
      <c r="A348" s="2">
        <v>540220</v>
      </c>
      <c r="B348" s="2" t="s">
        <v>274</v>
      </c>
      <c r="C348" s="2" t="s">
        <v>95</v>
      </c>
      <c r="D348" s="2" t="s">
        <v>115</v>
      </c>
      <c r="E348" s="2">
        <v>1</v>
      </c>
      <c r="F348" s="2">
        <v>2</v>
      </c>
      <c r="G348" s="2">
        <v>518</v>
      </c>
      <c r="H348" s="2">
        <v>51</v>
      </c>
      <c r="I348" s="2">
        <v>2</v>
      </c>
      <c r="J348" s="2">
        <v>49</v>
      </c>
      <c r="K348" s="268">
        <v>0.96078431399999997</v>
      </c>
      <c r="L348" s="268">
        <v>216.17647059999999</v>
      </c>
    </row>
    <row r="349" spans="1:12" x14ac:dyDescent="0.25">
      <c r="A349" s="2">
        <v>540218</v>
      </c>
      <c r="B349" s="2" t="s">
        <v>272</v>
      </c>
      <c r="C349" s="2" t="s">
        <v>95</v>
      </c>
      <c r="D349" s="2" t="s">
        <v>115</v>
      </c>
      <c r="E349" s="2">
        <v>1</v>
      </c>
      <c r="F349" s="2">
        <v>2</v>
      </c>
      <c r="G349" s="2">
        <v>1213</v>
      </c>
      <c r="H349" s="2">
        <v>47</v>
      </c>
      <c r="I349" s="2">
        <v>4</v>
      </c>
      <c r="J349" s="2">
        <v>43</v>
      </c>
      <c r="K349" s="268">
        <v>0.91489361700000005</v>
      </c>
      <c r="L349" s="268">
        <v>205.85106379999999</v>
      </c>
    </row>
    <row r="350" spans="1:12" x14ac:dyDescent="0.25">
      <c r="A350" s="2">
        <v>540217</v>
      </c>
      <c r="B350" s="2" t="s">
        <v>94</v>
      </c>
      <c r="C350" s="2" t="s">
        <v>95</v>
      </c>
      <c r="D350" s="2" t="s">
        <v>5</v>
      </c>
      <c r="E350" s="2">
        <v>1</v>
      </c>
      <c r="F350" s="2">
        <v>2</v>
      </c>
      <c r="G350" s="2">
        <v>318426</v>
      </c>
      <c r="H350" s="2">
        <v>3385</v>
      </c>
      <c r="I350" s="2">
        <v>14</v>
      </c>
      <c r="J350" s="2">
        <v>3371</v>
      </c>
      <c r="K350" s="268">
        <v>0.99586410599999997</v>
      </c>
      <c r="L350" s="268">
        <v>224.0694239</v>
      </c>
    </row>
    <row r="351" spans="1:12" x14ac:dyDescent="0.25">
      <c r="A351" s="255"/>
      <c r="B351" s="255"/>
      <c r="C351" s="255" t="s">
        <v>95</v>
      </c>
      <c r="D351" s="255"/>
      <c r="E351" s="255"/>
      <c r="F351" s="255"/>
      <c r="G351" s="255">
        <v>321009</v>
      </c>
      <c r="H351" s="255">
        <v>3570</v>
      </c>
      <c r="I351" s="255">
        <v>26</v>
      </c>
      <c r="J351" s="255">
        <v>3544</v>
      </c>
      <c r="K351" s="274">
        <v>0.99271708700000005</v>
      </c>
      <c r="L351" s="274">
        <v>223.3613445</v>
      </c>
    </row>
    <row r="352" spans="1:12" x14ac:dyDescent="0.25">
      <c r="A352" s="3" t="s">
        <v>535</v>
      </c>
      <c r="B352" s="2"/>
      <c r="C352" s="2"/>
      <c r="D352" s="2"/>
      <c r="E352" s="2"/>
      <c r="F352" s="2"/>
      <c r="G352" s="2"/>
      <c r="H352" s="2"/>
      <c r="I352" s="2"/>
      <c r="J352" s="2"/>
      <c r="K352" s="268"/>
      <c r="L352" s="268"/>
    </row>
    <row r="353" spans="1:12" x14ac:dyDescent="0.25">
      <c r="A353" s="2">
        <v>540152</v>
      </c>
      <c r="B353" s="2" t="s">
        <v>229</v>
      </c>
      <c r="C353" s="2" t="s">
        <v>544</v>
      </c>
      <c r="D353" s="2" t="s">
        <v>115</v>
      </c>
      <c r="E353" s="2" t="s">
        <v>545</v>
      </c>
      <c r="F353" s="2" t="s">
        <v>2211</v>
      </c>
      <c r="G353" s="2">
        <v>10101</v>
      </c>
      <c r="H353" s="2">
        <v>931</v>
      </c>
      <c r="I353" s="2">
        <v>17</v>
      </c>
      <c r="J353" s="2">
        <v>914</v>
      </c>
      <c r="K353" s="268">
        <v>0.98174006400000002</v>
      </c>
      <c r="L353" s="268">
        <v>220.8915145</v>
      </c>
    </row>
    <row r="354" spans="1:12" x14ac:dyDescent="0.25">
      <c r="A354" s="2">
        <v>540196</v>
      </c>
      <c r="B354" s="2" t="s">
        <v>259</v>
      </c>
      <c r="C354" s="2" t="s">
        <v>546</v>
      </c>
      <c r="D354" s="2" t="s">
        <v>115</v>
      </c>
      <c r="E354" s="2" t="s">
        <v>547</v>
      </c>
      <c r="F354" s="2" t="s">
        <v>2211</v>
      </c>
      <c r="G354" s="2">
        <v>542</v>
      </c>
      <c r="H354" s="2">
        <v>60</v>
      </c>
      <c r="I354" s="2">
        <v>20</v>
      </c>
      <c r="J354" s="2">
        <v>40</v>
      </c>
      <c r="K354" s="268">
        <v>0.66666666699999999</v>
      </c>
      <c r="L354" s="268">
        <v>150</v>
      </c>
    </row>
    <row r="355" spans="1:12" x14ac:dyDescent="0.25">
      <c r="A355" s="2">
        <v>540041</v>
      </c>
      <c r="B355" s="2" t="s">
        <v>142</v>
      </c>
      <c r="C355" s="2" t="s">
        <v>540</v>
      </c>
      <c r="D355" s="2" t="s">
        <v>115</v>
      </c>
      <c r="E355" s="2" t="s">
        <v>541</v>
      </c>
      <c r="F355" s="2" t="s">
        <v>2211</v>
      </c>
      <c r="G355" s="2">
        <v>611</v>
      </c>
      <c r="H355" s="2">
        <v>120</v>
      </c>
      <c r="I355" s="2">
        <v>2</v>
      </c>
      <c r="J355" s="2">
        <v>118</v>
      </c>
      <c r="K355" s="268">
        <v>0.98333333300000003</v>
      </c>
      <c r="L355" s="268">
        <v>221.25</v>
      </c>
    </row>
    <row r="356" spans="1:12" x14ac:dyDescent="0.25">
      <c r="A356" s="2">
        <v>540018</v>
      </c>
      <c r="B356" s="2" t="s">
        <v>127</v>
      </c>
      <c r="C356" s="2" t="s">
        <v>538</v>
      </c>
      <c r="D356" s="2" t="s">
        <v>115</v>
      </c>
      <c r="E356" s="2" t="s">
        <v>539</v>
      </c>
      <c r="F356" s="2" t="s">
        <v>2211</v>
      </c>
      <c r="G356" s="2">
        <v>11784</v>
      </c>
      <c r="H356" s="2">
        <v>389</v>
      </c>
      <c r="I356" s="2">
        <v>36</v>
      </c>
      <c r="J356" s="2">
        <v>353</v>
      </c>
      <c r="K356" s="268">
        <v>0.90745501299999998</v>
      </c>
      <c r="L356" s="268">
        <v>204.17737790000001</v>
      </c>
    </row>
    <row r="357" spans="1:12" x14ac:dyDescent="0.25">
      <c r="A357" s="2">
        <v>540014</v>
      </c>
      <c r="B357" s="2" t="s">
        <v>124</v>
      </c>
      <c r="C357" s="2" t="s">
        <v>536</v>
      </c>
      <c r="D357" s="2" t="s">
        <v>115</v>
      </c>
      <c r="E357" s="2" t="s">
        <v>537</v>
      </c>
      <c r="F357" s="2" t="s">
        <v>2211</v>
      </c>
      <c r="G357" s="2">
        <v>12182</v>
      </c>
      <c r="H357" s="2">
        <v>379</v>
      </c>
      <c r="I357" s="2">
        <v>7</v>
      </c>
      <c r="J357" s="2">
        <v>372</v>
      </c>
      <c r="K357" s="268">
        <v>0.98153034299999997</v>
      </c>
      <c r="L357" s="268">
        <v>220.84432720000001</v>
      </c>
    </row>
    <row r="358" spans="1:12" x14ac:dyDescent="0.25">
      <c r="A358" s="2">
        <v>540081</v>
      </c>
      <c r="B358" s="2" t="s">
        <v>176</v>
      </c>
      <c r="C358" s="2" t="s">
        <v>542</v>
      </c>
      <c r="D358" s="2" t="s">
        <v>115</v>
      </c>
      <c r="E358" s="2" t="s">
        <v>543</v>
      </c>
      <c r="F358" s="2" t="s">
        <v>2211</v>
      </c>
      <c r="G358" s="2">
        <v>3723</v>
      </c>
      <c r="H358" s="2">
        <v>190</v>
      </c>
      <c r="I358" s="2">
        <v>14</v>
      </c>
      <c r="J358" s="2">
        <v>176</v>
      </c>
      <c r="K358" s="268">
        <v>0.926315789</v>
      </c>
      <c r="L358" s="268">
        <v>208.4210526</v>
      </c>
    </row>
    <row r="359" spans="1:12" x14ac:dyDescent="0.25">
      <c r="A359" s="2">
        <v>540033</v>
      </c>
      <c r="B359" s="2" t="s">
        <v>138</v>
      </c>
      <c r="C359" s="2" t="s">
        <v>1299</v>
      </c>
      <c r="D359" s="2" t="s">
        <v>115</v>
      </c>
      <c r="E359" s="2" t="s">
        <v>1298</v>
      </c>
      <c r="F359" s="2" t="s">
        <v>2211</v>
      </c>
      <c r="G359" s="2">
        <v>1054</v>
      </c>
      <c r="H359" s="2">
        <v>23</v>
      </c>
      <c r="I359" s="2">
        <v>1</v>
      </c>
      <c r="J359" s="2">
        <v>22</v>
      </c>
      <c r="K359" s="268">
        <v>0.95652173900000004</v>
      </c>
      <c r="L359" s="268">
        <v>215.2173913</v>
      </c>
    </row>
    <row r="360" spans="1:12" x14ac:dyDescent="0.25">
      <c r="A360" s="2">
        <v>540029</v>
      </c>
      <c r="B360" s="2" t="s">
        <v>134</v>
      </c>
      <c r="C360" s="2" t="s">
        <v>1299</v>
      </c>
      <c r="D360" s="2" t="s">
        <v>115</v>
      </c>
      <c r="E360" s="2" t="s">
        <v>1298</v>
      </c>
      <c r="F360" s="2" t="s">
        <v>2211</v>
      </c>
      <c r="G360" s="2">
        <v>1016</v>
      </c>
      <c r="H360" s="2">
        <v>28</v>
      </c>
      <c r="I360" s="2">
        <v>0</v>
      </c>
      <c r="J360" s="2">
        <v>28</v>
      </c>
      <c r="K360" s="268">
        <v>1</v>
      </c>
      <c r="L360" s="268">
        <v>225</v>
      </c>
    </row>
  </sheetData>
  <hyperlinks>
    <hyperlink ref="O3" r:id="rId1"/>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0"/>
  <sheetViews>
    <sheetView topLeftCell="N1" workbookViewId="0">
      <pane ySplit="1" topLeftCell="A2" activePane="bottomLeft" state="frozen"/>
      <selection pane="bottomLeft" activeCell="T2" sqref="T2:U3"/>
    </sheetView>
  </sheetViews>
  <sheetFormatPr defaultRowHeight="15" x14ac:dyDescent="0.25"/>
  <cols>
    <col min="1" max="1" width="19.140625" bestFit="1" customWidth="1"/>
    <col min="2" max="2" width="38.42578125" bestFit="1" customWidth="1"/>
    <col min="3" max="3" width="38.7109375" bestFit="1" customWidth="1"/>
    <col min="4" max="4" width="27.85546875" bestFit="1" customWidth="1"/>
    <col min="5" max="5" width="16.140625" bestFit="1" customWidth="1"/>
    <col min="6" max="6" width="21.5703125" bestFit="1" customWidth="1"/>
    <col min="7" max="7" width="25.140625" bestFit="1" customWidth="1"/>
    <col min="8" max="8" width="19.140625" bestFit="1" customWidth="1"/>
    <col min="9" max="9" width="6.5703125" bestFit="1" customWidth="1"/>
    <col min="10" max="10" width="4.5703125" bestFit="1" customWidth="1"/>
    <col min="11" max="11" width="7.140625" bestFit="1" customWidth="1"/>
    <col min="12" max="12" width="4.85546875" bestFit="1" customWidth="1"/>
    <col min="13" max="13" width="57.7109375" bestFit="1" customWidth="1"/>
    <col min="15" max="15" width="9.42578125" bestFit="1" customWidth="1"/>
    <col min="16" max="16" width="85.85546875" bestFit="1" customWidth="1"/>
    <col min="18" max="18" width="57.7109375" bestFit="1" customWidth="1"/>
    <col min="21" max="21" width="105.5703125" bestFit="1" customWidth="1"/>
  </cols>
  <sheetData>
    <row r="1" spans="1:21" x14ac:dyDescent="0.25">
      <c r="A1" s="251" t="s">
        <v>0</v>
      </c>
      <c r="B1" s="251" t="s">
        <v>1</v>
      </c>
      <c r="C1" s="251" t="s">
        <v>2</v>
      </c>
      <c r="D1" s="251" t="s">
        <v>512</v>
      </c>
      <c r="E1" s="251" t="s">
        <v>403</v>
      </c>
      <c r="F1" s="251" t="s">
        <v>1383</v>
      </c>
      <c r="G1" s="251" t="s">
        <v>1384</v>
      </c>
      <c r="H1" s="251" t="s">
        <v>1385</v>
      </c>
      <c r="I1" s="251" t="s">
        <v>1386</v>
      </c>
      <c r="J1" s="251" t="s">
        <v>1681</v>
      </c>
      <c r="K1" s="251" t="s">
        <v>1682</v>
      </c>
      <c r="L1" s="251" t="s">
        <v>1387</v>
      </c>
      <c r="M1" s="251" t="s">
        <v>1388</v>
      </c>
      <c r="N1" s="251" t="s">
        <v>1683</v>
      </c>
      <c r="O1" s="251" t="s">
        <v>1684</v>
      </c>
      <c r="P1" s="251" t="s">
        <v>1685</v>
      </c>
      <c r="Q1" s="251" t="s">
        <v>1686</v>
      </c>
      <c r="R1" s="251" t="s">
        <v>1346</v>
      </c>
    </row>
    <row r="2" spans="1:21" x14ac:dyDescent="0.25">
      <c r="A2" s="2" t="s">
        <v>1389</v>
      </c>
      <c r="B2" s="2" t="s">
        <v>3</v>
      </c>
      <c r="C2" s="2" t="s">
        <v>4</v>
      </c>
      <c r="D2" s="2" t="s">
        <v>5</v>
      </c>
      <c r="E2" s="117">
        <v>7</v>
      </c>
      <c r="F2" s="117">
        <v>1</v>
      </c>
      <c r="G2" s="117">
        <v>0</v>
      </c>
      <c r="H2" s="117">
        <v>1</v>
      </c>
      <c r="I2" s="117">
        <v>393</v>
      </c>
      <c r="J2" s="117">
        <v>0</v>
      </c>
      <c r="K2" s="117">
        <v>0</v>
      </c>
      <c r="L2" s="117">
        <v>1</v>
      </c>
      <c r="M2" s="267">
        <v>2.5000000000000001E-3</v>
      </c>
      <c r="N2" s="117">
        <v>3</v>
      </c>
      <c r="O2" s="117">
        <v>4</v>
      </c>
      <c r="P2" s="268">
        <v>0</v>
      </c>
      <c r="Q2" s="268">
        <v>4</v>
      </c>
      <c r="R2" s="2" t="s">
        <v>1390</v>
      </c>
      <c r="T2" s="199" t="s">
        <v>1325</v>
      </c>
      <c r="U2" s="62" t="s">
        <v>1688</v>
      </c>
    </row>
    <row r="3" spans="1:21" x14ac:dyDescent="0.25">
      <c r="A3" s="2" t="s">
        <v>1391</v>
      </c>
      <c r="B3" s="2" t="s">
        <v>114</v>
      </c>
      <c r="C3" s="2" t="s">
        <v>4</v>
      </c>
      <c r="D3" s="2" t="s">
        <v>115</v>
      </c>
      <c r="E3" s="117">
        <v>7</v>
      </c>
      <c r="F3" s="117">
        <v>0</v>
      </c>
      <c r="G3" s="117">
        <v>0</v>
      </c>
      <c r="H3" s="117">
        <v>0</v>
      </c>
      <c r="I3" s="117">
        <v>111</v>
      </c>
      <c r="J3" s="117">
        <v>0</v>
      </c>
      <c r="K3" s="117">
        <v>0</v>
      </c>
      <c r="L3" s="117">
        <v>0</v>
      </c>
      <c r="M3" s="267">
        <v>0</v>
      </c>
      <c r="N3" s="117">
        <v>0</v>
      </c>
      <c r="O3" s="117">
        <v>0</v>
      </c>
      <c r="P3" s="268">
        <v>0</v>
      </c>
      <c r="Q3" s="268">
        <v>0</v>
      </c>
      <c r="R3" s="2" t="s">
        <v>1390</v>
      </c>
      <c r="T3" s="199" t="s">
        <v>1326</v>
      </c>
      <c r="U3" s="393" t="s">
        <v>1687</v>
      </c>
    </row>
    <row r="4" spans="1:21" x14ac:dyDescent="0.25">
      <c r="A4" s="2" t="s">
        <v>1392</v>
      </c>
      <c r="B4" s="2" t="s">
        <v>116</v>
      </c>
      <c r="C4" s="2" t="s">
        <v>4</v>
      </c>
      <c r="D4" s="2" t="s">
        <v>115</v>
      </c>
      <c r="E4" s="117">
        <v>7</v>
      </c>
      <c r="F4" s="117">
        <v>6</v>
      </c>
      <c r="G4" s="117">
        <v>0</v>
      </c>
      <c r="H4" s="117">
        <v>6</v>
      </c>
      <c r="I4" s="117">
        <v>12</v>
      </c>
      <c r="J4" s="117">
        <v>0</v>
      </c>
      <c r="K4" s="117">
        <v>0</v>
      </c>
      <c r="L4" s="117">
        <v>6</v>
      </c>
      <c r="M4" s="267">
        <v>0.33329999999999999</v>
      </c>
      <c r="N4" s="117">
        <v>18</v>
      </c>
      <c r="O4" s="117">
        <v>633</v>
      </c>
      <c r="P4" s="268">
        <v>16.666666666699999</v>
      </c>
      <c r="Q4" s="268">
        <v>649.66666666699996</v>
      </c>
      <c r="R4" s="2" t="s">
        <v>1390</v>
      </c>
    </row>
    <row r="5" spans="1:21" x14ac:dyDescent="0.25">
      <c r="A5" s="2" t="s">
        <v>1393</v>
      </c>
      <c r="B5" s="2" t="s">
        <v>117</v>
      </c>
      <c r="C5" s="2" t="s">
        <v>4</v>
      </c>
      <c r="D5" s="2" t="s">
        <v>115</v>
      </c>
      <c r="E5" s="117">
        <v>7</v>
      </c>
      <c r="F5" s="117">
        <v>9</v>
      </c>
      <c r="G5" s="117">
        <v>0</v>
      </c>
      <c r="H5" s="117">
        <v>9</v>
      </c>
      <c r="I5" s="117">
        <v>252</v>
      </c>
      <c r="J5" s="117">
        <v>0</v>
      </c>
      <c r="K5" s="117">
        <v>0</v>
      </c>
      <c r="L5" s="117">
        <v>9</v>
      </c>
      <c r="M5" s="267">
        <v>3.4500000000000003E-2</v>
      </c>
      <c r="N5" s="117">
        <v>27</v>
      </c>
      <c r="O5" s="117">
        <v>65</v>
      </c>
      <c r="P5" s="268">
        <v>0</v>
      </c>
      <c r="Q5" s="268">
        <v>65</v>
      </c>
      <c r="R5" s="2" t="s">
        <v>1390</v>
      </c>
    </row>
    <row r="6" spans="1:21" x14ac:dyDescent="0.25">
      <c r="A6" s="269"/>
      <c r="B6" s="269"/>
      <c r="C6" s="269" t="s">
        <v>4</v>
      </c>
      <c r="D6" s="269"/>
      <c r="E6" s="269"/>
      <c r="F6" s="270">
        <v>16</v>
      </c>
      <c r="G6" s="270">
        <v>0</v>
      </c>
      <c r="H6" s="270">
        <v>16</v>
      </c>
      <c r="I6" s="270">
        <v>768</v>
      </c>
      <c r="J6" s="270">
        <v>0</v>
      </c>
      <c r="K6" s="270">
        <v>0</v>
      </c>
      <c r="L6" s="270">
        <v>16</v>
      </c>
      <c r="M6" s="271">
        <v>2.0400000000000001E-2</v>
      </c>
      <c r="N6" s="270">
        <v>48</v>
      </c>
      <c r="O6" s="270">
        <v>702</v>
      </c>
      <c r="P6" s="272">
        <v>16.666666666699999</v>
      </c>
      <c r="Q6" s="272">
        <v>718.66666666699996</v>
      </c>
      <c r="R6" s="269" t="s">
        <v>1390</v>
      </c>
    </row>
    <row r="7" spans="1:21" x14ac:dyDescent="0.25">
      <c r="A7" s="2" t="s">
        <v>1394</v>
      </c>
      <c r="B7" s="2" t="s">
        <v>6</v>
      </c>
      <c r="C7" s="2" t="s">
        <v>7</v>
      </c>
      <c r="D7" s="2" t="s">
        <v>5</v>
      </c>
      <c r="E7" s="117">
        <v>3</v>
      </c>
      <c r="F7" s="117">
        <v>0</v>
      </c>
      <c r="G7" s="117">
        <v>0</v>
      </c>
      <c r="H7" s="117">
        <v>0</v>
      </c>
      <c r="I7" s="117">
        <v>2786</v>
      </c>
      <c r="J7" s="117">
        <v>0</v>
      </c>
      <c r="K7" s="117">
        <v>0</v>
      </c>
      <c r="L7" s="117">
        <v>0</v>
      </c>
      <c r="M7" s="267">
        <v>0</v>
      </c>
      <c r="N7" s="117">
        <v>0</v>
      </c>
      <c r="O7" s="117">
        <v>0</v>
      </c>
      <c r="P7" s="268">
        <v>0</v>
      </c>
      <c r="Q7" s="268">
        <v>0</v>
      </c>
      <c r="R7" s="2" t="s">
        <v>1390</v>
      </c>
    </row>
    <row r="8" spans="1:21" x14ac:dyDescent="0.25">
      <c r="A8" s="2" t="s">
        <v>1395</v>
      </c>
      <c r="B8" s="2" t="s">
        <v>120</v>
      </c>
      <c r="C8" s="2" t="s">
        <v>7</v>
      </c>
      <c r="D8" s="2" t="s">
        <v>115</v>
      </c>
      <c r="E8" s="117">
        <v>3</v>
      </c>
      <c r="F8" s="117">
        <v>0</v>
      </c>
      <c r="G8" s="117">
        <v>0</v>
      </c>
      <c r="H8" s="117">
        <v>0</v>
      </c>
      <c r="I8" s="117">
        <v>298</v>
      </c>
      <c r="J8" s="117">
        <v>0</v>
      </c>
      <c r="K8" s="117">
        <v>0</v>
      </c>
      <c r="L8" s="117">
        <v>0</v>
      </c>
      <c r="M8" s="267">
        <v>0</v>
      </c>
      <c r="N8" s="117">
        <v>0</v>
      </c>
      <c r="O8" s="117">
        <v>0</v>
      </c>
      <c r="P8" s="268">
        <v>0</v>
      </c>
      <c r="Q8" s="268">
        <v>0</v>
      </c>
      <c r="R8" s="2" t="s">
        <v>1390</v>
      </c>
    </row>
    <row r="9" spans="1:21" x14ac:dyDescent="0.25">
      <c r="A9" s="2" t="s">
        <v>1396</v>
      </c>
      <c r="B9" s="2" t="s">
        <v>279</v>
      </c>
      <c r="C9" s="2" t="s">
        <v>7</v>
      </c>
      <c r="D9" s="2" t="s">
        <v>115</v>
      </c>
      <c r="E9" s="117">
        <v>3</v>
      </c>
      <c r="F9" s="117">
        <v>0</v>
      </c>
      <c r="G9" s="117">
        <v>0</v>
      </c>
      <c r="H9" s="117">
        <v>0</v>
      </c>
      <c r="I9" s="117">
        <v>77</v>
      </c>
      <c r="J9" s="117">
        <v>0</v>
      </c>
      <c r="K9" s="117">
        <v>0</v>
      </c>
      <c r="L9" s="117">
        <v>0</v>
      </c>
      <c r="M9" s="267">
        <v>0</v>
      </c>
      <c r="N9" s="117">
        <v>0</v>
      </c>
      <c r="O9" s="117">
        <v>0</v>
      </c>
      <c r="P9" s="268">
        <v>0</v>
      </c>
      <c r="Q9" s="268">
        <v>0</v>
      </c>
      <c r="R9" s="2" t="s">
        <v>1390</v>
      </c>
    </row>
    <row r="10" spans="1:21" x14ac:dyDescent="0.25">
      <c r="A10" s="2" t="s">
        <v>1397</v>
      </c>
      <c r="B10" s="2" t="s">
        <v>280</v>
      </c>
      <c r="C10" s="2" t="s">
        <v>7</v>
      </c>
      <c r="D10" s="2" t="s">
        <v>115</v>
      </c>
      <c r="E10" s="117">
        <v>3</v>
      </c>
      <c r="F10" s="117">
        <v>0</v>
      </c>
      <c r="G10" s="117">
        <v>0</v>
      </c>
      <c r="H10" s="117">
        <v>0</v>
      </c>
      <c r="I10" s="117">
        <v>116</v>
      </c>
      <c r="J10" s="117">
        <v>0</v>
      </c>
      <c r="K10" s="117">
        <v>0</v>
      </c>
      <c r="L10" s="117">
        <v>0</v>
      </c>
      <c r="M10" s="267">
        <v>0</v>
      </c>
      <c r="N10" s="117">
        <v>0</v>
      </c>
      <c r="O10" s="117">
        <v>0</v>
      </c>
      <c r="P10" s="268">
        <v>0</v>
      </c>
      <c r="Q10" s="268">
        <v>0</v>
      </c>
      <c r="R10" s="2" t="s">
        <v>1390</v>
      </c>
    </row>
    <row r="11" spans="1:21" x14ac:dyDescent="0.25">
      <c r="A11" s="2" t="s">
        <v>1398</v>
      </c>
      <c r="B11" s="2" t="s">
        <v>286</v>
      </c>
      <c r="C11" s="2" t="s">
        <v>7</v>
      </c>
      <c r="D11" s="2" t="s">
        <v>115</v>
      </c>
      <c r="E11" s="117">
        <v>3</v>
      </c>
      <c r="F11" s="117">
        <v>0</v>
      </c>
      <c r="G11" s="117">
        <v>0</v>
      </c>
      <c r="H11" s="117">
        <v>0</v>
      </c>
      <c r="I11" s="117">
        <v>71</v>
      </c>
      <c r="J11" s="117">
        <v>0</v>
      </c>
      <c r="K11" s="117">
        <v>0</v>
      </c>
      <c r="L11" s="117">
        <v>0</v>
      </c>
      <c r="M11" s="267">
        <v>0</v>
      </c>
      <c r="N11" s="117">
        <v>0</v>
      </c>
      <c r="O11" s="117">
        <v>0</v>
      </c>
      <c r="P11" s="268">
        <v>0</v>
      </c>
      <c r="Q11" s="268">
        <v>0</v>
      </c>
      <c r="R11" s="2" t="s">
        <v>1390</v>
      </c>
    </row>
    <row r="12" spans="1:21" x14ac:dyDescent="0.25">
      <c r="A12" s="269"/>
      <c r="B12" s="269"/>
      <c r="C12" s="269" t="s">
        <v>7</v>
      </c>
      <c r="D12" s="269"/>
      <c r="E12" s="269"/>
      <c r="F12" s="270">
        <v>0</v>
      </c>
      <c r="G12" s="270">
        <v>0</v>
      </c>
      <c r="H12" s="270">
        <v>0</v>
      </c>
      <c r="I12" s="270">
        <v>3348</v>
      </c>
      <c r="J12" s="270">
        <v>0</v>
      </c>
      <c r="K12" s="270">
        <v>0</v>
      </c>
      <c r="L12" s="270">
        <v>0</v>
      </c>
      <c r="M12" s="271">
        <v>0</v>
      </c>
      <c r="N12" s="270">
        <v>0</v>
      </c>
      <c r="O12" s="270">
        <v>0</v>
      </c>
      <c r="P12" s="272">
        <v>0</v>
      </c>
      <c r="Q12" s="272">
        <v>0</v>
      </c>
      <c r="R12" s="269" t="s">
        <v>1390</v>
      </c>
    </row>
    <row r="13" spans="1:21" x14ac:dyDescent="0.25">
      <c r="A13" s="2" t="s">
        <v>1399</v>
      </c>
      <c r="B13" s="2" t="s">
        <v>8</v>
      </c>
      <c r="C13" s="2" t="s">
        <v>9</v>
      </c>
      <c r="D13" s="2" t="s">
        <v>5</v>
      </c>
      <c r="E13" s="117">
        <v>7</v>
      </c>
      <c r="F13" s="117">
        <v>1</v>
      </c>
      <c r="G13" s="117">
        <v>0</v>
      </c>
      <c r="H13" s="117">
        <v>1</v>
      </c>
      <c r="I13" s="117">
        <v>1290</v>
      </c>
      <c r="J13" s="117">
        <v>0</v>
      </c>
      <c r="K13" s="117">
        <v>0</v>
      </c>
      <c r="L13" s="117">
        <v>1</v>
      </c>
      <c r="M13" s="267">
        <v>8.0000000000000004E-4</v>
      </c>
      <c r="N13" s="117">
        <v>3</v>
      </c>
      <c r="O13" s="117">
        <v>1</v>
      </c>
      <c r="P13" s="268">
        <v>0</v>
      </c>
      <c r="Q13" s="268">
        <v>1</v>
      </c>
      <c r="R13" s="2" t="s">
        <v>1390</v>
      </c>
    </row>
    <row r="14" spans="1:21" x14ac:dyDescent="0.25">
      <c r="A14" s="2" t="s">
        <v>1400</v>
      </c>
      <c r="B14" s="2" t="s">
        <v>121</v>
      </c>
      <c r="C14" s="2" t="s">
        <v>9</v>
      </c>
      <c r="D14" s="2" t="s">
        <v>115</v>
      </c>
      <c r="E14" s="117">
        <v>7</v>
      </c>
      <c r="F14" s="117">
        <v>0</v>
      </c>
      <c r="G14" s="117">
        <v>0</v>
      </c>
      <c r="H14" s="117">
        <v>0</v>
      </c>
      <c r="I14" s="117">
        <v>35</v>
      </c>
      <c r="J14" s="117">
        <v>0</v>
      </c>
      <c r="K14" s="117">
        <v>0</v>
      </c>
      <c r="L14" s="117">
        <v>0</v>
      </c>
      <c r="M14" s="267">
        <v>0</v>
      </c>
      <c r="N14" s="117">
        <v>0</v>
      </c>
      <c r="O14" s="117">
        <v>0</v>
      </c>
      <c r="P14" s="268">
        <v>0</v>
      </c>
      <c r="Q14" s="268">
        <v>0</v>
      </c>
      <c r="R14" s="2" t="s">
        <v>1390</v>
      </c>
    </row>
    <row r="15" spans="1:21" x14ac:dyDescent="0.25">
      <c r="A15" s="2" t="s">
        <v>1401</v>
      </c>
      <c r="B15" s="2" t="s">
        <v>283</v>
      </c>
      <c r="C15" s="2" t="s">
        <v>9</v>
      </c>
      <c r="D15" s="2" t="s">
        <v>115</v>
      </c>
      <c r="E15" s="117">
        <v>7</v>
      </c>
      <c r="F15" s="117">
        <v>0</v>
      </c>
      <c r="G15" s="117">
        <v>0</v>
      </c>
      <c r="H15" s="117">
        <v>0</v>
      </c>
      <c r="I15" s="117">
        <v>0</v>
      </c>
      <c r="J15" s="117">
        <v>0</v>
      </c>
      <c r="K15" s="117">
        <v>0</v>
      </c>
      <c r="L15" s="117">
        <v>0</v>
      </c>
      <c r="M15" s="267" t="s">
        <v>488</v>
      </c>
      <c r="N15" s="117">
        <v>0</v>
      </c>
      <c r="O15" s="117">
        <v>0</v>
      </c>
      <c r="P15" s="268">
        <v>0</v>
      </c>
      <c r="Q15" s="268">
        <v>0</v>
      </c>
      <c r="R15" s="2" t="s">
        <v>1390</v>
      </c>
    </row>
    <row r="16" spans="1:21" x14ac:dyDescent="0.25">
      <c r="A16" s="2" t="s">
        <v>1402</v>
      </c>
      <c r="B16" s="2" t="s">
        <v>284</v>
      </c>
      <c r="C16" s="2" t="s">
        <v>9</v>
      </c>
      <c r="D16" s="2" t="s">
        <v>115</v>
      </c>
      <c r="E16" s="117">
        <v>7</v>
      </c>
      <c r="F16" s="117">
        <v>0</v>
      </c>
      <c r="G16" s="117">
        <v>0</v>
      </c>
      <c r="H16" s="117">
        <v>0</v>
      </c>
      <c r="I16" s="117">
        <v>41</v>
      </c>
      <c r="J16" s="117">
        <v>0</v>
      </c>
      <c r="K16" s="117">
        <v>0</v>
      </c>
      <c r="L16" s="117">
        <v>0</v>
      </c>
      <c r="M16" s="267">
        <v>0</v>
      </c>
      <c r="N16" s="117">
        <v>0</v>
      </c>
      <c r="O16" s="117">
        <v>0</v>
      </c>
      <c r="P16" s="268">
        <v>0</v>
      </c>
      <c r="Q16" s="268">
        <v>0</v>
      </c>
      <c r="R16" s="2" t="s">
        <v>1390</v>
      </c>
    </row>
    <row r="17" spans="1:18" x14ac:dyDescent="0.25">
      <c r="A17" s="2" t="s">
        <v>1403</v>
      </c>
      <c r="B17" s="2" t="s">
        <v>285</v>
      </c>
      <c r="C17" s="2" t="s">
        <v>9</v>
      </c>
      <c r="D17" s="2" t="s">
        <v>115</v>
      </c>
      <c r="E17" s="117">
        <v>7</v>
      </c>
      <c r="F17" s="117">
        <v>0</v>
      </c>
      <c r="G17" s="117">
        <v>0</v>
      </c>
      <c r="H17" s="117">
        <v>0</v>
      </c>
      <c r="I17" s="117">
        <v>57</v>
      </c>
      <c r="J17" s="117">
        <v>0</v>
      </c>
      <c r="K17" s="117">
        <v>0</v>
      </c>
      <c r="L17" s="117">
        <v>0</v>
      </c>
      <c r="M17" s="267">
        <v>0</v>
      </c>
      <c r="N17" s="117">
        <v>0</v>
      </c>
      <c r="O17" s="117">
        <v>0</v>
      </c>
      <c r="P17" s="268">
        <v>0</v>
      </c>
      <c r="Q17" s="268">
        <v>0</v>
      </c>
      <c r="R17" s="2" t="s">
        <v>1390</v>
      </c>
    </row>
    <row r="18" spans="1:18" x14ac:dyDescent="0.25">
      <c r="A18" s="269"/>
      <c r="B18" s="269"/>
      <c r="C18" s="269" t="s">
        <v>9</v>
      </c>
      <c r="D18" s="269"/>
      <c r="E18" s="269"/>
      <c r="F18" s="270">
        <v>1</v>
      </c>
      <c r="G18" s="270">
        <v>0</v>
      </c>
      <c r="H18" s="270">
        <v>1</v>
      </c>
      <c r="I18" s="270">
        <v>1423</v>
      </c>
      <c r="J18" s="270">
        <v>0</v>
      </c>
      <c r="K18" s="270">
        <v>0</v>
      </c>
      <c r="L18" s="270">
        <v>1</v>
      </c>
      <c r="M18" s="271">
        <v>6.9999999999999999E-4</v>
      </c>
      <c r="N18" s="270">
        <v>3</v>
      </c>
      <c r="O18" s="270">
        <v>1</v>
      </c>
      <c r="P18" s="272">
        <v>0</v>
      </c>
      <c r="Q18" s="272">
        <v>1</v>
      </c>
      <c r="R18" s="269" t="s">
        <v>1390</v>
      </c>
    </row>
    <row r="19" spans="1:18" x14ac:dyDescent="0.25">
      <c r="A19" s="2" t="s">
        <v>1404</v>
      </c>
      <c r="B19" s="2" t="s">
        <v>10</v>
      </c>
      <c r="C19" s="2" t="s">
        <v>11</v>
      </c>
      <c r="D19" s="2" t="s">
        <v>5</v>
      </c>
      <c r="E19" s="117">
        <v>11</v>
      </c>
      <c r="F19" s="117">
        <v>3</v>
      </c>
      <c r="G19" s="117">
        <v>0</v>
      </c>
      <c r="H19" s="117">
        <v>3</v>
      </c>
      <c r="I19" s="117">
        <v>293</v>
      </c>
      <c r="J19" s="117">
        <v>0</v>
      </c>
      <c r="K19" s="117">
        <v>0</v>
      </c>
      <c r="L19" s="117">
        <v>3</v>
      </c>
      <c r="M19" s="267">
        <v>1.01E-2</v>
      </c>
      <c r="N19" s="117">
        <v>9</v>
      </c>
      <c r="O19" s="117">
        <v>19</v>
      </c>
      <c r="P19" s="268">
        <v>0</v>
      </c>
      <c r="Q19" s="268">
        <v>19</v>
      </c>
      <c r="R19" s="2" t="s">
        <v>1390</v>
      </c>
    </row>
    <row r="20" spans="1:18" x14ac:dyDescent="0.25">
      <c r="A20" s="2" t="s">
        <v>1405</v>
      </c>
      <c r="B20" s="2" t="s">
        <v>122</v>
      </c>
      <c r="C20" s="2" t="s">
        <v>11</v>
      </c>
      <c r="D20" s="2" t="s">
        <v>115</v>
      </c>
      <c r="E20" s="117">
        <v>11</v>
      </c>
      <c r="F20" s="117">
        <v>0</v>
      </c>
      <c r="G20" s="117">
        <v>0</v>
      </c>
      <c r="H20" s="117">
        <v>0</v>
      </c>
      <c r="I20" s="117">
        <v>15</v>
      </c>
      <c r="J20" s="117">
        <v>0</v>
      </c>
      <c r="K20" s="117">
        <v>0</v>
      </c>
      <c r="L20" s="117">
        <v>0</v>
      </c>
      <c r="M20" s="267">
        <v>0</v>
      </c>
      <c r="N20" s="117">
        <v>0</v>
      </c>
      <c r="O20" s="117">
        <v>0</v>
      </c>
      <c r="P20" s="268">
        <v>0</v>
      </c>
      <c r="Q20" s="268">
        <v>0</v>
      </c>
      <c r="R20" s="2" t="s">
        <v>1390</v>
      </c>
    </row>
    <row r="21" spans="1:18" x14ac:dyDescent="0.25">
      <c r="A21" s="2" t="s">
        <v>1406</v>
      </c>
      <c r="B21" s="2" t="s">
        <v>123</v>
      </c>
      <c r="C21" s="2" t="s">
        <v>11</v>
      </c>
      <c r="D21" s="2" t="s">
        <v>115</v>
      </c>
      <c r="E21" s="117">
        <v>11</v>
      </c>
      <c r="F21" s="117">
        <v>0</v>
      </c>
      <c r="G21" s="117">
        <v>0</v>
      </c>
      <c r="H21" s="117">
        <v>0</v>
      </c>
      <c r="I21" s="117">
        <v>111</v>
      </c>
      <c r="J21" s="117">
        <v>0</v>
      </c>
      <c r="K21" s="117">
        <v>0</v>
      </c>
      <c r="L21" s="117">
        <v>0</v>
      </c>
      <c r="M21" s="267">
        <v>0</v>
      </c>
      <c r="N21" s="117">
        <v>0</v>
      </c>
      <c r="O21" s="117">
        <v>0</v>
      </c>
      <c r="P21" s="268">
        <v>0</v>
      </c>
      <c r="Q21" s="268">
        <v>0</v>
      </c>
      <c r="R21" s="2" t="s">
        <v>1390</v>
      </c>
    </row>
    <row r="22" spans="1:18" x14ac:dyDescent="0.25">
      <c r="A22" s="2" t="s">
        <v>1407</v>
      </c>
      <c r="B22" s="2" t="s">
        <v>124</v>
      </c>
      <c r="C22" s="2" t="s">
        <v>11</v>
      </c>
      <c r="D22" s="2" t="s">
        <v>115</v>
      </c>
      <c r="E22" s="117">
        <v>11</v>
      </c>
      <c r="F22" s="117">
        <v>0</v>
      </c>
      <c r="G22" s="117">
        <v>0</v>
      </c>
      <c r="H22" s="117">
        <v>0</v>
      </c>
      <c r="I22" s="117">
        <v>90</v>
      </c>
      <c r="J22" s="117">
        <v>0</v>
      </c>
      <c r="K22" s="117">
        <v>0</v>
      </c>
      <c r="L22" s="117">
        <v>0</v>
      </c>
      <c r="M22" s="267">
        <v>0</v>
      </c>
      <c r="N22" s="117">
        <v>0</v>
      </c>
      <c r="O22" s="117">
        <v>0</v>
      </c>
      <c r="P22" s="268">
        <v>0</v>
      </c>
      <c r="Q22" s="268">
        <v>0</v>
      </c>
      <c r="R22" s="2" t="s">
        <v>1390</v>
      </c>
    </row>
    <row r="23" spans="1:18" x14ac:dyDescent="0.25">
      <c r="A23" s="2" t="s">
        <v>1408</v>
      </c>
      <c r="B23" s="2" t="s">
        <v>125</v>
      </c>
      <c r="C23" s="2" t="s">
        <v>11</v>
      </c>
      <c r="D23" s="2" t="s">
        <v>115</v>
      </c>
      <c r="E23" s="117">
        <v>11</v>
      </c>
      <c r="F23" s="117">
        <v>7</v>
      </c>
      <c r="G23" s="117">
        <v>0</v>
      </c>
      <c r="H23" s="117">
        <v>7</v>
      </c>
      <c r="I23" s="117">
        <v>1328</v>
      </c>
      <c r="J23" s="117">
        <v>0</v>
      </c>
      <c r="K23" s="117">
        <v>0</v>
      </c>
      <c r="L23" s="117">
        <v>7</v>
      </c>
      <c r="M23" s="267">
        <v>5.1999999999999998E-3</v>
      </c>
      <c r="N23" s="117">
        <v>21</v>
      </c>
      <c r="O23" s="117">
        <v>9</v>
      </c>
      <c r="P23" s="268">
        <v>0</v>
      </c>
      <c r="Q23" s="268">
        <v>9</v>
      </c>
      <c r="R23" s="2" t="s">
        <v>1390</v>
      </c>
    </row>
    <row r="24" spans="1:18" x14ac:dyDescent="0.25">
      <c r="A24" s="2" t="s">
        <v>1409</v>
      </c>
      <c r="B24" s="2" t="s">
        <v>184</v>
      </c>
      <c r="C24" s="2" t="s">
        <v>11</v>
      </c>
      <c r="D24" s="2" t="s">
        <v>115</v>
      </c>
      <c r="E24" s="117">
        <v>11</v>
      </c>
      <c r="F24" s="117">
        <v>0</v>
      </c>
      <c r="G24" s="117">
        <v>0</v>
      </c>
      <c r="H24" s="117">
        <v>0</v>
      </c>
      <c r="I24" s="117">
        <v>35</v>
      </c>
      <c r="J24" s="117">
        <v>0</v>
      </c>
      <c r="K24" s="117">
        <v>0</v>
      </c>
      <c r="L24" s="117">
        <v>0</v>
      </c>
      <c r="M24" s="267">
        <v>0</v>
      </c>
      <c r="N24" s="117">
        <v>0</v>
      </c>
      <c r="O24" s="117">
        <v>0</v>
      </c>
      <c r="P24" s="268">
        <v>0</v>
      </c>
      <c r="Q24" s="268">
        <v>0</v>
      </c>
      <c r="R24" s="2" t="s">
        <v>1390</v>
      </c>
    </row>
    <row r="25" spans="1:18" x14ac:dyDescent="0.25">
      <c r="A25" s="2" t="s">
        <v>1410</v>
      </c>
      <c r="B25" s="2" t="s">
        <v>341</v>
      </c>
      <c r="C25" s="2" t="s">
        <v>11</v>
      </c>
      <c r="D25" s="2" t="s">
        <v>115</v>
      </c>
      <c r="E25" s="117">
        <v>11</v>
      </c>
      <c r="F25" s="117">
        <v>0</v>
      </c>
      <c r="G25" s="117">
        <v>0</v>
      </c>
      <c r="H25" s="117">
        <v>0</v>
      </c>
      <c r="I25" s="117">
        <v>0</v>
      </c>
      <c r="J25" s="117">
        <v>0</v>
      </c>
      <c r="K25" s="117">
        <v>0</v>
      </c>
      <c r="L25" s="117">
        <v>0</v>
      </c>
      <c r="M25" s="267" t="s">
        <v>488</v>
      </c>
      <c r="N25" s="117">
        <v>0</v>
      </c>
      <c r="O25" s="117">
        <v>0</v>
      </c>
      <c r="P25" s="268">
        <v>0</v>
      </c>
      <c r="Q25" s="268">
        <v>0</v>
      </c>
      <c r="R25" s="2" t="s">
        <v>1390</v>
      </c>
    </row>
    <row r="26" spans="1:18" x14ac:dyDescent="0.25">
      <c r="A26" s="269"/>
      <c r="B26" s="269"/>
      <c r="C26" s="269" t="s">
        <v>11</v>
      </c>
      <c r="D26" s="269"/>
      <c r="E26" s="269"/>
      <c r="F26" s="270">
        <v>10</v>
      </c>
      <c r="G26" s="270">
        <v>0</v>
      </c>
      <c r="H26" s="270">
        <v>10</v>
      </c>
      <c r="I26" s="270">
        <v>1872</v>
      </c>
      <c r="J26" s="270">
        <v>0</v>
      </c>
      <c r="K26" s="270">
        <v>0</v>
      </c>
      <c r="L26" s="270">
        <v>10</v>
      </c>
      <c r="M26" s="271">
        <v>5.3E-3</v>
      </c>
      <c r="N26" s="270">
        <v>30</v>
      </c>
      <c r="O26" s="270">
        <v>28</v>
      </c>
      <c r="P26" s="272">
        <v>0</v>
      </c>
      <c r="Q26" s="272">
        <v>28</v>
      </c>
      <c r="R26" s="269" t="s">
        <v>1390</v>
      </c>
    </row>
    <row r="27" spans="1:18" x14ac:dyDescent="0.25">
      <c r="A27" s="2" t="s">
        <v>1411</v>
      </c>
      <c r="B27" s="2" t="s">
        <v>12</v>
      </c>
      <c r="C27" s="2" t="s">
        <v>13</v>
      </c>
      <c r="D27" s="2" t="s">
        <v>5</v>
      </c>
      <c r="E27" s="117">
        <v>2</v>
      </c>
      <c r="F27" s="117">
        <v>2</v>
      </c>
      <c r="G27" s="117">
        <v>0</v>
      </c>
      <c r="H27" s="117">
        <v>2</v>
      </c>
      <c r="I27" s="117">
        <v>1385</v>
      </c>
      <c r="J27" s="117">
        <v>0</v>
      </c>
      <c r="K27" s="117">
        <v>0</v>
      </c>
      <c r="L27" s="117">
        <v>2</v>
      </c>
      <c r="M27" s="267">
        <v>1.4E-3</v>
      </c>
      <c r="N27" s="117">
        <v>6</v>
      </c>
      <c r="O27" s="117">
        <v>2</v>
      </c>
      <c r="P27" s="268">
        <v>0</v>
      </c>
      <c r="Q27" s="268">
        <v>2</v>
      </c>
      <c r="R27" s="2" t="s">
        <v>1390</v>
      </c>
    </row>
    <row r="28" spans="1:18" x14ac:dyDescent="0.25">
      <c r="A28" s="2" t="s">
        <v>1412</v>
      </c>
      <c r="B28" s="2" t="s">
        <v>126</v>
      </c>
      <c r="C28" s="2" t="s">
        <v>13</v>
      </c>
      <c r="D28" s="2" t="s">
        <v>115</v>
      </c>
      <c r="E28" s="117">
        <v>2</v>
      </c>
      <c r="F28" s="117">
        <v>0</v>
      </c>
      <c r="G28" s="117">
        <v>0</v>
      </c>
      <c r="H28" s="117">
        <v>0</v>
      </c>
      <c r="I28" s="117">
        <v>31</v>
      </c>
      <c r="J28" s="117">
        <v>0</v>
      </c>
      <c r="K28" s="117">
        <v>0</v>
      </c>
      <c r="L28" s="117">
        <v>0</v>
      </c>
      <c r="M28" s="267">
        <v>0</v>
      </c>
      <c r="N28" s="117">
        <v>0</v>
      </c>
      <c r="O28" s="117">
        <v>0</v>
      </c>
      <c r="P28" s="268">
        <v>0</v>
      </c>
      <c r="Q28" s="268">
        <v>0</v>
      </c>
      <c r="R28" s="2" t="s">
        <v>1390</v>
      </c>
    </row>
    <row r="29" spans="1:18" x14ac:dyDescent="0.25">
      <c r="A29" s="2" t="s">
        <v>1413</v>
      </c>
      <c r="B29" s="2" t="s">
        <v>127</v>
      </c>
      <c r="C29" s="2" t="s">
        <v>13</v>
      </c>
      <c r="D29" s="2" t="s">
        <v>115</v>
      </c>
      <c r="E29" s="117">
        <v>2</v>
      </c>
      <c r="F29" s="117">
        <v>2</v>
      </c>
      <c r="G29" s="117">
        <v>0</v>
      </c>
      <c r="H29" s="117">
        <v>2</v>
      </c>
      <c r="I29" s="117">
        <v>410</v>
      </c>
      <c r="J29" s="117">
        <v>0</v>
      </c>
      <c r="K29" s="117">
        <v>0</v>
      </c>
      <c r="L29" s="117">
        <v>2</v>
      </c>
      <c r="M29" s="267">
        <v>4.8999999999999998E-3</v>
      </c>
      <c r="N29" s="117">
        <v>6</v>
      </c>
      <c r="O29" s="117">
        <v>9</v>
      </c>
      <c r="P29" s="268">
        <v>0</v>
      </c>
      <c r="Q29" s="268">
        <v>9</v>
      </c>
      <c r="R29" s="2" t="s">
        <v>1390</v>
      </c>
    </row>
    <row r="30" spans="1:18" x14ac:dyDescent="0.25">
      <c r="A30" s="2" t="s">
        <v>1414</v>
      </c>
      <c r="B30" s="2" t="s">
        <v>128</v>
      </c>
      <c r="C30" s="2" t="s">
        <v>13</v>
      </c>
      <c r="D30" s="2" t="s">
        <v>115</v>
      </c>
      <c r="E30" s="117">
        <v>2</v>
      </c>
      <c r="F30" s="117">
        <v>1</v>
      </c>
      <c r="G30" s="117">
        <v>0</v>
      </c>
      <c r="H30" s="117">
        <v>1</v>
      </c>
      <c r="I30" s="117">
        <v>377</v>
      </c>
      <c r="J30" s="117">
        <v>0</v>
      </c>
      <c r="K30" s="117">
        <v>0</v>
      </c>
      <c r="L30" s="117">
        <v>1</v>
      </c>
      <c r="M30" s="267">
        <v>2.5999999999999999E-3</v>
      </c>
      <c r="N30" s="117">
        <v>3</v>
      </c>
      <c r="O30" s="117">
        <v>5</v>
      </c>
      <c r="P30" s="268">
        <v>0</v>
      </c>
      <c r="Q30" s="268">
        <v>5</v>
      </c>
      <c r="R30" s="2" t="s">
        <v>1390</v>
      </c>
    </row>
    <row r="31" spans="1:18" x14ac:dyDescent="0.25">
      <c r="A31" s="269"/>
      <c r="B31" s="269"/>
      <c r="C31" s="269" t="s">
        <v>13</v>
      </c>
      <c r="D31" s="269"/>
      <c r="E31" s="269"/>
      <c r="F31" s="270">
        <v>5</v>
      </c>
      <c r="G31" s="270">
        <v>0</v>
      </c>
      <c r="H31" s="270">
        <v>5</v>
      </c>
      <c r="I31" s="270">
        <v>2203</v>
      </c>
      <c r="J31" s="270">
        <v>0</v>
      </c>
      <c r="K31" s="270">
        <v>0</v>
      </c>
      <c r="L31" s="270">
        <v>5</v>
      </c>
      <c r="M31" s="271">
        <v>2.3E-3</v>
      </c>
      <c r="N31" s="270">
        <v>15</v>
      </c>
      <c r="O31" s="270">
        <v>16</v>
      </c>
      <c r="P31" s="272">
        <v>0</v>
      </c>
      <c r="Q31" s="272">
        <v>16</v>
      </c>
      <c r="R31" s="269" t="s">
        <v>1390</v>
      </c>
    </row>
    <row r="32" spans="1:18" x14ac:dyDescent="0.25">
      <c r="A32" s="2" t="s">
        <v>1415</v>
      </c>
      <c r="B32" s="2" t="s">
        <v>14</v>
      </c>
      <c r="C32" s="2" t="s">
        <v>15</v>
      </c>
      <c r="D32" s="2" t="s">
        <v>5</v>
      </c>
      <c r="E32" s="117">
        <v>5</v>
      </c>
      <c r="F32" s="117">
        <v>0</v>
      </c>
      <c r="G32" s="117">
        <v>0</v>
      </c>
      <c r="H32" s="117">
        <v>0</v>
      </c>
      <c r="I32" s="117">
        <v>245</v>
      </c>
      <c r="J32" s="117">
        <v>0</v>
      </c>
      <c r="K32" s="117">
        <v>0</v>
      </c>
      <c r="L32" s="117">
        <v>0</v>
      </c>
      <c r="M32" s="267">
        <v>0</v>
      </c>
      <c r="N32" s="117">
        <v>0</v>
      </c>
      <c r="O32" s="117">
        <v>0</v>
      </c>
      <c r="P32" s="268">
        <v>0</v>
      </c>
      <c r="Q32" s="268">
        <v>0</v>
      </c>
      <c r="R32" s="2" t="s">
        <v>1390</v>
      </c>
    </row>
    <row r="33" spans="1:18" x14ac:dyDescent="0.25">
      <c r="A33" s="2" t="s">
        <v>1416</v>
      </c>
      <c r="B33" s="2" t="s">
        <v>129</v>
      </c>
      <c r="C33" s="2" t="s">
        <v>15</v>
      </c>
      <c r="D33" s="2" t="s">
        <v>115</v>
      </c>
      <c r="E33" s="117">
        <v>5</v>
      </c>
      <c r="F33" s="117">
        <v>0</v>
      </c>
      <c r="G33" s="117">
        <v>0</v>
      </c>
      <c r="H33" s="117">
        <v>0</v>
      </c>
      <c r="I33" s="117">
        <v>127</v>
      </c>
      <c r="J33" s="117">
        <v>0</v>
      </c>
      <c r="K33" s="117">
        <v>0</v>
      </c>
      <c r="L33" s="117">
        <v>0</v>
      </c>
      <c r="M33" s="267">
        <v>0</v>
      </c>
      <c r="N33" s="117">
        <v>0</v>
      </c>
      <c r="O33" s="117">
        <v>0</v>
      </c>
      <c r="P33" s="268">
        <v>0</v>
      </c>
      <c r="Q33" s="268">
        <v>0</v>
      </c>
      <c r="R33" s="2" t="s">
        <v>1390</v>
      </c>
    </row>
    <row r="34" spans="1:18" x14ac:dyDescent="0.25">
      <c r="A34" s="269"/>
      <c r="B34" s="269"/>
      <c r="C34" s="269" t="s">
        <v>15</v>
      </c>
      <c r="D34" s="269"/>
      <c r="E34" s="269"/>
      <c r="F34" s="270">
        <v>0</v>
      </c>
      <c r="G34" s="270">
        <v>0</v>
      </c>
      <c r="H34" s="270">
        <v>0</v>
      </c>
      <c r="I34" s="270">
        <v>372</v>
      </c>
      <c r="J34" s="270">
        <v>0</v>
      </c>
      <c r="K34" s="270">
        <v>0</v>
      </c>
      <c r="L34" s="270">
        <v>0</v>
      </c>
      <c r="M34" s="271">
        <v>0</v>
      </c>
      <c r="N34" s="270">
        <v>0</v>
      </c>
      <c r="O34" s="270">
        <v>0</v>
      </c>
      <c r="P34" s="272">
        <v>0</v>
      </c>
      <c r="Q34" s="272">
        <v>0</v>
      </c>
      <c r="R34" s="269" t="s">
        <v>1390</v>
      </c>
    </row>
    <row r="35" spans="1:18" x14ac:dyDescent="0.25">
      <c r="A35" s="2" t="s">
        <v>1417</v>
      </c>
      <c r="B35" s="2" t="s">
        <v>16</v>
      </c>
      <c r="C35" s="2" t="s">
        <v>17</v>
      </c>
      <c r="D35" s="2" t="s">
        <v>5</v>
      </c>
      <c r="E35" s="117">
        <v>3</v>
      </c>
      <c r="F35" s="117">
        <v>0</v>
      </c>
      <c r="G35" s="117">
        <v>0</v>
      </c>
      <c r="H35" s="117">
        <v>0</v>
      </c>
      <c r="I35" s="117">
        <v>1683</v>
      </c>
      <c r="J35" s="117">
        <v>0</v>
      </c>
      <c r="K35" s="117">
        <v>0</v>
      </c>
      <c r="L35" s="117">
        <v>0</v>
      </c>
      <c r="M35" s="267">
        <v>0</v>
      </c>
      <c r="N35" s="117">
        <v>0</v>
      </c>
      <c r="O35" s="117">
        <v>0</v>
      </c>
      <c r="P35" s="268">
        <v>0</v>
      </c>
      <c r="Q35" s="268">
        <v>0</v>
      </c>
      <c r="R35" s="2" t="s">
        <v>1390</v>
      </c>
    </row>
    <row r="36" spans="1:18" x14ac:dyDescent="0.25">
      <c r="A36" s="2" t="s">
        <v>1418</v>
      </c>
      <c r="B36" s="2" t="s">
        <v>130</v>
      </c>
      <c r="C36" s="2" t="s">
        <v>17</v>
      </c>
      <c r="D36" s="2" t="s">
        <v>115</v>
      </c>
      <c r="E36" s="117">
        <v>3</v>
      </c>
      <c r="F36" s="117">
        <v>0</v>
      </c>
      <c r="G36" s="117">
        <v>0</v>
      </c>
      <c r="H36" s="117">
        <v>0</v>
      </c>
      <c r="I36" s="117">
        <v>51</v>
      </c>
      <c r="J36" s="117">
        <v>0</v>
      </c>
      <c r="K36" s="117">
        <v>0</v>
      </c>
      <c r="L36" s="117">
        <v>0</v>
      </c>
      <c r="M36" s="267">
        <v>0</v>
      </c>
      <c r="N36" s="117">
        <v>0</v>
      </c>
      <c r="O36" s="117">
        <v>0</v>
      </c>
      <c r="P36" s="268">
        <v>0</v>
      </c>
      <c r="Q36" s="268">
        <v>0</v>
      </c>
      <c r="R36" s="2" t="s">
        <v>1390</v>
      </c>
    </row>
    <row r="37" spans="1:18" x14ac:dyDescent="0.25">
      <c r="A37" s="269"/>
      <c r="B37" s="269"/>
      <c r="C37" s="269" t="s">
        <v>17</v>
      </c>
      <c r="D37" s="269"/>
      <c r="E37" s="269"/>
      <c r="F37" s="270">
        <v>0</v>
      </c>
      <c r="G37" s="270">
        <v>0</v>
      </c>
      <c r="H37" s="270">
        <v>0</v>
      </c>
      <c r="I37" s="270">
        <v>1734</v>
      </c>
      <c r="J37" s="270">
        <v>0</v>
      </c>
      <c r="K37" s="270">
        <v>0</v>
      </c>
      <c r="L37" s="270">
        <v>0</v>
      </c>
      <c r="M37" s="271">
        <v>0</v>
      </c>
      <c r="N37" s="270">
        <v>0</v>
      </c>
      <c r="O37" s="270">
        <v>0</v>
      </c>
      <c r="P37" s="272">
        <v>0</v>
      </c>
      <c r="Q37" s="272">
        <v>0</v>
      </c>
      <c r="R37" s="269" t="s">
        <v>1390</v>
      </c>
    </row>
    <row r="38" spans="1:18" x14ac:dyDescent="0.25">
      <c r="A38" s="2" t="s">
        <v>1419</v>
      </c>
      <c r="B38" s="2" t="s">
        <v>18</v>
      </c>
      <c r="C38" s="2" t="s">
        <v>19</v>
      </c>
      <c r="D38" s="2" t="s">
        <v>5</v>
      </c>
      <c r="E38" s="117">
        <v>6</v>
      </c>
      <c r="F38" s="117">
        <v>0</v>
      </c>
      <c r="G38" s="117">
        <v>0</v>
      </c>
      <c r="H38" s="117">
        <v>0</v>
      </c>
      <c r="I38" s="117">
        <v>1354</v>
      </c>
      <c r="J38" s="117">
        <v>0</v>
      </c>
      <c r="K38" s="117">
        <v>0</v>
      </c>
      <c r="L38" s="117">
        <v>0</v>
      </c>
      <c r="M38" s="267">
        <v>0</v>
      </c>
      <c r="N38" s="117">
        <v>0</v>
      </c>
      <c r="O38" s="117">
        <v>0</v>
      </c>
      <c r="P38" s="268">
        <v>0</v>
      </c>
      <c r="Q38" s="268">
        <v>0</v>
      </c>
      <c r="R38" s="2" t="s">
        <v>1390</v>
      </c>
    </row>
    <row r="39" spans="1:18" x14ac:dyDescent="0.25">
      <c r="A39" s="2" t="s">
        <v>1420</v>
      </c>
      <c r="B39" s="2" t="s">
        <v>131</v>
      </c>
      <c r="C39" s="2" t="s">
        <v>19</v>
      </c>
      <c r="D39" s="2" t="s">
        <v>115</v>
      </c>
      <c r="E39" s="117">
        <v>6</v>
      </c>
      <c r="F39" s="117">
        <v>0</v>
      </c>
      <c r="G39" s="117">
        <v>0</v>
      </c>
      <c r="H39" s="117">
        <v>0</v>
      </c>
      <c r="I39" s="117">
        <v>15</v>
      </c>
      <c r="J39" s="117">
        <v>0</v>
      </c>
      <c r="K39" s="117">
        <v>0</v>
      </c>
      <c r="L39" s="117">
        <v>0</v>
      </c>
      <c r="M39" s="267">
        <v>0</v>
      </c>
      <c r="N39" s="117">
        <v>0</v>
      </c>
      <c r="O39" s="117">
        <v>0</v>
      </c>
      <c r="P39" s="268">
        <v>0</v>
      </c>
      <c r="Q39" s="268">
        <v>0</v>
      </c>
      <c r="R39" s="2" t="s">
        <v>1390</v>
      </c>
    </row>
    <row r="40" spans="1:18" x14ac:dyDescent="0.25">
      <c r="A40" s="269"/>
      <c r="B40" s="269"/>
      <c r="C40" s="269" t="s">
        <v>19</v>
      </c>
      <c r="D40" s="269"/>
      <c r="E40" s="269"/>
      <c r="F40" s="270">
        <v>0</v>
      </c>
      <c r="G40" s="270">
        <v>0</v>
      </c>
      <c r="H40" s="270">
        <v>0</v>
      </c>
      <c r="I40" s="270">
        <v>1369</v>
      </c>
      <c r="J40" s="270">
        <v>0</v>
      </c>
      <c r="K40" s="270">
        <v>0</v>
      </c>
      <c r="L40" s="270">
        <v>0</v>
      </c>
      <c r="M40" s="271">
        <v>0</v>
      </c>
      <c r="N40" s="270">
        <v>0</v>
      </c>
      <c r="O40" s="270">
        <v>0</v>
      </c>
      <c r="P40" s="272">
        <v>0</v>
      </c>
      <c r="Q40" s="272">
        <v>0</v>
      </c>
      <c r="R40" s="269" t="s">
        <v>1390</v>
      </c>
    </row>
    <row r="41" spans="1:18" x14ac:dyDescent="0.25">
      <c r="A41" s="2" t="s">
        <v>1421</v>
      </c>
      <c r="B41" s="2" t="s">
        <v>22</v>
      </c>
      <c r="C41" s="2" t="s">
        <v>23</v>
      </c>
      <c r="D41" s="2" t="s">
        <v>5</v>
      </c>
      <c r="E41" s="117">
        <v>7</v>
      </c>
      <c r="F41" s="117">
        <v>4</v>
      </c>
      <c r="G41" s="117">
        <v>0</v>
      </c>
      <c r="H41" s="117">
        <v>4</v>
      </c>
      <c r="I41" s="117">
        <v>649</v>
      </c>
      <c r="J41" s="117">
        <v>0</v>
      </c>
      <c r="K41" s="117">
        <v>0</v>
      </c>
      <c r="L41" s="117">
        <v>4</v>
      </c>
      <c r="M41" s="267">
        <v>6.1000000000000004E-3</v>
      </c>
      <c r="N41" s="117">
        <v>12</v>
      </c>
      <c r="O41" s="117">
        <v>11</v>
      </c>
      <c r="P41" s="268">
        <v>0</v>
      </c>
      <c r="Q41" s="268">
        <v>11</v>
      </c>
      <c r="R41" s="2" t="s">
        <v>1390</v>
      </c>
    </row>
    <row r="42" spans="1:18" x14ac:dyDescent="0.25">
      <c r="A42" s="2" t="s">
        <v>1422</v>
      </c>
      <c r="B42" s="2" t="s">
        <v>139</v>
      </c>
      <c r="C42" s="2" t="s">
        <v>23</v>
      </c>
      <c r="D42" s="2" t="s">
        <v>115</v>
      </c>
      <c r="E42" s="117">
        <v>7</v>
      </c>
      <c r="F42" s="117">
        <v>0</v>
      </c>
      <c r="G42" s="117">
        <v>0</v>
      </c>
      <c r="H42" s="117">
        <v>0</v>
      </c>
      <c r="I42" s="117">
        <v>134</v>
      </c>
      <c r="J42" s="117">
        <v>0</v>
      </c>
      <c r="K42" s="117">
        <v>0</v>
      </c>
      <c r="L42" s="117">
        <v>0</v>
      </c>
      <c r="M42" s="267">
        <v>0</v>
      </c>
      <c r="N42" s="117">
        <v>0</v>
      </c>
      <c r="O42" s="117">
        <v>0</v>
      </c>
      <c r="P42" s="268">
        <v>0</v>
      </c>
      <c r="Q42" s="268">
        <v>0</v>
      </c>
      <c r="R42" s="2" t="s">
        <v>1390</v>
      </c>
    </row>
    <row r="43" spans="1:18" x14ac:dyDescent="0.25">
      <c r="A43" s="2" t="s">
        <v>1423</v>
      </c>
      <c r="B43" s="2" t="s">
        <v>140</v>
      </c>
      <c r="C43" s="2" t="s">
        <v>23</v>
      </c>
      <c r="D43" s="2" t="s">
        <v>115</v>
      </c>
      <c r="E43" s="117">
        <v>7</v>
      </c>
      <c r="F43" s="117">
        <v>0</v>
      </c>
      <c r="G43" s="117">
        <v>0</v>
      </c>
      <c r="H43" s="117">
        <v>0</v>
      </c>
      <c r="I43" s="117">
        <v>22</v>
      </c>
      <c r="J43" s="117">
        <v>0</v>
      </c>
      <c r="K43" s="117">
        <v>0</v>
      </c>
      <c r="L43" s="117">
        <v>0</v>
      </c>
      <c r="M43" s="267">
        <v>0</v>
      </c>
      <c r="N43" s="117">
        <v>0</v>
      </c>
      <c r="O43" s="117">
        <v>0</v>
      </c>
      <c r="P43" s="268">
        <v>0</v>
      </c>
      <c r="Q43" s="268">
        <v>0</v>
      </c>
      <c r="R43" s="2" t="s">
        <v>1390</v>
      </c>
    </row>
    <row r="44" spans="1:18" x14ac:dyDescent="0.25">
      <c r="A44" s="269"/>
      <c r="B44" s="269"/>
      <c r="C44" s="269" t="s">
        <v>23</v>
      </c>
      <c r="D44" s="269"/>
      <c r="E44" s="269"/>
      <c r="F44" s="270">
        <v>4</v>
      </c>
      <c r="G44" s="270">
        <v>0</v>
      </c>
      <c r="H44" s="270">
        <v>4</v>
      </c>
      <c r="I44" s="270">
        <v>805</v>
      </c>
      <c r="J44" s="270">
        <v>0</v>
      </c>
      <c r="K44" s="270">
        <v>0</v>
      </c>
      <c r="L44" s="270">
        <v>4</v>
      </c>
      <c r="M44" s="271">
        <v>4.8999999999999998E-3</v>
      </c>
      <c r="N44" s="270">
        <v>12</v>
      </c>
      <c r="O44" s="270">
        <v>11</v>
      </c>
      <c r="P44" s="272">
        <v>0</v>
      </c>
      <c r="Q44" s="272">
        <v>11</v>
      </c>
      <c r="R44" s="269" t="s">
        <v>1390</v>
      </c>
    </row>
    <row r="45" spans="1:18" x14ac:dyDescent="0.25">
      <c r="A45" s="2" t="s">
        <v>1424</v>
      </c>
      <c r="B45" s="2" t="s">
        <v>24</v>
      </c>
      <c r="C45" s="2" t="s">
        <v>25</v>
      </c>
      <c r="D45" s="2" t="s">
        <v>5</v>
      </c>
      <c r="E45" s="117">
        <v>8</v>
      </c>
      <c r="F45" s="117">
        <v>2</v>
      </c>
      <c r="G45" s="117">
        <v>0</v>
      </c>
      <c r="H45" s="117">
        <v>2</v>
      </c>
      <c r="I45" s="117">
        <v>280</v>
      </c>
      <c r="J45" s="117">
        <v>0</v>
      </c>
      <c r="K45" s="117">
        <v>0</v>
      </c>
      <c r="L45" s="117">
        <v>2</v>
      </c>
      <c r="M45" s="267">
        <v>7.1000000000000004E-3</v>
      </c>
      <c r="N45" s="117">
        <v>6</v>
      </c>
      <c r="O45" s="117">
        <v>13</v>
      </c>
      <c r="P45" s="268">
        <v>0</v>
      </c>
      <c r="Q45" s="268">
        <v>13</v>
      </c>
      <c r="R45" s="2" t="s">
        <v>1390</v>
      </c>
    </row>
    <row r="46" spans="1:18" x14ac:dyDescent="0.25">
      <c r="A46" s="2" t="s">
        <v>1425</v>
      </c>
      <c r="B46" s="2" t="s">
        <v>141</v>
      </c>
      <c r="C46" s="2" t="s">
        <v>25</v>
      </c>
      <c r="D46" s="2" t="s">
        <v>115</v>
      </c>
      <c r="E46" s="117">
        <v>8</v>
      </c>
      <c r="F46" s="117">
        <v>0</v>
      </c>
      <c r="G46" s="117">
        <v>0</v>
      </c>
      <c r="H46" s="117">
        <v>0</v>
      </c>
      <c r="I46" s="117">
        <v>5</v>
      </c>
      <c r="J46" s="117">
        <v>0</v>
      </c>
      <c r="K46" s="117">
        <v>0</v>
      </c>
      <c r="L46" s="117">
        <v>0</v>
      </c>
      <c r="M46" s="267">
        <v>0</v>
      </c>
      <c r="N46" s="117">
        <v>0</v>
      </c>
      <c r="O46" s="117">
        <v>0</v>
      </c>
      <c r="P46" s="268">
        <v>0</v>
      </c>
      <c r="Q46" s="268">
        <v>0</v>
      </c>
      <c r="R46" s="2" t="s">
        <v>1390</v>
      </c>
    </row>
    <row r="47" spans="1:18" x14ac:dyDescent="0.25">
      <c r="A47" s="2" t="s">
        <v>1426</v>
      </c>
      <c r="B47" s="2" t="s">
        <v>287</v>
      </c>
      <c r="C47" s="2" t="s">
        <v>25</v>
      </c>
      <c r="D47" s="2" t="s">
        <v>115</v>
      </c>
      <c r="E47" s="117">
        <v>8</v>
      </c>
      <c r="F47" s="117">
        <v>0</v>
      </c>
      <c r="G47" s="117">
        <v>0</v>
      </c>
      <c r="H47" s="117">
        <v>0</v>
      </c>
      <c r="I47" s="117">
        <v>21</v>
      </c>
      <c r="J47" s="117">
        <v>0</v>
      </c>
      <c r="K47" s="117">
        <v>0</v>
      </c>
      <c r="L47" s="117">
        <v>0</v>
      </c>
      <c r="M47" s="267">
        <v>0</v>
      </c>
      <c r="N47" s="117">
        <v>0</v>
      </c>
      <c r="O47" s="117">
        <v>0</v>
      </c>
      <c r="P47" s="268">
        <v>0</v>
      </c>
      <c r="Q47" s="268">
        <v>0</v>
      </c>
      <c r="R47" s="2" t="s">
        <v>1390</v>
      </c>
    </row>
    <row r="48" spans="1:18" x14ac:dyDescent="0.25">
      <c r="A48" s="269"/>
      <c r="B48" s="269"/>
      <c r="C48" s="269" t="s">
        <v>25</v>
      </c>
      <c r="D48" s="269"/>
      <c r="E48" s="269"/>
      <c r="F48" s="270">
        <v>2</v>
      </c>
      <c r="G48" s="270">
        <v>0</v>
      </c>
      <c r="H48" s="270">
        <v>2</v>
      </c>
      <c r="I48" s="270">
        <v>306</v>
      </c>
      <c r="J48" s="270">
        <v>0</v>
      </c>
      <c r="K48" s="270">
        <v>0</v>
      </c>
      <c r="L48" s="270">
        <v>2</v>
      </c>
      <c r="M48" s="271">
        <v>6.4999999999999997E-3</v>
      </c>
      <c r="N48" s="270">
        <v>6</v>
      </c>
      <c r="O48" s="270">
        <v>13</v>
      </c>
      <c r="P48" s="272">
        <v>0</v>
      </c>
      <c r="Q48" s="272">
        <v>13</v>
      </c>
      <c r="R48" s="269" t="s">
        <v>1390</v>
      </c>
    </row>
    <row r="49" spans="1:18" x14ac:dyDescent="0.25">
      <c r="A49" s="2" t="s">
        <v>1427</v>
      </c>
      <c r="B49" s="2" t="s">
        <v>26</v>
      </c>
      <c r="C49" s="2" t="s">
        <v>27</v>
      </c>
      <c r="D49" s="2" t="s">
        <v>5</v>
      </c>
      <c r="E49" s="117">
        <v>4</v>
      </c>
      <c r="F49" s="117">
        <v>37</v>
      </c>
      <c r="G49" s="117">
        <v>0</v>
      </c>
      <c r="H49" s="117">
        <v>37</v>
      </c>
      <c r="I49" s="117">
        <v>826</v>
      </c>
      <c r="J49" s="117">
        <v>0</v>
      </c>
      <c r="K49" s="117">
        <v>0</v>
      </c>
      <c r="L49" s="117">
        <v>37</v>
      </c>
      <c r="M49" s="267">
        <v>4.2900000000000001E-2</v>
      </c>
      <c r="N49" s="117">
        <v>111</v>
      </c>
      <c r="O49" s="117">
        <v>81</v>
      </c>
      <c r="P49" s="268">
        <v>0</v>
      </c>
      <c r="Q49" s="268">
        <v>81</v>
      </c>
      <c r="R49" s="2" t="s">
        <v>1428</v>
      </c>
    </row>
    <row r="50" spans="1:18" x14ac:dyDescent="0.25">
      <c r="A50" s="2" t="s">
        <v>1429</v>
      </c>
      <c r="B50" s="2" t="s">
        <v>142</v>
      </c>
      <c r="C50" s="2" t="s">
        <v>27</v>
      </c>
      <c r="D50" s="2" t="s">
        <v>115</v>
      </c>
      <c r="E50" s="117">
        <v>4</v>
      </c>
      <c r="F50" s="117">
        <v>0</v>
      </c>
      <c r="G50" s="117">
        <v>0</v>
      </c>
      <c r="H50" s="117">
        <v>0</v>
      </c>
      <c r="I50" s="117">
        <v>115</v>
      </c>
      <c r="J50" s="117">
        <v>0</v>
      </c>
      <c r="K50" s="117">
        <v>0</v>
      </c>
      <c r="L50" s="117">
        <v>0</v>
      </c>
      <c r="M50" s="267">
        <v>0</v>
      </c>
      <c r="N50" s="117">
        <v>0</v>
      </c>
      <c r="O50" s="117">
        <v>0</v>
      </c>
      <c r="P50" s="268">
        <v>0</v>
      </c>
      <c r="Q50" s="268">
        <v>0</v>
      </c>
      <c r="R50" s="2" t="s">
        <v>1428</v>
      </c>
    </row>
    <row r="51" spans="1:18" x14ac:dyDescent="0.25">
      <c r="A51" s="2" t="s">
        <v>1430</v>
      </c>
      <c r="B51" s="2" t="s">
        <v>144</v>
      </c>
      <c r="C51" s="2" t="s">
        <v>27</v>
      </c>
      <c r="D51" s="2" t="s">
        <v>115</v>
      </c>
      <c r="E51" s="117">
        <v>4</v>
      </c>
      <c r="F51" s="117">
        <v>4</v>
      </c>
      <c r="G51" s="117">
        <v>0</v>
      </c>
      <c r="H51" s="117">
        <v>4</v>
      </c>
      <c r="I51" s="117">
        <v>71</v>
      </c>
      <c r="J51" s="117">
        <v>0</v>
      </c>
      <c r="K51" s="117">
        <v>0</v>
      </c>
      <c r="L51" s="117">
        <v>4</v>
      </c>
      <c r="M51" s="267">
        <v>5.33E-2</v>
      </c>
      <c r="N51" s="117">
        <v>12</v>
      </c>
      <c r="O51" s="117">
        <v>101</v>
      </c>
      <c r="P51" s="268">
        <v>0</v>
      </c>
      <c r="Q51" s="268">
        <v>101</v>
      </c>
      <c r="R51" s="2" t="s">
        <v>1428</v>
      </c>
    </row>
    <row r="52" spans="1:18" x14ac:dyDescent="0.25">
      <c r="A52" s="2" t="s">
        <v>1431</v>
      </c>
      <c r="B52" s="2" t="s">
        <v>145</v>
      </c>
      <c r="C52" s="2" t="s">
        <v>27</v>
      </c>
      <c r="D52" s="2" t="s">
        <v>115</v>
      </c>
      <c r="E52" s="117">
        <v>4</v>
      </c>
      <c r="F52" s="117">
        <v>5</v>
      </c>
      <c r="G52" s="117">
        <v>0</v>
      </c>
      <c r="H52" s="117">
        <v>5</v>
      </c>
      <c r="I52" s="117">
        <v>25</v>
      </c>
      <c r="J52" s="117">
        <v>0</v>
      </c>
      <c r="K52" s="117">
        <v>0</v>
      </c>
      <c r="L52" s="117">
        <v>5</v>
      </c>
      <c r="M52" s="267">
        <v>0.16669999999999999</v>
      </c>
      <c r="N52" s="117">
        <v>15</v>
      </c>
      <c r="O52" s="117">
        <v>316</v>
      </c>
      <c r="P52" s="268">
        <v>0</v>
      </c>
      <c r="Q52" s="268">
        <v>316</v>
      </c>
      <c r="R52" s="2" t="s">
        <v>1428</v>
      </c>
    </row>
    <row r="53" spans="1:18" x14ac:dyDescent="0.25">
      <c r="A53" s="2" t="s">
        <v>1432</v>
      </c>
      <c r="B53" s="2" t="s">
        <v>146</v>
      </c>
      <c r="C53" s="2" t="s">
        <v>27</v>
      </c>
      <c r="D53" s="2" t="s">
        <v>115</v>
      </c>
      <c r="E53" s="117">
        <v>4</v>
      </c>
      <c r="F53" s="117">
        <v>0</v>
      </c>
      <c r="G53" s="117">
        <v>0</v>
      </c>
      <c r="H53" s="117">
        <v>0</v>
      </c>
      <c r="I53" s="117">
        <v>292</v>
      </c>
      <c r="J53" s="117">
        <v>0</v>
      </c>
      <c r="K53" s="117">
        <v>0</v>
      </c>
      <c r="L53" s="117">
        <v>0</v>
      </c>
      <c r="M53" s="267">
        <v>0</v>
      </c>
      <c r="N53" s="117">
        <v>0</v>
      </c>
      <c r="O53" s="117">
        <v>0</v>
      </c>
      <c r="P53" s="268">
        <v>0</v>
      </c>
      <c r="Q53" s="268">
        <v>0</v>
      </c>
      <c r="R53" s="2" t="s">
        <v>1428</v>
      </c>
    </row>
    <row r="54" spans="1:18" x14ac:dyDescent="0.25">
      <c r="A54" s="2" t="s">
        <v>1433</v>
      </c>
      <c r="B54" s="2" t="s">
        <v>278</v>
      </c>
      <c r="C54" s="2" t="s">
        <v>27</v>
      </c>
      <c r="D54" s="2" t="s">
        <v>115</v>
      </c>
      <c r="E54" s="117">
        <v>4</v>
      </c>
      <c r="F54" s="117">
        <v>0</v>
      </c>
      <c r="G54" s="117">
        <v>0</v>
      </c>
      <c r="H54" s="117">
        <v>0</v>
      </c>
      <c r="I54" s="117">
        <v>0</v>
      </c>
      <c r="J54" s="117">
        <v>0</v>
      </c>
      <c r="K54" s="117">
        <v>0</v>
      </c>
      <c r="L54" s="117">
        <v>0</v>
      </c>
      <c r="M54" s="267" t="s">
        <v>488</v>
      </c>
      <c r="N54" s="117">
        <v>0</v>
      </c>
      <c r="O54" s="117">
        <v>0</v>
      </c>
      <c r="P54" s="268">
        <v>0</v>
      </c>
      <c r="Q54" s="268">
        <v>0</v>
      </c>
      <c r="R54" s="2" t="s">
        <v>1428</v>
      </c>
    </row>
    <row r="55" spans="1:18" x14ac:dyDescent="0.25">
      <c r="A55" s="2" t="s">
        <v>1434</v>
      </c>
      <c r="B55" s="2" t="s">
        <v>290</v>
      </c>
      <c r="C55" s="2" t="s">
        <v>27</v>
      </c>
      <c r="D55" s="2" t="s">
        <v>115</v>
      </c>
      <c r="E55" s="117">
        <v>4</v>
      </c>
      <c r="F55" s="117">
        <v>0</v>
      </c>
      <c r="G55" s="117">
        <v>0</v>
      </c>
      <c r="H55" s="117">
        <v>0</v>
      </c>
      <c r="I55" s="117">
        <v>4</v>
      </c>
      <c r="J55" s="117">
        <v>0</v>
      </c>
      <c r="K55" s="117">
        <v>0</v>
      </c>
      <c r="L55" s="117">
        <v>0</v>
      </c>
      <c r="M55" s="267">
        <v>0</v>
      </c>
      <c r="N55" s="117">
        <v>0</v>
      </c>
      <c r="O55" s="117">
        <v>0</v>
      </c>
      <c r="P55" s="268">
        <v>0</v>
      </c>
      <c r="Q55" s="268">
        <v>0</v>
      </c>
      <c r="R55" s="2" t="s">
        <v>1428</v>
      </c>
    </row>
    <row r="56" spans="1:18" x14ac:dyDescent="0.25">
      <c r="A56" s="2" t="s">
        <v>1435</v>
      </c>
      <c r="B56" s="2" t="s">
        <v>291</v>
      </c>
      <c r="C56" s="2" t="s">
        <v>27</v>
      </c>
      <c r="D56" s="2" t="s">
        <v>115</v>
      </c>
      <c r="E56" s="117">
        <v>4</v>
      </c>
      <c r="F56" s="117">
        <v>0</v>
      </c>
      <c r="G56" s="117">
        <v>0</v>
      </c>
      <c r="H56" s="117">
        <v>0</v>
      </c>
      <c r="I56" s="117">
        <v>0</v>
      </c>
      <c r="J56" s="117">
        <v>0</v>
      </c>
      <c r="K56" s="117">
        <v>0</v>
      </c>
      <c r="L56" s="117">
        <v>0</v>
      </c>
      <c r="M56" s="267" t="s">
        <v>488</v>
      </c>
      <c r="N56" s="117">
        <v>0</v>
      </c>
      <c r="O56" s="117">
        <v>0</v>
      </c>
      <c r="P56" s="268">
        <v>0</v>
      </c>
      <c r="Q56" s="268">
        <v>0</v>
      </c>
      <c r="R56" s="2" t="s">
        <v>1428</v>
      </c>
    </row>
    <row r="57" spans="1:18" x14ac:dyDescent="0.25">
      <c r="A57" s="2" t="s">
        <v>1436</v>
      </c>
      <c r="B57" s="2" t="s">
        <v>322</v>
      </c>
      <c r="C57" s="2" t="s">
        <v>27</v>
      </c>
      <c r="D57" s="2" t="s">
        <v>115</v>
      </c>
      <c r="E57" s="117">
        <v>4</v>
      </c>
      <c r="F57" s="117">
        <v>0</v>
      </c>
      <c r="G57" s="117">
        <v>0</v>
      </c>
      <c r="H57" s="117">
        <v>0</v>
      </c>
      <c r="I57" s="117">
        <v>0</v>
      </c>
      <c r="J57" s="117">
        <v>0</v>
      </c>
      <c r="K57" s="117">
        <v>0</v>
      </c>
      <c r="L57" s="117">
        <v>0</v>
      </c>
      <c r="M57" s="267" t="s">
        <v>488</v>
      </c>
      <c r="N57" s="117">
        <v>0</v>
      </c>
      <c r="O57" s="117">
        <v>0</v>
      </c>
      <c r="P57" s="268">
        <v>0</v>
      </c>
      <c r="Q57" s="268">
        <v>0</v>
      </c>
      <c r="R57" s="2" t="s">
        <v>1428</v>
      </c>
    </row>
    <row r="58" spans="1:18" x14ac:dyDescent="0.25">
      <c r="A58" s="269"/>
      <c r="B58" s="269"/>
      <c r="C58" s="269" t="s">
        <v>27</v>
      </c>
      <c r="D58" s="269"/>
      <c r="E58" s="269"/>
      <c r="F58" s="270">
        <v>46</v>
      </c>
      <c r="G58" s="270">
        <v>0</v>
      </c>
      <c r="H58" s="270">
        <v>46</v>
      </c>
      <c r="I58" s="270">
        <v>2666</v>
      </c>
      <c r="J58" s="270">
        <v>0</v>
      </c>
      <c r="K58" s="270">
        <v>0</v>
      </c>
      <c r="L58" s="270">
        <v>46</v>
      </c>
      <c r="M58" s="271">
        <v>1.7000000000000001E-2</v>
      </c>
      <c r="N58" s="270">
        <v>138</v>
      </c>
      <c r="O58" s="270">
        <v>498</v>
      </c>
      <c r="P58" s="272">
        <v>0</v>
      </c>
      <c r="Q58" s="272">
        <v>498</v>
      </c>
      <c r="R58" s="269" t="s">
        <v>1428</v>
      </c>
    </row>
    <row r="59" spans="1:18" x14ac:dyDescent="0.25">
      <c r="A59" s="2" t="s">
        <v>1437</v>
      </c>
      <c r="B59" s="2" t="s">
        <v>28</v>
      </c>
      <c r="C59" s="2" t="s">
        <v>29</v>
      </c>
      <c r="D59" s="2" t="s">
        <v>5</v>
      </c>
      <c r="E59" s="117">
        <v>11</v>
      </c>
      <c r="F59" s="117">
        <v>1</v>
      </c>
      <c r="G59" s="117">
        <v>0</v>
      </c>
      <c r="H59" s="117">
        <v>1</v>
      </c>
      <c r="I59" s="117">
        <v>142</v>
      </c>
      <c r="J59" s="117">
        <v>0</v>
      </c>
      <c r="K59" s="117">
        <v>0</v>
      </c>
      <c r="L59" s="117">
        <v>1</v>
      </c>
      <c r="M59" s="267">
        <v>7.0000000000000001E-3</v>
      </c>
      <c r="N59" s="117">
        <v>3</v>
      </c>
      <c r="O59" s="117">
        <v>13</v>
      </c>
      <c r="P59" s="268">
        <v>0</v>
      </c>
      <c r="Q59" s="268">
        <v>13</v>
      </c>
      <c r="R59" s="2" t="s">
        <v>1428</v>
      </c>
    </row>
    <row r="60" spans="1:18" x14ac:dyDescent="0.25">
      <c r="A60" s="2" t="s">
        <v>1407</v>
      </c>
      <c r="B60" s="2" t="s">
        <v>124</v>
      </c>
      <c r="C60" s="2" t="s">
        <v>29</v>
      </c>
      <c r="D60" s="2" t="s">
        <v>115</v>
      </c>
      <c r="E60" s="117">
        <v>11</v>
      </c>
      <c r="F60" s="117">
        <v>5</v>
      </c>
      <c r="G60" s="117">
        <v>0</v>
      </c>
      <c r="H60" s="117">
        <v>5</v>
      </c>
      <c r="I60" s="117">
        <v>85</v>
      </c>
      <c r="J60" s="117">
        <v>0</v>
      </c>
      <c r="K60" s="117">
        <v>0</v>
      </c>
      <c r="L60" s="117">
        <v>5</v>
      </c>
      <c r="M60" s="267">
        <v>5.5599999999999997E-2</v>
      </c>
      <c r="N60" s="117">
        <v>15</v>
      </c>
      <c r="O60" s="117">
        <v>105</v>
      </c>
      <c r="P60" s="268">
        <v>0</v>
      </c>
      <c r="Q60" s="268">
        <v>105</v>
      </c>
      <c r="R60" s="2" t="s">
        <v>1428</v>
      </c>
    </row>
    <row r="61" spans="1:18" x14ac:dyDescent="0.25">
      <c r="A61" s="2" t="s">
        <v>1438</v>
      </c>
      <c r="B61" s="2" t="s">
        <v>148</v>
      </c>
      <c r="C61" s="2" t="s">
        <v>29</v>
      </c>
      <c r="D61" s="2" t="s">
        <v>115</v>
      </c>
      <c r="E61" s="117">
        <v>11</v>
      </c>
      <c r="F61" s="117">
        <v>0</v>
      </c>
      <c r="G61" s="117">
        <v>0</v>
      </c>
      <c r="H61" s="117">
        <v>0</v>
      </c>
      <c r="I61" s="117">
        <v>15</v>
      </c>
      <c r="J61" s="117">
        <v>0</v>
      </c>
      <c r="K61" s="117">
        <v>0</v>
      </c>
      <c r="L61" s="117">
        <v>0</v>
      </c>
      <c r="M61" s="267">
        <v>0</v>
      </c>
      <c r="N61" s="117">
        <v>0</v>
      </c>
      <c r="O61" s="117">
        <v>0</v>
      </c>
      <c r="P61" s="268">
        <v>0</v>
      </c>
      <c r="Q61" s="268">
        <v>0</v>
      </c>
      <c r="R61" s="2" t="s">
        <v>1428</v>
      </c>
    </row>
    <row r="62" spans="1:18" x14ac:dyDescent="0.25">
      <c r="A62" s="2" t="s">
        <v>1439</v>
      </c>
      <c r="B62" s="2" t="s">
        <v>149</v>
      </c>
      <c r="C62" s="2" t="s">
        <v>29</v>
      </c>
      <c r="D62" s="2" t="s">
        <v>115</v>
      </c>
      <c r="E62" s="117">
        <v>11</v>
      </c>
      <c r="F62" s="117">
        <v>0</v>
      </c>
      <c r="G62" s="117">
        <v>0</v>
      </c>
      <c r="H62" s="117">
        <v>0</v>
      </c>
      <c r="I62" s="117">
        <v>171</v>
      </c>
      <c r="J62" s="117">
        <v>0</v>
      </c>
      <c r="K62" s="117">
        <v>0</v>
      </c>
      <c r="L62" s="117">
        <v>0</v>
      </c>
      <c r="M62" s="267">
        <v>0</v>
      </c>
      <c r="N62" s="117">
        <v>0</v>
      </c>
      <c r="O62" s="117">
        <v>0</v>
      </c>
      <c r="P62" s="268">
        <v>0</v>
      </c>
      <c r="Q62" s="268">
        <v>0</v>
      </c>
      <c r="R62" s="2" t="s">
        <v>1428</v>
      </c>
    </row>
    <row r="63" spans="1:18" x14ac:dyDescent="0.25">
      <c r="A63" s="269"/>
      <c r="B63" s="269"/>
      <c r="C63" s="269" t="s">
        <v>29</v>
      </c>
      <c r="D63" s="269"/>
      <c r="E63" s="269"/>
      <c r="F63" s="270">
        <v>6</v>
      </c>
      <c r="G63" s="270">
        <v>0</v>
      </c>
      <c r="H63" s="270">
        <v>6</v>
      </c>
      <c r="I63" s="270">
        <v>826</v>
      </c>
      <c r="J63" s="270">
        <v>0</v>
      </c>
      <c r="K63" s="270">
        <v>0</v>
      </c>
      <c r="L63" s="270">
        <v>6</v>
      </c>
      <c r="M63" s="271">
        <v>7.1999999999999998E-3</v>
      </c>
      <c r="N63" s="270">
        <v>18</v>
      </c>
      <c r="O63" s="270">
        <v>118</v>
      </c>
      <c r="P63" s="272">
        <v>0</v>
      </c>
      <c r="Q63" s="272">
        <v>118</v>
      </c>
      <c r="R63" s="269" t="s">
        <v>1428</v>
      </c>
    </row>
    <row r="64" spans="1:18" x14ac:dyDescent="0.25">
      <c r="A64" s="2" t="s">
        <v>1440</v>
      </c>
      <c r="B64" s="2" t="s">
        <v>30</v>
      </c>
      <c r="C64" s="2" t="s">
        <v>31</v>
      </c>
      <c r="D64" s="2" t="s">
        <v>5</v>
      </c>
      <c r="E64" s="117">
        <v>8</v>
      </c>
      <c r="F64" s="117">
        <v>0</v>
      </c>
      <c r="G64" s="117">
        <v>0</v>
      </c>
      <c r="H64" s="117">
        <v>0</v>
      </c>
      <c r="I64" s="117">
        <v>416</v>
      </c>
      <c r="J64" s="117">
        <v>0</v>
      </c>
      <c r="K64" s="117">
        <v>0</v>
      </c>
      <c r="L64" s="117">
        <v>0</v>
      </c>
      <c r="M64" s="267">
        <v>0</v>
      </c>
      <c r="N64" s="117">
        <v>0</v>
      </c>
      <c r="O64" s="117">
        <v>0</v>
      </c>
      <c r="P64" s="268">
        <v>0</v>
      </c>
      <c r="Q64" s="268">
        <v>0</v>
      </c>
      <c r="R64" s="2" t="s">
        <v>1390</v>
      </c>
    </row>
    <row r="65" spans="1:18" x14ac:dyDescent="0.25">
      <c r="A65" s="2" t="s">
        <v>1441</v>
      </c>
      <c r="B65" s="2" t="s">
        <v>151</v>
      </c>
      <c r="C65" s="2" t="s">
        <v>31</v>
      </c>
      <c r="D65" s="2" t="s">
        <v>115</v>
      </c>
      <c r="E65" s="117">
        <v>8</v>
      </c>
      <c r="F65" s="117">
        <v>20</v>
      </c>
      <c r="G65" s="117">
        <v>0</v>
      </c>
      <c r="H65" s="117">
        <v>20</v>
      </c>
      <c r="I65" s="117">
        <v>77</v>
      </c>
      <c r="J65" s="117">
        <v>0</v>
      </c>
      <c r="K65" s="117">
        <v>0</v>
      </c>
      <c r="L65" s="117">
        <v>20</v>
      </c>
      <c r="M65" s="267">
        <v>0.20619999999999999</v>
      </c>
      <c r="N65" s="117">
        <v>60</v>
      </c>
      <c r="O65" s="117">
        <v>391</v>
      </c>
      <c r="P65" s="268">
        <v>0</v>
      </c>
      <c r="Q65" s="268">
        <v>391</v>
      </c>
      <c r="R65" s="2" t="s">
        <v>1390</v>
      </c>
    </row>
    <row r="66" spans="1:18" x14ac:dyDescent="0.25">
      <c r="A66" s="2" t="s">
        <v>1442</v>
      </c>
      <c r="B66" s="2" t="s">
        <v>292</v>
      </c>
      <c r="C66" s="2" t="s">
        <v>31</v>
      </c>
      <c r="D66" s="2" t="s">
        <v>115</v>
      </c>
      <c r="E66" s="117">
        <v>8</v>
      </c>
      <c r="F66" s="117">
        <v>0</v>
      </c>
      <c r="G66" s="117">
        <v>0</v>
      </c>
      <c r="H66" s="117">
        <v>0</v>
      </c>
      <c r="I66" s="117">
        <v>1</v>
      </c>
      <c r="J66" s="117">
        <v>0</v>
      </c>
      <c r="K66" s="117">
        <v>0</v>
      </c>
      <c r="L66" s="117">
        <v>0</v>
      </c>
      <c r="M66" s="267">
        <v>0</v>
      </c>
      <c r="N66" s="117">
        <v>0</v>
      </c>
      <c r="O66" s="117">
        <v>0</v>
      </c>
      <c r="P66" s="268">
        <v>0</v>
      </c>
      <c r="Q66" s="268">
        <v>0</v>
      </c>
      <c r="R66" s="2" t="s">
        <v>1390</v>
      </c>
    </row>
    <row r="67" spans="1:18" x14ac:dyDescent="0.25">
      <c r="A67" s="269"/>
      <c r="B67" s="269"/>
      <c r="C67" s="269" t="s">
        <v>31</v>
      </c>
      <c r="D67" s="269"/>
      <c r="E67" s="269"/>
      <c r="F67" s="270">
        <v>20</v>
      </c>
      <c r="G67" s="270">
        <v>0</v>
      </c>
      <c r="H67" s="270">
        <v>20</v>
      </c>
      <c r="I67" s="270">
        <v>494</v>
      </c>
      <c r="J67" s="270">
        <v>0</v>
      </c>
      <c r="K67" s="270">
        <v>0</v>
      </c>
      <c r="L67" s="270">
        <v>20</v>
      </c>
      <c r="M67" s="271">
        <v>3.8899999999999997E-2</v>
      </c>
      <c r="N67" s="270">
        <v>60</v>
      </c>
      <c r="O67" s="270">
        <v>391</v>
      </c>
      <c r="P67" s="272">
        <v>0</v>
      </c>
      <c r="Q67" s="272">
        <v>391</v>
      </c>
      <c r="R67" s="269" t="s">
        <v>1390</v>
      </c>
    </row>
    <row r="68" spans="1:18" x14ac:dyDescent="0.25">
      <c r="A68" s="2" t="s">
        <v>1443</v>
      </c>
      <c r="B68" s="2" t="s">
        <v>32</v>
      </c>
      <c r="C68" s="2" t="s">
        <v>33</v>
      </c>
      <c r="D68" s="2" t="s">
        <v>5</v>
      </c>
      <c r="E68" s="117">
        <v>6</v>
      </c>
      <c r="F68" s="117">
        <v>4</v>
      </c>
      <c r="G68" s="117">
        <v>0</v>
      </c>
      <c r="H68" s="117">
        <v>4</v>
      </c>
      <c r="I68" s="117">
        <v>975</v>
      </c>
      <c r="J68" s="117">
        <v>0</v>
      </c>
      <c r="K68" s="117">
        <v>0</v>
      </c>
      <c r="L68" s="117">
        <v>4</v>
      </c>
      <c r="M68" s="267">
        <v>4.1000000000000003E-3</v>
      </c>
      <c r="N68" s="117">
        <v>12</v>
      </c>
      <c r="O68" s="117">
        <v>7</v>
      </c>
      <c r="P68" s="268">
        <v>0</v>
      </c>
      <c r="Q68" s="268">
        <v>7</v>
      </c>
      <c r="R68" s="2" t="s">
        <v>1390</v>
      </c>
    </row>
    <row r="69" spans="1:18" x14ac:dyDescent="0.25">
      <c r="A69" s="2" t="s">
        <v>1444</v>
      </c>
      <c r="B69" s="2" t="s">
        <v>152</v>
      </c>
      <c r="C69" s="2" t="s">
        <v>33</v>
      </c>
      <c r="D69" s="2" t="s">
        <v>115</v>
      </c>
      <c r="E69" s="117">
        <v>6</v>
      </c>
      <c r="F69" s="117">
        <v>0</v>
      </c>
      <c r="G69" s="117">
        <v>0</v>
      </c>
      <c r="H69" s="117">
        <v>0</v>
      </c>
      <c r="I69" s="117">
        <v>11</v>
      </c>
      <c r="J69" s="117">
        <v>0</v>
      </c>
      <c r="K69" s="117">
        <v>0</v>
      </c>
      <c r="L69" s="117">
        <v>0</v>
      </c>
      <c r="M69" s="267">
        <v>0</v>
      </c>
      <c r="N69" s="117">
        <v>0</v>
      </c>
      <c r="O69" s="117">
        <v>0</v>
      </c>
      <c r="P69" s="268">
        <v>0</v>
      </c>
      <c r="Q69" s="268">
        <v>0</v>
      </c>
      <c r="R69" s="2" t="s">
        <v>1390</v>
      </c>
    </row>
    <row r="70" spans="1:18" x14ac:dyDescent="0.25">
      <c r="A70" s="2" t="s">
        <v>1445</v>
      </c>
      <c r="B70" s="2" t="s">
        <v>153</v>
      </c>
      <c r="C70" s="2" t="s">
        <v>33</v>
      </c>
      <c r="D70" s="2" t="s">
        <v>115</v>
      </c>
      <c r="E70" s="117">
        <v>6</v>
      </c>
      <c r="F70" s="117">
        <v>0</v>
      </c>
      <c r="G70" s="117">
        <v>0</v>
      </c>
      <c r="H70" s="117">
        <v>0</v>
      </c>
      <c r="I70" s="117">
        <v>89</v>
      </c>
      <c r="J70" s="117">
        <v>0</v>
      </c>
      <c r="K70" s="117">
        <v>0</v>
      </c>
      <c r="L70" s="117">
        <v>0</v>
      </c>
      <c r="M70" s="267">
        <v>0</v>
      </c>
      <c r="N70" s="117">
        <v>0</v>
      </c>
      <c r="O70" s="117">
        <v>0</v>
      </c>
      <c r="P70" s="268">
        <v>0</v>
      </c>
      <c r="Q70" s="268">
        <v>0</v>
      </c>
      <c r="R70" s="2" t="s">
        <v>1390</v>
      </c>
    </row>
    <row r="71" spans="1:18" x14ac:dyDescent="0.25">
      <c r="A71" s="2" t="s">
        <v>1446</v>
      </c>
      <c r="B71" s="2" t="s">
        <v>154</v>
      </c>
      <c r="C71" s="2" t="s">
        <v>33</v>
      </c>
      <c r="D71" s="2" t="s">
        <v>115</v>
      </c>
      <c r="E71" s="117">
        <v>6</v>
      </c>
      <c r="F71" s="117">
        <v>2</v>
      </c>
      <c r="G71" s="117">
        <v>0</v>
      </c>
      <c r="H71" s="117">
        <v>2</v>
      </c>
      <c r="I71" s="117">
        <v>247</v>
      </c>
      <c r="J71" s="117">
        <v>0</v>
      </c>
      <c r="K71" s="117">
        <v>0</v>
      </c>
      <c r="L71" s="117">
        <v>2</v>
      </c>
      <c r="M71" s="267">
        <v>8.0000000000000002E-3</v>
      </c>
      <c r="N71" s="117">
        <v>6</v>
      </c>
      <c r="O71" s="117">
        <v>15</v>
      </c>
      <c r="P71" s="268">
        <v>0</v>
      </c>
      <c r="Q71" s="268">
        <v>15</v>
      </c>
      <c r="R71" s="2" t="s">
        <v>1390</v>
      </c>
    </row>
    <row r="72" spans="1:18" x14ac:dyDescent="0.25">
      <c r="A72" s="2" t="s">
        <v>1447</v>
      </c>
      <c r="B72" s="2" t="s">
        <v>155</v>
      </c>
      <c r="C72" s="2" t="s">
        <v>33</v>
      </c>
      <c r="D72" s="2" t="s">
        <v>115</v>
      </c>
      <c r="E72" s="117">
        <v>6</v>
      </c>
      <c r="F72" s="117">
        <v>0</v>
      </c>
      <c r="G72" s="117">
        <v>0</v>
      </c>
      <c r="H72" s="117">
        <v>0</v>
      </c>
      <c r="I72" s="117">
        <v>77</v>
      </c>
      <c r="J72" s="117">
        <v>0</v>
      </c>
      <c r="K72" s="117">
        <v>0</v>
      </c>
      <c r="L72" s="117">
        <v>0</v>
      </c>
      <c r="M72" s="267">
        <v>0</v>
      </c>
      <c r="N72" s="117">
        <v>0</v>
      </c>
      <c r="O72" s="117">
        <v>0</v>
      </c>
      <c r="P72" s="268">
        <v>0</v>
      </c>
      <c r="Q72" s="268">
        <v>0</v>
      </c>
      <c r="R72" s="2" t="s">
        <v>1390</v>
      </c>
    </row>
    <row r="73" spans="1:18" x14ac:dyDescent="0.25">
      <c r="A73" s="2" t="s">
        <v>1448</v>
      </c>
      <c r="B73" s="2" t="s">
        <v>156</v>
      </c>
      <c r="C73" s="2" t="s">
        <v>33</v>
      </c>
      <c r="D73" s="2" t="s">
        <v>115</v>
      </c>
      <c r="E73" s="117">
        <v>6</v>
      </c>
      <c r="F73" s="117">
        <v>7</v>
      </c>
      <c r="G73" s="117">
        <v>0</v>
      </c>
      <c r="H73" s="117">
        <v>7</v>
      </c>
      <c r="I73" s="117">
        <v>44</v>
      </c>
      <c r="J73" s="117">
        <v>0</v>
      </c>
      <c r="K73" s="117">
        <v>0</v>
      </c>
      <c r="L73" s="117">
        <v>7</v>
      </c>
      <c r="M73" s="267">
        <v>0.13730000000000001</v>
      </c>
      <c r="N73" s="117">
        <v>21</v>
      </c>
      <c r="O73" s="117">
        <v>260</v>
      </c>
      <c r="P73" s="268">
        <v>0</v>
      </c>
      <c r="Q73" s="268">
        <v>260</v>
      </c>
      <c r="R73" s="2" t="s">
        <v>1390</v>
      </c>
    </row>
    <row r="74" spans="1:18" x14ac:dyDescent="0.25">
      <c r="A74" s="2" t="s">
        <v>1449</v>
      </c>
      <c r="B74" s="2" t="s">
        <v>157</v>
      </c>
      <c r="C74" s="2" t="s">
        <v>33</v>
      </c>
      <c r="D74" s="2" t="s">
        <v>115</v>
      </c>
      <c r="E74" s="117">
        <v>6</v>
      </c>
      <c r="F74" s="117">
        <v>0</v>
      </c>
      <c r="G74" s="117">
        <v>0</v>
      </c>
      <c r="H74" s="117">
        <v>0</v>
      </c>
      <c r="I74" s="117">
        <v>36</v>
      </c>
      <c r="J74" s="117">
        <v>0</v>
      </c>
      <c r="K74" s="117">
        <v>0</v>
      </c>
      <c r="L74" s="117">
        <v>0</v>
      </c>
      <c r="M74" s="267">
        <v>0</v>
      </c>
      <c r="N74" s="117">
        <v>0</v>
      </c>
      <c r="O74" s="117">
        <v>0</v>
      </c>
      <c r="P74" s="268">
        <v>0</v>
      </c>
      <c r="Q74" s="268">
        <v>0</v>
      </c>
      <c r="R74" s="2" t="s">
        <v>1390</v>
      </c>
    </row>
    <row r="75" spans="1:18" x14ac:dyDescent="0.25">
      <c r="A75" s="2" t="s">
        <v>1450</v>
      </c>
      <c r="B75" s="2" t="s">
        <v>158</v>
      </c>
      <c r="C75" s="2" t="s">
        <v>33</v>
      </c>
      <c r="D75" s="2" t="s">
        <v>115</v>
      </c>
      <c r="E75" s="117">
        <v>6</v>
      </c>
      <c r="F75" s="117">
        <v>6</v>
      </c>
      <c r="G75" s="117">
        <v>0</v>
      </c>
      <c r="H75" s="117">
        <v>6</v>
      </c>
      <c r="I75" s="117">
        <v>64</v>
      </c>
      <c r="J75" s="117">
        <v>0</v>
      </c>
      <c r="K75" s="117">
        <v>0</v>
      </c>
      <c r="L75" s="117">
        <v>6</v>
      </c>
      <c r="M75" s="267">
        <v>8.5699999999999998E-2</v>
      </c>
      <c r="N75" s="117">
        <v>18</v>
      </c>
      <c r="O75" s="117">
        <v>162</v>
      </c>
      <c r="P75" s="268">
        <v>0</v>
      </c>
      <c r="Q75" s="268">
        <v>162</v>
      </c>
      <c r="R75" s="2" t="s">
        <v>1390</v>
      </c>
    </row>
    <row r="76" spans="1:18" x14ac:dyDescent="0.25">
      <c r="A76" s="2" t="s">
        <v>1451</v>
      </c>
      <c r="B76" s="2" t="s">
        <v>159</v>
      </c>
      <c r="C76" s="2" t="s">
        <v>33</v>
      </c>
      <c r="D76" s="2" t="s">
        <v>115</v>
      </c>
      <c r="E76" s="117">
        <v>6</v>
      </c>
      <c r="F76" s="117">
        <v>0</v>
      </c>
      <c r="G76" s="117">
        <v>0</v>
      </c>
      <c r="H76" s="117">
        <v>0</v>
      </c>
      <c r="I76" s="117">
        <v>16</v>
      </c>
      <c r="J76" s="117">
        <v>0</v>
      </c>
      <c r="K76" s="117">
        <v>0</v>
      </c>
      <c r="L76" s="117">
        <v>0</v>
      </c>
      <c r="M76" s="267">
        <v>0</v>
      </c>
      <c r="N76" s="117">
        <v>0</v>
      </c>
      <c r="O76" s="117">
        <v>0</v>
      </c>
      <c r="P76" s="268">
        <v>0</v>
      </c>
      <c r="Q76" s="268">
        <v>0</v>
      </c>
      <c r="R76" s="2" t="s">
        <v>1390</v>
      </c>
    </row>
    <row r="77" spans="1:18" x14ac:dyDescent="0.25">
      <c r="A77" s="2" t="s">
        <v>1452</v>
      </c>
      <c r="B77" s="2" t="s">
        <v>160</v>
      </c>
      <c r="C77" s="2" t="s">
        <v>33</v>
      </c>
      <c r="D77" s="2" t="s">
        <v>115</v>
      </c>
      <c r="E77" s="117">
        <v>6</v>
      </c>
      <c r="F77" s="117">
        <v>0</v>
      </c>
      <c r="G77" s="117">
        <v>0</v>
      </c>
      <c r="H77" s="117">
        <v>0</v>
      </c>
      <c r="I77" s="117">
        <v>0</v>
      </c>
      <c r="J77" s="117">
        <v>0</v>
      </c>
      <c r="K77" s="117">
        <v>0</v>
      </c>
      <c r="L77" s="117">
        <v>0</v>
      </c>
      <c r="M77" s="267" t="s">
        <v>488</v>
      </c>
      <c r="N77" s="117">
        <v>0</v>
      </c>
      <c r="O77" s="117">
        <v>0</v>
      </c>
      <c r="P77" s="268">
        <v>0</v>
      </c>
      <c r="Q77" s="268">
        <v>0</v>
      </c>
      <c r="R77" s="2" t="s">
        <v>1390</v>
      </c>
    </row>
    <row r="78" spans="1:18" x14ac:dyDescent="0.25">
      <c r="A78" s="2" t="s">
        <v>1453</v>
      </c>
      <c r="B78" s="2" t="s">
        <v>289</v>
      </c>
      <c r="C78" s="2" t="s">
        <v>33</v>
      </c>
      <c r="D78" s="2" t="s">
        <v>115</v>
      </c>
      <c r="E78" s="117">
        <v>6</v>
      </c>
      <c r="F78" s="117">
        <v>0</v>
      </c>
      <c r="G78" s="117">
        <v>0</v>
      </c>
      <c r="H78" s="117">
        <v>0</v>
      </c>
      <c r="I78" s="117">
        <v>54</v>
      </c>
      <c r="J78" s="117">
        <v>0</v>
      </c>
      <c r="K78" s="117">
        <v>0</v>
      </c>
      <c r="L78" s="117">
        <v>0</v>
      </c>
      <c r="M78" s="267">
        <v>0</v>
      </c>
      <c r="N78" s="117">
        <v>0</v>
      </c>
      <c r="O78" s="117">
        <v>0</v>
      </c>
      <c r="P78" s="268">
        <v>0</v>
      </c>
      <c r="Q78" s="268">
        <v>0</v>
      </c>
      <c r="R78" s="2" t="s">
        <v>1390</v>
      </c>
    </row>
    <row r="79" spans="1:18" x14ac:dyDescent="0.25">
      <c r="A79" s="269"/>
      <c r="B79" s="269"/>
      <c r="C79" s="269" t="s">
        <v>33</v>
      </c>
      <c r="D79" s="269"/>
      <c r="E79" s="269"/>
      <c r="F79" s="270">
        <v>19</v>
      </c>
      <c r="G79" s="270">
        <v>0</v>
      </c>
      <c r="H79" s="270">
        <v>19</v>
      </c>
      <c r="I79" s="270">
        <v>1613</v>
      </c>
      <c r="J79" s="270">
        <v>0</v>
      </c>
      <c r="K79" s="270">
        <v>0</v>
      </c>
      <c r="L79" s="270">
        <v>19</v>
      </c>
      <c r="M79" s="271">
        <v>1.1599999999999999E-2</v>
      </c>
      <c r="N79" s="270">
        <v>57</v>
      </c>
      <c r="O79" s="270">
        <v>444</v>
      </c>
      <c r="P79" s="272">
        <v>0</v>
      </c>
      <c r="Q79" s="272">
        <v>444</v>
      </c>
      <c r="R79" s="269" t="s">
        <v>1390</v>
      </c>
    </row>
    <row r="80" spans="1:18" x14ac:dyDescent="0.25">
      <c r="A80" s="2" t="s">
        <v>1454</v>
      </c>
      <c r="B80" s="2" t="s">
        <v>34</v>
      </c>
      <c r="C80" s="2" t="s">
        <v>35</v>
      </c>
      <c r="D80" s="2" t="s">
        <v>5</v>
      </c>
      <c r="E80" s="117">
        <v>5</v>
      </c>
      <c r="F80" s="117">
        <v>12</v>
      </c>
      <c r="G80" s="117">
        <v>0</v>
      </c>
      <c r="H80" s="117">
        <v>12</v>
      </c>
      <c r="I80" s="117">
        <v>869</v>
      </c>
      <c r="J80" s="117">
        <v>0</v>
      </c>
      <c r="K80" s="117">
        <v>0</v>
      </c>
      <c r="L80" s="117">
        <v>12</v>
      </c>
      <c r="M80" s="267">
        <v>1.3599999999999999E-2</v>
      </c>
      <c r="N80" s="117">
        <v>36</v>
      </c>
      <c r="O80" s="117">
        <v>25</v>
      </c>
      <c r="P80" s="268">
        <v>0</v>
      </c>
      <c r="Q80" s="268">
        <v>25</v>
      </c>
      <c r="R80" s="2" t="s">
        <v>1390</v>
      </c>
    </row>
    <row r="81" spans="1:18" x14ac:dyDescent="0.25">
      <c r="A81" s="2" t="s">
        <v>1455</v>
      </c>
      <c r="B81" s="2" t="s">
        <v>161</v>
      </c>
      <c r="C81" s="2" t="s">
        <v>35</v>
      </c>
      <c r="D81" s="2" t="s">
        <v>115</v>
      </c>
      <c r="E81" s="117">
        <v>5</v>
      </c>
      <c r="F81" s="117">
        <v>0</v>
      </c>
      <c r="G81" s="117">
        <v>0</v>
      </c>
      <c r="H81" s="117">
        <v>0</v>
      </c>
      <c r="I81" s="117">
        <v>14</v>
      </c>
      <c r="J81" s="117">
        <v>0</v>
      </c>
      <c r="K81" s="117">
        <v>0</v>
      </c>
      <c r="L81" s="117">
        <v>0</v>
      </c>
      <c r="M81" s="267">
        <v>0</v>
      </c>
      <c r="N81" s="117">
        <v>0</v>
      </c>
      <c r="O81" s="117">
        <v>0</v>
      </c>
      <c r="P81" s="268">
        <v>0</v>
      </c>
      <c r="Q81" s="268">
        <v>0</v>
      </c>
      <c r="R81" s="2" t="s">
        <v>1390</v>
      </c>
    </row>
    <row r="82" spans="1:18" x14ac:dyDescent="0.25">
      <c r="A82" s="2" t="s">
        <v>1456</v>
      </c>
      <c r="B82" s="2" t="s">
        <v>288</v>
      </c>
      <c r="C82" s="2" t="s">
        <v>35</v>
      </c>
      <c r="D82" s="2" t="s">
        <v>115</v>
      </c>
      <c r="E82" s="117">
        <v>5</v>
      </c>
      <c r="F82" s="117">
        <v>0</v>
      </c>
      <c r="G82" s="117">
        <v>0</v>
      </c>
      <c r="H82" s="117">
        <v>0</v>
      </c>
      <c r="I82" s="117">
        <v>142</v>
      </c>
      <c r="J82" s="117">
        <v>0</v>
      </c>
      <c r="K82" s="117">
        <v>0</v>
      </c>
      <c r="L82" s="117">
        <v>0</v>
      </c>
      <c r="M82" s="267">
        <v>0</v>
      </c>
      <c r="N82" s="117">
        <v>0</v>
      </c>
      <c r="O82" s="117">
        <v>0</v>
      </c>
      <c r="P82" s="268">
        <v>0</v>
      </c>
      <c r="Q82" s="268">
        <v>0</v>
      </c>
      <c r="R82" s="2" t="s">
        <v>1390</v>
      </c>
    </row>
    <row r="83" spans="1:18" x14ac:dyDescent="0.25">
      <c r="A83" s="269"/>
      <c r="B83" s="269"/>
      <c r="C83" s="269" t="s">
        <v>35</v>
      </c>
      <c r="D83" s="269"/>
      <c r="E83" s="269"/>
      <c r="F83" s="270">
        <v>12</v>
      </c>
      <c r="G83" s="270">
        <v>0</v>
      </c>
      <c r="H83" s="270">
        <v>12</v>
      </c>
      <c r="I83" s="270">
        <v>1025</v>
      </c>
      <c r="J83" s="270">
        <v>0</v>
      </c>
      <c r="K83" s="270">
        <v>0</v>
      </c>
      <c r="L83" s="270">
        <v>12</v>
      </c>
      <c r="M83" s="271">
        <v>1.1599999999999999E-2</v>
      </c>
      <c r="N83" s="270">
        <v>36</v>
      </c>
      <c r="O83" s="270">
        <v>25</v>
      </c>
      <c r="P83" s="272">
        <v>0</v>
      </c>
      <c r="Q83" s="272">
        <v>25</v>
      </c>
      <c r="R83" s="269" t="s">
        <v>1390</v>
      </c>
    </row>
    <row r="84" spans="1:18" x14ac:dyDescent="0.25">
      <c r="A84" s="2" t="s">
        <v>1457</v>
      </c>
      <c r="B84" s="2" t="s">
        <v>36</v>
      </c>
      <c r="C84" s="2" t="s">
        <v>37</v>
      </c>
      <c r="D84" s="2" t="s">
        <v>5</v>
      </c>
      <c r="E84" s="117">
        <v>9</v>
      </c>
      <c r="F84" s="117">
        <v>0</v>
      </c>
      <c r="G84" s="117">
        <v>0</v>
      </c>
      <c r="H84" s="117">
        <v>0</v>
      </c>
      <c r="I84" s="117">
        <v>448</v>
      </c>
      <c r="J84" s="117">
        <v>0</v>
      </c>
      <c r="K84" s="117">
        <v>0</v>
      </c>
      <c r="L84" s="117">
        <v>0</v>
      </c>
      <c r="M84" s="267">
        <v>0</v>
      </c>
      <c r="N84" s="117">
        <v>0</v>
      </c>
      <c r="O84" s="117">
        <v>0</v>
      </c>
      <c r="P84" s="268">
        <v>0</v>
      </c>
      <c r="Q84" s="268">
        <v>0</v>
      </c>
      <c r="R84" s="2" t="s">
        <v>1428</v>
      </c>
    </row>
    <row r="85" spans="1:18" x14ac:dyDescent="0.25">
      <c r="A85" s="2" t="s">
        <v>1458</v>
      </c>
      <c r="B85" s="2" t="s">
        <v>135</v>
      </c>
      <c r="C85" s="2" t="s">
        <v>37</v>
      </c>
      <c r="D85" s="2" t="s">
        <v>115</v>
      </c>
      <c r="E85" s="117">
        <v>9</v>
      </c>
      <c r="F85" s="117">
        <v>0</v>
      </c>
      <c r="G85" s="117">
        <v>0</v>
      </c>
      <c r="H85" s="117">
        <v>0</v>
      </c>
      <c r="I85" s="117">
        <v>0</v>
      </c>
      <c r="J85" s="117">
        <v>0</v>
      </c>
      <c r="K85" s="117">
        <v>0</v>
      </c>
      <c r="L85" s="117">
        <v>0</v>
      </c>
      <c r="M85" s="267" t="s">
        <v>488</v>
      </c>
      <c r="N85" s="117">
        <v>0</v>
      </c>
      <c r="O85" s="117">
        <v>0</v>
      </c>
      <c r="P85" s="268">
        <v>0</v>
      </c>
      <c r="Q85" s="268">
        <v>0</v>
      </c>
      <c r="R85" s="2" t="s">
        <v>1428</v>
      </c>
    </row>
    <row r="86" spans="1:18" x14ac:dyDescent="0.25">
      <c r="A86" s="2" t="s">
        <v>1459</v>
      </c>
      <c r="B86" s="2" t="s">
        <v>162</v>
      </c>
      <c r="C86" s="2" t="s">
        <v>37</v>
      </c>
      <c r="D86" s="2" t="s">
        <v>115</v>
      </c>
      <c r="E86" s="117">
        <v>9</v>
      </c>
      <c r="F86" s="117">
        <v>0</v>
      </c>
      <c r="G86" s="117">
        <v>0</v>
      </c>
      <c r="H86" s="117">
        <v>0</v>
      </c>
      <c r="I86" s="117">
        <v>19</v>
      </c>
      <c r="J86" s="117">
        <v>0</v>
      </c>
      <c r="K86" s="117">
        <v>0</v>
      </c>
      <c r="L86" s="117">
        <v>0</v>
      </c>
      <c r="M86" s="267">
        <v>0</v>
      </c>
      <c r="N86" s="117">
        <v>0</v>
      </c>
      <c r="O86" s="117">
        <v>0</v>
      </c>
      <c r="P86" s="268">
        <v>0</v>
      </c>
      <c r="Q86" s="268">
        <v>0</v>
      </c>
      <c r="R86" s="2" t="s">
        <v>1428</v>
      </c>
    </row>
    <row r="87" spans="1:18" x14ac:dyDescent="0.25">
      <c r="A87" s="2" t="s">
        <v>1460</v>
      </c>
      <c r="B87" s="2" t="s">
        <v>163</v>
      </c>
      <c r="C87" s="2" t="s">
        <v>37</v>
      </c>
      <c r="D87" s="2" t="s">
        <v>115</v>
      </c>
      <c r="E87" s="117">
        <v>9</v>
      </c>
      <c r="F87" s="117">
        <v>0</v>
      </c>
      <c r="G87" s="117">
        <v>0</v>
      </c>
      <c r="H87" s="117">
        <v>0</v>
      </c>
      <c r="I87" s="117">
        <v>1</v>
      </c>
      <c r="J87" s="117">
        <v>0</v>
      </c>
      <c r="K87" s="117">
        <v>0</v>
      </c>
      <c r="L87" s="117">
        <v>0</v>
      </c>
      <c r="M87" s="267">
        <v>0</v>
      </c>
      <c r="N87" s="117">
        <v>0</v>
      </c>
      <c r="O87" s="117">
        <v>0</v>
      </c>
      <c r="P87" s="268">
        <v>0</v>
      </c>
      <c r="Q87" s="268">
        <v>0</v>
      </c>
      <c r="R87" s="2" t="s">
        <v>1428</v>
      </c>
    </row>
    <row r="88" spans="1:18" x14ac:dyDescent="0.25">
      <c r="A88" s="2" t="s">
        <v>1461</v>
      </c>
      <c r="B88" s="2" t="s">
        <v>164</v>
      </c>
      <c r="C88" s="2" t="s">
        <v>37</v>
      </c>
      <c r="D88" s="2" t="s">
        <v>115</v>
      </c>
      <c r="E88" s="117">
        <v>9</v>
      </c>
      <c r="F88" s="117">
        <v>0</v>
      </c>
      <c r="G88" s="117">
        <v>0</v>
      </c>
      <c r="H88" s="117">
        <v>0</v>
      </c>
      <c r="I88" s="117">
        <v>77</v>
      </c>
      <c r="J88" s="117">
        <v>0</v>
      </c>
      <c r="K88" s="117">
        <v>0</v>
      </c>
      <c r="L88" s="117">
        <v>0</v>
      </c>
      <c r="M88" s="267">
        <v>0</v>
      </c>
      <c r="N88" s="117">
        <v>0</v>
      </c>
      <c r="O88" s="117">
        <v>0</v>
      </c>
      <c r="P88" s="268">
        <v>0</v>
      </c>
      <c r="Q88" s="268">
        <v>0</v>
      </c>
      <c r="R88" s="2" t="s">
        <v>1428</v>
      </c>
    </row>
    <row r="89" spans="1:18" x14ac:dyDescent="0.25">
      <c r="A89" s="2" t="s">
        <v>1462</v>
      </c>
      <c r="B89" s="2" t="s">
        <v>165</v>
      </c>
      <c r="C89" s="2" t="s">
        <v>37</v>
      </c>
      <c r="D89" s="2" t="s">
        <v>115</v>
      </c>
      <c r="E89" s="117">
        <v>9</v>
      </c>
      <c r="F89" s="117">
        <v>0</v>
      </c>
      <c r="G89" s="117">
        <v>0</v>
      </c>
      <c r="H89" s="117">
        <v>0</v>
      </c>
      <c r="I89" s="117">
        <v>65</v>
      </c>
      <c r="J89" s="117">
        <v>0</v>
      </c>
      <c r="K89" s="117">
        <v>0</v>
      </c>
      <c r="L89" s="117">
        <v>0</v>
      </c>
      <c r="M89" s="267">
        <v>0</v>
      </c>
      <c r="N89" s="117">
        <v>0</v>
      </c>
      <c r="O89" s="117">
        <v>0</v>
      </c>
      <c r="P89" s="268">
        <v>0</v>
      </c>
      <c r="Q89" s="268">
        <v>0</v>
      </c>
      <c r="R89" s="2" t="s">
        <v>1428</v>
      </c>
    </row>
    <row r="90" spans="1:18" x14ac:dyDescent="0.25">
      <c r="A90" s="269"/>
      <c r="B90" s="269"/>
      <c r="C90" s="269" t="s">
        <v>37</v>
      </c>
      <c r="D90" s="269"/>
      <c r="E90" s="269"/>
      <c r="F90" s="270">
        <v>0</v>
      </c>
      <c r="G90" s="270">
        <v>0</v>
      </c>
      <c r="H90" s="270">
        <v>0</v>
      </c>
      <c r="I90" s="270">
        <v>1220</v>
      </c>
      <c r="J90" s="270">
        <v>0</v>
      </c>
      <c r="K90" s="270">
        <v>0</v>
      </c>
      <c r="L90" s="270">
        <v>0</v>
      </c>
      <c r="M90" s="271">
        <v>0</v>
      </c>
      <c r="N90" s="270">
        <v>0</v>
      </c>
      <c r="O90" s="270">
        <v>0</v>
      </c>
      <c r="P90" s="272">
        <v>0</v>
      </c>
      <c r="Q90" s="272">
        <v>0</v>
      </c>
      <c r="R90" s="269" t="s">
        <v>1428</v>
      </c>
    </row>
    <row r="91" spans="1:18" x14ac:dyDescent="0.25">
      <c r="A91" s="2" t="s">
        <v>1463</v>
      </c>
      <c r="B91" s="2" t="s">
        <v>38</v>
      </c>
      <c r="C91" s="2" t="s">
        <v>39</v>
      </c>
      <c r="D91" s="2" t="s">
        <v>5</v>
      </c>
      <c r="E91" s="117">
        <v>3</v>
      </c>
      <c r="F91" s="117">
        <v>21</v>
      </c>
      <c r="G91" s="117">
        <v>0</v>
      </c>
      <c r="H91" s="117">
        <v>21</v>
      </c>
      <c r="I91" s="117">
        <v>7035</v>
      </c>
      <c r="J91" s="117">
        <v>0</v>
      </c>
      <c r="K91" s="117">
        <v>0</v>
      </c>
      <c r="L91" s="117">
        <v>21</v>
      </c>
      <c r="M91" s="267">
        <v>3.0000000000000001E-3</v>
      </c>
      <c r="N91" s="117">
        <v>63</v>
      </c>
      <c r="O91" s="117">
        <v>5</v>
      </c>
      <c r="P91" s="268">
        <v>0</v>
      </c>
      <c r="Q91" s="268">
        <v>5</v>
      </c>
      <c r="R91" s="2" t="s">
        <v>1390</v>
      </c>
    </row>
    <row r="92" spans="1:18" x14ac:dyDescent="0.25">
      <c r="A92" s="2" t="s">
        <v>1464</v>
      </c>
      <c r="B92" s="2" t="s">
        <v>134</v>
      </c>
      <c r="C92" s="2" t="s">
        <v>39</v>
      </c>
      <c r="D92" s="2" t="s">
        <v>115</v>
      </c>
      <c r="E92" s="117">
        <v>3</v>
      </c>
      <c r="F92" s="117">
        <v>0</v>
      </c>
      <c r="G92" s="117">
        <v>0</v>
      </c>
      <c r="H92" s="117">
        <v>0</v>
      </c>
      <c r="I92" s="117">
        <v>19</v>
      </c>
      <c r="J92" s="117">
        <v>0</v>
      </c>
      <c r="K92" s="117">
        <v>0</v>
      </c>
      <c r="L92" s="117">
        <v>0</v>
      </c>
      <c r="M92" s="267">
        <v>0</v>
      </c>
      <c r="N92" s="117">
        <v>0</v>
      </c>
      <c r="O92" s="117">
        <v>0</v>
      </c>
      <c r="P92" s="268">
        <v>0</v>
      </c>
      <c r="Q92" s="268">
        <v>0</v>
      </c>
      <c r="R92" s="2" t="s">
        <v>1390</v>
      </c>
    </row>
    <row r="93" spans="1:18" x14ac:dyDescent="0.25">
      <c r="A93" s="2" t="s">
        <v>1465</v>
      </c>
      <c r="B93" s="2" t="s">
        <v>166</v>
      </c>
      <c r="C93" s="2" t="s">
        <v>39</v>
      </c>
      <c r="D93" s="2" t="s">
        <v>115</v>
      </c>
      <c r="E93" s="117">
        <v>3</v>
      </c>
      <c r="F93" s="117">
        <v>0</v>
      </c>
      <c r="G93" s="117">
        <v>0</v>
      </c>
      <c r="H93" s="117">
        <v>0</v>
      </c>
      <c r="I93" s="117">
        <v>91</v>
      </c>
      <c r="J93" s="117">
        <v>0</v>
      </c>
      <c r="K93" s="117">
        <v>0</v>
      </c>
      <c r="L93" s="117">
        <v>0</v>
      </c>
      <c r="M93" s="267">
        <v>0</v>
      </c>
      <c r="N93" s="117">
        <v>0</v>
      </c>
      <c r="O93" s="117">
        <v>0</v>
      </c>
      <c r="P93" s="268">
        <v>0</v>
      </c>
      <c r="Q93" s="268">
        <v>0</v>
      </c>
      <c r="R93" s="2" t="s">
        <v>1390</v>
      </c>
    </row>
    <row r="94" spans="1:18" x14ac:dyDescent="0.25">
      <c r="A94" s="2" t="s">
        <v>1466</v>
      </c>
      <c r="B94" s="2" t="s">
        <v>167</v>
      </c>
      <c r="C94" s="2" t="s">
        <v>39</v>
      </c>
      <c r="D94" s="2" t="s">
        <v>115</v>
      </c>
      <c r="E94" s="117">
        <v>3</v>
      </c>
      <c r="F94" s="117">
        <v>0</v>
      </c>
      <c r="G94" s="117">
        <v>0</v>
      </c>
      <c r="H94" s="117">
        <v>0</v>
      </c>
      <c r="I94" s="117">
        <v>63</v>
      </c>
      <c r="J94" s="117">
        <v>0</v>
      </c>
      <c r="K94" s="117">
        <v>0</v>
      </c>
      <c r="L94" s="117">
        <v>0</v>
      </c>
      <c r="M94" s="267">
        <v>0</v>
      </c>
      <c r="N94" s="117">
        <v>0</v>
      </c>
      <c r="O94" s="117">
        <v>0</v>
      </c>
      <c r="P94" s="268">
        <v>0</v>
      </c>
      <c r="Q94" s="268">
        <v>0</v>
      </c>
      <c r="R94" s="2" t="s">
        <v>1390</v>
      </c>
    </row>
    <row r="95" spans="1:18" x14ac:dyDescent="0.25">
      <c r="A95" s="2" t="s">
        <v>1467</v>
      </c>
      <c r="B95" s="2" t="s">
        <v>168</v>
      </c>
      <c r="C95" s="2" t="s">
        <v>39</v>
      </c>
      <c r="D95" s="2" t="s">
        <v>115</v>
      </c>
      <c r="E95" s="117">
        <v>3</v>
      </c>
      <c r="F95" s="117">
        <v>7</v>
      </c>
      <c r="G95" s="117">
        <v>0</v>
      </c>
      <c r="H95" s="117">
        <v>7</v>
      </c>
      <c r="I95" s="117">
        <v>1596</v>
      </c>
      <c r="J95" s="117">
        <v>0</v>
      </c>
      <c r="K95" s="117">
        <v>0</v>
      </c>
      <c r="L95" s="117">
        <v>7</v>
      </c>
      <c r="M95" s="267">
        <v>4.4000000000000003E-3</v>
      </c>
      <c r="N95" s="117">
        <v>21</v>
      </c>
      <c r="O95" s="117">
        <v>8</v>
      </c>
      <c r="P95" s="268">
        <v>0</v>
      </c>
      <c r="Q95" s="268">
        <v>8</v>
      </c>
      <c r="R95" s="2" t="s">
        <v>1390</v>
      </c>
    </row>
    <row r="96" spans="1:18" x14ac:dyDescent="0.25">
      <c r="A96" s="2" t="s">
        <v>1468</v>
      </c>
      <c r="B96" s="2" t="s">
        <v>169</v>
      </c>
      <c r="C96" s="2" t="s">
        <v>39</v>
      </c>
      <c r="D96" s="2" t="s">
        <v>115</v>
      </c>
      <c r="E96" s="117">
        <v>3</v>
      </c>
      <c r="F96" s="117">
        <v>0</v>
      </c>
      <c r="G96" s="117">
        <v>0</v>
      </c>
      <c r="H96" s="117">
        <v>0</v>
      </c>
      <c r="I96" s="117">
        <v>146</v>
      </c>
      <c r="J96" s="117">
        <v>0</v>
      </c>
      <c r="K96" s="117">
        <v>0</v>
      </c>
      <c r="L96" s="117">
        <v>0</v>
      </c>
      <c r="M96" s="267">
        <v>0</v>
      </c>
      <c r="N96" s="117">
        <v>0</v>
      </c>
      <c r="O96" s="117">
        <v>0</v>
      </c>
      <c r="P96" s="268">
        <v>0</v>
      </c>
      <c r="Q96" s="268">
        <v>0</v>
      </c>
      <c r="R96" s="2" t="s">
        <v>1390</v>
      </c>
    </row>
    <row r="97" spans="1:18" x14ac:dyDescent="0.25">
      <c r="A97" s="2" t="s">
        <v>1469</v>
      </c>
      <c r="B97" s="2" t="s">
        <v>170</v>
      </c>
      <c r="C97" s="2" t="s">
        <v>39</v>
      </c>
      <c r="D97" s="2" t="s">
        <v>115</v>
      </c>
      <c r="E97" s="117">
        <v>3</v>
      </c>
      <c r="F97" s="117">
        <v>3</v>
      </c>
      <c r="G97" s="117">
        <v>0</v>
      </c>
      <c r="H97" s="117">
        <v>3</v>
      </c>
      <c r="I97" s="117">
        <v>362</v>
      </c>
      <c r="J97" s="117">
        <v>0</v>
      </c>
      <c r="K97" s="117">
        <v>0</v>
      </c>
      <c r="L97" s="117">
        <v>3</v>
      </c>
      <c r="M97" s="267">
        <v>8.2000000000000007E-3</v>
      </c>
      <c r="N97" s="117">
        <v>9</v>
      </c>
      <c r="O97" s="117">
        <v>15</v>
      </c>
      <c r="P97" s="268">
        <v>0</v>
      </c>
      <c r="Q97" s="268">
        <v>15</v>
      </c>
      <c r="R97" s="2" t="s">
        <v>1390</v>
      </c>
    </row>
    <row r="98" spans="1:18" x14ac:dyDescent="0.25">
      <c r="A98" s="2" t="s">
        <v>1470</v>
      </c>
      <c r="B98" s="2" t="s">
        <v>171</v>
      </c>
      <c r="C98" s="2" t="s">
        <v>39</v>
      </c>
      <c r="D98" s="2" t="s">
        <v>115</v>
      </c>
      <c r="E98" s="117">
        <v>3</v>
      </c>
      <c r="F98" s="117">
        <v>0</v>
      </c>
      <c r="G98" s="117">
        <v>0</v>
      </c>
      <c r="H98" s="117">
        <v>0</v>
      </c>
      <c r="I98" s="117">
        <v>973</v>
      </c>
      <c r="J98" s="117">
        <v>0</v>
      </c>
      <c r="K98" s="117">
        <v>0</v>
      </c>
      <c r="L98" s="117">
        <v>0</v>
      </c>
      <c r="M98" s="267">
        <v>0</v>
      </c>
      <c r="N98" s="117">
        <v>0</v>
      </c>
      <c r="O98" s="117">
        <v>0</v>
      </c>
      <c r="P98" s="268">
        <v>0</v>
      </c>
      <c r="Q98" s="268">
        <v>0</v>
      </c>
      <c r="R98" s="2" t="s">
        <v>1390</v>
      </c>
    </row>
    <row r="99" spans="1:18" x14ac:dyDescent="0.25">
      <c r="A99" s="2" t="s">
        <v>1471</v>
      </c>
      <c r="B99" s="2" t="s">
        <v>172</v>
      </c>
      <c r="C99" s="2" t="s">
        <v>39</v>
      </c>
      <c r="D99" s="2" t="s">
        <v>115</v>
      </c>
      <c r="E99" s="117">
        <v>3</v>
      </c>
      <c r="F99" s="117">
        <v>0</v>
      </c>
      <c r="G99" s="117">
        <v>0</v>
      </c>
      <c r="H99" s="117">
        <v>0</v>
      </c>
      <c r="I99" s="117">
        <v>50</v>
      </c>
      <c r="J99" s="117">
        <v>0</v>
      </c>
      <c r="K99" s="117">
        <v>0</v>
      </c>
      <c r="L99" s="117">
        <v>0</v>
      </c>
      <c r="M99" s="267">
        <v>0</v>
      </c>
      <c r="N99" s="117">
        <v>0</v>
      </c>
      <c r="O99" s="117">
        <v>0</v>
      </c>
      <c r="P99" s="268">
        <v>0</v>
      </c>
      <c r="Q99" s="268">
        <v>0</v>
      </c>
      <c r="R99" s="2" t="s">
        <v>1390</v>
      </c>
    </row>
    <row r="100" spans="1:18" x14ac:dyDescent="0.25">
      <c r="A100" s="2" t="s">
        <v>1472</v>
      </c>
      <c r="B100" s="2" t="s">
        <v>173</v>
      </c>
      <c r="C100" s="2" t="s">
        <v>39</v>
      </c>
      <c r="D100" s="2" t="s">
        <v>115</v>
      </c>
      <c r="E100" s="117">
        <v>3</v>
      </c>
      <c r="F100" s="117">
        <v>0</v>
      </c>
      <c r="G100" s="117">
        <v>0</v>
      </c>
      <c r="H100" s="117">
        <v>0</v>
      </c>
      <c r="I100" s="117">
        <v>83</v>
      </c>
      <c r="J100" s="117">
        <v>0</v>
      </c>
      <c r="K100" s="117">
        <v>0</v>
      </c>
      <c r="L100" s="117">
        <v>0</v>
      </c>
      <c r="M100" s="267">
        <v>0</v>
      </c>
      <c r="N100" s="117">
        <v>0</v>
      </c>
      <c r="O100" s="117">
        <v>0</v>
      </c>
      <c r="P100" s="268">
        <v>0</v>
      </c>
      <c r="Q100" s="268">
        <v>0</v>
      </c>
      <c r="R100" s="2" t="s">
        <v>1390</v>
      </c>
    </row>
    <row r="101" spans="1:18" x14ac:dyDescent="0.25">
      <c r="A101" s="2" t="s">
        <v>1473</v>
      </c>
      <c r="B101" s="2" t="s">
        <v>174</v>
      </c>
      <c r="C101" s="2" t="s">
        <v>39</v>
      </c>
      <c r="D101" s="2" t="s">
        <v>115</v>
      </c>
      <c r="E101" s="117">
        <v>3</v>
      </c>
      <c r="F101" s="117">
        <v>0</v>
      </c>
      <c r="G101" s="117">
        <v>0</v>
      </c>
      <c r="H101" s="117">
        <v>0</v>
      </c>
      <c r="I101" s="117">
        <v>26</v>
      </c>
      <c r="J101" s="117">
        <v>0</v>
      </c>
      <c r="K101" s="117">
        <v>0</v>
      </c>
      <c r="L101" s="117">
        <v>0</v>
      </c>
      <c r="M101" s="267">
        <v>0</v>
      </c>
      <c r="N101" s="117">
        <v>0</v>
      </c>
      <c r="O101" s="117">
        <v>0</v>
      </c>
      <c r="P101" s="268">
        <v>0</v>
      </c>
      <c r="Q101" s="268">
        <v>0</v>
      </c>
      <c r="R101" s="2" t="s">
        <v>1390</v>
      </c>
    </row>
    <row r="102" spans="1:18" x14ac:dyDescent="0.25">
      <c r="A102" s="2" t="s">
        <v>1474</v>
      </c>
      <c r="B102" s="2" t="s">
        <v>176</v>
      </c>
      <c r="C102" s="2" t="s">
        <v>39</v>
      </c>
      <c r="D102" s="2" t="s">
        <v>115</v>
      </c>
      <c r="E102" s="117">
        <v>3</v>
      </c>
      <c r="F102" s="117">
        <v>0</v>
      </c>
      <c r="G102" s="117">
        <v>0</v>
      </c>
      <c r="H102" s="117">
        <v>0</v>
      </c>
      <c r="I102" s="117">
        <v>460</v>
      </c>
      <c r="J102" s="117">
        <v>0</v>
      </c>
      <c r="K102" s="117">
        <v>0</v>
      </c>
      <c r="L102" s="117">
        <v>0</v>
      </c>
      <c r="M102" s="267">
        <v>0</v>
      </c>
      <c r="N102" s="117">
        <v>0</v>
      </c>
      <c r="O102" s="117">
        <v>0</v>
      </c>
      <c r="P102" s="268">
        <v>0</v>
      </c>
      <c r="Q102" s="268">
        <v>0</v>
      </c>
      <c r="R102" s="2" t="s">
        <v>1390</v>
      </c>
    </row>
    <row r="103" spans="1:18" x14ac:dyDescent="0.25">
      <c r="A103" s="2" t="s">
        <v>1475</v>
      </c>
      <c r="B103" s="2" t="s">
        <v>177</v>
      </c>
      <c r="C103" s="2" t="s">
        <v>39</v>
      </c>
      <c r="D103" s="2" t="s">
        <v>115</v>
      </c>
      <c r="E103" s="117">
        <v>3</v>
      </c>
      <c r="F103" s="117">
        <v>0</v>
      </c>
      <c r="G103" s="117">
        <v>0</v>
      </c>
      <c r="H103" s="117">
        <v>0</v>
      </c>
      <c r="I103" s="117">
        <v>45</v>
      </c>
      <c r="J103" s="117">
        <v>0</v>
      </c>
      <c r="K103" s="117">
        <v>0</v>
      </c>
      <c r="L103" s="117">
        <v>0</v>
      </c>
      <c r="M103" s="267">
        <v>0</v>
      </c>
      <c r="N103" s="117">
        <v>0</v>
      </c>
      <c r="O103" s="117">
        <v>0</v>
      </c>
      <c r="P103" s="268">
        <v>0</v>
      </c>
      <c r="Q103" s="268">
        <v>0</v>
      </c>
      <c r="R103" s="2" t="s">
        <v>1390</v>
      </c>
    </row>
    <row r="104" spans="1:18" x14ac:dyDescent="0.25">
      <c r="A104" s="2" t="s">
        <v>1476</v>
      </c>
      <c r="B104" s="2" t="s">
        <v>178</v>
      </c>
      <c r="C104" s="2" t="s">
        <v>39</v>
      </c>
      <c r="D104" s="2" t="s">
        <v>115</v>
      </c>
      <c r="E104" s="117">
        <v>3</v>
      </c>
      <c r="F104" s="117">
        <v>0</v>
      </c>
      <c r="G104" s="117">
        <v>0</v>
      </c>
      <c r="H104" s="117">
        <v>0</v>
      </c>
      <c r="I104" s="117">
        <v>152</v>
      </c>
      <c r="J104" s="117">
        <v>0</v>
      </c>
      <c r="K104" s="117">
        <v>0</v>
      </c>
      <c r="L104" s="117">
        <v>0</v>
      </c>
      <c r="M104" s="267">
        <v>0</v>
      </c>
      <c r="N104" s="117">
        <v>0</v>
      </c>
      <c r="O104" s="117">
        <v>0</v>
      </c>
      <c r="P104" s="268">
        <v>0</v>
      </c>
      <c r="Q104" s="268">
        <v>0</v>
      </c>
      <c r="R104" s="2" t="s">
        <v>1390</v>
      </c>
    </row>
    <row r="105" spans="1:18" x14ac:dyDescent="0.25">
      <c r="A105" s="2" t="s">
        <v>1477</v>
      </c>
      <c r="B105" s="2" t="s">
        <v>277</v>
      </c>
      <c r="C105" s="2" t="s">
        <v>39</v>
      </c>
      <c r="D105" s="2" t="s">
        <v>115</v>
      </c>
      <c r="E105" s="117">
        <v>3</v>
      </c>
      <c r="F105" s="117">
        <v>0</v>
      </c>
      <c r="G105" s="117">
        <v>0</v>
      </c>
      <c r="H105" s="117">
        <v>0</v>
      </c>
      <c r="I105" s="117">
        <v>357</v>
      </c>
      <c r="J105" s="117">
        <v>0</v>
      </c>
      <c r="K105" s="117">
        <v>0</v>
      </c>
      <c r="L105" s="117">
        <v>0</v>
      </c>
      <c r="M105" s="267">
        <v>0</v>
      </c>
      <c r="N105" s="117">
        <v>0</v>
      </c>
      <c r="O105" s="117">
        <v>0</v>
      </c>
      <c r="P105" s="268">
        <v>0</v>
      </c>
      <c r="Q105" s="268">
        <v>0</v>
      </c>
      <c r="R105" s="2" t="s">
        <v>1390</v>
      </c>
    </row>
    <row r="106" spans="1:18" x14ac:dyDescent="0.25">
      <c r="A106" s="2" t="s">
        <v>1478</v>
      </c>
      <c r="B106" s="2" t="s">
        <v>320</v>
      </c>
      <c r="C106" s="2" t="s">
        <v>39</v>
      </c>
      <c r="D106" s="2" t="s">
        <v>115</v>
      </c>
      <c r="E106" s="117">
        <v>3</v>
      </c>
      <c r="F106" s="117">
        <v>0</v>
      </c>
      <c r="G106" s="117">
        <v>0</v>
      </c>
      <c r="H106" s="117">
        <v>0</v>
      </c>
      <c r="I106" s="117">
        <v>21</v>
      </c>
      <c r="J106" s="117">
        <v>0</v>
      </c>
      <c r="K106" s="117">
        <v>0</v>
      </c>
      <c r="L106" s="117">
        <v>0</v>
      </c>
      <c r="M106" s="267">
        <v>0</v>
      </c>
      <c r="N106" s="117">
        <v>0</v>
      </c>
      <c r="O106" s="117">
        <v>0</v>
      </c>
      <c r="P106" s="268">
        <v>0</v>
      </c>
      <c r="Q106" s="268">
        <v>0</v>
      </c>
      <c r="R106" s="2" t="s">
        <v>1390</v>
      </c>
    </row>
    <row r="107" spans="1:18" x14ac:dyDescent="0.25">
      <c r="A107" s="2" t="s">
        <v>1479</v>
      </c>
      <c r="B107" s="2" t="s">
        <v>138</v>
      </c>
      <c r="C107" s="2" t="s">
        <v>39</v>
      </c>
      <c r="D107" s="2" t="s">
        <v>115</v>
      </c>
      <c r="E107" s="117">
        <v>3</v>
      </c>
      <c r="F107" s="117">
        <v>0</v>
      </c>
      <c r="G107" s="117">
        <v>0</v>
      </c>
      <c r="H107" s="117">
        <v>0</v>
      </c>
      <c r="I107" s="117">
        <v>0</v>
      </c>
      <c r="J107" s="117">
        <v>0</v>
      </c>
      <c r="K107" s="117">
        <v>0</v>
      </c>
      <c r="L107" s="117">
        <v>0</v>
      </c>
      <c r="M107" s="267" t="s">
        <v>488</v>
      </c>
      <c r="N107" s="117">
        <v>0</v>
      </c>
      <c r="O107" s="117">
        <v>0</v>
      </c>
      <c r="P107" s="268">
        <v>0</v>
      </c>
      <c r="Q107" s="268">
        <v>0</v>
      </c>
      <c r="R107" s="2" t="s">
        <v>1390</v>
      </c>
    </row>
    <row r="108" spans="1:18" x14ac:dyDescent="0.25">
      <c r="A108" s="269"/>
      <c r="B108" s="269"/>
      <c r="C108" s="269" t="s">
        <v>39</v>
      </c>
      <c r="D108" s="269"/>
      <c r="E108" s="269"/>
      <c r="F108" s="270">
        <v>31</v>
      </c>
      <c r="G108" s="270">
        <v>0</v>
      </c>
      <c r="H108" s="270">
        <v>31</v>
      </c>
      <c r="I108" s="270">
        <v>11479</v>
      </c>
      <c r="J108" s="270">
        <v>0</v>
      </c>
      <c r="K108" s="270">
        <v>0</v>
      </c>
      <c r="L108" s="270">
        <v>31</v>
      </c>
      <c r="M108" s="271">
        <v>2.7000000000000001E-3</v>
      </c>
      <c r="N108" s="270">
        <v>93</v>
      </c>
      <c r="O108" s="270">
        <v>28</v>
      </c>
      <c r="P108" s="272">
        <v>0</v>
      </c>
      <c r="Q108" s="272">
        <v>28</v>
      </c>
      <c r="R108" s="269" t="s">
        <v>1390</v>
      </c>
    </row>
    <row r="109" spans="1:18" x14ac:dyDescent="0.25">
      <c r="A109" s="2" t="s">
        <v>1480</v>
      </c>
      <c r="B109" s="2" t="s">
        <v>40</v>
      </c>
      <c r="C109" s="2" t="s">
        <v>41</v>
      </c>
      <c r="D109" s="2" t="s">
        <v>5</v>
      </c>
      <c r="E109" s="117">
        <v>7</v>
      </c>
      <c r="F109" s="117">
        <v>0</v>
      </c>
      <c r="G109" s="117">
        <v>0</v>
      </c>
      <c r="H109" s="117">
        <v>0</v>
      </c>
      <c r="I109" s="117">
        <v>1656</v>
      </c>
      <c r="J109" s="117">
        <v>0</v>
      </c>
      <c r="K109" s="117">
        <v>0</v>
      </c>
      <c r="L109" s="117">
        <v>0</v>
      </c>
      <c r="M109" s="267">
        <v>0</v>
      </c>
      <c r="N109" s="117">
        <v>0</v>
      </c>
      <c r="O109" s="117">
        <v>0</v>
      </c>
      <c r="P109" s="268">
        <v>0</v>
      </c>
      <c r="Q109" s="268">
        <v>0</v>
      </c>
      <c r="R109" s="2" t="s">
        <v>1390</v>
      </c>
    </row>
    <row r="110" spans="1:18" x14ac:dyDescent="0.25">
      <c r="A110" s="2" t="s">
        <v>1481</v>
      </c>
      <c r="B110" s="2" t="s">
        <v>179</v>
      </c>
      <c r="C110" s="2" t="s">
        <v>41</v>
      </c>
      <c r="D110" s="2" t="s">
        <v>115</v>
      </c>
      <c r="E110" s="117">
        <v>7</v>
      </c>
      <c r="F110" s="117">
        <v>0</v>
      </c>
      <c r="G110" s="117">
        <v>0</v>
      </c>
      <c r="H110" s="117">
        <v>0</v>
      </c>
      <c r="I110" s="117">
        <v>62</v>
      </c>
      <c r="J110" s="117">
        <v>0</v>
      </c>
      <c r="K110" s="117">
        <v>0</v>
      </c>
      <c r="L110" s="117">
        <v>0</v>
      </c>
      <c r="M110" s="267">
        <v>0</v>
      </c>
      <c r="N110" s="117">
        <v>0</v>
      </c>
      <c r="O110" s="117">
        <v>0</v>
      </c>
      <c r="P110" s="268">
        <v>0</v>
      </c>
      <c r="Q110" s="268">
        <v>0</v>
      </c>
      <c r="R110" s="2" t="s">
        <v>1390</v>
      </c>
    </row>
    <row r="111" spans="1:18" x14ac:dyDescent="0.25">
      <c r="A111" s="2" t="s">
        <v>1482</v>
      </c>
      <c r="B111" s="2" t="s">
        <v>180</v>
      </c>
      <c r="C111" s="2" t="s">
        <v>41</v>
      </c>
      <c r="D111" s="2" t="s">
        <v>115</v>
      </c>
      <c r="E111" s="117">
        <v>7</v>
      </c>
      <c r="F111" s="117">
        <v>0</v>
      </c>
      <c r="G111" s="117">
        <v>0</v>
      </c>
      <c r="H111" s="117">
        <v>0</v>
      </c>
      <c r="I111" s="117">
        <v>326</v>
      </c>
      <c r="J111" s="117">
        <v>0</v>
      </c>
      <c r="K111" s="117">
        <v>0</v>
      </c>
      <c r="L111" s="117">
        <v>0</v>
      </c>
      <c r="M111" s="267">
        <v>0</v>
      </c>
      <c r="N111" s="117">
        <v>0</v>
      </c>
      <c r="O111" s="117">
        <v>0</v>
      </c>
      <c r="P111" s="268">
        <v>0</v>
      </c>
      <c r="Q111" s="268">
        <v>0</v>
      </c>
      <c r="R111" s="2" t="s">
        <v>1390</v>
      </c>
    </row>
    <row r="112" spans="1:18" x14ac:dyDescent="0.25">
      <c r="A112" s="269"/>
      <c r="B112" s="269"/>
      <c r="C112" s="269" t="s">
        <v>41</v>
      </c>
      <c r="D112" s="269"/>
      <c r="E112" s="269"/>
      <c r="F112" s="270">
        <v>0</v>
      </c>
      <c r="G112" s="270">
        <v>0</v>
      </c>
      <c r="H112" s="270">
        <v>0</v>
      </c>
      <c r="I112" s="270">
        <v>2044</v>
      </c>
      <c r="J112" s="270">
        <v>0</v>
      </c>
      <c r="K112" s="270">
        <v>0</v>
      </c>
      <c r="L112" s="270">
        <v>0</v>
      </c>
      <c r="M112" s="271">
        <v>0</v>
      </c>
      <c r="N112" s="270">
        <v>0</v>
      </c>
      <c r="O112" s="270">
        <v>0</v>
      </c>
      <c r="P112" s="272">
        <v>0</v>
      </c>
      <c r="Q112" s="272">
        <v>0</v>
      </c>
      <c r="R112" s="269" t="s">
        <v>1390</v>
      </c>
    </row>
    <row r="113" spans="1:18" x14ac:dyDescent="0.25">
      <c r="A113" s="2" t="s">
        <v>1483</v>
      </c>
      <c r="B113" s="2" t="s">
        <v>42</v>
      </c>
      <c r="C113" s="2" t="s">
        <v>43</v>
      </c>
      <c r="D113" s="2" t="s">
        <v>5</v>
      </c>
      <c r="E113" s="117">
        <v>2</v>
      </c>
      <c r="F113" s="117">
        <v>6</v>
      </c>
      <c r="G113" s="117">
        <v>0</v>
      </c>
      <c r="H113" s="117">
        <v>6</v>
      </c>
      <c r="I113" s="117">
        <v>2348</v>
      </c>
      <c r="J113" s="117">
        <v>0</v>
      </c>
      <c r="K113" s="117">
        <v>0</v>
      </c>
      <c r="L113" s="117">
        <v>6</v>
      </c>
      <c r="M113" s="267">
        <v>2.5000000000000001E-3</v>
      </c>
      <c r="N113" s="117">
        <v>18</v>
      </c>
      <c r="O113" s="117">
        <v>4</v>
      </c>
      <c r="P113" s="268">
        <v>0</v>
      </c>
      <c r="Q113" s="268">
        <v>4</v>
      </c>
      <c r="R113" s="2" t="s">
        <v>1390</v>
      </c>
    </row>
    <row r="114" spans="1:18" x14ac:dyDescent="0.25">
      <c r="A114" s="2" t="s">
        <v>1484</v>
      </c>
      <c r="B114" s="2" t="s">
        <v>181</v>
      </c>
      <c r="C114" s="2" t="s">
        <v>43</v>
      </c>
      <c r="D114" s="2" t="s">
        <v>115</v>
      </c>
      <c r="E114" s="117">
        <v>2</v>
      </c>
      <c r="F114" s="117">
        <v>0</v>
      </c>
      <c r="G114" s="117">
        <v>0</v>
      </c>
      <c r="H114" s="117">
        <v>0</v>
      </c>
      <c r="I114" s="117">
        <v>38</v>
      </c>
      <c r="J114" s="117">
        <v>0</v>
      </c>
      <c r="K114" s="117">
        <v>0</v>
      </c>
      <c r="L114" s="117">
        <v>0</v>
      </c>
      <c r="M114" s="267">
        <v>0</v>
      </c>
      <c r="N114" s="117">
        <v>0</v>
      </c>
      <c r="O114" s="117">
        <v>0</v>
      </c>
      <c r="P114" s="268">
        <v>0</v>
      </c>
      <c r="Q114" s="268">
        <v>0</v>
      </c>
      <c r="R114" s="2" t="s">
        <v>1390</v>
      </c>
    </row>
    <row r="115" spans="1:18" x14ac:dyDescent="0.25">
      <c r="A115" s="2" t="s">
        <v>1485</v>
      </c>
      <c r="B115" s="2" t="s">
        <v>182</v>
      </c>
      <c r="C115" s="2" t="s">
        <v>43</v>
      </c>
      <c r="D115" s="2" t="s">
        <v>115</v>
      </c>
      <c r="E115" s="117">
        <v>2</v>
      </c>
      <c r="F115" s="117">
        <v>0</v>
      </c>
      <c r="G115" s="117">
        <v>0</v>
      </c>
      <c r="H115" s="117">
        <v>0</v>
      </c>
      <c r="I115" s="117">
        <v>56</v>
      </c>
      <c r="J115" s="117">
        <v>0</v>
      </c>
      <c r="K115" s="117">
        <v>0</v>
      </c>
      <c r="L115" s="117">
        <v>0</v>
      </c>
      <c r="M115" s="267">
        <v>0</v>
      </c>
      <c r="N115" s="117">
        <v>0</v>
      </c>
      <c r="O115" s="117">
        <v>0</v>
      </c>
      <c r="P115" s="268">
        <v>0</v>
      </c>
      <c r="Q115" s="268">
        <v>0</v>
      </c>
      <c r="R115" s="2" t="s">
        <v>1390</v>
      </c>
    </row>
    <row r="116" spans="1:18" x14ac:dyDescent="0.25">
      <c r="A116" s="269"/>
      <c r="B116" s="269"/>
      <c r="C116" s="269" t="s">
        <v>43</v>
      </c>
      <c r="D116" s="269"/>
      <c r="E116" s="269"/>
      <c r="F116" s="270">
        <v>6</v>
      </c>
      <c r="G116" s="270">
        <v>0</v>
      </c>
      <c r="H116" s="270">
        <v>6</v>
      </c>
      <c r="I116" s="270">
        <v>2442</v>
      </c>
      <c r="J116" s="270">
        <v>0</v>
      </c>
      <c r="K116" s="270">
        <v>0</v>
      </c>
      <c r="L116" s="270">
        <v>6</v>
      </c>
      <c r="M116" s="271">
        <v>2.5000000000000001E-3</v>
      </c>
      <c r="N116" s="270">
        <v>18</v>
      </c>
      <c r="O116" s="270">
        <v>4</v>
      </c>
      <c r="P116" s="272">
        <v>0</v>
      </c>
      <c r="Q116" s="272">
        <v>4</v>
      </c>
      <c r="R116" s="269" t="s">
        <v>1390</v>
      </c>
    </row>
    <row r="117" spans="1:18" x14ac:dyDescent="0.25">
      <c r="A117" s="2" t="s">
        <v>1486</v>
      </c>
      <c r="B117" s="2" t="s">
        <v>44</v>
      </c>
      <c r="C117" s="2" t="s">
        <v>45</v>
      </c>
      <c r="D117" s="2" t="s">
        <v>5</v>
      </c>
      <c r="E117" s="117">
        <v>6</v>
      </c>
      <c r="F117" s="117">
        <v>4</v>
      </c>
      <c r="G117" s="117">
        <v>0</v>
      </c>
      <c r="H117" s="117">
        <v>4</v>
      </c>
      <c r="I117" s="117">
        <v>1291</v>
      </c>
      <c r="J117" s="117">
        <v>0</v>
      </c>
      <c r="K117" s="117">
        <v>0</v>
      </c>
      <c r="L117" s="117">
        <v>4</v>
      </c>
      <c r="M117" s="267">
        <v>3.0999999999999999E-3</v>
      </c>
      <c r="N117" s="117">
        <v>12</v>
      </c>
      <c r="O117" s="117">
        <v>5</v>
      </c>
      <c r="P117" s="268">
        <v>0</v>
      </c>
      <c r="Q117" s="268">
        <v>5</v>
      </c>
      <c r="R117" s="2" t="s">
        <v>1390</v>
      </c>
    </row>
    <row r="118" spans="1:18" x14ac:dyDescent="0.25">
      <c r="A118" s="2" t="s">
        <v>1487</v>
      </c>
      <c r="B118" s="2" t="s">
        <v>187</v>
      </c>
      <c r="C118" s="2" t="s">
        <v>45</v>
      </c>
      <c r="D118" s="2" t="s">
        <v>115</v>
      </c>
      <c r="E118" s="117">
        <v>6</v>
      </c>
      <c r="F118" s="117">
        <v>0</v>
      </c>
      <c r="G118" s="117">
        <v>0</v>
      </c>
      <c r="H118" s="117">
        <v>0</v>
      </c>
      <c r="I118" s="117">
        <v>26</v>
      </c>
      <c r="J118" s="117">
        <v>0</v>
      </c>
      <c r="K118" s="117">
        <v>0</v>
      </c>
      <c r="L118" s="117">
        <v>0</v>
      </c>
      <c r="M118" s="267">
        <v>0</v>
      </c>
      <c r="N118" s="117">
        <v>0</v>
      </c>
      <c r="O118" s="117">
        <v>0</v>
      </c>
      <c r="P118" s="268">
        <v>0</v>
      </c>
      <c r="Q118" s="268">
        <v>0</v>
      </c>
      <c r="R118" s="2" t="s">
        <v>1390</v>
      </c>
    </row>
    <row r="119" spans="1:18" x14ac:dyDescent="0.25">
      <c r="A119" s="2" t="s">
        <v>1488</v>
      </c>
      <c r="B119" s="2" t="s">
        <v>188</v>
      </c>
      <c r="C119" s="2" t="s">
        <v>45</v>
      </c>
      <c r="D119" s="2" t="s">
        <v>115</v>
      </c>
      <c r="E119" s="117">
        <v>6</v>
      </c>
      <c r="F119" s="117">
        <v>0</v>
      </c>
      <c r="G119" s="117">
        <v>0</v>
      </c>
      <c r="H119" s="117">
        <v>0</v>
      </c>
      <c r="I119" s="117">
        <v>36</v>
      </c>
      <c r="J119" s="117">
        <v>0</v>
      </c>
      <c r="K119" s="117">
        <v>0</v>
      </c>
      <c r="L119" s="117">
        <v>0</v>
      </c>
      <c r="M119" s="267">
        <v>0</v>
      </c>
      <c r="N119" s="117">
        <v>0</v>
      </c>
      <c r="O119" s="117">
        <v>0</v>
      </c>
      <c r="P119" s="268">
        <v>0</v>
      </c>
      <c r="Q119" s="268">
        <v>0</v>
      </c>
      <c r="R119" s="2" t="s">
        <v>1390</v>
      </c>
    </row>
    <row r="120" spans="1:18" x14ac:dyDescent="0.25">
      <c r="A120" s="2" t="s">
        <v>1489</v>
      </c>
      <c r="B120" s="2" t="s">
        <v>189</v>
      </c>
      <c r="C120" s="2" t="s">
        <v>45</v>
      </c>
      <c r="D120" s="2" t="s">
        <v>115</v>
      </c>
      <c r="E120" s="117">
        <v>6</v>
      </c>
      <c r="F120" s="117">
        <v>0</v>
      </c>
      <c r="G120" s="117">
        <v>0</v>
      </c>
      <c r="H120" s="117">
        <v>0</v>
      </c>
      <c r="I120" s="117">
        <v>30</v>
      </c>
      <c r="J120" s="117">
        <v>0</v>
      </c>
      <c r="K120" s="117">
        <v>0</v>
      </c>
      <c r="L120" s="117">
        <v>0</v>
      </c>
      <c r="M120" s="267">
        <v>0</v>
      </c>
      <c r="N120" s="117">
        <v>0</v>
      </c>
      <c r="O120" s="117">
        <v>0</v>
      </c>
      <c r="P120" s="268">
        <v>0</v>
      </c>
      <c r="Q120" s="268">
        <v>0</v>
      </c>
      <c r="R120" s="2" t="s">
        <v>1390</v>
      </c>
    </row>
    <row r="121" spans="1:18" x14ac:dyDescent="0.25">
      <c r="A121" s="2" t="s">
        <v>1490</v>
      </c>
      <c r="B121" s="2" t="s">
        <v>190</v>
      </c>
      <c r="C121" s="2" t="s">
        <v>45</v>
      </c>
      <c r="D121" s="2" t="s">
        <v>115</v>
      </c>
      <c r="E121" s="117">
        <v>6</v>
      </c>
      <c r="F121" s="117">
        <v>0</v>
      </c>
      <c r="G121" s="117">
        <v>0</v>
      </c>
      <c r="H121" s="117">
        <v>0</v>
      </c>
      <c r="I121" s="117">
        <v>67</v>
      </c>
      <c r="J121" s="117">
        <v>0</v>
      </c>
      <c r="K121" s="117">
        <v>0</v>
      </c>
      <c r="L121" s="117">
        <v>0</v>
      </c>
      <c r="M121" s="267">
        <v>0</v>
      </c>
      <c r="N121" s="117">
        <v>0</v>
      </c>
      <c r="O121" s="117">
        <v>0</v>
      </c>
      <c r="P121" s="268">
        <v>0</v>
      </c>
      <c r="Q121" s="268">
        <v>0</v>
      </c>
      <c r="R121" s="2" t="s">
        <v>1390</v>
      </c>
    </row>
    <row r="122" spans="1:18" x14ac:dyDescent="0.25">
      <c r="A122" s="2" t="s">
        <v>1491</v>
      </c>
      <c r="B122" s="2" t="s">
        <v>191</v>
      </c>
      <c r="C122" s="2" t="s">
        <v>45</v>
      </c>
      <c r="D122" s="2" t="s">
        <v>115</v>
      </c>
      <c r="E122" s="117">
        <v>6</v>
      </c>
      <c r="F122" s="117">
        <v>0</v>
      </c>
      <c r="G122" s="117">
        <v>0</v>
      </c>
      <c r="H122" s="117">
        <v>0</v>
      </c>
      <c r="I122" s="117">
        <v>48</v>
      </c>
      <c r="J122" s="117">
        <v>0</v>
      </c>
      <c r="K122" s="117">
        <v>0</v>
      </c>
      <c r="L122" s="117">
        <v>0</v>
      </c>
      <c r="M122" s="267">
        <v>0</v>
      </c>
      <c r="N122" s="117">
        <v>0</v>
      </c>
      <c r="O122" s="117">
        <v>0</v>
      </c>
      <c r="P122" s="268">
        <v>0</v>
      </c>
      <c r="Q122" s="268">
        <v>0</v>
      </c>
      <c r="R122" s="2" t="s">
        <v>1390</v>
      </c>
    </row>
    <row r="123" spans="1:18" x14ac:dyDescent="0.25">
      <c r="A123" s="2" t="s">
        <v>1492</v>
      </c>
      <c r="B123" s="2" t="s">
        <v>192</v>
      </c>
      <c r="C123" s="2" t="s">
        <v>45</v>
      </c>
      <c r="D123" s="2" t="s">
        <v>115</v>
      </c>
      <c r="E123" s="117">
        <v>6</v>
      </c>
      <c r="F123" s="117">
        <v>0</v>
      </c>
      <c r="G123" s="117">
        <v>0</v>
      </c>
      <c r="H123" s="117">
        <v>0</v>
      </c>
      <c r="I123" s="117">
        <v>260</v>
      </c>
      <c r="J123" s="117">
        <v>0</v>
      </c>
      <c r="K123" s="117">
        <v>0</v>
      </c>
      <c r="L123" s="117">
        <v>0</v>
      </c>
      <c r="M123" s="267">
        <v>0</v>
      </c>
      <c r="N123" s="117">
        <v>0</v>
      </c>
      <c r="O123" s="117">
        <v>0</v>
      </c>
      <c r="P123" s="268">
        <v>0</v>
      </c>
      <c r="Q123" s="268">
        <v>0</v>
      </c>
      <c r="R123" s="2" t="s">
        <v>1390</v>
      </c>
    </row>
    <row r="124" spans="1:18" x14ac:dyDescent="0.25">
      <c r="A124" s="2" t="s">
        <v>1493</v>
      </c>
      <c r="B124" s="2" t="s">
        <v>193</v>
      </c>
      <c r="C124" s="2" t="s">
        <v>45</v>
      </c>
      <c r="D124" s="2" t="s">
        <v>115</v>
      </c>
      <c r="E124" s="117">
        <v>6</v>
      </c>
      <c r="F124" s="117">
        <v>0</v>
      </c>
      <c r="G124" s="117">
        <v>0</v>
      </c>
      <c r="H124" s="117">
        <v>0</v>
      </c>
      <c r="I124" s="117">
        <v>23</v>
      </c>
      <c r="J124" s="117">
        <v>0</v>
      </c>
      <c r="K124" s="117">
        <v>0</v>
      </c>
      <c r="L124" s="117">
        <v>0</v>
      </c>
      <c r="M124" s="267">
        <v>0</v>
      </c>
      <c r="N124" s="117">
        <v>0</v>
      </c>
      <c r="O124" s="117">
        <v>0</v>
      </c>
      <c r="P124" s="268">
        <v>0</v>
      </c>
      <c r="Q124" s="268">
        <v>0</v>
      </c>
      <c r="R124" s="2" t="s">
        <v>1390</v>
      </c>
    </row>
    <row r="125" spans="1:18" x14ac:dyDescent="0.25">
      <c r="A125" s="2" t="s">
        <v>1494</v>
      </c>
      <c r="B125" s="2" t="s">
        <v>194</v>
      </c>
      <c r="C125" s="2" t="s">
        <v>45</v>
      </c>
      <c r="D125" s="2" t="s">
        <v>115</v>
      </c>
      <c r="E125" s="117">
        <v>6</v>
      </c>
      <c r="F125" s="117">
        <v>0</v>
      </c>
      <c r="G125" s="117">
        <v>0</v>
      </c>
      <c r="H125" s="117">
        <v>0</v>
      </c>
      <c r="I125" s="117">
        <v>33</v>
      </c>
      <c r="J125" s="117">
        <v>0</v>
      </c>
      <c r="K125" s="117">
        <v>0</v>
      </c>
      <c r="L125" s="117">
        <v>0</v>
      </c>
      <c r="M125" s="267">
        <v>0</v>
      </c>
      <c r="N125" s="117">
        <v>0</v>
      </c>
      <c r="O125" s="117">
        <v>0</v>
      </c>
      <c r="P125" s="268">
        <v>0</v>
      </c>
      <c r="Q125" s="268">
        <v>0</v>
      </c>
      <c r="R125" s="2" t="s">
        <v>1390</v>
      </c>
    </row>
    <row r="126" spans="1:18" x14ac:dyDescent="0.25">
      <c r="A126" s="2" t="s">
        <v>1495</v>
      </c>
      <c r="B126" s="2" t="s">
        <v>195</v>
      </c>
      <c r="C126" s="2" t="s">
        <v>45</v>
      </c>
      <c r="D126" s="2" t="s">
        <v>115</v>
      </c>
      <c r="E126" s="117">
        <v>6</v>
      </c>
      <c r="F126" s="117">
        <v>0</v>
      </c>
      <c r="G126" s="117">
        <v>0</v>
      </c>
      <c r="H126" s="117">
        <v>0</v>
      </c>
      <c r="I126" s="117">
        <v>28</v>
      </c>
      <c r="J126" s="117">
        <v>0</v>
      </c>
      <c r="K126" s="117">
        <v>0</v>
      </c>
      <c r="L126" s="117">
        <v>0</v>
      </c>
      <c r="M126" s="267">
        <v>0</v>
      </c>
      <c r="N126" s="117">
        <v>0</v>
      </c>
      <c r="O126" s="117">
        <v>0</v>
      </c>
      <c r="P126" s="268">
        <v>0</v>
      </c>
      <c r="Q126" s="268">
        <v>0</v>
      </c>
      <c r="R126" s="2" t="s">
        <v>1390</v>
      </c>
    </row>
    <row r="127" spans="1:18" x14ac:dyDescent="0.25">
      <c r="A127" s="2" t="s">
        <v>1496</v>
      </c>
      <c r="B127" s="2" t="s">
        <v>329</v>
      </c>
      <c r="C127" s="2" t="s">
        <v>45</v>
      </c>
      <c r="D127" s="2" t="s">
        <v>115</v>
      </c>
      <c r="E127" s="117">
        <v>6</v>
      </c>
      <c r="F127" s="117">
        <v>0</v>
      </c>
      <c r="G127" s="117">
        <v>0</v>
      </c>
      <c r="H127" s="117">
        <v>0</v>
      </c>
      <c r="I127" s="117">
        <v>41</v>
      </c>
      <c r="J127" s="117">
        <v>0</v>
      </c>
      <c r="K127" s="117">
        <v>0</v>
      </c>
      <c r="L127" s="117">
        <v>0</v>
      </c>
      <c r="M127" s="267">
        <v>0</v>
      </c>
      <c r="N127" s="117">
        <v>0</v>
      </c>
      <c r="O127" s="117">
        <v>0</v>
      </c>
      <c r="P127" s="268">
        <v>0</v>
      </c>
      <c r="Q127" s="268">
        <v>0</v>
      </c>
      <c r="R127" s="2" t="s">
        <v>1390</v>
      </c>
    </row>
    <row r="128" spans="1:18" x14ac:dyDescent="0.25">
      <c r="A128" s="2" t="s">
        <v>1497</v>
      </c>
      <c r="B128" s="2" t="s">
        <v>337</v>
      </c>
      <c r="C128" s="2" t="s">
        <v>45</v>
      </c>
      <c r="D128" s="2" t="s">
        <v>115</v>
      </c>
      <c r="E128" s="117">
        <v>6</v>
      </c>
      <c r="F128" s="117">
        <v>0</v>
      </c>
      <c r="G128" s="117">
        <v>0</v>
      </c>
      <c r="H128" s="117">
        <v>0</v>
      </c>
      <c r="I128" s="117">
        <v>4</v>
      </c>
      <c r="J128" s="117">
        <v>0</v>
      </c>
      <c r="K128" s="117">
        <v>0</v>
      </c>
      <c r="L128" s="117">
        <v>0</v>
      </c>
      <c r="M128" s="267">
        <v>0</v>
      </c>
      <c r="N128" s="117">
        <v>0</v>
      </c>
      <c r="O128" s="117">
        <v>0</v>
      </c>
      <c r="P128" s="268">
        <v>0</v>
      </c>
      <c r="Q128" s="268">
        <v>0</v>
      </c>
      <c r="R128" s="2" t="s">
        <v>1390</v>
      </c>
    </row>
    <row r="129" spans="1:18" x14ac:dyDescent="0.25">
      <c r="A129" s="269"/>
      <c r="B129" s="269"/>
      <c r="C129" s="269" t="s">
        <v>45</v>
      </c>
      <c r="D129" s="269"/>
      <c r="E129" s="269"/>
      <c r="F129" s="270">
        <v>4</v>
      </c>
      <c r="G129" s="270">
        <v>0</v>
      </c>
      <c r="H129" s="270">
        <v>4</v>
      </c>
      <c r="I129" s="270">
        <v>1887</v>
      </c>
      <c r="J129" s="270">
        <v>0</v>
      </c>
      <c r="K129" s="270">
        <v>0</v>
      </c>
      <c r="L129" s="270">
        <v>4</v>
      </c>
      <c r="M129" s="271">
        <v>2.0999999999999999E-3</v>
      </c>
      <c r="N129" s="270">
        <v>12</v>
      </c>
      <c r="O129" s="270">
        <v>5</v>
      </c>
      <c r="P129" s="272">
        <v>0</v>
      </c>
      <c r="Q129" s="272">
        <v>5</v>
      </c>
      <c r="R129" s="269" t="s">
        <v>1390</v>
      </c>
    </row>
    <row r="130" spans="1:18" x14ac:dyDescent="0.25">
      <c r="A130" s="2" t="s">
        <v>1498</v>
      </c>
      <c r="B130" s="2" t="s">
        <v>46</v>
      </c>
      <c r="C130" s="2" t="s">
        <v>47</v>
      </c>
      <c r="D130" s="2" t="s">
        <v>5</v>
      </c>
      <c r="E130" s="117">
        <v>10</v>
      </c>
      <c r="F130" s="117">
        <v>0</v>
      </c>
      <c r="G130" s="117">
        <v>0</v>
      </c>
      <c r="H130" s="117">
        <v>0</v>
      </c>
      <c r="I130" s="117">
        <v>592</v>
      </c>
      <c r="J130" s="117">
        <v>0</v>
      </c>
      <c r="K130" s="117">
        <v>0</v>
      </c>
      <c r="L130" s="117">
        <v>0</v>
      </c>
      <c r="M130" s="267">
        <v>0</v>
      </c>
      <c r="N130" s="117">
        <v>0</v>
      </c>
      <c r="O130" s="117">
        <v>0</v>
      </c>
      <c r="P130" s="268">
        <v>0</v>
      </c>
      <c r="Q130" s="268">
        <v>0</v>
      </c>
      <c r="R130" s="2" t="s">
        <v>1390</v>
      </c>
    </row>
    <row r="131" spans="1:18" x14ac:dyDescent="0.25">
      <c r="A131" s="2" t="s">
        <v>1499</v>
      </c>
      <c r="B131" s="2" t="s">
        <v>196</v>
      </c>
      <c r="C131" s="2" t="s">
        <v>47</v>
      </c>
      <c r="D131" s="2" t="s">
        <v>115</v>
      </c>
      <c r="E131" s="117">
        <v>10</v>
      </c>
      <c r="F131" s="117">
        <v>0</v>
      </c>
      <c r="G131" s="117">
        <v>0</v>
      </c>
      <c r="H131" s="117">
        <v>0</v>
      </c>
      <c r="I131" s="117">
        <v>338</v>
      </c>
      <c r="J131" s="117">
        <v>0</v>
      </c>
      <c r="K131" s="117">
        <v>0</v>
      </c>
      <c r="L131" s="117">
        <v>0</v>
      </c>
      <c r="M131" s="267">
        <v>0</v>
      </c>
      <c r="N131" s="117">
        <v>0</v>
      </c>
      <c r="O131" s="117">
        <v>0</v>
      </c>
      <c r="P131" s="268">
        <v>0</v>
      </c>
      <c r="Q131" s="268">
        <v>0</v>
      </c>
      <c r="R131" s="2" t="s">
        <v>1390</v>
      </c>
    </row>
    <row r="132" spans="1:18" x14ac:dyDescent="0.25">
      <c r="A132" s="2" t="s">
        <v>1500</v>
      </c>
      <c r="B132" s="2" t="s">
        <v>197</v>
      </c>
      <c r="C132" s="2" t="s">
        <v>47</v>
      </c>
      <c r="D132" s="2" t="s">
        <v>115</v>
      </c>
      <c r="E132" s="117">
        <v>10</v>
      </c>
      <c r="F132" s="117">
        <v>0</v>
      </c>
      <c r="G132" s="117">
        <v>0</v>
      </c>
      <c r="H132" s="117">
        <v>0</v>
      </c>
      <c r="I132" s="117">
        <v>24</v>
      </c>
      <c r="J132" s="117">
        <v>0</v>
      </c>
      <c r="K132" s="117">
        <v>0</v>
      </c>
      <c r="L132" s="117">
        <v>0</v>
      </c>
      <c r="M132" s="267">
        <v>0</v>
      </c>
      <c r="N132" s="117">
        <v>0</v>
      </c>
      <c r="O132" s="117">
        <v>0</v>
      </c>
      <c r="P132" s="268">
        <v>0</v>
      </c>
      <c r="Q132" s="268">
        <v>0</v>
      </c>
      <c r="R132" s="2" t="s">
        <v>1390</v>
      </c>
    </row>
    <row r="133" spans="1:18" x14ac:dyDescent="0.25">
      <c r="A133" s="2" t="s">
        <v>1501</v>
      </c>
      <c r="B133" s="2" t="s">
        <v>198</v>
      </c>
      <c r="C133" s="2" t="s">
        <v>47</v>
      </c>
      <c r="D133" s="2" t="s">
        <v>115</v>
      </c>
      <c r="E133" s="117">
        <v>10</v>
      </c>
      <c r="F133" s="117">
        <v>0</v>
      </c>
      <c r="G133" s="117">
        <v>0</v>
      </c>
      <c r="H133" s="117">
        <v>0</v>
      </c>
      <c r="I133" s="117">
        <v>123</v>
      </c>
      <c r="J133" s="117">
        <v>0</v>
      </c>
      <c r="K133" s="117">
        <v>0</v>
      </c>
      <c r="L133" s="117">
        <v>0</v>
      </c>
      <c r="M133" s="267">
        <v>0</v>
      </c>
      <c r="N133" s="117">
        <v>0</v>
      </c>
      <c r="O133" s="117">
        <v>0</v>
      </c>
      <c r="P133" s="268">
        <v>0</v>
      </c>
      <c r="Q133" s="268">
        <v>0</v>
      </c>
      <c r="R133" s="2" t="s">
        <v>1390</v>
      </c>
    </row>
    <row r="134" spans="1:18" x14ac:dyDescent="0.25">
      <c r="A134" s="2" t="s">
        <v>1502</v>
      </c>
      <c r="B134" s="2" t="s">
        <v>199</v>
      </c>
      <c r="C134" s="2" t="s">
        <v>47</v>
      </c>
      <c r="D134" s="2" t="s">
        <v>115</v>
      </c>
      <c r="E134" s="117">
        <v>10</v>
      </c>
      <c r="F134" s="117">
        <v>0</v>
      </c>
      <c r="G134" s="117">
        <v>0</v>
      </c>
      <c r="H134" s="117">
        <v>0</v>
      </c>
      <c r="I134" s="117">
        <v>302</v>
      </c>
      <c r="J134" s="117">
        <v>0</v>
      </c>
      <c r="K134" s="117">
        <v>0</v>
      </c>
      <c r="L134" s="117">
        <v>0</v>
      </c>
      <c r="M134" s="267">
        <v>0</v>
      </c>
      <c r="N134" s="117">
        <v>0</v>
      </c>
      <c r="O134" s="117">
        <v>0</v>
      </c>
      <c r="P134" s="268">
        <v>0</v>
      </c>
      <c r="Q134" s="268">
        <v>0</v>
      </c>
      <c r="R134" s="2" t="s">
        <v>1390</v>
      </c>
    </row>
    <row r="135" spans="1:18" x14ac:dyDescent="0.25">
      <c r="A135" s="2" t="s">
        <v>1503</v>
      </c>
      <c r="B135" s="2" t="s">
        <v>326</v>
      </c>
      <c r="C135" s="2" t="s">
        <v>47</v>
      </c>
      <c r="D135" s="2" t="s">
        <v>115</v>
      </c>
      <c r="E135" s="117">
        <v>10</v>
      </c>
      <c r="F135" s="117">
        <v>0</v>
      </c>
      <c r="G135" s="117">
        <v>0</v>
      </c>
      <c r="H135" s="117">
        <v>0</v>
      </c>
      <c r="I135" s="117">
        <v>56</v>
      </c>
      <c r="J135" s="117">
        <v>0</v>
      </c>
      <c r="K135" s="117">
        <v>0</v>
      </c>
      <c r="L135" s="117">
        <v>0</v>
      </c>
      <c r="M135" s="267">
        <v>0</v>
      </c>
      <c r="N135" s="117">
        <v>0</v>
      </c>
      <c r="O135" s="117">
        <v>0</v>
      </c>
      <c r="P135" s="268">
        <v>0</v>
      </c>
      <c r="Q135" s="268">
        <v>0</v>
      </c>
      <c r="R135" s="2" t="s">
        <v>1390</v>
      </c>
    </row>
    <row r="136" spans="1:18" x14ac:dyDescent="0.25">
      <c r="A136" s="2" t="s">
        <v>1504</v>
      </c>
      <c r="B136" s="2" t="s">
        <v>229</v>
      </c>
      <c r="C136" s="2" t="s">
        <v>47</v>
      </c>
      <c r="D136" s="2" t="s">
        <v>115</v>
      </c>
      <c r="E136" s="117">
        <v>10</v>
      </c>
      <c r="F136" s="117">
        <v>0</v>
      </c>
      <c r="G136" s="117">
        <v>0</v>
      </c>
      <c r="H136" s="117">
        <v>0</v>
      </c>
      <c r="I136" s="117">
        <v>6</v>
      </c>
      <c r="J136" s="117">
        <v>0</v>
      </c>
      <c r="K136" s="117">
        <v>0</v>
      </c>
      <c r="L136" s="117">
        <v>0</v>
      </c>
      <c r="M136" s="267">
        <v>0</v>
      </c>
      <c r="N136" s="117">
        <v>0</v>
      </c>
      <c r="O136" s="117">
        <v>0</v>
      </c>
      <c r="P136" s="268">
        <v>0</v>
      </c>
      <c r="Q136" s="268">
        <v>0</v>
      </c>
      <c r="R136" s="2" t="s">
        <v>1390</v>
      </c>
    </row>
    <row r="137" spans="1:18" x14ac:dyDescent="0.25">
      <c r="A137" s="269"/>
      <c r="B137" s="269"/>
      <c r="C137" s="269" t="s">
        <v>47</v>
      </c>
      <c r="D137" s="269"/>
      <c r="E137" s="269"/>
      <c r="F137" s="270">
        <v>0</v>
      </c>
      <c r="G137" s="270">
        <v>0</v>
      </c>
      <c r="H137" s="270">
        <v>0</v>
      </c>
      <c r="I137" s="270">
        <v>1441</v>
      </c>
      <c r="J137" s="270">
        <v>0</v>
      </c>
      <c r="K137" s="270">
        <v>0</v>
      </c>
      <c r="L137" s="270">
        <v>0</v>
      </c>
      <c r="M137" s="271">
        <v>0</v>
      </c>
      <c r="N137" s="270">
        <v>0</v>
      </c>
      <c r="O137" s="270">
        <v>0</v>
      </c>
      <c r="P137" s="272">
        <v>0</v>
      </c>
      <c r="Q137" s="272">
        <v>0</v>
      </c>
      <c r="R137" s="269" t="s">
        <v>1390</v>
      </c>
    </row>
    <row r="138" spans="1:18" x14ac:dyDescent="0.25">
      <c r="A138" s="2" t="s">
        <v>1505</v>
      </c>
      <c r="B138" s="2" t="s">
        <v>48</v>
      </c>
      <c r="C138" s="2" t="s">
        <v>49</v>
      </c>
      <c r="D138" s="2" t="s">
        <v>5</v>
      </c>
      <c r="E138" s="117">
        <v>2</v>
      </c>
      <c r="F138" s="117">
        <v>10</v>
      </c>
      <c r="G138" s="117">
        <v>0</v>
      </c>
      <c r="H138" s="117">
        <v>10</v>
      </c>
      <c r="I138" s="117">
        <v>1095</v>
      </c>
      <c r="J138" s="117">
        <v>0</v>
      </c>
      <c r="K138" s="117">
        <v>0</v>
      </c>
      <c r="L138" s="117">
        <v>10</v>
      </c>
      <c r="M138" s="267">
        <v>8.9999999999999993E-3</v>
      </c>
      <c r="N138" s="117">
        <v>30</v>
      </c>
      <c r="O138" s="117">
        <v>17</v>
      </c>
      <c r="P138" s="268">
        <v>0</v>
      </c>
      <c r="Q138" s="268">
        <v>17</v>
      </c>
      <c r="R138" s="2" t="s">
        <v>1390</v>
      </c>
    </row>
    <row r="139" spans="1:18" x14ac:dyDescent="0.25">
      <c r="A139" s="2" t="s">
        <v>1506</v>
      </c>
      <c r="B139" s="2" t="s">
        <v>200</v>
      </c>
      <c r="C139" s="2" t="s">
        <v>49</v>
      </c>
      <c r="D139" s="2" t="s">
        <v>115</v>
      </c>
      <c r="E139" s="117">
        <v>2</v>
      </c>
      <c r="F139" s="117">
        <v>0</v>
      </c>
      <c r="G139" s="117">
        <v>0</v>
      </c>
      <c r="H139" s="117">
        <v>0</v>
      </c>
      <c r="I139" s="117">
        <v>30</v>
      </c>
      <c r="J139" s="117">
        <v>0</v>
      </c>
      <c r="K139" s="117">
        <v>0</v>
      </c>
      <c r="L139" s="117">
        <v>0</v>
      </c>
      <c r="M139" s="267">
        <v>0</v>
      </c>
      <c r="N139" s="117">
        <v>0</v>
      </c>
      <c r="O139" s="117">
        <v>0</v>
      </c>
      <c r="P139" s="268">
        <v>0</v>
      </c>
      <c r="Q139" s="268">
        <v>0</v>
      </c>
      <c r="R139" s="2" t="s">
        <v>1390</v>
      </c>
    </row>
    <row r="140" spans="1:18" x14ac:dyDescent="0.25">
      <c r="A140" s="2" t="s">
        <v>1507</v>
      </c>
      <c r="B140" s="2" t="s">
        <v>293</v>
      </c>
      <c r="C140" s="2" t="s">
        <v>49</v>
      </c>
      <c r="D140" s="2" t="s">
        <v>115</v>
      </c>
      <c r="E140" s="117">
        <v>2</v>
      </c>
      <c r="F140" s="117">
        <v>0</v>
      </c>
      <c r="G140" s="117">
        <v>0</v>
      </c>
      <c r="H140" s="117">
        <v>0</v>
      </c>
      <c r="I140" s="117">
        <v>219</v>
      </c>
      <c r="J140" s="117">
        <v>0</v>
      </c>
      <c r="K140" s="117">
        <v>0</v>
      </c>
      <c r="L140" s="117">
        <v>0</v>
      </c>
      <c r="M140" s="267">
        <v>0</v>
      </c>
      <c r="N140" s="117">
        <v>0</v>
      </c>
      <c r="O140" s="117">
        <v>0</v>
      </c>
      <c r="P140" s="268">
        <v>0</v>
      </c>
      <c r="Q140" s="268">
        <v>0</v>
      </c>
      <c r="R140" s="2" t="s">
        <v>1390</v>
      </c>
    </row>
    <row r="141" spans="1:18" x14ac:dyDescent="0.25">
      <c r="A141" s="2" t="s">
        <v>1508</v>
      </c>
      <c r="B141" s="2" t="s">
        <v>294</v>
      </c>
      <c r="C141" s="2" t="s">
        <v>49</v>
      </c>
      <c r="D141" s="2" t="s">
        <v>115</v>
      </c>
      <c r="E141" s="117">
        <v>2</v>
      </c>
      <c r="F141" s="117">
        <v>0</v>
      </c>
      <c r="G141" s="117">
        <v>0</v>
      </c>
      <c r="H141" s="117">
        <v>0</v>
      </c>
      <c r="I141" s="117">
        <v>108</v>
      </c>
      <c r="J141" s="117">
        <v>0</v>
      </c>
      <c r="K141" s="117">
        <v>0</v>
      </c>
      <c r="L141" s="117">
        <v>0</v>
      </c>
      <c r="M141" s="267">
        <v>0</v>
      </c>
      <c r="N141" s="117">
        <v>0</v>
      </c>
      <c r="O141" s="117">
        <v>0</v>
      </c>
      <c r="P141" s="268">
        <v>0</v>
      </c>
      <c r="Q141" s="268">
        <v>0</v>
      </c>
      <c r="R141" s="2" t="s">
        <v>1390</v>
      </c>
    </row>
    <row r="142" spans="1:18" x14ac:dyDescent="0.25">
      <c r="A142" s="2" t="s">
        <v>1509</v>
      </c>
      <c r="B142" s="2" t="s">
        <v>295</v>
      </c>
      <c r="C142" s="2" t="s">
        <v>49</v>
      </c>
      <c r="D142" s="2" t="s">
        <v>115</v>
      </c>
      <c r="E142" s="117">
        <v>2</v>
      </c>
      <c r="F142" s="117">
        <v>0</v>
      </c>
      <c r="G142" s="117">
        <v>0</v>
      </c>
      <c r="H142" s="117">
        <v>0</v>
      </c>
      <c r="I142" s="117">
        <v>59</v>
      </c>
      <c r="J142" s="117">
        <v>0</v>
      </c>
      <c r="K142" s="117">
        <v>0</v>
      </c>
      <c r="L142" s="117">
        <v>0</v>
      </c>
      <c r="M142" s="267">
        <v>0</v>
      </c>
      <c r="N142" s="117">
        <v>0</v>
      </c>
      <c r="O142" s="117">
        <v>0</v>
      </c>
      <c r="P142" s="268">
        <v>0</v>
      </c>
      <c r="Q142" s="268">
        <v>0</v>
      </c>
      <c r="R142" s="2" t="s">
        <v>1390</v>
      </c>
    </row>
    <row r="143" spans="1:18" x14ac:dyDescent="0.25">
      <c r="A143" s="2" t="s">
        <v>1510</v>
      </c>
      <c r="B143" s="2" t="s">
        <v>296</v>
      </c>
      <c r="C143" s="2" t="s">
        <v>49</v>
      </c>
      <c r="D143" s="2" t="s">
        <v>115</v>
      </c>
      <c r="E143" s="117">
        <v>2</v>
      </c>
      <c r="F143" s="117">
        <v>0</v>
      </c>
      <c r="G143" s="117">
        <v>0</v>
      </c>
      <c r="H143" s="117">
        <v>0</v>
      </c>
      <c r="I143" s="117">
        <v>75</v>
      </c>
      <c r="J143" s="117">
        <v>0</v>
      </c>
      <c r="K143" s="117">
        <v>0</v>
      </c>
      <c r="L143" s="117">
        <v>0</v>
      </c>
      <c r="M143" s="267">
        <v>0</v>
      </c>
      <c r="N143" s="117">
        <v>0</v>
      </c>
      <c r="O143" s="117">
        <v>0</v>
      </c>
      <c r="P143" s="268">
        <v>0</v>
      </c>
      <c r="Q143" s="268">
        <v>0</v>
      </c>
      <c r="R143" s="2" t="s">
        <v>1390</v>
      </c>
    </row>
    <row r="144" spans="1:18" x14ac:dyDescent="0.25">
      <c r="A144" s="2" t="s">
        <v>1511</v>
      </c>
      <c r="B144" s="2" t="s">
        <v>297</v>
      </c>
      <c r="C144" s="2" t="s">
        <v>49</v>
      </c>
      <c r="D144" s="2" t="s">
        <v>115</v>
      </c>
      <c r="E144" s="117">
        <v>2</v>
      </c>
      <c r="F144" s="117">
        <v>0</v>
      </c>
      <c r="G144" s="117">
        <v>0</v>
      </c>
      <c r="H144" s="117">
        <v>0</v>
      </c>
      <c r="I144" s="117">
        <v>166</v>
      </c>
      <c r="J144" s="117">
        <v>0</v>
      </c>
      <c r="K144" s="117">
        <v>0</v>
      </c>
      <c r="L144" s="117">
        <v>0</v>
      </c>
      <c r="M144" s="267">
        <v>0</v>
      </c>
      <c r="N144" s="117">
        <v>0</v>
      </c>
      <c r="O144" s="117">
        <v>0</v>
      </c>
      <c r="P144" s="268">
        <v>0</v>
      </c>
      <c r="Q144" s="268">
        <v>0</v>
      </c>
      <c r="R144" s="2" t="s">
        <v>1390</v>
      </c>
    </row>
    <row r="145" spans="1:18" x14ac:dyDescent="0.25">
      <c r="A145" s="269"/>
      <c r="B145" s="269"/>
      <c r="C145" s="269" t="s">
        <v>49</v>
      </c>
      <c r="D145" s="269"/>
      <c r="E145" s="269"/>
      <c r="F145" s="270">
        <v>10</v>
      </c>
      <c r="G145" s="270">
        <v>0</v>
      </c>
      <c r="H145" s="270">
        <v>10</v>
      </c>
      <c r="I145" s="270">
        <v>1752</v>
      </c>
      <c r="J145" s="270">
        <v>0</v>
      </c>
      <c r="K145" s="270">
        <v>0</v>
      </c>
      <c r="L145" s="270">
        <v>10</v>
      </c>
      <c r="M145" s="271">
        <v>5.7000000000000002E-3</v>
      </c>
      <c r="N145" s="270">
        <v>30</v>
      </c>
      <c r="O145" s="270">
        <v>17</v>
      </c>
      <c r="P145" s="272">
        <v>0</v>
      </c>
      <c r="Q145" s="272">
        <v>17</v>
      </c>
      <c r="R145" s="269" t="s">
        <v>1390</v>
      </c>
    </row>
    <row r="146" spans="1:18" x14ac:dyDescent="0.25">
      <c r="A146" s="2" t="s">
        <v>1512</v>
      </c>
      <c r="B146" s="2" t="s">
        <v>50</v>
      </c>
      <c r="C146" s="2" t="s">
        <v>51</v>
      </c>
      <c r="D146" s="2" t="s">
        <v>5</v>
      </c>
      <c r="E146" s="117">
        <v>1</v>
      </c>
      <c r="F146" s="117">
        <v>62</v>
      </c>
      <c r="G146" s="117">
        <v>0</v>
      </c>
      <c r="H146" s="117">
        <v>62</v>
      </c>
      <c r="I146" s="117">
        <v>1308</v>
      </c>
      <c r="J146" s="117">
        <v>0</v>
      </c>
      <c r="K146" s="117">
        <v>0</v>
      </c>
      <c r="L146" s="117">
        <v>62</v>
      </c>
      <c r="M146" s="267">
        <v>4.53E-2</v>
      </c>
      <c r="N146" s="117">
        <v>186</v>
      </c>
      <c r="O146" s="117">
        <v>85</v>
      </c>
      <c r="P146" s="268">
        <v>0</v>
      </c>
      <c r="Q146" s="268">
        <v>85</v>
      </c>
      <c r="R146" s="2" t="s">
        <v>1428</v>
      </c>
    </row>
    <row r="147" spans="1:18" x14ac:dyDescent="0.25">
      <c r="A147" s="2" t="s">
        <v>1513</v>
      </c>
      <c r="B147" s="2" t="s">
        <v>201</v>
      </c>
      <c r="C147" s="2" t="s">
        <v>51</v>
      </c>
      <c r="D147" s="2" t="s">
        <v>115</v>
      </c>
      <c r="E147" s="117">
        <v>1</v>
      </c>
      <c r="F147" s="117">
        <v>16</v>
      </c>
      <c r="G147" s="117">
        <v>0</v>
      </c>
      <c r="H147" s="117">
        <v>16</v>
      </c>
      <c r="I147" s="117">
        <v>20</v>
      </c>
      <c r="J147" s="117">
        <v>0</v>
      </c>
      <c r="K147" s="117">
        <v>0</v>
      </c>
      <c r="L147" s="117">
        <v>16</v>
      </c>
      <c r="M147" s="267">
        <v>0.44440000000000002</v>
      </c>
      <c r="N147" s="117">
        <v>48</v>
      </c>
      <c r="O147" s="117">
        <v>844</v>
      </c>
      <c r="P147" s="268">
        <v>72.222222222200003</v>
      </c>
      <c r="Q147" s="268">
        <v>916.22222222200003</v>
      </c>
      <c r="R147" s="2" t="s">
        <v>1428</v>
      </c>
    </row>
    <row r="148" spans="1:18" x14ac:dyDescent="0.25">
      <c r="A148" s="2" t="s">
        <v>1514</v>
      </c>
      <c r="B148" s="2" t="s">
        <v>202</v>
      </c>
      <c r="C148" s="2" t="s">
        <v>51</v>
      </c>
      <c r="D148" s="2" t="s">
        <v>115</v>
      </c>
      <c r="E148" s="117">
        <v>1</v>
      </c>
      <c r="F148" s="117">
        <v>0</v>
      </c>
      <c r="G148" s="117">
        <v>0</v>
      </c>
      <c r="H148" s="117">
        <v>0</v>
      </c>
      <c r="I148" s="117">
        <v>50</v>
      </c>
      <c r="J148" s="117">
        <v>0</v>
      </c>
      <c r="K148" s="117">
        <v>0</v>
      </c>
      <c r="L148" s="117">
        <v>0</v>
      </c>
      <c r="M148" s="267">
        <v>0</v>
      </c>
      <c r="N148" s="117">
        <v>0</v>
      </c>
      <c r="O148" s="117">
        <v>0</v>
      </c>
      <c r="P148" s="268">
        <v>0</v>
      </c>
      <c r="Q148" s="268">
        <v>0</v>
      </c>
      <c r="R148" s="2" t="s">
        <v>1428</v>
      </c>
    </row>
    <row r="149" spans="1:18" x14ac:dyDescent="0.25">
      <c r="A149" s="2" t="s">
        <v>1515</v>
      </c>
      <c r="B149" s="2" t="s">
        <v>203</v>
      </c>
      <c r="C149" s="2" t="s">
        <v>51</v>
      </c>
      <c r="D149" s="2" t="s">
        <v>115</v>
      </c>
      <c r="E149" s="117">
        <v>1</v>
      </c>
      <c r="F149" s="117">
        <v>0</v>
      </c>
      <c r="G149" s="117">
        <v>0</v>
      </c>
      <c r="H149" s="117">
        <v>0</v>
      </c>
      <c r="I149" s="117">
        <v>234</v>
      </c>
      <c r="J149" s="117">
        <v>0</v>
      </c>
      <c r="K149" s="117">
        <v>0</v>
      </c>
      <c r="L149" s="117">
        <v>0</v>
      </c>
      <c r="M149" s="267">
        <v>0</v>
      </c>
      <c r="N149" s="117">
        <v>0</v>
      </c>
      <c r="O149" s="117">
        <v>0</v>
      </c>
      <c r="P149" s="268">
        <v>0</v>
      </c>
      <c r="Q149" s="268">
        <v>0</v>
      </c>
      <c r="R149" s="2" t="s">
        <v>1428</v>
      </c>
    </row>
    <row r="150" spans="1:18" x14ac:dyDescent="0.25">
      <c r="A150" s="2" t="s">
        <v>1516</v>
      </c>
      <c r="B150" s="2" t="s">
        <v>204</v>
      </c>
      <c r="C150" s="2" t="s">
        <v>51</v>
      </c>
      <c r="D150" s="2" t="s">
        <v>115</v>
      </c>
      <c r="E150" s="117">
        <v>1</v>
      </c>
      <c r="F150" s="117">
        <v>0</v>
      </c>
      <c r="G150" s="117">
        <v>0</v>
      </c>
      <c r="H150" s="117">
        <v>0</v>
      </c>
      <c r="I150" s="117">
        <v>46</v>
      </c>
      <c r="J150" s="117">
        <v>0</v>
      </c>
      <c r="K150" s="117">
        <v>0</v>
      </c>
      <c r="L150" s="117">
        <v>0</v>
      </c>
      <c r="M150" s="267">
        <v>0</v>
      </c>
      <c r="N150" s="117">
        <v>0</v>
      </c>
      <c r="O150" s="117">
        <v>0</v>
      </c>
      <c r="P150" s="268">
        <v>0</v>
      </c>
      <c r="Q150" s="268">
        <v>0</v>
      </c>
      <c r="R150" s="2" t="s">
        <v>1428</v>
      </c>
    </row>
    <row r="151" spans="1:18" x14ac:dyDescent="0.25">
      <c r="A151" s="2" t="s">
        <v>1517</v>
      </c>
      <c r="B151" s="2" t="s">
        <v>205</v>
      </c>
      <c r="C151" s="2" t="s">
        <v>51</v>
      </c>
      <c r="D151" s="2" t="s">
        <v>115</v>
      </c>
      <c r="E151" s="117">
        <v>1</v>
      </c>
      <c r="F151" s="117">
        <v>8</v>
      </c>
      <c r="G151" s="117">
        <v>0</v>
      </c>
      <c r="H151" s="117">
        <v>8</v>
      </c>
      <c r="I151" s="117">
        <v>57</v>
      </c>
      <c r="J151" s="117">
        <v>0</v>
      </c>
      <c r="K151" s="117">
        <v>0</v>
      </c>
      <c r="L151" s="117">
        <v>8</v>
      </c>
      <c r="M151" s="267">
        <v>0.1231</v>
      </c>
      <c r="N151" s="117">
        <v>24</v>
      </c>
      <c r="O151" s="117">
        <v>233</v>
      </c>
      <c r="P151" s="268">
        <v>0</v>
      </c>
      <c r="Q151" s="268">
        <v>233</v>
      </c>
      <c r="R151" s="2" t="s">
        <v>1428</v>
      </c>
    </row>
    <row r="152" spans="1:18" x14ac:dyDescent="0.25">
      <c r="A152" s="2" t="s">
        <v>1518</v>
      </c>
      <c r="B152" s="2" t="s">
        <v>206</v>
      </c>
      <c r="C152" s="2" t="s">
        <v>51</v>
      </c>
      <c r="D152" s="2" t="s">
        <v>115</v>
      </c>
      <c r="E152" s="117">
        <v>1</v>
      </c>
      <c r="F152" s="117">
        <v>15</v>
      </c>
      <c r="G152" s="117">
        <v>0</v>
      </c>
      <c r="H152" s="117">
        <v>15</v>
      </c>
      <c r="I152" s="117">
        <v>27</v>
      </c>
      <c r="J152" s="117">
        <v>0</v>
      </c>
      <c r="K152" s="117">
        <v>0</v>
      </c>
      <c r="L152" s="117">
        <v>15</v>
      </c>
      <c r="M152" s="267">
        <v>0.35709999999999997</v>
      </c>
      <c r="N152" s="117">
        <v>45</v>
      </c>
      <c r="O152" s="117">
        <v>678</v>
      </c>
      <c r="P152" s="268">
        <v>28.571428571399998</v>
      </c>
      <c r="Q152" s="268">
        <v>706.57142857099996</v>
      </c>
      <c r="R152" s="2" t="s">
        <v>1428</v>
      </c>
    </row>
    <row r="153" spans="1:18" x14ac:dyDescent="0.25">
      <c r="A153" s="2" t="s">
        <v>1519</v>
      </c>
      <c r="B153" s="2" t="s">
        <v>207</v>
      </c>
      <c r="C153" s="2" t="s">
        <v>51</v>
      </c>
      <c r="D153" s="2" t="s">
        <v>115</v>
      </c>
      <c r="E153" s="117">
        <v>1</v>
      </c>
      <c r="F153" s="117">
        <v>10</v>
      </c>
      <c r="G153" s="117">
        <v>0</v>
      </c>
      <c r="H153" s="117">
        <v>10</v>
      </c>
      <c r="I153" s="117">
        <v>120</v>
      </c>
      <c r="J153" s="117">
        <v>0</v>
      </c>
      <c r="K153" s="117">
        <v>0</v>
      </c>
      <c r="L153" s="117">
        <v>10</v>
      </c>
      <c r="M153" s="267">
        <v>7.6899999999999996E-2</v>
      </c>
      <c r="N153" s="117">
        <v>30</v>
      </c>
      <c r="O153" s="117">
        <v>146</v>
      </c>
      <c r="P153" s="268">
        <v>0</v>
      </c>
      <c r="Q153" s="268">
        <v>146</v>
      </c>
      <c r="R153" s="2" t="s">
        <v>1428</v>
      </c>
    </row>
    <row r="154" spans="1:18" x14ac:dyDescent="0.25">
      <c r="A154" s="2" t="s">
        <v>1520</v>
      </c>
      <c r="B154" s="2" t="s">
        <v>208</v>
      </c>
      <c r="C154" s="2" t="s">
        <v>51</v>
      </c>
      <c r="D154" s="2" t="s">
        <v>115</v>
      </c>
      <c r="E154" s="117">
        <v>1</v>
      </c>
      <c r="F154" s="117">
        <v>0</v>
      </c>
      <c r="G154" s="117">
        <v>0</v>
      </c>
      <c r="H154" s="117">
        <v>0</v>
      </c>
      <c r="I154" s="117">
        <v>70</v>
      </c>
      <c r="J154" s="117">
        <v>0</v>
      </c>
      <c r="K154" s="117">
        <v>0</v>
      </c>
      <c r="L154" s="117">
        <v>0</v>
      </c>
      <c r="M154" s="267">
        <v>0</v>
      </c>
      <c r="N154" s="117">
        <v>0</v>
      </c>
      <c r="O154" s="117">
        <v>0</v>
      </c>
      <c r="P154" s="268">
        <v>0</v>
      </c>
      <c r="Q154" s="268">
        <v>0</v>
      </c>
      <c r="R154" s="2" t="s">
        <v>1428</v>
      </c>
    </row>
    <row r="155" spans="1:18" x14ac:dyDescent="0.25">
      <c r="A155" s="2" t="s">
        <v>1521</v>
      </c>
      <c r="B155" s="2" t="s">
        <v>209</v>
      </c>
      <c r="C155" s="2" t="s">
        <v>51</v>
      </c>
      <c r="D155" s="2" t="s">
        <v>115</v>
      </c>
      <c r="E155" s="117">
        <v>1</v>
      </c>
      <c r="F155" s="117">
        <v>29</v>
      </c>
      <c r="G155" s="117">
        <v>0</v>
      </c>
      <c r="H155" s="117">
        <v>29</v>
      </c>
      <c r="I155" s="117">
        <v>216</v>
      </c>
      <c r="J155" s="117">
        <v>0</v>
      </c>
      <c r="K155" s="117">
        <v>0</v>
      </c>
      <c r="L155" s="117">
        <v>29</v>
      </c>
      <c r="M155" s="267">
        <v>0.11840000000000001</v>
      </c>
      <c r="N155" s="117">
        <v>87</v>
      </c>
      <c r="O155" s="117">
        <v>224</v>
      </c>
      <c r="P155" s="268">
        <v>0</v>
      </c>
      <c r="Q155" s="268">
        <v>224</v>
      </c>
      <c r="R155" s="2" t="s">
        <v>1428</v>
      </c>
    </row>
    <row r="156" spans="1:18" x14ac:dyDescent="0.25">
      <c r="A156" s="2" t="s">
        <v>1522</v>
      </c>
      <c r="B156" s="2" t="s">
        <v>328</v>
      </c>
      <c r="C156" s="2" t="s">
        <v>51</v>
      </c>
      <c r="D156" s="2" t="s">
        <v>115</v>
      </c>
      <c r="E156" s="117">
        <v>1</v>
      </c>
      <c r="F156" s="117">
        <v>0</v>
      </c>
      <c r="G156" s="117">
        <v>0</v>
      </c>
      <c r="H156" s="117">
        <v>0</v>
      </c>
      <c r="I156" s="117">
        <v>19</v>
      </c>
      <c r="J156" s="117">
        <v>0</v>
      </c>
      <c r="K156" s="117">
        <v>0</v>
      </c>
      <c r="L156" s="117">
        <v>0</v>
      </c>
      <c r="M156" s="267">
        <v>0</v>
      </c>
      <c r="N156" s="117">
        <v>0</v>
      </c>
      <c r="O156" s="117">
        <v>0</v>
      </c>
      <c r="P156" s="268">
        <v>0</v>
      </c>
      <c r="Q156" s="268">
        <v>0</v>
      </c>
      <c r="R156" s="2" t="s">
        <v>1428</v>
      </c>
    </row>
    <row r="157" spans="1:18" x14ac:dyDescent="0.25">
      <c r="A157" s="269"/>
      <c r="B157" s="269"/>
      <c r="C157" s="269" t="s">
        <v>51</v>
      </c>
      <c r="D157" s="269"/>
      <c r="E157" s="269"/>
      <c r="F157" s="270">
        <v>140</v>
      </c>
      <c r="G157" s="270">
        <v>0</v>
      </c>
      <c r="H157" s="270">
        <v>140</v>
      </c>
      <c r="I157" s="270">
        <v>4334</v>
      </c>
      <c r="J157" s="270">
        <v>0</v>
      </c>
      <c r="K157" s="270">
        <v>0</v>
      </c>
      <c r="L157" s="270">
        <v>140</v>
      </c>
      <c r="M157" s="271">
        <v>3.1300000000000001E-2</v>
      </c>
      <c r="N157" s="270">
        <v>420</v>
      </c>
      <c r="O157" s="270">
        <v>2210</v>
      </c>
      <c r="P157" s="272">
        <v>100.793650794</v>
      </c>
      <c r="Q157" s="272">
        <v>2310.7936507899999</v>
      </c>
      <c r="R157" s="269" t="s">
        <v>1428</v>
      </c>
    </row>
    <row r="158" spans="1:18" x14ac:dyDescent="0.25">
      <c r="A158" s="2" t="s">
        <v>1523</v>
      </c>
      <c r="B158" s="2" t="s">
        <v>52</v>
      </c>
      <c r="C158" s="2" t="s">
        <v>53</v>
      </c>
      <c r="D158" s="2" t="s">
        <v>5</v>
      </c>
      <c r="E158" s="117">
        <v>1</v>
      </c>
      <c r="F158" s="117">
        <v>2</v>
      </c>
      <c r="G158" s="117">
        <v>0</v>
      </c>
      <c r="H158" s="117">
        <v>2</v>
      </c>
      <c r="I158" s="117">
        <v>1745</v>
      </c>
      <c r="J158" s="117">
        <v>0</v>
      </c>
      <c r="K158" s="117">
        <v>0</v>
      </c>
      <c r="L158" s="117">
        <v>2</v>
      </c>
      <c r="M158" s="267">
        <v>1.1000000000000001E-3</v>
      </c>
      <c r="N158" s="117">
        <v>6</v>
      </c>
      <c r="O158" s="117">
        <v>2</v>
      </c>
      <c r="P158" s="268">
        <v>0</v>
      </c>
      <c r="Q158" s="268">
        <v>2</v>
      </c>
      <c r="R158" s="2" t="s">
        <v>1428</v>
      </c>
    </row>
    <row r="159" spans="1:18" x14ac:dyDescent="0.25">
      <c r="A159" s="2" t="s">
        <v>1524</v>
      </c>
      <c r="B159" s="2" t="s">
        <v>210</v>
      </c>
      <c r="C159" s="2" t="s">
        <v>53</v>
      </c>
      <c r="D159" s="2" t="s">
        <v>115</v>
      </c>
      <c r="E159" s="117">
        <v>1</v>
      </c>
      <c r="F159" s="117">
        <v>0</v>
      </c>
      <c r="G159" s="117">
        <v>0</v>
      </c>
      <c r="H159" s="117">
        <v>0</v>
      </c>
      <c r="I159" s="117">
        <v>16</v>
      </c>
      <c r="J159" s="117">
        <v>0</v>
      </c>
      <c r="K159" s="117">
        <v>0</v>
      </c>
      <c r="L159" s="117">
        <v>0</v>
      </c>
      <c r="M159" s="267">
        <v>0</v>
      </c>
      <c r="N159" s="117">
        <v>0</v>
      </c>
      <c r="O159" s="117">
        <v>0</v>
      </c>
      <c r="P159" s="268">
        <v>0</v>
      </c>
      <c r="Q159" s="268">
        <v>0</v>
      </c>
      <c r="R159" s="2" t="s">
        <v>1428</v>
      </c>
    </row>
    <row r="160" spans="1:18" x14ac:dyDescent="0.25">
      <c r="A160" s="2" t="s">
        <v>1525</v>
      </c>
      <c r="B160" s="2" t="s">
        <v>211</v>
      </c>
      <c r="C160" s="2" t="s">
        <v>53</v>
      </c>
      <c r="D160" s="2" t="s">
        <v>115</v>
      </c>
      <c r="E160" s="117">
        <v>1</v>
      </c>
      <c r="F160" s="117">
        <v>6</v>
      </c>
      <c r="G160" s="117">
        <v>0</v>
      </c>
      <c r="H160" s="117">
        <v>6</v>
      </c>
      <c r="I160" s="117">
        <v>51</v>
      </c>
      <c r="J160" s="117">
        <v>0</v>
      </c>
      <c r="K160" s="117">
        <v>0</v>
      </c>
      <c r="L160" s="117">
        <v>6</v>
      </c>
      <c r="M160" s="267">
        <v>0.1053</v>
      </c>
      <c r="N160" s="117">
        <v>18</v>
      </c>
      <c r="O160" s="117">
        <v>200</v>
      </c>
      <c r="P160" s="268">
        <v>0</v>
      </c>
      <c r="Q160" s="268">
        <v>200</v>
      </c>
      <c r="R160" s="2" t="s">
        <v>1428</v>
      </c>
    </row>
    <row r="161" spans="1:18" x14ac:dyDescent="0.25">
      <c r="A161" s="2" t="s">
        <v>1526</v>
      </c>
      <c r="B161" s="2" t="s">
        <v>212</v>
      </c>
      <c r="C161" s="2" t="s">
        <v>53</v>
      </c>
      <c r="D161" s="2" t="s">
        <v>115</v>
      </c>
      <c r="E161" s="117">
        <v>1</v>
      </c>
      <c r="F161" s="117">
        <v>5</v>
      </c>
      <c r="G161" s="117">
        <v>0</v>
      </c>
      <c r="H161" s="117">
        <v>5</v>
      </c>
      <c r="I161" s="117">
        <v>19</v>
      </c>
      <c r="J161" s="117">
        <v>0</v>
      </c>
      <c r="K161" s="117">
        <v>0</v>
      </c>
      <c r="L161" s="117">
        <v>5</v>
      </c>
      <c r="M161" s="267">
        <v>0.20830000000000001</v>
      </c>
      <c r="N161" s="117">
        <v>15</v>
      </c>
      <c r="O161" s="117">
        <v>395</v>
      </c>
      <c r="P161" s="268">
        <v>0</v>
      </c>
      <c r="Q161" s="268">
        <v>395</v>
      </c>
      <c r="R161" s="2" t="s">
        <v>1428</v>
      </c>
    </row>
    <row r="162" spans="1:18" x14ac:dyDescent="0.25">
      <c r="A162" s="2" t="s">
        <v>1527</v>
      </c>
      <c r="B162" s="2" t="s">
        <v>213</v>
      </c>
      <c r="C162" s="2" t="s">
        <v>53</v>
      </c>
      <c r="D162" s="2" t="s">
        <v>115</v>
      </c>
      <c r="E162" s="117">
        <v>1</v>
      </c>
      <c r="F162" s="117">
        <v>0</v>
      </c>
      <c r="G162" s="117">
        <v>0</v>
      </c>
      <c r="H162" s="117">
        <v>0</v>
      </c>
      <c r="I162" s="117">
        <v>212</v>
      </c>
      <c r="J162" s="117">
        <v>0</v>
      </c>
      <c r="K162" s="117">
        <v>0</v>
      </c>
      <c r="L162" s="117">
        <v>0</v>
      </c>
      <c r="M162" s="267">
        <v>0</v>
      </c>
      <c r="N162" s="117">
        <v>0</v>
      </c>
      <c r="O162" s="117">
        <v>0</v>
      </c>
      <c r="P162" s="268">
        <v>0</v>
      </c>
      <c r="Q162" s="268">
        <v>0</v>
      </c>
      <c r="R162" s="2" t="s">
        <v>1428</v>
      </c>
    </row>
    <row r="163" spans="1:18" x14ac:dyDescent="0.25">
      <c r="A163" s="2" t="s">
        <v>1528</v>
      </c>
      <c r="B163" s="2" t="s">
        <v>244</v>
      </c>
      <c r="C163" s="2" t="s">
        <v>53</v>
      </c>
      <c r="D163" s="2" t="s">
        <v>115</v>
      </c>
      <c r="E163" s="117">
        <v>1</v>
      </c>
      <c r="F163" s="117">
        <v>0</v>
      </c>
      <c r="G163" s="117">
        <v>0</v>
      </c>
      <c r="H163" s="117">
        <v>0</v>
      </c>
      <c r="I163" s="117">
        <v>0</v>
      </c>
      <c r="J163" s="117">
        <v>0</v>
      </c>
      <c r="K163" s="117">
        <v>0</v>
      </c>
      <c r="L163" s="117">
        <v>0</v>
      </c>
      <c r="M163" s="267" t="s">
        <v>488</v>
      </c>
      <c r="N163" s="117">
        <v>0</v>
      </c>
      <c r="O163" s="117">
        <v>0</v>
      </c>
      <c r="P163" s="268">
        <v>0</v>
      </c>
      <c r="Q163" s="268">
        <v>0</v>
      </c>
      <c r="R163" s="2" t="s">
        <v>1428</v>
      </c>
    </row>
    <row r="164" spans="1:18" x14ac:dyDescent="0.25">
      <c r="A164" s="2" t="s">
        <v>1529</v>
      </c>
      <c r="B164" s="2" t="s">
        <v>324</v>
      </c>
      <c r="C164" s="2" t="s">
        <v>53</v>
      </c>
      <c r="D164" s="2" t="s">
        <v>115</v>
      </c>
      <c r="E164" s="117">
        <v>1</v>
      </c>
      <c r="F164" s="117">
        <v>0</v>
      </c>
      <c r="G164" s="117">
        <v>0</v>
      </c>
      <c r="H164" s="117">
        <v>0</v>
      </c>
      <c r="I164" s="117">
        <v>2</v>
      </c>
      <c r="J164" s="117">
        <v>0</v>
      </c>
      <c r="K164" s="117">
        <v>0</v>
      </c>
      <c r="L164" s="117">
        <v>0</v>
      </c>
      <c r="M164" s="267">
        <v>0</v>
      </c>
      <c r="N164" s="117">
        <v>0</v>
      </c>
      <c r="O164" s="117">
        <v>0</v>
      </c>
      <c r="P164" s="268">
        <v>0</v>
      </c>
      <c r="Q164" s="268">
        <v>0</v>
      </c>
      <c r="R164" s="2" t="s">
        <v>1428</v>
      </c>
    </row>
    <row r="165" spans="1:18" x14ac:dyDescent="0.25">
      <c r="A165" s="269"/>
      <c r="B165" s="269"/>
      <c r="C165" s="269" t="s">
        <v>53</v>
      </c>
      <c r="D165" s="269"/>
      <c r="E165" s="269"/>
      <c r="F165" s="270">
        <v>13</v>
      </c>
      <c r="G165" s="270">
        <v>0</v>
      </c>
      <c r="H165" s="270">
        <v>13</v>
      </c>
      <c r="I165" s="270">
        <v>4090</v>
      </c>
      <c r="J165" s="270">
        <v>0</v>
      </c>
      <c r="K165" s="270">
        <v>0</v>
      </c>
      <c r="L165" s="270">
        <v>13</v>
      </c>
      <c r="M165" s="271">
        <v>3.2000000000000002E-3</v>
      </c>
      <c r="N165" s="270">
        <v>39</v>
      </c>
      <c r="O165" s="270">
        <v>597</v>
      </c>
      <c r="P165" s="272">
        <v>0</v>
      </c>
      <c r="Q165" s="272">
        <v>597</v>
      </c>
      <c r="R165" s="269" t="s">
        <v>1428</v>
      </c>
    </row>
    <row r="166" spans="1:18" x14ac:dyDescent="0.25">
      <c r="A166" s="2" t="s">
        <v>1530</v>
      </c>
      <c r="B166" s="2" t="s">
        <v>54</v>
      </c>
      <c r="C166" s="2" t="s">
        <v>55</v>
      </c>
      <c r="D166" s="2" t="s">
        <v>5</v>
      </c>
      <c r="E166" s="117">
        <v>8</v>
      </c>
      <c r="F166" s="117">
        <v>0</v>
      </c>
      <c r="G166" s="117">
        <v>0</v>
      </c>
      <c r="H166" s="117">
        <v>0</v>
      </c>
      <c r="I166" s="117">
        <v>387</v>
      </c>
      <c r="J166" s="117">
        <v>0</v>
      </c>
      <c r="K166" s="117">
        <v>0</v>
      </c>
      <c r="L166" s="117">
        <v>0</v>
      </c>
      <c r="M166" s="267">
        <v>0</v>
      </c>
      <c r="N166" s="117">
        <v>0</v>
      </c>
      <c r="O166" s="117">
        <v>0</v>
      </c>
      <c r="P166" s="268">
        <v>0</v>
      </c>
      <c r="Q166" s="268">
        <v>0</v>
      </c>
      <c r="R166" s="2" t="s">
        <v>1428</v>
      </c>
    </row>
    <row r="167" spans="1:18" x14ac:dyDescent="0.25">
      <c r="A167" s="2" t="s">
        <v>1531</v>
      </c>
      <c r="B167" s="2" t="s">
        <v>214</v>
      </c>
      <c r="C167" s="2" t="s">
        <v>55</v>
      </c>
      <c r="D167" s="2" t="s">
        <v>115</v>
      </c>
      <c r="E167" s="117">
        <v>8</v>
      </c>
      <c r="F167" s="117">
        <v>8</v>
      </c>
      <c r="G167" s="117">
        <v>0</v>
      </c>
      <c r="H167" s="117">
        <v>8</v>
      </c>
      <c r="I167" s="117">
        <v>162</v>
      </c>
      <c r="J167" s="117">
        <v>0</v>
      </c>
      <c r="K167" s="117">
        <v>0</v>
      </c>
      <c r="L167" s="117">
        <v>8</v>
      </c>
      <c r="M167" s="267">
        <v>4.7100000000000003E-2</v>
      </c>
      <c r="N167" s="117">
        <v>24</v>
      </c>
      <c r="O167" s="117">
        <v>89</v>
      </c>
      <c r="P167" s="268">
        <v>0</v>
      </c>
      <c r="Q167" s="268">
        <v>89</v>
      </c>
      <c r="R167" s="2" t="s">
        <v>1428</v>
      </c>
    </row>
    <row r="168" spans="1:18" x14ac:dyDescent="0.25">
      <c r="A168" s="2" t="s">
        <v>1532</v>
      </c>
      <c r="B168" s="2" t="s">
        <v>215</v>
      </c>
      <c r="C168" s="2" t="s">
        <v>55</v>
      </c>
      <c r="D168" s="2" t="s">
        <v>115</v>
      </c>
      <c r="E168" s="117">
        <v>8</v>
      </c>
      <c r="F168" s="117">
        <v>0</v>
      </c>
      <c r="G168" s="117">
        <v>0</v>
      </c>
      <c r="H168" s="117">
        <v>0</v>
      </c>
      <c r="I168" s="117">
        <v>36</v>
      </c>
      <c r="J168" s="117">
        <v>0</v>
      </c>
      <c r="K168" s="117">
        <v>0</v>
      </c>
      <c r="L168" s="117">
        <v>0</v>
      </c>
      <c r="M168" s="267">
        <v>0</v>
      </c>
      <c r="N168" s="117">
        <v>0</v>
      </c>
      <c r="O168" s="117">
        <v>0</v>
      </c>
      <c r="P168" s="268">
        <v>0</v>
      </c>
      <c r="Q168" s="268">
        <v>0</v>
      </c>
      <c r="R168" s="2" t="s">
        <v>1428</v>
      </c>
    </row>
    <row r="169" spans="1:18" x14ac:dyDescent="0.25">
      <c r="A169" s="2" t="s">
        <v>1533</v>
      </c>
      <c r="B169" s="2" t="s">
        <v>231</v>
      </c>
      <c r="C169" s="2" t="s">
        <v>55</v>
      </c>
      <c r="D169" s="2" t="s">
        <v>115</v>
      </c>
      <c r="E169" s="117">
        <v>8</v>
      </c>
      <c r="F169" s="117">
        <v>0</v>
      </c>
      <c r="G169" s="117">
        <v>0</v>
      </c>
      <c r="H169" s="117">
        <v>0</v>
      </c>
      <c r="I169" s="117">
        <v>9</v>
      </c>
      <c r="J169" s="117">
        <v>0</v>
      </c>
      <c r="K169" s="117">
        <v>0</v>
      </c>
      <c r="L169" s="117">
        <v>0</v>
      </c>
      <c r="M169" s="267">
        <v>0</v>
      </c>
      <c r="N169" s="117">
        <v>0</v>
      </c>
      <c r="O169" s="117">
        <v>0</v>
      </c>
      <c r="P169" s="268">
        <v>0</v>
      </c>
      <c r="Q169" s="268">
        <v>0</v>
      </c>
      <c r="R169" s="2" t="s">
        <v>1428</v>
      </c>
    </row>
    <row r="170" spans="1:18" x14ac:dyDescent="0.25">
      <c r="A170" s="2" t="s">
        <v>1534</v>
      </c>
      <c r="B170" s="2" t="s">
        <v>336</v>
      </c>
      <c r="C170" s="2" t="s">
        <v>55</v>
      </c>
      <c r="D170" s="2" t="s">
        <v>115</v>
      </c>
      <c r="E170" s="117">
        <v>8</v>
      </c>
      <c r="F170" s="117">
        <v>0</v>
      </c>
      <c r="G170" s="117">
        <v>0</v>
      </c>
      <c r="H170" s="117">
        <v>0</v>
      </c>
      <c r="I170" s="117">
        <v>0</v>
      </c>
      <c r="J170" s="117">
        <v>0</v>
      </c>
      <c r="K170" s="117">
        <v>0</v>
      </c>
      <c r="L170" s="117">
        <v>0</v>
      </c>
      <c r="M170" s="267" t="s">
        <v>488</v>
      </c>
      <c r="N170" s="117">
        <v>0</v>
      </c>
      <c r="O170" s="117">
        <v>0</v>
      </c>
      <c r="P170" s="268">
        <v>0</v>
      </c>
      <c r="Q170" s="268">
        <v>0</v>
      </c>
      <c r="R170" s="2" t="s">
        <v>1428</v>
      </c>
    </row>
    <row r="171" spans="1:18" x14ac:dyDescent="0.25">
      <c r="A171" s="2" t="s">
        <v>1535</v>
      </c>
      <c r="B171" s="2" t="s">
        <v>338</v>
      </c>
      <c r="C171" s="2" t="s">
        <v>55</v>
      </c>
      <c r="D171" s="2" t="s">
        <v>115</v>
      </c>
      <c r="E171" s="117">
        <v>8</v>
      </c>
      <c r="F171" s="117">
        <v>0</v>
      </c>
      <c r="G171" s="117">
        <v>0</v>
      </c>
      <c r="H171" s="117">
        <v>0</v>
      </c>
      <c r="I171" s="117">
        <v>0</v>
      </c>
      <c r="J171" s="117">
        <v>0</v>
      </c>
      <c r="K171" s="117">
        <v>0</v>
      </c>
      <c r="L171" s="117">
        <v>0</v>
      </c>
      <c r="M171" s="267" t="s">
        <v>488</v>
      </c>
      <c r="N171" s="117">
        <v>0</v>
      </c>
      <c r="O171" s="117">
        <v>0</v>
      </c>
      <c r="P171" s="268">
        <v>0</v>
      </c>
      <c r="Q171" s="268">
        <v>0</v>
      </c>
      <c r="R171" s="2" t="s">
        <v>1428</v>
      </c>
    </row>
    <row r="172" spans="1:18" x14ac:dyDescent="0.25">
      <c r="A172" s="269"/>
      <c r="B172" s="269"/>
      <c r="C172" s="269" t="s">
        <v>55</v>
      </c>
      <c r="D172" s="269"/>
      <c r="E172" s="269"/>
      <c r="F172" s="270">
        <v>8</v>
      </c>
      <c r="G172" s="270">
        <v>0</v>
      </c>
      <c r="H172" s="270">
        <v>8</v>
      </c>
      <c r="I172" s="270">
        <v>1188</v>
      </c>
      <c r="J172" s="270">
        <v>0</v>
      </c>
      <c r="K172" s="270">
        <v>0</v>
      </c>
      <c r="L172" s="270">
        <v>8</v>
      </c>
      <c r="M172" s="271">
        <v>6.7000000000000002E-3</v>
      </c>
      <c r="N172" s="270">
        <v>24</v>
      </c>
      <c r="O172" s="270">
        <v>89</v>
      </c>
      <c r="P172" s="272">
        <v>0</v>
      </c>
      <c r="Q172" s="272">
        <v>89</v>
      </c>
      <c r="R172" s="269" t="s">
        <v>1428</v>
      </c>
    </row>
    <row r="173" spans="1:18" x14ac:dyDescent="0.25">
      <c r="A173" s="2" t="s">
        <v>1536</v>
      </c>
      <c r="B173" s="2" t="s">
        <v>56</v>
      </c>
      <c r="C173" s="2" t="s">
        <v>57</v>
      </c>
      <c r="D173" s="2" t="s">
        <v>5</v>
      </c>
      <c r="E173" s="117">
        <v>2</v>
      </c>
      <c r="F173" s="117">
        <v>10</v>
      </c>
      <c r="G173" s="117">
        <v>0</v>
      </c>
      <c r="H173" s="117">
        <v>10</v>
      </c>
      <c r="I173" s="117">
        <v>2902</v>
      </c>
      <c r="J173" s="117">
        <v>0</v>
      </c>
      <c r="K173" s="117">
        <v>0</v>
      </c>
      <c r="L173" s="117">
        <v>10</v>
      </c>
      <c r="M173" s="267">
        <v>3.3999999999999998E-3</v>
      </c>
      <c r="N173" s="117">
        <v>30</v>
      </c>
      <c r="O173" s="117">
        <v>6</v>
      </c>
      <c r="P173" s="268">
        <v>0</v>
      </c>
      <c r="Q173" s="268">
        <v>6</v>
      </c>
      <c r="R173" s="2" t="s">
        <v>1390</v>
      </c>
    </row>
    <row r="174" spans="1:18" x14ac:dyDescent="0.25">
      <c r="A174" s="2" t="s">
        <v>1537</v>
      </c>
      <c r="B174" s="2" t="s">
        <v>217</v>
      </c>
      <c r="C174" s="2" t="s">
        <v>57</v>
      </c>
      <c r="D174" s="2" t="s">
        <v>115</v>
      </c>
      <c r="E174" s="117">
        <v>2</v>
      </c>
      <c r="F174" s="117">
        <v>0</v>
      </c>
      <c r="G174" s="117">
        <v>0</v>
      </c>
      <c r="H174" s="117">
        <v>0</v>
      </c>
      <c r="I174" s="117">
        <v>123</v>
      </c>
      <c r="J174" s="117">
        <v>0</v>
      </c>
      <c r="K174" s="117">
        <v>0</v>
      </c>
      <c r="L174" s="117">
        <v>0</v>
      </c>
      <c r="M174" s="267">
        <v>0</v>
      </c>
      <c r="N174" s="117">
        <v>0</v>
      </c>
      <c r="O174" s="117">
        <v>0</v>
      </c>
      <c r="P174" s="268">
        <v>0</v>
      </c>
      <c r="Q174" s="268">
        <v>0</v>
      </c>
      <c r="R174" s="2" t="s">
        <v>1390</v>
      </c>
    </row>
    <row r="175" spans="1:18" x14ac:dyDescent="0.25">
      <c r="A175" s="2" t="s">
        <v>1538</v>
      </c>
      <c r="B175" s="2" t="s">
        <v>218</v>
      </c>
      <c r="C175" s="2" t="s">
        <v>57</v>
      </c>
      <c r="D175" s="2" t="s">
        <v>115</v>
      </c>
      <c r="E175" s="117">
        <v>2</v>
      </c>
      <c r="F175" s="117">
        <v>0</v>
      </c>
      <c r="G175" s="117">
        <v>0</v>
      </c>
      <c r="H175" s="117">
        <v>0</v>
      </c>
      <c r="I175" s="117">
        <v>72</v>
      </c>
      <c r="J175" s="117">
        <v>0</v>
      </c>
      <c r="K175" s="117">
        <v>0</v>
      </c>
      <c r="L175" s="117">
        <v>0</v>
      </c>
      <c r="M175" s="267">
        <v>0</v>
      </c>
      <c r="N175" s="117">
        <v>0</v>
      </c>
      <c r="O175" s="117">
        <v>0</v>
      </c>
      <c r="P175" s="268">
        <v>0</v>
      </c>
      <c r="Q175" s="268">
        <v>0</v>
      </c>
      <c r="R175" s="2" t="s">
        <v>1390</v>
      </c>
    </row>
    <row r="176" spans="1:18" x14ac:dyDescent="0.25">
      <c r="A176" s="2" t="s">
        <v>1539</v>
      </c>
      <c r="B176" s="2" t="s">
        <v>219</v>
      </c>
      <c r="C176" s="2" t="s">
        <v>57</v>
      </c>
      <c r="D176" s="2" t="s">
        <v>115</v>
      </c>
      <c r="E176" s="117">
        <v>2</v>
      </c>
      <c r="F176" s="117">
        <v>0</v>
      </c>
      <c r="G176" s="117">
        <v>0</v>
      </c>
      <c r="H176" s="117">
        <v>0</v>
      </c>
      <c r="I176" s="117">
        <v>117</v>
      </c>
      <c r="J176" s="117">
        <v>0</v>
      </c>
      <c r="K176" s="117">
        <v>0</v>
      </c>
      <c r="L176" s="117">
        <v>0</v>
      </c>
      <c r="M176" s="267">
        <v>0</v>
      </c>
      <c r="N176" s="117">
        <v>0</v>
      </c>
      <c r="O176" s="117">
        <v>0</v>
      </c>
      <c r="P176" s="268">
        <v>0</v>
      </c>
      <c r="Q176" s="268">
        <v>0</v>
      </c>
      <c r="R176" s="2" t="s">
        <v>1390</v>
      </c>
    </row>
    <row r="177" spans="1:18" x14ac:dyDescent="0.25">
      <c r="A177" s="2" t="s">
        <v>1540</v>
      </c>
      <c r="B177" s="2" t="s">
        <v>221</v>
      </c>
      <c r="C177" s="2" t="s">
        <v>57</v>
      </c>
      <c r="D177" s="2" t="s">
        <v>115</v>
      </c>
      <c r="E177" s="117">
        <v>2</v>
      </c>
      <c r="F177" s="117">
        <v>0</v>
      </c>
      <c r="G177" s="117">
        <v>0</v>
      </c>
      <c r="H177" s="117">
        <v>0</v>
      </c>
      <c r="I177" s="117">
        <v>45</v>
      </c>
      <c r="J177" s="117">
        <v>0</v>
      </c>
      <c r="K177" s="117">
        <v>0</v>
      </c>
      <c r="L177" s="117">
        <v>0</v>
      </c>
      <c r="M177" s="267">
        <v>0</v>
      </c>
      <c r="N177" s="117">
        <v>0</v>
      </c>
      <c r="O177" s="117">
        <v>0</v>
      </c>
      <c r="P177" s="268">
        <v>0</v>
      </c>
      <c r="Q177" s="268">
        <v>0</v>
      </c>
      <c r="R177" s="2" t="s">
        <v>1390</v>
      </c>
    </row>
    <row r="178" spans="1:18" x14ac:dyDescent="0.25">
      <c r="A178" s="2" t="s">
        <v>1541</v>
      </c>
      <c r="B178" s="2" t="s">
        <v>334</v>
      </c>
      <c r="C178" s="2" t="s">
        <v>57</v>
      </c>
      <c r="D178" s="2" t="s">
        <v>115</v>
      </c>
      <c r="E178" s="117">
        <v>2</v>
      </c>
      <c r="F178" s="117">
        <v>0</v>
      </c>
      <c r="G178" s="117">
        <v>0</v>
      </c>
      <c r="H178" s="117">
        <v>0</v>
      </c>
      <c r="I178" s="117">
        <v>56</v>
      </c>
      <c r="J178" s="117">
        <v>0</v>
      </c>
      <c r="K178" s="117">
        <v>0</v>
      </c>
      <c r="L178" s="117">
        <v>0</v>
      </c>
      <c r="M178" s="267">
        <v>0</v>
      </c>
      <c r="N178" s="117">
        <v>0</v>
      </c>
      <c r="O178" s="117">
        <v>0</v>
      </c>
      <c r="P178" s="268">
        <v>0</v>
      </c>
      <c r="Q178" s="268">
        <v>0</v>
      </c>
      <c r="R178" s="2" t="s">
        <v>1390</v>
      </c>
    </row>
    <row r="179" spans="1:18" x14ac:dyDescent="0.25">
      <c r="A179" s="269"/>
      <c r="B179" s="269"/>
      <c r="C179" s="269" t="s">
        <v>57</v>
      </c>
      <c r="D179" s="269"/>
      <c r="E179" s="269"/>
      <c r="F179" s="270">
        <v>10</v>
      </c>
      <c r="G179" s="270">
        <v>0</v>
      </c>
      <c r="H179" s="270">
        <v>10</v>
      </c>
      <c r="I179" s="270">
        <v>3315</v>
      </c>
      <c r="J179" s="270">
        <v>0</v>
      </c>
      <c r="K179" s="270">
        <v>0</v>
      </c>
      <c r="L179" s="270">
        <v>10</v>
      </c>
      <c r="M179" s="271">
        <v>3.0000000000000001E-3</v>
      </c>
      <c r="N179" s="270">
        <v>30</v>
      </c>
      <c r="O179" s="270">
        <v>6</v>
      </c>
      <c r="P179" s="272">
        <v>0</v>
      </c>
      <c r="Q179" s="272">
        <v>6</v>
      </c>
      <c r="R179" s="269" t="s">
        <v>1390</v>
      </c>
    </row>
    <row r="180" spans="1:18" x14ac:dyDescent="0.25">
      <c r="A180" s="2" t="s">
        <v>1542</v>
      </c>
      <c r="B180" s="2" t="s">
        <v>58</v>
      </c>
      <c r="C180" s="2" t="s">
        <v>59</v>
      </c>
      <c r="D180" s="2" t="s">
        <v>5</v>
      </c>
      <c r="E180" s="117">
        <v>6</v>
      </c>
      <c r="F180" s="117">
        <v>0</v>
      </c>
      <c r="G180" s="117">
        <v>0</v>
      </c>
      <c r="H180" s="117">
        <v>0</v>
      </c>
      <c r="I180" s="117">
        <v>742</v>
      </c>
      <c r="J180" s="117">
        <v>0</v>
      </c>
      <c r="K180" s="117">
        <v>0</v>
      </c>
      <c r="L180" s="117">
        <v>0</v>
      </c>
      <c r="M180" s="267">
        <v>0</v>
      </c>
      <c r="N180" s="117">
        <v>0</v>
      </c>
      <c r="O180" s="117">
        <v>0</v>
      </c>
      <c r="P180" s="268">
        <v>0</v>
      </c>
      <c r="Q180" s="268">
        <v>0</v>
      </c>
      <c r="R180" s="2" t="s">
        <v>1428</v>
      </c>
    </row>
    <row r="181" spans="1:18" x14ac:dyDescent="0.25">
      <c r="A181" s="2" t="s">
        <v>1543</v>
      </c>
      <c r="B181" s="2" t="s">
        <v>222</v>
      </c>
      <c r="C181" s="2" t="s">
        <v>59</v>
      </c>
      <c r="D181" s="2" t="s">
        <v>115</v>
      </c>
      <c r="E181" s="117">
        <v>6</v>
      </c>
      <c r="F181" s="117">
        <v>0</v>
      </c>
      <c r="G181" s="117">
        <v>0</v>
      </c>
      <c r="H181" s="117">
        <v>0</v>
      </c>
      <c r="I181" s="117">
        <v>0</v>
      </c>
      <c r="J181" s="117">
        <v>0</v>
      </c>
      <c r="K181" s="117">
        <v>0</v>
      </c>
      <c r="L181" s="117">
        <v>0</v>
      </c>
      <c r="M181" s="267" t="s">
        <v>488</v>
      </c>
      <c r="N181" s="117">
        <v>0</v>
      </c>
      <c r="O181" s="117">
        <v>0</v>
      </c>
      <c r="P181" s="268">
        <v>0</v>
      </c>
      <c r="Q181" s="268">
        <v>0</v>
      </c>
      <c r="R181" s="2" t="s">
        <v>1428</v>
      </c>
    </row>
    <row r="182" spans="1:18" x14ac:dyDescent="0.25">
      <c r="A182" s="2" t="s">
        <v>1544</v>
      </c>
      <c r="B182" s="2" t="s">
        <v>223</v>
      </c>
      <c r="C182" s="2" t="s">
        <v>59</v>
      </c>
      <c r="D182" s="2" t="s">
        <v>115</v>
      </c>
      <c r="E182" s="117">
        <v>6</v>
      </c>
      <c r="F182" s="117">
        <v>0</v>
      </c>
      <c r="G182" s="117">
        <v>0</v>
      </c>
      <c r="H182" s="117">
        <v>0</v>
      </c>
      <c r="I182" s="117">
        <v>147</v>
      </c>
      <c r="J182" s="117">
        <v>0</v>
      </c>
      <c r="K182" s="117">
        <v>0</v>
      </c>
      <c r="L182" s="117">
        <v>0</v>
      </c>
      <c r="M182" s="267">
        <v>0</v>
      </c>
      <c r="N182" s="117">
        <v>0</v>
      </c>
      <c r="O182" s="117">
        <v>0</v>
      </c>
      <c r="P182" s="268">
        <v>0</v>
      </c>
      <c r="Q182" s="268">
        <v>0</v>
      </c>
      <c r="R182" s="2" t="s">
        <v>1428</v>
      </c>
    </row>
    <row r="183" spans="1:18" x14ac:dyDescent="0.25">
      <c r="A183" s="2" t="s">
        <v>1545</v>
      </c>
      <c r="B183" s="2" t="s">
        <v>315</v>
      </c>
      <c r="C183" s="2" t="s">
        <v>59</v>
      </c>
      <c r="D183" s="2" t="s">
        <v>115</v>
      </c>
      <c r="E183" s="117">
        <v>6</v>
      </c>
      <c r="F183" s="117">
        <v>0</v>
      </c>
      <c r="G183" s="117">
        <v>0</v>
      </c>
      <c r="H183" s="117">
        <v>0</v>
      </c>
      <c r="I183" s="117">
        <v>26</v>
      </c>
      <c r="J183" s="117">
        <v>0</v>
      </c>
      <c r="K183" s="117">
        <v>0</v>
      </c>
      <c r="L183" s="117">
        <v>0</v>
      </c>
      <c r="M183" s="267">
        <v>0</v>
      </c>
      <c r="N183" s="117">
        <v>0</v>
      </c>
      <c r="O183" s="117">
        <v>0</v>
      </c>
      <c r="P183" s="268">
        <v>0</v>
      </c>
      <c r="Q183" s="268">
        <v>0</v>
      </c>
      <c r="R183" s="2" t="s">
        <v>1428</v>
      </c>
    </row>
    <row r="184" spans="1:18" x14ac:dyDescent="0.25">
      <c r="A184" s="2" t="s">
        <v>1546</v>
      </c>
      <c r="B184" s="2" t="s">
        <v>316</v>
      </c>
      <c r="C184" s="2" t="s">
        <v>59</v>
      </c>
      <c r="D184" s="2" t="s">
        <v>115</v>
      </c>
      <c r="E184" s="117">
        <v>6</v>
      </c>
      <c r="F184" s="117">
        <v>0</v>
      </c>
      <c r="G184" s="117">
        <v>0</v>
      </c>
      <c r="H184" s="117">
        <v>0</v>
      </c>
      <c r="I184" s="117">
        <v>9</v>
      </c>
      <c r="J184" s="117">
        <v>0</v>
      </c>
      <c r="K184" s="117">
        <v>0</v>
      </c>
      <c r="L184" s="117">
        <v>0</v>
      </c>
      <c r="M184" s="267">
        <v>0</v>
      </c>
      <c r="N184" s="117">
        <v>0</v>
      </c>
      <c r="O184" s="117">
        <v>0</v>
      </c>
      <c r="P184" s="268">
        <v>0</v>
      </c>
      <c r="Q184" s="268">
        <v>0</v>
      </c>
      <c r="R184" s="2" t="s">
        <v>1428</v>
      </c>
    </row>
    <row r="185" spans="1:18" x14ac:dyDescent="0.25">
      <c r="A185" s="2" t="s">
        <v>1547</v>
      </c>
      <c r="B185" s="2" t="s">
        <v>317</v>
      </c>
      <c r="C185" s="2" t="s">
        <v>59</v>
      </c>
      <c r="D185" s="2" t="s">
        <v>115</v>
      </c>
      <c r="E185" s="117">
        <v>6</v>
      </c>
      <c r="F185" s="117">
        <v>0</v>
      </c>
      <c r="G185" s="117">
        <v>0</v>
      </c>
      <c r="H185" s="117">
        <v>0</v>
      </c>
      <c r="I185" s="117">
        <v>24</v>
      </c>
      <c r="J185" s="117">
        <v>0</v>
      </c>
      <c r="K185" s="117">
        <v>0</v>
      </c>
      <c r="L185" s="117">
        <v>0</v>
      </c>
      <c r="M185" s="267">
        <v>0</v>
      </c>
      <c r="N185" s="117">
        <v>0</v>
      </c>
      <c r="O185" s="117">
        <v>0</v>
      </c>
      <c r="P185" s="268">
        <v>0</v>
      </c>
      <c r="Q185" s="268">
        <v>0</v>
      </c>
      <c r="R185" s="2" t="s">
        <v>1428</v>
      </c>
    </row>
    <row r="186" spans="1:18" x14ac:dyDescent="0.25">
      <c r="A186" s="269"/>
      <c r="B186" s="269"/>
      <c r="C186" s="269" t="s">
        <v>59</v>
      </c>
      <c r="D186" s="269"/>
      <c r="E186" s="269"/>
      <c r="F186" s="270">
        <v>0</v>
      </c>
      <c r="G186" s="270">
        <v>0</v>
      </c>
      <c r="H186" s="270">
        <v>0</v>
      </c>
      <c r="I186" s="270">
        <v>1896</v>
      </c>
      <c r="J186" s="270">
        <v>0</v>
      </c>
      <c r="K186" s="270">
        <v>0</v>
      </c>
      <c r="L186" s="270">
        <v>0</v>
      </c>
      <c r="M186" s="271">
        <v>0</v>
      </c>
      <c r="N186" s="270">
        <v>0</v>
      </c>
      <c r="O186" s="270">
        <v>0</v>
      </c>
      <c r="P186" s="272">
        <v>0</v>
      </c>
      <c r="Q186" s="272">
        <v>0</v>
      </c>
      <c r="R186" s="269" t="s">
        <v>1428</v>
      </c>
    </row>
    <row r="187" spans="1:18" x14ac:dyDescent="0.25">
      <c r="A187" s="2" t="s">
        <v>1548</v>
      </c>
      <c r="B187" s="2" t="s">
        <v>60</v>
      </c>
      <c r="C187" s="2" t="s">
        <v>61</v>
      </c>
      <c r="D187" s="2" t="s">
        <v>5</v>
      </c>
      <c r="E187" s="117">
        <v>9</v>
      </c>
      <c r="F187" s="117">
        <v>0</v>
      </c>
      <c r="G187" s="117">
        <v>0</v>
      </c>
      <c r="H187" s="117">
        <v>0</v>
      </c>
      <c r="I187" s="117">
        <v>652</v>
      </c>
      <c r="J187" s="117">
        <v>0</v>
      </c>
      <c r="K187" s="117">
        <v>0</v>
      </c>
      <c r="L187" s="117">
        <v>0</v>
      </c>
      <c r="M187" s="267">
        <v>0</v>
      </c>
      <c r="N187" s="117">
        <v>0</v>
      </c>
      <c r="O187" s="117">
        <v>0</v>
      </c>
      <c r="P187" s="268">
        <v>0</v>
      </c>
      <c r="Q187" s="268">
        <v>0</v>
      </c>
      <c r="R187" s="2" t="s">
        <v>1390</v>
      </c>
    </row>
    <row r="188" spans="1:18" x14ac:dyDescent="0.25">
      <c r="A188" s="2" t="s">
        <v>1549</v>
      </c>
      <c r="B188" s="2" t="s">
        <v>118</v>
      </c>
      <c r="C188" s="2" t="s">
        <v>61</v>
      </c>
      <c r="D188" s="2" t="s">
        <v>115</v>
      </c>
      <c r="E188" s="117">
        <v>9</v>
      </c>
      <c r="F188" s="117">
        <v>0</v>
      </c>
      <c r="G188" s="117">
        <v>0</v>
      </c>
      <c r="H188" s="117">
        <v>0</v>
      </c>
      <c r="I188" s="117">
        <v>47</v>
      </c>
      <c r="J188" s="117">
        <v>0</v>
      </c>
      <c r="K188" s="117">
        <v>0</v>
      </c>
      <c r="L188" s="117">
        <v>0</v>
      </c>
      <c r="M188" s="267">
        <v>0</v>
      </c>
      <c r="N188" s="117">
        <v>0</v>
      </c>
      <c r="O188" s="117">
        <v>0</v>
      </c>
      <c r="P188" s="268">
        <v>0</v>
      </c>
      <c r="Q188" s="268">
        <v>0</v>
      </c>
      <c r="R188" s="2" t="s">
        <v>1390</v>
      </c>
    </row>
    <row r="189" spans="1:18" x14ac:dyDescent="0.25">
      <c r="A189" s="2" t="s">
        <v>1550</v>
      </c>
      <c r="B189" s="2" t="s">
        <v>298</v>
      </c>
      <c r="C189" s="2" t="s">
        <v>61</v>
      </c>
      <c r="D189" s="2" t="s">
        <v>115</v>
      </c>
      <c r="E189" s="117">
        <v>9</v>
      </c>
      <c r="F189" s="117">
        <v>0</v>
      </c>
      <c r="G189" s="117">
        <v>0</v>
      </c>
      <c r="H189" s="117">
        <v>0</v>
      </c>
      <c r="I189" s="117">
        <v>55</v>
      </c>
      <c r="J189" s="117">
        <v>0</v>
      </c>
      <c r="K189" s="117">
        <v>0</v>
      </c>
      <c r="L189" s="117">
        <v>0</v>
      </c>
      <c r="M189" s="267">
        <v>0</v>
      </c>
      <c r="N189" s="117">
        <v>0</v>
      </c>
      <c r="O189" s="117">
        <v>0</v>
      </c>
      <c r="P189" s="268">
        <v>0</v>
      </c>
      <c r="Q189" s="268">
        <v>0</v>
      </c>
      <c r="R189" s="2" t="s">
        <v>1390</v>
      </c>
    </row>
    <row r="190" spans="1:18" x14ac:dyDescent="0.25">
      <c r="A190" s="269"/>
      <c r="B190" s="269"/>
      <c r="C190" s="269" t="s">
        <v>61</v>
      </c>
      <c r="D190" s="269"/>
      <c r="E190" s="269"/>
      <c r="F190" s="270">
        <v>0</v>
      </c>
      <c r="G190" s="270">
        <v>0</v>
      </c>
      <c r="H190" s="270">
        <v>0</v>
      </c>
      <c r="I190" s="270">
        <v>754</v>
      </c>
      <c r="J190" s="270">
        <v>0</v>
      </c>
      <c r="K190" s="270">
        <v>0</v>
      </c>
      <c r="L190" s="270">
        <v>0</v>
      </c>
      <c r="M190" s="271">
        <v>0</v>
      </c>
      <c r="N190" s="270">
        <v>0</v>
      </c>
      <c r="O190" s="270">
        <v>0</v>
      </c>
      <c r="P190" s="272">
        <v>0</v>
      </c>
      <c r="Q190" s="272">
        <v>0</v>
      </c>
      <c r="R190" s="269" t="s">
        <v>1390</v>
      </c>
    </row>
    <row r="191" spans="1:18" x14ac:dyDescent="0.25">
      <c r="A191" s="2" t="s">
        <v>1551</v>
      </c>
      <c r="B191" s="2" t="s">
        <v>62</v>
      </c>
      <c r="C191" s="2" t="s">
        <v>63</v>
      </c>
      <c r="D191" s="2" t="s">
        <v>5</v>
      </c>
      <c r="E191" s="117">
        <v>4</v>
      </c>
      <c r="F191" s="117">
        <v>0</v>
      </c>
      <c r="G191" s="117">
        <v>0</v>
      </c>
      <c r="H191" s="117">
        <v>0</v>
      </c>
      <c r="I191" s="117">
        <v>628</v>
      </c>
      <c r="J191" s="117">
        <v>0</v>
      </c>
      <c r="K191" s="117">
        <v>0</v>
      </c>
      <c r="L191" s="117">
        <v>0</v>
      </c>
      <c r="M191" s="267">
        <v>0</v>
      </c>
      <c r="N191" s="117">
        <v>0</v>
      </c>
      <c r="O191" s="117">
        <v>0</v>
      </c>
      <c r="P191" s="268">
        <v>0</v>
      </c>
      <c r="Q191" s="268">
        <v>0</v>
      </c>
      <c r="R191" s="2" t="s">
        <v>1428</v>
      </c>
    </row>
    <row r="192" spans="1:18" x14ac:dyDescent="0.25">
      <c r="A192" s="2" t="s">
        <v>1552</v>
      </c>
      <c r="B192" s="2" t="s">
        <v>225</v>
      </c>
      <c r="C192" s="2" t="s">
        <v>63</v>
      </c>
      <c r="D192" s="2" t="s">
        <v>115</v>
      </c>
      <c r="E192" s="117">
        <v>4</v>
      </c>
      <c r="F192" s="117">
        <v>2</v>
      </c>
      <c r="G192" s="117">
        <v>0</v>
      </c>
      <c r="H192" s="117">
        <v>2</v>
      </c>
      <c r="I192" s="117">
        <v>184</v>
      </c>
      <c r="J192" s="117">
        <v>0</v>
      </c>
      <c r="K192" s="117">
        <v>0</v>
      </c>
      <c r="L192" s="117">
        <v>2</v>
      </c>
      <c r="M192" s="267">
        <v>1.0800000000000001E-2</v>
      </c>
      <c r="N192" s="117">
        <v>6</v>
      </c>
      <c r="O192" s="117">
        <v>20</v>
      </c>
      <c r="P192" s="268">
        <v>0</v>
      </c>
      <c r="Q192" s="268">
        <v>20</v>
      </c>
      <c r="R192" s="2" t="s">
        <v>1428</v>
      </c>
    </row>
    <row r="193" spans="1:18" x14ac:dyDescent="0.25">
      <c r="A193" s="2" t="s">
        <v>1553</v>
      </c>
      <c r="B193" s="2" t="s">
        <v>226</v>
      </c>
      <c r="C193" s="2" t="s">
        <v>63</v>
      </c>
      <c r="D193" s="2" t="s">
        <v>115</v>
      </c>
      <c r="E193" s="117">
        <v>4</v>
      </c>
      <c r="F193" s="117">
        <v>0</v>
      </c>
      <c r="G193" s="117">
        <v>0</v>
      </c>
      <c r="H193" s="117">
        <v>0</v>
      </c>
      <c r="I193" s="117">
        <v>35</v>
      </c>
      <c r="J193" s="117">
        <v>0</v>
      </c>
      <c r="K193" s="117">
        <v>0</v>
      </c>
      <c r="L193" s="117">
        <v>0</v>
      </c>
      <c r="M193" s="267">
        <v>0</v>
      </c>
      <c r="N193" s="117">
        <v>0</v>
      </c>
      <c r="O193" s="117">
        <v>0</v>
      </c>
      <c r="P193" s="268">
        <v>0</v>
      </c>
      <c r="Q193" s="268">
        <v>0</v>
      </c>
      <c r="R193" s="2" t="s">
        <v>1428</v>
      </c>
    </row>
    <row r="194" spans="1:18" x14ac:dyDescent="0.25">
      <c r="A194" s="269"/>
      <c r="B194" s="269"/>
      <c r="C194" s="269" t="s">
        <v>63</v>
      </c>
      <c r="D194" s="269"/>
      <c r="E194" s="269"/>
      <c r="F194" s="270">
        <v>2</v>
      </c>
      <c r="G194" s="270">
        <v>0</v>
      </c>
      <c r="H194" s="270">
        <v>2</v>
      </c>
      <c r="I194" s="270">
        <v>1694</v>
      </c>
      <c r="J194" s="270">
        <v>0</v>
      </c>
      <c r="K194" s="270">
        <v>0</v>
      </c>
      <c r="L194" s="270">
        <v>2</v>
      </c>
      <c r="M194" s="271">
        <v>1.1999999999999999E-3</v>
      </c>
      <c r="N194" s="270">
        <v>6</v>
      </c>
      <c r="O194" s="270">
        <v>20</v>
      </c>
      <c r="P194" s="272">
        <v>0</v>
      </c>
      <c r="Q194" s="272">
        <v>20</v>
      </c>
      <c r="R194" s="269" t="s">
        <v>1428</v>
      </c>
    </row>
    <row r="195" spans="1:18" x14ac:dyDescent="0.25">
      <c r="A195" s="2" t="s">
        <v>1554</v>
      </c>
      <c r="B195" s="2" t="s">
        <v>64</v>
      </c>
      <c r="C195" s="2" t="s">
        <v>65</v>
      </c>
      <c r="D195" s="2" t="s">
        <v>5</v>
      </c>
      <c r="E195" s="117">
        <v>10</v>
      </c>
      <c r="F195" s="117">
        <v>1</v>
      </c>
      <c r="G195" s="117">
        <v>0</v>
      </c>
      <c r="H195" s="117">
        <v>1</v>
      </c>
      <c r="I195" s="117">
        <v>302</v>
      </c>
      <c r="J195" s="117">
        <v>0</v>
      </c>
      <c r="K195" s="117">
        <v>0</v>
      </c>
      <c r="L195" s="117">
        <v>1</v>
      </c>
      <c r="M195" s="267">
        <v>3.3E-3</v>
      </c>
      <c r="N195" s="117">
        <v>3</v>
      </c>
      <c r="O195" s="117">
        <v>6</v>
      </c>
      <c r="P195" s="268">
        <v>0</v>
      </c>
      <c r="Q195" s="268">
        <v>6</v>
      </c>
      <c r="R195" s="2" t="s">
        <v>1390</v>
      </c>
    </row>
    <row r="196" spans="1:18" x14ac:dyDescent="0.25">
      <c r="A196" s="2" t="s">
        <v>1555</v>
      </c>
      <c r="B196" s="2" t="s">
        <v>175</v>
      </c>
      <c r="C196" s="2" t="s">
        <v>65</v>
      </c>
      <c r="D196" s="2" t="s">
        <v>115</v>
      </c>
      <c r="E196" s="117">
        <v>10</v>
      </c>
      <c r="F196" s="117">
        <v>0</v>
      </c>
      <c r="G196" s="117">
        <v>0</v>
      </c>
      <c r="H196" s="117">
        <v>0</v>
      </c>
      <c r="I196" s="117">
        <v>0</v>
      </c>
      <c r="J196" s="117">
        <v>0</v>
      </c>
      <c r="K196" s="117">
        <v>0</v>
      </c>
      <c r="L196" s="117">
        <v>0</v>
      </c>
      <c r="M196" s="267" t="s">
        <v>488</v>
      </c>
      <c r="N196" s="117">
        <v>0</v>
      </c>
      <c r="O196" s="117">
        <v>0</v>
      </c>
      <c r="P196" s="268">
        <v>0</v>
      </c>
      <c r="Q196" s="268">
        <v>0</v>
      </c>
      <c r="R196" s="2" t="s">
        <v>1390</v>
      </c>
    </row>
    <row r="197" spans="1:18" x14ac:dyDescent="0.25">
      <c r="A197" s="2" t="s">
        <v>1556</v>
      </c>
      <c r="B197" s="2" t="s">
        <v>185</v>
      </c>
      <c r="C197" s="2" t="s">
        <v>65</v>
      </c>
      <c r="D197" s="2" t="s">
        <v>115</v>
      </c>
      <c r="E197" s="117">
        <v>10</v>
      </c>
      <c r="F197" s="117">
        <v>0</v>
      </c>
      <c r="G197" s="117">
        <v>0</v>
      </c>
      <c r="H197" s="117">
        <v>0</v>
      </c>
      <c r="I197" s="117">
        <v>11</v>
      </c>
      <c r="J197" s="117">
        <v>0</v>
      </c>
      <c r="K197" s="117">
        <v>0</v>
      </c>
      <c r="L197" s="117">
        <v>0</v>
      </c>
      <c r="M197" s="267">
        <v>0</v>
      </c>
      <c r="N197" s="117">
        <v>0</v>
      </c>
      <c r="O197" s="117">
        <v>0</v>
      </c>
      <c r="P197" s="268">
        <v>0</v>
      </c>
      <c r="Q197" s="268">
        <v>0</v>
      </c>
      <c r="R197" s="2" t="s">
        <v>1390</v>
      </c>
    </row>
    <row r="198" spans="1:18" x14ac:dyDescent="0.25">
      <c r="A198" s="2" t="s">
        <v>1557</v>
      </c>
      <c r="B198" s="2" t="s">
        <v>227</v>
      </c>
      <c r="C198" s="2" t="s">
        <v>65</v>
      </c>
      <c r="D198" s="2" t="s">
        <v>115</v>
      </c>
      <c r="E198" s="117">
        <v>10</v>
      </c>
      <c r="F198" s="117">
        <v>2</v>
      </c>
      <c r="G198" s="117">
        <v>0</v>
      </c>
      <c r="H198" s="117">
        <v>2</v>
      </c>
      <c r="I198" s="117">
        <v>93</v>
      </c>
      <c r="J198" s="117">
        <v>0</v>
      </c>
      <c r="K198" s="117">
        <v>0</v>
      </c>
      <c r="L198" s="117">
        <v>2</v>
      </c>
      <c r="M198" s="267">
        <v>2.1100000000000001E-2</v>
      </c>
      <c r="N198" s="117">
        <v>6</v>
      </c>
      <c r="O198" s="117">
        <v>40</v>
      </c>
      <c r="P198" s="268">
        <v>0</v>
      </c>
      <c r="Q198" s="268">
        <v>40</v>
      </c>
      <c r="R198" s="2" t="s">
        <v>1390</v>
      </c>
    </row>
    <row r="199" spans="1:18" x14ac:dyDescent="0.25">
      <c r="A199" s="2" t="s">
        <v>1558</v>
      </c>
      <c r="B199" s="2" t="s">
        <v>228</v>
      </c>
      <c r="C199" s="2" t="s">
        <v>65</v>
      </c>
      <c r="D199" s="2" t="s">
        <v>115</v>
      </c>
      <c r="E199" s="117">
        <v>10</v>
      </c>
      <c r="F199" s="117">
        <v>0</v>
      </c>
      <c r="G199" s="117">
        <v>0</v>
      </c>
      <c r="H199" s="117">
        <v>0</v>
      </c>
      <c r="I199" s="117">
        <v>53</v>
      </c>
      <c r="J199" s="117">
        <v>0</v>
      </c>
      <c r="K199" s="117">
        <v>0</v>
      </c>
      <c r="L199" s="117">
        <v>0</v>
      </c>
      <c r="M199" s="267">
        <v>0</v>
      </c>
      <c r="N199" s="117">
        <v>0</v>
      </c>
      <c r="O199" s="117">
        <v>0</v>
      </c>
      <c r="P199" s="268">
        <v>0</v>
      </c>
      <c r="Q199" s="268">
        <v>0</v>
      </c>
      <c r="R199" s="2" t="s">
        <v>1390</v>
      </c>
    </row>
    <row r="200" spans="1:18" x14ac:dyDescent="0.25">
      <c r="A200" s="2" t="s">
        <v>1504</v>
      </c>
      <c r="B200" s="2" t="s">
        <v>229</v>
      </c>
      <c r="C200" s="2" t="s">
        <v>65</v>
      </c>
      <c r="D200" s="2" t="s">
        <v>115</v>
      </c>
      <c r="E200" s="117">
        <v>10</v>
      </c>
      <c r="F200" s="117">
        <v>0</v>
      </c>
      <c r="G200" s="117">
        <v>0</v>
      </c>
      <c r="H200" s="117">
        <v>0</v>
      </c>
      <c r="I200" s="117">
        <v>2548</v>
      </c>
      <c r="J200" s="117">
        <v>0</v>
      </c>
      <c r="K200" s="117">
        <v>0</v>
      </c>
      <c r="L200" s="117">
        <v>0</v>
      </c>
      <c r="M200" s="267">
        <v>0</v>
      </c>
      <c r="N200" s="117">
        <v>0</v>
      </c>
      <c r="O200" s="117">
        <v>0</v>
      </c>
      <c r="P200" s="268">
        <v>0</v>
      </c>
      <c r="Q200" s="268">
        <v>0</v>
      </c>
      <c r="R200" s="2" t="s">
        <v>1390</v>
      </c>
    </row>
    <row r="201" spans="1:18" x14ac:dyDescent="0.25">
      <c r="A201" s="2" t="s">
        <v>1559</v>
      </c>
      <c r="B201" s="2" t="s">
        <v>318</v>
      </c>
      <c r="C201" s="2" t="s">
        <v>65</v>
      </c>
      <c r="D201" s="2" t="s">
        <v>115</v>
      </c>
      <c r="E201" s="117">
        <v>10</v>
      </c>
      <c r="F201" s="117">
        <v>0</v>
      </c>
      <c r="G201" s="117">
        <v>0</v>
      </c>
      <c r="H201" s="117">
        <v>0</v>
      </c>
      <c r="I201" s="117">
        <v>0</v>
      </c>
      <c r="J201" s="117">
        <v>0</v>
      </c>
      <c r="K201" s="117">
        <v>0</v>
      </c>
      <c r="L201" s="117">
        <v>0</v>
      </c>
      <c r="M201" s="267" t="s">
        <v>488</v>
      </c>
      <c r="N201" s="117">
        <v>0</v>
      </c>
      <c r="O201" s="117">
        <v>0</v>
      </c>
      <c r="P201" s="268">
        <v>0</v>
      </c>
      <c r="Q201" s="268">
        <v>0</v>
      </c>
      <c r="R201" s="2" t="s">
        <v>1390</v>
      </c>
    </row>
    <row r="202" spans="1:18" x14ac:dyDescent="0.25">
      <c r="A202" s="269"/>
      <c r="B202" s="269"/>
      <c r="C202" s="269" t="s">
        <v>65</v>
      </c>
      <c r="D202" s="269"/>
      <c r="E202" s="269"/>
      <c r="F202" s="270">
        <v>3</v>
      </c>
      <c r="G202" s="270">
        <v>0</v>
      </c>
      <c r="H202" s="270">
        <v>3</v>
      </c>
      <c r="I202" s="270">
        <v>3007</v>
      </c>
      <c r="J202" s="270">
        <v>0</v>
      </c>
      <c r="K202" s="270">
        <v>0</v>
      </c>
      <c r="L202" s="270">
        <v>3</v>
      </c>
      <c r="M202" s="271">
        <v>1E-3</v>
      </c>
      <c r="N202" s="270">
        <v>9</v>
      </c>
      <c r="O202" s="270">
        <v>46</v>
      </c>
      <c r="P202" s="272">
        <v>0</v>
      </c>
      <c r="Q202" s="272">
        <v>46</v>
      </c>
      <c r="R202" s="269" t="s">
        <v>1390</v>
      </c>
    </row>
    <row r="203" spans="1:18" x14ac:dyDescent="0.25">
      <c r="A203" s="2" t="s">
        <v>1560</v>
      </c>
      <c r="B203" s="2" t="s">
        <v>66</v>
      </c>
      <c r="C203" s="2" t="s">
        <v>67</v>
      </c>
      <c r="D203" s="2" t="s">
        <v>5</v>
      </c>
      <c r="E203" s="117">
        <v>8</v>
      </c>
      <c r="F203" s="117">
        <v>0</v>
      </c>
      <c r="G203" s="117">
        <v>0</v>
      </c>
      <c r="H203" s="117">
        <v>0</v>
      </c>
      <c r="I203" s="117">
        <v>639</v>
      </c>
      <c r="J203" s="117">
        <v>0</v>
      </c>
      <c r="K203" s="117">
        <v>0</v>
      </c>
      <c r="L203" s="117">
        <v>0</v>
      </c>
      <c r="M203" s="267">
        <v>0</v>
      </c>
      <c r="N203" s="117">
        <v>0</v>
      </c>
      <c r="O203" s="117">
        <v>0</v>
      </c>
      <c r="P203" s="268">
        <v>0</v>
      </c>
      <c r="Q203" s="268">
        <v>0</v>
      </c>
      <c r="R203" s="2" t="s">
        <v>1390</v>
      </c>
    </row>
    <row r="204" spans="1:18" x14ac:dyDescent="0.25">
      <c r="A204" s="2" t="s">
        <v>1561</v>
      </c>
      <c r="B204" s="2" t="s">
        <v>230</v>
      </c>
      <c r="C204" s="2" t="s">
        <v>67</v>
      </c>
      <c r="D204" s="2" t="s">
        <v>115</v>
      </c>
      <c r="E204" s="117">
        <v>8</v>
      </c>
      <c r="F204" s="117">
        <v>0</v>
      </c>
      <c r="G204" s="117">
        <v>0</v>
      </c>
      <c r="H204" s="117">
        <v>0</v>
      </c>
      <c r="I204" s="117">
        <v>20</v>
      </c>
      <c r="J204" s="117">
        <v>0</v>
      </c>
      <c r="K204" s="117">
        <v>0</v>
      </c>
      <c r="L204" s="117">
        <v>0</v>
      </c>
      <c r="M204" s="267">
        <v>0</v>
      </c>
      <c r="N204" s="117">
        <v>0</v>
      </c>
      <c r="O204" s="117">
        <v>0</v>
      </c>
      <c r="P204" s="268">
        <v>0</v>
      </c>
      <c r="Q204" s="268">
        <v>0</v>
      </c>
      <c r="R204" s="2" t="s">
        <v>1390</v>
      </c>
    </row>
    <row r="205" spans="1:18" x14ac:dyDescent="0.25">
      <c r="A205" s="269"/>
      <c r="B205" s="269"/>
      <c r="C205" s="269" t="s">
        <v>67</v>
      </c>
      <c r="D205" s="269"/>
      <c r="E205" s="269"/>
      <c r="F205" s="270">
        <v>0</v>
      </c>
      <c r="G205" s="270">
        <v>0</v>
      </c>
      <c r="H205" s="270">
        <v>0</v>
      </c>
      <c r="I205" s="270">
        <v>659</v>
      </c>
      <c r="J205" s="270">
        <v>0</v>
      </c>
      <c r="K205" s="270">
        <v>0</v>
      </c>
      <c r="L205" s="270">
        <v>0</v>
      </c>
      <c r="M205" s="271">
        <v>0</v>
      </c>
      <c r="N205" s="270">
        <v>0</v>
      </c>
      <c r="O205" s="270">
        <v>0</v>
      </c>
      <c r="P205" s="272">
        <v>0</v>
      </c>
      <c r="Q205" s="272">
        <v>0</v>
      </c>
      <c r="R205" s="269" t="s">
        <v>1390</v>
      </c>
    </row>
    <row r="206" spans="1:18" x14ac:dyDescent="0.25">
      <c r="A206" s="2" t="s">
        <v>1562</v>
      </c>
      <c r="B206" s="2" t="s">
        <v>68</v>
      </c>
      <c r="C206" s="2" t="s">
        <v>69</v>
      </c>
      <c r="D206" s="2" t="s">
        <v>5</v>
      </c>
      <c r="E206" s="117">
        <v>6</v>
      </c>
      <c r="F206" s="117">
        <v>0</v>
      </c>
      <c r="G206" s="117">
        <v>0</v>
      </c>
      <c r="H206" s="117">
        <v>0</v>
      </c>
      <c r="I206" s="117">
        <v>431</v>
      </c>
      <c r="J206" s="117">
        <v>0</v>
      </c>
      <c r="K206" s="117">
        <v>0</v>
      </c>
      <c r="L206" s="117">
        <v>0</v>
      </c>
      <c r="M206" s="267">
        <v>0</v>
      </c>
      <c r="N206" s="117">
        <v>0</v>
      </c>
      <c r="O206" s="117">
        <v>0</v>
      </c>
      <c r="P206" s="268">
        <v>0</v>
      </c>
      <c r="Q206" s="268">
        <v>0</v>
      </c>
      <c r="R206" s="2" t="s">
        <v>1428</v>
      </c>
    </row>
    <row r="207" spans="1:18" x14ac:dyDescent="0.25">
      <c r="A207" s="2" t="s">
        <v>1563</v>
      </c>
      <c r="B207" s="2" t="s">
        <v>220</v>
      </c>
      <c r="C207" s="2" t="s">
        <v>69</v>
      </c>
      <c r="D207" s="2" t="s">
        <v>115</v>
      </c>
      <c r="E207" s="117">
        <v>6</v>
      </c>
      <c r="F207" s="117">
        <v>0</v>
      </c>
      <c r="G207" s="117">
        <v>0</v>
      </c>
      <c r="H207" s="117">
        <v>0</v>
      </c>
      <c r="I207" s="117">
        <v>0</v>
      </c>
      <c r="J207" s="117">
        <v>0</v>
      </c>
      <c r="K207" s="117">
        <v>0</v>
      </c>
      <c r="L207" s="117">
        <v>0</v>
      </c>
      <c r="M207" s="267" t="s">
        <v>488</v>
      </c>
      <c r="N207" s="117">
        <v>0</v>
      </c>
      <c r="O207" s="117">
        <v>0</v>
      </c>
      <c r="P207" s="268">
        <v>0</v>
      </c>
      <c r="Q207" s="268">
        <v>0</v>
      </c>
      <c r="R207" s="2" t="s">
        <v>1428</v>
      </c>
    </row>
    <row r="208" spans="1:18" x14ac:dyDescent="0.25">
      <c r="A208" s="2" t="s">
        <v>1564</v>
      </c>
      <c r="B208" s="2" t="s">
        <v>235</v>
      </c>
      <c r="C208" s="2" t="s">
        <v>69</v>
      </c>
      <c r="D208" s="2" t="s">
        <v>115</v>
      </c>
      <c r="E208" s="117">
        <v>6</v>
      </c>
      <c r="F208" s="117">
        <v>0</v>
      </c>
      <c r="G208" s="117">
        <v>0</v>
      </c>
      <c r="H208" s="117">
        <v>0</v>
      </c>
      <c r="I208" s="117">
        <v>49</v>
      </c>
      <c r="J208" s="117">
        <v>0</v>
      </c>
      <c r="K208" s="117">
        <v>0</v>
      </c>
      <c r="L208" s="117">
        <v>0</v>
      </c>
      <c r="M208" s="267">
        <v>0</v>
      </c>
      <c r="N208" s="117">
        <v>0</v>
      </c>
      <c r="O208" s="117">
        <v>0</v>
      </c>
      <c r="P208" s="268">
        <v>0</v>
      </c>
      <c r="Q208" s="268">
        <v>0</v>
      </c>
      <c r="R208" s="2" t="s">
        <v>1428</v>
      </c>
    </row>
    <row r="209" spans="1:18" x14ac:dyDescent="0.25">
      <c r="A209" s="2" t="s">
        <v>1565</v>
      </c>
      <c r="B209" s="2" t="s">
        <v>236</v>
      </c>
      <c r="C209" s="2" t="s">
        <v>69</v>
      </c>
      <c r="D209" s="2" t="s">
        <v>115</v>
      </c>
      <c r="E209" s="117">
        <v>6</v>
      </c>
      <c r="F209" s="117">
        <v>0</v>
      </c>
      <c r="G209" s="117">
        <v>0</v>
      </c>
      <c r="H209" s="117">
        <v>0</v>
      </c>
      <c r="I209" s="117">
        <v>25</v>
      </c>
      <c r="J209" s="117">
        <v>0</v>
      </c>
      <c r="K209" s="117">
        <v>0</v>
      </c>
      <c r="L209" s="117">
        <v>0</v>
      </c>
      <c r="M209" s="267">
        <v>0</v>
      </c>
      <c r="N209" s="117">
        <v>0</v>
      </c>
      <c r="O209" s="117">
        <v>0</v>
      </c>
      <c r="P209" s="268">
        <v>0</v>
      </c>
      <c r="Q209" s="268">
        <v>0</v>
      </c>
      <c r="R209" s="2" t="s">
        <v>1428</v>
      </c>
    </row>
    <row r="210" spans="1:18" x14ac:dyDescent="0.25">
      <c r="A210" s="2" t="s">
        <v>1566</v>
      </c>
      <c r="B210" s="2" t="s">
        <v>237</v>
      </c>
      <c r="C210" s="2" t="s">
        <v>69</v>
      </c>
      <c r="D210" s="2" t="s">
        <v>115</v>
      </c>
      <c r="E210" s="117">
        <v>6</v>
      </c>
      <c r="F210" s="117">
        <v>0</v>
      </c>
      <c r="G210" s="117">
        <v>0</v>
      </c>
      <c r="H210" s="117">
        <v>0</v>
      </c>
      <c r="I210" s="117">
        <v>125</v>
      </c>
      <c r="J210" s="117">
        <v>0</v>
      </c>
      <c r="K210" s="117">
        <v>0</v>
      </c>
      <c r="L210" s="117">
        <v>0</v>
      </c>
      <c r="M210" s="267">
        <v>0</v>
      </c>
      <c r="N210" s="117">
        <v>0</v>
      </c>
      <c r="O210" s="117">
        <v>0</v>
      </c>
      <c r="P210" s="268">
        <v>0</v>
      </c>
      <c r="Q210" s="268">
        <v>0</v>
      </c>
      <c r="R210" s="2" t="s">
        <v>1428</v>
      </c>
    </row>
    <row r="211" spans="1:18" x14ac:dyDescent="0.25">
      <c r="A211" s="2" t="s">
        <v>1567</v>
      </c>
      <c r="B211" s="2" t="s">
        <v>300</v>
      </c>
      <c r="C211" s="2" t="s">
        <v>69</v>
      </c>
      <c r="D211" s="2" t="s">
        <v>115</v>
      </c>
      <c r="E211" s="117">
        <v>6</v>
      </c>
      <c r="F211" s="117">
        <v>0</v>
      </c>
      <c r="G211" s="117">
        <v>0</v>
      </c>
      <c r="H211" s="117">
        <v>0</v>
      </c>
      <c r="I211" s="117">
        <v>0</v>
      </c>
      <c r="J211" s="117">
        <v>0</v>
      </c>
      <c r="K211" s="117">
        <v>0</v>
      </c>
      <c r="L211" s="117">
        <v>0</v>
      </c>
      <c r="M211" s="267" t="s">
        <v>488</v>
      </c>
      <c r="N211" s="117">
        <v>0</v>
      </c>
      <c r="O211" s="117">
        <v>0</v>
      </c>
      <c r="P211" s="268">
        <v>0</v>
      </c>
      <c r="Q211" s="268">
        <v>0</v>
      </c>
      <c r="R211" s="2" t="s">
        <v>1428</v>
      </c>
    </row>
    <row r="212" spans="1:18" x14ac:dyDescent="0.25">
      <c r="A212" s="2" t="s">
        <v>1568</v>
      </c>
      <c r="B212" s="2" t="s">
        <v>302</v>
      </c>
      <c r="C212" s="2" t="s">
        <v>69</v>
      </c>
      <c r="D212" s="2" t="s">
        <v>115</v>
      </c>
      <c r="E212" s="117">
        <v>6</v>
      </c>
      <c r="F212" s="117">
        <v>0</v>
      </c>
      <c r="G212" s="117">
        <v>0</v>
      </c>
      <c r="H212" s="117">
        <v>0</v>
      </c>
      <c r="I212" s="117">
        <v>24</v>
      </c>
      <c r="J212" s="117">
        <v>0</v>
      </c>
      <c r="K212" s="117">
        <v>0</v>
      </c>
      <c r="L212" s="117">
        <v>0</v>
      </c>
      <c r="M212" s="267">
        <v>0</v>
      </c>
      <c r="N212" s="117">
        <v>0</v>
      </c>
      <c r="O212" s="117">
        <v>0</v>
      </c>
      <c r="P212" s="268">
        <v>0</v>
      </c>
      <c r="Q212" s="268">
        <v>0</v>
      </c>
      <c r="R212" s="2" t="s">
        <v>1428</v>
      </c>
    </row>
    <row r="213" spans="1:18" x14ac:dyDescent="0.25">
      <c r="A213" s="2" t="s">
        <v>1569</v>
      </c>
      <c r="B213" s="2" t="s">
        <v>311</v>
      </c>
      <c r="C213" s="2" t="s">
        <v>69</v>
      </c>
      <c r="D213" s="2" t="s">
        <v>115</v>
      </c>
      <c r="E213" s="117">
        <v>6</v>
      </c>
      <c r="F213" s="117">
        <v>0</v>
      </c>
      <c r="G213" s="117">
        <v>0</v>
      </c>
      <c r="H213" s="117">
        <v>0</v>
      </c>
      <c r="I213" s="117">
        <v>16</v>
      </c>
      <c r="J213" s="117">
        <v>0</v>
      </c>
      <c r="K213" s="117">
        <v>0</v>
      </c>
      <c r="L213" s="117">
        <v>0</v>
      </c>
      <c r="M213" s="267">
        <v>0</v>
      </c>
      <c r="N213" s="117">
        <v>0</v>
      </c>
      <c r="O213" s="117">
        <v>0</v>
      </c>
      <c r="P213" s="268">
        <v>0</v>
      </c>
      <c r="Q213" s="268">
        <v>0</v>
      </c>
      <c r="R213" s="2" t="s">
        <v>1428</v>
      </c>
    </row>
    <row r="214" spans="1:18" x14ac:dyDescent="0.25">
      <c r="A214" s="2" t="s">
        <v>1570</v>
      </c>
      <c r="B214" s="2" t="s">
        <v>312</v>
      </c>
      <c r="C214" s="2" t="s">
        <v>69</v>
      </c>
      <c r="D214" s="2" t="s">
        <v>115</v>
      </c>
      <c r="E214" s="117">
        <v>6</v>
      </c>
      <c r="F214" s="117">
        <v>0</v>
      </c>
      <c r="G214" s="117">
        <v>0</v>
      </c>
      <c r="H214" s="117">
        <v>0</v>
      </c>
      <c r="I214" s="117">
        <v>0</v>
      </c>
      <c r="J214" s="117">
        <v>0</v>
      </c>
      <c r="K214" s="117">
        <v>0</v>
      </c>
      <c r="L214" s="117">
        <v>0</v>
      </c>
      <c r="M214" s="267" t="s">
        <v>488</v>
      </c>
      <c r="N214" s="117">
        <v>0</v>
      </c>
      <c r="O214" s="117">
        <v>0</v>
      </c>
      <c r="P214" s="268">
        <v>0</v>
      </c>
      <c r="Q214" s="268">
        <v>0</v>
      </c>
      <c r="R214" s="2" t="s">
        <v>1428</v>
      </c>
    </row>
    <row r="215" spans="1:18" x14ac:dyDescent="0.25">
      <c r="A215" s="2" t="s">
        <v>1571</v>
      </c>
      <c r="B215" s="2" t="s">
        <v>313</v>
      </c>
      <c r="C215" s="2" t="s">
        <v>69</v>
      </c>
      <c r="D215" s="2" t="s">
        <v>115</v>
      </c>
      <c r="E215" s="117">
        <v>6</v>
      </c>
      <c r="F215" s="117">
        <v>0</v>
      </c>
      <c r="G215" s="117">
        <v>0</v>
      </c>
      <c r="H215" s="117">
        <v>0</v>
      </c>
      <c r="I215" s="117">
        <v>0</v>
      </c>
      <c r="J215" s="117">
        <v>0</v>
      </c>
      <c r="K215" s="117">
        <v>0</v>
      </c>
      <c r="L215" s="117">
        <v>0</v>
      </c>
      <c r="M215" s="267" t="s">
        <v>488</v>
      </c>
      <c r="N215" s="117">
        <v>0</v>
      </c>
      <c r="O215" s="117">
        <v>0</v>
      </c>
      <c r="P215" s="268">
        <v>0</v>
      </c>
      <c r="Q215" s="268">
        <v>0</v>
      </c>
      <c r="R215" s="2" t="s">
        <v>1428</v>
      </c>
    </row>
    <row r="216" spans="1:18" x14ac:dyDescent="0.25">
      <c r="A216" s="2" t="s">
        <v>1572</v>
      </c>
      <c r="B216" s="2" t="s">
        <v>323</v>
      </c>
      <c r="C216" s="2" t="s">
        <v>69</v>
      </c>
      <c r="D216" s="2" t="s">
        <v>115</v>
      </c>
      <c r="E216" s="117">
        <v>6</v>
      </c>
      <c r="F216" s="117">
        <v>0</v>
      </c>
      <c r="G216" s="117">
        <v>0</v>
      </c>
      <c r="H216" s="117">
        <v>0</v>
      </c>
      <c r="I216" s="117">
        <v>0</v>
      </c>
      <c r="J216" s="117">
        <v>0</v>
      </c>
      <c r="K216" s="117">
        <v>0</v>
      </c>
      <c r="L216" s="117">
        <v>0</v>
      </c>
      <c r="M216" s="267" t="s">
        <v>488</v>
      </c>
      <c r="N216" s="117">
        <v>0</v>
      </c>
      <c r="O216" s="117">
        <v>0</v>
      </c>
      <c r="P216" s="268">
        <v>0</v>
      </c>
      <c r="Q216" s="268">
        <v>0</v>
      </c>
      <c r="R216" s="2" t="s">
        <v>1428</v>
      </c>
    </row>
    <row r="217" spans="1:18" x14ac:dyDescent="0.25">
      <c r="A217" s="269"/>
      <c r="B217" s="269"/>
      <c r="C217" s="269" t="s">
        <v>69</v>
      </c>
      <c r="D217" s="269"/>
      <c r="E217" s="269"/>
      <c r="F217" s="270">
        <v>0</v>
      </c>
      <c r="G217" s="270">
        <v>0</v>
      </c>
      <c r="H217" s="270">
        <v>0</v>
      </c>
      <c r="I217" s="270">
        <v>1340</v>
      </c>
      <c r="J217" s="270">
        <v>0</v>
      </c>
      <c r="K217" s="270">
        <v>0</v>
      </c>
      <c r="L217" s="270">
        <v>0</v>
      </c>
      <c r="M217" s="271">
        <v>0</v>
      </c>
      <c r="N217" s="270">
        <v>0</v>
      </c>
      <c r="O217" s="270">
        <v>0</v>
      </c>
      <c r="P217" s="272">
        <v>0</v>
      </c>
      <c r="Q217" s="272">
        <v>0</v>
      </c>
      <c r="R217" s="269" t="s">
        <v>1428</v>
      </c>
    </row>
    <row r="218" spans="1:18" x14ac:dyDescent="0.25">
      <c r="A218" s="2" t="s">
        <v>1573</v>
      </c>
      <c r="B218" s="2" t="s">
        <v>70</v>
      </c>
      <c r="C218" s="2" t="s">
        <v>71</v>
      </c>
      <c r="D218" s="2" t="s">
        <v>5</v>
      </c>
      <c r="E218" s="117">
        <v>3</v>
      </c>
      <c r="F218" s="117">
        <v>0</v>
      </c>
      <c r="G218" s="117">
        <v>0</v>
      </c>
      <c r="H218" s="117">
        <v>0</v>
      </c>
      <c r="I218" s="117">
        <v>1430</v>
      </c>
      <c r="J218" s="117">
        <v>0</v>
      </c>
      <c r="K218" s="117">
        <v>0</v>
      </c>
      <c r="L218" s="117">
        <v>0</v>
      </c>
      <c r="M218" s="267">
        <v>0</v>
      </c>
      <c r="N218" s="117">
        <v>0</v>
      </c>
      <c r="O218" s="117">
        <v>0</v>
      </c>
      <c r="P218" s="268">
        <v>0</v>
      </c>
      <c r="Q218" s="268">
        <v>0</v>
      </c>
      <c r="R218" s="2" t="s">
        <v>1390</v>
      </c>
    </row>
    <row r="219" spans="1:18" x14ac:dyDescent="0.25">
      <c r="A219" s="2" t="s">
        <v>1474</v>
      </c>
      <c r="B219" s="2" t="s">
        <v>176</v>
      </c>
      <c r="C219" s="2" t="s">
        <v>71</v>
      </c>
      <c r="D219" s="2" t="s">
        <v>115</v>
      </c>
      <c r="E219" s="117">
        <v>3</v>
      </c>
      <c r="F219" s="117">
        <v>0</v>
      </c>
      <c r="G219" s="117">
        <v>0</v>
      </c>
      <c r="H219" s="117">
        <v>0</v>
      </c>
      <c r="I219" s="117">
        <v>58</v>
      </c>
      <c r="J219" s="117">
        <v>0</v>
      </c>
      <c r="K219" s="117">
        <v>0</v>
      </c>
      <c r="L219" s="117">
        <v>0</v>
      </c>
      <c r="M219" s="267">
        <v>0</v>
      </c>
      <c r="N219" s="117">
        <v>0</v>
      </c>
      <c r="O219" s="117">
        <v>0</v>
      </c>
      <c r="P219" s="268">
        <v>0</v>
      </c>
      <c r="Q219" s="268">
        <v>0</v>
      </c>
      <c r="R219" s="2" t="s">
        <v>1390</v>
      </c>
    </row>
    <row r="220" spans="1:18" x14ac:dyDescent="0.25">
      <c r="A220" s="2" t="s">
        <v>1574</v>
      </c>
      <c r="B220" s="2" t="s">
        <v>238</v>
      </c>
      <c r="C220" s="2" t="s">
        <v>71</v>
      </c>
      <c r="D220" s="2" t="s">
        <v>115</v>
      </c>
      <c r="E220" s="117">
        <v>3</v>
      </c>
      <c r="F220" s="117">
        <v>0</v>
      </c>
      <c r="G220" s="117">
        <v>0</v>
      </c>
      <c r="H220" s="117">
        <v>0</v>
      </c>
      <c r="I220" s="117">
        <v>63</v>
      </c>
      <c r="J220" s="117">
        <v>0</v>
      </c>
      <c r="K220" s="117">
        <v>0</v>
      </c>
      <c r="L220" s="117">
        <v>0</v>
      </c>
      <c r="M220" s="267">
        <v>0</v>
      </c>
      <c r="N220" s="117">
        <v>0</v>
      </c>
      <c r="O220" s="117">
        <v>0</v>
      </c>
      <c r="P220" s="268">
        <v>0</v>
      </c>
      <c r="Q220" s="268">
        <v>0</v>
      </c>
      <c r="R220" s="2" t="s">
        <v>1390</v>
      </c>
    </row>
    <row r="221" spans="1:18" x14ac:dyDescent="0.25">
      <c r="A221" s="2" t="s">
        <v>1575</v>
      </c>
      <c r="B221" s="2" t="s">
        <v>239</v>
      </c>
      <c r="C221" s="2" t="s">
        <v>71</v>
      </c>
      <c r="D221" s="2" t="s">
        <v>115</v>
      </c>
      <c r="E221" s="117">
        <v>3</v>
      </c>
      <c r="F221" s="117">
        <v>0</v>
      </c>
      <c r="G221" s="117">
        <v>0</v>
      </c>
      <c r="H221" s="117">
        <v>0</v>
      </c>
      <c r="I221" s="117">
        <v>304</v>
      </c>
      <c r="J221" s="117">
        <v>0</v>
      </c>
      <c r="K221" s="117">
        <v>0</v>
      </c>
      <c r="L221" s="117">
        <v>0</v>
      </c>
      <c r="M221" s="267">
        <v>0</v>
      </c>
      <c r="N221" s="117">
        <v>0</v>
      </c>
      <c r="O221" s="117">
        <v>0</v>
      </c>
      <c r="P221" s="268">
        <v>0</v>
      </c>
      <c r="Q221" s="268">
        <v>0</v>
      </c>
      <c r="R221" s="2" t="s">
        <v>1390</v>
      </c>
    </row>
    <row r="222" spans="1:18" x14ac:dyDescent="0.25">
      <c r="A222" s="2" t="s">
        <v>1576</v>
      </c>
      <c r="B222" s="2" t="s">
        <v>240</v>
      </c>
      <c r="C222" s="2" t="s">
        <v>71</v>
      </c>
      <c r="D222" s="2" t="s">
        <v>115</v>
      </c>
      <c r="E222" s="117">
        <v>3</v>
      </c>
      <c r="F222" s="117">
        <v>0</v>
      </c>
      <c r="G222" s="117">
        <v>0</v>
      </c>
      <c r="H222" s="117">
        <v>0</v>
      </c>
      <c r="I222" s="117">
        <v>16</v>
      </c>
      <c r="J222" s="117">
        <v>0</v>
      </c>
      <c r="K222" s="117">
        <v>0</v>
      </c>
      <c r="L222" s="117">
        <v>0</v>
      </c>
      <c r="M222" s="267">
        <v>0</v>
      </c>
      <c r="N222" s="117">
        <v>0</v>
      </c>
      <c r="O222" s="117">
        <v>0</v>
      </c>
      <c r="P222" s="268">
        <v>0</v>
      </c>
      <c r="Q222" s="268">
        <v>0</v>
      </c>
      <c r="R222" s="2" t="s">
        <v>1390</v>
      </c>
    </row>
    <row r="223" spans="1:18" x14ac:dyDescent="0.25">
      <c r="A223" s="2" t="s">
        <v>1577</v>
      </c>
      <c r="B223" s="2" t="s">
        <v>241</v>
      </c>
      <c r="C223" s="2" t="s">
        <v>71</v>
      </c>
      <c r="D223" s="2" t="s">
        <v>115</v>
      </c>
      <c r="E223" s="117">
        <v>3</v>
      </c>
      <c r="F223" s="117">
        <v>0</v>
      </c>
      <c r="G223" s="117">
        <v>0</v>
      </c>
      <c r="H223" s="117">
        <v>0</v>
      </c>
      <c r="I223" s="117">
        <v>32</v>
      </c>
      <c r="J223" s="117">
        <v>0</v>
      </c>
      <c r="K223" s="117">
        <v>0</v>
      </c>
      <c r="L223" s="117">
        <v>0</v>
      </c>
      <c r="M223" s="267">
        <v>0</v>
      </c>
      <c r="N223" s="117">
        <v>0</v>
      </c>
      <c r="O223" s="117">
        <v>0</v>
      </c>
      <c r="P223" s="268">
        <v>0</v>
      </c>
      <c r="Q223" s="268">
        <v>0</v>
      </c>
      <c r="R223" s="2" t="s">
        <v>1390</v>
      </c>
    </row>
    <row r="224" spans="1:18" x14ac:dyDescent="0.25">
      <c r="A224" s="2" t="s">
        <v>1578</v>
      </c>
      <c r="B224" s="2" t="s">
        <v>276</v>
      </c>
      <c r="C224" s="2" t="s">
        <v>71</v>
      </c>
      <c r="D224" s="2" t="s">
        <v>115</v>
      </c>
      <c r="E224" s="117">
        <v>3</v>
      </c>
      <c r="F224" s="117">
        <v>0</v>
      </c>
      <c r="G224" s="117">
        <v>0</v>
      </c>
      <c r="H224" s="117">
        <v>0</v>
      </c>
      <c r="I224" s="117">
        <v>18</v>
      </c>
      <c r="J224" s="117">
        <v>0</v>
      </c>
      <c r="K224" s="117">
        <v>0</v>
      </c>
      <c r="L224" s="117">
        <v>0</v>
      </c>
      <c r="M224" s="267">
        <v>0</v>
      </c>
      <c r="N224" s="117">
        <v>0</v>
      </c>
      <c r="O224" s="117">
        <v>0</v>
      </c>
      <c r="P224" s="268">
        <v>0</v>
      </c>
      <c r="Q224" s="268">
        <v>0</v>
      </c>
      <c r="R224" s="2" t="s">
        <v>1390</v>
      </c>
    </row>
    <row r="225" spans="1:18" x14ac:dyDescent="0.25">
      <c r="A225" s="2" t="s">
        <v>1579</v>
      </c>
      <c r="B225" s="2" t="s">
        <v>314</v>
      </c>
      <c r="C225" s="2" t="s">
        <v>71</v>
      </c>
      <c r="D225" s="2" t="s">
        <v>115</v>
      </c>
      <c r="E225" s="117">
        <v>3</v>
      </c>
      <c r="F225" s="117">
        <v>0</v>
      </c>
      <c r="G225" s="117">
        <v>0</v>
      </c>
      <c r="H225" s="117">
        <v>0</v>
      </c>
      <c r="I225" s="117">
        <v>99</v>
      </c>
      <c r="J225" s="117">
        <v>0</v>
      </c>
      <c r="K225" s="117">
        <v>0</v>
      </c>
      <c r="L225" s="117">
        <v>0</v>
      </c>
      <c r="M225" s="267">
        <v>0</v>
      </c>
      <c r="N225" s="117">
        <v>0</v>
      </c>
      <c r="O225" s="117">
        <v>0</v>
      </c>
      <c r="P225" s="268">
        <v>0</v>
      </c>
      <c r="Q225" s="268">
        <v>0</v>
      </c>
      <c r="R225" s="2" t="s">
        <v>1390</v>
      </c>
    </row>
    <row r="226" spans="1:18" x14ac:dyDescent="0.25">
      <c r="A226" s="269"/>
      <c r="B226" s="269"/>
      <c r="C226" s="269" t="s">
        <v>71</v>
      </c>
      <c r="D226" s="269"/>
      <c r="E226" s="269"/>
      <c r="F226" s="270">
        <v>0</v>
      </c>
      <c r="G226" s="270">
        <v>0</v>
      </c>
      <c r="H226" s="270">
        <v>0</v>
      </c>
      <c r="I226" s="270">
        <v>2020</v>
      </c>
      <c r="J226" s="270">
        <v>0</v>
      </c>
      <c r="K226" s="270">
        <v>0</v>
      </c>
      <c r="L226" s="270">
        <v>0</v>
      </c>
      <c r="M226" s="271">
        <v>0</v>
      </c>
      <c r="N226" s="270">
        <v>0</v>
      </c>
      <c r="O226" s="270">
        <v>0</v>
      </c>
      <c r="P226" s="272">
        <v>0</v>
      </c>
      <c r="Q226" s="272">
        <v>0</v>
      </c>
      <c r="R226" s="269" t="s">
        <v>1390</v>
      </c>
    </row>
    <row r="227" spans="1:18" x14ac:dyDescent="0.25">
      <c r="A227" s="2" t="s">
        <v>1580</v>
      </c>
      <c r="B227" s="2" t="s">
        <v>72</v>
      </c>
      <c r="C227" s="2" t="s">
        <v>73</v>
      </c>
      <c r="D227" s="2" t="s">
        <v>5</v>
      </c>
      <c r="E227" s="117">
        <v>1</v>
      </c>
      <c r="F227" s="117">
        <v>8</v>
      </c>
      <c r="G227" s="117">
        <v>0</v>
      </c>
      <c r="H227" s="117">
        <v>8</v>
      </c>
      <c r="I227" s="117">
        <v>1948</v>
      </c>
      <c r="J227" s="117">
        <v>0</v>
      </c>
      <c r="K227" s="117">
        <v>0</v>
      </c>
      <c r="L227" s="117">
        <v>8</v>
      </c>
      <c r="M227" s="267">
        <v>4.1000000000000003E-3</v>
      </c>
      <c r="N227" s="117">
        <v>24</v>
      </c>
      <c r="O227" s="117">
        <v>7</v>
      </c>
      <c r="P227" s="268">
        <v>0</v>
      </c>
      <c r="Q227" s="268">
        <v>7</v>
      </c>
      <c r="R227" s="2" t="s">
        <v>1428</v>
      </c>
    </row>
    <row r="228" spans="1:18" x14ac:dyDescent="0.25">
      <c r="A228" s="2" t="s">
        <v>1581</v>
      </c>
      <c r="B228" s="2" t="s">
        <v>242</v>
      </c>
      <c r="C228" s="2" t="s">
        <v>73</v>
      </c>
      <c r="D228" s="2" t="s">
        <v>115</v>
      </c>
      <c r="E228" s="117">
        <v>1</v>
      </c>
      <c r="F228" s="117">
        <v>0</v>
      </c>
      <c r="G228" s="117">
        <v>0</v>
      </c>
      <c r="H228" s="117">
        <v>0</v>
      </c>
      <c r="I228" s="117">
        <v>24</v>
      </c>
      <c r="J228" s="117">
        <v>0</v>
      </c>
      <c r="K228" s="117">
        <v>0</v>
      </c>
      <c r="L228" s="117">
        <v>0</v>
      </c>
      <c r="M228" s="267">
        <v>0</v>
      </c>
      <c r="N228" s="117">
        <v>0</v>
      </c>
      <c r="O228" s="117">
        <v>0</v>
      </c>
      <c r="P228" s="268">
        <v>0</v>
      </c>
      <c r="Q228" s="268">
        <v>0</v>
      </c>
      <c r="R228" s="2" t="s">
        <v>1428</v>
      </c>
    </row>
    <row r="229" spans="1:18" x14ac:dyDescent="0.25">
      <c r="A229" s="2" t="s">
        <v>1582</v>
      </c>
      <c r="B229" s="2" t="s">
        <v>243</v>
      </c>
      <c r="C229" s="2" t="s">
        <v>73</v>
      </c>
      <c r="D229" s="2" t="s">
        <v>115</v>
      </c>
      <c r="E229" s="117">
        <v>1</v>
      </c>
      <c r="F229" s="117">
        <v>0</v>
      </c>
      <c r="G229" s="117">
        <v>0</v>
      </c>
      <c r="H229" s="117">
        <v>0</v>
      </c>
      <c r="I229" s="117">
        <v>26</v>
      </c>
      <c r="J229" s="117">
        <v>0</v>
      </c>
      <c r="K229" s="117">
        <v>0</v>
      </c>
      <c r="L229" s="117">
        <v>0</v>
      </c>
      <c r="M229" s="267">
        <v>0</v>
      </c>
      <c r="N229" s="117">
        <v>0</v>
      </c>
      <c r="O229" s="117">
        <v>0</v>
      </c>
      <c r="P229" s="268">
        <v>0</v>
      </c>
      <c r="Q229" s="268">
        <v>0</v>
      </c>
      <c r="R229" s="2" t="s">
        <v>1428</v>
      </c>
    </row>
    <row r="230" spans="1:18" x14ac:dyDescent="0.25">
      <c r="A230" s="2" t="s">
        <v>1583</v>
      </c>
      <c r="B230" s="2" t="s">
        <v>245</v>
      </c>
      <c r="C230" s="2" t="s">
        <v>73</v>
      </c>
      <c r="D230" s="2" t="s">
        <v>115</v>
      </c>
      <c r="E230" s="117">
        <v>1</v>
      </c>
      <c r="F230" s="117">
        <v>0</v>
      </c>
      <c r="G230" s="117">
        <v>0</v>
      </c>
      <c r="H230" s="117">
        <v>0</v>
      </c>
      <c r="I230" s="117">
        <v>94</v>
      </c>
      <c r="J230" s="117">
        <v>0</v>
      </c>
      <c r="K230" s="117">
        <v>0</v>
      </c>
      <c r="L230" s="117">
        <v>0</v>
      </c>
      <c r="M230" s="267">
        <v>0</v>
      </c>
      <c r="N230" s="117">
        <v>0</v>
      </c>
      <c r="O230" s="117">
        <v>0</v>
      </c>
      <c r="P230" s="268">
        <v>0</v>
      </c>
      <c r="Q230" s="268">
        <v>0</v>
      </c>
      <c r="R230" s="2" t="s">
        <v>1428</v>
      </c>
    </row>
    <row r="231" spans="1:18" x14ac:dyDescent="0.25">
      <c r="A231" s="2" t="s">
        <v>1584</v>
      </c>
      <c r="B231" s="2" t="s">
        <v>246</v>
      </c>
      <c r="C231" s="2" t="s">
        <v>73</v>
      </c>
      <c r="D231" s="2" t="s">
        <v>115</v>
      </c>
      <c r="E231" s="117">
        <v>1</v>
      </c>
      <c r="F231" s="117">
        <v>0</v>
      </c>
      <c r="G231" s="117">
        <v>0</v>
      </c>
      <c r="H231" s="117">
        <v>0</v>
      </c>
      <c r="I231" s="117">
        <v>13</v>
      </c>
      <c r="J231" s="117">
        <v>0</v>
      </c>
      <c r="K231" s="117">
        <v>0</v>
      </c>
      <c r="L231" s="117">
        <v>0</v>
      </c>
      <c r="M231" s="267">
        <v>0</v>
      </c>
      <c r="N231" s="117">
        <v>0</v>
      </c>
      <c r="O231" s="117">
        <v>0</v>
      </c>
      <c r="P231" s="268">
        <v>0</v>
      </c>
      <c r="Q231" s="268">
        <v>0</v>
      </c>
      <c r="R231" s="2" t="s">
        <v>1428</v>
      </c>
    </row>
    <row r="232" spans="1:18" x14ac:dyDescent="0.25">
      <c r="A232" s="2" t="s">
        <v>1585</v>
      </c>
      <c r="B232" s="2" t="s">
        <v>325</v>
      </c>
      <c r="C232" s="2" t="s">
        <v>73</v>
      </c>
      <c r="D232" s="2" t="s">
        <v>115</v>
      </c>
      <c r="E232" s="117">
        <v>1</v>
      </c>
      <c r="F232" s="117">
        <v>0</v>
      </c>
      <c r="G232" s="117">
        <v>0</v>
      </c>
      <c r="H232" s="117">
        <v>0</v>
      </c>
      <c r="I232" s="117">
        <v>62</v>
      </c>
      <c r="J232" s="117">
        <v>0</v>
      </c>
      <c r="K232" s="117">
        <v>0</v>
      </c>
      <c r="L232" s="117">
        <v>0</v>
      </c>
      <c r="M232" s="267">
        <v>0</v>
      </c>
      <c r="N232" s="117">
        <v>0</v>
      </c>
      <c r="O232" s="117">
        <v>0</v>
      </c>
      <c r="P232" s="268">
        <v>0</v>
      </c>
      <c r="Q232" s="268">
        <v>0</v>
      </c>
      <c r="R232" s="2" t="s">
        <v>1428</v>
      </c>
    </row>
    <row r="233" spans="1:18" x14ac:dyDescent="0.25">
      <c r="A233" s="269"/>
      <c r="B233" s="269"/>
      <c r="C233" s="269" t="s">
        <v>73</v>
      </c>
      <c r="D233" s="269"/>
      <c r="E233" s="269"/>
      <c r="F233" s="270">
        <v>8</v>
      </c>
      <c r="G233" s="270">
        <v>0</v>
      </c>
      <c r="H233" s="270">
        <v>8</v>
      </c>
      <c r="I233" s="270">
        <v>4334</v>
      </c>
      <c r="J233" s="270">
        <v>0</v>
      </c>
      <c r="K233" s="270">
        <v>0</v>
      </c>
      <c r="L233" s="270">
        <v>8</v>
      </c>
      <c r="M233" s="271">
        <v>1.8E-3</v>
      </c>
      <c r="N233" s="270">
        <v>24</v>
      </c>
      <c r="O233" s="270">
        <v>7</v>
      </c>
      <c r="P233" s="272">
        <v>0</v>
      </c>
      <c r="Q233" s="272">
        <v>7</v>
      </c>
      <c r="R233" s="269" t="s">
        <v>1428</v>
      </c>
    </row>
    <row r="234" spans="1:18" x14ac:dyDescent="0.25">
      <c r="A234" s="2" t="s">
        <v>1586</v>
      </c>
      <c r="B234" s="2" t="s">
        <v>76</v>
      </c>
      <c r="C234" s="2" t="s">
        <v>77</v>
      </c>
      <c r="D234" s="2" t="s">
        <v>5</v>
      </c>
      <c r="E234" s="117">
        <v>5</v>
      </c>
      <c r="F234" s="117">
        <v>0</v>
      </c>
      <c r="G234" s="117">
        <v>0</v>
      </c>
      <c r="H234" s="117">
        <v>0</v>
      </c>
      <c r="I234" s="117">
        <v>1269</v>
      </c>
      <c r="J234" s="117">
        <v>0</v>
      </c>
      <c r="K234" s="117">
        <v>0</v>
      </c>
      <c r="L234" s="117">
        <v>0</v>
      </c>
      <c r="M234" s="267">
        <v>0</v>
      </c>
      <c r="N234" s="117">
        <v>0</v>
      </c>
      <c r="O234" s="117">
        <v>0</v>
      </c>
      <c r="P234" s="268">
        <v>0</v>
      </c>
      <c r="Q234" s="268">
        <v>0</v>
      </c>
      <c r="R234" s="2" t="s">
        <v>1390</v>
      </c>
    </row>
    <row r="235" spans="1:18" x14ac:dyDescent="0.25">
      <c r="A235" s="2" t="s">
        <v>1587</v>
      </c>
      <c r="B235" s="2" t="s">
        <v>253</v>
      </c>
      <c r="C235" s="2" t="s">
        <v>77</v>
      </c>
      <c r="D235" s="2" t="s">
        <v>115</v>
      </c>
      <c r="E235" s="117">
        <v>5</v>
      </c>
      <c r="F235" s="117">
        <v>0</v>
      </c>
      <c r="G235" s="117">
        <v>0</v>
      </c>
      <c r="H235" s="117">
        <v>0</v>
      </c>
      <c r="I235" s="117">
        <v>52</v>
      </c>
      <c r="J235" s="117">
        <v>0</v>
      </c>
      <c r="K235" s="117">
        <v>0</v>
      </c>
      <c r="L235" s="117">
        <v>0</v>
      </c>
      <c r="M235" s="267">
        <v>0</v>
      </c>
      <c r="N235" s="117">
        <v>0</v>
      </c>
      <c r="O235" s="117">
        <v>0</v>
      </c>
      <c r="P235" s="268">
        <v>0</v>
      </c>
      <c r="Q235" s="268">
        <v>0</v>
      </c>
      <c r="R235" s="2" t="s">
        <v>1390</v>
      </c>
    </row>
    <row r="236" spans="1:18" x14ac:dyDescent="0.25">
      <c r="A236" s="2" t="s">
        <v>1588</v>
      </c>
      <c r="B236" s="2" t="s">
        <v>254</v>
      </c>
      <c r="C236" s="2" t="s">
        <v>77</v>
      </c>
      <c r="D236" s="2" t="s">
        <v>115</v>
      </c>
      <c r="E236" s="117">
        <v>5</v>
      </c>
      <c r="F236" s="117">
        <v>0</v>
      </c>
      <c r="G236" s="117">
        <v>0</v>
      </c>
      <c r="H236" s="117">
        <v>0</v>
      </c>
      <c r="I236" s="117">
        <v>160</v>
      </c>
      <c r="J236" s="117">
        <v>0</v>
      </c>
      <c r="K236" s="117">
        <v>0</v>
      </c>
      <c r="L236" s="117">
        <v>0</v>
      </c>
      <c r="M236" s="267">
        <v>0</v>
      </c>
      <c r="N236" s="117">
        <v>0</v>
      </c>
      <c r="O236" s="117">
        <v>0</v>
      </c>
      <c r="P236" s="268">
        <v>0</v>
      </c>
      <c r="Q236" s="268">
        <v>0</v>
      </c>
      <c r="R236" s="2" t="s">
        <v>1390</v>
      </c>
    </row>
    <row r="237" spans="1:18" x14ac:dyDescent="0.25">
      <c r="A237" s="269"/>
      <c r="B237" s="269"/>
      <c r="C237" s="269" t="s">
        <v>77</v>
      </c>
      <c r="D237" s="269"/>
      <c r="E237" s="269"/>
      <c r="F237" s="270">
        <v>0</v>
      </c>
      <c r="G237" s="270">
        <v>0</v>
      </c>
      <c r="H237" s="270">
        <v>0</v>
      </c>
      <c r="I237" s="270">
        <v>1481</v>
      </c>
      <c r="J237" s="270">
        <v>0</v>
      </c>
      <c r="K237" s="270">
        <v>0</v>
      </c>
      <c r="L237" s="270">
        <v>0</v>
      </c>
      <c r="M237" s="271">
        <v>0</v>
      </c>
      <c r="N237" s="270">
        <v>0</v>
      </c>
      <c r="O237" s="270">
        <v>0</v>
      </c>
      <c r="P237" s="272">
        <v>0</v>
      </c>
      <c r="Q237" s="272">
        <v>0</v>
      </c>
      <c r="R237" s="269" t="s">
        <v>1390</v>
      </c>
    </row>
    <row r="238" spans="1:18" x14ac:dyDescent="0.25">
      <c r="A238" s="2" t="s">
        <v>1589</v>
      </c>
      <c r="B238" s="2" t="s">
        <v>78</v>
      </c>
      <c r="C238" s="2" t="s">
        <v>79</v>
      </c>
      <c r="D238" s="2" t="s">
        <v>5</v>
      </c>
      <c r="E238" s="117">
        <v>1</v>
      </c>
      <c r="F238" s="117">
        <v>2</v>
      </c>
      <c r="G238" s="117">
        <v>0</v>
      </c>
      <c r="H238" s="117">
        <v>2</v>
      </c>
      <c r="I238" s="117">
        <v>566</v>
      </c>
      <c r="J238" s="117">
        <v>0</v>
      </c>
      <c r="K238" s="117">
        <v>0</v>
      </c>
      <c r="L238" s="117">
        <v>2</v>
      </c>
      <c r="M238" s="267">
        <v>3.5000000000000001E-3</v>
      </c>
      <c r="N238" s="117">
        <v>6</v>
      </c>
      <c r="O238" s="117">
        <v>6</v>
      </c>
      <c r="P238" s="268">
        <v>0</v>
      </c>
      <c r="Q238" s="268">
        <v>6</v>
      </c>
      <c r="R238" s="2" t="s">
        <v>1428</v>
      </c>
    </row>
    <row r="239" spans="1:18" x14ac:dyDescent="0.25">
      <c r="A239" s="2" t="s">
        <v>1590</v>
      </c>
      <c r="B239" s="2" t="s">
        <v>255</v>
      </c>
      <c r="C239" s="2" t="s">
        <v>79</v>
      </c>
      <c r="D239" s="2" t="s">
        <v>115</v>
      </c>
      <c r="E239" s="117">
        <v>1</v>
      </c>
      <c r="F239" s="117">
        <v>0</v>
      </c>
      <c r="G239" s="117">
        <v>0</v>
      </c>
      <c r="H239" s="117">
        <v>0</v>
      </c>
      <c r="I239" s="117">
        <v>64</v>
      </c>
      <c r="J239" s="117">
        <v>0</v>
      </c>
      <c r="K239" s="117">
        <v>0</v>
      </c>
      <c r="L239" s="117">
        <v>0</v>
      </c>
      <c r="M239" s="267">
        <v>0</v>
      </c>
      <c r="N239" s="117">
        <v>0</v>
      </c>
      <c r="O239" s="117">
        <v>0</v>
      </c>
      <c r="P239" s="268">
        <v>0</v>
      </c>
      <c r="Q239" s="268">
        <v>0</v>
      </c>
      <c r="R239" s="2" t="s">
        <v>1428</v>
      </c>
    </row>
    <row r="240" spans="1:18" x14ac:dyDescent="0.25">
      <c r="A240" s="269"/>
      <c r="B240" s="269"/>
      <c r="C240" s="269" t="s">
        <v>79</v>
      </c>
      <c r="D240" s="269"/>
      <c r="E240" s="269"/>
      <c r="F240" s="270">
        <v>2</v>
      </c>
      <c r="G240" s="270">
        <v>0</v>
      </c>
      <c r="H240" s="270">
        <v>2</v>
      </c>
      <c r="I240" s="270">
        <v>1260</v>
      </c>
      <c r="J240" s="270">
        <v>0</v>
      </c>
      <c r="K240" s="270">
        <v>0</v>
      </c>
      <c r="L240" s="270">
        <v>2</v>
      </c>
      <c r="M240" s="271">
        <v>1.6000000000000001E-3</v>
      </c>
      <c r="N240" s="270">
        <v>6</v>
      </c>
      <c r="O240" s="270">
        <v>6</v>
      </c>
      <c r="P240" s="272">
        <v>0</v>
      </c>
      <c r="Q240" s="272">
        <v>6</v>
      </c>
      <c r="R240" s="269" t="s">
        <v>1428</v>
      </c>
    </row>
    <row r="241" spans="1:18" x14ac:dyDescent="0.25">
      <c r="A241" s="2" t="s">
        <v>1591</v>
      </c>
      <c r="B241" s="2" t="s">
        <v>80</v>
      </c>
      <c r="C241" s="2" t="s">
        <v>81</v>
      </c>
      <c r="D241" s="2" t="s">
        <v>5</v>
      </c>
      <c r="E241" s="117">
        <v>6</v>
      </c>
      <c r="F241" s="117">
        <v>1</v>
      </c>
      <c r="G241" s="117">
        <v>0</v>
      </c>
      <c r="H241" s="117">
        <v>1</v>
      </c>
      <c r="I241" s="117">
        <v>120</v>
      </c>
      <c r="J241" s="117">
        <v>0</v>
      </c>
      <c r="K241" s="117">
        <v>0</v>
      </c>
      <c r="L241" s="117">
        <v>1</v>
      </c>
      <c r="M241" s="267">
        <v>8.3000000000000001E-3</v>
      </c>
      <c r="N241" s="117">
        <v>3</v>
      </c>
      <c r="O241" s="117">
        <v>15</v>
      </c>
      <c r="P241" s="268">
        <v>0</v>
      </c>
      <c r="Q241" s="268">
        <v>15</v>
      </c>
      <c r="R241" s="2" t="s">
        <v>1390</v>
      </c>
    </row>
    <row r="242" spans="1:18" x14ac:dyDescent="0.25">
      <c r="A242" s="2" t="s">
        <v>1592</v>
      </c>
      <c r="B242" s="2" t="s">
        <v>256</v>
      </c>
      <c r="C242" s="2" t="s">
        <v>81</v>
      </c>
      <c r="D242" s="2" t="s">
        <v>115</v>
      </c>
      <c r="E242" s="117">
        <v>6</v>
      </c>
      <c r="F242" s="117">
        <v>0</v>
      </c>
      <c r="G242" s="117">
        <v>0</v>
      </c>
      <c r="H242" s="117">
        <v>0</v>
      </c>
      <c r="I242" s="117">
        <v>10</v>
      </c>
      <c r="J242" s="117">
        <v>0</v>
      </c>
      <c r="K242" s="117">
        <v>0</v>
      </c>
      <c r="L242" s="117">
        <v>0</v>
      </c>
      <c r="M242" s="267">
        <v>0</v>
      </c>
      <c r="N242" s="117">
        <v>0</v>
      </c>
      <c r="O242" s="117">
        <v>0</v>
      </c>
      <c r="P242" s="268">
        <v>0</v>
      </c>
      <c r="Q242" s="268">
        <v>0</v>
      </c>
      <c r="R242" s="2" t="s">
        <v>1390</v>
      </c>
    </row>
    <row r="243" spans="1:18" x14ac:dyDescent="0.25">
      <c r="A243" s="2" t="s">
        <v>1593</v>
      </c>
      <c r="B243" s="2" t="s">
        <v>257</v>
      </c>
      <c r="C243" s="2" t="s">
        <v>81</v>
      </c>
      <c r="D243" s="2" t="s">
        <v>115</v>
      </c>
      <c r="E243" s="117">
        <v>6</v>
      </c>
      <c r="F243" s="117">
        <v>0</v>
      </c>
      <c r="G243" s="117">
        <v>0</v>
      </c>
      <c r="H243" s="117">
        <v>0</v>
      </c>
      <c r="I243" s="117">
        <v>61</v>
      </c>
      <c r="J243" s="117">
        <v>0</v>
      </c>
      <c r="K243" s="117">
        <v>0</v>
      </c>
      <c r="L243" s="117">
        <v>0</v>
      </c>
      <c r="M243" s="267">
        <v>0</v>
      </c>
      <c r="N243" s="117">
        <v>0</v>
      </c>
      <c r="O243" s="117">
        <v>0</v>
      </c>
      <c r="P243" s="268">
        <v>0</v>
      </c>
      <c r="Q243" s="268">
        <v>0</v>
      </c>
      <c r="R243" s="2" t="s">
        <v>1390</v>
      </c>
    </row>
    <row r="244" spans="1:18" x14ac:dyDescent="0.25">
      <c r="A244" s="269"/>
      <c r="B244" s="269"/>
      <c r="C244" s="269" t="s">
        <v>81</v>
      </c>
      <c r="D244" s="269"/>
      <c r="E244" s="269"/>
      <c r="F244" s="270">
        <v>1</v>
      </c>
      <c r="G244" s="270">
        <v>0</v>
      </c>
      <c r="H244" s="270">
        <v>1</v>
      </c>
      <c r="I244" s="270">
        <v>191</v>
      </c>
      <c r="J244" s="270">
        <v>0</v>
      </c>
      <c r="K244" s="270">
        <v>0</v>
      </c>
      <c r="L244" s="270">
        <v>1</v>
      </c>
      <c r="M244" s="271">
        <v>5.1999999999999998E-3</v>
      </c>
      <c r="N244" s="270">
        <v>3</v>
      </c>
      <c r="O244" s="270">
        <v>15</v>
      </c>
      <c r="P244" s="272">
        <v>0</v>
      </c>
      <c r="Q244" s="272">
        <v>15</v>
      </c>
      <c r="R244" s="269" t="s">
        <v>1390</v>
      </c>
    </row>
    <row r="245" spans="1:18" x14ac:dyDescent="0.25">
      <c r="A245" s="2" t="s">
        <v>1594</v>
      </c>
      <c r="B245" s="2" t="s">
        <v>82</v>
      </c>
      <c r="C245" s="2" t="s">
        <v>83</v>
      </c>
      <c r="D245" s="2" t="s">
        <v>5</v>
      </c>
      <c r="E245" s="117">
        <v>7</v>
      </c>
      <c r="F245" s="117">
        <v>10</v>
      </c>
      <c r="G245" s="117">
        <v>0</v>
      </c>
      <c r="H245" s="117">
        <v>10</v>
      </c>
      <c r="I245" s="117">
        <v>634</v>
      </c>
      <c r="J245" s="117">
        <v>0</v>
      </c>
      <c r="K245" s="117">
        <v>0</v>
      </c>
      <c r="L245" s="117">
        <v>10</v>
      </c>
      <c r="M245" s="267">
        <v>1.55E-2</v>
      </c>
      <c r="N245" s="117">
        <v>30</v>
      </c>
      <c r="O245" s="117">
        <v>29</v>
      </c>
      <c r="P245" s="268">
        <v>0</v>
      </c>
      <c r="Q245" s="268">
        <v>29</v>
      </c>
      <c r="R245" s="2" t="s">
        <v>1390</v>
      </c>
    </row>
    <row r="246" spans="1:18" x14ac:dyDescent="0.25">
      <c r="A246" s="2" t="s">
        <v>1595</v>
      </c>
      <c r="B246" s="2" t="s">
        <v>261</v>
      </c>
      <c r="C246" s="2" t="s">
        <v>83</v>
      </c>
      <c r="D246" s="2" t="s">
        <v>115</v>
      </c>
      <c r="E246" s="117">
        <v>7</v>
      </c>
      <c r="F246" s="117">
        <v>12</v>
      </c>
      <c r="G246" s="117">
        <v>0</v>
      </c>
      <c r="H246" s="117">
        <v>12</v>
      </c>
      <c r="I246" s="117">
        <v>585</v>
      </c>
      <c r="J246" s="117">
        <v>0</v>
      </c>
      <c r="K246" s="117">
        <v>0</v>
      </c>
      <c r="L246" s="117">
        <v>12</v>
      </c>
      <c r="M246" s="267">
        <v>2.01E-2</v>
      </c>
      <c r="N246" s="117">
        <v>36</v>
      </c>
      <c r="O246" s="117">
        <v>38</v>
      </c>
      <c r="P246" s="268">
        <v>0</v>
      </c>
      <c r="Q246" s="268">
        <v>38</v>
      </c>
      <c r="R246" s="2" t="s">
        <v>1390</v>
      </c>
    </row>
    <row r="247" spans="1:18" x14ac:dyDescent="0.25">
      <c r="A247" s="269"/>
      <c r="B247" s="269"/>
      <c r="C247" s="269" t="s">
        <v>83</v>
      </c>
      <c r="D247" s="269"/>
      <c r="E247" s="269"/>
      <c r="F247" s="270">
        <v>22</v>
      </c>
      <c r="G247" s="270">
        <v>0</v>
      </c>
      <c r="H247" s="270">
        <v>22</v>
      </c>
      <c r="I247" s="270">
        <v>1219</v>
      </c>
      <c r="J247" s="270">
        <v>0</v>
      </c>
      <c r="K247" s="270">
        <v>0</v>
      </c>
      <c r="L247" s="270">
        <v>22</v>
      </c>
      <c r="M247" s="271">
        <v>1.77E-2</v>
      </c>
      <c r="N247" s="270">
        <v>66</v>
      </c>
      <c r="O247" s="270">
        <v>67</v>
      </c>
      <c r="P247" s="272">
        <v>0</v>
      </c>
      <c r="Q247" s="272">
        <v>67</v>
      </c>
      <c r="R247" s="269" t="s">
        <v>1390</v>
      </c>
    </row>
    <row r="248" spans="1:18" x14ac:dyDescent="0.25">
      <c r="A248" s="2" t="s">
        <v>1596</v>
      </c>
      <c r="B248" s="2" t="s">
        <v>84</v>
      </c>
      <c r="C248" s="2" t="s">
        <v>85</v>
      </c>
      <c r="D248" s="2" t="s">
        <v>5</v>
      </c>
      <c r="E248" s="117">
        <v>2</v>
      </c>
      <c r="F248" s="117">
        <v>0</v>
      </c>
      <c r="G248" s="117">
        <v>0</v>
      </c>
      <c r="H248" s="117">
        <v>0</v>
      </c>
      <c r="I248" s="117">
        <v>2779</v>
      </c>
      <c r="J248" s="117">
        <v>0</v>
      </c>
      <c r="K248" s="117">
        <v>0</v>
      </c>
      <c r="L248" s="117">
        <v>0</v>
      </c>
      <c r="M248" s="267">
        <v>0</v>
      </c>
      <c r="N248" s="117">
        <v>0</v>
      </c>
      <c r="O248" s="117">
        <v>0</v>
      </c>
      <c r="P248" s="268">
        <v>0</v>
      </c>
      <c r="Q248" s="268">
        <v>0</v>
      </c>
      <c r="R248" s="2" t="s">
        <v>1390</v>
      </c>
    </row>
    <row r="249" spans="1:18" x14ac:dyDescent="0.25">
      <c r="A249" s="2" t="s">
        <v>1413</v>
      </c>
      <c r="B249" s="2" t="s">
        <v>127</v>
      </c>
      <c r="C249" s="2" t="s">
        <v>85</v>
      </c>
      <c r="D249" s="2" t="s">
        <v>115</v>
      </c>
      <c r="E249" s="117">
        <v>2</v>
      </c>
      <c r="F249" s="117">
        <v>0</v>
      </c>
      <c r="G249" s="117">
        <v>0</v>
      </c>
      <c r="H249" s="117">
        <v>0</v>
      </c>
      <c r="I249" s="117">
        <v>171</v>
      </c>
      <c r="J249" s="117">
        <v>0</v>
      </c>
      <c r="K249" s="117">
        <v>0</v>
      </c>
      <c r="L249" s="117">
        <v>0</v>
      </c>
      <c r="M249" s="267">
        <v>0</v>
      </c>
      <c r="N249" s="117">
        <v>0</v>
      </c>
      <c r="O249" s="117">
        <v>0</v>
      </c>
      <c r="P249" s="268">
        <v>0</v>
      </c>
      <c r="Q249" s="268">
        <v>0</v>
      </c>
      <c r="R249" s="2" t="s">
        <v>1390</v>
      </c>
    </row>
    <row r="250" spans="1:18" x14ac:dyDescent="0.25">
      <c r="A250" s="2" t="s">
        <v>1597</v>
      </c>
      <c r="B250" s="2" t="s">
        <v>262</v>
      </c>
      <c r="C250" s="2" t="s">
        <v>85</v>
      </c>
      <c r="D250" s="2" t="s">
        <v>115</v>
      </c>
      <c r="E250" s="117">
        <v>2</v>
      </c>
      <c r="F250" s="117">
        <v>0</v>
      </c>
      <c r="G250" s="117">
        <v>0</v>
      </c>
      <c r="H250" s="117">
        <v>0</v>
      </c>
      <c r="I250" s="117">
        <v>125</v>
      </c>
      <c r="J250" s="117">
        <v>0</v>
      </c>
      <c r="K250" s="117">
        <v>0</v>
      </c>
      <c r="L250" s="117">
        <v>0</v>
      </c>
      <c r="M250" s="267">
        <v>0</v>
      </c>
      <c r="N250" s="117">
        <v>0</v>
      </c>
      <c r="O250" s="117">
        <v>0</v>
      </c>
      <c r="P250" s="268">
        <v>0</v>
      </c>
      <c r="Q250" s="268">
        <v>0</v>
      </c>
      <c r="R250" s="2" t="s">
        <v>1390</v>
      </c>
    </row>
    <row r="251" spans="1:18" x14ac:dyDescent="0.25">
      <c r="A251" s="2" t="s">
        <v>1598</v>
      </c>
      <c r="B251" s="2" t="s">
        <v>275</v>
      </c>
      <c r="C251" s="2" t="s">
        <v>85</v>
      </c>
      <c r="D251" s="2" t="s">
        <v>115</v>
      </c>
      <c r="E251" s="117">
        <v>2</v>
      </c>
      <c r="F251" s="117">
        <v>0</v>
      </c>
      <c r="G251" s="117">
        <v>0</v>
      </c>
      <c r="H251" s="117">
        <v>0</v>
      </c>
      <c r="I251" s="117">
        <v>103</v>
      </c>
      <c r="J251" s="117">
        <v>0</v>
      </c>
      <c r="K251" s="117">
        <v>0</v>
      </c>
      <c r="L251" s="117">
        <v>0</v>
      </c>
      <c r="M251" s="267">
        <v>0</v>
      </c>
      <c r="N251" s="117">
        <v>0</v>
      </c>
      <c r="O251" s="117">
        <v>0</v>
      </c>
      <c r="P251" s="268">
        <v>0</v>
      </c>
      <c r="Q251" s="268">
        <v>0</v>
      </c>
      <c r="R251" s="2" t="s">
        <v>1390</v>
      </c>
    </row>
    <row r="252" spans="1:18" x14ac:dyDescent="0.25">
      <c r="A252" s="2" t="s">
        <v>1599</v>
      </c>
      <c r="B252" s="2" t="s">
        <v>281</v>
      </c>
      <c r="C252" s="2" t="s">
        <v>85</v>
      </c>
      <c r="D252" s="2" t="s">
        <v>115</v>
      </c>
      <c r="E252" s="117">
        <v>2</v>
      </c>
      <c r="F252" s="117">
        <v>0</v>
      </c>
      <c r="G252" s="117">
        <v>0</v>
      </c>
      <c r="H252" s="117">
        <v>0</v>
      </c>
      <c r="I252" s="117">
        <v>212</v>
      </c>
      <c r="J252" s="117">
        <v>0</v>
      </c>
      <c r="K252" s="117">
        <v>0</v>
      </c>
      <c r="L252" s="117">
        <v>0</v>
      </c>
      <c r="M252" s="267">
        <v>0</v>
      </c>
      <c r="N252" s="117">
        <v>0</v>
      </c>
      <c r="O252" s="117">
        <v>0</v>
      </c>
      <c r="P252" s="268">
        <v>0</v>
      </c>
      <c r="Q252" s="268">
        <v>0</v>
      </c>
      <c r="R252" s="2" t="s">
        <v>1390</v>
      </c>
    </row>
    <row r="253" spans="1:18" x14ac:dyDescent="0.25">
      <c r="A253" s="2" t="s">
        <v>1600</v>
      </c>
      <c r="B253" s="2" t="s">
        <v>282</v>
      </c>
      <c r="C253" s="2" t="s">
        <v>85</v>
      </c>
      <c r="D253" s="2" t="s">
        <v>115</v>
      </c>
      <c r="E253" s="117">
        <v>2</v>
      </c>
      <c r="F253" s="117">
        <v>0</v>
      </c>
      <c r="G253" s="117">
        <v>0</v>
      </c>
      <c r="H253" s="117">
        <v>0</v>
      </c>
      <c r="I253" s="117">
        <v>74</v>
      </c>
      <c r="J253" s="117">
        <v>0</v>
      </c>
      <c r="K253" s="117">
        <v>0</v>
      </c>
      <c r="L253" s="117">
        <v>0</v>
      </c>
      <c r="M253" s="267">
        <v>0</v>
      </c>
      <c r="N253" s="117">
        <v>0</v>
      </c>
      <c r="O253" s="117">
        <v>0</v>
      </c>
      <c r="P253" s="268">
        <v>0</v>
      </c>
      <c r="Q253" s="268">
        <v>0</v>
      </c>
      <c r="R253" s="2" t="s">
        <v>1390</v>
      </c>
    </row>
    <row r="254" spans="1:18" x14ac:dyDescent="0.25">
      <c r="A254" s="269"/>
      <c r="B254" s="269"/>
      <c r="C254" s="269" t="s">
        <v>85</v>
      </c>
      <c r="D254" s="269"/>
      <c r="E254" s="269"/>
      <c r="F254" s="270">
        <v>0</v>
      </c>
      <c r="G254" s="270">
        <v>0</v>
      </c>
      <c r="H254" s="270">
        <v>0</v>
      </c>
      <c r="I254" s="270">
        <v>3464</v>
      </c>
      <c r="J254" s="270">
        <v>0</v>
      </c>
      <c r="K254" s="270">
        <v>0</v>
      </c>
      <c r="L254" s="270">
        <v>0</v>
      </c>
      <c r="M254" s="271">
        <v>0</v>
      </c>
      <c r="N254" s="270">
        <v>0</v>
      </c>
      <c r="O254" s="270">
        <v>0</v>
      </c>
      <c r="P254" s="272">
        <v>0</v>
      </c>
      <c r="Q254" s="272">
        <v>0</v>
      </c>
      <c r="R254" s="269" t="s">
        <v>1390</v>
      </c>
    </row>
    <row r="255" spans="1:18" x14ac:dyDescent="0.25">
      <c r="A255" s="2" t="s">
        <v>1601</v>
      </c>
      <c r="B255" s="2" t="s">
        <v>86</v>
      </c>
      <c r="C255" s="2" t="s">
        <v>87</v>
      </c>
      <c r="D255" s="2" t="s">
        <v>5</v>
      </c>
      <c r="E255" s="117">
        <v>4</v>
      </c>
      <c r="F255" s="117">
        <v>0</v>
      </c>
      <c r="G255" s="117">
        <v>0</v>
      </c>
      <c r="H255" s="117">
        <v>0</v>
      </c>
      <c r="I255" s="117">
        <v>712</v>
      </c>
      <c r="J255" s="117">
        <v>0</v>
      </c>
      <c r="K255" s="117">
        <v>0</v>
      </c>
      <c r="L255" s="117">
        <v>0</v>
      </c>
      <c r="M255" s="267">
        <v>0</v>
      </c>
      <c r="N255" s="117">
        <v>0</v>
      </c>
      <c r="O255" s="117">
        <v>0</v>
      </c>
      <c r="P255" s="268">
        <v>0</v>
      </c>
      <c r="Q255" s="268">
        <v>0</v>
      </c>
      <c r="R255" s="2" t="s">
        <v>1428</v>
      </c>
    </row>
    <row r="256" spans="1:18" x14ac:dyDescent="0.25">
      <c r="A256" s="2" t="s">
        <v>1602</v>
      </c>
      <c r="B256" s="2" t="s">
        <v>263</v>
      </c>
      <c r="C256" s="2" t="s">
        <v>87</v>
      </c>
      <c r="D256" s="2" t="s">
        <v>115</v>
      </c>
      <c r="E256" s="117">
        <v>4</v>
      </c>
      <c r="F256" s="117">
        <v>0</v>
      </c>
      <c r="G256" s="117">
        <v>0</v>
      </c>
      <c r="H256" s="117">
        <v>0</v>
      </c>
      <c r="I256" s="117">
        <v>103</v>
      </c>
      <c r="J256" s="117">
        <v>0</v>
      </c>
      <c r="K256" s="117">
        <v>0</v>
      </c>
      <c r="L256" s="117">
        <v>0</v>
      </c>
      <c r="M256" s="267">
        <v>0</v>
      </c>
      <c r="N256" s="117">
        <v>0</v>
      </c>
      <c r="O256" s="117">
        <v>0</v>
      </c>
      <c r="P256" s="268">
        <v>0</v>
      </c>
      <c r="Q256" s="268">
        <v>0</v>
      </c>
      <c r="R256" s="2" t="s">
        <v>1428</v>
      </c>
    </row>
    <row r="257" spans="1:18" x14ac:dyDescent="0.25">
      <c r="A257" s="2" t="s">
        <v>1603</v>
      </c>
      <c r="B257" s="2" t="s">
        <v>264</v>
      </c>
      <c r="C257" s="2" t="s">
        <v>87</v>
      </c>
      <c r="D257" s="2" t="s">
        <v>115</v>
      </c>
      <c r="E257" s="117">
        <v>4</v>
      </c>
      <c r="F257" s="117">
        <v>0</v>
      </c>
      <c r="G257" s="117">
        <v>0</v>
      </c>
      <c r="H257" s="117">
        <v>0</v>
      </c>
      <c r="I257" s="117">
        <v>18</v>
      </c>
      <c r="J257" s="117">
        <v>0</v>
      </c>
      <c r="K257" s="117">
        <v>0</v>
      </c>
      <c r="L257" s="117">
        <v>0</v>
      </c>
      <c r="M257" s="267">
        <v>0</v>
      </c>
      <c r="N257" s="117">
        <v>0</v>
      </c>
      <c r="O257" s="117">
        <v>0</v>
      </c>
      <c r="P257" s="268">
        <v>0</v>
      </c>
      <c r="Q257" s="268">
        <v>0</v>
      </c>
      <c r="R257" s="2" t="s">
        <v>1428</v>
      </c>
    </row>
    <row r="258" spans="1:18" x14ac:dyDescent="0.25">
      <c r="A258" s="2" t="s">
        <v>1604</v>
      </c>
      <c r="B258" s="2" t="s">
        <v>265</v>
      </c>
      <c r="C258" s="2" t="s">
        <v>87</v>
      </c>
      <c r="D258" s="2" t="s">
        <v>115</v>
      </c>
      <c r="E258" s="117">
        <v>4</v>
      </c>
      <c r="F258" s="117">
        <v>0</v>
      </c>
      <c r="G258" s="117">
        <v>0</v>
      </c>
      <c r="H258" s="117">
        <v>0</v>
      </c>
      <c r="I258" s="117">
        <v>35</v>
      </c>
      <c r="J258" s="117">
        <v>0</v>
      </c>
      <c r="K258" s="117">
        <v>0</v>
      </c>
      <c r="L258" s="117">
        <v>0</v>
      </c>
      <c r="M258" s="267">
        <v>0</v>
      </c>
      <c r="N258" s="117">
        <v>0</v>
      </c>
      <c r="O258" s="117">
        <v>0</v>
      </c>
      <c r="P258" s="268">
        <v>0</v>
      </c>
      <c r="Q258" s="268">
        <v>0</v>
      </c>
      <c r="R258" s="2" t="s">
        <v>1428</v>
      </c>
    </row>
    <row r="259" spans="1:18" x14ac:dyDescent="0.25">
      <c r="A259" s="269"/>
      <c r="B259" s="269"/>
      <c r="C259" s="269" t="s">
        <v>87</v>
      </c>
      <c r="D259" s="269"/>
      <c r="E259" s="269"/>
      <c r="F259" s="270">
        <v>0</v>
      </c>
      <c r="G259" s="270">
        <v>0</v>
      </c>
      <c r="H259" s="270">
        <v>0</v>
      </c>
      <c r="I259" s="270">
        <v>1736</v>
      </c>
      <c r="J259" s="270">
        <v>0</v>
      </c>
      <c r="K259" s="270">
        <v>0</v>
      </c>
      <c r="L259" s="270">
        <v>0</v>
      </c>
      <c r="M259" s="271">
        <v>0</v>
      </c>
      <c r="N259" s="270">
        <v>0</v>
      </c>
      <c r="O259" s="270">
        <v>0</v>
      </c>
      <c r="P259" s="272">
        <v>0</v>
      </c>
      <c r="Q259" s="272">
        <v>0</v>
      </c>
      <c r="R259" s="269" t="s">
        <v>1428</v>
      </c>
    </row>
    <row r="260" spans="1:18" x14ac:dyDescent="0.25">
      <c r="A260" s="2" t="s">
        <v>1605</v>
      </c>
      <c r="B260" s="2" t="s">
        <v>88</v>
      </c>
      <c r="C260" s="2" t="s">
        <v>89</v>
      </c>
      <c r="D260" s="2" t="s">
        <v>5</v>
      </c>
      <c r="E260" s="117">
        <v>10</v>
      </c>
      <c r="F260" s="117">
        <v>0</v>
      </c>
      <c r="G260" s="117">
        <v>0</v>
      </c>
      <c r="H260" s="117">
        <v>0</v>
      </c>
      <c r="I260" s="117">
        <v>879</v>
      </c>
      <c r="J260" s="117">
        <v>0</v>
      </c>
      <c r="K260" s="117">
        <v>0</v>
      </c>
      <c r="L260" s="117">
        <v>0</v>
      </c>
      <c r="M260" s="267">
        <v>0</v>
      </c>
      <c r="N260" s="117">
        <v>0</v>
      </c>
      <c r="O260" s="117">
        <v>0</v>
      </c>
      <c r="P260" s="268">
        <v>0</v>
      </c>
      <c r="Q260" s="268">
        <v>0</v>
      </c>
      <c r="R260" s="2" t="s">
        <v>1390</v>
      </c>
    </row>
    <row r="261" spans="1:18" x14ac:dyDescent="0.25">
      <c r="A261" s="2" t="s">
        <v>1606</v>
      </c>
      <c r="B261" s="2" t="s">
        <v>259</v>
      </c>
      <c r="C261" s="2" t="s">
        <v>89</v>
      </c>
      <c r="D261" s="2" t="s">
        <v>115</v>
      </c>
      <c r="E261" s="117">
        <v>5</v>
      </c>
      <c r="F261" s="117">
        <v>0</v>
      </c>
      <c r="G261" s="117">
        <v>0</v>
      </c>
      <c r="H261" s="117">
        <v>0</v>
      </c>
      <c r="I261" s="117">
        <v>7</v>
      </c>
      <c r="J261" s="117">
        <v>0</v>
      </c>
      <c r="K261" s="117">
        <v>0</v>
      </c>
      <c r="L261" s="117">
        <v>0</v>
      </c>
      <c r="M261" s="267">
        <v>0</v>
      </c>
      <c r="N261" s="117">
        <v>0</v>
      </c>
      <c r="O261" s="117">
        <v>0</v>
      </c>
      <c r="P261" s="268">
        <v>0</v>
      </c>
      <c r="Q261" s="268">
        <v>0</v>
      </c>
      <c r="R261" s="2" t="s">
        <v>1390</v>
      </c>
    </row>
    <row r="262" spans="1:18" x14ac:dyDescent="0.25">
      <c r="A262" s="2" t="s">
        <v>1607</v>
      </c>
      <c r="B262" s="2" t="s">
        <v>266</v>
      </c>
      <c r="C262" s="2" t="s">
        <v>89</v>
      </c>
      <c r="D262" s="2" t="s">
        <v>115</v>
      </c>
      <c r="E262" s="117">
        <v>10</v>
      </c>
      <c r="F262" s="117">
        <v>9</v>
      </c>
      <c r="G262" s="117">
        <v>0</v>
      </c>
      <c r="H262" s="117">
        <v>9</v>
      </c>
      <c r="I262" s="117">
        <v>802</v>
      </c>
      <c r="J262" s="117">
        <v>0</v>
      </c>
      <c r="K262" s="117">
        <v>0</v>
      </c>
      <c r="L262" s="117">
        <v>9</v>
      </c>
      <c r="M262" s="267">
        <v>1.11E-2</v>
      </c>
      <c r="N262" s="117">
        <v>27</v>
      </c>
      <c r="O262" s="117">
        <v>21</v>
      </c>
      <c r="P262" s="268">
        <v>0</v>
      </c>
      <c r="Q262" s="268">
        <v>21</v>
      </c>
      <c r="R262" s="2" t="s">
        <v>1390</v>
      </c>
    </row>
    <row r="263" spans="1:18" x14ac:dyDescent="0.25">
      <c r="A263" s="2" t="s">
        <v>1608</v>
      </c>
      <c r="B263" s="2" t="s">
        <v>267</v>
      </c>
      <c r="C263" s="2" t="s">
        <v>89</v>
      </c>
      <c r="D263" s="2" t="s">
        <v>115</v>
      </c>
      <c r="E263" s="117">
        <v>10</v>
      </c>
      <c r="F263" s="117">
        <v>2</v>
      </c>
      <c r="G263" s="117">
        <v>0</v>
      </c>
      <c r="H263" s="117">
        <v>2</v>
      </c>
      <c r="I263" s="117">
        <v>90</v>
      </c>
      <c r="J263" s="117">
        <v>0</v>
      </c>
      <c r="K263" s="117">
        <v>0</v>
      </c>
      <c r="L263" s="117">
        <v>2</v>
      </c>
      <c r="M263" s="267">
        <v>2.1700000000000001E-2</v>
      </c>
      <c r="N263" s="117">
        <v>6</v>
      </c>
      <c r="O263" s="117">
        <v>41</v>
      </c>
      <c r="P263" s="268">
        <v>0</v>
      </c>
      <c r="Q263" s="268">
        <v>41</v>
      </c>
      <c r="R263" s="2" t="s">
        <v>1390</v>
      </c>
    </row>
    <row r="264" spans="1:18" x14ac:dyDescent="0.25">
      <c r="A264" s="2" t="s">
        <v>1609</v>
      </c>
      <c r="B264" s="2" t="s">
        <v>301</v>
      </c>
      <c r="C264" s="2" t="s">
        <v>89</v>
      </c>
      <c r="D264" s="2" t="s">
        <v>115</v>
      </c>
      <c r="E264" s="117">
        <v>10</v>
      </c>
      <c r="F264" s="117">
        <v>0</v>
      </c>
      <c r="G264" s="117">
        <v>0</v>
      </c>
      <c r="H264" s="117">
        <v>0</v>
      </c>
      <c r="I264" s="117">
        <v>96</v>
      </c>
      <c r="J264" s="117">
        <v>0</v>
      </c>
      <c r="K264" s="117">
        <v>0</v>
      </c>
      <c r="L264" s="117">
        <v>0</v>
      </c>
      <c r="M264" s="267">
        <v>0</v>
      </c>
      <c r="N264" s="117">
        <v>0</v>
      </c>
      <c r="O264" s="117">
        <v>0</v>
      </c>
      <c r="P264" s="268">
        <v>0</v>
      </c>
      <c r="Q264" s="268">
        <v>0</v>
      </c>
      <c r="R264" s="2" t="s">
        <v>1390</v>
      </c>
    </row>
    <row r="265" spans="1:18" x14ac:dyDescent="0.25">
      <c r="A265" s="2" t="s">
        <v>1610</v>
      </c>
      <c r="B265" s="2" t="s">
        <v>303</v>
      </c>
      <c r="C265" s="2" t="s">
        <v>89</v>
      </c>
      <c r="D265" s="2" t="s">
        <v>115</v>
      </c>
      <c r="E265" s="117">
        <v>10</v>
      </c>
      <c r="F265" s="117">
        <v>0</v>
      </c>
      <c r="G265" s="117">
        <v>0</v>
      </c>
      <c r="H265" s="117">
        <v>0</v>
      </c>
      <c r="I265" s="117">
        <v>29</v>
      </c>
      <c r="J265" s="117">
        <v>0</v>
      </c>
      <c r="K265" s="117">
        <v>0</v>
      </c>
      <c r="L265" s="117">
        <v>0</v>
      </c>
      <c r="M265" s="267">
        <v>0</v>
      </c>
      <c r="N265" s="117">
        <v>0</v>
      </c>
      <c r="O265" s="117">
        <v>0</v>
      </c>
      <c r="P265" s="268">
        <v>0</v>
      </c>
      <c r="Q265" s="268">
        <v>0</v>
      </c>
      <c r="R265" s="2" t="s">
        <v>1390</v>
      </c>
    </row>
    <row r="266" spans="1:18" x14ac:dyDescent="0.25">
      <c r="A266" s="269"/>
      <c r="B266" s="269"/>
      <c r="C266" s="269" t="s">
        <v>89</v>
      </c>
      <c r="D266" s="269"/>
      <c r="E266" s="269"/>
      <c r="F266" s="270">
        <v>11</v>
      </c>
      <c r="G266" s="270">
        <v>0</v>
      </c>
      <c r="H266" s="270">
        <v>11</v>
      </c>
      <c r="I266" s="270">
        <v>1903</v>
      </c>
      <c r="J266" s="270">
        <v>0</v>
      </c>
      <c r="K266" s="270">
        <v>0</v>
      </c>
      <c r="L266" s="270">
        <v>11</v>
      </c>
      <c r="M266" s="271">
        <v>5.7000000000000002E-3</v>
      </c>
      <c r="N266" s="270">
        <v>33</v>
      </c>
      <c r="O266" s="270">
        <v>62</v>
      </c>
      <c r="P266" s="272">
        <v>0</v>
      </c>
      <c r="Q266" s="272">
        <v>62</v>
      </c>
      <c r="R266" s="269" t="s">
        <v>1390</v>
      </c>
    </row>
    <row r="267" spans="1:18" x14ac:dyDescent="0.25">
      <c r="A267" s="2" t="s">
        <v>1611</v>
      </c>
      <c r="B267" s="2" t="s">
        <v>90</v>
      </c>
      <c r="C267" s="2" t="s">
        <v>91</v>
      </c>
      <c r="D267" s="2" t="s">
        <v>5</v>
      </c>
      <c r="E267" s="117">
        <v>5</v>
      </c>
      <c r="F267" s="117">
        <v>0</v>
      </c>
      <c r="G267" s="117">
        <v>0</v>
      </c>
      <c r="H267" s="117">
        <v>0</v>
      </c>
      <c r="I267" s="117">
        <v>797</v>
      </c>
      <c r="J267" s="117">
        <v>0</v>
      </c>
      <c r="K267" s="117">
        <v>0</v>
      </c>
      <c r="L267" s="117">
        <v>0</v>
      </c>
      <c r="M267" s="267">
        <v>0</v>
      </c>
      <c r="N267" s="117">
        <v>0</v>
      </c>
      <c r="O267" s="117">
        <v>0</v>
      </c>
      <c r="P267" s="268">
        <v>0</v>
      </c>
      <c r="Q267" s="268">
        <v>0</v>
      </c>
      <c r="R267" s="2" t="s">
        <v>1390</v>
      </c>
    </row>
    <row r="268" spans="1:18" x14ac:dyDescent="0.25">
      <c r="A268" s="2" t="s">
        <v>1612</v>
      </c>
      <c r="B268" s="2" t="s">
        <v>268</v>
      </c>
      <c r="C268" s="2" t="s">
        <v>91</v>
      </c>
      <c r="D268" s="2" t="s">
        <v>115</v>
      </c>
      <c r="E268" s="117">
        <v>5</v>
      </c>
      <c r="F268" s="117">
        <v>0</v>
      </c>
      <c r="G268" s="117">
        <v>0</v>
      </c>
      <c r="H268" s="117">
        <v>0</v>
      </c>
      <c r="I268" s="117">
        <v>87</v>
      </c>
      <c r="J268" s="117">
        <v>0</v>
      </c>
      <c r="K268" s="117">
        <v>0</v>
      </c>
      <c r="L268" s="117">
        <v>0</v>
      </c>
      <c r="M268" s="267">
        <v>0</v>
      </c>
      <c r="N268" s="117">
        <v>0</v>
      </c>
      <c r="O268" s="117">
        <v>0</v>
      </c>
      <c r="P268" s="268">
        <v>0</v>
      </c>
      <c r="Q268" s="268">
        <v>0</v>
      </c>
      <c r="R268" s="2" t="s">
        <v>1390</v>
      </c>
    </row>
    <row r="269" spans="1:18" x14ac:dyDescent="0.25">
      <c r="A269" s="269"/>
      <c r="B269" s="269"/>
      <c r="C269" s="269" t="s">
        <v>91</v>
      </c>
      <c r="D269" s="269"/>
      <c r="E269" s="269"/>
      <c r="F269" s="270">
        <v>0</v>
      </c>
      <c r="G269" s="270">
        <v>0</v>
      </c>
      <c r="H269" s="270">
        <v>0</v>
      </c>
      <c r="I269" s="270">
        <v>884</v>
      </c>
      <c r="J269" s="270">
        <v>0</v>
      </c>
      <c r="K269" s="270">
        <v>0</v>
      </c>
      <c r="L269" s="270">
        <v>0</v>
      </c>
      <c r="M269" s="271">
        <v>0</v>
      </c>
      <c r="N269" s="270">
        <v>0</v>
      </c>
      <c r="O269" s="270">
        <v>0</v>
      </c>
      <c r="P269" s="272">
        <v>0</v>
      </c>
      <c r="Q269" s="272">
        <v>0</v>
      </c>
      <c r="R269" s="269" t="s">
        <v>1390</v>
      </c>
    </row>
    <row r="270" spans="1:18" x14ac:dyDescent="0.25">
      <c r="A270" s="2" t="s">
        <v>1613</v>
      </c>
      <c r="B270" s="2" t="s">
        <v>92</v>
      </c>
      <c r="C270" s="2" t="s">
        <v>93</v>
      </c>
      <c r="D270" s="2" t="s">
        <v>5</v>
      </c>
      <c r="E270" s="117">
        <v>5</v>
      </c>
      <c r="F270" s="117">
        <v>11</v>
      </c>
      <c r="G270" s="117">
        <v>0</v>
      </c>
      <c r="H270" s="117">
        <v>11</v>
      </c>
      <c r="I270" s="117">
        <v>1651</v>
      </c>
      <c r="J270" s="117">
        <v>0</v>
      </c>
      <c r="K270" s="117">
        <v>0</v>
      </c>
      <c r="L270" s="117">
        <v>11</v>
      </c>
      <c r="M270" s="267">
        <v>6.6E-3</v>
      </c>
      <c r="N270" s="117">
        <v>33</v>
      </c>
      <c r="O270" s="117">
        <v>12</v>
      </c>
      <c r="P270" s="268">
        <v>0</v>
      </c>
      <c r="Q270" s="268">
        <v>12</v>
      </c>
      <c r="R270" s="2" t="s">
        <v>1390</v>
      </c>
    </row>
    <row r="271" spans="1:18" x14ac:dyDescent="0.25">
      <c r="A271" s="2" t="s">
        <v>1614</v>
      </c>
      <c r="B271" s="2" t="s">
        <v>143</v>
      </c>
      <c r="C271" s="2" t="s">
        <v>93</v>
      </c>
      <c r="D271" s="2" t="s">
        <v>115</v>
      </c>
      <c r="E271" s="117">
        <v>5</v>
      </c>
      <c r="F271" s="117">
        <v>0</v>
      </c>
      <c r="G271" s="117">
        <v>0</v>
      </c>
      <c r="H271" s="117">
        <v>0</v>
      </c>
      <c r="I271" s="117">
        <v>0</v>
      </c>
      <c r="J271" s="117">
        <v>0</v>
      </c>
      <c r="K271" s="117">
        <v>0</v>
      </c>
      <c r="L271" s="117">
        <v>0</v>
      </c>
      <c r="M271" s="267" t="s">
        <v>488</v>
      </c>
      <c r="N271" s="117">
        <v>0</v>
      </c>
      <c r="O271" s="117">
        <v>0</v>
      </c>
      <c r="P271" s="268">
        <v>0</v>
      </c>
      <c r="Q271" s="268">
        <v>0</v>
      </c>
      <c r="R271" s="2" t="s">
        <v>1390</v>
      </c>
    </row>
    <row r="272" spans="1:18" x14ac:dyDescent="0.25">
      <c r="A272" s="2" t="s">
        <v>1615</v>
      </c>
      <c r="B272" s="2" t="s">
        <v>269</v>
      </c>
      <c r="C272" s="2" t="s">
        <v>93</v>
      </c>
      <c r="D272" s="2" t="s">
        <v>115</v>
      </c>
      <c r="E272" s="117">
        <v>5</v>
      </c>
      <c r="F272" s="117">
        <v>0</v>
      </c>
      <c r="G272" s="117">
        <v>0</v>
      </c>
      <c r="H272" s="117">
        <v>0</v>
      </c>
      <c r="I272" s="117">
        <v>229</v>
      </c>
      <c r="J272" s="117">
        <v>0</v>
      </c>
      <c r="K272" s="117">
        <v>0</v>
      </c>
      <c r="L272" s="117">
        <v>0</v>
      </c>
      <c r="M272" s="267">
        <v>0</v>
      </c>
      <c r="N272" s="117">
        <v>0</v>
      </c>
      <c r="O272" s="117">
        <v>0</v>
      </c>
      <c r="P272" s="268">
        <v>0</v>
      </c>
      <c r="Q272" s="268">
        <v>0</v>
      </c>
      <c r="R272" s="2" t="s">
        <v>1390</v>
      </c>
    </row>
    <row r="273" spans="1:18" x14ac:dyDescent="0.25">
      <c r="A273" s="2" t="s">
        <v>1616</v>
      </c>
      <c r="B273" s="2" t="s">
        <v>270</v>
      </c>
      <c r="C273" s="2" t="s">
        <v>93</v>
      </c>
      <c r="D273" s="2" t="s">
        <v>115</v>
      </c>
      <c r="E273" s="117">
        <v>5</v>
      </c>
      <c r="F273" s="117">
        <v>0</v>
      </c>
      <c r="G273" s="117">
        <v>0</v>
      </c>
      <c r="H273" s="117">
        <v>0</v>
      </c>
      <c r="I273" s="117">
        <v>275</v>
      </c>
      <c r="J273" s="117">
        <v>0</v>
      </c>
      <c r="K273" s="117">
        <v>0</v>
      </c>
      <c r="L273" s="117">
        <v>0</v>
      </c>
      <c r="M273" s="267">
        <v>0</v>
      </c>
      <c r="N273" s="117">
        <v>0</v>
      </c>
      <c r="O273" s="117">
        <v>0</v>
      </c>
      <c r="P273" s="268">
        <v>0</v>
      </c>
      <c r="Q273" s="268">
        <v>0</v>
      </c>
      <c r="R273" s="2" t="s">
        <v>1390</v>
      </c>
    </row>
    <row r="274" spans="1:18" x14ac:dyDescent="0.25">
      <c r="A274" s="2" t="s">
        <v>1617</v>
      </c>
      <c r="B274" s="2" t="s">
        <v>271</v>
      </c>
      <c r="C274" s="2" t="s">
        <v>93</v>
      </c>
      <c r="D274" s="2" t="s">
        <v>115</v>
      </c>
      <c r="E274" s="117">
        <v>5</v>
      </c>
      <c r="F274" s="117">
        <v>0</v>
      </c>
      <c r="G274" s="117">
        <v>0</v>
      </c>
      <c r="H274" s="117">
        <v>0</v>
      </c>
      <c r="I274" s="117">
        <v>92</v>
      </c>
      <c r="J274" s="117">
        <v>0</v>
      </c>
      <c r="K274" s="117">
        <v>0</v>
      </c>
      <c r="L274" s="117">
        <v>0</v>
      </c>
      <c r="M274" s="267">
        <v>0</v>
      </c>
      <c r="N274" s="117">
        <v>0</v>
      </c>
      <c r="O274" s="117">
        <v>0</v>
      </c>
      <c r="P274" s="268">
        <v>0</v>
      </c>
      <c r="Q274" s="268">
        <v>0</v>
      </c>
      <c r="R274" s="2" t="s">
        <v>1390</v>
      </c>
    </row>
    <row r="275" spans="1:18" x14ac:dyDescent="0.25">
      <c r="A275" s="269"/>
      <c r="B275" s="269"/>
      <c r="C275" s="269" t="s">
        <v>93</v>
      </c>
      <c r="D275" s="269"/>
      <c r="E275" s="269"/>
      <c r="F275" s="270">
        <v>11</v>
      </c>
      <c r="G275" s="270">
        <v>0</v>
      </c>
      <c r="H275" s="270">
        <v>11</v>
      </c>
      <c r="I275" s="270">
        <v>2247</v>
      </c>
      <c r="J275" s="270">
        <v>0</v>
      </c>
      <c r="K275" s="270">
        <v>0</v>
      </c>
      <c r="L275" s="270">
        <v>11</v>
      </c>
      <c r="M275" s="271">
        <v>4.8999999999999998E-3</v>
      </c>
      <c r="N275" s="270">
        <v>33</v>
      </c>
      <c r="O275" s="270">
        <v>12</v>
      </c>
      <c r="P275" s="272">
        <v>0</v>
      </c>
      <c r="Q275" s="272">
        <v>12</v>
      </c>
      <c r="R275" s="269" t="s">
        <v>1390</v>
      </c>
    </row>
    <row r="276" spans="1:18" x14ac:dyDescent="0.25">
      <c r="A276" s="2" t="s">
        <v>1618</v>
      </c>
      <c r="B276" s="2" t="s">
        <v>96</v>
      </c>
      <c r="C276" s="2" t="s">
        <v>97</v>
      </c>
      <c r="D276" s="2" t="s">
        <v>5</v>
      </c>
      <c r="E276" s="117">
        <v>5</v>
      </c>
      <c r="F276" s="117">
        <v>0</v>
      </c>
      <c r="G276" s="117">
        <v>0</v>
      </c>
      <c r="H276" s="117">
        <v>0</v>
      </c>
      <c r="I276" s="117">
        <v>568</v>
      </c>
      <c r="J276" s="117">
        <v>0</v>
      </c>
      <c r="K276" s="117">
        <v>0</v>
      </c>
      <c r="L276" s="117">
        <v>0</v>
      </c>
      <c r="M276" s="267">
        <v>0</v>
      </c>
      <c r="N276" s="117">
        <v>0</v>
      </c>
      <c r="O276" s="117">
        <v>0</v>
      </c>
      <c r="P276" s="268">
        <v>0</v>
      </c>
      <c r="Q276" s="268">
        <v>0</v>
      </c>
      <c r="R276" s="2" t="s">
        <v>1390</v>
      </c>
    </row>
    <row r="277" spans="1:18" x14ac:dyDescent="0.25">
      <c r="A277" s="2" t="s">
        <v>1619</v>
      </c>
      <c r="B277" s="2" t="s">
        <v>216</v>
      </c>
      <c r="C277" s="2" t="s">
        <v>97</v>
      </c>
      <c r="D277" s="2" t="s">
        <v>115</v>
      </c>
      <c r="E277" s="117">
        <v>5</v>
      </c>
      <c r="F277" s="117">
        <v>0</v>
      </c>
      <c r="G277" s="117">
        <v>0</v>
      </c>
      <c r="H277" s="117">
        <v>0</v>
      </c>
      <c r="I277" s="117">
        <v>0</v>
      </c>
      <c r="J277" s="117">
        <v>0</v>
      </c>
      <c r="K277" s="117">
        <v>0</v>
      </c>
      <c r="L277" s="117">
        <v>0</v>
      </c>
      <c r="M277" s="267" t="s">
        <v>488</v>
      </c>
      <c r="N277" s="117">
        <v>0</v>
      </c>
      <c r="O277" s="117">
        <v>0</v>
      </c>
      <c r="P277" s="268">
        <v>0</v>
      </c>
      <c r="Q277" s="268">
        <v>0</v>
      </c>
      <c r="R277" s="2" t="s">
        <v>1390</v>
      </c>
    </row>
    <row r="278" spans="1:18" x14ac:dyDescent="0.25">
      <c r="A278" s="2" t="s">
        <v>1620</v>
      </c>
      <c r="B278" s="2" t="s">
        <v>250</v>
      </c>
      <c r="C278" s="2" t="s">
        <v>97</v>
      </c>
      <c r="D278" s="2" t="s">
        <v>115</v>
      </c>
      <c r="E278" s="117">
        <v>5</v>
      </c>
      <c r="F278" s="117">
        <v>0</v>
      </c>
      <c r="G278" s="117">
        <v>0</v>
      </c>
      <c r="H278" s="117">
        <v>0</v>
      </c>
      <c r="I278" s="117">
        <v>25</v>
      </c>
      <c r="J278" s="117">
        <v>0</v>
      </c>
      <c r="K278" s="117">
        <v>0</v>
      </c>
      <c r="L278" s="117">
        <v>0</v>
      </c>
      <c r="M278" s="267">
        <v>0</v>
      </c>
      <c r="N278" s="117">
        <v>0</v>
      </c>
      <c r="O278" s="117">
        <v>0</v>
      </c>
      <c r="P278" s="268">
        <v>0</v>
      </c>
      <c r="Q278" s="268">
        <v>0</v>
      </c>
      <c r="R278" s="2" t="s">
        <v>1390</v>
      </c>
    </row>
    <row r="279" spans="1:18" x14ac:dyDescent="0.25">
      <c r="A279" s="2" t="s">
        <v>1621</v>
      </c>
      <c r="B279" s="2" t="s">
        <v>251</v>
      </c>
      <c r="C279" s="2" t="s">
        <v>97</v>
      </c>
      <c r="D279" s="2" t="s">
        <v>115</v>
      </c>
      <c r="E279" s="117">
        <v>5</v>
      </c>
      <c r="F279" s="117">
        <v>0</v>
      </c>
      <c r="G279" s="117">
        <v>0</v>
      </c>
      <c r="H279" s="117">
        <v>0</v>
      </c>
      <c r="I279" s="117">
        <v>19</v>
      </c>
      <c r="J279" s="117">
        <v>0</v>
      </c>
      <c r="K279" s="117">
        <v>0</v>
      </c>
      <c r="L279" s="117">
        <v>0</v>
      </c>
      <c r="M279" s="267">
        <v>0</v>
      </c>
      <c r="N279" s="117">
        <v>0</v>
      </c>
      <c r="O279" s="117">
        <v>0</v>
      </c>
      <c r="P279" s="268">
        <v>0</v>
      </c>
      <c r="Q279" s="268">
        <v>0</v>
      </c>
      <c r="R279" s="2" t="s">
        <v>1390</v>
      </c>
    </row>
    <row r="280" spans="1:18" x14ac:dyDescent="0.25">
      <c r="A280" s="2" t="s">
        <v>1622</v>
      </c>
      <c r="B280" s="2" t="s">
        <v>252</v>
      </c>
      <c r="C280" s="2" t="s">
        <v>97</v>
      </c>
      <c r="D280" s="2" t="s">
        <v>115</v>
      </c>
      <c r="E280" s="117">
        <v>5</v>
      </c>
      <c r="F280" s="117">
        <v>0</v>
      </c>
      <c r="G280" s="117">
        <v>0</v>
      </c>
      <c r="H280" s="117">
        <v>0</v>
      </c>
      <c r="I280" s="117">
        <v>38</v>
      </c>
      <c r="J280" s="117">
        <v>0</v>
      </c>
      <c r="K280" s="117">
        <v>0</v>
      </c>
      <c r="L280" s="117">
        <v>0</v>
      </c>
      <c r="M280" s="267">
        <v>0</v>
      </c>
      <c r="N280" s="117">
        <v>0</v>
      </c>
      <c r="O280" s="117">
        <v>0</v>
      </c>
      <c r="P280" s="268">
        <v>0</v>
      </c>
      <c r="Q280" s="268">
        <v>0</v>
      </c>
      <c r="R280" s="2" t="s">
        <v>1390</v>
      </c>
    </row>
    <row r="281" spans="1:18" x14ac:dyDescent="0.25">
      <c r="A281" s="2" t="s">
        <v>1623</v>
      </c>
      <c r="B281" s="2" t="s">
        <v>305</v>
      </c>
      <c r="C281" s="2" t="s">
        <v>97</v>
      </c>
      <c r="D281" s="2" t="s">
        <v>115</v>
      </c>
      <c r="E281" s="117">
        <v>5</v>
      </c>
      <c r="F281" s="117">
        <v>0</v>
      </c>
      <c r="G281" s="117">
        <v>0</v>
      </c>
      <c r="H281" s="117">
        <v>0</v>
      </c>
      <c r="I281" s="117">
        <v>21</v>
      </c>
      <c r="J281" s="117">
        <v>0</v>
      </c>
      <c r="K281" s="117">
        <v>0</v>
      </c>
      <c r="L281" s="117">
        <v>0</v>
      </c>
      <c r="M281" s="267">
        <v>0</v>
      </c>
      <c r="N281" s="117">
        <v>0</v>
      </c>
      <c r="O281" s="117">
        <v>0</v>
      </c>
      <c r="P281" s="268">
        <v>0</v>
      </c>
      <c r="Q281" s="268">
        <v>0</v>
      </c>
      <c r="R281" s="2" t="s">
        <v>1390</v>
      </c>
    </row>
    <row r="282" spans="1:18" x14ac:dyDescent="0.25">
      <c r="A282" s="2" t="s">
        <v>1624</v>
      </c>
      <c r="B282" s="2" t="s">
        <v>306</v>
      </c>
      <c r="C282" s="2" t="s">
        <v>97</v>
      </c>
      <c r="D282" s="2" t="s">
        <v>115</v>
      </c>
      <c r="E282" s="117">
        <v>5</v>
      </c>
      <c r="F282" s="117">
        <v>0</v>
      </c>
      <c r="G282" s="117">
        <v>0</v>
      </c>
      <c r="H282" s="117">
        <v>0</v>
      </c>
      <c r="I282" s="117">
        <v>17</v>
      </c>
      <c r="J282" s="117">
        <v>0</v>
      </c>
      <c r="K282" s="117">
        <v>0</v>
      </c>
      <c r="L282" s="117">
        <v>0</v>
      </c>
      <c r="M282" s="267">
        <v>0</v>
      </c>
      <c r="N282" s="117">
        <v>0</v>
      </c>
      <c r="O282" s="117">
        <v>0</v>
      </c>
      <c r="P282" s="268">
        <v>0</v>
      </c>
      <c r="Q282" s="268">
        <v>0</v>
      </c>
      <c r="R282" s="2" t="s">
        <v>1390</v>
      </c>
    </row>
    <row r="283" spans="1:18" x14ac:dyDescent="0.25">
      <c r="A283" s="269"/>
      <c r="B283" s="269"/>
      <c r="C283" s="269" t="s">
        <v>97</v>
      </c>
      <c r="D283" s="269"/>
      <c r="E283" s="269"/>
      <c r="F283" s="270">
        <v>0</v>
      </c>
      <c r="G283" s="270">
        <v>0</v>
      </c>
      <c r="H283" s="270">
        <v>0</v>
      </c>
      <c r="I283" s="270">
        <v>688</v>
      </c>
      <c r="J283" s="270">
        <v>0</v>
      </c>
      <c r="K283" s="270">
        <v>0</v>
      </c>
      <c r="L283" s="270">
        <v>0</v>
      </c>
      <c r="M283" s="271">
        <v>0</v>
      </c>
      <c r="N283" s="270">
        <v>0</v>
      </c>
      <c r="O283" s="270">
        <v>0</v>
      </c>
      <c r="P283" s="272">
        <v>0</v>
      </c>
      <c r="Q283" s="272">
        <v>0</v>
      </c>
      <c r="R283" s="269" t="s">
        <v>1390</v>
      </c>
    </row>
    <row r="284" spans="1:18" x14ac:dyDescent="0.25">
      <c r="A284" s="2" t="s">
        <v>1625</v>
      </c>
      <c r="B284" s="2" t="s">
        <v>98</v>
      </c>
      <c r="C284" s="2" t="s">
        <v>99</v>
      </c>
      <c r="D284" s="2" t="s">
        <v>5</v>
      </c>
      <c r="E284" s="117">
        <v>5</v>
      </c>
      <c r="F284" s="117">
        <v>0</v>
      </c>
      <c r="G284" s="117">
        <v>0</v>
      </c>
      <c r="H284" s="117">
        <v>0</v>
      </c>
      <c r="I284" s="117">
        <v>390</v>
      </c>
      <c r="J284" s="117">
        <v>0</v>
      </c>
      <c r="K284" s="117">
        <v>0</v>
      </c>
      <c r="L284" s="117">
        <v>0</v>
      </c>
      <c r="M284" s="267">
        <v>0</v>
      </c>
      <c r="N284" s="117">
        <v>0</v>
      </c>
      <c r="O284" s="117">
        <v>0</v>
      </c>
      <c r="P284" s="268">
        <v>0</v>
      </c>
      <c r="Q284" s="268">
        <v>0</v>
      </c>
      <c r="R284" s="2" t="s">
        <v>1390</v>
      </c>
    </row>
    <row r="285" spans="1:18" x14ac:dyDescent="0.25">
      <c r="A285" s="2" t="s">
        <v>1626</v>
      </c>
      <c r="B285" s="2" t="s">
        <v>232</v>
      </c>
      <c r="C285" s="2" t="s">
        <v>99</v>
      </c>
      <c r="D285" s="2" t="s">
        <v>115</v>
      </c>
      <c r="E285" s="117">
        <v>5</v>
      </c>
      <c r="F285" s="117">
        <v>0</v>
      </c>
      <c r="G285" s="117">
        <v>0</v>
      </c>
      <c r="H285" s="117">
        <v>0</v>
      </c>
      <c r="I285" s="117">
        <v>145</v>
      </c>
      <c r="J285" s="117">
        <v>0</v>
      </c>
      <c r="K285" s="117">
        <v>0</v>
      </c>
      <c r="L285" s="117">
        <v>0</v>
      </c>
      <c r="M285" s="267">
        <v>0</v>
      </c>
      <c r="N285" s="117">
        <v>0</v>
      </c>
      <c r="O285" s="117">
        <v>0</v>
      </c>
      <c r="P285" s="268">
        <v>0</v>
      </c>
      <c r="Q285" s="268">
        <v>0</v>
      </c>
      <c r="R285" s="2" t="s">
        <v>1390</v>
      </c>
    </row>
    <row r="286" spans="1:18" x14ac:dyDescent="0.25">
      <c r="A286" s="2" t="s">
        <v>1627</v>
      </c>
      <c r="B286" s="2" t="s">
        <v>299</v>
      </c>
      <c r="C286" s="2" t="s">
        <v>99</v>
      </c>
      <c r="D286" s="2" t="s">
        <v>115</v>
      </c>
      <c r="E286" s="117">
        <v>5</v>
      </c>
      <c r="F286" s="117">
        <v>0</v>
      </c>
      <c r="G286" s="117">
        <v>0</v>
      </c>
      <c r="H286" s="117">
        <v>0</v>
      </c>
      <c r="I286" s="117">
        <v>13</v>
      </c>
      <c r="J286" s="117">
        <v>0</v>
      </c>
      <c r="K286" s="117">
        <v>0</v>
      </c>
      <c r="L286" s="117">
        <v>0</v>
      </c>
      <c r="M286" s="267">
        <v>0</v>
      </c>
      <c r="N286" s="117">
        <v>0</v>
      </c>
      <c r="O286" s="117">
        <v>0</v>
      </c>
      <c r="P286" s="268">
        <v>0</v>
      </c>
      <c r="Q286" s="268">
        <v>0</v>
      </c>
      <c r="R286" s="2" t="s">
        <v>1390</v>
      </c>
    </row>
    <row r="287" spans="1:18" x14ac:dyDescent="0.25">
      <c r="A287" s="269"/>
      <c r="B287" s="269"/>
      <c r="C287" s="269" t="s">
        <v>99</v>
      </c>
      <c r="D287" s="269"/>
      <c r="E287" s="269"/>
      <c r="F287" s="270">
        <v>0</v>
      </c>
      <c r="G287" s="270">
        <v>0</v>
      </c>
      <c r="H287" s="270">
        <v>0</v>
      </c>
      <c r="I287" s="270">
        <v>548</v>
      </c>
      <c r="J287" s="270">
        <v>0</v>
      </c>
      <c r="K287" s="270">
        <v>0</v>
      </c>
      <c r="L287" s="270">
        <v>0</v>
      </c>
      <c r="M287" s="271">
        <v>0</v>
      </c>
      <c r="N287" s="270">
        <v>0</v>
      </c>
      <c r="O287" s="270">
        <v>0</v>
      </c>
      <c r="P287" s="272">
        <v>0</v>
      </c>
      <c r="Q287" s="272">
        <v>0</v>
      </c>
      <c r="R287" s="269" t="s">
        <v>1390</v>
      </c>
    </row>
    <row r="288" spans="1:18" x14ac:dyDescent="0.25">
      <c r="A288" s="2" t="s">
        <v>1628</v>
      </c>
      <c r="B288" s="2" t="s">
        <v>100</v>
      </c>
      <c r="C288" s="2" t="s">
        <v>101</v>
      </c>
      <c r="D288" s="2" t="s">
        <v>5</v>
      </c>
      <c r="E288" s="117">
        <v>8</v>
      </c>
      <c r="F288" s="117">
        <v>0</v>
      </c>
      <c r="G288" s="117">
        <v>0</v>
      </c>
      <c r="H288" s="117">
        <v>0</v>
      </c>
      <c r="I288" s="117">
        <v>888</v>
      </c>
      <c r="J288" s="117">
        <v>0</v>
      </c>
      <c r="K288" s="117">
        <v>0</v>
      </c>
      <c r="L288" s="117">
        <v>0</v>
      </c>
      <c r="M288" s="267">
        <v>0</v>
      </c>
      <c r="N288" s="117">
        <v>0</v>
      </c>
      <c r="O288" s="117">
        <v>0</v>
      </c>
      <c r="P288" s="268">
        <v>0</v>
      </c>
      <c r="Q288" s="268">
        <v>0</v>
      </c>
      <c r="R288" s="2" t="s">
        <v>1390</v>
      </c>
    </row>
    <row r="289" spans="1:18" x14ac:dyDescent="0.25">
      <c r="A289" s="2" t="s">
        <v>1629</v>
      </c>
      <c r="B289" s="2" t="s">
        <v>147</v>
      </c>
      <c r="C289" s="2" t="s">
        <v>101</v>
      </c>
      <c r="D289" s="2" t="s">
        <v>115</v>
      </c>
      <c r="E289" s="117">
        <v>8</v>
      </c>
      <c r="F289" s="117">
        <v>0</v>
      </c>
      <c r="G289" s="117">
        <v>0</v>
      </c>
      <c r="H289" s="117">
        <v>0</v>
      </c>
      <c r="I289" s="117">
        <v>16</v>
      </c>
      <c r="J289" s="117">
        <v>0</v>
      </c>
      <c r="K289" s="117">
        <v>0</v>
      </c>
      <c r="L289" s="117">
        <v>0</v>
      </c>
      <c r="M289" s="267">
        <v>0</v>
      </c>
      <c r="N289" s="117">
        <v>0</v>
      </c>
      <c r="O289" s="117">
        <v>0</v>
      </c>
      <c r="P289" s="268">
        <v>0</v>
      </c>
      <c r="Q289" s="268">
        <v>0</v>
      </c>
      <c r="R289" s="2" t="s">
        <v>1390</v>
      </c>
    </row>
    <row r="290" spans="1:18" x14ac:dyDescent="0.25">
      <c r="A290" s="2" t="s">
        <v>1630</v>
      </c>
      <c r="B290" s="2" t="s">
        <v>319</v>
      </c>
      <c r="C290" s="2" t="s">
        <v>101</v>
      </c>
      <c r="D290" s="2" t="s">
        <v>115</v>
      </c>
      <c r="E290" s="117">
        <v>8</v>
      </c>
      <c r="F290" s="117">
        <v>0</v>
      </c>
      <c r="G290" s="117">
        <v>0</v>
      </c>
      <c r="H290" s="117">
        <v>0</v>
      </c>
      <c r="I290" s="117">
        <v>5</v>
      </c>
      <c r="J290" s="117">
        <v>0</v>
      </c>
      <c r="K290" s="117">
        <v>0</v>
      </c>
      <c r="L290" s="117">
        <v>0</v>
      </c>
      <c r="M290" s="267">
        <v>0</v>
      </c>
      <c r="N290" s="117">
        <v>0</v>
      </c>
      <c r="O290" s="117">
        <v>0</v>
      </c>
      <c r="P290" s="268">
        <v>0</v>
      </c>
      <c r="Q290" s="268">
        <v>0</v>
      </c>
      <c r="R290" s="2" t="s">
        <v>1390</v>
      </c>
    </row>
    <row r="291" spans="1:18" x14ac:dyDescent="0.25">
      <c r="A291" s="269"/>
      <c r="B291" s="269"/>
      <c r="C291" s="269" t="s">
        <v>101</v>
      </c>
      <c r="D291" s="269"/>
      <c r="E291" s="269"/>
      <c r="F291" s="270">
        <v>0</v>
      </c>
      <c r="G291" s="270">
        <v>0</v>
      </c>
      <c r="H291" s="270">
        <v>0</v>
      </c>
      <c r="I291" s="270">
        <v>909</v>
      </c>
      <c r="J291" s="270">
        <v>0</v>
      </c>
      <c r="K291" s="270">
        <v>0</v>
      </c>
      <c r="L291" s="270">
        <v>0</v>
      </c>
      <c r="M291" s="271">
        <v>0</v>
      </c>
      <c r="N291" s="270">
        <v>0</v>
      </c>
      <c r="O291" s="270">
        <v>0</v>
      </c>
      <c r="P291" s="272">
        <v>0</v>
      </c>
      <c r="Q291" s="272">
        <v>0</v>
      </c>
      <c r="R291" s="269" t="s">
        <v>1390</v>
      </c>
    </row>
    <row r="292" spans="1:18" x14ac:dyDescent="0.25">
      <c r="A292" s="2" t="s">
        <v>1631</v>
      </c>
      <c r="B292" s="2" t="s">
        <v>102</v>
      </c>
      <c r="C292" s="2" t="s">
        <v>103</v>
      </c>
      <c r="D292" s="2" t="s">
        <v>5</v>
      </c>
      <c r="E292" s="117">
        <v>5</v>
      </c>
      <c r="F292" s="117">
        <v>0</v>
      </c>
      <c r="G292" s="117">
        <v>0</v>
      </c>
      <c r="H292" s="117">
        <v>0</v>
      </c>
      <c r="I292" s="117">
        <v>670</v>
      </c>
      <c r="J292" s="117">
        <v>0</v>
      </c>
      <c r="K292" s="117">
        <v>0</v>
      </c>
      <c r="L292" s="117">
        <v>0</v>
      </c>
      <c r="M292" s="267">
        <v>0</v>
      </c>
      <c r="N292" s="117">
        <v>0</v>
      </c>
      <c r="O292" s="117">
        <v>0</v>
      </c>
      <c r="P292" s="268">
        <v>0</v>
      </c>
      <c r="Q292" s="268">
        <v>0</v>
      </c>
      <c r="R292" s="2" t="s">
        <v>1390</v>
      </c>
    </row>
    <row r="293" spans="1:18" x14ac:dyDescent="0.25">
      <c r="A293" s="2" t="s">
        <v>1632</v>
      </c>
      <c r="B293" s="2" t="s">
        <v>258</v>
      </c>
      <c r="C293" s="2" t="s">
        <v>103</v>
      </c>
      <c r="D293" s="2" t="s">
        <v>115</v>
      </c>
      <c r="E293" s="117">
        <v>5</v>
      </c>
      <c r="F293" s="117">
        <v>0</v>
      </c>
      <c r="G293" s="117">
        <v>0</v>
      </c>
      <c r="H293" s="117">
        <v>0</v>
      </c>
      <c r="I293" s="117">
        <v>1</v>
      </c>
      <c r="J293" s="117">
        <v>0</v>
      </c>
      <c r="K293" s="117">
        <v>0</v>
      </c>
      <c r="L293" s="117">
        <v>0</v>
      </c>
      <c r="M293" s="267">
        <v>0</v>
      </c>
      <c r="N293" s="117">
        <v>0</v>
      </c>
      <c r="O293" s="117">
        <v>0</v>
      </c>
      <c r="P293" s="268">
        <v>0</v>
      </c>
      <c r="Q293" s="268">
        <v>0</v>
      </c>
      <c r="R293" s="2" t="s">
        <v>1390</v>
      </c>
    </row>
    <row r="294" spans="1:18" x14ac:dyDescent="0.25">
      <c r="A294" s="2" t="s">
        <v>1606</v>
      </c>
      <c r="B294" s="2" t="s">
        <v>259</v>
      </c>
      <c r="C294" s="2" t="s">
        <v>103</v>
      </c>
      <c r="D294" s="2" t="s">
        <v>115</v>
      </c>
      <c r="E294" s="117">
        <v>5</v>
      </c>
      <c r="F294" s="117">
        <v>0</v>
      </c>
      <c r="G294" s="117">
        <v>0</v>
      </c>
      <c r="H294" s="117">
        <v>0</v>
      </c>
      <c r="I294" s="117">
        <v>1</v>
      </c>
      <c r="J294" s="117">
        <v>0</v>
      </c>
      <c r="K294" s="117">
        <v>0</v>
      </c>
      <c r="L294" s="117">
        <v>0</v>
      </c>
      <c r="M294" s="267">
        <v>0</v>
      </c>
      <c r="N294" s="117">
        <v>0</v>
      </c>
      <c r="O294" s="117">
        <v>0</v>
      </c>
      <c r="P294" s="268">
        <v>0</v>
      </c>
      <c r="Q294" s="268">
        <v>0</v>
      </c>
      <c r="R294" s="2" t="s">
        <v>1390</v>
      </c>
    </row>
    <row r="295" spans="1:18" x14ac:dyDescent="0.25">
      <c r="A295" s="2" t="s">
        <v>1633</v>
      </c>
      <c r="B295" s="2" t="s">
        <v>260</v>
      </c>
      <c r="C295" s="2" t="s">
        <v>103</v>
      </c>
      <c r="D295" s="2" t="s">
        <v>115</v>
      </c>
      <c r="E295" s="117">
        <v>5</v>
      </c>
      <c r="F295" s="117">
        <v>0</v>
      </c>
      <c r="G295" s="117">
        <v>0</v>
      </c>
      <c r="H295" s="117">
        <v>0</v>
      </c>
      <c r="I295" s="117">
        <v>75</v>
      </c>
      <c r="J295" s="117">
        <v>0</v>
      </c>
      <c r="K295" s="117">
        <v>0</v>
      </c>
      <c r="L295" s="117">
        <v>0</v>
      </c>
      <c r="M295" s="267">
        <v>0</v>
      </c>
      <c r="N295" s="117">
        <v>0</v>
      </c>
      <c r="O295" s="117">
        <v>0</v>
      </c>
      <c r="P295" s="268">
        <v>0</v>
      </c>
      <c r="Q295" s="268">
        <v>0</v>
      </c>
      <c r="R295" s="2" t="s">
        <v>1390</v>
      </c>
    </row>
    <row r="296" spans="1:18" x14ac:dyDescent="0.25">
      <c r="A296" s="2" t="s">
        <v>1634</v>
      </c>
      <c r="B296" s="2" t="s">
        <v>304</v>
      </c>
      <c r="C296" s="2" t="s">
        <v>103</v>
      </c>
      <c r="D296" s="2" t="s">
        <v>115</v>
      </c>
      <c r="E296" s="117">
        <v>5</v>
      </c>
      <c r="F296" s="117">
        <v>0</v>
      </c>
      <c r="G296" s="117">
        <v>0</v>
      </c>
      <c r="H296" s="117">
        <v>0</v>
      </c>
      <c r="I296" s="117">
        <v>68</v>
      </c>
      <c r="J296" s="117">
        <v>0</v>
      </c>
      <c r="K296" s="117">
        <v>0</v>
      </c>
      <c r="L296" s="117">
        <v>0</v>
      </c>
      <c r="M296" s="267">
        <v>0</v>
      </c>
      <c r="N296" s="117">
        <v>0</v>
      </c>
      <c r="O296" s="117">
        <v>0</v>
      </c>
      <c r="P296" s="268">
        <v>0</v>
      </c>
      <c r="Q296" s="268">
        <v>0</v>
      </c>
      <c r="R296" s="2" t="s">
        <v>1390</v>
      </c>
    </row>
    <row r="297" spans="1:18" x14ac:dyDescent="0.25">
      <c r="A297" s="269"/>
      <c r="B297" s="269"/>
      <c r="C297" s="269" t="s">
        <v>103</v>
      </c>
      <c r="D297" s="269"/>
      <c r="E297" s="269"/>
      <c r="F297" s="270">
        <v>0</v>
      </c>
      <c r="G297" s="270">
        <v>0</v>
      </c>
      <c r="H297" s="270">
        <v>0</v>
      </c>
      <c r="I297" s="270">
        <v>815</v>
      </c>
      <c r="J297" s="270">
        <v>0</v>
      </c>
      <c r="K297" s="270">
        <v>0</v>
      </c>
      <c r="L297" s="270">
        <v>0</v>
      </c>
      <c r="M297" s="271">
        <v>0</v>
      </c>
      <c r="N297" s="270">
        <v>0</v>
      </c>
      <c r="O297" s="270">
        <v>0</v>
      </c>
      <c r="P297" s="272">
        <v>0</v>
      </c>
      <c r="Q297" s="272">
        <v>0</v>
      </c>
      <c r="R297" s="269" t="s">
        <v>1390</v>
      </c>
    </row>
    <row r="298" spans="1:18" x14ac:dyDescent="0.25">
      <c r="A298" s="2" t="s">
        <v>1635</v>
      </c>
      <c r="B298" s="2" t="s">
        <v>104</v>
      </c>
      <c r="C298" s="2" t="s">
        <v>105</v>
      </c>
      <c r="D298" s="2" t="s">
        <v>5</v>
      </c>
      <c r="E298" s="117">
        <v>1</v>
      </c>
      <c r="F298" s="117">
        <v>1</v>
      </c>
      <c r="G298" s="117">
        <v>0</v>
      </c>
      <c r="H298" s="117">
        <v>1</v>
      </c>
      <c r="I298" s="117">
        <v>354</v>
      </c>
      <c r="J298" s="117">
        <v>0</v>
      </c>
      <c r="K298" s="117">
        <v>0</v>
      </c>
      <c r="L298" s="117">
        <v>1</v>
      </c>
      <c r="M298" s="267">
        <v>2.8E-3</v>
      </c>
      <c r="N298" s="117">
        <v>3</v>
      </c>
      <c r="O298" s="117">
        <v>5</v>
      </c>
      <c r="P298" s="268">
        <v>0</v>
      </c>
      <c r="Q298" s="268">
        <v>5</v>
      </c>
      <c r="R298" s="2" t="s">
        <v>1428</v>
      </c>
    </row>
    <row r="299" spans="1:18" x14ac:dyDescent="0.25">
      <c r="A299" s="2" t="s">
        <v>1429</v>
      </c>
      <c r="B299" s="2" t="s">
        <v>142</v>
      </c>
      <c r="C299" s="2" t="s">
        <v>105</v>
      </c>
      <c r="D299" s="2" t="s">
        <v>115</v>
      </c>
      <c r="E299" s="117">
        <v>1</v>
      </c>
      <c r="F299" s="117">
        <v>2</v>
      </c>
      <c r="G299" s="117">
        <v>0</v>
      </c>
      <c r="H299" s="117">
        <v>2</v>
      </c>
      <c r="I299" s="117">
        <v>47</v>
      </c>
      <c r="J299" s="117">
        <v>0</v>
      </c>
      <c r="K299" s="117">
        <v>0</v>
      </c>
      <c r="L299" s="117">
        <v>2</v>
      </c>
      <c r="M299" s="267">
        <v>4.0800000000000003E-2</v>
      </c>
      <c r="N299" s="117">
        <v>6</v>
      </c>
      <c r="O299" s="117">
        <v>77</v>
      </c>
      <c r="P299" s="268">
        <v>0</v>
      </c>
      <c r="Q299" s="268">
        <v>77</v>
      </c>
      <c r="R299" s="2" t="s">
        <v>1428</v>
      </c>
    </row>
    <row r="300" spans="1:18" x14ac:dyDescent="0.25">
      <c r="A300" s="2" t="s">
        <v>1636</v>
      </c>
      <c r="B300" s="2" t="s">
        <v>224</v>
      </c>
      <c r="C300" s="2" t="s">
        <v>105</v>
      </c>
      <c r="D300" s="2" t="s">
        <v>115</v>
      </c>
      <c r="E300" s="117">
        <v>1</v>
      </c>
      <c r="F300" s="117">
        <v>0</v>
      </c>
      <c r="G300" s="117">
        <v>0</v>
      </c>
      <c r="H300" s="117">
        <v>0</v>
      </c>
      <c r="I300" s="117">
        <v>20</v>
      </c>
      <c r="J300" s="117">
        <v>0</v>
      </c>
      <c r="K300" s="117">
        <v>0</v>
      </c>
      <c r="L300" s="117">
        <v>0</v>
      </c>
      <c r="M300" s="267">
        <v>0</v>
      </c>
      <c r="N300" s="117">
        <v>0</v>
      </c>
      <c r="O300" s="117">
        <v>0</v>
      </c>
      <c r="P300" s="268">
        <v>0</v>
      </c>
      <c r="Q300" s="268">
        <v>0</v>
      </c>
      <c r="R300" s="2" t="s">
        <v>1428</v>
      </c>
    </row>
    <row r="301" spans="1:18" x14ac:dyDescent="0.25">
      <c r="A301" s="2" t="s">
        <v>1637</v>
      </c>
      <c r="B301" s="2" t="s">
        <v>327</v>
      </c>
      <c r="C301" s="2" t="s">
        <v>105</v>
      </c>
      <c r="D301" s="2" t="s">
        <v>115</v>
      </c>
      <c r="E301" s="117">
        <v>1</v>
      </c>
      <c r="F301" s="117">
        <v>0</v>
      </c>
      <c r="G301" s="117">
        <v>0</v>
      </c>
      <c r="H301" s="117">
        <v>0</v>
      </c>
      <c r="I301" s="117">
        <v>0</v>
      </c>
      <c r="J301" s="117">
        <v>0</v>
      </c>
      <c r="K301" s="117">
        <v>0</v>
      </c>
      <c r="L301" s="117">
        <v>0</v>
      </c>
      <c r="M301" s="267" t="s">
        <v>488</v>
      </c>
      <c r="N301" s="117">
        <v>0</v>
      </c>
      <c r="O301" s="117">
        <v>0</v>
      </c>
      <c r="P301" s="268">
        <v>0</v>
      </c>
      <c r="Q301" s="268">
        <v>0</v>
      </c>
      <c r="R301" s="2" t="s">
        <v>1428</v>
      </c>
    </row>
    <row r="302" spans="1:18" x14ac:dyDescent="0.25">
      <c r="A302" s="269"/>
      <c r="B302" s="269"/>
      <c r="C302" s="269" t="s">
        <v>105</v>
      </c>
      <c r="D302" s="269"/>
      <c r="E302" s="269"/>
      <c r="F302" s="270">
        <v>3</v>
      </c>
      <c r="G302" s="270">
        <v>0</v>
      </c>
      <c r="H302" s="270">
        <v>3</v>
      </c>
      <c r="I302" s="270">
        <v>842</v>
      </c>
      <c r="J302" s="270">
        <v>0</v>
      </c>
      <c r="K302" s="270">
        <v>0</v>
      </c>
      <c r="L302" s="270">
        <v>3</v>
      </c>
      <c r="M302" s="271">
        <v>3.5999999999999999E-3</v>
      </c>
      <c r="N302" s="270">
        <v>9</v>
      </c>
      <c r="O302" s="270">
        <v>82</v>
      </c>
      <c r="P302" s="272">
        <v>0</v>
      </c>
      <c r="Q302" s="272">
        <v>82</v>
      </c>
      <c r="R302" s="269" t="s">
        <v>1428</v>
      </c>
    </row>
    <row r="303" spans="1:18" x14ac:dyDescent="0.25">
      <c r="A303" s="2" t="s">
        <v>1638</v>
      </c>
      <c r="B303" s="2" t="s">
        <v>106</v>
      </c>
      <c r="C303" s="2" t="s">
        <v>107</v>
      </c>
      <c r="D303" s="2" t="s">
        <v>5</v>
      </c>
      <c r="E303" s="117">
        <v>9</v>
      </c>
      <c r="F303" s="117">
        <v>42</v>
      </c>
      <c r="G303" s="117">
        <v>0</v>
      </c>
      <c r="H303" s="117">
        <v>42</v>
      </c>
      <c r="I303" s="117">
        <v>496</v>
      </c>
      <c r="J303" s="117">
        <v>0</v>
      </c>
      <c r="K303" s="117">
        <v>0</v>
      </c>
      <c r="L303" s="117">
        <v>42</v>
      </c>
      <c r="M303" s="267">
        <v>7.8100000000000003E-2</v>
      </c>
      <c r="N303" s="117">
        <v>126</v>
      </c>
      <c r="O303" s="117">
        <v>148</v>
      </c>
      <c r="P303" s="268">
        <v>0</v>
      </c>
      <c r="Q303" s="268">
        <v>148</v>
      </c>
      <c r="R303" s="2" t="s">
        <v>1390</v>
      </c>
    </row>
    <row r="304" spans="1:18" x14ac:dyDescent="0.25">
      <c r="A304" s="2" t="s">
        <v>1639</v>
      </c>
      <c r="B304" s="2" t="s">
        <v>119</v>
      </c>
      <c r="C304" s="2" t="s">
        <v>107</v>
      </c>
      <c r="D304" s="2" t="s">
        <v>115</v>
      </c>
      <c r="E304" s="117">
        <v>9</v>
      </c>
      <c r="F304" s="117">
        <v>0</v>
      </c>
      <c r="G304" s="117">
        <v>0</v>
      </c>
      <c r="H304" s="117">
        <v>0</v>
      </c>
      <c r="I304" s="117">
        <v>76</v>
      </c>
      <c r="J304" s="117">
        <v>0</v>
      </c>
      <c r="K304" s="117">
        <v>0</v>
      </c>
      <c r="L304" s="117">
        <v>0</v>
      </c>
      <c r="M304" s="267">
        <v>0</v>
      </c>
      <c r="N304" s="117">
        <v>0</v>
      </c>
      <c r="O304" s="117">
        <v>0</v>
      </c>
      <c r="P304" s="268">
        <v>0</v>
      </c>
      <c r="Q304" s="268">
        <v>0</v>
      </c>
      <c r="R304" s="2" t="s">
        <v>1390</v>
      </c>
    </row>
    <row r="305" spans="1:18" x14ac:dyDescent="0.25">
      <c r="A305" s="2" t="s">
        <v>1640</v>
      </c>
      <c r="B305" s="2" t="s">
        <v>339</v>
      </c>
      <c r="C305" s="2" t="s">
        <v>107</v>
      </c>
      <c r="D305" s="2" t="s">
        <v>115</v>
      </c>
      <c r="E305" s="117">
        <v>9</v>
      </c>
      <c r="F305" s="117">
        <v>0</v>
      </c>
      <c r="G305" s="117">
        <v>0</v>
      </c>
      <c r="H305" s="117">
        <v>0</v>
      </c>
      <c r="I305" s="117">
        <v>0</v>
      </c>
      <c r="J305" s="117">
        <v>0</v>
      </c>
      <c r="K305" s="117">
        <v>0</v>
      </c>
      <c r="L305" s="117">
        <v>0</v>
      </c>
      <c r="M305" s="267" t="s">
        <v>488</v>
      </c>
      <c r="N305" s="117">
        <v>0</v>
      </c>
      <c r="O305" s="117">
        <v>0</v>
      </c>
      <c r="P305" s="268">
        <v>0</v>
      </c>
      <c r="Q305" s="268">
        <v>0</v>
      </c>
      <c r="R305" s="2" t="s">
        <v>1390</v>
      </c>
    </row>
    <row r="306" spans="1:18" x14ac:dyDescent="0.25">
      <c r="A306" s="269"/>
      <c r="B306" s="269"/>
      <c r="C306" s="269" t="s">
        <v>107</v>
      </c>
      <c r="D306" s="269"/>
      <c r="E306" s="269"/>
      <c r="F306" s="270">
        <v>42</v>
      </c>
      <c r="G306" s="270">
        <v>0</v>
      </c>
      <c r="H306" s="270">
        <v>42</v>
      </c>
      <c r="I306" s="270">
        <v>572</v>
      </c>
      <c r="J306" s="270">
        <v>0</v>
      </c>
      <c r="K306" s="270">
        <v>0</v>
      </c>
      <c r="L306" s="270">
        <v>42</v>
      </c>
      <c r="M306" s="271">
        <v>6.8400000000000002E-2</v>
      </c>
      <c r="N306" s="270">
        <v>126</v>
      </c>
      <c r="O306" s="270">
        <v>148</v>
      </c>
      <c r="P306" s="272">
        <v>0</v>
      </c>
      <c r="Q306" s="272">
        <v>148</v>
      </c>
      <c r="R306" s="269" t="s">
        <v>1390</v>
      </c>
    </row>
    <row r="307" spans="1:18" x14ac:dyDescent="0.25">
      <c r="A307" s="2" t="s">
        <v>1641</v>
      </c>
      <c r="B307" s="2" t="s">
        <v>108</v>
      </c>
      <c r="C307" s="2" t="s">
        <v>109</v>
      </c>
      <c r="D307" s="2" t="s">
        <v>5</v>
      </c>
      <c r="E307" s="117">
        <v>4</v>
      </c>
      <c r="F307" s="117">
        <v>0</v>
      </c>
      <c r="G307" s="117">
        <v>0</v>
      </c>
      <c r="H307" s="117">
        <v>0</v>
      </c>
      <c r="I307" s="117">
        <v>353</v>
      </c>
      <c r="J307" s="117">
        <v>0</v>
      </c>
      <c r="K307" s="117">
        <v>0</v>
      </c>
      <c r="L307" s="117">
        <v>0</v>
      </c>
      <c r="M307" s="267">
        <v>0</v>
      </c>
      <c r="N307" s="117">
        <v>0</v>
      </c>
      <c r="O307" s="117">
        <v>0</v>
      </c>
      <c r="P307" s="268">
        <v>0</v>
      </c>
      <c r="Q307" s="268">
        <v>0</v>
      </c>
      <c r="R307" s="2" t="s">
        <v>1428</v>
      </c>
    </row>
    <row r="308" spans="1:18" x14ac:dyDescent="0.25">
      <c r="A308" s="2" t="s">
        <v>1642</v>
      </c>
      <c r="B308" s="2" t="s">
        <v>233</v>
      </c>
      <c r="C308" s="2" t="s">
        <v>109</v>
      </c>
      <c r="D308" s="2" t="s">
        <v>115</v>
      </c>
      <c r="E308" s="117">
        <v>4</v>
      </c>
      <c r="F308" s="117">
        <v>0</v>
      </c>
      <c r="G308" s="117">
        <v>0</v>
      </c>
      <c r="H308" s="117">
        <v>0</v>
      </c>
      <c r="I308" s="117">
        <v>5</v>
      </c>
      <c r="J308" s="117">
        <v>0</v>
      </c>
      <c r="K308" s="117">
        <v>0</v>
      </c>
      <c r="L308" s="117">
        <v>0</v>
      </c>
      <c r="M308" s="267">
        <v>0</v>
      </c>
      <c r="N308" s="117">
        <v>0</v>
      </c>
      <c r="O308" s="117">
        <v>0</v>
      </c>
      <c r="P308" s="268">
        <v>0</v>
      </c>
      <c r="Q308" s="268">
        <v>0</v>
      </c>
      <c r="R308" s="2" t="s">
        <v>1428</v>
      </c>
    </row>
    <row r="309" spans="1:18" x14ac:dyDescent="0.25">
      <c r="A309" s="2" t="s">
        <v>1643</v>
      </c>
      <c r="B309" s="2" t="s">
        <v>234</v>
      </c>
      <c r="C309" s="2" t="s">
        <v>109</v>
      </c>
      <c r="D309" s="2" t="s">
        <v>115</v>
      </c>
      <c r="E309" s="117">
        <v>4</v>
      </c>
      <c r="F309" s="117">
        <v>0</v>
      </c>
      <c r="G309" s="117">
        <v>0</v>
      </c>
      <c r="H309" s="117">
        <v>0</v>
      </c>
      <c r="I309" s="117">
        <v>349</v>
      </c>
      <c r="J309" s="117">
        <v>0</v>
      </c>
      <c r="K309" s="117">
        <v>0</v>
      </c>
      <c r="L309" s="117">
        <v>0</v>
      </c>
      <c r="M309" s="267">
        <v>0</v>
      </c>
      <c r="N309" s="117">
        <v>0</v>
      </c>
      <c r="O309" s="117">
        <v>0</v>
      </c>
      <c r="P309" s="268">
        <v>0</v>
      </c>
      <c r="Q309" s="268">
        <v>0</v>
      </c>
      <c r="R309" s="2" t="s">
        <v>1428</v>
      </c>
    </row>
    <row r="310" spans="1:18" x14ac:dyDescent="0.25">
      <c r="A310" s="2" t="s">
        <v>1644</v>
      </c>
      <c r="B310" s="2" t="s">
        <v>340</v>
      </c>
      <c r="C310" s="2" t="s">
        <v>109</v>
      </c>
      <c r="D310" s="2" t="s">
        <v>115</v>
      </c>
      <c r="E310" s="117">
        <v>4</v>
      </c>
      <c r="F310" s="117">
        <v>0</v>
      </c>
      <c r="G310" s="117">
        <v>0</v>
      </c>
      <c r="H310" s="117">
        <v>0</v>
      </c>
      <c r="I310" s="117">
        <v>0</v>
      </c>
      <c r="J310" s="117">
        <v>0</v>
      </c>
      <c r="K310" s="117">
        <v>0</v>
      </c>
      <c r="L310" s="117">
        <v>0</v>
      </c>
      <c r="M310" s="267" t="s">
        <v>488</v>
      </c>
      <c r="N310" s="117">
        <v>0</v>
      </c>
      <c r="O310" s="117">
        <v>0</v>
      </c>
      <c r="P310" s="268">
        <v>0</v>
      </c>
      <c r="Q310" s="268">
        <v>0</v>
      </c>
      <c r="R310" s="2" t="s">
        <v>1428</v>
      </c>
    </row>
    <row r="311" spans="1:18" x14ac:dyDescent="0.25">
      <c r="A311" s="269"/>
      <c r="B311" s="269"/>
      <c r="C311" s="269" t="s">
        <v>109</v>
      </c>
      <c r="D311" s="269"/>
      <c r="E311" s="269"/>
      <c r="F311" s="270">
        <v>0</v>
      </c>
      <c r="G311" s="270">
        <v>0</v>
      </c>
      <c r="H311" s="270">
        <v>0</v>
      </c>
      <c r="I311" s="270">
        <v>1414</v>
      </c>
      <c r="J311" s="270">
        <v>0</v>
      </c>
      <c r="K311" s="270">
        <v>0</v>
      </c>
      <c r="L311" s="270">
        <v>0</v>
      </c>
      <c r="M311" s="271">
        <v>0</v>
      </c>
      <c r="N311" s="270">
        <v>0</v>
      </c>
      <c r="O311" s="270">
        <v>0</v>
      </c>
      <c r="P311" s="272">
        <v>0</v>
      </c>
      <c r="Q311" s="272">
        <v>0</v>
      </c>
      <c r="R311" s="269" t="s">
        <v>1428</v>
      </c>
    </row>
    <row r="312" spans="1:18" x14ac:dyDescent="0.25">
      <c r="A312" s="2" t="s">
        <v>1645</v>
      </c>
      <c r="B312" s="2" t="s">
        <v>110</v>
      </c>
      <c r="C312" s="2" t="s">
        <v>111</v>
      </c>
      <c r="D312" s="2" t="s">
        <v>5</v>
      </c>
      <c r="E312" s="117">
        <v>2</v>
      </c>
      <c r="F312" s="117">
        <v>14</v>
      </c>
      <c r="G312" s="117">
        <v>0</v>
      </c>
      <c r="H312" s="117">
        <v>14</v>
      </c>
      <c r="I312" s="117">
        <v>4588</v>
      </c>
      <c r="J312" s="117">
        <v>0</v>
      </c>
      <c r="K312" s="117">
        <v>0</v>
      </c>
      <c r="L312" s="117">
        <v>14</v>
      </c>
      <c r="M312" s="267">
        <v>3.0000000000000001E-3</v>
      </c>
      <c r="N312" s="117">
        <v>42</v>
      </c>
      <c r="O312" s="117">
        <v>5</v>
      </c>
      <c r="P312" s="268">
        <v>0</v>
      </c>
      <c r="Q312" s="268">
        <v>5</v>
      </c>
      <c r="R312" s="2" t="s">
        <v>1390</v>
      </c>
    </row>
    <row r="313" spans="1:18" x14ac:dyDescent="0.25">
      <c r="A313" s="2" t="s">
        <v>1646</v>
      </c>
      <c r="B313" s="2" t="s">
        <v>183</v>
      </c>
      <c r="C313" s="2" t="s">
        <v>111</v>
      </c>
      <c r="D313" s="2" t="s">
        <v>115</v>
      </c>
      <c r="E313" s="117">
        <v>2</v>
      </c>
      <c r="F313" s="117">
        <v>0</v>
      </c>
      <c r="G313" s="117">
        <v>0</v>
      </c>
      <c r="H313" s="117">
        <v>0</v>
      </c>
      <c r="I313" s="117">
        <v>45</v>
      </c>
      <c r="J313" s="117">
        <v>0</v>
      </c>
      <c r="K313" s="117">
        <v>0</v>
      </c>
      <c r="L313" s="117">
        <v>0</v>
      </c>
      <c r="M313" s="267">
        <v>0</v>
      </c>
      <c r="N313" s="117">
        <v>0</v>
      </c>
      <c r="O313" s="117">
        <v>0</v>
      </c>
      <c r="P313" s="268">
        <v>0</v>
      </c>
      <c r="Q313" s="268">
        <v>0</v>
      </c>
      <c r="R313" s="2" t="s">
        <v>1390</v>
      </c>
    </row>
    <row r="314" spans="1:18" x14ac:dyDescent="0.25">
      <c r="A314" s="2" t="s">
        <v>1647</v>
      </c>
      <c r="B314" s="2" t="s">
        <v>186</v>
      </c>
      <c r="C314" s="2" t="s">
        <v>111</v>
      </c>
      <c r="D314" s="2" t="s">
        <v>115</v>
      </c>
      <c r="E314" s="117">
        <v>2</v>
      </c>
      <c r="F314" s="117">
        <v>0</v>
      </c>
      <c r="G314" s="117">
        <v>0</v>
      </c>
      <c r="H314" s="117">
        <v>0</v>
      </c>
      <c r="I314" s="117">
        <v>31</v>
      </c>
      <c r="J314" s="117">
        <v>0</v>
      </c>
      <c r="K314" s="117">
        <v>0</v>
      </c>
      <c r="L314" s="117">
        <v>0</v>
      </c>
      <c r="M314" s="267">
        <v>0</v>
      </c>
      <c r="N314" s="117">
        <v>0</v>
      </c>
      <c r="O314" s="117">
        <v>0</v>
      </c>
      <c r="P314" s="268">
        <v>0</v>
      </c>
      <c r="Q314" s="268">
        <v>0</v>
      </c>
      <c r="R314" s="2" t="s">
        <v>1390</v>
      </c>
    </row>
    <row r="315" spans="1:18" x14ac:dyDescent="0.25">
      <c r="A315" s="2" t="s">
        <v>1648</v>
      </c>
      <c r="B315" s="2" t="s">
        <v>332</v>
      </c>
      <c r="C315" s="2" t="s">
        <v>111</v>
      </c>
      <c r="D315" s="2" t="s">
        <v>115</v>
      </c>
      <c r="E315" s="117">
        <v>2</v>
      </c>
      <c r="F315" s="117">
        <v>0</v>
      </c>
      <c r="G315" s="117">
        <v>0</v>
      </c>
      <c r="H315" s="117">
        <v>0</v>
      </c>
      <c r="I315" s="117">
        <v>7</v>
      </c>
      <c r="J315" s="117">
        <v>0</v>
      </c>
      <c r="K315" s="117">
        <v>0</v>
      </c>
      <c r="L315" s="117">
        <v>0</v>
      </c>
      <c r="M315" s="267">
        <v>0</v>
      </c>
      <c r="N315" s="117">
        <v>0</v>
      </c>
      <c r="O315" s="117">
        <v>0</v>
      </c>
      <c r="P315" s="268">
        <v>0</v>
      </c>
      <c r="Q315" s="268">
        <v>0</v>
      </c>
      <c r="R315" s="2" t="s">
        <v>1390</v>
      </c>
    </row>
    <row r="316" spans="1:18" x14ac:dyDescent="0.25">
      <c r="A316" s="2" t="s">
        <v>1649</v>
      </c>
      <c r="B316" s="2" t="s">
        <v>333</v>
      </c>
      <c r="C316" s="2" t="s">
        <v>111</v>
      </c>
      <c r="D316" s="2" t="s">
        <v>115</v>
      </c>
      <c r="E316" s="117">
        <v>2</v>
      </c>
      <c r="F316" s="117">
        <v>0</v>
      </c>
      <c r="G316" s="117">
        <v>0</v>
      </c>
      <c r="H316" s="117">
        <v>0</v>
      </c>
      <c r="I316" s="117">
        <v>154</v>
      </c>
      <c r="J316" s="117">
        <v>0</v>
      </c>
      <c r="K316" s="117">
        <v>0</v>
      </c>
      <c r="L316" s="117">
        <v>0</v>
      </c>
      <c r="M316" s="267">
        <v>0</v>
      </c>
      <c r="N316" s="117">
        <v>0</v>
      </c>
      <c r="O316" s="117">
        <v>0</v>
      </c>
      <c r="P316" s="268">
        <v>0</v>
      </c>
      <c r="Q316" s="268">
        <v>0</v>
      </c>
      <c r="R316" s="2" t="s">
        <v>1390</v>
      </c>
    </row>
    <row r="317" spans="1:18" x14ac:dyDescent="0.25">
      <c r="A317" s="2" t="s">
        <v>1650</v>
      </c>
      <c r="B317" s="2" t="s">
        <v>335</v>
      </c>
      <c r="C317" s="2" t="s">
        <v>111</v>
      </c>
      <c r="D317" s="2" t="s">
        <v>115</v>
      </c>
      <c r="E317" s="117">
        <v>2</v>
      </c>
      <c r="F317" s="117">
        <v>0</v>
      </c>
      <c r="G317" s="117">
        <v>0</v>
      </c>
      <c r="H317" s="117">
        <v>0</v>
      </c>
      <c r="I317" s="117">
        <v>4</v>
      </c>
      <c r="J317" s="117">
        <v>0</v>
      </c>
      <c r="K317" s="117">
        <v>0</v>
      </c>
      <c r="L317" s="117">
        <v>0</v>
      </c>
      <c r="M317" s="267">
        <v>0</v>
      </c>
      <c r="N317" s="117">
        <v>0</v>
      </c>
      <c r="O317" s="117">
        <v>0</v>
      </c>
      <c r="P317" s="268">
        <v>0</v>
      </c>
      <c r="Q317" s="268">
        <v>0</v>
      </c>
      <c r="R317" s="2" t="s">
        <v>1390</v>
      </c>
    </row>
    <row r="318" spans="1:18" x14ac:dyDescent="0.25">
      <c r="A318" s="269"/>
      <c r="B318" s="269"/>
      <c r="C318" s="269" t="s">
        <v>111</v>
      </c>
      <c r="D318" s="269"/>
      <c r="E318" s="269"/>
      <c r="F318" s="270">
        <v>14</v>
      </c>
      <c r="G318" s="270">
        <v>0</v>
      </c>
      <c r="H318" s="270">
        <v>14</v>
      </c>
      <c r="I318" s="270">
        <v>4829</v>
      </c>
      <c r="J318" s="270">
        <v>0</v>
      </c>
      <c r="K318" s="270">
        <v>0</v>
      </c>
      <c r="L318" s="270">
        <v>14</v>
      </c>
      <c r="M318" s="271">
        <v>2.8999999999999998E-3</v>
      </c>
      <c r="N318" s="270">
        <v>42</v>
      </c>
      <c r="O318" s="270">
        <v>5</v>
      </c>
      <c r="P318" s="272">
        <v>0</v>
      </c>
      <c r="Q318" s="272">
        <v>5</v>
      </c>
      <c r="R318" s="269" t="s">
        <v>1390</v>
      </c>
    </row>
    <row r="319" spans="1:18" x14ac:dyDescent="0.25">
      <c r="A319" s="2" t="s">
        <v>1651</v>
      </c>
      <c r="B319" s="2" t="s">
        <v>112</v>
      </c>
      <c r="C319" s="2" t="s">
        <v>113</v>
      </c>
      <c r="D319" s="2" t="s">
        <v>5</v>
      </c>
      <c r="E319" s="117">
        <v>7</v>
      </c>
      <c r="F319" s="117">
        <v>1</v>
      </c>
      <c r="G319" s="117">
        <v>0</v>
      </c>
      <c r="H319" s="117">
        <v>1</v>
      </c>
      <c r="I319" s="117">
        <v>393</v>
      </c>
      <c r="J319" s="117">
        <v>0</v>
      </c>
      <c r="K319" s="117">
        <v>0</v>
      </c>
      <c r="L319" s="117">
        <v>1</v>
      </c>
      <c r="M319" s="267">
        <v>2.5000000000000001E-3</v>
      </c>
      <c r="N319" s="117">
        <v>3</v>
      </c>
      <c r="O319" s="117">
        <v>4</v>
      </c>
      <c r="P319" s="268">
        <v>0</v>
      </c>
      <c r="Q319" s="268">
        <v>4</v>
      </c>
      <c r="R319" s="2" t="s">
        <v>1390</v>
      </c>
    </row>
    <row r="320" spans="1:18" x14ac:dyDescent="0.25">
      <c r="A320" s="2" t="s">
        <v>1652</v>
      </c>
      <c r="B320" s="2" t="s">
        <v>342</v>
      </c>
      <c r="C320" s="2" t="s">
        <v>113</v>
      </c>
      <c r="D320" s="2" t="s">
        <v>115</v>
      </c>
      <c r="E320" s="117">
        <v>7</v>
      </c>
      <c r="F320" s="117">
        <v>0</v>
      </c>
      <c r="G320" s="117">
        <v>0</v>
      </c>
      <c r="H320" s="117">
        <v>0</v>
      </c>
      <c r="I320" s="117">
        <v>17</v>
      </c>
      <c r="J320" s="117">
        <v>0</v>
      </c>
      <c r="K320" s="117">
        <v>0</v>
      </c>
      <c r="L320" s="117">
        <v>0</v>
      </c>
      <c r="M320" s="267">
        <v>0</v>
      </c>
      <c r="N320" s="117">
        <v>0</v>
      </c>
      <c r="O320" s="117">
        <v>0</v>
      </c>
      <c r="P320" s="268">
        <v>0</v>
      </c>
      <c r="Q320" s="268">
        <v>0</v>
      </c>
      <c r="R320" s="2" t="s">
        <v>1390</v>
      </c>
    </row>
    <row r="321" spans="1:18" x14ac:dyDescent="0.25">
      <c r="A321" s="2" t="s">
        <v>1653</v>
      </c>
      <c r="B321" s="2" t="s">
        <v>343</v>
      </c>
      <c r="C321" s="2" t="s">
        <v>113</v>
      </c>
      <c r="D321" s="2" t="s">
        <v>115</v>
      </c>
      <c r="E321" s="117">
        <v>7</v>
      </c>
      <c r="F321" s="117">
        <v>0</v>
      </c>
      <c r="G321" s="117">
        <v>0</v>
      </c>
      <c r="H321" s="117">
        <v>0</v>
      </c>
      <c r="I321" s="117">
        <v>14</v>
      </c>
      <c r="J321" s="117">
        <v>0</v>
      </c>
      <c r="K321" s="117">
        <v>0</v>
      </c>
      <c r="L321" s="117">
        <v>0</v>
      </c>
      <c r="M321" s="267">
        <v>0</v>
      </c>
      <c r="N321" s="117">
        <v>0</v>
      </c>
      <c r="O321" s="117">
        <v>0</v>
      </c>
      <c r="P321" s="268">
        <v>0</v>
      </c>
      <c r="Q321" s="268">
        <v>0</v>
      </c>
      <c r="R321" s="2" t="s">
        <v>1390</v>
      </c>
    </row>
    <row r="322" spans="1:18" x14ac:dyDescent="0.25">
      <c r="A322" s="2" t="s">
        <v>1654</v>
      </c>
      <c r="B322" s="2" t="s">
        <v>344</v>
      </c>
      <c r="C322" s="2" t="s">
        <v>113</v>
      </c>
      <c r="D322" s="2" t="s">
        <v>115</v>
      </c>
      <c r="E322" s="117">
        <v>7</v>
      </c>
      <c r="F322" s="117">
        <v>11</v>
      </c>
      <c r="G322" s="117">
        <v>0</v>
      </c>
      <c r="H322" s="117">
        <v>11</v>
      </c>
      <c r="I322" s="117">
        <v>265</v>
      </c>
      <c r="J322" s="117">
        <v>0</v>
      </c>
      <c r="K322" s="117">
        <v>0</v>
      </c>
      <c r="L322" s="117">
        <v>11</v>
      </c>
      <c r="M322" s="267">
        <v>3.9899999999999998E-2</v>
      </c>
      <c r="N322" s="117">
        <v>33</v>
      </c>
      <c r="O322" s="117">
        <v>75</v>
      </c>
      <c r="P322" s="268">
        <v>0</v>
      </c>
      <c r="Q322" s="268">
        <v>75</v>
      </c>
      <c r="R322" s="2" t="s">
        <v>1390</v>
      </c>
    </row>
    <row r="323" spans="1:18" x14ac:dyDescent="0.25">
      <c r="A323" s="2" t="s">
        <v>1655</v>
      </c>
      <c r="B323" s="2" t="s">
        <v>345</v>
      </c>
      <c r="C323" s="2" t="s">
        <v>113</v>
      </c>
      <c r="D323" s="2" t="s">
        <v>115</v>
      </c>
      <c r="E323" s="117">
        <v>7</v>
      </c>
      <c r="F323" s="117">
        <v>0</v>
      </c>
      <c r="G323" s="117">
        <v>0</v>
      </c>
      <c r="H323" s="117">
        <v>0</v>
      </c>
      <c r="I323" s="117">
        <v>0</v>
      </c>
      <c r="J323" s="117">
        <v>0</v>
      </c>
      <c r="K323" s="117">
        <v>0</v>
      </c>
      <c r="L323" s="117">
        <v>0</v>
      </c>
      <c r="M323" s="267" t="s">
        <v>488</v>
      </c>
      <c r="N323" s="117">
        <v>0</v>
      </c>
      <c r="O323" s="117">
        <v>0</v>
      </c>
      <c r="P323" s="268">
        <v>0</v>
      </c>
      <c r="Q323" s="268">
        <v>0</v>
      </c>
      <c r="R323" s="2" t="s">
        <v>1390</v>
      </c>
    </row>
    <row r="324" spans="1:18" x14ac:dyDescent="0.25">
      <c r="A324" s="2" t="s">
        <v>1656</v>
      </c>
      <c r="B324" s="2" t="s">
        <v>346</v>
      </c>
      <c r="C324" s="2" t="s">
        <v>113</v>
      </c>
      <c r="D324" s="2" t="s">
        <v>115</v>
      </c>
      <c r="E324" s="117">
        <v>7</v>
      </c>
      <c r="F324" s="117">
        <v>0</v>
      </c>
      <c r="G324" s="117">
        <v>0</v>
      </c>
      <c r="H324" s="117">
        <v>0</v>
      </c>
      <c r="I324" s="117">
        <v>1</v>
      </c>
      <c r="J324" s="117">
        <v>0</v>
      </c>
      <c r="K324" s="117">
        <v>0</v>
      </c>
      <c r="L324" s="117">
        <v>0</v>
      </c>
      <c r="M324" s="267">
        <v>0</v>
      </c>
      <c r="N324" s="117">
        <v>0</v>
      </c>
      <c r="O324" s="117">
        <v>0</v>
      </c>
      <c r="P324" s="268">
        <v>0</v>
      </c>
      <c r="Q324" s="268">
        <v>0</v>
      </c>
      <c r="R324" s="2" t="s">
        <v>1390</v>
      </c>
    </row>
    <row r="325" spans="1:18" x14ac:dyDescent="0.25">
      <c r="A325" s="269"/>
      <c r="B325" s="269"/>
      <c r="C325" s="269" t="s">
        <v>113</v>
      </c>
      <c r="D325" s="269"/>
      <c r="E325" s="269"/>
      <c r="F325" s="270">
        <v>12</v>
      </c>
      <c r="G325" s="270">
        <v>0</v>
      </c>
      <c r="H325" s="270">
        <v>12</v>
      </c>
      <c r="I325" s="270">
        <v>690</v>
      </c>
      <c r="J325" s="270">
        <v>0</v>
      </c>
      <c r="K325" s="270">
        <v>0</v>
      </c>
      <c r="L325" s="270">
        <v>12</v>
      </c>
      <c r="M325" s="271">
        <v>1.7100000000000001E-2</v>
      </c>
      <c r="N325" s="270">
        <v>36</v>
      </c>
      <c r="O325" s="270">
        <v>79</v>
      </c>
      <c r="P325" s="272">
        <v>0</v>
      </c>
      <c r="Q325" s="272">
        <v>79</v>
      </c>
      <c r="R325" s="269" t="s">
        <v>1390</v>
      </c>
    </row>
    <row r="326" spans="1:18" x14ac:dyDescent="0.25">
      <c r="A326" s="2" t="s">
        <v>1657</v>
      </c>
      <c r="B326" s="2" t="s">
        <v>132</v>
      </c>
      <c r="C326" s="2" t="s">
        <v>21</v>
      </c>
      <c r="D326" s="2" t="s">
        <v>115</v>
      </c>
      <c r="E326" s="117">
        <v>4</v>
      </c>
      <c r="F326" s="117">
        <v>0</v>
      </c>
      <c r="G326" s="117">
        <v>0</v>
      </c>
      <c r="H326" s="117">
        <v>0</v>
      </c>
      <c r="I326" s="117">
        <v>1</v>
      </c>
      <c r="J326" s="117">
        <v>0</v>
      </c>
      <c r="K326" s="117">
        <v>0</v>
      </c>
      <c r="L326" s="117">
        <v>0</v>
      </c>
      <c r="M326" s="267">
        <v>0</v>
      </c>
      <c r="N326" s="117">
        <v>0</v>
      </c>
      <c r="O326" s="117">
        <v>0</v>
      </c>
      <c r="P326" s="268">
        <v>0</v>
      </c>
      <c r="Q326" s="268">
        <v>0</v>
      </c>
      <c r="R326" s="2" t="s">
        <v>1428</v>
      </c>
    </row>
    <row r="327" spans="1:18" x14ac:dyDescent="0.25">
      <c r="A327" s="2" t="s">
        <v>1658</v>
      </c>
      <c r="B327" s="2" t="s">
        <v>133</v>
      </c>
      <c r="C327" s="2" t="s">
        <v>21</v>
      </c>
      <c r="D327" s="2" t="s">
        <v>115</v>
      </c>
      <c r="E327" s="117">
        <v>4</v>
      </c>
      <c r="F327" s="117">
        <v>0</v>
      </c>
      <c r="G327" s="117">
        <v>0</v>
      </c>
      <c r="H327" s="117">
        <v>0</v>
      </c>
      <c r="I327" s="117">
        <v>19</v>
      </c>
      <c r="J327" s="117">
        <v>0</v>
      </c>
      <c r="K327" s="117">
        <v>0</v>
      </c>
      <c r="L327" s="117">
        <v>0</v>
      </c>
      <c r="M327" s="267">
        <v>0</v>
      </c>
      <c r="N327" s="117">
        <v>0</v>
      </c>
      <c r="O327" s="117">
        <v>0</v>
      </c>
      <c r="P327" s="268">
        <v>0</v>
      </c>
      <c r="Q327" s="268">
        <v>0</v>
      </c>
      <c r="R327" s="2" t="s">
        <v>1428</v>
      </c>
    </row>
    <row r="328" spans="1:18" x14ac:dyDescent="0.25">
      <c r="A328" s="2" t="s">
        <v>1464</v>
      </c>
      <c r="B328" s="2" t="s">
        <v>134</v>
      </c>
      <c r="C328" s="2" t="s">
        <v>21</v>
      </c>
      <c r="D328" s="2" t="s">
        <v>115</v>
      </c>
      <c r="E328" s="117">
        <v>4</v>
      </c>
      <c r="F328" s="117">
        <v>0</v>
      </c>
      <c r="G328" s="117">
        <v>0</v>
      </c>
      <c r="H328" s="117">
        <v>0</v>
      </c>
      <c r="I328" s="117">
        <v>14</v>
      </c>
      <c r="J328" s="117">
        <v>0</v>
      </c>
      <c r="K328" s="117">
        <v>0</v>
      </c>
      <c r="L328" s="117">
        <v>0</v>
      </c>
      <c r="M328" s="267">
        <v>0</v>
      </c>
      <c r="N328" s="117">
        <v>0</v>
      </c>
      <c r="O328" s="117">
        <v>0</v>
      </c>
      <c r="P328" s="268">
        <v>0</v>
      </c>
      <c r="Q328" s="268">
        <v>0</v>
      </c>
      <c r="R328" s="2" t="s">
        <v>1428</v>
      </c>
    </row>
    <row r="329" spans="1:18" x14ac:dyDescent="0.25">
      <c r="A329" s="2" t="s">
        <v>1659</v>
      </c>
      <c r="B329" s="2" t="s">
        <v>136</v>
      </c>
      <c r="C329" s="2" t="s">
        <v>21</v>
      </c>
      <c r="D329" s="2" t="s">
        <v>115</v>
      </c>
      <c r="E329" s="117">
        <v>4</v>
      </c>
      <c r="F329" s="117">
        <v>2</v>
      </c>
      <c r="G329" s="117">
        <v>0</v>
      </c>
      <c r="H329" s="117">
        <v>2</v>
      </c>
      <c r="I329" s="117">
        <v>55</v>
      </c>
      <c r="J329" s="117">
        <v>0</v>
      </c>
      <c r="K329" s="117">
        <v>0</v>
      </c>
      <c r="L329" s="117">
        <v>2</v>
      </c>
      <c r="M329" s="267">
        <v>3.5099999999999999E-2</v>
      </c>
      <c r="N329" s="117">
        <v>6</v>
      </c>
      <c r="O329" s="117">
        <v>66</v>
      </c>
      <c r="P329" s="268">
        <v>0</v>
      </c>
      <c r="Q329" s="268">
        <v>66</v>
      </c>
      <c r="R329" s="2" t="s">
        <v>1428</v>
      </c>
    </row>
    <row r="330" spans="1:18" x14ac:dyDescent="0.25">
      <c r="A330" s="2" t="s">
        <v>1660</v>
      </c>
      <c r="B330" s="2" t="s">
        <v>137</v>
      </c>
      <c r="C330" s="2" t="s">
        <v>21</v>
      </c>
      <c r="D330" s="2" t="s">
        <v>115</v>
      </c>
      <c r="E330" s="117">
        <v>4</v>
      </c>
      <c r="F330" s="117">
        <v>1</v>
      </c>
      <c r="G330" s="117">
        <v>0</v>
      </c>
      <c r="H330" s="117">
        <v>1</v>
      </c>
      <c r="I330" s="117">
        <v>33</v>
      </c>
      <c r="J330" s="117">
        <v>0</v>
      </c>
      <c r="K330" s="117">
        <v>0</v>
      </c>
      <c r="L330" s="117">
        <v>1</v>
      </c>
      <c r="M330" s="267">
        <v>2.9399999999999999E-2</v>
      </c>
      <c r="N330" s="117">
        <v>3</v>
      </c>
      <c r="O330" s="117">
        <v>55</v>
      </c>
      <c r="P330" s="268">
        <v>0</v>
      </c>
      <c r="Q330" s="268">
        <v>55</v>
      </c>
      <c r="R330" s="2" t="s">
        <v>1428</v>
      </c>
    </row>
    <row r="331" spans="1:18" x14ac:dyDescent="0.25">
      <c r="A331" s="2" t="s">
        <v>1661</v>
      </c>
      <c r="B331" s="2" t="s">
        <v>150</v>
      </c>
      <c r="C331" s="2" t="s">
        <v>21</v>
      </c>
      <c r="D331" s="2" t="s">
        <v>115</v>
      </c>
      <c r="E331" s="117">
        <v>4</v>
      </c>
      <c r="F331" s="117">
        <v>0</v>
      </c>
      <c r="G331" s="117">
        <v>0</v>
      </c>
      <c r="H331" s="117">
        <v>0</v>
      </c>
      <c r="I331" s="117">
        <v>0</v>
      </c>
      <c r="J331" s="117">
        <v>0</v>
      </c>
      <c r="K331" s="117">
        <v>0</v>
      </c>
      <c r="L331" s="117">
        <v>0</v>
      </c>
      <c r="M331" s="267" t="s">
        <v>488</v>
      </c>
      <c r="N331" s="117">
        <v>0</v>
      </c>
      <c r="O331" s="117">
        <v>0</v>
      </c>
      <c r="P331" s="268">
        <v>0</v>
      </c>
      <c r="Q331" s="268">
        <v>0</v>
      </c>
      <c r="R331" s="2" t="s">
        <v>1428</v>
      </c>
    </row>
    <row r="332" spans="1:18" x14ac:dyDescent="0.25">
      <c r="A332" s="2" t="s">
        <v>1662</v>
      </c>
      <c r="B332" s="2" t="s">
        <v>330</v>
      </c>
      <c r="C332" s="2" t="s">
        <v>21</v>
      </c>
      <c r="D332" s="2" t="s">
        <v>115</v>
      </c>
      <c r="E332" s="117">
        <v>4</v>
      </c>
      <c r="F332" s="117">
        <v>0</v>
      </c>
      <c r="G332" s="117">
        <v>0</v>
      </c>
      <c r="H332" s="117">
        <v>0</v>
      </c>
      <c r="I332" s="117">
        <v>0</v>
      </c>
      <c r="J332" s="117">
        <v>0</v>
      </c>
      <c r="K332" s="117">
        <v>0</v>
      </c>
      <c r="L332" s="117">
        <v>0</v>
      </c>
      <c r="M332" s="267" t="s">
        <v>488</v>
      </c>
      <c r="N332" s="117">
        <v>0</v>
      </c>
      <c r="O332" s="117">
        <v>0</v>
      </c>
      <c r="P332" s="268">
        <v>0</v>
      </c>
      <c r="Q332" s="268">
        <v>0</v>
      </c>
      <c r="R332" s="2" t="s">
        <v>1428</v>
      </c>
    </row>
    <row r="333" spans="1:18" x14ac:dyDescent="0.25">
      <c r="A333" s="2" t="s">
        <v>1663</v>
      </c>
      <c r="B333" s="2" t="s">
        <v>331</v>
      </c>
      <c r="C333" s="2" t="s">
        <v>21</v>
      </c>
      <c r="D333" s="2" t="s">
        <v>115</v>
      </c>
      <c r="E333" s="117">
        <v>4</v>
      </c>
      <c r="F333" s="117">
        <v>0</v>
      </c>
      <c r="G333" s="117">
        <v>0</v>
      </c>
      <c r="H333" s="117">
        <v>0</v>
      </c>
      <c r="I333" s="117">
        <v>21</v>
      </c>
      <c r="J333" s="117">
        <v>0</v>
      </c>
      <c r="K333" s="117">
        <v>0</v>
      </c>
      <c r="L333" s="117">
        <v>0</v>
      </c>
      <c r="M333" s="267">
        <v>0</v>
      </c>
      <c r="N333" s="117">
        <v>0</v>
      </c>
      <c r="O333" s="117">
        <v>0</v>
      </c>
      <c r="P333" s="268">
        <v>0</v>
      </c>
      <c r="Q333" s="268">
        <v>0</v>
      </c>
      <c r="R333" s="2" t="s">
        <v>1428</v>
      </c>
    </row>
    <row r="334" spans="1:18" x14ac:dyDescent="0.25">
      <c r="A334" s="2" t="s">
        <v>1479</v>
      </c>
      <c r="B334" s="2" t="s">
        <v>138</v>
      </c>
      <c r="C334" s="2" t="s">
        <v>21</v>
      </c>
      <c r="D334" s="2" t="s">
        <v>115</v>
      </c>
      <c r="E334" s="117">
        <v>4</v>
      </c>
      <c r="F334" s="117">
        <v>4</v>
      </c>
      <c r="G334" s="117">
        <v>0</v>
      </c>
      <c r="H334" s="117">
        <v>4</v>
      </c>
      <c r="I334" s="117">
        <v>47</v>
      </c>
      <c r="J334" s="117">
        <v>0</v>
      </c>
      <c r="K334" s="117">
        <v>0</v>
      </c>
      <c r="L334" s="117">
        <v>4</v>
      </c>
      <c r="M334" s="267">
        <v>7.8399999999999997E-2</v>
      </c>
      <c r="N334" s="117">
        <v>12</v>
      </c>
      <c r="O334" s="117">
        <v>149</v>
      </c>
      <c r="P334" s="268">
        <v>0</v>
      </c>
      <c r="Q334" s="268">
        <v>149</v>
      </c>
      <c r="R334" s="2" t="s">
        <v>1428</v>
      </c>
    </row>
    <row r="335" spans="1:18" x14ac:dyDescent="0.25">
      <c r="A335" s="2" t="s">
        <v>1664</v>
      </c>
      <c r="B335" s="2" t="s">
        <v>321</v>
      </c>
      <c r="C335" s="2" t="s">
        <v>21</v>
      </c>
      <c r="D335" s="2" t="s">
        <v>115</v>
      </c>
      <c r="E335" s="117">
        <v>4</v>
      </c>
      <c r="F335" s="117">
        <v>88</v>
      </c>
      <c r="G335" s="117">
        <v>0</v>
      </c>
      <c r="H335" s="117">
        <v>88</v>
      </c>
      <c r="I335" s="117">
        <v>38</v>
      </c>
      <c r="J335" s="117">
        <v>0</v>
      </c>
      <c r="K335" s="117">
        <v>0</v>
      </c>
      <c r="L335" s="117">
        <v>88</v>
      </c>
      <c r="M335" s="267">
        <v>0.69840000000000002</v>
      </c>
      <c r="N335" s="117">
        <v>264</v>
      </c>
      <c r="O335" s="117">
        <v>1326</v>
      </c>
      <c r="P335" s="268">
        <v>199.206349206</v>
      </c>
      <c r="Q335" s="268">
        <v>1525.2063492100001</v>
      </c>
      <c r="R335" s="2" t="s">
        <v>1428</v>
      </c>
    </row>
    <row r="336" spans="1:18" x14ac:dyDescent="0.25">
      <c r="A336" s="2" t="s">
        <v>1665</v>
      </c>
      <c r="B336" s="2" t="s">
        <v>20</v>
      </c>
      <c r="C336" s="2" t="s">
        <v>21</v>
      </c>
      <c r="D336" s="2" t="s">
        <v>5</v>
      </c>
      <c r="E336" s="117">
        <v>4</v>
      </c>
      <c r="F336" s="117">
        <v>99</v>
      </c>
      <c r="G336" s="117">
        <v>0</v>
      </c>
      <c r="H336" s="117">
        <v>99</v>
      </c>
      <c r="I336" s="117">
        <v>944</v>
      </c>
      <c r="J336" s="117">
        <v>0</v>
      </c>
      <c r="K336" s="117">
        <v>0</v>
      </c>
      <c r="L336" s="117">
        <v>99</v>
      </c>
      <c r="M336" s="267">
        <v>9.4899999999999998E-2</v>
      </c>
      <c r="N336" s="117">
        <v>297</v>
      </c>
      <c r="O336" s="117">
        <v>180</v>
      </c>
      <c r="P336" s="268">
        <v>0</v>
      </c>
      <c r="Q336" s="268">
        <v>180</v>
      </c>
      <c r="R336" s="2" t="s">
        <v>1428</v>
      </c>
    </row>
    <row r="337" spans="1:18" x14ac:dyDescent="0.25">
      <c r="A337" s="269"/>
      <c r="B337" s="269"/>
      <c r="C337" s="269" t="s">
        <v>21</v>
      </c>
      <c r="D337" s="269"/>
      <c r="E337" s="269"/>
      <c r="F337" s="270">
        <v>194</v>
      </c>
      <c r="G337" s="270">
        <v>0</v>
      </c>
      <c r="H337" s="270">
        <v>194</v>
      </c>
      <c r="I337" s="270">
        <v>2344</v>
      </c>
      <c r="J337" s="270">
        <v>0</v>
      </c>
      <c r="K337" s="270">
        <v>0</v>
      </c>
      <c r="L337" s="270">
        <v>194</v>
      </c>
      <c r="M337" s="271">
        <v>7.6399999999999996E-2</v>
      </c>
      <c r="N337" s="270">
        <v>582</v>
      </c>
      <c r="O337" s="270">
        <v>1776</v>
      </c>
      <c r="P337" s="272">
        <v>199.206349206</v>
      </c>
      <c r="Q337" s="272">
        <v>1975.2063492100001</v>
      </c>
      <c r="R337" s="269" t="s">
        <v>1428</v>
      </c>
    </row>
    <row r="338" spans="1:18" x14ac:dyDescent="0.25">
      <c r="A338" s="2" t="s">
        <v>1666</v>
      </c>
      <c r="B338" s="2" t="s">
        <v>247</v>
      </c>
      <c r="C338" s="2" t="s">
        <v>75</v>
      </c>
      <c r="D338" s="2" t="s">
        <v>115</v>
      </c>
      <c r="E338" s="117">
        <v>7</v>
      </c>
      <c r="F338" s="117">
        <v>0</v>
      </c>
      <c r="G338" s="117">
        <v>0</v>
      </c>
      <c r="H338" s="117">
        <v>0</v>
      </c>
      <c r="I338" s="117">
        <v>46</v>
      </c>
      <c r="J338" s="117">
        <v>0</v>
      </c>
      <c r="K338" s="117">
        <v>0</v>
      </c>
      <c r="L338" s="117">
        <v>0</v>
      </c>
      <c r="M338" s="267">
        <v>0</v>
      </c>
      <c r="N338" s="117">
        <v>0</v>
      </c>
      <c r="O338" s="117">
        <v>0</v>
      </c>
      <c r="P338" s="268">
        <v>0</v>
      </c>
      <c r="Q338" s="268">
        <v>0</v>
      </c>
      <c r="R338" s="2" t="s">
        <v>1390</v>
      </c>
    </row>
    <row r="339" spans="1:18" x14ac:dyDescent="0.25">
      <c r="A339" s="2" t="s">
        <v>1667</v>
      </c>
      <c r="B339" s="2" t="s">
        <v>249</v>
      </c>
      <c r="C339" s="2" t="s">
        <v>75</v>
      </c>
      <c r="D339" s="2" t="s">
        <v>115</v>
      </c>
      <c r="E339" s="117">
        <v>7</v>
      </c>
      <c r="F339" s="117">
        <v>0</v>
      </c>
      <c r="G339" s="117">
        <v>0</v>
      </c>
      <c r="H339" s="117">
        <v>0</v>
      </c>
      <c r="I339" s="117">
        <v>37</v>
      </c>
      <c r="J339" s="117">
        <v>0</v>
      </c>
      <c r="K339" s="117">
        <v>0</v>
      </c>
      <c r="L339" s="117">
        <v>0</v>
      </c>
      <c r="M339" s="267">
        <v>0</v>
      </c>
      <c r="N339" s="117">
        <v>0</v>
      </c>
      <c r="O339" s="117">
        <v>0</v>
      </c>
      <c r="P339" s="268">
        <v>0</v>
      </c>
      <c r="Q339" s="268">
        <v>0</v>
      </c>
      <c r="R339" s="2" t="s">
        <v>1390</v>
      </c>
    </row>
    <row r="340" spans="1:18" x14ac:dyDescent="0.25">
      <c r="A340" s="2" t="s">
        <v>1668</v>
      </c>
      <c r="B340" s="2" t="s">
        <v>307</v>
      </c>
      <c r="C340" s="2" t="s">
        <v>75</v>
      </c>
      <c r="D340" s="2" t="s">
        <v>115</v>
      </c>
      <c r="E340" s="117">
        <v>7</v>
      </c>
      <c r="F340" s="117">
        <v>0</v>
      </c>
      <c r="G340" s="117">
        <v>0</v>
      </c>
      <c r="H340" s="117">
        <v>0</v>
      </c>
      <c r="I340" s="117">
        <v>1</v>
      </c>
      <c r="J340" s="117">
        <v>0</v>
      </c>
      <c r="K340" s="117">
        <v>0</v>
      </c>
      <c r="L340" s="117">
        <v>0</v>
      </c>
      <c r="M340" s="267">
        <v>0</v>
      </c>
      <c r="N340" s="117">
        <v>0</v>
      </c>
      <c r="O340" s="117">
        <v>0</v>
      </c>
      <c r="P340" s="268">
        <v>0</v>
      </c>
      <c r="Q340" s="268">
        <v>0</v>
      </c>
      <c r="R340" s="2" t="s">
        <v>1390</v>
      </c>
    </row>
    <row r="341" spans="1:18" x14ac:dyDescent="0.25">
      <c r="A341" s="2" t="s">
        <v>1669</v>
      </c>
      <c r="B341" s="2" t="s">
        <v>308</v>
      </c>
      <c r="C341" s="2" t="s">
        <v>75</v>
      </c>
      <c r="D341" s="2" t="s">
        <v>115</v>
      </c>
      <c r="E341" s="117">
        <v>7</v>
      </c>
      <c r="F341" s="117">
        <v>0</v>
      </c>
      <c r="G341" s="117">
        <v>0</v>
      </c>
      <c r="H341" s="117">
        <v>0</v>
      </c>
      <c r="I341" s="117">
        <v>22</v>
      </c>
      <c r="J341" s="117">
        <v>0</v>
      </c>
      <c r="K341" s="117">
        <v>0</v>
      </c>
      <c r="L341" s="117">
        <v>0</v>
      </c>
      <c r="M341" s="267">
        <v>0</v>
      </c>
      <c r="N341" s="117">
        <v>0</v>
      </c>
      <c r="O341" s="117">
        <v>0</v>
      </c>
      <c r="P341" s="268">
        <v>0</v>
      </c>
      <c r="Q341" s="268">
        <v>0</v>
      </c>
      <c r="R341" s="2" t="s">
        <v>1390</v>
      </c>
    </row>
    <row r="342" spans="1:18" x14ac:dyDescent="0.25">
      <c r="A342" s="2" t="s">
        <v>1670</v>
      </c>
      <c r="B342" s="2" t="s">
        <v>309</v>
      </c>
      <c r="C342" s="2" t="s">
        <v>75</v>
      </c>
      <c r="D342" s="2" t="s">
        <v>115</v>
      </c>
      <c r="E342" s="117">
        <v>7</v>
      </c>
      <c r="F342" s="117">
        <v>0</v>
      </c>
      <c r="G342" s="117">
        <v>0</v>
      </c>
      <c r="H342" s="117">
        <v>0</v>
      </c>
      <c r="I342" s="117">
        <v>13</v>
      </c>
      <c r="J342" s="117">
        <v>0</v>
      </c>
      <c r="K342" s="117">
        <v>0</v>
      </c>
      <c r="L342" s="117">
        <v>0</v>
      </c>
      <c r="M342" s="267">
        <v>0</v>
      </c>
      <c r="N342" s="117">
        <v>0</v>
      </c>
      <c r="O342" s="117">
        <v>0</v>
      </c>
      <c r="P342" s="268">
        <v>0</v>
      </c>
      <c r="Q342" s="268">
        <v>0</v>
      </c>
      <c r="R342" s="2" t="s">
        <v>1390</v>
      </c>
    </row>
    <row r="343" spans="1:18" x14ac:dyDescent="0.25">
      <c r="A343" s="2" t="s">
        <v>1671</v>
      </c>
      <c r="B343" s="2" t="s">
        <v>310</v>
      </c>
      <c r="C343" s="2" t="s">
        <v>75</v>
      </c>
      <c r="D343" s="2" t="s">
        <v>115</v>
      </c>
      <c r="E343" s="117">
        <v>7</v>
      </c>
      <c r="F343" s="117">
        <v>0</v>
      </c>
      <c r="G343" s="117">
        <v>0</v>
      </c>
      <c r="H343" s="117">
        <v>0</v>
      </c>
      <c r="I343" s="117">
        <v>28</v>
      </c>
      <c r="J343" s="117">
        <v>0</v>
      </c>
      <c r="K343" s="117">
        <v>0</v>
      </c>
      <c r="L343" s="117">
        <v>0</v>
      </c>
      <c r="M343" s="267">
        <v>0</v>
      </c>
      <c r="N343" s="117">
        <v>0</v>
      </c>
      <c r="O343" s="117">
        <v>0</v>
      </c>
      <c r="P343" s="268">
        <v>0</v>
      </c>
      <c r="Q343" s="268">
        <v>0</v>
      </c>
      <c r="R343" s="2" t="s">
        <v>1390</v>
      </c>
    </row>
    <row r="344" spans="1:18" x14ac:dyDescent="0.25">
      <c r="A344" s="2" t="s">
        <v>1672</v>
      </c>
      <c r="B344" s="2" t="s">
        <v>248</v>
      </c>
      <c r="C344" s="2" t="s">
        <v>75</v>
      </c>
      <c r="D344" s="2" t="s">
        <v>115</v>
      </c>
      <c r="E344" s="117">
        <v>7</v>
      </c>
      <c r="F344" s="117">
        <v>1</v>
      </c>
      <c r="G344" s="117">
        <v>0</v>
      </c>
      <c r="H344" s="117">
        <v>1</v>
      </c>
      <c r="I344" s="117">
        <v>213</v>
      </c>
      <c r="J344" s="117">
        <v>0</v>
      </c>
      <c r="K344" s="117">
        <v>0</v>
      </c>
      <c r="L344" s="117">
        <v>1</v>
      </c>
      <c r="M344" s="267">
        <v>4.7000000000000002E-3</v>
      </c>
      <c r="N344" s="117">
        <v>3</v>
      </c>
      <c r="O344" s="117">
        <v>8</v>
      </c>
      <c r="P344" s="268">
        <v>0</v>
      </c>
      <c r="Q344" s="268">
        <v>8</v>
      </c>
      <c r="R344" s="2" t="s">
        <v>1390</v>
      </c>
    </row>
    <row r="345" spans="1:18" x14ac:dyDescent="0.25">
      <c r="A345" s="2" t="s">
        <v>1673</v>
      </c>
      <c r="B345" s="2" t="s">
        <v>74</v>
      </c>
      <c r="C345" s="2" t="s">
        <v>75</v>
      </c>
      <c r="D345" s="2" t="s">
        <v>5</v>
      </c>
      <c r="E345" s="117">
        <v>7</v>
      </c>
      <c r="F345" s="117">
        <v>31</v>
      </c>
      <c r="G345" s="117">
        <v>0</v>
      </c>
      <c r="H345" s="117">
        <v>31</v>
      </c>
      <c r="I345" s="117">
        <v>1327</v>
      </c>
      <c r="J345" s="117">
        <v>0</v>
      </c>
      <c r="K345" s="117">
        <v>0</v>
      </c>
      <c r="L345" s="117">
        <v>31</v>
      </c>
      <c r="M345" s="267">
        <v>2.2800000000000001E-2</v>
      </c>
      <c r="N345" s="117">
        <v>93</v>
      </c>
      <c r="O345" s="117">
        <v>43</v>
      </c>
      <c r="P345" s="268">
        <v>0</v>
      </c>
      <c r="Q345" s="268">
        <v>43</v>
      </c>
      <c r="R345" s="2" t="s">
        <v>1390</v>
      </c>
    </row>
    <row r="346" spans="1:18" x14ac:dyDescent="0.25">
      <c r="A346" s="269"/>
      <c r="B346" s="269"/>
      <c r="C346" s="269" t="s">
        <v>75</v>
      </c>
      <c r="D346" s="269"/>
      <c r="E346" s="269"/>
      <c r="F346" s="270">
        <v>32</v>
      </c>
      <c r="G346" s="270">
        <v>0</v>
      </c>
      <c r="H346" s="270">
        <v>32</v>
      </c>
      <c r="I346" s="270">
        <v>1687</v>
      </c>
      <c r="J346" s="270">
        <v>0</v>
      </c>
      <c r="K346" s="270">
        <v>0</v>
      </c>
      <c r="L346" s="270">
        <v>32</v>
      </c>
      <c r="M346" s="271">
        <v>1.8599999999999998E-2</v>
      </c>
      <c r="N346" s="270">
        <v>96</v>
      </c>
      <c r="O346" s="270">
        <v>51</v>
      </c>
      <c r="P346" s="272">
        <v>0</v>
      </c>
      <c r="Q346" s="272">
        <v>51</v>
      </c>
      <c r="R346" s="269" t="s">
        <v>1390</v>
      </c>
    </row>
    <row r="347" spans="1:18" x14ac:dyDescent="0.25">
      <c r="A347" s="2" t="s">
        <v>1674</v>
      </c>
      <c r="B347" s="2" t="s">
        <v>273</v>
      </c>
      <c r="C347" s="2" t="s">
        <v>95</v>
      </c>
      <c r="D347" s="2" t="s">
        <v>115</v>
      </c>
      <c r="E347" s="117">
        <v>1</v>
      </c>
      <c r="F347" s="117">
        <v>22</v>
      </c>
      <c r="G347" s="117">
        <v>0</v>
      </c>
      <c r="H347" s="117">
        <v>22</v>
      </c>
      <c r="I347" s="117">
        <v>172</v>
      </c>
      <c r="J347" s="117">
        <v>0</v>
      </c>
      <c r="K347" s="117">
        <v>0</v>
      </c>
      <c r="L347" s="117">
        <v>22</v>
      </c>
      <c r="M347" s="267">
        <v>0.1134</v>
      </c>
      <c r="N347" s="117">
        <v>66</v>
      </c>
      <c r="O347" s="117">
        <v>215</v>
      </c>
      <c r="P347" s="268">
        <v>0</v>
      </c>
      <c r="Q347" s="268">
        <v>215</v>
      </c>
      <c r="R347" s="2" t="s">
        <v>1428</v>
      </c>
    </row>
    <row r="348" spans="1:18" x14ac:dyDescent="0.25">
      <c r="A348" s="2" t="s">
        <v>1675</v>
      </c>
      <c r="B348" s="2" t="s">
        <v>274</v>
      </c>
      <c r="C348" s="2" t="s">
        <v>95</v>
      </c>
      <c r="D348" s="2" t="s">
        <v>115</v>
      </c>
      <c r="E348" s="117">
        <v>1</v>
      </c>
      <c r="F348" s="117">
        <v>4</v>
      </c>
      <c r="G348" s="117">
        <v>0</v>
      </c>
      <c r="H348" s="117">
        <v>4</v>
      </c>
      <c r="I348" s="117">
        <v>89</v>
      </c>
      <c r="J348" s="117">
        <v>0</v>
      </c>
      <c r="K348" s="117">
        <v>0</v>
      </c>
      <c r="L348" s="117">
        <v>4</v>
      </c>
      <c r="M348" s="267">
        <v>4.2999999999999997E-2</v>
      </c>
      <c r="N348" s="117">
        <v>12</v>
      </c>
      <c r="O348" s="117">
        <v>81</v>
      </c>
      <c r="P348" s="268">
        <v>0</v>
      </c>
      <c r="Q348" s="268">
        <v>81</v>
      </c>
      <c r="R348" s="2" t="s">
        <v>1428</v>
      </c>
    </row>
    <row r="349" spans="1:18" x14ac:dyDescent="0.25">
      <c r="A349" s="2" t="s">
        <v>1676</v>
      </c>
      <c r="B349" s="2" t="s">
        <v>272</v>
      </c>
      <c r="C349" s="2" t="s">
        <v>95</v>
      </c>
      <c r="D349" s="2" t="s">
        <v>115</v>
      </c>
      <c r="E349" s="117">
        <v>1</v>
      </c>
      <c r="F349" s="117">
        <v>12</v>
      </c>
      <c r="G349" s="117">
        <v>0</v>
      </c>
      <c r="H349" s="117">
        <v>12</v>
      </c>
      <c r="I349" s="117">
        <v>88</v>
      </c>
      <c r="J349" s="117">
        <v>0</v>
      </c>
      <c r="K349" s="117">
        <v>0</v>
      </c>
      <c r="L349" s="117">
        <v>12</v>
      </c>
      <c r="M349" s="267">
        <v>0.12</v>
      </c>
      <c r="N349" s="117">
        <v>36</v>
      </c>
      <c r="O349" s="117">
        <v>228</v>
      </c>
      <c r="P349" s="268">
        <v>0</v>
      </c>
      <c r="Q349" s="268">
        <v>228</v>
      </c>
      <c r="R349" s="2" t="s">
        <v>1428</v>
      </c>
    </row>
    <row r="350" spans="1:18" x14ac:dyDescent="0.25">
      <c r="A350" s="2" t="s">
        <v>1677</v>
      </c>
      <c r="B350" s="2" t="s">
        <v>94</v>
      </c>
      <c r="C350" s="2" t="s">
        <v>95</v>
      </c>
      <c r="D350" s="2" t="s">
        <v>5</v>
      </c>
      <c r="E350" s="117">
        <v>1</v>
      </c>
      <c r="F350" s="117">
        <v>42</v>
      </c>
      <c r="G350" s="117">
        <v>0</v>
      </c>
      <c r="H350" s="117">
        <v>42</v>
      </c>
      <c r="I350" s="117">
        <v>1253</v>
      </c>
      <c r="J350" s="117">
        <v>0</v>
      </c>
      <c r="K350" s="117">
        <v>0</v>
      </c>
      <c r="L350" s="117">
        <v>42</v>
      </c>
      <c r="M350" s="267">
        <v>3.2399999999999998E-2</v>
      </c>
      <c r="N350" s="117">
        <v>126</v>
      </c>
      <c r="O350" s="117">
        <v>61</v>
      </c>
      <c r="P350" s="268">
        <v>0</v>
      </c>
      <c r="Q350" s="268">
        <v>61</v>
      </c>
      <c r="R350" s="2" t="s">
        <v>1428</v>
      </c>
    </row>
    <row r="351" spans="1:18" x14ac:dyDescent="0.25">
      <c r="A351" s="269"/>
      <c r="B351" s="269"/>
      <c r="C351" s="269" t="s">
        <v>95</v>
      </c>
      <c r="D351" s="269"/>
      <c r="E351" s="269"/>
      <c r="F351" s="270">
        <v>80</v>
      </c>
      <c r="G351" s="270">
        <v>0</v>
      </c>
      <c r="H351" s="270">
        <v>80</v>
      </c>
      <c r="I351" s="270">
        <v>3204</v>
      </c>
      <c r="J351" s="270">
        <v>0</v>
      </c>
      <c r="K351" s="270">
        <v>0</v>
      </c>
      <c r="L351" s="270">
        <v>80</v>
      </c>
      <c r="M351" s="271">
        <v>2.4400000000000002E-2</v>
      </c>
      <c r="N351" s="270">
        <v>240</v>
      </c>
      <c r="O351" s="270">
        <v>585</v>
      </c>
      <c r="P351" s="272">
        <v>0</v>
      </c>
      <c r="Q351" s="272">
        <v>585</v>
      </c>
      <c r="R351" s="269" t="s">
        <v>1428</v>
      </c>
    </row>
    <row r="352" spans="1:18" x14ac:dyDescent="0.25">
      <c r="A352" s="2" t="s">
        <v>535</v>
      </c>
      <c r="B352" s="2"/>
      <c r="C352" s="2"/>
      <c r="D352" s="2"/>
      <c r="E352" s="2"/>
      <c r="F352" s="2"/>
      <c r="G352" s="2"/>
      <c r="H352" s="2"/>
      <c r="I352" s="2"/>
      <c r="J352" s="2"/>
      <c r="K352" s="2"/>
      <c r="L352" s="2"/>
      <c r="M352" s="267"/>
      <c r="N352" s="2"/>
      <c r="O352" s="2"/>
      <c r="P352" s="268"/>
      <c r="Q352" s="268"/>
      <c r="R352" s="2"/>
    </row>
    <row r="353" spans="1:18" x14ac:dyDescent="0.25">
      <c r="A353" s="2" t="s">
        <v>1504</v>
      </c>
      <c r="B353" s="2" t="s">
        <v>229</v>
      </c>
      <c r="C353" s="2" t="s">
        <v>544</v>
      </c>
      <c r="D353" s="2" t="s">
        <v>115</v>
      </c>
      <c r="E353" s="2" t="s">
        <v>545</v>
      </c>
      <c r="F353" s="117">
        <v>0</v>
      </c>
      <c r="G353" s="117">
        <v>0</v>
      </c>
      <c r="H353" s="117">
        <v>0</v>
      </c>
      <c r="I353" s="117">
        <v>2554</v>
      </c>
      <c r="J353" s="117">
        <v>0</v>
      </c>
      <c r="K353" s="117">
        <v>0</v>
      </c>
      <c r="L353" s="117">
        <v>0</v>
      </c>
      <c r="M353" s="267">
        <v>0</v>
      </c>
      <c r="N353" s="117">
        <v>0</v>
      </c>
      <c r="O353" s="117">
        <v>0</v>
      </c>
      <c r="P353" s="268">
        <v>0</v>
      </c>
      <c r="Q353" s="268">
        <v>0</v>
      </c>
      <c r="R353" s="2" t="s">
        <v>1678</v>
      </c>
    </row>
    <row r="354" spans="1:18" x14ac:dyDescent="0.25">
      <c r="A354" s="2" t="s">
        <v>1606</v>
      </c>
      <c r="B354" s="2" t="s">
        <v>259</v>
      </c>
      <c r="C354" s="2" t="s">
        <v>546</v>
      </c>
      <c r="D354" s="2" t="s">
        <v>115</v>
      </c>
      <c r="E354" s="2" t="s">
        <v>547</v>
      </c>
      <c r="F354" s="117">
        <v>0</v>
      </c>
      <c r="G354" s="117">
        <v>0</v>
      </c>
      <c r="H354" s="117">
        <v>0</v>
      </c>
      <c r="I354" s="117">
        <v>8</v>
      </c>
      <c r="J354" s="117">
        <v>0</v>
      </c>
      <c r="K354" s="117">
        <v>0</v>
      </c>
      <c r="L354" s="117">
        <v>0</v>
      </c>
      <c r="M354" s="267">
        <v>0</v>
      </c>
      <c r="N354" s="117">
        <v>0</v>
      </c>
      <c r="O354" s="117">
        <v>0</v>
      </c>
      <c r="P354" s="268">
        <v>0</v>
      </c>
      <c r="Q354" s="268">
        <v>0</v>
      </c>
      <c r="R354" s="2" t="s">
        <v>1678</v>
      </c>
    </row>
    <row r="355" spans="1:18" x14ac:dyDescent="0.25">
      <c r="A355" s="2" t="s">
        <v>1429</v>
      </c>
      <c r="B355" s="2" t="s">
        <v>142</v>
      </c>
      <c r="C355" s="2" t="s">
        <v>540</v>
      </c>
      <c r="D355" s="2" t="s">
        <v>115</v>
      </c>
      <c r="E355" s="2" t="s">
        <v>541</v>
      </c>
      <c r="F355" s="117">
        <v>2</v>
      </c>
      <c r="G355" s="117">
        <v>0</v>
      </c>
      <c r="H355" s="117">
        <v>2</v>
      </c>
      <c r="I355" s="117">
        <v>162</v>
      </c>
      <c r="J355" s="117">
        <v>0</v>
      </c>
      <c r="K355" s="117">
        <v>0</v>
      </c>
      <c r="L355" s="117">
        <v>2</v>
      </c>
      <c r="M355" s="267">
        <v>1.2200000000000001E-2</v>
      </c>
      <c r="N355" s="117">
        <v>6</v>
      </c>
      <c r="O355" s="117">
        <v>77</v>
      </c>
      <c r="P355" s="268">
        <v>0</v>
      </c>
      <c r="Q355" s="268">
        <v>77</v>
      </c>
      <c r="R355" s="2" t="s">
        <v>1679</v>
      </c>
    </row>
    <row r="356" spans="1:18" x14ac:dyDescent="0.25">
      <c r="A356" s="2" t="s">
        <v>1413</v>
      </c>
      <c r="B356" s="2" t="s">
        <v>127</v>
      </c>
      <c r="C356" s="2" t="s">
        <v>538</v>
      </c>
      <c r="D356" s="2" t="s">
        <v>115</v>
      </c>
      <c r="E356" s="2" t="s">
        <v>539</v>
      </c>
      <c r="F356" s="117">
        <v>2</v>
      </c>
      <c r="G356" s="117">
        <v>0</v>
      </c>
      <c r="H356" s="117">
        <v>2</v>
      </c>
      <c r="I356" s="117">
        <v>581</v>
      </c>
      <c r="J356" s="117">
        <v>0</v>
      </c>
      <c r="K356" s="117">
        <v>0</v>
      </c>
      <c r="L356" s="117">
        <v>2</v>
      </c>
      <c r="M356" s="267">
        <v>3.3999999999999998E-3</v>
      </c>
      <c r="N356" s="117">
        <v>6</v>
      </c>
      <c r="O356" s="117">
        <v>9</v>
      </c>
      <c r="P356" s="268">
        <v>0</v>
      </c>
      <c r="Q356" s="268">
        <v>9</v>
      </c>
      <c r="R356" s="2" t="s">
        <v>1678</v>
      </c>
    </row>
    <row r="357" spans="1:18" x14ac:dyDescent="0.25">
      <c r="A357" s="2" t="s">
        <v>1407</v>
      </c>
      <c r="B357" s="2" t="s">
        <v>124</v>
      </c>
      <c r="C357" s="2" t="s">
        <v>536</v>
      </c>
      <c r="D357" s="2" t="s">
        <v>115</v>
      </c>
      <c r="E357" s="2" t="s">
        <v>537</v>
      </c>
      <c r="F357" s="117">
        <v>5</v>
      </c>
      <c r="G357" s="117">
        <v>0</v>
      </c>
      <c r="H357" s="117">
        <v>5</v>
      </c>
      <c r="I357" s="117">
        <v>175</v>
      </c>
      <c r="J357" s="117">
        <v>0</v>
      </c>
      <c r="K357" s="117">
        <v>0</v>
      </c>
      <c r="L357" s="117">
        <v>5</v>
      </c>
      <c r="M357" s="267">
        <v>2.7799999999999998E-2</v>
      </c>
      <c r="N357" s="117">
        <v>15</v>
      </c>
      <c r="O357" s="117">
        <v>105</v>
      </c>
      <c r="P357" s="268">
        <v>0</v>
      </c>
      <c r="Q357" s="268">
        <v>105</v>
      </c>
      <c r="R357" s="2" t="s">
        <v>1680</v>
      </c>
    </row>
    <row r="358" spans="1:18" x14ac:dyDescent="0.25">
      <c r="A358" s="2" t="s">
        <v>1474</v>
      </c>
      <c r="B358" s="2" t="s">
        <v>176</v>
      </c>
      <c r="C358" s="2" t="s">
        <v>542</v>
      </c>
      <c r="D358" s="2" t="s">
        <v>115</v>
      </c>
      <c r="E358" s="2" t="s">
        <v>543</v>
      </c>
      <c r="F358" s="117">
        <v>0</v>
      </c>
      <c r="G358" s="117">
        <v>0</v>
      </c>
      <c r="H358" s="117">
        <v>0</v>
      </c>
      <c r="I358" s="117">
        <v>518</v>
      </c>
      <c r="J358" s="117">
        <v>0</v>
      </c>
      <c r="K358" s="117">
        <v>0</v>
      </c>
      <c r="L358" s="117">
        <v>0</v>
      </c>
      <c r="M358" s="267">
        <v>0</v>
      </c>
      <c r="N358" s="117">
        <v>0</v>
      </c>
      <c r="O358" s="117">
        <v>0</v>
      </c>
      <c r="P358" s="268">
        <v>0</v>
      </c>
      <c r="Q358" s="268">
        <v>0</v>
      </c>
      <c r="R358" s="2" t="s">
        <v>1678</v>
      </c>
    </row>
    <row r="359" spans="1:18" x14ac:dyDescent="0.25">
      <c r="A359" s="2" t="s">
        <v>1479</v>
      </c>
      <c r="B359" s="2" t="s">
        <v>138</v>
      </c>
      <c r="C359" s="2" t="s">
        <v>1299</v>
      </c>
      <c r="D359" s="2" t="s">
        <v>115</v>
      </c>
      <c r="E359" s="2" t="s">
        <v>1298</v>
      </c>
      <c r="F359" s="117">
        <v>4</v>
      </c>
      <c r="G359" s="117">
        <v>0</v>
      </c>
      <c r="H359" s="117">
        <v>4</v>
      </c>
      <c r="I359" s="117">
        <v>47</v>
      </c>
      <c r="J359" s="117">
        <v>0</v>
      </c>
      <c r="K359" s="117">
        <v>0</v>
      </c>
      <c r="L359" s="117">
        <v>4</v>
      </c>
      <c r="M359" s="267">
        <v>7.8399999999999997E-2</v>
      </c>
      <c r="N359" s="117">
        <v>12</v>
      </c>
      <c r="O359" s="117">
        <v>149</v>
      </c>
      <c r="P359" s="268">
        <v>0</v>
      </c>
      <c r="Q359" s="268">
        <v>149</v>
      </c>
      <c r="R359" s="2" t="s">
        <v>1680</v>
      </c>
    </row>
    <row r="360" spans="1:18" x14ac:dyDescent="0.25">
      <c r="A360" s="2" t="s">
        <v>1464</v>
      </c>
      <c r="B360" s="2" t="s">
        <v>134</v>
      </c>
      <c r="C360" s="2" t="s">
        <v>1299</v>
      </c>
      <c r="D360" s="2" t="s">
        <v>115</v>
      </c>
      <c r="E360" s="2" t="s">
        <v>1298</v>
      </c>
      <c r="F360" s="117">
        <v>0</v>
      </c>
      <c r="G360" s="117">
        <v>0</v>
      </c>
      <c r="H360" s="117">
        <v>0</v>
      </c>
      <c r="I360" s="117">
        <v>33</v>
      </c>
      <c r="J360" s="117">
        <v>0</v>
      </c>
      <c r="K360" s="117">
        <v>0</v>
      </c>
      <c r="L360" s="117">
        <v>0</v>
      </c>
      <c r="M360" s="267">
        <v>0</v>
      </c>
      <c r="N360" s="117">
        <v>0</v>
      </c>
      <c r="O360" s="117">
        <v>0</v>
      </c>
      <c r="P360" s="268">
        <v>0</v>
      </c>
      <c r="Q360" s="268">
        <v>0</v>
      </c>
      <c r="R360" s="2" t="s">
        <v>1680</v>
      </c>
    </row>
  </sheetData>
  <hyperlinks>
    <hyperlink ref="P2" r:id="rId1" display="\\gistc-filesrv2\HazardData\Working\aSFHA_bSF\Data\script_outputs\CRS_520_20200428.xlsx"/>
    <hyperlink ref="U3" r:id="rId2"/>
  </hyperlinks>
  <pageMargins left="0.7" right="0.7" top="0.75" bottom="0.75" header="0.3" footer="0.3"/>
  <pageSetup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0"/>
  <sheetViews>
    <sheetView topLeftCell="D1" workbookViewId="0">
      <selection activeCell="L2" sqref="L2:M3"/>
    </sheetView>
  </sheetViews>
  <sheetFormatPr defaultRowHeight="15" x14ac:dyDescent="0.25"/>
  <cols>
    <col min="1" max="1" width="19.140625" bestFit="1" customWidth="1"/>
    <col min="2" max="2" width="38.42578125" bestFit="1" customWidth="1"/>
    <col min="3" max="3" width="38.7109375" bestFit="1" customWidth="1"/>
    <col min="4" max="4" width="27.85546875" bestFit="1" customWidth="1"/>
    <col min="5" max="5" width="16.140625" bestFit="1" customWidth="1"/>
    <col min="6" max="6" width="21" bestFit="1" customWidth="1"/>
    <col min="7" max="7" width="7.5703125" bestFit="1" customWidth="1"/>
    <col min="8" max="8" width="10.5703125" bestFit="1" customWidth="1"/>
    <col min="9" max="9" width="9.28515625" bestFit="1" customWidth="1"/>
    <col min="10" max="10" width="8.85546875" bestFit="1" customWidth="1"/>
    <col min="13" max="13" width="124.5703125" bestFit="1" customWidth="1"/>
  </cols>
  <sheetData>
    <row r="1" spans="1:13" x14ac:dyDescent="0.25">
      <c r="A1" s="251" t="s">
        <v>0</v>
      </c>
      <c r="B1" s="251" t="s">
        <v>1</v>
      </c>
      <c r="C1" s="251" t="s">
        <v>2</v>
      </c>
      <c r="D1" s="251" t="s">
        <v>512</v>
      </c>
      <c r="E1" s="251" t="s">
        <v>403</v>
      </c>
      <c r="F1" s="251" t="s">
        <v>1316</v>
      </c>
      <c r="G1" s="251" t="s">
        <v>470</v>
      </c>
      <c r="H1" s="251" t="s">
        <v>1689</v>
      </c>
      <c r="I1" s="251" t="s">
        <v>1690</v>
      </c>
      <c r="J1" s="251" t="s">
        <v>1691</v>
      </c>
    </row>
    <row r="2" spans="1:13" x14ac:dyDescent="0.25">
      <c r="A2" s="2" t="s">
        <v>1389</v>
      </c>
      <c r="B2" s="2" t="s">
        <v>3</v>
      </c>
      <c r="C2" s="2" t="s">
        <v>4</v>
      </c>
      <c r="D2" s="2" t="s">
        <v>5</v>
      </c>
      <c r="E2" s="117">
        <v>7</v>
      </c>
      <c r="F2" s="117">
        <v>215785</v>
      </c>
      <c r="G2" s="117">
        <v>4494</v>
      </c>
      <c r="H2" s="117">
        <v>275</v>
      </c>
      <c r="I2" s="117">
        <v>4478</v>
      </c>
      <c r="J2" s="117">
        <v>4</v>
      </c>
      <c r="L2" s="199" t="s">
        <v>1325</v>
      </c>
      <c r="M2" s="62" t="s">
        <v>1692</v>
      </c>
    </row>
    <row r="3" spans="1:13" x14ac:dyDescent="0.25">
      <c r="A3" s="2" t="s">
        <v>1391</v>
      </c>
      <c r="B3" s="2" t="s">
        <v>114</v>
      </c>
      <c r="C3" s="2" t="s">
        <v>4</v>
      </c>
      <c r="D3" s="2" t="s">
        <v>115</v>
      </c>
      <c r="E3" s="117">
        <v>7</v>
      </c>
      <c r="F3" s="117">
        <v>1363</v>
      </c>
      <c r="G3" s="117">
        <v>117</v>
      </c>
      <c r="H3" s="117">
        <v>4</v>
      </c>
      <c r="I3" s="117">
        <v>117</v>
      </c>
      <c r="J3" s="117">
        <v>3</v>
      </c>
      <c r="L3" s="199" t="s">
        <v>1326</v>
      </c>
      <c r="M3" s="393" t="s">
        <v>1693</v>
      </c>
    </row>
    <row r="4" spans="1:13" x14ac:dyDescent="0.25">
      <c r="A4" s="2" t="s">
        <v>1392</v>
      </c>
      <c r="B4" s="2" t="s">
        <v>116</v>
      </c>
      <c r="C4" s="2" t="s">
        <v>4</v>
      </c>
      <c r="D4" s="2" t="s">
        <v>115</v>
      </c>
      <c r="E4" s="117">
        <v>7</v>
      </c>
      <c r="F4" s="117">
        <v>217</v>
      </c>
      <c r="G4" s="117">
        <v>29</v>
      </c>
      <c r="H4" s="117">
        <v>5</v>
      </c>
      <c r="I4" s="117">
        <v>29</v>
      </c>
      <c r="J4" s="117">
        <v>2</v>
      </c>
    </row>
    <row r="5" spans="1:13" x14ac:dyDescent="0.25">
      <c r="A5" s="2" t="s">
        <v>1393</v>
      </c>
      <c r="B5" s="2" t="s">
        <v>117</v>
      </c>
      <c r="C5" s="2" t="s">
        <v>4</v>
      </c>
      <c r="D5" s="2" t="s">
        <v>115</v>
      </c>
      <c r="E5" s="117">
        <v>7</v>
      </c>
      <c r="F5" s="117">
        <v>1869</v>
      </c>
      <c r="G5" s="117">
        <v>163</v>
      </c>
      <c r="H5" s="117">
        <v>8</v>
      </c>
      <c r="I5" s="117">
        <v>163</v>
      </c>
      <c r="J5" s="117">
        <v>2</v>
      </c>
    </row>
    <row r="6" spans="1:13" x14ac:dyDescent="0.25">
      <c r="A6" s="269"/>
      <c r="B6" s="269"/>
      <c r="C6" s="269" t="s">
        <v>4</v>
      </c>
      <c r="D6" s="269"/>
      <c r="E6" s="269"/>
      <c r="F6" s="270">
        <v>219234</v>
      </c>
      <c r="G6" s="270">
        <v>4803</v>
      </c>
      <c r="H6" s="270">
        <v>292</v>
      </c>
      <c r="I6" s="270">
        <v>4787</v>
      </c>
      <c r="J6" s="270">
        <v>4</v>
      </c>
    </row>
    <row r="7" spans="1:13" x14ac:dyDescent="0.25">
      <c r="A7" s="2" t="s">
        <v>1394</v>
      </c>
      <c r="B7" s="2" t="s">
        <v>6</v>
      </c>
      <c r="C7" s="2" t="s">
        <v>7</v>
      </c>
      <c r="D7" s="2" t="s">
        <v>5</v>
      </c>
      <c r="E7" s="117">
        <v>3</v>
      </c>
      <c r="F7" s="117">
        <v>316257</v>
      </c>
      <c r="G7" s="117">
        <v>5123</v>
      </c>
      <c r="H7" s="117">
        <v>70</v>
      </c>
      <c r="I7" s="117">
        <v>5092</v>
      </c>
      <c r="J7" s="117">
        <v>5</v>
      </c>
    </row>
    <row r="8" spans="1:13" x14ac:dyDescent="0.25">
      <c r="A8" s="2" t="s">
        <v>1395</v>
      </c>
      <c r="B8" s="2" t="s">
        <v>120</v>
      </c>
      <c r="C8" s="2" t="s">
        <v>7</v>
      </c>
      <c r="D8" s="2" t="s">
        <v>115</v>
      </c>
      <c r="E8" s="117">
        <v>3</v>
      </c>
      <c r="F8" s="117">
        <v>4517</v>
      </c>
      <c r="G8" s="117">
        <v>146</v>
      </c>
      <c r="H8" s="117">
        <v>8</v>
      </c>
      <c r="I8" s="117">
        <v>146</v>
      </c>
      <c r="J8" s="117">
        <v>4</v>
      </c>
    </row>
    <row r="9" spans="1:13" x14ac:dyDescent="0.25">
      <c r="A9" s="2" t="s">
        <v>1396</v>
      </c>
      <c r="B9" s="2" t="s">
        <v>279</v>
      </c>
      <c r="C9" s="2" t="s">
        <v>7</v>
      </c>
      <c r="D9" s="2" t="s">
        <v>115</v>
      </c>
      <c r="E9" s="117">
        <v>3</v>
      </c>
      <c r="F9" s="117">
        <v>212</v>
      </c>
      <c r="G9" s="117">
        <v>39</v>
      </c>
      <c r="H9" s="117">
        <v>1</v>
      </c>
      <c r="I9" s="117">
        <v>39</v>
      </c>
      <c r="J9" s="117">
        <v>3</v>
      </c>
    </row>
    <row r="10" spans="1:13" x14ac:dyDescent="0.25">
      <c r="A10" s="2" t="s">
        <v>1397</v>
      </c>
      <c r="B10" s="2" t="s">
        <v>280</v>
      </c>
      <c r="C10" s="2" t="s">
        <v>7</v>
      </c>
      <c r="D10" s="2" t="s">
        <v>115</v>
      </c>
      <c r="E10" s="117">
        <v>3</v>
      </c>
      <c r="F10" s="117">
        <v>694</v>
      </c>
      <c r="G10" s="117">
        <v>79</v>
      </c>
      <c r="H10" s="117">
        <v>1</v>
      </c>
      <c r="I10" s="117">
        <v>79</v>
      </c>
      <c r="J10" s="117">
        <v>4</v>
      </c>
    </row>
    <row r="11" spans="1:13" x14ac:dyDescent="0.25">
      <c r="A11" s="2" t="s">
        <v>1398</v>
      </c>
      <c r="B11" s="2" t="s">
        <v>286</v>
      </c>
      <c r="C11" s="2" t="s">
        <v>7</v>
      </c>
      <c r="D11" s="2" t="s">
        <v>115</v>
      </c>
      <c r="E11" s="117">
        <v>3</v>
      </c>
      <c r="F11" s="117">
        <v>165</v>
      </c>
      <c r="G11" s="117">
        <v>27</v>
      </c>
      <c r="H11" s="117">
        <v>1</v>
      </c>
      <c r="I11" s="117">
        <v>27</v>
      </c>
      <c r="J11" s="117">
        <v>3</v>
      </c>
    </row>
    <row r="12" spans="1:13" x14ac:dyDescent="0.25">
      <c r="A12" s="269"/>
      <c r="B12" s="269"/>
      <c r="C12" s="269" t="s">
        <v>7</v>
      </c>
      <c r="D12" s="269"/>
      <c r="E12" s="269"/>
      <c r="F12" s="270">
        <v>321845</v>
      </c>
      <c r="G12" s="270">
        <v>5414</v>
      </c>
      <c r="H12" s="270">
        <v>81</v>
      </c>
      <c r="I12" s="270">
        <v>5383</v>
      </c>
      <c r="J12" s="270">
        <v>5</v>
      </c>
    </row>
    <row r="13" spans="1:13" x14ac:dyDescent="0.25">
      <c r="A13" s="2" t="s">
        <v>1399</v>
      </c>
      <c r="B13" s="2" t="s">
        <v>8</v>
      </c>
      <c r="C13" s="2" t="s">
        <v>9</v>
      </c>
      <c r="D13" s="2" t="s">
        <v>5</v>
      </c>
      <c r="E13" s="117">
        <v>7</v>
      </c>
      <c r="F13" s="117">
        <v>327977</v>
      </c>
      <c r="G13" s="117">
        <v>6927</v>
      </c>
      <c r="H13" s="117">
        <v>277</v>
      </c>
      <c r="I13" s="117">
        <v>6885</v>
      </c>
      <c r="J13" s="117">
        <v>7</v>
      </c>
    </row>
    <row r="14" spans="1:13" x14ac:dyDescent="0.25">
      <c r="A14" s="2" t="s">
        <v>1400</v>
      </c>
      <c r="B14" s="2" t="s">
        <v>121</v>
      </c>
      <c r="C14" s="2" t="s">
        <v>9</v>
      </c>
      <c r="D14" s="2" t="s">
        <v>115</v>
      </c>
      <c r="E14" s="117">
        <v>7</v>
      </c>
      <c r="F14" s="117">
        <v>698</v>
      </c>
      <c r="G14" s="117">
        <v>86</v>
      </c>
      <c r="H14" s="117">
        <v>1</v>
      </c>
      <c r="I14" s="117">
        <v>86</v>
      </c>
      <c r="J14" s="117">
        <v>4</v>
      </c>
    </row>
    <row r="15" spans="1:13" x14ac:dyDescent="0.25">
      <c r="A15" s="2" t="s">
        <v>1401</v>
      </c>
      <c r="B15" s="2" t="s">
        <v>283</v>
      </c>
      <c r="C15" s="2" t="s">
        <v>9</v>
      </c>
      <c r="D15" s="2" t="s">
        <v>115</v>
      </c>
      <c r="E15" s="117">
        <v>7</v>
      </c>
      <c r="F15" s="117">
        <v>420</v>
      </c>
      <c r="G15" s="117">
        <v>0</v>
      </c>
      <c r="H15" s="117">
        <v>0</v>
      </c>
      <c r="I15" s="117">
        <v>0</v>
      </c>
      <c r="J15" s="117">
        <v>0</v>
      </c>
    </row>
    <row r="16" spans="1:13" x14ac:dyDescent="0.25">
      <c r="A16" s="2" t="s">
        <v>1402</v>
      </c>
      <c r="B16" s="2" t="s">
        <v>284</v>
      </c>
      <c r="C16" s="2" t="s">
        <v>9</v>
      </c>
      <c r="D16" s="2" t="s">
        <v>115</v>
      </c>
      <c r="E16" s="117">
        <v>7</v>
      </c>
      <c r="F16" s="117">
        <v>526</v>
      </c>
      <c r="G16" s="117">
        <v>65</v>
      </c>
      <c r="H16" s="117">
        <v>6</v>
      </c>
      <c r="I16" s="117">
        <v>65</v>
      </c>
      <c r="J16" s="117">
        <v>4</v>
      </c>
    </row>
    <row r="17" spans="1:10" x14ac:dyDescent="0.25">
      <c r="A17" s="2" t="s">
        <v>1403</v>
      </c>
      <c r="B17" s="2" t="s">
        <v>285</v>
      </c>
      <c r="C17" s="2" t="s">
        <v>9</v>
      </c>
      <c r="D17" s="2" t="s">
        <v>115</v>
      </c>
      <c r="E17" s="117">
        <v>7</v>
      </c>
      <c r="F17" s="117">
        <v>779</v>
      </c>
      <c r="G17" s="117">
        <v>72</v>
      </c>
      <c r="H17" s="117">
        <v>8</v>
      </c>
      <c r="I17" s="117">
        <v>72</v>
      </c>
      <c r="J17" s="117">
        <v>5</v>
      </c>
    </row>
    <row r="18" spans="1:10" x14ac:dyDescent="0.25">
      <c r="A18" s="269"/>
      <c r="B18" s="269"/>
      <c r="C18" s="269" t="s">
        <v>9</v>
      </c>
      <c r="D18" s="269"/>
      <c r="E18" s="269"/>
      <c r="F18" s="270">
        <v>330400</v>
      </c>
      <c r="G18" s="270">
        <v>7150</v>
      </c>
      <c r="H18" s="270">
        <v>292</v>
      </c>
      <c r="I18" s="270">
        <v>7108</v>
      </c>
      <c r="J18" s="270">
        <v>7</v>
      </c>
    </row>
    <row r="19" spans="1:10" x14ac:dyDescent="0.25">
      <c r="A19" s="2" t="s">
        <v>1404</v>
      </c>
      <c r="B19" s="2" t="s">
        <v>10</v>
      </c>
      <c r="C19" s="2" t="s">
        <v>11</v>
      </c>
      <c r="D19" s="2" t="s">
        <v>5</v>
      </c>
      <c r="E19" s="117">
        <v>11</v>
      </c>
      <c r="F19" s="117">
        <v>51003</v>
      </c>
      <c r="G19" s="117">
        <v>1210</v>
      </c>
      <c r="H19" s="117">
        <v>109</v>
      </c>
      <c r="I19" s="117">
        <v>1206</v>
      </c>
      <c r="J19" s="117">
        <v>6</v>
      </c>
    </row>
    <row r="20" spans="1:10" x14ac:dyDescent="0.25">
      <c r="A20" s="2" t="s">
        <v>1405</v>
      </c>
      <c r="B20" s="2" t="s">
        <v>122</v>
      </c>
      <c r="C20" s="2" t="s">
        <v>11</v>
      </c>
      <c r="D20" s="2" t="s">
        <v>115</v>
      </c>
      <c r="E20" s="117">
        <v>11</v>
      </c>
      <c r="F20" s="117">
        <v>471</v>
      </c>
      <c r="G20" s="117">
        <v>65</v>
      </c>
      <c r="H20" s="117">
        <v>5</v>
      </c>
      <c r="I20" s="117">
        <v>65</v>
      </c>
      <c r="J20" s="117">
        <v>3</v>
      </c>
    </row>
    <row r="21" spans="1:10" x14ac:dyDescent="0.25">
      <c r="A21" s="2" t="s">
        <v>1406</v>
      </c>
      <c r="B21" s="2" t="s">
        <v>123</v>
      </c>
      <c r="C21" s="2" t="s">
        <v>11</v>
      </c>
      <c r="D21" s="2" t="s">
        <v>115</v>
      </c>
      <c r="E21" s="117">
        <v>11</v>
      </c>
      <c r="F21" s="117">
        <v>1337</v>
      </c>
      <c r="G21" s="117">
        <v>27</v>
      </c>
      <c r="H21" s="117">
        <v>1</v>
      </c>
      <c r="I21" s="117">
        <v>27</v>
      </c>
      <c r="J21" s="117">
        <v>2</v>
      </c>
    </row>
    <row r="22" spans="1:10" x14ac:dyDescent="0.25">
      <c r="A22" s="2" t="s">
        <v>1407</v>
      </c>
      <c r="B22" s="2" t="s">
        <v>124</v>
      </c>
      <c r="C22" s="2" t="s">
        <v>11</v>
      </c>
      <c r="D22" s="2" t="s">
        <v>115</v>
      </c>
      <c r="E22" s="117">
        <v>11</v>
      </c>
      <c r="F22" s="117">
        <v>4407</v>
      </c>
      <c r="G22" s="117">
        <v>89</v>
      </c>
      <c r="H22" s="117">
        <v>10</v>
      </c>
      <c r="I22" s="117">
        <v>89</v>
      </c>
      <c r="J22" s="117">
        <v>4</v>
      </c>
    </row>
    <row r="23" spans="1:10" x14ac:dyDescent="0.25">
      <c r="A23" s="2" t="s">
        <v>1408</v>
      </c>
      <c r="B23" s="2" t="s">
        <v>125</v>
      </c>
      <c r="C23" s="2" t="s">
        <v>11</v>
      </c>
      <c r="D23" s="2" t="s">
        <v>115</v>
      </c>
      <c r="E23" s="117">
        <v>11</v>
      </c>
      <c r="F23" s="117">
        <v>850</v>
      </c>
      <c r="G23" s="117">
        <v>253</v>
      </c>
      <c r="H23" s="117">
        <v>1</v>
      </c>
      <c r="I23" s="117">
        <v>253</v>
      </c>
      <c r="J23" s="117">
        <v>2</v>
      </c>
    </row>
    <row r="24" spans="1:10" x14ac:dyDescent="0.25">
      <c r="A24" s="2" t="s">
        <v>1409</v>
      </c>
      <c r="B24" s="2" t="s">
        <v>184</v>
      </c>
      <c r="C24" s="2" t="s">
        <v>11</v>
      </c>
      <c r="D24" s="2" t="s">
        <v>115</v>
      </c>
      <c r="E24" s="117">
        <v>11</v>
      </c>
      <c r="F24" s="117">
        <v>1193</v>
      </c>
      <c r="G24" s="117">
        <v>146</v>
      </c>
      <c r="H24" s="117">
        <v>20</v>
      </c>
      <c r="I24" s="117">
        <v>146</v>
      </c>
      <c r="J24" s="117">
        <v>2</v>
      </c>
    </row>
    <row r="25" spans="1:10" x14ac:dyDescent="0.25">
      <c r="A25" s="2" t="s">
        <v>1410</v>
      </c>
      <c r="B25" s="2" t="s">
        <v>341</v>
      </c>
      <c r="C25" s="2" t="s">
        <v>11</v>
      </c>
      <c r="D25" s="2" t="s">
        <v>115</v>
      </c>
      <c r="E25" s="117">
        <v>11</v>
      </c>
      <c r="F25" s="117">
        <v>92</v>
      </c>
      <c r="G25" s="117">
        <v>0</v>
      </c>
      <c r="H25" s="117">
        <v>0</v>
      </c>
      <c r="I25" s="117">
        <v>0</v>
      </c>
      <c r="J25" s="117">
        <v>0</v>
      </c>
    </row>
    <row r="26" spans="1:10" x14ac:dyDescent="0.25">
      <c r="A26" s="269"/>
      <c r="B26" s="269"/>
      <c r="C26" s="269" t="s">
        <v>11</v>
      </c>
      <c r="D26" s="269"/>
      <c r="E26" s="269"/>
      <c r="F26" s="270">
        <v>59353</v>
      </c>
      <c r="G26" s="270">
        <v>1790</v>
      </c>
      <c r="H26" s="270">
        <v>146</v>
      </c>
      <c r="I26" s="270">
        <v>1786</v>
      </c>
      <c r="J26" s="270">
        <v>7</v>
      </c>
    </row>
    <row r="27" spans="1:10" x14ac:dyDescent="0.25">
      <c r="A27" s="2" t="s">
        <v>1411</v>
      </c>
      <c r="B27" s="2" t="s">
        <v>12</v>
      </c>
      <c r="C27" s="2" t="s">
        <v>13</v>
      </c>
      <c r="D27" s="2" t="s">
        <v>5</v>
      </c>
      <c r="E27" s="117">
        <v>2</v>
      </c>
      <c r="F27" s="117">
        <v>169628</v>
      </c>
      <c r="G27" s="117">
        <v>7040</v>
      </c>
      <c r="H27" s="117">
        <v>354</v>
      </c>
      <c r="I27" s="117">
        <v>7006</v>
      </c>
      <c r="J27" s="117">
        <v>6</v>
      </c>
    </row>
    <row r="28" spans="1:10" x14ac:dyDescent="0.25">
      <c r="A28" s="2" t="s">
        <v>1412</v>
      </c>
      <c r="B28" s="2" t="s">
        <v>126</v>
      </c>
      <c r="C28" s="2" t="s">
        <v>13</v>
      </c>
      <c r="D28" s="2" t="s">
        <v>115</v>
      </c>
      <c r="E28" s="117">
        <v>2</v>
      </c>
      <c r="F28" s="117">
        <v>2679</v>
      </c>
      <c r="G28" s="117">
        <v>155</v>
      </c>
      <c r="H28" s="117">
        <v>3</v>
      </c>
      <c r="I28" s="117">
        <v>154</v>
      </c>
      <c r="J28" s="117">
        <v>4</v>
      </c>
    </row>
    <row r="29" spans="1:10" x14ac:dyDescent="0.25">
      <c r="A29" s="2" t="s">
        <v>1413</v>
      </c>
      <c r="B29" s="2" t="s">
        <v>127</v>
      </c>
      <c r="C29" s="2" t="s">
        <v>13</v>
      </c>
      <c r="D29" s="2" t="s">
        <v>115</v>
      </c>
      <c r="E29" s="117">
        <v>2</v>
      </c>
      <c r="F29" s="117">
        <v>10925</v>
      </c>
      <c r="G29" s="117">
        <v>317</v>
      </c>
      <c r="H29" s="117">
        <v>3</v>
      </c>
      <c r="I29" s="117">
        <v>316</v>
      </c>
      <c r="J29" s="117">
        <v>5</v>
      </c>
    </row>
    <row r="30" spans="1:10" x14ac:dyDescent="0.25">
      <c r="A30" s="2" t="s">
        <v>1414</v>
      </c>
      <c r="B30" s="2" t="s">
        <v>128</v>
      </c>
      <c r="C30" s="2" t="s">
        <v>13</v>
      </c>
      <c r="D30" s="2" t="s">
        <v>115</v>
      </c>
      <c r="E30" s="117">
        <v>2</v>
      </c>
      <c r="F30" s="117">
        <v>1005</v>
      </c>
      <c r="G30" s="117">
        <v>216</v>
      </c>
      <c r="H30" s="117">
        <v>4</v>
      </c>
      <c r="I30" s="117">
        <v>216</v>
      </c>
      <c r="J30" s="117">
        <v>4</v>
      </c>
    </row>
    <row r="31" spans="1:10" x14ac:dyDescent="0.25">
      <c r="A31" s="269"/>
      <c r="B31" s="269"/>
      <c r="C31" s="269" t="s">
        <v>13</v>
      </c>
      <c r="D31" s="269"/>
      <c r="E31" s="269"/>
      <c r="F31" s="270">
        <v>184237</v>
      </c>
      <c r="G31" s="270">
        <v>7728</v>
      </c>
      <c r="H31" s="270">
        <v>364</v>
      </c>
      <c r="I31" s="270">
        <v>7692</v>
      </c>
      <c r="J31" s="270">
        <v>6</v>
      </c>
    </row>
    <row r="32" spans="1:10" x14ac:dyDescent="0.25">
      <c r="A32" s="2" t="s">
        <v>1415</v>
      </c>
      <c r="B32" s="2" t="s">
        <v>14</v>
      </c>
      <c r="C32" s="2" t="s">
        <v>15</v>
      </c>
      <c r="D32" s="2" t="s">
        <v>5</v>
      </c>
      <c r="E32" s="117">
        <v>5</v>
      </c>
      <c r="F32" s="117">
        <v>179082</v>
      </c>
      <c r="G32" s="117">
        <v>5554</v>
      </c>
      <c r="H32" s="117">
        <v>110</v>
      </c>
      <c r="I32" s="117">
        <v>5519</v>
      </c>
      <c r="J32" s="117">
        <v>6</v>
      </c>
    </row>
    <row r="33" spans="1:10" x14ac:dyDescent="0.25">
      <c r="A33" s="2" t="s">
        <v>1416</v>
      </c>
      <c r="B33" s="2" t="s">
        <v>129</v>
      </c>
      <c r="C33" s="2" t="s">
        <v>15</v>
      </c>
      <c r="D33" s="2" t="s">
        <v>115</v>
      </c>
      <c r="E33" s="117">
        <v>5</v>
      </c>
      <c r="F33" s="117">
        <v>296</v>
      </c>
      <c r="G33" s="117">
        <v>73</v>
      </c>
      <c r="H33" s="117">
        <v>2</v>
      </c>
      <c r="I33" s="117">
        <v>72</v>
      </c>
      <c r="J33" s="117">
        <v>4</v>
      </c>
    </row>
    <row r="34" spans="1:10" x14ac:dyDescent="0.25">
      <c r="A34" s="269"/>
      <c r="B34" s="269"/>
      <c r="C34" s="269" t="s">
        <v>15</v>
      </c>
      <c r="D34" s="269"/>
      <c r="E34" s="269"/>
      <c r="F34" s="270">
        <v>179378</v>
      </c>
      <c r="G34" s="270">
        <v>5627</v>
      </c>
      <c r="H34" s="270">
        <v>112</v>
      </c>
      <c r="I34" s="270">
        <v>5591</v>
      </c>
      <c r="J34" s="270">
        <v>6</v>
      </c>
    </row>
    <row r="35" spans="1:10" x14ac:dyDescent="0.25">
      <c r="A35" s="2" t="s">
        <v>1417</v>
      </c>
      <c r="B35" s="2" t="s">
        <v>16</v>
      </c>
      <c r="C35" s="2" t="s">
        <v>17</v>
      </c>
      <c r="D35" s="2" t="s">
        <v>5</v>
      </c>
      <c r="E35" s="117">
        <v>3</v>
      </c>
      <c r="F35" s="117">
        <v>219517</v>
      </c>
      <c r="G35" s="117">
        <v>4548</v>
      </c>
      <c r="H35" s="117">
        <v>150</v>
      </c>
      <c r="I35" s="117">
        <v>4525</v>
      </c>
      <c r="J35" s="117">
        <v>6</v>
      </c>
    </row>
    <row r="36" spans="1:10" x14ac:dyDescent="0.25">
      <c r="A36" s="2" t="s">
        <v>1418</v>
      </c>
      <c r="B36" s="2" t="s">
        <v>130</v>
      </c>
      <c r="C36" s="2" t="s">
        <v>17</v>
      </c>
      <c r="D36" s="2" t="s">
        <v>115</v>
      </c>
      <c r="E36" s="117">
        <v>3</v>
      </c>
      <c r="F36" s="117">
        <v>394</v>
      </c>
      <c r="G36" s="117">
        <v>78</v>
      </c>
      <c r="H36" s="117">
        <v>7</v>
      </c>
      <c r="I36" s="117">
        <v>77</v>
      </c>
      <c r="J36" s="117">
        <v>5</v>
      </c>
    </row>
    <row r="37" spans="1:10" x14ac:dyDescent="0.25">
      <c r="A37" s="269"/>
      <c r="B37" s="269"/>
      <c r="C37" s="269" t="s">
        <v>17</v>
      </c>
      <c r="D37" s="269"/>
      <c r="E37" s="269"/>
      <c r="F37" s="270">
        <v>219911</v>
      </c>
      <c r="G37" s="270">
        <v>4626</v>
      </c>
      <c r="H37" s="270">
        <v>157</v>
      </c>
      <c r="I37" s="270">
        <v>4602</v>
      </c>
      <c r="J37" s="270">
        <v>6</v>
      </c>
    </row>
    <row r="38" spans="1:10" x14ac:dyDescent="0.25">
      <c r="A38" s="2" t="s">
        <v>1419</v>
      </c>
      <c r="B38" s="2" t="s">
        <v>18</v>
      </c>
      <c r="C38" s="2" t="s">
        <v>19</v>
      </c>
      <c r="D38" s="2" t="s">
        <v>5</v>
      </c>
      <c r="E38" s="117">
        <v>6</v>
      </c>
      <c r="F38" s="117">
        <v>204680</v>
      </c>
      <c r="G38" s="117">
        <v>5244</v>
      </c>
      <c r="H38" s="117">
        <v>10</v>
      </c>
      <c r="I38" s="117">
        <v>5208</v>
      </c>
      <c r="J38" s="117">
        <v>7</v>
      </c>
    </row>
    <row r="39" spans="1:10" x14ac:dyDescent="0.25">
      <c r="A39" s="2" t="s">
        <v>1420</v>
      </c>
      <c r="B39" s="2" t="s">
        <v>131</v>
      </c>
      <c r="C39" s="2" t="s">
        <v>19</v>
      </c>
      <c r="D39" s="2" t="s">
        <v>115</v>
      </c>
      <c r="E39" s="117">
        <v>6</v>
      </c>
      <c r="F39" s="117">
        <v>241</v>
      </c>
      <c r="G39" s="117">
        <v>20</v>
      </c>
      <c r="H39" s="117">
        <v>0</v>
      </c>
      <c r="I39" s="117">
        <v>20</v>
      </c>
      <c r="J39" s="117">
        <v>4</v>
      </c>
    </row>
    <row r="40" spans="1:10" x14ac:dyDescent="0.25">
      <c r="A40" s="269"/>
      <c r="B40" s="269"/>
      <c r="C40" s="269" t="s">
        <v>19</v>
      </c>
      <c r="D40" s="269"/>
      <c r="E40" s="269"/>
      <c r="F40" s="270">
        <v>204921</v>
      </c>
      <c r="G40" s="270">
        <v>5264</v>
      </c>
      <c r="H40" s="270">
        <v>10</v>
      </c>
      <c r="I40" s="270">
        <v>5228</v>
      </c>
      <c r="J40" s="270">
        <v>7</v>
      </c>
    </row>
    <row r="41" spans="1:10" x14ac:dyDescent="0.25">
      <c r="A41" s="2" t="s">
        <v>1421</v>
      </c>
      <c r="B41" s="2" t="s">
        <v>22</v>
      </c>
      <c r="C41" s="2" t="s">
        <v>23</v>
      </c>
      <c r="D41" s="2" t="s">
        <v>5</v>
      </c>
      <c r="E41" s="117">
        <v>7</v>
      </c>
      <c r="F41" s="117">
        <v>216311</v>
      </c>
      <c r="G41" s="117">
        <v>6004</v>
      </c>
      <c r="H41" s="117">
        <v>40</v>
      </c>
      <c r="I41" s="117">
        <v>5982</v>
      </c>
      <c r="J41" s="117">
        <v>6</v>
      </c>
    </row>
    <row r="42" spans="1:10" x14ac:dyDescent="0.25">
      <c r="A42" s="2" t="s">
        <v>1422</v>
      </c>
      <c r="B42" s="2" t="s">
        <v>139</v>
      </c>
      <c r="C42" s="2" t="s">
        <v>23</v>
      </c>
      <c r="D42" s="2" t="s">
        <v>115</v>
      </c>
      <c r="E42" s="117">
        <v>7</v>
      </c>
      <c r="F42" s="117">
        <v>662</v>
      </c>
      <c r="G42" s="117">
        <v>142</v>
      </c>
      <c r="H42" s="117">
        <v>0</v>
      </c>
      <c r="I42" s="117">
        <v>141</v>
      </c>
      <c r="J42" s="117">
        <v>4</v>
      </c>
    </row>
    <row r="43" spans="1:10" x14ac:dyDescent="0.25">
      <c r="A43" s="2" t="s">
        <v>1423</v>
      </c>
      <c r="B43" s="2" t="s">
        <v>140</v>
      </c>
      <c r="C43" s="2" t="s">
        <v>23</v>
      </c>
      <c r="D43" s="2" t="s">
        <v>115</v>
      </c>
      <c r="E43" s="117">
        <v>7</v>
      </c>
      <c r="F43" s="117">
        <v>224</v>
      </c>
      <c r="G43" s="117">
        <v>56</v>
      </c>
      <c r="H43" s="117">
        <v>1</v>
      </c>
      <c r="I43" s="117">
        <v>55</v>
      </c>
      <c r="J43" s="117">
        <v>4</v>
      </c>
    </row>
    <row r="44" spans="1:10" x14ac:dyDescent="0.25">
      <c r="A44" s="269"/>
      <c r="B44" s="269"/>
      <c r="C44" s="269" t="s">
        <v>23</v>
      </c>
      <c r="D44" s="269"/>
      <c r="E44" s="269"/>
      <c r="F44" s="270">
        <v>217197</v>
      </c>
      <c r="G44" s="270">
        <v>6202</v>
      </c>
      <c r="H44" s="270">
        <v>41</v>
      </c>
      <c r="I44" s="270">
        <v>6178</v>
      </c>
      <c r="J44" s="270">
        <v>6</v>
      </c>
    </row>
    <row r="45" spans="1:10" x14ac:dyDescent="0.25">
      <c r="A45" s="2" t="s">
        <v>1424</v>
      </c>
      <c r="B45" s="2" t="s">
        <v>24</v>
      </c>
      <c r="C45" s="2" t="s">
        <v>25</v>
      </c>
      <c r="D45" s="2" t="s">
        <v>5</v>
      </c>
      <c r="E45" s="117">
        <v>8</v>
      </c>
      <c r="F45" s="117">
        <v>305978</v>
      </c>
      <c r="G45" s="117">
        <v>6497</v>
      </c>
      <c r="H45" s="117">
        <v>223</v>
      </c>
      <c r="I45" s="117">
        <v>6477</v>
      </c>
      <c r="J45" s="117">
        <v>10</v>
      </c>
    </row>
    <row r="46" spans="1:10" x14ac:dyDescent="0.25">
      <c r="A46" s="2" t="s">
        <v>1425</v>
      </c>
      <c r="B46" s="2" t="s">
        <v>141</v>
      </c>
      <c r="C46" s="2" t="s">
        <v>25</v>
      </c>
      <c r="D46" s="2" t="s">
        <v>115</v>
      </c>
      <c r="E46" s="117">
        <v>8</v>
      </c>
      <c r="F46" s="117">
        <v>1035</v>
      </c>
      <c r="G46" s="117">
        <v>159</v>
      </c>
      <c r="H46" s="117">
        <v>8</v>
      </c>
      <c r="I46" s="117">
        <v>159</v>
      </c>
      <c r="J46" s="117">
        <v>4</v>
      </c>
    </row>
    <row r="47" spans="1:10" x14ac:dyDescent="0.25">
      <c r="A47" s="2" t="s">
        <v>1426</v>
      </c>
      <c r="B47" s="2" t="s">
        <v>287</v>
      </c>
      <c r="C47" s="2" t="s">
        <v>25</v>
      </c>
      <c r="D47" s="2" t="s">
        <v>115</v>
      </c>
      <c r="E47" s="117">
        <v>8</v>
      </c>
      <c r="F47" s="117">
        <v>195</v>
      </c>
      <c r="G47" s="117">
        <v>18</v>
      </c>
      <c r="H47" s="117">
        <v>0</v>
      </c>
      <c r="I47" s="117">
        <v>18</v>
      </c>
      <c r="J47" s="117">
        <v>3</v>
      </c>
    </row>
    <row r="48" spans="1:10" x14ac:dyDescent="0.25">
      <c r="A48" s="269"/>
      <c r="B48" s="269"/>
      <c r="C48" s="269" t="s">
        <v>25</v>
      </c>
      <c r="D48" s="269"/>
      <c r="E48" s="269"/>
      <c r="F48" s="270">
        <v>307208</v>
      </c>
      <c r="G48" s="270">
        <v>6674</v>
      </c>
      <c r="H48" s="270">
        <v>231</v>
      </c>
      <c r="I48" s="270">
        <v>6654</v>
      </c>
      <c r="J48" s="270">
        <v>10</v>
      </c>
    </row>
    <row r="49" spans="1:10" x14ac:dyDescent="0.25">
      <c r="A49" s="2" t="s">
        <v>1427</v>
      </c>
      <c r="B49" s="2" t="s">
        <v>26</v>
      </c>
      <c r="C49" s="2" t="s">
        <v>27</v>
      </c>
      <c r="D49" s="2" t="s">
        <v>5</v>
      </c>
      <c r="E49" s="117">
        <v>4</v>
      </c>
      <c r="F49" s="117">
        <v>648250</v>
      </c>
      <c r="G49" s="117">
        <v>16980</v>
      </c>
      <c r="H49" s="117">
        <v>4067</v>
      </c>
      <c r="I49" s="117">
        <v>16943</v>
      </c>
      <c r="J49" s="117">
        <v>10</v>
      </c>
    </row>
    <row r="50" spans="1:10" x14ac:dyDescent="0.25">
      <c r="A50" s="2" t="s">
        <v>1429</v>
      </c>
      <c r="B50" s="2" t="s">
        <v>142</v>
      </c>
      <c r="C50" s="2" t="s">
        <v>27</v>
      </c>
      <c r="D50" s="2" t="s">
        <v>115</v>
      </c>
      <c r="E50" s="117">
        <v>4</v>
      </c>
      <c r="F50" s="117">
        <v>418</v>
      </c>
      <c r="G50" s="117">
        <v>79</v>
      </c>
      <c r="H50" s="117">
        <v>3</v>
      </c>
      <c r="I50" s="117">
        <v>79</v>
      </c>
      <c r="J50" s="117">
        <v>5</v>
      </c>
    </row>
    <row r="51" spans="1:10" x14ac:dyDescent="0.25">
      <c r="A51" s="2" t="s">
        <v>1430</v>
      </c>
      <c r="B51" s="2" t="s">
        <v>144</v>
      </c>
      <c r="C51" s="2" t="s">
        <v>27</v>
      </c>
      <c r="D51" s="2" t="s">
        <v>115</v>
      </c>
      <c r="E51" s="117">
        <v>4</v>
      </c>
      <c r="F51" s="117">
        <v>1106</v>
      </c>
      <c r="G51" s="117">
        <v>120</v>
      </c>
      <c r="H51" s="117">
        <v>6</v>
      </c>
      <c r="I51" s="117">
        <v>120</v>
      </c>
      <c r="J51" s="117">
        <v>3</v>
      </c>
    </row>
    <row r="52" spans="1:10" x14ac:dyDescent="0.25">
      <c r="A52" s="2" t="s">
        <v>1431</v>
      </c>
      <c r="B52" s="2" t="s">
        <v>145</v>
      </c>
      <c r="C52" s="2" t="s">
        <v>27</v>
      </c>
      <c r="D52" s="2" t="s">
        <v>115</v>
      </c>
      <c r="E52" s="117">
        <v>4</v>
      </c>
      <c r="F52" s="117">
        <v>501</v>
      </c>
      <c r="G52" s="117">
        <v>105</v>
      </c>
      <c r="H52" s="117">
        <v>18</v>
      </c>
      <c r="I52" s="117">
        <v>105</v>
      </c>
      <c r="J52" s="117">
        <v>3</v>
      </c>
    </row>
    <row r="53" spans="1:10" x14ac:dyDescent="0.25">
      <c r="A53" s="2" t="s">
        <v>1432</v>
      </c>
      <c r="B53" s="2" t="s">
        <v>146</v>
      </c>
      <c r="C53" s="2" t="s">
        <v>27</v>
      </c>
      <c r="D53" s="2" t="s">
        <v>115</v>
      </c>
      <c r="E53" s="117">
        <v>4</v>
      </c>
      <c r="F53" s="117">
        <v>1214</v>
      </c>
      <c r="G53" s="117">
        <v>186</v>
      </c>
      <c r="H53" s="117">
        <v>2</v>
      </c>
      <c r="I53" s="117">
        <v>185</v>
      </c>
      <c r="J53" s="117">
        <v>5</v>
      </c>
    </row>
    <row r="54" spans="1:10" x14ac:dyDescent="0.25">
      <c r="A54" s="2" t="s">
        <v>1433</v>
      </c>
      <c r="B54" s="2" t="s">
        <v>278</v>
      </c>
      <c r="C54" s="2" t="s">
        <v>27</v>
      </c>
      <c r="D54" s="2" t="s">
        <v>115</v>
      </c>
      <c r="E54" s="117">
        <v>4</v>
      </c>
      <c r="F54" s="117">
        <v>714</v>
      </c>
      <c r="G54" s="117">
        <v>66</v>
      </c>
      <c r="H54" s="117">
        <v>3</v>
      </c>
      <c r="I54" s="117">
        <v>66</v>
      </c>
      <c r="J54" s="117">
        <v>3</v>
      </c>
    </row>
    <row r="55" spans="1:10" x14ac:dyDescent="0.25">
      <c r="A55" s="2" t="s">
        <v>1434</v>
      </c>
      <c r="B55" s="2" t="s">
        <v>290</v>
      </c>
      <c r="C55" s="2" t="s">
        <v>27</v>
      </c>
      <c r="D55" s="2" t="s">
        <v>115</v>
      </c>
      <c r="E55" s="117">
        <v>4</v>
      </c>
      <c r="F55" s="117">
        <v>338</v>
      </c>
      <c r="G55" s="117">
        <v>28</v>
      </c>
      <c r="H55" s="117">
        <v>1</v>
      </c>
      <c r="I55" s="117">
        <v>28</v>
      </c>
      <c r="J55" s="117">
        <v>4</v>
      </c>
    </row>
    <row r="56" spans="1:10" x14ac:dyDescent="0.25">
      <c r="A56" s="2" t="s">
        <v>1435</v>
      </c>
      <c r="B56" s="2" t="s">
        <v>291</v>
      </c>
      <c r="C56" s="2" t="s">
        <v>27</v>
      </c>
      <c r="D56" s="2" t="s">
        <v>115</v>
      </c>
      <c r="E56" s="117">
        <v>4</v>
      </c>
      <c r="F56" s="117">
        <v>221</v>
      </c>
      <c r="G56" s="117">
        <v>1</v>
      </c>
      <c r="H56" s="117">
        <v>0</v>
      </c>
      <c r="I56" s="117">
        <v>1</v>
      </c>
      <c r="J56" s="117">
        <v>2</v>
      </c>
    </row>
    <row r="57" spans="1:10" x14ac:dyDescent="0.25">
      <c r="A57" s="2" t="s">
        <v>1436</v>
      </c>
      <c r="B57" s="2" t="s">
        <v>322</v>
      </c>
      <c r="C57" s="2" t="s">
        <v>27</v>
      </c>
      <c r="D57" s="2" t="s">
        <v>115</v>
      </c>
      <c r="E57" s="117">
        <v>4</v>
      </c>
      <c r="F57" s="117">
        <v>2437</v>
      </c>
      <c r="G57" s="117">
        <v>0</v>
      </c>
      <c r="H57" s="117">
        <v>0</v>
      </c>
      <c r="I57" s="117">
        <v>0</v>
      </c>
      <c r="J57" s="117">
        <v>0</v>
      </c>
    </row>
    <row r="58" spans="1:10" x14ac:dyDescent="0.25">
      <c r="A58" s="269"/>
      <c r="B58" s="269"/>
      <c r="C58" s="269" t="s">
        <v>27</v>
      </c>
      <c r="D58" s="269"/>
      <c r="E58" s="269"/>
      <c r="F58" s="270">
        <v>655199</v>
      </c>
      <c r="G58" s="270">
        <v>17565</v>
      </c>
      <c r="H58" s="270">
        <v>4100</v>
      </c>
      <c r="I58" s="270">
        <v>17527</v>
      </c>
      <c r="J58" s="270">
        <v>10</v>
      </c>
    </row>
    <row r="59" spans="1:10" x14ac:dyDescent="0.25">
      <c r="A59" s="2" t="s">
        <v>1437</v>
      </c>
      <c r="B59" s="2" t="s">
        <v>28</v>
      </c>
      <c r="C59" s="2" t="s">
        <v>29</v>
      </c>
      <c r="D59" s="2" t="s">
        <v>5</v>
      </c>
      <c r="E59" s="117">
        <v>11</v>
      </c>
      <c r="F59" s="117">
        <v>46787</v>
      </c>
      <c r="G59" s="117">
        <v>634</v>
      </c>
      <c r="H59" s="117">
        <v>22</v>
      </c>
      <c r="I59" s="117">
        <v>632</v>
      </c>
      <c r="J59" s="117">
        <v>3</v>
      </c>
    </row>
    <row r="60" spans="1:10" x14ac:dyDescent="0.25">
      <c r="A60" s="2" t="s">
        <v>1407</v>
      </c>
      <c r="B60" s="2" t="s">
        <v>124</v>
      </c>
      <c r="C60" s="2" t="s">
        <v>29</v>
      </c>
      <c r="D60" s="2" t="s">
        <v>115</v>
      </c>
      <c r="E60" s="117">
        <v>11</v>
      </c>
      <c r="F60" s="117">
        <v>7775</v>
      </c>
      <c r="G60" s="117">
        <v>290</v>
      </c>
      <c r="H60" s="117">
        <v>4</v>
      </c>
      <c r="I60" s="117">
        <v>289</v>
      </c>
      <c r="J60" s="117">
        <v>5</v>
      </c>
    </row>
    <row r="61" spans="1:10" x14ac:dyDescent="0.25">
      <c r="A61" s="2" t="s">
        <v>1438</v>
      </c>
      <c r="B61" s="2" t="s">
        <v>148</v>
      </c>
      <c r="C61" s="2" t="s">
        <v>29</v>
      </c>
      <c r="D61" s="2" t="s">
        <v>115</v>
      </c>
      <c r="E61" s="117">
        <v>11</v>
      </c>
      <c r="F61" s="117">
        <v>639</v>
      </c>
      <c r="G61" s="117">
        <v>39</v>
      </c>
      <c r="H61" s="117">
        <v>0</v>
      </c>
      <c r="I61" s="117">
        <v>39</v>
      </c>
      <c r="J61" s="117">
        <v>1</v>
      </c>
    </row>
    <row r="62" spans="1:10" x14ac:dyDescent="0.25">
      <c r="A62" s="2" t="s">
        <v>1439</v>
      </c>
      <c r="B62" s="2" t="s">
        <v>149</v>
      </c>
      <c r="C62" s="2" t="s">
        <v>29</v>
      </c>
      <c r="D62" s="2" t="s">
        <v>115</v>
      </c>
      <c r="E62" s="117">
        <v>11</v>
      </c>
      <c r="F62" s="117">
        <v>1189</v>
      </c>
      <c r="G62" s="117">
        <v>147</v>
      </c>
      <c r="H62" s="117">
        <v>1</v>
      </c>
      <c r="I62" s="117">
        <v>146</v>
      </c>
      <c r="J62" s="117">
        <v>1</v>
      </c>
    </row>
    <row r="63" spans="1:10" x14ac:dyDescent="0.25">
      <c r="A63" s="269"/>
      <c r="B63" s="269"/>
      <c r="C63" s="269" t="s">
        <v>29</v>
      </c>
      <c r="D63" s="269"/>
      <c r="E63" s="269"/>
      <c r="F63" s="270">
        <v>56390</v>
      </c>
      <c r="G63" s="270">
        <v>1110</v>
      </c>
      <c r="H63" s="270">
        <v>27</v>
      </c>
      <c r="I63" s="270">
        <v>1106</v>
      </c>
      <c r="J63" s="270">
        <v>5</v>
      </c>
    </row>
    <row r="64" spans="1:10" x14ac:dyDescent="0.25">
      <c r="A64" s="2" t="s">
        <v>1440</v>
      </c>
      <c r="B64" s="2" t="s">
        <v>30</v>
      </c>
      <c r="C64" s="2" t="s">
        <v>31</v>
      </c>
      <c r="D64" s="2" t="s">
        <v>5</v>
      </c>
      <c r="E64" s="117">
        <v>8</v>
      </c>
      <c r="F64" s="117">
        <v>372059</v>
      </c>
      <c r="G64" s="117">
        <v>15725</v>
      </c>
      <c r="H64" s="117">
        <v>584</v>
      </c>
      <c r="I64" s="117">
        <v>15704</v>
      </c>
      <c r="J64" s="117">
        <v>9</v>
      </c>
    </row>
    <row r="65" spans="1:10" x14ac:dyDescent="0.25">
      <c r="A65" s="2" t="s">
        <v>1441</v>
      </c>
      <c r="B65" s="2" t="s">
        <v>151</v>
      </c>
      <c r="C65" s="2" t="s">
        <v>31</v>
      </c>
      <c r="D65" s="2" t="s">
        <v>115</v>
      </c>
      <c r="E65" s="117">
        <v>8</v>
      </c>
      <c r="F65" s="117">
        <v>1784</v>
      </c>
      <c r="G65" s="117">
        <v>445</v>
      </c>
      <c r="H65" s="117">
        <v>26</v>
      </c>
      <c r="I65" s="117">
        <v>445</v>
      </c>
      <c r="J65" s="117">
        <v>3</v>
      </c>
    </row>
    <row r="66" spans="1:10" x14ac:dyDescent="0.25">
      <c r="A66" s="2" t="s">
        <v>1442</v>
      </c>
      <c r="B66" s="2" t="s">
        <v>292</v>
      </c>
      <c r="C66" s="2" t="s">
        <v>31</v>
      </c>
      <c r="D66" s="2" t="s">
        <v>115</v>
      </c>
      <c r="E66" s="117">
        <v>8</v>
      </c>
      <c r="F66" s="117">
        <v>212</v>
      </c>
      <c r="G66" s="117">
        <v>9</v>
      </c>
      <c r="H66" s="117">
        <v>2</v>
      </c>
      <c r="I66" s="117">
        <v>9</v>
      </c>
      <c r="J66" s="117">
        <v>4</v>
      </c>
    </row>
    <row r="67" spans="1:10" x14ac:dyDescent="0.25">
      <c r="A67" s="269"/>
      <c r="B67" s="269"/>
      <c r="C67" s="269" t="s">
        <v>31</v>
      </c>
      <c r="D67" s="269"/>
      <c r="E67" s="269"/>
      <c r="F67" s="270">
        <v>374055</v>
      </c>
      <c r="G67" s="270">
        <v>16179</v>
      </c>
      <c r="H67" s="270">
        <v>612</v>
      </c>
      <c r="I67" s="270">
        <v>16158</v>
      </c>
      <c r="J67" s="270">
        <v>9</v>
      </c>
    </row>
    <row r="68" spans="1:10" x14ac:dyDescent="0.25">
      <c r="A68" s="2" t="s">
        <v>1443</v>
      </c>
      <c r="B68" s="2" t="s">
        <v>32</v>
      </c>
      <c r="C68" s="2" t="s">
        <v>33</v>
      </c>
      <c r="D68" s="2" t="s">
        <v>5</v>
      </c>
      <c r="E68" s="117">
        <v>6</v>
      </c>
      <c r="F68" s="117">
        <v>248423</v>
      </c>
      <c r="G68" s="117">
        <v>5497</v>
      </c>
      <c r="H68" s="117">
        <v>102</v>
      </c>
      <c r="I68" s="117">
        <v>5488</v>
      </c>
      <c r="J68" s="117">
        <v>6</v>
      </c>
    </row>
    <row r="69" spans="1:10" x14ac:dyDescent="0.25">
      <c r="A69" s="2" t="s">
        <v>1444</v>
      </c>
      <c r="B69" s="2" t="s">
        <v>152</v>
      </c>
      <c r="C69" s="2" t="s">
        <v>33</v>
      </c>
      <c r="D69" s="2" t="s">
        <v>115</v>
      </c>
      <c r="E69" s="117">
        <v>6</v>
      </c>
      <c r="F69" s="117">
        <v>676</v>
      </c>
      <c r="G69" s="117">
        <v>15</v>
      </c>
      <c r="H69" s="117">
        <v>0</v>
      </c>
      <c r="I69" s="117">
        <v>15</v>
      </c>
      <c r="J69" s="117">
        <v>3</v>
      </c>
    </row>
    <row r="70" spans="1:10" x14ac:dyDescent="0.25">
      <c r="A70" s="2" t="s">
        <v>1445</v>
      </c>
      <c r="B70" s="2" t="s">
        <v>153</v>
      </c>
      <c r="C70" s="2" t="s">
        <v>33</v>
      </c>
      <c r="D70" s="2" t="s">
        <v>115</v>
      </c>
      <c r="E70" s="117">
        <v>6</v>
      </c>
      <c r="F70" s="117">
        <v>6899</v>
      </c>
      <c r="G70" s="117">
        <v>175</v>
      </c>
      <c r="H70" s="117">
        <v>2</v>
      </c>
      <c r="I70" s="117">
        <v>174</v>
      </c>
      <c r="J70" s="117">
        <v>4</v>
      </c>
    </row>
    <row r="71" spans="1:10" x14ac:dyDescent="0.25">
      <c r="A71" s="2" t="s">
        <v>1446</v>
      </c>
      <c r="B71" s="2" t="s">
        <v>154</v>
      </c>
      <c r="C71" s="2" t="s">
        <v>33</v>
      </c>
      <c r="D71" s="2" t="s">
        <v>115</v>
      </c>
      <c r="E71" s="117">
        <v>6</v>
      </c>
      <c r="F71" s="117">
        <v>6225</v>
      </c>
      <c r="G71" s="117">
        <v>181</v>
      </c>
      <c r="H71" s="117">
        <v>2</v>
      </c>
      <c r="I71" s="117">
        <v>181</v>
      </c>
      <c r="J71" s="117">
        <v>5</v>
      </c>
    </row>
    <row r="72" spans="1:10" x14ac:dyDescent="0.25">
      <c r="A72" s="2" t="s">
        <v>1447</v>
      </c>
      <c r="B72" s="2" t="s">
        <v>155</v>
      </c>
      <c r="C72" s="2" t="s">
        <v>33</v>
      </c>
      <c r="D72" s="2" t="s">
        <v>115</v>
      </c>
      <c r="E72" s="117">
        <v>6</v>
      </c>
      <c r="F72" s="117">
        <v>621</v>
      </c>
      <c r="G72" s="117">
        <v>115</v>
      </c>
      <c r="H72" s="117">
        <v>0</v>
      </c>
      <c r="I72" s="117">
        <v>115</v>
      </c>
      <c r="J72" s="117">
        <v>4</v>
      </c>
    </row>
    <row r="73" spans="1:10" x14ac:dyDescent="0.25">
      <c r="A73" s="2" t="s">
        <v>1448</v>
      </c>
      <c r="B73" s="2" t="s">
        <v>156</v>
      </c>
      <c r="C73" s="2" t="s">
        <v>33</v>
      </c>
      <c r="D73" s="2" t="s">
        <v>115</v>
      </c>
      <c r="E73" s="117">
        <v>6</v>
      </c>
      <c r="F73" s="117">
        <v>322</v>
      </c>
      <c r="G73" s="117">
        <v>48</v>
      </c>
      <c r="H73" s="117">
        <v>0</v>
      </c>
      <c r="I73" s="117">
        <v>48</v>
      </c>
      <c r="J73" s="117">
        <v>4</v>
      </c>
    </row>
    <row r="74" spans="1:10" x14ac:dyDescent="0.25">
      <c r="A74" s="2" t="s">
        <v>1449</v>
      </c>
      <c r="B74" s="2" t="s">
        <v>157</v>
      </c>
      <c r="C74" s="2" t="s">
        <v>33</v>
      </c>
      <c r="D74" s="2" t="s">
        <v>115</v>
      </c>
      <c r="E74" s="117">
        <v>6</v>
      </c>
      <c r="F74" s="117">
        <v>569</v>
      </c>
      <c r="G74" s="117">
        <v>36</v>
      </c>
      <c r="H74" s="117">
        <v>0</v>
      </c>
      <c r="I74" s="117">
        <v>36</v>
      </c>
      <c r="J74" s="117">
        <v>4</v>
      </c>
    </row>
    <row r="75" spans="1:10" x14ac:dyDescent="0.25">
      <c r="A75" s="2" t="s">
        <v>1450</v>
      </c>
      <c r="B75" s="2" t="s">
        <v>158</v>
      </c>
      <c r="C75" s="2" t="s">
        <v>33</v>
      </c>
      <c r="D75" s="2" t="s">
        <v>115</v>
      </c>
      <c r="E75" s="117">
        <v>6</v>
      </c>
      <c r="F75" s="117">
        <v>1070</v>
      </c>
      <c r="G75" s="117">
        <v>67</v>
      </c>
      <c r="H75" s="117">
        <v>1</v>
      </c>
      <c r="I75" s="117">
        <v>67</v>
      </c>
      <c r="J75" s="117">
        <v>4</v>
      </c>
    </row>
    <row r="76" spans="1:10" x14ac:dyDescent="0.25">
      <c r="A76" s="2" t="s">
        <v>1451</v>
      </c>
      <c r="B76" s="2" t="s">
        <v>159</v>
      </c>
      <c r="C76" s="2" t="s">
        <v>33</v>
      </c>
      <c r="D76" s="2" t="s">
        <v>115</v>
      </c>
      <c r="E76" s="117">
        <v>6</v>
      </c>
      <c r="F76" s="117">
        <v>545</v>
      </c>
      <c r="G76" s="117">
        <v>13</v>
      </c>
      <c r="H76" s="117">
        <v>0</v>
      </c>
      <c r="I76" s="117">
        <v>13</v>
      </c>
      <c r="J76" s="117">
        <v>3</v>
      </c>
    </row>
    <row r="77" spans="1:10" x14ac:dyDescent="0.25">
      <c r="A77" s="2" t="s">
        <v>1452</v>
      </c>
      <c r="B77" s="2" t="s">
        <v>160</v>
      </c>
      <c r="C77" s="2" t="s">
        <v>33</v>
      </c>
      <c r="D77" s="2" t="s">
        <v>115</v>
      </c>
      <c r="E77" s="117">
        <v>6</v>
      </c>
      <c r="F77" s="117">
        <v>340</v>
      </c>
      <c r="G77" s="117">
        <v>5</v>
      </c>
      <c r="H77" s="117">
        <v>1</v>
      </c>
      <c r="I77" s="117">
        <v>5</v>
      </c>
      <c r="J77" s="117">
        <v>4</v>
      </c>
    </row>
    <row r="78" spans="1:10" x14ac:dyDescent="0.25">
      <c r="A78" s="2" t="s">
        <v>1453</v>
      </c>
      <c r="B78" s="2" t="s">
        <v>289</v>
      </c>
      <c r="C78" s="2" t="s">
        <v>33</v>
      </c>
      <c r="D78" s="2" t="s">
        <v>115</v>
      </c>
      <c r="E78" s="117">
        <v>6</v>
      </c>
      <c r="F78" s="117">
        <v>854</v>
      </c>
      <c r="G78" s="117">
        <v>45</v>
      </c>
      <c r="H78" s="117">
        <v>0</v>
      </c>
      <c r="I78" s="117">
        <v>45</v>
      </c>
      <c r="J78" s="117">
        <v>3</v>
      </c>
    </row>
    <row r="79" spans="1:10" x14ac:dyDescent="0.25">
      <c r="A79" s="269"/>
      <c r="B79" s="269"/>
      <c r="C79" s="269" t="s">
        <v>33</v>
      </c>
      <c r="D79" s="269"/>
      <c r="E79" s="269"/>
      <c r="F79" s="270">
        <v>266544</v>
      </c>
      <c r="G79" s="270">
        <v>6197</v>
      </c>
      <c r="H79" s="270">
        <v>108</v>
      </c>
      <c r="I79" s="270">
        <v>6187</v>
      </c>
      <c r="J79" s="270">
        <v>6</v>
      </c>
    </row>
    <row r="80" spans="1:10" x14ac:dyDescent="0.25">
      <c r="A80" s="2" t="s">
        <v>1454</v>
      </c>
      <c r="B80" s="2" t="s">
        <v>34</v>
      </c>
      <c r="C80" s="2" t="s">
        <v>35</v>
      </c>
      <c r="D80" s="2" t="s">
        <v>5</v>
      </c>
      <c r="E80" s="117">
        <v>5</v>
      </c>
      <c r="F80" s="117">
        <v>298304</v>
      </c>
      <c r="G80" s="117">
        <v>13430</v>
      </c>
      <c r="H80" s="117">
        <v>202</v>
      </c>
      <c r="I80" s="117">
        <v>13372</v>
      </c>
      <c r="J80" s="117">
        <v>6</v>
      </c>
    </row>
    <row r="81" spans="1:10" x14ac:dyDescent="0.25">
      <c r="A81" s="2" t="s">
        <v>1455</v>
      </c>
      <c r="B81" s="2" t="s">
        <v>161</v>
      </c>
      <c r="C81" s="2" t="s">
        <v>35</v>
      </c>
      <c r="D81" s="2" t="s">
        <v>115</v>
      </c>
      <c r="E81" s="117">
        <v>5</v>
      </c>
      <c r="F81" s="117">
        <v>2101</v>
      </c>
      <c r="G81" s="117">
        <v>135</v>
      </c>
      <c r="H81" s="117">
        <v>2</v>
      </c>
      <c r="I81" s="117">
        <v>135</v>
      </c>
      <c r="J81" s="117">
        <v>3</v>
      </c>
    </row>
    <row r="82" spans="1:10" x14ac:dyDescent="0.25">
      <c r="A82" s="2" t="s">
        <v>1456</v>
      </c>
      <c r="B82" s="2" t="s">
        <v>288</v>
      </c>
      <c r="C82" s="2" t="s">
        <v>35</v>
      </c>
      <c r="D82" s="2" t="s">
        <v>115</v>
      </c>
      <c r="E82" s="117">
        <v>5</v>
      </c>
      <c r="F82" s="117">
        <v>1208</v>
      </c>
      <c r="G82" s="117">
        <v>207</v>
      </c>
      <c r="H82" s="117">
        <v>9</v>
      </c>
      <c r="I82" s="117">
        <v>207</v>
      </c>
      <c r="J82" s="117">
        <v>4</v>
      </c>
    </row>
    <row r="83" spans="1:10" x14ac:dyDescent="0.25">
      <c r="A83" s="269"/>
      <c r="B83" s="269"/>
      <c r="C83" s="269" t="s">
        <v>35</v>
      </c>
      <c r="D83" s="269"/>
      <c r="E83" s="269"/>
      <c r="F83" s="270">
        <v>301613</v>
      </c>
      <c r="G83" s="270">
        <v>13772</v>
      </c>
      <c r="H83" s="270">
        <v>213</v>
      </c>
      <c r="I83" s="270">
        <v>13714</v>
      </c>
      <c r="J83" s="270">
        <v>6</v>
      </c>
    </row>
    <row r="84" spans="1:10" x14ac:dyDescent="0.25">
      <c r="A84" s="2" t="s">
        <v>1457</v>
      </c>
      <c r="B84" s="2" t="s">
        <v>36</v>
      </c>
      <c r="C84" s="2" t="s">
        <v>37</v>
      </c>
      <c r="D84" s="2" t="s">
        <v>5</v>
      </c>
      <c r="E84" s="117">
        <v>9</v>
      </c>
      <c r="F84" s="117">
        <v>125719</v>
      </c>
      <c r="G84" s="117">
        <v>6241</v>
      </c>
      <c r="H84" s="117">
        <v>650</v>
      </c>
      <c r="I84" s="117">
        <v>6224</v>
      </c>
      <c r="J84" s="117">
        <v>7</v>
      </c>
    </row>
    <row r="85" spans="1:10" x14ac:dyDescent="0.25">
      <c r="A85" s="2" t="s">
        <v>1458</v>
      </c>
      <c r="B85" s="2" t="s">
        <v>135</v>
      </c>
      <c r="C85" s="2" t="s">
        <v>37</v>
      </c>
      <c r="D85" s="2" t="s">
        <v>115</v>
      </c>
      <c r="E85" s="117">
        <v>9</v>
      </c>
      <c r="F85" s="117">
        <v>278</v>
      </c>
      <c r="G85" s="117">
        <v>1</v>
      </c>
      <c r="H85" s="117">
        <v>1</v>
      </c>
      <c r="I85" s="117">
        <v>1</v>
      </c>
      <c r="J85" s="117">
        <v>2</v>
      </c>
    </row>
    <row r="86" spans="1:10" x14ac:dyDescent="0.25">
      <c r="A86" s="2" t="s">
        <v>1459</v>
      </c>
      <c r="B86" s="2" t="s">
        <v>162</v>
      </c>
      <c r="C86" s="2" t="s">
        <v>37</v>
      </c>
      <c r="D86" s="2" t="s">
        <v>115</v>
      </c>
      <c r="E86" s="117">
        <v>9</v>
      </c>
      <c r="F86" s="117">
        <v>3744</v>
      </c>
      <c r="G86" s="117">
        <v>184</v>
      </c>
      <c r="H86" s="117">
        <v>37</v>
      </c>
      <c r="I86" s="117">
        <v>184</v>
      </c>
      <c r="J86" s="117">
        <v>3</v>
      </c>
    </row>
    <row r="87" spans="1:10" x14ac:dyDescent="0.25">
      <c r="A87" s="2" t="s">
        <v>1460</v>
      </c>
      <c r="B87" s="2" t="s">
        <v>163</v>
      </c>
      <c r="C87" s="2" t="s">
        <v>37</v>
      </c>
      <c r="D87" s="2" t="s">
        <v>115</v>
      </c>
      <c r="E87" s="117">
        <v>9</v>
      </c>
      <c r="F87" s="117">
        <v>400</v>
      </c>
      <c r="G87" s="117">
        <v>24</v>
      </c>
      <c r="H87" s="117">
        <v>9</v>
      </c>
      <c r="I87" s="117">
        <v>23</v>
      </c>
      <c r="J87" s="117">
        <v>2</v>
      </c>
    </row>
    <row r="88" spans="1:10" x14ac:dyDescent="0.25">
      <c r="A88" s="2" t="s">
        <v>1461</v>
      </c>
      <c r="B88" s="2" t="s">
        <v>164</v>
      </c>
      <c r="C88" s="2" t="s">
        <v>37</v>
      </c>
      <c r="D88" s="2" t="s">
        <v>115</v>
      </c>
      <c r="E88" s="117">
        <v>9</v>
      </c>
      <c r="F88" s="117">
        <v>5185</v>
      </c>
      <c r="G88" s="117">
        <v>176</v>
      </c>
      <c r="H88" s="117">
        <v>21</v>
      </c>
      <c r="I88" s="117">
        <v>176</v>
      </c>
      <c r="J88" s="117">
        <v>5</v>
      </c>
    </row>
    <row r="89" spans="1:10" x14ac:dyDescent="0.25">
      <c r="A89" s="2" t="s">
        <v>1462</v>
      </c>
      <c r="B89" s="2" t="s">
        <v>165</v>
      </c>
      <c r="C89" s="2" t="s">
        <v>37</v>
      </c>
      <c r="D89" s="2" t="s">
        <v>115</v>
      </c>
      <c r="E89" s="117">
        <v>9</v>
      </c>
      <c r="F89" s="117">
        <v>240</v>
      </c>
      <c r="G89" s="117">
        <v>21</v>
      </c>
      <c r="H89" s="117">
        <v>1</v>
      </c>
      <c r="I89" s="117">
        <v>21</v>
      </c>
      <c r="J89" s="117">
        <v>2</v>
      </c>
    </row>
    <row r="90" spans="1:10" x14ac:dyDescent="0.25">
      <c r="A90" s="269"/>
      <c r="B90" s="269"/>
      <c r="C90" s="269" t="s">
        <v>37</v>
      </c>
      <c r="D90" s="269"/>
      <c r="E90" s="269"/>
      <c r="F90" s="270">
        <v>135566</v>
      </c>
      <c r="G90" s="270">
        <v>6647</v>
      </c>
      <c r="H90" s="270">
        <v>719</v>
      </c>
      <c r="I90" s="270">
        <v>6629</v>
      </c>
      <c r="J90" s="270">
        <v>7</v>
      </c>
    </row>
    <row r="91" spans="1:10" x14ac:dyDescent="0.25">
      <c r="A91" s="2" t="s">
        <v>1463</v>
      </c>
      <c r="B91" s="2" t="s">
        <v>38</v>
      </c>
      <c r="C91" s="2" t="s">
        <v>39</v>
      </c>
      <c r="D91" s="2" t="s">
        <v>5</v>
      </c>
      <c r="E91" s="117">
        <v>3</v>
      </c>
      <c r="F91" s="117">
        <v>543863</v>
      </c>
      <c r="G91" s="117">
        <v>13813</v>
      </c>
      <c r="H91" s="117">
        <v>168</v>
      </c>
      <c r="I91" s="117">
        <v>13652</v>
      </c>
      <c r="J91" s="117">
        <v>7</v>
      </c>
    </row>
    <row r="92" spans="1:10" x14ac:dyDescent="0.25">
      <c r="A92" s="2" t="s">
        <v>1464</v>
      </c>
      <c r="B92" s="2" t="s">
        <v>134</v>
      </c>
      <c r="C92" s="2" t="s">
        <v>39</v>
      </c>
      <c r="D92" s="2" t="s">
        <v>115</v>
      </c>
      <c r="E92" s="117">
        <v>3</v>
      </c>
      <c r="F92" s="117">
        <v>239</v>
      </c>
      <c r="G92" s="117">
        <v>13</v>
      </c>
      <c r="H92" s="117">
        <v>1</v>
      </c>
      <c r="I92" s="117">
        <v>12</v>
      </c>
      <c r="J92" s="117">
        <v>4</v>
      </c>
    </row>
    <row r="93" spans="1:10" x14ac:dyDescent="0.25">
      <c r="A93" s="2" t="s">
        <v>1465</v>
      </c>
      <c r="B93" s="2" t="s">
        <v>166</v>
      </c>
      <c r="C93" s="2" t="s">
        <v>39</v>
      </c>
      <c r="D93" s="2" t="s">
        <v>115</v>
      </c>
      <c r="E93" s="117">
        <v>3</v>
      </c>
      <c r="F93" s="117">
        <v>500</v>
      </c>
      <c r="G93" s="117">
        <v>18</v>
      </c>
      <c r="H93" s="117">
        <v>1</v>
      </c>
      <c r="I93" s="117">
        <v>18</v>
      </c>
      <c r="J93" s="117">
        <v>4</v>
      </c>
    </row>
    <row r="94" spans="1:10" x14ac:dyDescent="0.25">
      <c r="A94" s="2" t="s">
        <v>1466</v>
      </c>
      <c r="B94" s="2" t="s">
        <v>167</v>
      </c>
      <c r="C94" s="2" t="s">
        <v>39</v>
      </c>
      <c r="D94" s="2" t="s">
        <v>115</v>
      </c>
      <c r="E94" s="117">
        <v>3</v>
      </c>
      <c r="F94" s="117">
        <v>459</v>
      </c>
      <c r="G94" s="117">
        <v>34</v>
      </c>
      <c r="H94" s="117">
        <v>1</v>
      </c>
      <c r="I94" s="117">
        <v>34</v>
      </c>
      <c r="J94" s="117">
        <v>5</v>
      </c>
    </row>
    <row r="95" spans="1:10" x14ac:dyDescent="0.25">
      <c r="A95" s="2" t="s">
        <v>1467</v>
      </c>
      <c r="B95" s="2" t="s">
        <v>168</v>
      </c>
      <c r="C95" s="2" t="s">
        <v>39</v>
      </c>
      <c r="D95" s="2" t="s">
        <v>115</v>
      </c>
      <c r="E95" s="117">
        <v>3</v>
      </c>
      <c r="F95" s="117">
        <v>20875</v>
      </c>
      <c r="G95" s="117">
        <v>763</v>
      </c>
      <c r="H95" s="117">
        <v>4</v>
      </c>
      <c r="I95" s="117">
        <v>759</v>
      </c>
      <c r="J95" s="117">
        <v>6</v>
      </c>
    </row>
    <row r="96" spans="1:10" x14ac:dyDescent="0.25">
      <c r="A96" s="2" t="s">
        <v>1468</v>
      </c>
      <c r="B96" s="2" t="s">
        <v>169</v>
      </c>
      <c r="C96" s="2" t="s">
        <v>39</v>
      </c>
      <c r="D96" s="2" t="s">
        <v>115</v>
      </c>
      <c r="E96" s="117">
        <v>3</v>
      </c>
      <c r="F96" s="117">
        <v>411</v>
      </c>
      <c r="G96" s="117">
        <v>39</v>
      </c>
      <c r="H96" s="117">
        <v>2</v>
      </c>
      <c r="I96" s="117">
        <v>39</v>
      </c>
      <c r="J96" s="117">
        <v>4</v>
      </c>
    </row>
    <row r="97" spans="1:10" x14ac:dyDescent="0.25">
      <c r="A97" s="2" t="s">
        <v>1469</v>
      </c>
      <c r="B97" s="2" t="s">
        <v>170</v>
      </c>
      <c r="C97" s="2" t="s">
        <v>39</v>
      </c>
      <c r="D97" s="2" t="s">
        <v>115</v>
      </c>
      <c r="E97" s="117">
        <v>3</v>
      </c>
      <c r="F97" s="117">
        <v>974</v>
      </c>
      <c r="G97" s="117">
        <v>131</v>
      </c>
      <c r="H97" s="117">
        <v>1</v>
      </c>
      <c r="I97" s="117">
        <v>130</v>
      </c>
      <c r="J97" s="117">
        <v>6</v>
      </c>
    </row>
    <row r="98" spans="1:10" x14ac:dyDescent="0.25">
      <c r="A98" s="2" t="s">
        <v>1470</v>
      </c>
      <c r="B98" s="2" t="s">
        <v>171</v>
      </c>
      <c r="C98" s="2" t="s">
        <v>39</v>
      </c>
      <c r="D98" s="2" t="s">
        <v>115</v>
      </c>
      <c r="E98" s="117">
        <v>3</v>
      </c>
      <c r="F98" s="117">
        <v>1795</v>
      </c>
      <c r="G98" s="117">
        <v>291</v>
      </c>
      <c r="H98" s="117">
        <v>3</v>
      </c>
      <c r="I98" s="117">
        <v>291</v>
      </c>
      <c r="J98" s="117">
        <v>5</v>
      </c>
    </row>
    <row r="99" spans="1:10" x14ac:dyDescent="0.25">
      <c r="A99" s="2" t="s">
        <v>1471</v>
      </c>
      <c r="B99" s="2" t="s">
        <v>172</v>
      </c>
      <c r="C99" s="2" t="s">
        <v>39</v>
      </c>
      <c r="D99" s="2" t="s">
        <v>115</v>
      </c>
      <c r="E99" s="117">
        <v>3</v>
      </c>
      <c r="F99" s="117">
        <v>309</v>
      </c>
      <c r="G99" s="117">
        <v>35</v>
      </c>
      <c r="H99" s="117">
        <v>1</v>
      </c>
      <c r="I99" s="117">
        <v>34</v>
      </c>
      <c r="J99" s="117">
        <v>5</v>
      </c>
    </row>
    <row r="100" spans="1:10" x14ac:dyDescent="0.25">
      <c r="A100" s="2" t="s">
        <v>1472</v>
      </c>
      <c r="B100" s="2" t="s">
        <v>173</v>
      </c>
      <c r="C100" s="2" t="s">
        <v>39</v>
      </c>
      <c r="D100" s="2" t="s">
        <v>115</v>
      </c>
      <c r="E100" s="117">
        <v>3</v>
      </c>
      <c r="F100" s="117">
        <v>301</v>
      </c>
      <c r="G100" s="117">
        <v>22</v>
      </c>
      <c r="H100" s="117">
        <v>1</v>
      </c>
      <c r="I100" s="117">
        <v>22</v>
      </c>
      <c r="J100" s="117">
        <v>3</v>
      </c>
    </row>
    <row r="101" spans="1:10" x14ac:dyDescent="0.25">
      <c r="A101" s="2" t="s">
        <v>1473</v>
      </c>
      <c r="B101" s="2" t="s">
        <v>174</v>
      </c>
      <c r="C101" s="2" t="s">
        <v>39</v>
      </c>
      <c r="D101" s="2" t="s">
        <v>115</v>
      </c>
      <c r="E101" s="117">
        <v>3</v>
      </c>
      <c r="F101" s="117">
        <v>901</v>
      </c>
      <c r="G101" s="117">
        <v>18</v>
      </c>
      <c r="H101" s="117">
        <v>1</v>
      </c>
      <c r="I101" s="117">
        <v>18</v>
      </c>
      <c r="J101" s="117">
        <v>5</v>
      </c>
    </row>
    <row r="102" spans="1:10" x14ac:dyDescent="0.25">
      <c r="A102" s="2" t="s">
        <v>1474</v>
      </c>
      <c r="B102" s="2" t="s">
        <v>176</v>
      </c>
      <c r="C102" s="2" t="s">
        <v>39</v>
      </c>
      <c r="D102" s="2" t="s">
        <v>115</v>
      </c>
      <c r="E102" s="117">
        <v>3</v>
      </c>
      <c r="F102" s="117">
        <v>3090</v>
      </c>
      <c r="G102" s="117">
        <v>163</v>
      </c>
      <c r="H102" s="117">
        <v>7</v>
      </c>
      <c r="I102" s="117">
        <v>162</v>
      </c>
      <c r="J102" s="117">
        <v>5</v>
      </c>
    </row>
    <row r="103" spans="1:10" x14ac:dyDescent="0.25">
      <c r="A103" s="2" t="s">
        <v>1475</v>
      </c>
      <c r="B103" s="2" t="s">
        <v>177</v>
      </c>
      <c r="C103" s="2" t="s">
        <v>39</v>
      </c>
      <c r="D103" s="2" t="s">
        <v>115</v>
      </c>
      <c r="E103" s="117">
        <v>3</v>
      </c>
      <c r="F103" s="117">
        <v>187</v>
      </c>
      <c r="G103" s="117">
        <v>23</v>
      </c>
      <c r="H103" s="117">
        <v>2</v>
      </c>
      <c r="I103" s="117">
        <v>22</v>
      </c>
      <c r="J103" s="117">
        <v>5</v>
      </c>
    </row>
    <row r="104" spans="1:10" x14ac:dyDescent="0.25">
      <c r="A104" s="2" t="s">
        <v>1476</v>
      </c>
      <c r="B104" s="2" t="s">
        <v>178</v>
      </c>
      <c r="C104" s="2" t="s">
        <v>39</v>
      </c>
      <c r="D104" s="2" t="s">
        <v>115</v>
      </c>
      <c r="E104" s="117">
        <v>3</v>
      </c>
      <c r="F104" s="117">
        <v>2361</v>
      </c>
      <c r="G104" s="117">
        <v>146</v>
      </c>
      <c r="H104" s="117">
        <v>23</v>
      </c>
      <c r="I104" s="117">
        <v>145</v>
      </c>
      <c r="J104" s="117">
        <v>5</v>
      </c>
    </row>
    <row r="105" spans="1:10" x14ac:dyDescent="0.25">
      <c r="A105" s="2" t="s">
        <v>1477</v>
      </c>
      <c r="B105" s="2" t="s">
        <v>277</v>
      </c>
      <c r="C105" s="2" t="s">
        <v>39</v>
      </c>
      <c r="D105" s="2" t="s">
        <v>115</v>
      </c>
      <c r="E105" s="117">
        <v>3</v>
      </c>
      <c r="F105" s="117">
        <v>5617</v>
      </c>
      <c r="G105" s="117">
        <v>230</v>
      </c>
      <c r="H105" s="117">
        <v>6</v>
      </c>
      <c r="I105" s="117">
        <v>229</v>
      </c>
      <c r="J105" s="117">
        <v>5</v>
      </c>
    </row>
    <row r="106" spans="1:10" x14ac:dyDescent="0.25">
      <c r="A106" s="2" t="s">
        <v>1478</v>
      </c>
      <c r="B106" s="2" t="s">
        <v>320</v>
      </c>
      <c r="C106" s="2" t="s">
        <v>39</v>
      </c>
      <c r="D106" s="2" t="s">
        <v>115</v>
      </c>
      <c r="E106" s="117">
        <v>3</v>
      </c>
      <c r="F106" s="117">
        <v>622</v>
      </c>
      <c r="G106" s="117">
        <v>22</v>
      </c>
      <c r="H106" s="117">
        <v>1</v>
      </c>
      <c r="I106" s="117">
        <v>22</v>
      </c>
      <c r="J106" s="117">
        <v>5</v>
      </c>
    </row>
    <row r="107" spans="1:10" x14ac:dyDescent="0.25">
      <c r="A107" s="2" t="s">
        <v>1479</v>
      </c>
      <c r="B107" s="2" t="s">
        <v>138</v>
      </c>
      <c r="C107" s="2" t="s">
        <v>39</v>
      </c>
      <c r="D107" s="2" t="s">
        <v>115</v>
      </c>
      <c r="E107" s="117">
        <v>3</v>
      </c>
      <c r="F107" s="117">
        <v>5</v>
      </c>
      <c r="G107" s="117">
        <v>1</v>
      </c>
      <c r="H107" s="117">
        <v>0</v>
      </c>
      <c r="I107" s="117">
        <v>1</v>
      </c>
      <c r="J107" s="117">
        <v>3</v>
      </c>
    </row>
    <row r="108" spans="1:10" x14ac:dyDescent="0.25">
      <c r="A108" s="269"/>
      <c r="B108" s="269"/>
      <c r="C108" s="269" t="s">
        <v>39</v>
      </c>
      <c r="D108" s="269"/>
      <c r="E108" s="269"/>
      <c r="F108" s="270">
        <v>582509</v>
      </c>
      <c r="G108" s="270">
        <v>15762</v>
      </c>
      <c r="H108" s="270">
        <v>223</v>
      </c>
      <c r="I108" s="270">
        <v>15590</v>
      </c>
      <c r="J108" s="270">
        <v>7</v>
      </c>
    </row>
    <row r="109" spans="1:10" x14ac:dyDescent="0.25">
      <c r="A109" s="2" t="s">
        <v>1480</v>
      </c>
      <c r="B109" s="2" t="s">
        <v>40</v>
      </c>
      <c r="C109" s="2" t="s">
        <v>41</v>
      </c>
      <c r="D109" s="2" t="s">
        <v>5</v>
      </c>
      <c r="E109" s="117">
        <v>7</v>
      </c>
      <c r="F109" s="117">
        <v>247701</v>
      </c>
      <c r="G109" s="117">
        <v>6522</v>
      </c>
      <c r="H109" s="117">
        <v>299</v>
      </c>
      <c r="I109" s="117">
        <v>6494</v>
      </c>
      <c r="J109" s="117">
        <v>6</v>
      </c>
    </row>
    <row r="110" spans="1:10" x14ac:dyDescent="0.25">
      <c r="A110" s="2" t="s">
        <v>1481</v>
      </c>
      <c r="B110" s="2" t="s">
        <v>179</v>
      </c>
      <c r="C110" s="2" t="s">
        <v>41</v>
      </c>
      <c r="D110" s="2" t="s">
        <v>115</v>
      </c>
      <c r="E110" s="117">
        <v>7</v>
      </c>
      <c r="F110" s="117">
        <v>158</v>
      </c>
      <c r="G110" s="117">
        <v>46</v>
      </c>
      <c r="H110" s="117">
        <v>1</v>
      </c>
      <c r="I110" s="117">
        <v>46</v>
      </c>
      <c r="J110" s="117">
        <v>3</v>
      </c>
    </row>
    <row r="111" spans="1:10" x14ac:dyDescent="0.25">
      <c r="A111" s="2" t="s">
        <v>1482</v>
      </c>
      <c r="B111" s="2" t="s">
        <v>180</v>
      </c>
      <c r="C111" s="2" t="s">
        <v>41</v>
      </c>
      <c r="D111" s="2" t="s">
        <v>115</v>
      </c>
      <c r="E111" s="117">
        <v>7</v>
      </c>
      <c r="F111" s="117">
        <v>1275</v>
      </c>
      <c r="G111" s="117">
        <v>150</v>
      </c>
      <c r="H111" s="117">
        <v>1</v>
      </c>
      <c r="I111" s="117">
        <v>150</v>
      </c>
      <c r="J111" s="117">
        <v>3</v>
      </c>
    </row>
    <row r="112" spans="1:10" x14ac:dyDescent="0.25">
      <c r="A112" s="269"/>
      <c r="B112" s="269"/>
      <c r="C112" s="269" t="s">
        <v>41</v>
      </c>
      <c r="D112" s="269"/>
      <c r="E112" s="269"/>
      <c r="F112" s="270">
        <v>249134</v>
      </c>
      <c r="G112" s="270">
        <v>6718</v>
      </c>
      <c r="H112" s="270">
        <v>301</v>
      </c>
      <c r="I112" s="270">
        <v>6690</v>
      </c>
      <c r="J112" s="270">
        <v>6</v>
      </c>
    </row>
    <row r="113" spans="1:10" x14ac:dyDescent="0.25">
      <c r="A113" s="2" t="s">
        <v>1483</v>
      </c>
      <c r="B113" s="2" t="s">
        <v>42</v>
      </c>
      <c r="C113" s="2" t="s">
        <v>43</v>
      </c>
      <c r="D113" s="2" t="s">
        <v>5</v>
      </c>
      <c r="E113" s="117">
        <v>2</v>
      </c>
      <c r="F113" s="117">
        <v>280041</v>
      </c>
      <c r="G113" s="117">
        <v>8289</v>
      </c>
      <c r="H113" s="117">
        <v>62</v>
      </c>
      <c r="I113" s="117">
        <v>8225</v>
      </c>
      <c r="J113" s="117">
        <v>4</v>
      </c>
    </row>
    <row r="114" spans="1:10" x14ac:dyDescent="0.25">
      <c r="A114" s="2" t="s">
        <v>1484</v>
      </c>
      <c r="B114" s="2" t="s">
        <v>181</v>
      </c>
      <c r="C114" s="2" t="s">
        <v>43</v>
      </c>
      <c r="D114" s="2" t="s">
        <v>115</v>
      </c>
      <c r="E114" s="117">
        <v>2</v>
      </c>
      <c r="F114" s="117">
        <v>385</v>
      </c>
      <c r="G114" s="117">
        <v>44</v>
      </c>
      <c r="H114" s="117">
        <v>1</v>
      </c>
      <c r="I114" s="117">
        <v>43</v>
      </c>
      <c r="J114" s="117">
        <v>3</v>
      </c>
    </row>
    <row r="115" spans="1:10" x14ac:dyDescent="0.25">
      <c r="A115" s="2" t="s">
        <v>1485</v>
      </c>
      <c r="B115" s="2" t="s">
        <v>182</v>
      </c>
      <c r="C115" s="2" t="s">
        <v>43</v>
      </c>
      <c r="D115" s="2" t="s">
        <v>115</v>
      </c>
      <c r="E115" s="117">
        <v>2</v>
      </c>
      <c r="F115" s="117">
        <v>354</v>
      </c>
      <c r="G115" s="117">
        <v>52</v>
      </c>
      <c r="H115" s="117">
        <v>0</v>
      </c>
      <c r="I115" s="117">
        <v>52</v>
      </c>
      <c r="J115" s="117">
        <v>3</v>
      </c>
    </row>
    <row r="116" spans="1:10" x14ac:dyDescent="0.25">
      <c r="A116" s="269"/>
      <c r="B116" s="269"/>
      <c r="C116" s="269" t="s">
        <v>43</v>
      </c>
      <c r="D116" s="269"/>
      <c r="E116" s="269"/>
      <c r="F116" s="270">
        <v>280780</v>
      </c>
      <c r="G116" s="270">
        <v>8385</v>
      </c>
      <c r="H116" s="270">
        <v>63</v>
      </c>
      <c r="I116" s="270">
        <v>8320</v>
      </c>
      <c r="J116" s="270">
        <v>4</v>
      </c>
    </row>
    <row r="117" spans="1:10" x14ac:dyDescent="0.25">
      <c r="A117" s="2" t="s">
        <v>1486</v>
      </c>
      <c r="B117" s="2" t="s">
        <v>44</v>
      </c>
      <c r="C117" s="2" t="s">
        <v>45</v>
      </c>
      <c r="D117" s="2" t="s">
        <v>5</v>
      </c>
      <c r="E117" s="117">
        <v>6</v>
      </c>
      <c r="F117" s="117">
        <v>187538</v>
      </c>
      <c r="G117" s="117">
        <v>3723</v>
      </c>
      <c r="H117" s="117">
        <v>175</v>
      </c>
      <c r="I117" s="117">
        <v>3714</v>
      </c>
      <c r="J117" s="117">
        <v>7</v>
      </c>
    </row>
    <row r="118" spans="1:10" x14ac:dyDescent="0.25">
      <c r="A118" s="2" t="s">
        <v>1487</v>
      </c>
      <c r="B118" s="2" t="s">
        <v>187</v>
      </c>
      <c r="C118" s="2" t="s">
        <v>45</v>
      </c>
      <c r="D118" s="2" t="s">
        <v>115</v>
      </c>
      <c r="E118" s="117">
        <v>6</v>
      </c>
      <c r="F118" s="117">
        <v>454</v>
      </c>
      <c r="G118" s="117">
        <v>45</v>
      </c>
      <c r="H118" s="117">
        <v>3</v>
      </c>
      <c r="I118" s="117">
        <v>45</v>
      </c>
      <c r="J118" s="117">
        <v>3</v>
      </c>
    </row>
    <row r="119" spans="1:10" x14ac:dyDescent="0.25">
      <c r="A119" s="2" t="s">
        <v>1488</v>
      </c>
      <c r="B119" s="2" t="s">
        <v>188</v>
      </c>
      <c r="C119" s="2" t="s">
        <v>45</v>
      </c>
      <c r="D119" s="2" t="s">
        <v>115</v>
      </c>
      <c r="E119" s="117">
        <v>6</v>
      </c>
      <c r="F119" s="117">
        <v>5740</v>
      </c>
      <c r="G119" s="117">
        <v>76</v>
      </c>
      <c r="H119" s="117">
        <v>2</v>
      </c>
      <c r="I119" s="117">
        <v>65</v>
      </c>
      <c r="J119" s="117">
        <v>5</v>
      </c>
    </row>
    <row r="120" spans="1:10" x14ac:dyDescent="0.25">
      <c r="A120" s="2" t="s">
        <v>1489</v>
      </c>
      <c r="B120" s="2" t="s">
        <v>189</v>
      </c>
      <c r="C120" s="2" t="s">
        <v>45</v>
      </c>
      <c r="D120" s="2" t="s">
        <v>115</v>
      </c>
      <c r="E120" s="117">
        <v>6</v>
      </c>
      <c r="F120" s="117">
        <v>179</v>
      </c>
      <c r="G120" s="117">
        <v>20</v>
      </c>
      <c r="H120" s="117">
        <v>0</v>
      </c>
      <c r="I120" s="117">
        <v>20</v>
      </c>
      <c r="J120" s="117">
        <v>3</v>
      </c>
    </row>
    <row r="121" spans="1:10" x14ac:dyDescent="0.25">
      <c r="A121" s="2" t="s">
        <v>1490</v>
      </c>
      <c r="B121" s="2" t="s">
        <v>190</v>
      </c>
      <c r="C121" s="2" t="s">
        <v>45</v>
      </c>
      <c r="D121" s="2" t="s">
        <v>115</v>
      </c>
      <c r="E121" s="117">
        <v>6</v>
      </c>
      <c r="F121" s="117">
        <v>274</v>
      </c>
      <c r="G121" s="117">
        <v>46</v>
      </c>
      <c r="H121" s="117">
        <v>3</v>
      </c>
      <c r="I121" s="117">
        <v>46</v>
      </c>
      <c r="J121" s="117">
        <v>3</v>
      </c>
    </row>
    <row r="122" spans="1:10" x14ac:dyDescent="0.25">
      <c r="A122" s="2" t="s">
        <v>1491</v>
      </c>
      <c r="B122" s="2" t="s">
        <v>191</v>
      </c>
      <c r="C122" s="2" t="s">
        <v>45</v>
      </c>
      <c r="D122" s="2" t="s">
        <v>115</v>
      </c>
      <c r="E122" s="117">
        <v>6</v>
      </c>
      <c r="F122" s="117">
        <v>347</v>
      </c>
      <c r="G122" s="117">
        <v>48</v>
      </c>
      <c r="H122" s="117">
        <v>3</v>
      </c>
      <c r="I122" s="117">
        <v>48</v>
      </c>
      <c r="J122" s="117">
        <v>4</v>
      </c>
    </row>
    <row r="123" spans="1:10" x14ac:dyDescent="0.25">
      <c r="A123" s="2" t="s">
        <v>1492</v>
      </c>
      <c r="B123" s="2" t="s">
        <v>192</v>
      </c>
      <c r="C123" s="2" t="s">
        <v>45</v>
      </c>
      <c r="D123" s="2" t="s">
        <v>115</v>
      </c>
      <c r="E123" s="117">
        <v>6</v>
      </c>
      <c r="F123" s="117">
        <v>729</v>
      </c>
      <c r="G123" s="117">
        <v>90</v>
      </c>
      <c r="H123" s="117">
        <v>2</v>
      </c>
      <c r="I123" s="117">
        <v>90</v>
      </c>
      <c r="J123" s="117">
        <v>2</v>
      </c>
    </row>
    <row r="124" spans="1:10" x14ac:dyDescent="0.25">
      <c r="A124" s="2" t="s">
        <v>1493</v>
      </c>
      <c r="B124" s="2" t="s">
        <v>193</v>
      </c>
      <c r="C124" s="2" t="s">
        <v>45</v>
      </c>
      <c r="D124" s="2" t="s">
        <v>115</v>
      </c>
      <c r="E124" s="117">
        <v>6</v>
      </c>
      <c r="F124" s="117">
        <v>341</v>
      </c>
      <c r="G124" s="117">
        <v>47</v>
      </c>
      <c r="H124" s="117">
        <v>4</v>
      </c>
      <c r="I124" s="117">
        <v>47</v>
      </c>
      <c r="J124" s="117">
        <v>3</v>
      </c>
    </row>
    <row r="125" spans="1:10" x14ac:dyDescent="0.25">
      <c r="A125" s="2" t="s">
        <v>1494</v>
      </c>
      <c r="B125" s="2" t="s">
        <v>194</v>
      </c>
      <c r="C125" s="2" t="s">
        <v>45</v>
      </c>
      <c r="D125" s="2" t="s">
        <v>115</v>
      </c>
      <c r="E125" s="117">
        <v>6</v>
      </c>
      <c r="F125" s="117">
        <v>381</v>
      </c>
      <c r="G125" s="117">
        <v>25</v>
      </c>
      <c r="H125" s="117">
        <v>3</v>
      </c>
      <c r="I125" s="117">
        <v>24</v>
      </c>
      <c r="J125" s="117">
        <v>3</v>
      </c>
    </row>
    <row r="126" spans="1:10" x14ac:dyDescent="0.25">
      <c r="A126" s="2" t="s">
        <v>1495</v>
      </c>
      <c r="B126" s="2" t="s">
        <v>195</v>
      </c>
      <c r="C126" s="2" t="s">
        <v>45</v>
      </c>
      <c r="D126" s="2" t="s">
        <v>115</v>
      </c>
      <c r="E126" s="117">
        <v>6</v>
      </c>
      <c r="F126" s="117">
        <v>383</v>
      </c>
      <c r="G126" s="117">
        <v>34</v>
      </c>
      <c r="H126" s="117">
        <v>3</v>
      </c>
      <c r="I126" s="117">
        <v>34</v>
      </c>
      <c r="J126" s="117">
        <v>3</v>
      </c>
    </row>
    <row r="127" spans="1:10" x14ac:dyDescent="0.25">
      <c r="A127" s="2" t="s">
        <v>1496</v>
      </c>
      <c r="B127" s="2" t="s">
        <v>329</v>
      </c>
      <c r="C127" s="2" t="s">
        <v>45</v>
      </c>
      <c r="D127" s="2" t="s">
        <v>115</v>
      </c>
      <c r="E127" s="117">
        <v>6</v>
      </c>
      <c r="F127" s="117">
        <v>2179</v>
      </c>
      <c r="G127" s="117">
        <v>47</v>
      </c>
      <c r="H127" s="117">
        <v>5</v>
      </c>
      <c r="I127" s="117">
        <v>47</v>
      </c>
      <c r="J127" s="117">
        <v>4</v>
      </c>
    </row>
    <row r="128" spans="1:10" x14ac:dyDescent="0.25">
      <c r="A128" s="2" t="s">
        <v>1497</v>
      </c>
      <c r="B128" s="2" t="s">
        <v>337</v>
      </c>
      <c r="C128" s="2" t="s">
        <v>45</v>
      </c>
      <c r="D128" s="2" t="s">
        <v>115</v>
      </c>
      <c r="E128" s="117">
        <v>6</v>
      </c>
      <c r="F128" s="117">
        <v>674</v>
      </c>
      <c r="G128" s="117">
        <v>12</v>
      </c>
      <c r="H128" s="117">
        <v>1</v>
      </c>
      <c r="I128" s="117">
        <v>12</v>
      </c>
      <c r="J128" s="117">
        <v>3</v>
      </c>
    </row>
    <row r="129" spans="1:10" x14ac:dyDescent="0.25">
      <c r="A129" s="269"/>
      <c r="B129" s="269"/>
      <c r="C129" s="269" t="s">
        <v>45</v>
      </c>
      <c r="D129" s="269"/>
      <c r="E129" s="269"/>
      <c r="F129" s="270">
        <v>199219</v>
      </c>
      <c r="G129" s="270">
        <v>4213</v>
      </c>
      <c r="H129" s="270">
        <v>204</v>
      </c>
      <c r="I129" s="270">
        <v>4192</v>
      </c>
      <c r="J129" s="270">
        <v>7</v>
      </c>
    </row>
    <row r="130" spans="1:10" x14ac:dyDescent="0.25">
      <c r="A130" s="2" t="s">
        <v>1498</v>
      </c>
      <c r="B130" s="2" t="s">
        <v>46</v>
      </c>
      <c r="C130" s="2" t="s">
        <v>47</v>
      </c>
      <c r="D130" s="2" t="s">
        <v>5</v>
      </c>
      <c r="E130" s="117">
        <v>10</v>
      </c>
      <c r="F130" s="117">
        <v>194254</v>
      </c>
      <c r="G130" s="117">
        <v>4299</v>
      </c>
      <c r="H130" s="117">
        <v>451</v>
      </c>
      <c r="I130" s="117">
        <v>4281</v>
      </c>
      <c r="J130" s="117">
        <v>8</v>
      </c>
    </row>
    <row r="131" spans="1:10" x14ac:dyDescent="0.25">
      <c r="A131" s="2" t="s">
        <v>1499</v>
      </c>
      <c r="B131" s="2" t="s">
        <v>196</v>
      </c>
      <c r="C131" s="2" t="s">
        <v>47</v>
      </c>
      <c r="D131" s="2" t="s">
        <v>115</v>
      </c>
      <c r="E131" s="117">
        <v>10</v>
      </c>
      <c r="F131" s="117">
        <v>1137</v>
      </c>
      <c r="G131" s="117">
        <v>189</v>
      </c>
      <c r="H131" s="117">
        <v>6</v>
      </c>
      <c r="I131" s="117">
        <v>188</v>
      </c>
      <c r="J131" s="117">
        <v>3</v>
      </c>
    </row>
    <row r="132" spans="1:10" x14ac:dyDescent="0.25">
      <c r="A132" s="2" t="s">
        <v>1500</v>
      </c>
      <c r="B132" s="2" t="s">
        <v>197</v>
      </c>
      <c r="C132" s="2" t="s">
        <v>47</v>
      </c>
      <c r="D132" s="2" t="s">
        <v>115</v>
      </c>
      <c r="E132" s="117">
        <v>10</v>
      </c>
      <c r="F132" s="117">
        <v>742</v>
      </c>
      <c r="G132" s="117">
        <v>108</v>
      </c>
      <c r="H132" s="117">
        <v>3</v>
      </c>
      <c r="I132" s="117">
        <v>108</v>
      </c>
      <c r="J132" s="117">
        <v>2</v>
      </c>
    </row>
    <row r="133" spans="1:10" x14ac:dyDescent="0.25">
      <c r="A133" s="2" t="s">
        <v>1501</v>
      </c>
      <c r="B133" s="2" t="s">
        <v>198</v>
      </c>
      <c r="C133" s="2" t="s">
        <v>47</v>
      </c>
      <c r="D133" s="2" t="s">
        <v>115</v>
      </c>
      <c r="E133" s="117">
        <v>10</v>
      </c>
      <c r="F133" s="117">
        <v>517</v>
      </c>
      <c r="G133" s="117">
        <v>106</v>
      </c>
      <c r="H133" s="117">
        <v>13</v>
      </c>
      <c r="I133" s="117">
        <v>106</v>
      </c>
      <c r="J133" s="117">
        <v>2</v>
      </c>
    </row>
    <row r="134" spans="1:10" x14ac:dyDescent="0.25">
      <c r="A134" s="2" t="s">
        <v>1502</v>
      </c>
      <c r="B134" s="2" t="s">
        <v>199</v>
      </c>
      <c r="C134" s="2" t="s">
        <v>47</v>
      </c>
      <c r="D134" s="2" t="s">
        <v>115</v>
      </c>
      <c r="E134" s="117">
        <v>10</v>
      </c>
      <c r="F134" s="117">
        <v>2124</v>
      </c>
      <c r="G134" s="117">
        <v>527</v>
      </c>
      <c r="H134" s="117">
        <v>96</v>
      </c>
      <c r="I134" s="117">
        <v>527</v>
      </c>
      <c r="J134" s="117">
        <v>4</v>
      </c>
    </row>
    <row r="135" spans="1:10" x14ac:dyDescent="0.25">
      <c r="A135" s="2" t="s">
        <v>1503</v>
      </c>
      <c r="B135" s="2" t="s">
        <v>326</v>
      </c>
      <c r="C135" s="2" t="s">
        <v>47</v>
      </c>
      <c r="D135" s="2" t="s">
        <v>115</v>
      </c>
      <c r="E135" s="117">
        <v>10</v>
      </c>
      <c r="F135" s="117">
        <v>557</v>
      </c>
      <c r="G135" s="117">
        <v>26</v>
      </c>
      <c r="H135" s="117">
        <v>0</v>
      </c>
      <c r="I135" s="117">
        <v>26</v>
      </c>
      <c r="J135" s="117">
        <v>2</v>
      </c>
    </row>
    <row r="136" spans="1:10" x14ac:dyDescent="0.25">
      <c r="A136" s="2" t="s">
        <v>1504</v>
      </c>
      <c r="B136" s="2" t="s">
        <v>229</v>
      </c>
      <c r="C136" s="2" t="s">
        <v>47</v>
      </c>
      <c r="D136" s="2" t="s">
        <v>115</v>
      </c>
      <c r="E136" s="117">
        <v>10</v>
      </c>
      <c r="F136" s="117">
        <v>132</v>
      </c>
      <c r="G136" s="117">
        <v>3</v>
      </c>
      <c r="H136" s="117">
        <v>1</v>
      </c>
      <c r="I136" s="117">
        <v>3</v>
      </c>
      <c r="J136" s="117">
        <v>2</v>
      </c>
    </row>
    <row r="137" spans="1:10" x14ac:dyDescent="0.25">
      <c r="A137" s="269"/>
      <c r="B137" s="269"/>
      <c r="C137" s="269" t="s">
        <v>47</v>
      </c>
      <c r="D137" s="269"/>
      <c r="E137" s="269"/>
      <c r="F137" s="270">
        <v>199463</v>
      </c>
      <c r="G137" s="270">
        <v>5258</v>
      </c>
      <c r="H137" s="270">
        <v>570</v>
      </c>
      <c r="I137" s="270">
        <v>5239</v>
      </c>
      <c r="J137" s="270">
        <v>8</v>
      </c>
    </row>
    <row r="138" spans="1:10" x14ac:dyDescent="0.25">
      <c r="A138" s="2" t="s">
        <v>1505</v>
      </c>
      <c r="B138" s="2" t="s">
        <v>48</v>
      </c>
      <c r="C138" s="2" t="s">
        <v>49</v>
      </c>
      <c r="D138" s="2" t="s">
        <v>5</v>
      </c>
      <c r="E138" s="117">
        <v>2</v>
      </c>
      <c r="F138" s="117">
        <v>280220</v>
      </c>
      <c r="G138" s="117">
        <v>19731</v>
      </c>
      <c r="H138" s="117">
        <v>825</v>
      </c>
      <c r="I138" s="117">
        <v>19704</v>
      </c>
      <c r="J138" s="117">
        <v>6</v>
      </c>
    </row>
    <row r="139" spans="1:10" x14ac:dyDescent="0.25">
      <c r="A139" s="2" t="s">
        <v>1506</v>
      </c>
      <c r="B139" s="2" t="s">
        <v>200</v>
      </c>
      <c r="C139" s="2" t="s">
        <v>49</v>
      </c>
      <c r="D139" s="2" t="s">
        <v>115</v>
      </c>
      <c r="E139" s="117">
        <v>2</v>
      </c>
      <c r="F139" s="117">
        <v>240</v>
      </c>
      <c r="G139" s="117">
        <v>31</v>
      </c>
      <c r="H139" s="117">
        <v>2</v>
      </c>
      <c r="I139" s="117">
        <v>30</v>
      </c>
      <c r="J139" s="117">
        <v>4</v>
      </c>
    </row>
    <row r="140" spans="1:10" x14ac:dyDescent="0.25">
      <c r="A140" s="2" t="s">
        <v>1507</v>
      </c>
      <c r="B140" s="2" t="s">
        <v>293</v>
      </c>
      <c r="C140" s="2" t="s">
        <v>49</v>
      </c>
      <c r="D140" s="2" t="s">
        <v>115</v>
      </c>
      <c r="E140" s="117">
        <v>2</v>
      </c>
      <c r="F140" s="117">
        <v>793</v>
      </c>
      <c r="G140" s="117">
        <v>249</v>
      </c>
      <c r="H140" s="117">
        <v>22</v>
      </c>
      <c r="I140" s="117">
        <v>248</v>
      </c>
      <c r="J140" s="117">
        <v>4</v>
      </c>
    </row>
    <row r="141" spans="1:10" x14ac:dyDescent="0.25">
      <c r="A141" s="2" t="s">
        <v>1508</v>
      </c>
      <c r="B141" s="2" t="s">
        <v>294</v>
      </c>
      <c r="C141" s="2" t="s">
        <v>49</v>
      </c>
      <c r="D141" s="2" t="s">
        <v>115</v>
      </c>
      <c r="E141" s="117">
        <v>2</v>
      </c>
      <c r="F141" s="117">
        <v>374</v>
      </c>
      <c r="G141" s="117">
        <v>76</v>
      </c>
      <c r="H141" s="117">
        <v>2</v>
      </c>
      <c r="I141" s="117">
        <v>76</v>
      </c>
      <c r="J141" s="117">
        <v>4</v>
      </c>
    </row>
    <row r="142" spans="1:10" x14ac:dyDescent="0.25">
      <c r="A142" s="2" t="s">
        <v>1509</v>
      </c>
      <c r="B142" s="2" t="s">
        <v>295</v>
      </c>
      <c r="C142" s="2" t="s">
        <v>49</v>
      </c>
      <c r="D142" s="2" t="s">
        <v>115</v>
      </c>
      <c r="E142" s="117">
        <v>2</v>
      </c>
      <c r="F142" s="117">
        <v>833</v>
      </c>
      <c r="G142" s="117">
        <v>186</v>
      </c>
      <c r="H142" s="117">
        <v>10</v>
      </c>
      <c r="I142" s="117">
        <v>186</v>
      </c>
      <c r="J142" s="117">
        <v>5</v>
      </c>
    </row>
    <row r="143" spans="1:10" x14ac:dyDescent="0.25">
      <c r="A143" s="2" t="s">
        <v>1510</v>
      </c>
      <c r="B143" s="2" t="s">
        <v>296</v>
      </c>
      <c r="C143" s="2" t="s">
        <v>49</v>
      </c>
      <c r="D143" s="2" t="s">
        <v>115</v>
      </c>
      <c r="E143" s="117">
        <v>2</v>
      </c>
      <c r="F143" s="117">
        <v>1977</v>
      </c>
      <c r="G143" s="117">
        <v>573</v>
      </c>
      <c r="H143" s="117">
        <v>268</v>
      </c>
      <c r="I143" s="117">
        <v>573</v>
      </c>
      <c r="J143" s="117">
        <v>5</v>
      </c>
    </row>
    <row r="144" spans="1:10" x14ac:dyDescent="0.25">
      <c r="A144" s="2" t="s">
        <v>1511</v>
      </c>
      <c r="B144" s="2" t="s">
        <v>297</v>
      </c>
      <c r="C144" s="2" t="s">
        <v>49</v>
      </c>
      <c r="D144" s="2" t="s">
        <v>115</v>
      </c>
      <c r="E144" s="117">
        <v>2</v>
      </c>
      <c r="F144" s="117">
        <v>298</v>
      </c>
      <c r="G144" s="117">
        <v>121</v>
      </c>
      <c r="H144" s="117">
        <v>1</v>
      </c>
      <c r="I144" s="117">
        <v>120</v>
      </c>
      <c r="J144" s="117">
        <v>4</v>
      </c>
    </row>
    <row r="145" spans="1:10" x14ac:dyDescent="0.25">
      <c r="A145" s="269"/>
      <c r="B145" s="269"/>
      <c r="C145" s="269" t="s">
        <v>49</v>
      </c>
      <c r="D145" s="269"/>
      <c r="E145" s="269"/>
      <c r="F145" s="270">
        <v>284735</v>
      </c>
      <c r="G145" s="270">
        <v>20967</v>
      </c>
      <c r="H145" s="270">
        <v>1130</v>
      </c>
      <c r="I145" s="270">
        <v>20937</v>
      </c>
      <c r="J145" s="270">
        <v>6</v>
      </c>
    </row>
    <row r="146" spans="1:10" x14ac:dyDescent="0.25">
      <c r="A146" s="2" t="s">
        <v>1512</v>
      </c>
      <c r="B146" s="2" t="s">
        <v>50</v>
      </c>
      <c r="C146" s="2" t="s">
        <v>51</v>
      </c>
      <c r="D146" s="2" t="s">
        <v>5</v>
      </c>
      <c r="E146" s="117">
        <v>1</v>
      </c>
      <c r="F146" s="117">
        <v>333847</v>
      </c>
      <c r="G146" s="117">
        <v>1930</v>
      </c>
      <c r="H146" s="117">
        <v>33</v>
      </c>
      <c r="I146" s="117">
        <v>1921</v>
      </c>
      <c r="J146" s="117">
        <v>5</v>
      </c>
    </row>
    <row r="147" spans="1:10" x14ac:dyDescent="0.25">
      <c r="A147" s="2" t="s">
        <v>1513</v>
      </c>
      <c r="B147" s="2" t="s">
        <v>201</v>
      </c>
      <c r="C147" s="2" t="s">
        <v>51</v>
      </c>
      <c r="D147" s="2" t="s">
        <v>115</v>
      </c>
      <c r="E147" s="117">
        <v>1</v>
      </c>
      <c r="F147" s="117">
        <v>368</v>
      </c>
      <c r="G147" s="117">
        <v>15</v>
      </c>
      <c r="H147" s="117">
        <v>1</v>
      </c>
      <c r="I147" s="117">
        <v>15</v>
      </c>
      <c r="J147" s="117">
        <v>3</v>
      </c>
    </row>
    <row r="148" spans="1:10" x14ac:dyDescent="0.25">
      <c r="A148" s="2" t="s">
        <v>1514</v>
      </c>
      <c r="B148" s="2" t="s">
        <v>202</v>
      </c>
      <c r="C148" s="2" t="s">
        <v>51</v>
      </c>
      <c r="D148" s="2" t="s">
        <v>115</v>
      </c>
      <c r="E148" s="117">
        <v>1</v>
      </c>
      <c r="F148" s="117">
        <v>828</v>
      </c>
      <c r="G148" s="117">
        <v>38</v>
      </c>
      <c r="H148" s="117">
        <v>0</v>
      </c>
      <c r="I148" s="117">
        <v>38</v>
      </c>
      <c r="J148" s="117">
        <v>4</v>
      </c>
    </row>
    <row r="149" spans="1:10" x14ac:dyDescent="0.25">
      <c r="A149" s="2" t="s">
        <v>1515</v>
      </c>
      <c r="B149" s="2" t="s">
        <v>203</v>
      </c>
      <c r="C149" s="2" t="s">
        <v>51</v>
      </c>
      <c r="D149" s="2" t="s">
        <v>115</v>
      </c>
      <c r="E149" s="117">
        <v>1</v>
      </c>
      <c r="F149" s="117">
        <v>559</v>
      </c>
      <c r="G149" s="117">
        <v>118</v>
      </c>
      <c r="H149" s="117">
        <v>0</v>
      </c>
      <c r="I149" s="117">
        <v>118</v>
      </c>
      <c r="J149" s="117">
        <v>4</v>
      </c>
    </row>
    <row r="150" spans="1:10" x14ac:dyDescent="0.25">
      <c r="A150" s="2" t="s">
        <v>1516</v>
      </c>
      <c r="B150" s="2" t="s">
        <v>204</v>
      </c>
      <c r="C150" s="2" t="s">
        <v>51</v>
      </c>
      <c r="D150" s="2" t="s">
        <v>115</v>
      </c>
      <c r="E150" s="117">
        <v>1</v>
      </c>
      <c r="F150" s="117">
        <v>535</v>
      </c>
      <c r="G150" s="117">
        <v>25</v>
      </c>
      <c r="H150" s="117">
        <v>2</v>
      </c>
      <c r="I150" s="117">
        <v>25</v>
      </c>
      <c r="J150" s="117">
        <v>4</v>
      </c>
    </row>
    <row r="151" spans="1:10" x14ac:dyDescent="0.25">
      <c r="A151" s="2" t="s">
        <v>1517</v>
      </c>
      <c r="B151" s="2" t="s">
        <v>205</v>
      </c>
      <c r="C151" s="2" t="s">
        <v>51</v>
      </c>
      <c r="D151" s="2" t="s">
        <v>115</v>
      </c>
      <c r="E151" s="117">
        <v>1</v>
      </c>
      <c r="F151" s="117">
        <v>208</v>
      </c>
      <c r="G151" s="117">
        <v>17</v>
      </c>
      <c r="H151" s="117">
        <v>0</v>
      </c>
      <c r="I151" s="117">
        <v>17</v>
      </c>
      <c r="J151" s="117">
        <v>3</v>
      </c>
    </row>
    <row r="152" spans="1:10" x14ac:dyDescent="0.25">
      <c r="A152" s="2" t="s">
        <v>1518</v>
      </c>
      <c r="B152" s="2" t="s">
        <v>206</v>
      </c>
      <c r="C152" s="2" t="s">
        <v>51</v>
      </c>
      <c r="D152" s="2" t="s">
        <v>115</v>
      </c>
      <c r="E152" s="117">
        <v>1</v>
      </c>
      <c r="F152" s="117">
        <v>162</v>
      </c>
      <c r="G152" s="117">
        <v>18</v>
      </c>
      <c r="H152" s="117">
        <v>0</v>
      </c>
      <c r="I152" s="117">
        <v>18</v>
      </c>
      <c r="J152" s="117">
        <v>3</v>
      </c>
    </row>
    <row r="153" spans="1:10" x14ac:dyDescent="0.25">
      <c r="A153" s="2" t="s">
        <v>1519</v>
      </c>
      <c r="B153" s="2" t="s">
        <v>207</v>
      </c>
      <c r="C153" s="2" t="s">
        <v>51</v>
      </c>
      <c r="D153" s="2" t="s">
        <v>115</v>
      </c>
      <c r="E153" s="117">
        <v>1</v>
      </c>
      <c r="F153" s="117">
        <v>617</v>
      </c>
      <c r="G153" s="117">
        <v>46</v>
      </c>
      <c r="H153" s="117">
        <v>0</v>
      </c>
      <c r="I153" s="117">
        <v>45</v>
      </c>
      <c r="J153" s="117">
        <v>3</v>
      </c>
    </row>
    <row r="154" spans="1:10" x14ac:dyDescent="0.25">
      <c r="A154" s="2" t="s">
        <v>1520</v>
      </c>
      <c r="B154" s="2" t="s">
        <v>208</v>
      </c>
      <c r="C154" s="2" t="s">
        <v>51</v>
      </c>
      <c r="D154" s="2" t="s">
        <v>115</v>
      </c>
      <c r="E154" s="117">
        <v>1</v>
      </c>
      <c r="F154" s="117">
        <v>589</v>
      </c>
      <c r="G154" s="117">
        <v>30</v>
      </c>
      <c r="H154" s="117">
        <v>0</v>
      </c>
      <c r="I154" s="117">
        <v>30</v>
      </c>
      <c r="J154" s="117">
        <v>4</v>
      </c>
    </row>
    <row r="155" spans="1:10" x14ac:dyDescent="0.25">
      <c r="A155" s="2" t="s">
        <v>1521</v>
      </c>
      <c r="B155" s="2" t="s">
        <v>209</v>
      </c>
      <c r="C155" s="2" t="s">
        <v>51</v>
      </c>
      <c r="D155" s="2" t="s">
        <v>115</v>
      </c>
      <c r="E155" s="117">
        <v>1</v>
      </c>
      <c r="F155" s="117">
        <v>3878</v>
      </c>
      <c r="G155" s="117">
        <v>107</v>
      </c>
      <c r="H155" s="117">
        <v>0</v>
      </c>
      <c r="I155" s="117">
        <v>107</v>
      </c>
      <c r="J155" s="117">
        <v>4</v>
      </c>
    </row>
    <row r="156" spans="1:10" x14ac:dyDescent="0.25">
      <c r="A156" s="2" t="s">
        <v>1522</v>
      </c>
      <c r="B156" s="2" t="s">
        <v>328</v>
      </c>
      <c r="C156" s="2" t="s">
        <v>51</v>
      </c>
      <c r="D156" s="2" t="s">
        <v>115</v>
      </c>
      <c r="E156" s="117">
        <v>1</v>
      </c>
      <c r="F156" s="117">
        <v>512</v>
      </c>
      <c r="G156" s="117">
        <v>8</v>
      </c>
      <c r="H156" s="117">
        <v>1</v>
      </c>
      <c r="I156" s="117">
        <v>8</v>
      </c>
      <c r="J156" s="117">
        <v>4</v>
      </c>
    </row>
    <row r="157" spans="1:10" x14ac:dyDescent="0.25">
      <c r="A157" s="269"/>
      <c r="B157" s="269"/>
      <c r="C157" s="269" t="s">
        <v>51</v>
      </c>
      <c r="D157" s="269"/>
      <c r="E157" s="269"/>
      <c r="F157" s="270">
        <v>342103</v>
      </c>
      <c r="G157" s="270">
        <v>2352</v>
      </c>
      <c r="H157" s="270">
        <v>37</v>
      </c>
      <c r="I157" s="270">
        <v>2342</v>
      </c>
      <c r="J157" s="270">
        <v>5</v>
      </c>
    </row>
    <row r="158" spans="1:10" x14ac:dyDescent="0.25">
      <c r="A158" s="2" t="s">
        <v>1523</v>
      </c>
      <c r="B158" s="2" t="s">
        <v>52</v>
      </c>
      <c r="C158" s="2" t="s">
        <v>53</v>
      </c>
      <c r="D158" s="2" t="s">
        <v>5</v>
      </c>
      <c r="E158" s="117">
        <v>1</v>
      </c>
      <c r="F158" s="117">
        <v>260256</v>
      </c>
      <c r="G158" s="117">
        <v>5634</v>
      </c>
      <c r="H158" s="117">
        <v>204</v>
      </c>
      <c r="I158" s="117">
        <v>5602</v>
      </c>
      <c r="J158" s="117">
        <v>7</v>
      </c>
    </row>
    <row r="159" spans="1:10" x14ac:dyDescent="0.25">
      <c r="A159" s="2" t="s">
        <v>1524</v>
      </c>
      <c r="B159" s="2" t="s">
        <v>210</v>
      </c>
      <c r="C159" s="2" t="s">
        <v>53</v>
      </c>
      <c r="D159" s="2" t="s">
        <v>115</v>
      </c>
      <c r="E159" s="117">
        <v>1</v>
      </c>
      <c r="F159" s="117">
        <v>374</v>
      </c>
      <c r="G159" s="117">
        <v>14</v>
      </c>
      <c r="H159" s="117">
        <v>1</v>
      </c>
      <c r="I159" s="117">
        <v>14</v>
      </c>
      <c r="J159" s="117">
        <v>2</v>
      </c>
    </row>
    <row r="160" spans="1:10" x14ac:dyDescent="0.25">
      <c r="A160" s="2" t="s">
        <v>1525</v>
      </c>
      <c r="B160" s="2" t="s">
        <v>211</v>
      </c>
      <c r="C160" s="2" t="s">
        <v>53</v>
      </c>
      <c r="D160" s="2" t="s">
        <v>115</v>
      </c>
      <c r="E160" s="117">
        <v>1</v>
      </c>
      <c r="F160" s="117">
        <v>169</v>
      </c>
      <c r="G160" s="117">
        <v>24</v>
      </c>
      <c r="H160" s="117">
        <v>0</v>
      </c>
      <c r="I160" s="117">
        <v>24</v>
      </c>
      <c r="J160" s="117">
        <v>2</v>
      </c>
    </row>
    <row r="161" spans="1:10" x14ac:dyDescent="0.25">
      <c r="A161" s="2" t="s">
        <v>1526</v>
      </c>
      <c r="B161" s="2" t="s">
        <v>212</v>
      </c>
      <c r="C161" s="2" t="s">
        <v>53</v>
      </c>
      <c r="D161" s="2" t="s">
        <v>115</v>
      </c>
      <c r="E161" s="117">
        <v>1</v>
      </c>
      <c r="F161" s="117">
        <v>269</v>
      </c>
      <c r="G161" s="117">
        <v>19</v>
      </c>
      <c r="H161" s="117">
        <v>0</v>
      </c>
      <c r="I161" s="117">
        <v>19</v>
      </c>
      <c r="J161" s="117">
        <v>2</v>
      </c>
    </row>
    <row r="162" spans="1:10" x14ac:dyDescent="0.25">
      <c r="A162" s="2" t="s">
        <v>1527</v>
      </c>
      <c r="B162" s="2" t="s">
        <v>213</v>
      </c>
      <c r="C162" s="2" t="s">
        <v>53</v>
      </c>
      <c r="D162" s="2" t="s">
        <v>115</v>
      </c>
      <c r="E162" s="117">
        <v>1</v>
      </c>
      <c r="F162" s="117">
        <v>1953</v>
      </c>
      <c r="G162" s="117">
        <v>290</v>
      </c>
      <c r="H162" s="117">
        <v>5</v>
      </c>
      <c r="I162" s="117">
        <v>289</v>
      </c>
      <c r="J162" s="117">
        <v>2</v>
      </c>
    </row>
    <row r="163" spans="1:10" x14ac:dyDescent="0.25">
      <c r="A163" s="2" t="s">
        <v>1528</v>
      </c>
      <c r="B163" s="2" t="s">
        <v>244</v>
      </c>
      <c r="C163" s="2" t="s">
        <v>53</v>
      </c>
      <c r="D163" s="2" t="s">
        <v>115</v>
      </c>
      <c r="E163" s="117">
        <v>1</v>
      </c>
      <c r="F163" s="117">
        <v>252</v>
      </c>
      <c r="G163" s="117">
        <v>0</v>
      </c>
      <c r="H163" s="117">
        <v>0</v>
      </c>
      <c r="I163" s="117">
        <v>0</v>
      </c>
      <c r="J163" s="117">
        <v>0</v>
      </c>
    </row>
    <row r="164" spans="1:10" x14ac:dyDescent="0.25">
      <c r="A164" s="2" t="s">
        <v>1529</v>
      </c>
      <c r="B164" s="2" t="s">
        <v>324</v>
      </c>
      <c r="C164" s="2" t="s">
        <v>53</v>
      </c>
      <c r="D164" s="2" t="s">
        <v>115</v>
      </c>
      <c r="E164" s="117">
        <v>1</v>
      </c>
      <c r="F164" s="117">
        <v>5771</v>
      </c>
      <c r="G164" s="117">
        <v>8</v>
      </c>
      <c r="H164" s="117">
        <v>0</v>
      </c>
      <c r="I164" s="117">
        <v>8</v>
      </c>
      <c r="J164" s="117">
        <v>2</v>
      </c>
    </row>
    <row r="165" spans="1:10" x14ac:dyDescent="0.25">
      <c r="A165" s="269"/>
      <c r="B165" s="269"/>
      <c r="C165" s="269" t="s">
        <v>53</v>
      </c>
      <c r="D165" s="269"/>
      <c r="E165" s="269"/>
      <c r="F165" s="270">
        <v>269044</v>
      </c>
      <c r="G165" s="270">
        <v>5989</v>
      </c>
      <c r="H165" s="270">
        <v>210</v>
      </c>
      <c r="I165" s="270">
        <v>5956</v>
      </c>
      <c r="J165" s="270">
        <v>7</v>
      </c>
    </row>
    <row r="166" spans="1:10" x14ac:dyDescent="0.25">
      <c r="A166" s="2" t="s">
        <v>1530</v>
      </c>
      <c r="B166" s="2" t="s">
        <v>54</v>
      </c>
      <c r="C166" s="2" t="s">
        <v>55</v>
      </c>
      <c r="D166" s="2" t="s">
        <v>5</v>
      </c>
      <c r="E166" s="117">
        <v>8</v>
      </c>
      <c r="F166" s="117">
        <v>208143</v>
      </c>
      <c r="G166" s="117">
        <v>6672</v>
      </c>
      <c r="H166" s="117">
        <v>309</v>
      </c>
      <c r="I166" s="117">
        <v>6650</v>
      </c>
      <c r="J166" s="117">
        <v>6</v>
      </c>
    </row>
    <row r="167" spans="1:10" x14ac:dyDescent="0.25">
      <c r="A167" s="2" t="s">
        <v>1531</v>
      </c>
      <c r="B167" s="2" t="s">
        <v>214</v>
      </c>
      <c r="C167" s="2" t="s">
        <v>55</v>
      </c>
      <c r="D167" s="2" t="s">
        <v>115</v>
      </c>
      <c r="E167" s="117">
        <v>8</v>
      </c>
      <c r="F167" s="117">
        <v>1259</v>
      </c>
      <c r="G167" s="117">
        <v>96</v>
      </c>
      <c r="H167" s="117">
        <v>3</v>
      </c>
      <c r="I167" s="117">
        <v>95</v>
      </c>
      <c r="J167" s="117">
        <v>4</v>
      </c>
    </row>
    <row r="168" spans="1:10" x14ac:dyDescent="0.25">
      <c r="A168" s="2" t="s">
        <v>1532</v>
      </c>
      <c r="B168" s="2" t="s">
        <v>215</v>
      </c>
      <c r="C168" s="2" t="s">
        <v>55</v>
      </c>
      <c r="D168" s="2" t="s">
        <v>115</v>
      </c>
      <c r="E168" s="117">
        <v>8</v>
      </c>
      <c r="F168" s="117">
        <v>244</v>
      </c>
      <c r="G168" s="117">
        <v>19</v>
      </c>
      <c r="H168" s="117">
        <v>1</v>
      </c>
      <c r="I168" s="117">
        <v>19</v>
      </c>
      <c r="J168" s="117">
        <v>3</v>
      </c>
    </row>
    <row r="169" spans="1:10" x14ac:dyDescent="0.25">
      <c r="A169" s="2" t="s">
        <v>1533</v>
      </c>
      <c r="B169" s="2" t="s">
        <v>231</v>
      </c>
      <c r="C169" s="2" t="s">
        <v>55</v>
      </c>
      <c r="D169" s="2" t="s">
        <v>115</v>
      </c>
      <c r="E169" s="117">
        <v>8</v>
      </c>
      <c r="F169" s="117">
        <v>187</v>
      </c>
      <c r="G169" s="117">
        <v>20</v>
      </c>
      <c r="H169" s="117">
        <v>1</v>
      </c>
      <c r="I169" s="117">
        <v>20</v>
      </c>
      <c r="J169" s="117">
        <v>3</v>
      </c>
    </row>
    <row r="170" spans="1:10" x14ac:dyDescent="0.25">
      <c r="A170" s="2" t="s">
        <v>1534</v>
      </c>
      <c r="B170" s="2" t="s">
        <v>336</v>
      </c>
      <c r="C170" s="2" t="s">
        <v>55</v>
      </c>
      <c r="D170" s="2" t="s">
        <v>115</v>
      </c>
      <c r="E170" s="117">
        <v>8</v>
      </c>
      <c r="F170" s="117">
        <v>835</v>
      </c>
      <c r="G170" s="117">
        <v>33</v>
      </c>
      <c r="H170" s="117">
        <v>1</v>
      </c>
      <c r="I170" s="117">
        <v>33</v>
      </c>
      <c r="J170" s="117">
        <v>3</v>
      </c>
    </row>
    <row r="171" spans="1:10" x14ac:dyDescent="0.25">
      <c r="A171" s="2" t="s">
        <v>1535</v>
      </c>
      <c r="B171" s="2" t="s">
        <v>338</v>
      </c>
      <c r="C171" s="2" t="s">
        <v>55</v>
      </c>
      <c r="D171" s="2" t="s">
        <v>115</v>
      </c>
      <c r="E171" s="117">
        <v>8</v>
      </c>
      <c r="F171" s="117">
        <v>165</v>
      </c>
      <c r="G171" s="117">
        <v>0</v>
      </c>
      <c r="H171" s="117">
        <v>0</v>
      </c>
      <c r="I171" s="117">
        <v>0</v>
      </c>
      <c r="J171" s="117">
        <v>0</v>
      </c>
    </row>
    <row r="172" spans="1:10" x14ac:dyDescent="0.25">
      <c r="A172" s="269"/>
      <c r="B172" s="269"/>
      <c r="C172" s="269" t="s">
        <v>55</v>
      </c>
      <c r="D172" s="269"/>
      <c r="E172" s="269"/>
      <c r="F172" s="270">
        <v>210833</v>
      </c>
      <c r="G172" s="270">
        <v>6840</v>
      </c>
      <c r="H172" s="270">
        <v>315</v>
      </c>
      <c r="I172" s="270">
        <v>6817</v>
      </c>
      <c r="J172" s="270">
        <v>6</v>
      </c>
    </row>
    <row r="173" spans="1:10" x14ac:dyDescent="0.25">
      <c r="A173" s="2" t="s">
        <v>1536</v>
      </c>
      <c r="B173" s="2" t="s">
        <v>56</v>
      </c>
      <c r="C173" s="2" t="s">
        <v>57</v>
      </c>
      <c r="D173" s="2" t="s">
        <v>5</v>
      </c>
      <c r="E173" s="117">
        <v>2</v>
      </c>
      <c r="F173" s="117">
        <v>266606</v>
      </c>
      <c r="G173" s="117">
        <v>3161</v>
      </c>
      <c r="H173" s="117">
        <v>41</v>
      </c>
      <c r="I173" s="117">
        <v>3107</v>
      </c>
      <c r="J173" s="117">
        <v>5</v>
      </c>
    </row>
    <row r="174" spans="1:10" x14ac:dyDescent="0.25">
      <c r="A174" s="2" t="s">
        <v>1537</v>
      </c>
      <c r="B174" s="2" t="s">
        <v>217</v>
      </c>
      <c r="C174" s="2" t="s">
        <v>57</v>
      </c>
      <c r="D174" s="2" t="s">
        <v>115</v>
      </c>
      <c r="E174" s="117">
        <v>2</v>
      </c>
      <c r="F174" s="117">
        <v>1272</v>
      </c>
      <c r="G174" s="117">
        <v>35</v>
      </c>
      <c r="H174" s="117">
        <v>0</v>
      </c>
      <c r="I174" s="117">
        <v>34</v>
      </c>
      <c r="J174" s="117">
        <v>5</v>
      </c>
    </row>
    <row r="175" spans="1:10" x14ac:dyDescent="0.25">
      <c r="A175" s="2" t="s">
        <v>1538</v>
      </c>
      <c r="B175" s="2" t="s">
        <v>218</v>
      </c>
      <c r="C175" s="2" t="s">
        <v>57</v>
      </c>
      <c r="D175" s="2" t="s">
        <v>115</v>
      </c>
      <c r="E175" s="117">
        <v>2</v>
      </c>
      <c r="F175" s="117">
        <v>666</v>
      </c>
      <c r="G175" s="117">
        <v>20</v>
      </c>
      <c r="H175" s="117">
        <v>1</v>
      </c>
      <c r="I175" s="117">
        <v>20</v>
      </c>
      <c r="J175" s="117">
        <v>4</v>
      </c>
    </row>
    <row r="176" spans="1:10" x14ac:dyDescent="0.25">
      <c r="A176" s="2" t="s">
        <v>1539</v>
      </c>
      <c r="B176" s="2" t="s">
        <v>219</v>
      </c>
      <c r="C176" s="2" t="s">
        <v>57</v>
      </c>
      <c r="D176" s="2" t="s">
        <v>115</v>
      </c>
      <c r="E176" s="117">
        <v>2</v>
      </c>
      <c r="F176" s="117">
        <v>251</v>
      </c>
      <c r="G176" s="117">
        <v>36</v>
      </c>
      <c r="H176" s="117">
        <v>0</v>
      </c>
      <c r="I176" s="117">
        <v>35</v>
      </c>
      <c r="J176" s="117">
        <v>4</v>
      </c>
    </row>
    <row r="177" spans="1:10" x14ac:dyDescent="0.25">
      <c r="A177" s="2" t="s">
        <v>1540</v>
      </c>
      <c r="B177" s="2" t="s">
        <v>221</v>
      </c>
      <c r="C177" s="2" t="s">
        <v>57</v>
      </c>
      <c r="D177" s="2" t="s">
        <v>115</v>
      </c>
      <c r="E177" s="117">
        <v>2</v>
      </c>
      <c r="F177" s="117">
        <v>2074</v>
      </c>
      <c r="G177" s="117">
        <v>134</v>
      </c>
      <c r="H177" s="117">
        <v>2</v>
      </c>
      <c r="I177" s="117">
        <v>129</v>
      </c>
      <c r="J177" s="117">
        <v>4</v>
      </c>
    </row>
    <row r="178" spans="1:10" x14ac:dyDescent="0.25">
      <c r="A178" s="2" t="s">
        <v>1541</v>
      </c>
      <c r="B178" s="2" t="s">
        <v>334</v>
      </c>
      <c r="C178" s="2" t="s">
        <v>57</v>
      </c>
      <c r="D178" s="2" t="s">
        <v>115</v>
      </c>
      <c r="E178" s="117">
        <v>2</v>
      </c>
      <c r="F178" s="117">
        <v>348</v>
      </c>
      <c r="G178" s="117">
        <v>61</v>
      </c>
      <c r="H178" s="117">
        <v>2</v>
      </c>
      <c r="I178" s="117">
        <v>58</v>
      </c>
      <c r="J178" s="117">
        <v>4</v>
      </c>
    </row>
    <row r="179" spans="1:10" x14ac:dyDescent="0.25">
      <c r="A179" s="269"/>
      <c r="B179" s="269"/>
      <c r="C179" s="269" t="s">
        <v>57</v>
      </c>
      <c r="D179" s="269"/>
      <c r="E179" s="269"/>
      <c r="F179" s="270">
        <v>271217</v>
      </c>
      <c r="G179" s="270">
        <v>3447</v>
      </c>
      <c r="H179" s="270">
        <v>46</v>
      </c>
      <c r="I179" s="270">
        <v>3383</v>
      </c>
      <c r="J179" s="270">
        <v>5</v>
      </c>
    </row>
    <row r="180" spans="1:10" x14ac:dyDescent="0.25">
      <c r="A180" s="2" t="s">
        <v>1542</v>
      </c>
      <c r="B180" s="2" t="s">
        <v>58</v>
      </c>
      <c r="C180" s="2" t="s">
        <v>59</v>
      </c>
      <c r="D180" s="2" t="s">
        <v>5</v>
      </c>
      <c r="E180" s="117">
        <v>6</v>
      </c>
      <c r="F180" s="117">
        <v>224992</v>
      </c>
      <c r="G180" s="117">
        <v>3991</v>
      </c>
      <c r="H180" s="117">
        <v>159</v>
      </c>
      <c r="I180" s="117">
        <v>3973</v>
      </c>
      <c r="J180" s="117">
        <v>8</v>
      </c>
    </row>
    <row r="181" spans="1:10" x14ac:dyDescent="0.25">
      <c r="A181" s="2" t="s">
        <v>1543</v>
      </c>
      <c r="B181" s="2" t="s">
        <v>222</v>
      </c>
      <c r="C181" s="2" t="s">
        <v>59</v>
      </c>
      <c r="D181" s="2" t="s">
        <v>115</v>
      </c>
      <c r="E181" s="117">
        <v>6</v>
      </c>
      <c r="F181" s="117">
        <v>198</v>
      </c>
      <c r="G181" s="117">
        <v>11</v>
      </c>
      <c r="H181" s="117">
        <v>4</v>
      </c>
      <c r="I181" s="117">
        <v>11</v>
      </c>
      <c r="J181" s="117">
        <v>4</v>
      </c>
    </row>
    <row r="182" spans="1:10" x14ac:dyDescent="0.25">
      <c r="A182" s="2" t="s">
        <v>1544</v>
      </c>
      <c r="B182" s="2" t="s">
        <v>223</v>
      </c>
      <c r="C182" s="2" t="s">
        <v>59</v>
      </c>
      <c r="D182" s="2" t="s">
        <v>115</v>
      </c>
      <c r="E182" s="117">
        <v>6</v>
      </c>
      <c r="F182" s="117">
        <v>6672</v>
      </c>
      <c r="G182" s="117">
        <v>198</v>
      </c>
      <c r="H182" s="117">
        <v>3</v>
      </c>
      <c r="I182" s="117">
        <v>193</v>
      </c>
      <c r="J182" s="117">
        <v>3</v>
      </c>
    </row>
    <row r="183" spans="1:10" x14ac:dyDescent="0.25">
      <c r="A183" s="2" t="s">
        <v>1545</v>
      </c>
      <c r="B183" s="2" t="s">
        <v>315</v>
      </c>
      <c r="C183" s="2" t="s">
        <v>59</v>
      </c>
      <c r="D183" s="2" t="s">
        <v>115</v>
      </c>
      <c r="E183" s="117">
        <v>6</v>
      </c>
      <c r="F183" s="117">
        <v>831</v>
      </c>
      <c r="G183" s="117">
        <v>23</v>
      </c>
      <c r="H183" s="117">
        <v>1</v>
      </c>
      <c r="I183" s="117">
        <v>23</v>
      </c>
      <c r="J183" s="117">
        <v>3</v>
      </c>
    </row>
    <row r="184" spans="1:10" x14ac:dyDescent="0.25">
      <c r="A184" s="2" t="s">
        <v>1546</v>
      </c>
      <c r="B184" s="2" t="s">
        <v>316</v>
      </c>
      <c r="C184" s="2" t="s">
        <v>59</v>
      </c>
      <c r="D184" s="2" t="s">
        <v>115</v>
      </c>
      <c r="E184" s="117">
        <v>6</v>
      </c>
      <c r="F184" s="117">
        <v>378</v>
      </c>
      <c r="G184" s="117">
        <v>7</v>
      </c>
      <c r="H184" s="117">
        <v>1</v>
      </c>
      <c r="I184" s="117">
        <v>7</v>
      </c>
      <c r="J184" s="117">
        <v>3</v>
      </c>
    </row>
    <row r="185" spans="1:10" x14ac:dyDescent="0.25">
      <c r="A185" s="2" t="s">
        <v>1547</v>
      </c>
      <c r="B185" s="2" t="s">
        <v>317</v>
      </c>
      <c r="C185" s="2" t="s">
        <v>59</v>
      </c>
      <c r="D185" s="2" t="s">
        <v>115</v>
      </c>
      <c r="E185" s="117">
        <v>6</v>
      </c>
      <c r="F185" s="117">
        <v>963</v>
      </c>
      <c r="G185" s="117">
        <v>23</v>
      </c>
      <c r="H185" s="117">
        <v>0</v>
      </c>
      <c r="I185" s="117">
        <v>22</v>
      </c>
      <c r="J185" s="117">
        <v>3</v>
      </c>
    </row>
    <row r="186" spans="1:10" x14ac:dyDescent="0.25">
      <c r="A186" s="269"/>
      <c r="B186" s="269"/>
      <c r="C186" s="269" t="s">
        <v>59</v>
      </c>
      <c r="D186" s="269"/>
      <c r="E186" s="269"/>
      <c r="F186" s="270">
        <v>234034</v>
      </c>
      <c r="G186" s="270">
        <v>4253</v>
      </c>
      <c r="H186" s="270">
        <v>168</v>
      </c>
      <c r="I186" s="270">
        <v>4229</v>
      </c>
      <c r="J186" s="270">
        <v>8</v>
      </c>
    </row>
    <row r="187" spans="1:10" x14ac:dyDescent="0.25">
      <c r="A187" s="2" t="s">
        <v>1548</v>
      </c>
      <c r="B187" s="2" t="s">
        <v>60</v>
      </c>
      <c r="C187" s="2" t="s">
        <v>61</v>
      </c>
      <c r="D187" s="2" t="s">
        <v>5</v>
      </c>
      <c r="E187" s="117">
        <v>9</v>
      </c>
      <c r="F187" s="117">
        <v>146585</v>
      </c>
      <c r="G187" s="117">
        <v>6924</v>
      </c>
      <c r="H187" s="117">
        <v>288</v>
      </c>
      <c r="I187" s="117">
        <v>6890</v>
      </c>
      <c r="J187" s="117">
        <v>6</v>
      </c>
    </row>
    <row r="188" spans="1:10" x14ac:dyDescent="0.25">
      <c r="A188" s="2" t="s">
        <v>1549</v>
      </c>
      <c r="B188" s="2" t="s">
        <v>118</v>
      </c>
      <c r="C188" s="2" t="s">
        <v>61</v>
      </c>
      <c r="D188" s="2" t="s">
        <v>115</v>
      </c>
      <c r="E188" s="117">
        <v>9</v>
      </c>
      <c r="F188" s="117">
        <v>215</v>
      </c>
      <c r="G188" s="117">
        <v>20</v>
      </c>
      <c r="H188" s="117">
        <v>0</v>
      </c>
      <c r="I188" s="117">
        <v>20</v>
      </c>
      <c r="J188" s="117">
        <v>3</v>
      </c>
    </row>
    <row r="189" spans="1:10" x14ac:dyDescent="0.25">
      <c r="A189" s="2" t="s">
        <v>1550</v>
      </c>
      <c r="B189" s="2" t="s">
        <v>298</v>
      </c>
      <c r="C189" s="2" t="s">
        <v>61</v>
      </c>
      <c r="D189" s="2" t="s">
        <v>115</v>
      </c>
      <c r="E189" s="117">
        <v>9</v>
      </c>
      <c r="F189" s="117">
        <v>340</v>
      </c>
      <c r="G189" s="117">
        <v>115</v>
      </c>
      <c r="H189" s="117">
        <v>3</v>
      </c>
      <c r="I189" s="117">
        <v>115</v>
      </c>
      <c r="J189" s="117">
        <v>3</v>
      </c>
    </row>
    <row r="190" spans="1:10" x14ac:dyDescent="0.25">
      <c r="A190" s="269"/>
      <c r="B190" s="269"/>
      <c r="C190" s="269" t="s">
        <v>61</v>
      </c>
      <c r="D190" s="269"/>
      <c r="E190" s="269"/>
      <c r="F190" s="270">
        <v>147140</v>
      </c>
      <c r="G190" s="270">
        <v>7059</v>
      </c>
      <c r="H190" s="270">
        <v>291</v>
      </c>
      <c r="I190" s="270">
        <v>7025</v>
      </c>
      <c r="J190" s="270">
        <v>6</v>
      </c>
    </row>
    <row r="191" spans="1:10" x14ac:dyDescent="0.25">
      <c r="A191" s="2" t="s">
        <v>1551</v>
      </c>
      <c r="B191" s="2" t="s">
        <v>62</v>
      </c>
      <c r="C191" s="2" t="s">
        <v>63</v>
      </c>
      <c r="D191" s="2" t="s">
        <v>5</v>
      </c>
      <c r="E191" s="117">
        <v>4</v>
      </c>
      <c r="F191" s="117">
        <v>414533</v>
      </c>
      <c r="G191" s="117">
        <v>7226</v>
      </c>
      <c r="H191" s="117">
        <v>944</v>
      </c>
      <c r="I191" s="117">
        <v>7201</v>
      </c>
      <c r="J191" s="117">
        <v>7</v>
      </c>
    </row>
    <row r="192" spans="1:10" x14ac:dyDescent="0.25">
      <c r="A192" s="2" t="s">
        <v>1552</v>
      </c>
      <c r="B192" s="2" t="s">
        <v>225</v>
      </c>
      <c r="C192" s="2" t="s">
        <v>63</v>
      </c>
      <c r="D192" s="2" t="s">
        <v>115</v>
      </c>
      <c r="E192" s="117">
        <v>4</v>
      </c>
      <c r="F192" s="117">
        <v>1068</v>
      </c>
      <c r="G192" s="117">
        <v>121</v>
      </c>
      <c r="H192" s="117">
        <v>1</v>
      </c>
      <c r="I192" s="117">
        <v>121</v>
      </c>
      <c r="J192" s="117">
        <v>5</v>
      </c>
    </row>
    <row r="193" spans="1:10" x14ac:dyDescent="0.25">
      <c r="A193" s="2" t="s">
        <v>1553</v>
      </c>
      <c r="B193" s="2" t="s">
        <v>226</v>
      </c>
      <c r="C193" s="2" t="s">
        <v>63</v>
      </c>
      <c r="D193" s="2" t="s">
        <v>115</v>
      </c>
      <c r="E193" s="117">
        <v>4</v>
      </c>
      <c r="F193" s="117">
        <v>2897</v>
      </c>
      <c r="G193" s="117">
        <v>92</v>
      </c>
      <c r="H193" s="117">
        <v>1</v>
      </c>
      <c r="I193" s="117">
        <v>92</v>
      </c>
      <c r="J193" s="117">
        <v>3</v>
      </c>
    </row>
    <row r="194" spans="1:10" x14ac:dyDescent="0.25">
      <c r="A194" s="269"/>
      <c r="B194" s="269"/>
      <c r="C194" s="269" t="s">
        <v>63</v>
      </c>
      <c r="D194" s="269"/>
      <c r="E194" s="269"/>
      <c r="F194" s="270">
        <v>418498</v>
      </c>
      <c r="G194" s="270">
        <v>7439</v>
      </c>
      <c r="H194" s="270">
        <v>946</v>
      </c>
      <c r="I194" s="270">
        <v>7414</v>
      </c>
      <c r="J194" s="270">
        <v>7</v>
      </c>
    </row>
    <row r="195" spans="1:10" x14ac:dyDescent="0.25">
      <c r="A195" s="2" t="s">
        <v>1554</v>
      </c>
      <c r="B195" s="2" t="s">
        <v>64</v>
      </c>
      <c r="C195" s="2" t="s">
        <v>65</v>
      </c>
      <c r="D195" s="2" t="s">
        <v>5</v>
      </c>
      <c r="E195" s="117">
        <v>10</v>
      </c>
      <c r="F195" s="117">
        <v>55697</v>
      </c>
      <c r="G195" s="117">
        <v>1096</v>
      </c>
      <c r="H195" s="117">
        <v>11</v>
      </c>
      <c r="I195" s="117">
        <v>1078</v>
      </c>
      <c r="J195" s="117">
        <v>6</v>
      </c>
    </row>
    <row r="196" spans="1:10" x14ac:dyDescent="0.25">
      <c r="A196" s="2" t="s">
        <v>1555</v>
      </c>
      <c r="B196" s="2" t="s">
        <v>175</v>
      </c>
      <c r="C196" s="2" t="s">
        <v>65</v>
      </c>
      <c r="D196" s="2" t="s">
        <v>115</v>
      </c>
      <c r="E196" s="117">
        <v>10</v>
      </c>
      <c r="F196" s="117">
        <v>259</v>
      </c>
      <c r="G196" s="117">
        <v>0</v>
      </c>
      <c r="H196" s="117">
        <v>0</v>
      </c>
      <c r="I196" s="117">
        <v>0</v>
      </c>
      <c r="J196" s="117">
        <v>0</v>
      </c>
    </row>
    <row r="197" spans="1:10" x14ac:dyDescent="0.25">
      <c r="A197" s="2" t="s">
        <v>1556</v>
      </c>
      <c r="B197" s="2" t="s">
        <v>185</v>
      </c>
      <c r="C197" s="2" t="s">
        <v>65</v>
      </c>
      <c r="D197" s="2" t="s">
        <v>115</v>
      </c>
      <c r="E197" s="117">
        <v>10</v>
      </c>
      <c r="F197" s="117">
        <v>700</v>
      </c>
      <c r="G197" s="117">
        <v>28</v>
      </c>
      <c r="H197" s="117">
        <v>0</v>
      </c>
      <c r="I197" s="117">
        <v>28</v>
      </c>
      <c r="J197" s="117">
        <v>3</v>
      </c>
    </row>
    <row r="198" spans="1:10" x14ac:dyDescent="0.25">
      <c r="A198" s="2" t="s">
        <v>1557</v>
      </c>
      <c r="B198" s="2" t="s">
        <v>227</v>
      </c>
      <c r="C198" s="2" t="s">
        <v>65</v>
      </c>
      <c r="D198" s="2" t="s">
        <v>115</v>
      </c>
      <c r="E198" s="117">
        <v>10</v>
      </c>
      <c r="F198" s="117">
        <v>432</v>
      </c>
      <c r="G198" s="117">
        <v>33</v>
      </c>
      <c r="H198" s="117">
        <v>1</v>
      </c>
      <c r="I198" s="117">
        <v>33</v>
      </c>
      <c r="J198" s="117">
        <v>4</v>
      </c>
    </row>
    <row r="199" spans="1:10" x14ac:dyDescent="0.25">
      <c r="A199" s="2" t="s">
        <v>1558</v>
      </c>
      <c r="B199" s="2" t="s">
        <v>228</v>
      </c>
      <c r="C199" s="2" t="s">
        <v>65</v>
      </c>
      <c r="D199" s="2" t="s">
        <v>115</v>
      </c>
      <c r="E199" s="117">
        <v>10</v>
      </c>
      <c r="F199" s="117">
        <v>350</v>
      </c>
      <c r="G199" s="117">
        <v>75</v>
      </c>
      <c r="H199" s="117">
        <v>0</v>
      </c>
      <c r="I199" s="117">
        <v>75</v>
      </c>
      <c r="J199" s="117">
        <v>4</v>
      </c>
    </row>
    <row r="200" spans="1:10" x14ac:dyDescent="0.25">
      <c r="A200" s="2" t="s">
        <v>1504</v>
      </c>
      <c r="B200" s="2" t="s">
        <v>229</v>
      </c>
      <c r="C200" s="2" t="s">
        <v>65</v>
      </c>
      <c r="D200" s="2" t="s">
        <v>115</v>
      </c>
      <c r="E200" s="117">
        <v>10</v>
      </c>
      <c r="F200" s="117">
        <v>9969</v>
      </c>
      <c r="G200" s="117">
        <v>928</v>
      </c>
      <c r="H200" s="117">
        <v>12</v>
      </c>
      <c r="I200" s="117">
        <v>927</v>
      </c>
      <c r="J200" s="117">
        <v>4</v>
      </c>
    </row>
    <row r="201" spans="1:10" x14ac:dyDescent="0.25">
      <c r="A201" s="2" t="s">
        <v>1559</v>
      </c>
      <c r="B201" s="2" t="s">
        <v>318</v>
      </c>
      <c r="C201" s="2" t="s">
        <v>65</v>
      </c>
      <c r="D201" s="2" t="s">
        <v>115</v>
      </c>
      <c r="E201" s="117">
        <v>10</v>
      </c>
      <c r="F201" s="117">
        <v>2268</v>
      </c>
      <c r="G201" s="117">
        <v>0</v>
      </c>
      <c r="H201" s="117">
        <v>0</v>
      </c>
      <c r="I201" s="117">
        <v>0</v>
      </c>
      <c r="J201" s="117">
        <v>0</v>
      </c>
    </row>
    <row r="202" spans="1:10" x14ac:dyDescent="0.25">
      <c r="A202" s="269"/>
      <c r="B202" s="269"/>
      <c r="C202" s="269" t="s">
        <v>65</v>
      </c>
      <c r="D202" s="269"/>
      <c r="E202" s="269"/>
      <c r="F202" s="270">
        <v>69675</v>
      </c>
      <c r="G202" s="270">
        <v>2160</v>
      </c>
      <c r="H202" s="270">
        <v>24</v>
      </c>
      <c r="I202" s="270">
        <v>2141</v>
      </c>
      <c r="J202" s="270">
        <v>6</v>
      </c>
    </row>
    <row r="203" spans="1:10" x14ac:dyDescent="0.25">
      <c r="A203" s="2" t="s">
        <v>1560</v>
      </c>
      <c r="B203" s="2" t="s">
        <v>66</v>
      </c>
      <c r="C203" s="2" t="s">
        <v>67</v>
      </c>
      <c r="D203" s="2" t="s">
        <v>5</v>
      </c>
      <c r="E203" s="117">
        <v>8</v>
      </c>
      <c r="F203" s="117">
        <v>446299</v>
      </c>
      <c r="G203" s="117">
        <v>12235</v>
      </c>
      <c r="H203" s="117">
        <v>361</v>
      </c>
      <c r="I203" s="117">
        <v>12198</v>
      </c>
      <c r="J203" s="117">
        <v>9</v>
      </c>
    </row>
    <row r="204" spans="1:10" x14ac:dyDescent="0.25">
      <c r="A204" s="2" t="s">
        <v>1561</v>
      </c>
      <c r="B204" s="2" t="s">
        <v>230</v>
      </c>
      <c r="C204" s="2" t="s">
        <v>67</v>
      </c>
      <c r="D204" s="2" t="s">
        <v>115</v>
      </c>
      <c r="E204" s="117">
        <v>8</v>
      </c>
      <c r="F204" s="117">
        <v>361</v>
      </c>
      <c r="G204" s="117">
        <v>28</v>
      </c>
      <c r="H204" s="117">
        <v>1</v>
      </c>
      <c r="I204" s="117">
        <v>28</v>
      </c>
      <c r="J204" s="117">
        <v>5</v>
      </c>
    </row>
    <row r="205" spans="1:10" x14ac:dyDescent="0.25">
      <c r="A205" s="269"/>
      <c r="B205" s="269"/>
      <c r="C205" s="269" t="s">
        <v>67</v>
      </c>
      <c r="D205" s="269"/>
      <c r="E205" s="269"/>
      <c r="F205" s="270">
        <v>446660</v>
      </c>
      <c r="G205" s="270">
        <v>12263</v>
      </c>
      <c r="H205" s="270">
        <v>362</v>
      </c>
      <c r="I205" s="270">
        <v>12226</v>
      </c>
      <c r="J205" s="270">
        <v>9</v>
      </c>
    </row>
    <row r="206" spans="1:10" x14ac:dyDescent="0.25">
      <c r="A206" s="2" t="s">
        <v>1562</v>
      </c>
      <c r="B206" s="2" t="s">
        <v>68</v>
      </c>
      <c r="C206" s="2" t="s">
        <v>69</v>
      </c>
      <c r="D206" s="2" t="s">
        <v>5</v>
      </c>
      <c r="E206" s="117">
        <v>6</v>
      </c>
      <c r="F206" s="117">
        <v>411882</v>
      </c>
      <c r="G206" s="117">
        <v>8190</v>
      </c>
      <c r="H206" s="117">
        <v>895</v>
      </c>
      <c r="I206" s="117">
        <v>8173</v>
      </c>
      <c r="J206" s="117">
        <v>9</v>
      </c>
    </row>
    <row r="207" spans="1:10" x14ac:dyDescent="0.25">
      <c r="A207" s="2" t="s">
        <v>1563</v>
      </c>
      <c r="B207" s="2" t="s">
        <v>220</v>
      </c>
      <c r="C207" s="2" t="s">
        <v>69</v>
      </c>
      <c r="D207" s="2" t="s">
        <v>115</v>
      </c>
      <c r="E207" s="117">
        <v>6</v>
      </c>
      <c r="F207" s="117">
        <v>215</v>
      </c>
      <c r="G207" s="117">
        <v>0</v>
      </c>
      <c r="H207" s="117">
        <v>0</v>
      </c>
      <c r="I207" s="117">
        <v>0</v>
      </c>
      <c r="J207" s="117">
        <v>0</v>
      </c>
    </row>
    <row r="208" spans="1:10" x14ac:dyDescent="0.25">
      <c r="A208" s="2" t="s">
        <v>1564</v>
      </c>
      <c r="B208" s="2" t="s">
        <v>235</v>
      </c>
      <c r="C208" s="2" t="s">
        <v>69</v>
      </c>
      <c r="D208" s="2" t="s">
        <v>115</v>
      </c>
      <c r="E208" s="117">
        <v>6</v>
      </c>
      <c r="F208" s="117">
        <v>175</v>
      </c>
      <c r="G208" s="117">
        <v>31</v>
      </c>
      <c r="H208" s="117">
        <v>1</v>
      </c>
      <c r="I208" s="117">
        <v>31</v>
      </c>
      <c r="J208" s="117">
        <v>3</v>
      </c>
    </row>
    <row r="209" spans="1:10" x14ac:dyDescent="0.25">
      <c r="A209" s="2" t="s">
        <v>1565</v>
      </c>
      <c r="B209" s="2" t="s">
        <v>236</v>
      </c>
      <c r="C209" s="2" t="s">
        <v>69</v>
      </c>
      <c r="D209" s="2" t="s">
        <v>115</v>
      </c>
      <c r="E209" s="117">
        <v>6</v>
      </c>
      <c r="F209" s="117">
        <v>36</v>
      </c>
      <c r="G209" s="117">
        <v>14</v>
      </c>
      <c r="H209" s="117">
        <v>0</v>
      </c>
      <c r="I209" s="117">
        <v>14</v>
      </c>
      <c r="J209" s="117">
        <v>2</v>
      </c>
    </row>
    <row r="210" spans="1:10" x14ac:dyDescent="0.25">
      <c r="A210" s="2" t="s">
        <v>1566</v>
      </c>
      <c r="B210" s="2" t="s">
        <v>237</v>
      </c>
      <c r="C210" s="2" t="s">
        <v>69</v>
      </c>
      <c r="D210" s="2" t="s">
        <v>115</v>
      </c>
      <c r="E210" s="117">
        <v>6</v>
      </c>
      <c r="F210" s="117">
        <v>702</v>
      </c>
      <c r="G210" s="117">
        <v>144</v>
      </c>
      <c r="H210" s="117">
        <v>4</v>
      </c>
      <c r="I210" s="117">
        <v>144</v>
      </c>
      <c r="J210" s="117">
        <v>4</v>
      </c>
    </row>
    <row r="211" spans="1:10" x14ac:dyDescent="0.25">
      <c r="A211" s="2" t="s">
        <v>1567</v>
      </c>
      <c r="B211" s="2" t="s">
        <v>300</v>
      </c>
      <c r="C211" s="2" t="s">
        <v>69</v>
      </c>
      <c r="D211" s="2" t="s">
        <v>115</v>
      </c>
      <c r="E211" s="117">
        <v>6</v>
      </c>
      <c r="F211" s="117">
        <v>1555</v>
      </c>
      <c r="G211" s="117">
        <v>18</v>
      </c>
      <c r="H211" s="117">
        <v>3</v>
      </c>
      <c r="I211" s="117">
        <v>17</v>
      </c>
      <c r="J211" s="117">
        <v>4</v>
      </c>
    </row>
    <row r="212" spans="1:10" x14ac:dyDescent="0.25">
      <c r="A212" s="2" t="s">
        <v>1568</v>
      </c>
      <c r="B212" s="2" t="s">
        <v>302</v>
      </c>
      <c r="C212" s="2" t="s">
        <v>69</v>
      </c>
      <c r="D212" s="2" t="s">
        <v>115</v>
      </c>
      <c r="E212" s="117">
        <v>6</v>
      </c>
      <c r="F212" s="117">
        <v>759</v>
      </c>
      <c r="G212" s="117">
        <v>36</v>
      </c>
      <c r="H212" s="117">
        <v>13</v>
      </c>
      <c r="I212" s="117">
        <v>36</v>
      </c>
      <c r="J212" s="117">
        <v>2</v>
      </c>
    </row>
    <row r="213" spans="1:10" x14ac:dyDescent="0.25">
      <c r="A213" s="2" t="s">
        <v>1569</v>
      </c>
      <c r="B213" s="2" t="s">
        <v>311</v>
      </c>
      <c r="C213" s="2" t="s">
        <v>69</v>
      </c>
      <c r="D213" s="2" t="s">
        <v>115</v>
      </c>
      <c r="E213" s="117">
        <v>6</v>
      </c>
      <c r="F213" s="117">
        <v>503</v>
      </c>
      <c r="G213" s="117">
        <v>25</v>
      </c>
      <c r="H213" s="117">
        <v>0</v>
      </c>
      <c r="I213" s="117">
        <v>24</v>
      </c>
      <c r="J213" s="117">
        <v>3</v>
      </c>
    </row>
    <row r="214" spans="1:10" x14ac:dyDescent="0.25">
      <c r="A214" s="2" t="s">
        <v>1570</v>
      </c>
      <c r="B214" s="2" t="s">
        <v>312</v>
      </c>
      <c r="C214" s="2" t="s">
        <v>69</v>
      </c>
      <c r="D214" s="2" t="s">
        <v>115</v>
      </c>
      <c r="E214" s="117">
        <v>6</v>
      </c>
      <c r="F214" s="117">
        <v>416</v>
      </c>
      <c r="G214" s="117">
        <v>17</v>
      </c>
      <c r="H214" s="117">
        <v>2</v>
      </c>
      <c r="I214" s="117">
        <v>17</v>
      </c>
      <c r="J214" s="117">
        <v>3</v>
      </c>
    </row>
    <row r="215" spans="1:10" x14ac:dyDescent="0.25">
      <c r="A215" s="2" t="s">
        <v>1571</v>
      </c>
      <c r="B215" s="2" t="s">
        <v>313</v>
      </c>
      <c r="C215" s="2" t="s">
        <v>69</v>
      </c>
      <c r="D215" s="2" t="s">
        <v>115</v>
      </c>
      <c r="E215" s="117">
        <v>6</v>
      </c>
      <c r="F215" s="117">
        <v>178</v>
      </c>
      <c r="G215" s="117">
        <v>1</v>
      </c>
      <c r="H215" s="117">
        <v>0</v>
      </c>
      <c r="I215" s="117">
        <v>1</v>
      </c>
      <c r="J215" s="117">
        <v>2</v>
      </c>
    </row>
    <row r="216" spans="1:10" x14ac:dyDescent="0.25">
      <c r="A216" s="2" t="s">
        <v>1572</v>
      </c>
      <c r="B216" s="2" t="s">
        <v>323</v>
      </c>
      <c r="C216" s="2" t="s">
        <v>69</v>
      </c>
      <c r="D216" s="2" t="s">
        <v>115</v>
      </c>
      <c r="E216" s="117">
        <v>6</v>
      </c>
      <c r="F216" s="117">
        <v>247</v>
      </c>
      <c r="G216" s="117">
        <v>12</v>
      </c>
      <c r="H216" s="117">
        <v>1</v>
      </c>
      <c r="I216" s="117">
        <v>12</v>
      </c>
      <c r="J216" s="117">
        <v>2</v>
      </c>
    </row>
    <row r="217" spans="1:10" x14ac:dyDescent="0.25">
      <c r="A217" s="269"/>
      <c r="B217" s="269"/>
      <c r="C217" s="269" t="s">
        <v>69</v>
      </c>
      <c r="D217" s="269"/>
      <c r="E217" s="269"/>
      <c r="F217" s="270">
        <v>416668</v>
      </c>
      <c r="G217" s="270">
        <v>8488</v>
      </c>
      <c r="H217" s="270">
        <v>919</v>
      </c>
      <c r="I217" s="270">
        <v>8469</v>
      </c>
      <c r="J217" s="270">
        <v>9</v>
      </c>
    </row>
    <row r="218" spans="1:10" x14ac:dyDescent="0.25">
      <c r="A218" s="2" t="s">
        <v>1573</v>
      </c>
      <c r="B218" s="2" t="s">
        <v>70</v>
      </c>
      <c r="C218" s="2" t="s">
        <v>71</v>
      </c>
      <c r="D218" s="2" t="s">
        <v>5</v>
      </c>
      <c r="E218" s="117">
        <v>3</v>
      </c>
      <c r="F218" s="117">
        <v>216488</v>
      </c>
      <c r="G218" s="117">
        <v>8590</v>
      </c>
      <c r="H218" s="117">
        <v>345</v>
      </c>
      <c r="I218" s="117">
        <v>8571</v>
      </c>
      <c r="J218" s="117">
        <v>6</v>
      </c>
    </row>
    <row r="219" spans="1:10" x14ac:dyDescent="0.25">
      <c r="A219" s="2" t="s">
        <v>1474</v>
      </c>
      <c r="B219" s="2" t="s">
        <v>176</v>
      </c>
      <c r="C219" s="2" t="s">
        <v>71</v>
      </c>
      <c r="D219" s="2" t="s">
        <v>115</v>
      </c>
      <c r="E219" s="117">
        <v>3</v>
      </c>
      <c r="F219" s="117">
        <v>633</v>
      </c>
      <c r="G219" s="117">
        <v>27</v>
      </c>
      <c r="H219" s="117">
        <v>0</v>
      </c>
      <c r="I219" s="117">
        <v>27</v>
      </c>
      <c r="J219" s="117">
        <v>5</v>
      </c>
    </row>
    <row r="220" spans="1:10" x14ac:dyDescent="0.25">
      <c r="A220" s="2" t="s">
        <v>1574</v>
      </c>
      <c r="B220" s="2" t="s">
        <v>238</v>
      </c>
      <c r="C220" s="2" t="s">
        <v>71</v>
      </c>
      <c r="D220" s="2" t="s">
        <v>115</v>
      </c>
      <c r="E220" s="117">
        <v>3</v>
      </c>
      <c r="F220" s="117">
        <v>93</v>
      </c>
      <c r="G220" s="117">
        <v>26</v>
      </c>
      <c r="H220" s="117">
        <v>1</v>
      </c>
      <c r="I220" s="117">
        <v>26</v>
      </c>
      <c r="J220" s="117">
        <v>2</v>
      </c>
    </row>
    <row r="221" spans="1:10" x14ac:dyDescent="0.25">
      <c r="A221" s="2" t="s">
        <v>1575</v>
      </c>
      <c r="B221" s="2" t="s">
        <v>239</v>
      </c>
      <c r="C221" s="2" t="s">
        <v>71</v>
      </c>
      <c r="D221" s="2" t="s">
        <v>115</v>
      </c>
      <c r="E221" s="117">
        <v>3</v>
      </c>
      <c r="F221" s="117">
        <v>1054</v>
      </c>
      <c r="G221" s="117">
        <v>307</v>
      </c>
      <c r="H221" s="117">
        <v>18</v>
      </c>
      <c r="I221" s="117">
        <v>306</v>
      </c>
      <c r="J221" s="117">
        <v>5</v>
      </c>
    </row>
    <row r="222" spans="1:10" x14ac:dyDescent="0.25">
      <c r="A222" s="2" t="s">
        <v>1576</v>
      </c>
      <c r="B222" s="2" t="s">
        <v>240</v>
      </c>
      <c r="C222" s="2" t="s">
        <v>71</v>
      </c>
      <c r="D222" s="2" t="s">
        <v>115</v>
      </c>
      <c r="E222" s="117">
        <v>3</v>
      </c>
      <c r="F222" s="117">
        <v>2415</v>
      </c>
      <c r="G222" s="117">
        <v>46</v>
      </c>
      <c r="H222" s="117">
        <v>1</v>
      </c>
      <c r="I222" s="117">
        <v>46</v>
      </c>
      <c r="J222" s="117">
        <v>4</v>
      </c>
    </row>
    <row r="223" spans="1:10" x14ac:dyDescent="0.25">
      <c r="A223" s="2" t="s">
        <v>1577</v>
      </c>
      <c r="B223" s="2" t="s">
        <v>241</v>
      </c>
      <c r="C223" s="2" t="s">
        <v>71</v>
      </c>
      <c r="D223" s="2" t="s">
        <v>115</v>
      </c>
      <c r="E223" s="117">
        <v>3</v>
      </c>
      <c r="F223" s="117">
        <v>482</v>
      </c>
      <c r="G223" s="117">
        <v>71</v>
      </c>
      <c r="H223" s="117">
        <v>14</v>
      </c>
      <c r="I223" s="117">
        <v>71</v>
      </c>
      <c r="J223" s="117">
        <v>5</v>
      </c>
    </row>
    <row r="224" spans="1:10" x14ac:dyDescent="0.25">
      <c r="A224" s="2" t="s">
        <v>1578</v>
      </c>
      <c r="B224" s="2" t="s">
        <v>276</v>
      </c>
      <c r="C224" s="2" t="s">
        <v>71</v>
      </c>
      <c r="D224" s="2" t="s">
        <v>115</v>
      </c>
      <c r="E224" s="117">
        <v>3</v>
      </c>
      <c r="F224" s="117">
        <v>1361</v>
      </c>
      <c r="G224" s="117">
        <v>319</v>
      </c>
      <c r="H224" s="117">
        <v>23</v>
      </c>
      <c r="I224" s="117">
        <v>318</v>
      </c>
      <c r="J224" s="117">
        <v>5</v>
      </c>
    </row>
    <row r="225" spans="1:10" x14ac:dyDescent="0.25">
      <c r="A225" s="2" t="s">
        <v>1579</v>
      </c>
      <c r="B225" s="2" t="s">
        <v>314</v>
      </c>
      <c r="C225" s="2" t="s">
        <v>71</v>
      </c>
      <c r="D225" s="2" t="s">
        <v>115</v>
      </c>
      <c r="E225" s="117">
        <v>3</v>
      </c>
      <c r="F225" s="117">
        <v>1554</v>
      </c>
      <c r="G225" s="117">
        <v>88</v>
      </c>
      <c r="H225" s="117">
        <v>3</v>
      </c>
      <c r="I225" s="117">
        <v>87</v>
      </c>
      <c r="J225" s="117">
        <v>4</v>
      </c>
    </row>
    <row r="226" spans="1:10" x14ac:dyDescent="0.25">
      <c r="A226" s="269"/>
      <c r="B226" s="269"/>
      <c r="C226" s="269" t="s">
        <v>71</v>
      </c>
      <c r="D226" s="269"/>
      <c r="E226" s="269"/>
      <c r="F226" s="270">
        <v>224080</v>
      </c>
      <c r="G226" s="270">
        <v>9474</v>
      </c>
      <c r="H226" s="270">
        <v>405</v>
      </c>
      <c r="I226" s="270">
        <v>9452</v>
      </c>
      <c r="J226" s="270">
        <v>6</v>
      </c>
    </row>
    <row r="227" spans="1:10" x14ac:dyDescent="0.25">
      <c r="A227" s="2" t="s">
        <v>1580</v>
      </c>
      <c r="B227" s="2" t="s">
        <v>72</v>
      </c>
      <c r="C227" s="2" t="s">
        <v>73</v>
      </c>
      <c r="D227" s="2" t="s">
        <v>5</v>
      </c>
      <c r="E227" s="117">
        <v>1</v>
      </c>
      <c r="F227" s="117">
        <v>381875</v>
      </c>
      <c r="G227" s="117">
        <v>8101</v>
      </c>
      <c r="H227" s="117">
        <v>171</v>
      </c>
      <c r="I227" s="117">
        <v>8068</v>
      </c>
      <c r="J227" s="117">
        <v>9</v>
      </c>
    </row>
    <row r="228" spans="1:10" x14ac:dyDescent="0.25">
      <c r="A228" s="2" t="s">
        <v>1581</v>
      </c>
      <c r="B228" s="2" t="s">
        <v>242</v>
      </c>
      <c r="C228" s="2" t="s">
        <v>73</v>
      </c>
      <c r="D228" s="2" t="s">
        <v>115</v>
      </c>
      <c r="E228" s="117">
        <v>1</v>
      </c>
      <c r="F228" s="117">
        <v>6083</v>
      </c>
      <c r="G228" s="117">
        <v>74</v>
      </c>
      <c r="H228" s="117">
        <v>3</v>
      </c>
      <c r="I228" s="117">
        <v>74</v>
      </c>
      <c r="J228" s="117">
        <v>2</v>
      </c>
    </row>
    <row r="229" spans="1:10" x14ac:dyDescent="0.25">
      <c r="A229" s="2" t="s">
        <v>1582</v>
      </c>
      <c r="B229" s="2" t="s">
        <v>243</v>
      </c>
      <c r="C229" s="2" t="s">
        <v>73</v>
      </c>
      <c r="D229" s="2" t="s">
        <v>115</v>
      </c>
      <c r="E229" s="117">
        <v>1</v>
      </c>
      <c r="F229" s="117">
        <v>321</v>
      </c>
      <c r="G229" s="117">
        <v>45</v>
      </c>
      <c r="H229" s="117">
        <v>1</v>
      </c>
      <c r="I229" s="117">
        <v>45</v>
      </c>
      <c r="J229" s="117">
        <v>2</v>
      </c>
    </row>
    <row r="230" spans="1:10" x14ac:dyDescent="0.25">
      <c r="A230" s="2" t="s">
        <v>1583</v>
      </c>
      <c r="B230" s="2" t="s">
        <v>245</v>
      </c>
      <c r="C230" s="2" t="s">
        <v>73</v>
      </c>
      <c r="D230" s="2" t="s">
        <v>115</v>
      </c>
      <c r="E230" s="117">
        <v>1</v>
      </c>
      <c r="F230" s="117">
        <v>201</v>
      </c>
      <c r="G230" s="117">
        <v>60</v>
      </c>
      <c r="H230" s="117">
        <v>0</v>
      </c>
      <c r="I230" s="117">
        <v>60</v>
      </c>
      <c r="J230" s="117">
        <v>3</v>
      </c>
    </row>
    <row r="231" spans="1:10" x14ac:dyDescent="0.25">
      <c r="A231" s="2" t="s">
        <v>1584</v>
      </c>
      <c r="B231" s="2" t="s">
        <v>246</v>
      </c>
      <c r="C231" s="2" t="s">
        <v>73</v>
      </c>
      <c r="D231" s="2" t="s">
        <v>115</v>
      </c>
      <c r="E231" s="117">
        <v>1</v>
      </c>
      <c r="F231" s="117">
        <v>447</v>
      </c>
      <c r="G231" s="117">
        <v>10</v>
      </c>
      <c r="H231" s="117">
        <v>0</v>
      </c>
      <c r="I231" s="117">
        <v>10</v>
      </c>
      <c r="J231" s="117">
        <v>2</v>
      </c>
    </row>
    <row r="232" spans="1:10" x14ac:dyDescent="0.25">
      <c r="A232" s="2" t="s">
        <v>1585</v>
      </c>
      <c r="B232" s="2" t="s">
        <v>325</v>
      </c>
      <c r="C232" s="2" t="s">
        <v>73</v>
      </c>
      <c r="D232" s="2" t="s">
        <v>115</v>
      </c>
      <c r="E232" s="117">
        <v>1</v>
      </c>
      <c r="F232" s="117">
        <v>553</v>
      </c>
      <c r="G232" s="117">
        <v>49</v>
      </c>
      <c r="H232" s="117">
        <v>0</v>
      </c>
      <c r="I232" s="117">
        <v>49</v>
      </c>
      <c r="J232" s="117">
        <v>2</v>
      </c>
    </row>
    <row r="233" spans="1:10" x14ac:dyDescent="0.25">
      <c r="A233" s="269"/>
      <c r="B233" s="269"/>
      <c r="C233" s="269" t="s">
        <v>73</v>
      </c>
      <c r="D233" s="269"/>
      <c r="E233" s="269"/>
      <c r="F233" s="270">
        <v>389480</v>
      </c>
      <c r="G233" s="270">
        <v>8339</v>
      </c>
      <c r="H233" s="270">
        <v>175</v>
      </c>
      <c r="I233" s="270">
        <v>8306</v>
      </c>
      <c r="J233" s="270">
        <v>9</v>
      </c>
    </row>
    <row r="234" spans="1:10" x14ac:dyDescent="0.25">
      <c r="A234" s="2" t="s">
        <v>1586</v>
      </c>
      <c r="B234" s="2" t="s">
        <v>76</v>
      </c>
      <c r="C234" s="2" t="s">
        <v>77</v>
      </c>
      <c r="D234" s="2" t="s">
        <v>5</v>
      </c>
      <c r="E234" s="117">
        <v>5</v>
      </c>
      <c r="F234" s="117">
        <v>308455</v>
      </c>
      <c r="G234" s="117">
        <v>6496</v>
      </c>
      <c r="H234" s="117">
        <v>9</v>
      </c>
      <c r="I234" s="117">
        <v>6476</v>
      </c>
      <c r="J234" s="117">
        <v>6</v>
      </c>
    </row>
    <row r="235" spans="1:10" x14ac:dyDescent="0.25">
      <c r="A235" s="2" t="s">
        <v>1587</v>
      </c>
      <c r="B235" s="2" t="s">
        <v>253</v>
      </c>
      <c r="C235" s="2" t="s">
        <v>77</v>
      </c>
      <c r="D235" s="2" t="s">
        <v>115</v>
      </c>
      <c r="E235" s="117">
        <v>5</v>
      </c>
      <c r="F235" s="117">
        <v>125</v>
      </c>
      <c r="G235" s="117">
        <v>59</v>
      </c>
      <c r="H235" s="117">
        <v>0</v>
      </c>
      <c r="I235" s="117">
        <v>59</v>
      </c>
      <c r="J235" s="117">
        <v>3</v>
      </c>
    </row>
    <row r="236" spans="1:10" x14ac:dyDescent="0.25">
      <c r="A236" s="2" t="s">
        <v>1588</v>
      </c>
      <c r="B236" s="2" t="s">
        <v>254</v>
      </c>
      <c r="C236" s="2" t="s">
        <v>77</v>
      </c>
      <c r="D236" s="2" t="s">
        <v>115</v>
      </c>
      <c r="E236" s="117">
        <v>5</v>
      </c>
      <c r="F236" s="117">
        <v>816</v>
      </c>
      <c r="G236" s="117">
        <v>84</v>
      </c>
      <c r="H236" s="117">
        <v>0</v>
      </c>
      <c r="I236" s="117">
        <v>84</v>
      </c>
      <c r="J236" s="117">
        <v>3</v>
      </c>
    </row>
    <row r="237" spans="1:10" x14ac:dyDescent="0.25">
      <c r="A237" s="269"/>
      <c r="B237" s="269"/>
      <c r="C237" s="269" t="s">
        <v>77</v>
      </c>
      <c r="D237" s="269"/>
      <c r="E237" s="269"/>
      <c r="F237" s="270">
        <v>309396</v>
      </c>
      <c r="G237" s="270">
        <v>6639</v>
      </c>
      <c r="H237" s="270">
        <v>9</v>
      </c>
      <c r="I237" s="270">
        <v>6619</v>
      </c>
      <c r="J237" s="270">
        <v>6</v>
      </c>
    </row>
    <row r="238" spans="1:10" x14ac:dyDescent="0.25">
      <c r="A238" s="2" t="s">
        <v>1589</v>
      </c>
      <c r="B238" s="2" t="s">
        <v>78</v>
      </c>
      <c r="C238" s="2" t="s">
        <v>79</v>
      </c>
      <c r="D238" s="2" t="s">
        <v>5</v>
      </c>
      <c r="E238" s="117">
        <v>1</v>
      </c>
      <c r="F238" s="117">
        <v>233224</v>
      </c>
      <c r="G238" s="117">
        <v>2048</v>
      </c>
      <c r="H238" s="117">
        <v>110</v>
      </c>
      <c r="I238" s="117">
        <v>2039</v>
      </c>
      <c r="J238" s="117">
        <v>5</v>
      </c>
    </row>
    <row r="239" spans="1:10" x14ac:dyDescent="0.25">
      <c r="A239" s="2" t="s">
        <v>1590</v>
      </c>
      <c r="B239" s="2" t="s">
        <v>255</v>
      </c>
      <c r="C239" s="2" t="s">
        <v>79</v>
      </c>
      <c r="D239" s="2" t="s">
        <v>115</v>
      </c>
      <c r="E239" s="117">
        <v>1</v>
      </c>
      <c r="F239" s="117">
        <v>1914</v>
      </c>
      <c r="G239" s="117">
        <v>45</v>
      </c>
      <c r="H239" s="117">
        <v>5</v>
      </c>
      <c r="I239" s="117">
        <v>45</v>
      </c>
      <c r="J239" s="117">
        <v>3</v>
      </c>
    </row>
    <row r="240" spans="1:10" x14ac:dyDescent="0.25">
      <c r="A240" s="269"/>
      <c r="B240" s="269"/>
      <c r="C240" s="269" t="s">
        <v>79</v>
      </c>
      <c r="D240" s="269"/>
      <c r="E240" s="269"/>
      <c r="F240" s="270">
        <v>235138</v>
      </c>
      <c r="G240" s="270">
        <v>2093</v>
      </c>
      <c r="H240" s="270">
        <v>115</v>
      </c>
      <c r="I240" s="270">
        <v>2084</v>
      </c>
      <c r="J240" s="270">
        <v>5</v>
      </c>
    </row>
    <row r="241" spans="1:10" x14ac:dyDescent="0.25">
      <c r="A241" s="2" t="s">
        <v>1591</v>
      </c>
      <c r="B241" s="2" t="s">
        <v>80</v>
      </c>
      <c r="C241" s="2" t="s">
        <v>81</v>
      </c>
      <c r="D241" s="2" t="s">
        <v>5</v>
      </c>
      <c r="E241" s="117">
        <v>6</v>
      </c>
      <c r="F241" s="117">
        <v>109727</v>
      </c>
      <c r="G241" s="117">
        <v>1803</v>
      </c>
      <c r="H241" s="117">
        <v>43</v>
      </c>
      <c r="I241" s="117">
        <v>1801</v>
      </c>
      <c r="J241" s="117">
        <v>5</v>
      </c>
    </row>
    <row r="242" spans="1:10" x14ac:dyDescent="0.25">
      <c r="A242" s="2" t="s">
        <v>1592</v>
      </c>
      <c r="B242" s="2" t="s">
        <v>256</v>
      </c>
      <c r="C242" s="2" t="s">
        <v>81</v>
      </c>
      <c r="D242" s="2" t="s">
        <v>115</v>
      </c>
      <c r="E242" s="117">
        <v>6</v>
      </c>
      <c r="F242" s="117">
        <v>196</v>
      </c>
      <c r="G242" s="117">
        <v>18</v>
      </c>
      <c r="H242" s="117">
        <v>0</v>
      </c>
      <c r="I242" s="117">
        <v>18</v>
      </c>
      <c r="J242" s="117">
        <v>3</v>
      </c>
    </row>
    <row r="243" spans="1:10" x14ac:dyDescent="0.25">
      <c r="A243" s="2" t="s">
        <v>1593</v>
      </c>
      <c r="B243" s="2" t="s">
        <v>257</v>
      </c>
      <c r="C243" s="2" t="s">
        <v>81</v>
      </c>
      <c r="D243" s="2" t="s">
        <v>115</v>
      </c>
      <c r="E243" s="117">
        <v>6</v>
      </c>
      <c r="F243" s="117">
        <v>2433</v>
      </c>
      <c r="G243" s="117">
        <v>126</v>
      </c>
      <c r="H243" s="117">
        <v>7</v>
      </c>
      <c r="I243" s="117">
        <v>126</v>
      </c>
      <c r="J243" s="117">
        <v>3</v>
      </c>
    </row>
    <row r="244" spans="1:10" x14ac:dyDescent="0.25">
      <c r="A244" s="269"/>
      <c r="B244" s="269"/>
      <c r="C244" s="269" t="s">
        <v>81</v>
      </c>
      <c r="D244" s="269"/>
      <c r="E244" s="269"/>
      <c r="F244" s="270">
        <v>112356</v>
      </c>
      <c r="G244" s="270">
        <v>1947</v>
      </c>
      <c r="H244" s="270">
        <v>50</v>
      </c>
      <c r="I244" s="270">
        <v>1945</v>
      </c>
      <c r="J244" s="270">
        <v>5</v>
      </c>
    </row>
    <row r="245" spans="1:10" x14ac:dyDescent="0.25">
      <c r="A245" s="2" t="s">
        <v>1594</v>
      </c>
      <c r="B245" s="2" t="s">
        <v>82</v>
      </c>
      <c r="C245" s="2" t="s">
        <v>83</v>
      </c>
      <c r="D245" s="2" t="s">
        <v>5</v>
      </c>
      <c r="E245" s="117">
        <v>7</v>
      </c>
      <c r="F245" s="117">
        <v>225085</v>
      </c>
      <c r="G245" s="117">
        <v>5397</v>
      </c>
      <c r="H245" s="117">
        <v>241</v>
      </c>
      <c r="I245" s="117">
        <v>5388</v>
      </c>
      <c r="J245" s="117">
        <v>6</v>
      </c>
    </row>
    <row r="246" spans="1:10" x14ac:dyDescent="0.25">
      <c r="A246" s="2" t="s">
        <v>1595</v>
      </c>
      <c r="B246" s="2" t="s">
        <v>261</v>
      </c>
      <c r="C246" s="2" t="s">
        <v>83</v>
      </c>
      <c r="D246" s="2" t="s">
        <v>115</v>
      </c>
      <c r="E246" s="117">
        <v>7</v>
      </c>
      <c r="F246" s="117">
        <v>1822</v>
      </c>
      <c r="G246" s="117">
        <v>534</v>
      </c>
      <c r="H246" s="117">
        <v>11</v>
      </c>
      <c r="I246" s="117">
        <v>534</v>
      </c>
      <c r="J246" s="117">
        <v>4</v>
      </c>
    </row>
    <row r="247" spans="1:10" x14ac:dyDescent="0.25">
      <c r="A247" s="269"/>
      <c r="B247" s="269"/>
      <c r="C247" s="269" t="s">
        <v>83</v>
      </c>
      <c r="D247" s="269"/>
      <c r="E247" s="269"/>
      <c r="F247" s="270">
        <v>226907</v>
      </c>
      <c r="G247" s="270">
        <v>5931</v>
      </c>
      <c r="H247" s="270">
        <v>252</v>
      </c>
      <c r="I247" s="270">
        <v>5922</v>
      </c>
      <c r="J247" s="270">
        <v>6</v>
      </c>
    </row>
    <row r="248" spans="1:10" x14ac:dyDescent="0.25">
      <c r="A248" s="2" t="s">
        <v>1596</v>
      </c>
      <c r="B248" s="2" t="s">
        <v>84</v>
      </c>
      <c r="C248" s="2" t="s">
        <v>85</v>
      </c>
      <c r="D248" s="2" t="s">
        <v>5</v>
      </c>
      <c r="E248" s="117">
        <v>2</v>
      </c>
      <c r="F248" s="117">
        <v>323384</v>
      </c>
      <c r="G248" s="117">
        <v>9157</v>
      </c>
      <c r="H248" s="117">
        <v>189</v>
      </c>
      <c r="I248" s="117">
        <v>9085</v>
      </c>
      <c r="J248" s="117">
        <v>7</v>
      </c>
    </row>
    <row r="249" spans="1:10" x14ac:dyDescent="0.25">
      <c r="A249" s="2" t="s">
        <v>1413</v>
      </c>
      <c r="B249" s="2" t="s">
        <v>127</v>
      </c>
      <c r="C249" s="2" t="s">
        <v>85</v>
      </c>
      <c r="D249" s="2" t="s">
        <v>115</v>
      </c>
      <c r="E249" s="117">
        <v>2</v>
      </c>
      <c r="F249" s="117">
        <v>859</v>
      </c>
      <c r="G249" s="117">
        <v>72</v>
      </c>
      <c r="H249" s="117">
        <v>5</v>
      </c>
      <c r="I249" s="117">
        <v>72</v>
      </c>
      <c r="J249" s="117">
        <v>3</v>
      </c>
    </row>
    <row r="250" spans="1:10" x14ac:dyDescent="0.25">
      <c r="A250" s="2" t="s">
        <v>1597</v>
      </c>
      <c r="B250" s="2" t="s">
        <v>262</v>
      </c>
      <c r="C250" s="2" t="s">
        <v>85</v>
      </c>
      <c r="D250" s="2" t="s">
        <v>115</v>
      </c>
      <c r="E250" s="117">
        <v>2</v>
      </c>
      <c r="F250" s="117">
        <v>567</v>
      </c>
      <c r="G250" s="117">
        <v>87</v>
      </c>
      <c r="H250" s="117">
        <v>0</v>
      </c>
      <c r="I250" s="117">
        <v>86</v>
      </c>
      <c r="J250" s="117">
        <v>4</v>
      </c>
    </row>
    <row r="251" spans="1:10" x14ac:dyDescent="0.25">
      <c r="A251" s="2" t="s">
        <v>1598</v>
      </c>
      <c r="B251" s="2" t="s">
        <v>275</v>
      </c>
      <c r="C251" s="2" t="s">
        <v>85</v>
      </c>
      <c r="D251" s="2" t="s">
        <v>115</v>
      </c>
      <c r="E251" s="117">
        <v>2</v>
      </c>
      <c r="F251" s="117">
        <v>1056</v>
      </c>
      <c r="G251" s="117">
        <v>80</v>
      </c>
      <c r="H251" s="117">
        <v>1</v>
      </c>
      <c r="I251" s="117">
        <v>77</v>
      </c>
      <c r="J251" s="117">
        <v>3</v>
      </c>
    </row>
    <row r="252" spans="1:10" x14ac:dyDescent="0.25">
      <c r="A252" s="2" t="s">
        <v>1599</v>
      </c>
      <c r="B252" s="2" t="s">
        <v>281</v>
      </c>
      <c r="C252" s="2" t="s">
        <v>85</v>
      </c>
      <c r="D252" s="2" t="s">
        <v>115</v>
      </c>
      <c r="E252" s="117">
        <v>2</v>
      </c>
      <c r="F252" s="117">
        <v>533</v>
      </c>
      <c r="G252" s="117">
        <v>82</v>
      </c>
      <c r="H252" s="117">
        <v>2</v>
      </c>
      <c r="I252" s="117">
        <v>82</v>
      </c>
      <c r="J252" s="117">
        <v>3</v>
      </c>
    </row>
    <row r="253" spans="1:10" x14ac:dyDescent="0.25">
      <c r="A253" s="2" t="s">
        <v>1600</v>
      </c>
      <c r="B253" s="2" t="s">
        <v>282</v>
      </c>
      <c r="C253" s="2" t="s">
        <v>85</v>
      </c>
      <c r="D253" s="2" t="s">
        <v>115</v>
      </c>
      <c r="E253" s="117">
        <v>2</v>
      </c>
      <c r="F253" s="117">
        <v>1388</v>
      </c>
      <c r="G253" s="117">
        <v>172</v>
      </c>
      <c r="H253" s="117">
        <v>9</v>
      </c>
      <c r="I253" s="117">
        <v>169</v>
      </c>
      <c r="J253" s="117">
        <v>4</v>
      </c>
    </row>
    <row r="254" spans="1:10" x14ac:dyDescent="0.25">
      <c r="A254" s="269"/>
      <c r="B254" s="269"/>
      <c r="C254" s="269" t="s">
        <v>85</v>
      </c>
      <c r="D254" s="269"/>
      <c r="E254" s="269"/>
      <c r="F254" s="270">
        <v>327787</v>
      </c>
      <c r="G254" s="270">
        <v>9650</v>
      </c>
      <c r="H254" s="270">
        <v>206</v>
      </c>
      <c r="I254" s="270">
        <v>9571</v>
      </c>
      <c r="J254" s="270">
        <v>7</v>
      </c>
    </row>
    <row r="255" spans="1:10" x14ac:dyDescent="0.25">
      <c r="A255" s="2" t="s">
        <v>1601</v>
      </c>
      <c r="B255" s="2" t="s">
        <v>86</v>
      </c>
      <c r="C255" s="2" t="s">
        <v>87</v>
      </c>
      <c r="D255" s="2" t="s">
        <v>5</v>
      </c>
      <c r="E255" s="117">
        <v>4</v>
      </c>
      <c r="F255" s="117">
        <v>354803</v>
      </c>
      <c r="G255" s="117">
        <v>6297</v>
      </c>
      <c r="H255" s="117">
        <v>205</v>
      </c>
      <c r="I255" s="117">
        <v>6283</v>
      </c>
      <c r="J255" s="117">
        <v>8</v>
      </c>
    </row>
    <row r="256" spans="1:10" x14ac:dyDescent="0.25">
      <c r="A256" s="2" t="s">
        <v>1602</v>
      </c>
      <c r="B256" s="2" t="s">
        <v>263</v>
      </c>
      <c r="C256" s="2" t="s">
        <v>87</v>
      </c>
      <c r="D256" s="2" t="s">
        <v>115</v>
      </c>
      <c r="E256" s="117">
        <v>4</v>
      </c>
      <c r="F256" s="117">
        <v>303</v>
      </c>
      <c r="G256" s="117">
        <v>43</v>
      </c>
      <c r="H256" s="117">
        <v>1</v>
      </c>
      <c r="I256" s="117">
        <v>43</v>
      </c>
      <c r="J256" s="117">
        <v>3</v>
      </c>
    </row>
    <row r="257" spans="1:10" x14ac:dyDescent="0.25">
      <c r="A257" s="2" t="s">
        <v>1603</v>
      </c>
      <c r="B257" s="2" t="s">
        <v>264</v>
      </c>
      <c r="C257" s="2" t="s">
        <v>87</v>
      </c>
      <c r="D257" s="2" t="s">
        <v>115</v>
      </c>
      <c r="E257" s="117">
        <v>4</v>
      </c>
      <c r="F257" s="117">
        <v>214</v>
      </c>
      <c r="G257" s="117">
        <v>18</v>
      </c>
      <c r="H257" s="117">
        <v>0</v>
      </c>
      <c r="I257" s="117">
        <v>18</v>
      </c>
      <c r="J257" s="117">
        <v>4</v>
      </c>
    </row>
    <row r="258" spans="1:10" x14ac:dyDescent="0.25">
      <c r="A258" s="2" t="s">
        <v>1604</v>
      </c>
      <c r="B258" s="2" t="s">
        <v>265</v>
      </c>
      <c r="C258" s="2" t="s">
        <v>87</v>
      </c>
      <c r="D258" s="2" t="s">
        <v>115</v>
      </c>
      <c r="E258" s="117">
        <v>4</v>
      </c>
      <c r="F258" s="117">
        <v>403</v>
      </c>
      <c r="G258" s="117">
        <v>56</v>
      </c>
      <c r="H258" s="117">
        <v>4</v>
      </c>
      <c r="I258" s="117">
        <v>56</v>
      </c>
      <c r="J258" s="117">
        <v>3</v>
      </c>
    </row>
    <row r="259" spans="1:10" x14ac:dyDescent="0.25">
      <c r="A259" s="269"/>
      <c r="B259" s="269"/>
      <c r="C259" s="269" t="s">
        <v>87</v>
      </c>
      <c r="D259" s="269"/>
      <c r="E259" s="269"/>
      <c r="F259" s="270">
        <v>355723</v>
      </c>
      <c r="G259" s="270">
        <v>6414</v>
      </c>
      <c r="H259" s="270">
        <v>210</v>
      </c>
      <c r="I259" s="270">
        <v>6400</v>
      </c>
      <c r="J259" s="270">
        <v>8</v>
      </c>
    </row>
    <row r="260" spans="1:10" x14ac:dyDescent="0.25">
      <c r="A260" s="2" t="s">
        <v>1605</v>
      </c>
      <c r="B260" s="2" t="s">
        <v>88</v>
      </c>
      <c r="C260" s="2" t="s">
        <v>89</v>
      </c>
      <c r="D260" s="2" t="s">
        <v>5</v>
      </c>
      <c r="E260" s="117">
        <v>10</v>
      </c>
      <c r="F260" s="117">
        <v>228227</v>
      </c>
      <c r="G260" s="117">
        <v>5735</v>
      </c>
      <c r="H260" s="117">
        <v>374</v>
      </c>
      <c r="I260" s="117">
        <v>5711</v>
      </c>
      <c r="J260" s="117">
        <v>7</v>
      </c>
    </row>
    <row r="261" spans="1:10" x14ac:dyDescent="0.25">
      <c r="A261" s="2" t="s">
        <v>1606</v>
      </c>
      <c r="B261" s="2" t="s">
        <v>259</v>
      </c>
      <c r="C261" s="2" t="s">
        <v>89</v>
      </c>
      <c r="D261" s="2" t="s">
        <v>115</v>
      </c>
      <c r="E261" s="117">
        <v>5</v>
      </c>
      <c r="F261" s="117">
        <v>332</v>
      </c>
      <c r="G261" s="117">
        <v>35</v>
      </c>
      <c r="H261" s="117">
        <v>1</v>
      </c>
      <c r="I261" s="117">
        <v>35</v>
      </c>
      <c r="J261" s="117">
        <v>2</v>
      </c>
    </row>
    <row r="262" spans="1:10" x14ac:dyDescent="0.25">
      <c r="A262" s="2" t="s">
        <v>1607</v>
      </c>
      <c r="B262" s="2" t="s">
        <v>266</v>
      </c>
      <c r="C262" s="2" t="s">
        <v>89</v>
      </c>
      <c r="D262" s="2" t="s">
        <v>115</v>
      </c>
      <c r="E262" s="117">
        <v>10</v>
      </c>
      <c r="F262" s="117">
        <v>1735</v>
      </c>
      <c r="G262" s="117">
        <v>518</v>
      </c>
      <c r="H262" s="117">
        <v>11</v>
      </c>
      <c r="I262" s="117">
        <v>517</v>
      </c>
      <c r="J262" s="117">
        <v>5</v>
      </c>
    </row>
    <row r="263" spans="1:10" x14ac:dyDescent="0.25">
      <c r="A263" s="2" t="s">
        <v>1608</v>
      </c>
      <c r="B263" s="2" t="s">
        <v>267</v>
      </c>
      <c r="C263" s="2" t="s">
        <v>89</v>
      </c>
      <c r="D263" s="2" t="s">
        <v>115</v>
      </c>
      <c r="E263" s="117">
        <v>10</v>
      </c>
      <c r="F263" s="117">
        <v>243</v>
      </c>
      <c r="G263" s="117">
        <v>86</v>
      </c>
      <c r="H263" s="117">
        <v>14</v>
      </c>
      <c r="I263" s="117">
        <v>86</v>
      </c>
      <c r="J263" s="117">
        <v>3</v>
      </c>
    </row>
    <row r="264" spans="1:10" x14ac:dyDescent="0.25">
      <c r="A264" s="2" t="s">
        <v>1609</v>
      </c>
      <c r="B264" s="2" t="s">
        <v>301</v>
      </c>
      <c r="C264" s="2" t="s">
        <v>89</v>
      </c>
      <c r="D264" s="2" t="s">
        <v>115</v>
      </c>
      <c r="E264" s="117">
        <v>10</v>
      </c>
      <c r="F264" s="117">
        <v>322</v>
      </c>
      <c r="G264" s="117">
        <v>53</v>
      </c>
      <c r="H264" s="117">
        <v>0</v>
      </c>
      <c r="I264" s="117">
        <v>53</v>
      </c>
      <c r="J264" s="117">
        <v>3</v>
      </c>
    </row>
    <row r="265" spans="1:10" x14ac:dyDescent="0.25">
      <c r="A265" s="2" t="s">
        <v>1610</v>
      </c>
      <c r="B265" s="2" t="s">
        <v>303</v>
      </c>
      <c r="C265" s="2" t="s">
        <v>89</v>
      </c>
      <c r="D265" s="2" t="s">
        <v>115</v>
      </c>
      <c r="E265" s="117">
        <v>10</v>
      </c>
      <c r="F265" s="117">
        <v>191</v>
      </c>
      <c r="G265" s="117">
        <v>33</v>
      </c>
      <c r="H265" s="117">
        <v>1</v>
      </c>
      <c r="I265" s="117">
        <v>33</v>
      </c>
      <c r="J265" s="117">
        <v>2</v>
      </c>
    </row>
    <row r="266" spans="1:10" x14ac:dyDescent="0.25">
      <c r="A266" s="269"/>
      <c r="B266" s="269"/>
      <c r="C266" s="269" t="s">
        <v>89</v>
      </c>
      <c r="D266" s="269"/>
      <c r="E266" s="269"/>
      <c r="F266" s="270">
        <v>231050</v>
      </c>
      <c r="G266" s="270">
        <v>6460</v>
      </c>
      <c r="H266" s="270">
        <v>401</v>
      </c>
      <c r="I266" s="270">
        <v>6435</v>
      </c>
      <c r="J266" s="270">
        <v>7</v>
      </c>
    </row>
    <row r="267" spans="1:10" x14ac:dyDescent="0.25">
      <c r="A267" s="2" t="s">
        <v>1611</v>
      </c>
      <c r="B267" s="2" t="s">
        <v>90</v>
      </c>
      <c r="C267" s="2" t="s">
        <v>91</v>
      </c>
      <c r="D267" s="2" t="s">
        <v>5</v>
      </c>
      <c r="E267" s="117">
        <v>5</v>
      </c>
      <c r="F267" s="117">
        <v>149950</v>
      </c>
      <c r="G267" s="117">
        <v>6772</v>
      </c>
      <c r="H267" s="117">
        <v>196</v>
      </c>
      <c r="I267" s="117">
        <v>6753</v>
      </c>
      <c r="J267" s="117">
        <v>6</v>
      </c>
    </row>
    <row r="268" spans="1:10" x14ac:dyDescent="0.25">
      <c r="A268" s="2" t="s">
        <v>1612</v>
      </c>
      <c r="B268" s="2" t="s">
        <v>268</v>
      </c>
      <c r="C268" s="2" t="s">
        <v>91</v>
      </c>
      <c r="D268" s="2" t="s">
        <v>115</v>
      </c>
      <c r="E268" s="117">
        <v>5</v>
      </c>
      <c r="F268" s="117">
        <v>343</v>
      </c>
      <c r="G268" s="117">
        <v>107</v>
      </c>
      <c r="H268" s="117">
        <v>2</v>
      </c>
      <c r="I268" s="117">
        <v>107</v>
      </c>
      <c r="J268" s="117">
        <v>3</v>
      </c>
    </row>
    <row r="269" spans="1:10" x14ac:dyDescent="0.25">
      <c r="A269" s="269"/>
      <c r="B269" s="269"/>
      <c r="C269" s="269" t="s">
        <v>91</v>
      </c>
      <c r="D269" s="269"/>
      <c r="E269" s="269"/>
      <c r="F269" s="270">
        <v>150293</v>
      </c>
      <c r="G269" s="270">
        <v>6879</v>
      </c>
      <c r="H269" s="270">
        <v>198</v>
      </c>
      <c r="I269" s="270">
        <v>6860</v>
      </c>
      <c r="J269" s="270">
        <v>6</v>
      </c>
    </row>
    <row r="270" spans="1:10" x14ac:dyDescent="0.25">
      <c r="A270" s="2" t="s">
        <v>1613</v>
      </c>
      <c r="B270" s="2" t="s">
        <v>92</v>
      </c>
      <c r="C270" s="2" t="s">
        <v>93</v>
      </c>
      <c r="D270" s="2" t="s">
        <v>5</v>
      </c>
      <c r="E270" s="117">
        <v>5</v>
      </c>
      <c r="F270" s="117">
        <v>229238</v>
      </c>
      <c r="G270" s="117">
        <v>14190</v>
      </c>
      <c r="H270" s="117">
        <v>405</v>
      </c>
      <c r="I270" s="117">
        <v>14111</v>
      </c>
      <c r="J270" s="117">
        <v>7</v>
      </c>
    </row>
    <row r="271" spans="1:10" x14ac:dyDescent="0.25">
      <c r="A271" s="2" t="s">
        <v>1614</v>
      </c>
      <c r="B271" s="2" t="s">
        <v>143</v>
      </c>
      <c r="C271" s="2" t="s">
        <v>93</v>
      </c>
      <c r="D271" s="2" t="s">
        <v>115</v>
      </c>
      <c r="E271" s="117">
        <v>5</v>
      </c>
      <c r="F271" s="117">
        <v>353</v>
      </c>
      <c r="G271" s="117">
        <v>12</v>
      </c>
      <c r="H271" s="117">
        <v>2</v>
      </c>
      <c r="I271" s="117">
        <v>11</v>
      </c>
      <c r="J271" s="117">
        <v>2</v>
      </c>
    </row>
    <row r="272" spans="1:10" x14ac:dyDescent="0.25">
      <c r="A272" s="2" t="s">
        <v>1615</v>
      </c>
      <c r="B272" s="2" t="s">
        <v>269</v>
      </c>
      <c r="C272" s="2" t="s">
        <v>93</v>
      </c>
      <c r="D272" s="2" t="s">
        <v>115</v>
      </c>
      <c r="E272" s="117">
        <v>5</v>
      </c>
      <c r="F272" s="117">
        <v>7879</v>
      </c>
      <c r="G272" s="117">
        <v>936</v>
      </c>
      <c r="H272" s="117">
        <v>93</v>
      </c>
      <c r="I272" s="117">
        <v>933</v>
      </c>
      <c r="J272" s="117">
        <v>5</v>
      </c>
    </row>
    <row r="273" spans="1:10" x14ac:dyDescent="0.25">
      <c r="A273" s="2" t="s">
        <v>1616</v>
      </c>
      <c r="B273" s="2" t="s">
        <v>270</v>
      </c>
      <c r="C273" s="2" t="s">
        <v>93</v>
      </c>
      <c r="D273" s="2" t="s">
        <v>115</v>
      </c>
      <c r="E273" s="117">
        <v>5</v>
      </c>
      <c r="F273" s="117">
        <v>2525</v>
      </c>
      <c r="G273" s="117">
        <v>224</v>
      </c>
      <c r="H273" s="117">
        <v>5</v>
      </c>
      <c r="I273" s="117">
        <v>224</v>
      </c>
      <c r="J273" s="117">
        <v>3</v>
      </c>
    </row>
    <row r="274" spans="1:10" x14ac:dyDescent="0.25">
      <c r="A274" s="2" t="s">
        <v>1617</v>
      </c>
      <c r="B274" s="2" t="s">
        <v>271</v>
      </c>
      <c r="C274" s="2" t="s">
        <v>93</v>
      </c>
      <c r="D274" s="2" t="s">
        <v>115</v>
      </c>
      <c r="E274" s="117">
        <v>5</v>
      </c>
      <c r="F274" s="117">
        <v>1055</v>
      </c>
      <c r="G274" s="117">
        <v>146</v>
      </c>
      <c r="H274" s="117">
        <v>10</v>
      </c>
      <c r="I274" s="117">
        <v>145</v>
      </c>
      <c r="J274" s="117">
        <v>3</v>
      </c>
    </row>
    <row r="275" spans="1:10" x14ac:dyDescent="0.25">
      <c r="A275" s="269"/>
      <c r="B275" s="269"/>
      <c r="C275" s="269" t="s">
        <v>93</v>
      </c>
      <c r="D275" s="269"/>
      <c r="E275" s="269"/>
      <c r="F275" s="270">
        <v>241050</v>
      </c>
      <c r="G275" s="270">
        <v>15508</v>
      </c>
      <c r="H275" s="270">
        <v>515</v>
      </c>
      <c r="I275" s="270">
        <v>15424</v>
      </c>
      <c r="J275" s="270">
        <v>7</v>
      </c>
    </row>
    <row r="276" spans="1:10" x14ac:dyDescent="0.25">
      <c r="A276" s="2" t="s">
        <v>1618</v>
      </c>
      <c r="B276" s="2" t="s">
        <v>96</v>
      </c>
      <c r="C276" s="2" t="s">
        <v>97</v>
      </c>
      <c r="D276" s="2" t="s">
        <v>5</v>
      </c>
      <c r="E276" s="117">
        <v>5</v>
      </c>
      <c r="F276" s="117">
        <v>286084</v>
      </c>
      <c r="G276" s="117">
        <v>6826</v>
      </c>
      <c r="H276" s="117">
        <v>130</v>
      </c>
      <c r="I276" s="117">
        <v>6805</v>
      </c>
      <c r="J276" s="117">
        <v>6</v>
      </c>
    </row>
    <row r="277" spans="1:10" x14ac:dyDescent="0.25">
      <c r="A277" s="2" t="s">
        <v>1619</v>
      </c>
      <c r="B277" s="2" t="s">
        <v>216</v>
      </c>
      <c r="C277" s="2" t="s">
        <v>97</v>
      </c>
      <c r="D277" s="2" t="s">
        <v>115</v>
      </c>
      <c r="E277" s="117">
        <v>5</v>
      </c>
      <c r="F277" s="117">
        <v>1020</v>
      </c>
      <c r="G277" s="117">
        <v>9</v>
      </c>
      <c r="H277" s="117">
        <v>0</v>
      </c>
      <c r="I277" s="117">
        <v>9</v>
      </c>
      <c r="J277" s="117">
        <v>4</v>
      </c>
    </row>
    <row r="278" spans="1:10" x14ac:dyDescent="0.25">
      <c r="A278" s="2" t="s">
        <v>1620</v>
      </c>
      <c r="B278" s="2" t="s">
        <v>250</v>
      </c>
      <c r="C278" s="2" t="s">
        <v>97</v>
      </c>
      <c r="D278" s="2" t="s">
        <v>115</v>
      </c>
      <c r="E278" s="117">
        <v>5</v>
      </c>
      <c r="F278" s="117">
        <v>312</v>
      </c>
      <c r="G278" s="117">
        <v>30</v>
      </c>
      <c r="H278" s="117">
        <v>2</v>
      </c>
      <c r="I278" s="117">
        <v>30</v>
      </c>
      <c r="J278" s="117">
        <v>4</v>
      </c>
    </row>
    <row r="279" spans="1:10" x14ac:dyDescent="0.25">
      <c r="A279" s="2" t="s">
        <v>1621</v>
      </c>
      <c r="B279" s="2" t="s">
        <v>251</v>
      </c>
      <c r="C279" s="2" t="s">
        <v>97</v>
      </c>
      <c r="D279" s="2" t="s">
        <v>115</v>
      </c>
      <c r="E279" s="117">
        <v>5</v>
      </c>
      <c r="F279" s="117">
        <v>720</v>
      </c>
      <c r="G279" s="117">
        <v>33</v>
      </c>
      <c r="H279" s="117">
        <v>0</v>
      </c>
      <c r="I279" s="117">
        <v>33</v>
      </c>
      <c r="J279" s="117">
        <v>2</v>
      </c>
    </row>
    <row r="280" spans="1:10" x14ac:dyDescent="0.25">
      <c r="A280" s="2" t="s">
        <v>1622</v>
      </c>
      <c r="B280" s="2" t="s">
        <v>252</v>
      </c>
      <c r="C280" s="2" t="s">
        <v>97</v>
      </c>
      <c r="D280" s="2" t="s">
        <v>115</v>
      </c>
      <c r="E280" s="117">
        <v>5</v>
      </c>
      <c r="F280" s="117">
        <v>1742</v>
      </c>
      <c r="G280" s="117">
        <v>52</v>
      </c>
      <c r="H280" s="117">
        <v>0</v>
      </c>
      <c r="I280" s="117">
        <v>52</v>
      </c>
      <c r="J280" s="117">
        <v>2</v>
      </c>
    </row>
    <row r="281" spans="1:10" x14ac:dyDescent="0.25">
      <c r="A281" s="2" t="s">
        <v>1623</v>
      </c>
      <c r="B281" s="2" t="s">
        <v>305</v>
      </c>
      <c r="C281" s="2" t="s">
        <v>97</v>
      </c>
      <c r="D281" s="2" t="s">
        <v>115</v>
      </c>
      <c r="E281" s="117">
        <v>5</v>
      </c>
      <c r="F281" s="117">
        <v>215</v>
      </c>
      <c r="G281" s="117">
        <v>22</v>
      </c>
      <c r="H281" s="117">
        <v>0</v>
      </c>
      <c r="I281" s="117">
        <v>22</v>
      </c>
      <c r="J281" s="117">
        <v>3</v>
      </c>
    </row>
    <row r="282" spans="1:10" x14ac:dyDescent="0.25">
      <c r="A282" s="2" t="s">
        <v>1624</v>
      </c>
      <c r="B282" s="2" t="s">
        <v>306</v>
      </c>
      <c r="C282" s="2" t="s">
        <v>97</v>
      </c>
      <c r="D282" s="2" t="s">
        <v>115</v>
      </c>
      <c r="E282" s="117">
        <v>5</v>
      </c>
      <c r="F282" s="117">
        <v>156</v>
      </c>
      <c r="G282" s="117">
        <v>16</v>
      </c>
      <c r="H282" s="117">
        <v>0</v>
      </c>
      <c r="I282" s="117">
        <v>16</v>
      </c>
      <c r="J282" s="117">
        <v>2</v>
      </c>
    </row>
    <row r="283" spans="1:10" x14ac:dyDescent="0.25">
      <c r="A283" s="269"/>
      <c r="B283" s="269"/>
      <c r="C283" s="269" t="s">
        <v>97</v>
      </c>
      <c r="D283" s="269"/>
      <c r="E283" s="269"/>
      <c r="F283" s="270">
        <v>290249</v>
      </c>
      <c r="G283" s="270">
        <v>6988</v>
      </c>
      <c r="H283" s="270">
        <v>132</v>
      </c>
      <c r="I283" s="270">
        <v>6967</v>
      </c>
      <c r="J283" s="270">
        <v>6</v>
      </c>
    </row>
    <row r="284" spans="1:10" x14ac:dyDescent="0.25">
      <c r="A284" s="2" t="s">
        <v>1625</v>
      </c>
      <c r="B284" s="2" t="s">
        <v>98</v>
      </c>
      <c r="C284" s="2" t="s">
        <v>99</v>
      </c>
      <c r="D284" s="2" t="s">
        <v>5</v>
      </c>
      <c r="E284" s="117">
        <v>5</v>
      </c>
      <c r="F284" s="117">
        <v>85133</v>
      </c>
      <c r="G284" s="117">
        <v>3264</v>
      </c>
      <c r="H284" s="117">
        <v>400</v>
      </c>
      <c r="I284" s="117">
        <v>3238</v>
      </c>
      <c r="J284" s="117">
        <v>5</v>
      </c>
    </row>
    <row r="285" spans="1:10" x14ac:dyDescent="0.25">
      <c r="A285" s="2" t="s">
        <v>1626</v>
      </c>
      <c r="B285" s="2" t="s">
        <v>232</v>
      </c>
      <c r="C285" s="2" t="s">
        <v>99</v>
      </c>
      <c r="D285" s="2" t="s">
        <v>115</v>
      </c>
      <c r="E285" s="117">
        <v>5</v>
      </c>
      <c r="F285" s="117">
        <v>657</v>
      </c>
      <c r="G285" s="117">
        <v>56</v>
      </c>
      <c r="H285" s="117">
        <v>6</v>
      </c>
      <c r="I285" s="117">
        <v>56</v>
      </c>
      <c r="J285" s="117">
        <v>2</v>
      </c>
    </row>
    <row r="286" spans="1:10" x14ac:dyDescent="0.25">
      <c r="A286" s="2" t="s">
        <v>1627</v>
      </c>
      <c r="B286" s="2" t="s">
        <v>299</v>
      </c>
      <c r="C286" s="2" t="s">
        <v>99</v>
      </c>
      <c r="D286" s="2" t="s">
        <v>115</v>
      </c>
      <c r="E286" s="117">
        <v>5</v>
      </c>
      <c r="F286" s="117">
        <v>262</v>
      </c>
      <c r="G286" s="117">
        <v>16</v>
      </c>
      <c r="H286" s="117">
        <v>1</v>
      </c>
      <c r="I286" s="117">
        <v>16</v>
      </c>
      <c r="J286" s="117">
        <v>2</v>
      </c>
    </row>
    <row r="287" spans="1:10" x14ac:dyDescent="0.25">
      <c r="A287" s="269"/>
      <c r="B287" s="269"/>
      <c r="C287" s="269" t="s">
        <v>99</v>
      </c>
      <c r="D287" s="269"/>
      <c r="E287" s="269"/>
      <c r="F287" s="270">
        <v>86052</v>
      </c>
      <c r="G287" s="270">
        <v>3336</v>
      </c>
      <c r="H287" s="270">
        <v>407</v>
      </c>
      <c r="I287" s="270">
        <v>3310</v>
      </c>
      <c r="J287" s="270">
        <v>5</v>
      </c>
    </row>
    <row r="288" spans="1:10" x14ac:dyDescent="0.25">
      <c r="A288" s="2" t="s">
        <v>1628</v>
      </c>
      <c r="B288" s="2" t="s">
        <v>100</v>
      </c>
      <c r="C288" s="2" t="s">
        <v>101</v>
      </c>
      <c r="D288" s="2" t="s">
        <v>5</v>
      </c>
      <c r="E288" s="117">
        <v>8</v>
      </c>
      <c r="F288" s="117">
        <v>411595</v>
      </c>
      <c r="G288" s="117">
        <v>18986</v>
      </c>
      <c r="H288" s="117">
        <v>555</v>
      </c>
      <c r="I288" s="117">
        <v>18929</v>
      </c>
      <c r="J288" s="117">
        <v>9</v>
      </c>
    </row>
    <row r="289" spans="1:10" x14ac:dyDescent="0.25">
      <c r="A289" s="2" t="s">
        <v>1629</v>
      </c>
      <c r="B289" s="2" t="s">
        <v>147</v>
      </c>
      <c r="C289" s="2" t="s">
        <v>101</v>
      </c>
      <c r="D289" s="2" t="s">
        <v>115</v>
      </c>
      <c r="E289" s="117">
        <v>8</v>
      </c>
      <c r="F289" s="117">
        <v>447</v>
      </c>
      <c r="G289" s="117">
        <v>56</v>
      </c>
      <c r="H289" s="117">
        <v>1</v>
      </c>
      <c r="I289" s="117">
        <v>56</v>
      </c>
      <c r="J289" s="117">
        <v>3</v>
      </c>
    </row>
    <row r="290" spans="1:10" x14ac:dyDescent="0.25">
      <c r="A290" s="2" t="s">
        <v>1630</v>
      </c>
      <c r="B290" s="2" t="s">
        <v>319</v>
      </c>
      <c r="C290" s="2" t="s">
        <v>101</v>
      </c>
      <c r="D290" s="2" t="s">
        <v>115</v>
      </c>
      <c r="E290" s="117">
        <v>8</v>
      </c>
      <c r="F290" s="117">
        <v>615</v>
      </c>
      <c r="G290" s="117">
        <v>22</v>
      </c>
      <c r="H290" s="117">
        <v>0</v>
      </c>
      <c r="I290" s="117">
        <v>21</v>
      </c>
      <c r="J290" s="117">
        <v>3</v>
      </c>
    </row>
    <row r="291" spans="1:10" x14ac:dyDescent="0.25">
      <c r="A291" s="269"/>
      <c r="B291" s="269"/>
      <c r="C291" s="269" t="s">
        <v>101</v>
      </c>
      <c r="D291" s="269"/>
      <c r="E291" s="269"/>
      <c r="F291" s="270">
        <v>412657</v>
      </c>
      <c r="G291" s="270">
        <v>19064</v>
      </c>
      <c r="H291" s="270">
        <v>556</v>
      </c>
      <c r="I291" s="270">
        <v>19006</v>
      </c>
      <c r="J291" s="270">
        <v>9</v>
      </c>
    </row>
    <row r="292" spans="1:10" x14ac:dyDescent="0.25">
      <c r="A292" s="2" t="s">
        <v>1631</v>
      </c>
      <c r="B292" s="2" t="s">
        <v>102</v>
      </c>
      <c r="C292" s="2" t="s">
        <v>103</v>
      </c>
      <c r="D292" s="2" t="s">
        <v>5</v>
      </c>
      <c r="E292" s="117">
        <v>5</v>
      </c>
      <c r="F292" s="117">
        <v>165884</v>
      </c>
      <c r="G292" s="117">
        <v>7064</v>
      </c>
      <c r="H292" s="117">
        <v>277</v>
      </c>
      <c r="I292" s="117">
        <v>7029</v>
      </c>
      <c r="J292" s="117">
        <v>8</v>
      </c>
    </row>
    <row r="293" spans="1:10" x14ac:dyDescent="0.25">
      <c r="A293" s="2" t="s">
        <v>1632</v>
      </c>
      <c r="B293" s="2" t="s">
        <v>258</v>
      </c>
      <c r="C293" s="2" t="s">
        <v>103</v>
      </c>
      <c r="D293" s="2" t="s">
        <v>115</v>
      </c>
      <c r="E293" s="117">
        <v>5</v>
      </c>
      <c r="F293" s="117">
        <v>242</v>
      </c>
      <c r="G293" s="117">
        <v>14</v>
      </c>
      <c r="H293" s="117">
        <v>1</v>
      </c>
      <c r="I293" s="117">
        <v>14</v>
      </c>
      <c r="J293" s="117">
        <v>3</v>
      </c>
    </row>
    <row r="294" spans="1:10" x14ac:dyDescent="0.25">
      <c r="A294" s="2" t="s">
        <v>1606</v>
      </c>
      <c r="B294" s="2" t="s">
        <v>259</v>
      </c>
      <c r="C294" s="2" t="s">
        <v>103</v>
      </c>
      <c r="D294" s="2" t="s">
        <v>115</v>
      </c>
      <c r="E294" s="117">
        <v>5</v>
      </c>
      <c r="F294" s="117">
        <v>210</v>
      </c>
      <c r="G294" s="117">
        <v>25</v>
      </c>
      <c r="H294" s="117">
        <v>2</v>
      </c>
      <c r="I294" s="117">
        <v>25</v>
      </c>
      <c r="J294" s="117">
        <v>2</v>
      </c>
    </row>
    <row r="295" spans="1:10" x14ac:dyDescent="0.25">
      <c r="A295" s="2" t="s">
        <v>1633</v>
      </c>
      <c r="B295" s="2" t="s">
        <v>260</v>
      </c>
      <c r="C295" s="2" t="s">
        <v>103</v>
      </c>
      <c r="D295" s="2" t="s">
        <v>115</v>
      </c>
      <c r="E295" s="117">
        <v>5</v>
      </c>
      <c r="F295" s="117">
        <v>336</v>
      </c>
      <c r="G295" s="117">
        <v>50</v>
      </c>
      <c r="H295" s="117">
        <v>1</v>
      </c>
      <c r="I295" s="117">
        <v>50</v>
      </c>
      <c r="J295" s="117">
        <v>2</v>
      </c>
    </row>
    <row r="296" spans="1:10" x14ac:dyDescent="0.25">
      <c r="A296" s="2" t="s">
        <v>1634</v>
      </c>
      <c r="B296" s="2" t="s">
        <v>304</v>
      </c>
      <c r="C296" s="2" t="s">
        <v>103</v>
      </c>
      <c r="D296" s="2" t="s">
        <v>115</v>
      </c>
      <c r="E296" s="117">
        <v>5</v>
      </c>
      <c r="F296" s="117">
        <v>65</v>
      </c>
      <c r="G296" s="117">
        <v>36</v>
      </c>
      <c r="H296" s="117">
        <v>1</v>
      </c>
      <c r="I296" s="117">
        <v>36</v>
      </c>
      <c r="J296" s="117">
        <v>3</v>
      </c>
    </row>
    <row r="297" spans="1:10" x14ac:dyDescent="0.25">
      <c r="A297" s="269"/>
      <c r="B297" s="269"/>
      <c r="C297" s="269" t="s">
        <v>103</v>
      </c>
      <c r="D297" s="269"/>
      <c r="E297" s="269"/>
      <c r="F297" s="270">
        <v>166737</v>
      </c>
      <c r="G297" s="270">
        <v>7189</v>
      </c>
      <c r="H297" s="270">
        <v>282</v>
      </c>
      <c r="I297" s="270">
        <v>7154</v>
      </c>
      <c r="J297" s="270">
        <v>8</v>
      </c>
    </row>
    <row r="298" spans="1:10" x14ac:dyDescent="0.25">
      <c r="A298" s="2" t="s">
        <v>1635</v>
      </c>
      <c r="B298" s="2" t="s">
        <v>104</v>
      </c>
      <c r="C298" s="2" t="s">
        <v>105</v>
      </c>
      <c r="D298" s="2" t="s">
        <v>5</v>
      </c>
      <c r="E298" s="117">
        <v>1</v>
      </c>
      <c r="F298" s="117">
        <v>302113</v>
      </c>
      <c r="G298" s="117">
        <v>7136</v>
      </c>
      <c r="H298" s="117">
        <v>71</v>
      </c>
      <c r="I298" s="117">
        <v>7108</v>
      </c>
      <c r="J298" s="117">
        <v>9</v>
      </c>
    </row>
    <row r="299" spans="1:10" x14ac:dyDescent="0.25">
      <c r="A299" s="2" t="s">
        <v>1429</v>
      </c>
      <c r="B299" s="2" t="s">
        <v>142</v>
      </c>
      <c r="C299" s="2" t="s">
        <v>105</v>
      </c>
      <c r="D299" s="2" t="s">
        <v>115</v>
      </c>
      <c r="E299" s="117">
        <v>1</v>
      </c>
      <c r="F299" s="117">
        <v>193</v>
      </c>
      <c r="G299" s="117">
        <v>41</v>
      </c>
      <c r="H299" s="117">
        <v>1</v>
      </c>
      <c r="I299" s="117">
        <v>41</v>
      </c>
      <c r="J299" s="117">
        <v>2</v>
      </c>
    </row>
    <row r="300" spans="1:10" x14ac:dyDescent="0.25">
      <c r="A300" s="2" t="s">
        <v>1636</v>
      </c>
      <c r="B300" s="2" t="s">
        <v>224</v>
      </c>
      <c r="C300" s="2" t="s">
        <v>105</v>
      </c>
      <c r="D300" s="2" t="s">
        <v>115</v>
      </c>
      <c r="E300" s="117">
        <v>1</v>
      </c>
      <c r="F300" s="117">
        <v>202</v>
      </c>
      <c r="G300" s="117">
        <v>25</v>
      </c>
      <c r="H300" s="117">
        <v>0</v>
      </c>
      <c r="I300" s="117">
        <v>25</v>
      </c>
      <c r="J300" s="117">
        <v>2</v>
      </c>
    </row>
    <row r="301" spans="1:10" x14ac:dyDescent="0.25">
      <c r="A301" s="2" t="s">
        <v>1637</v>
      </c>
      <c r="B301" s="2" t="s">
        <v>327</v>
      </c>
      <c r="C301" s="2" t="s">
        <v>105</v>
      </c>
      <c r="D301" s="2" t="s">
        <v>115</v>
      </c>
      <c r="E301" s="117">
        <v>1</v>
      </c>
      <c r="F301" s="117">
        <v>287</v>
      </c>
      <c r="G301" s="117">
        <v>0</v>
      </c>
      <c r="H301" s="117">
        <v>0</v>
      </c>
      <c r="I301" s="117">
        <v>0</v>
      </c>
      <c r="J301" s="117">
        <v>0</v>
      </c>
    </row>
    <row r="302" spans="1:10" x14ac:dyDescent="0.25">
      <c r="A302" s="269"/>
      <c r="B302" s="269"/>
      <c r="C302" s="269" t="s">
        <v>105</v>
      </c>
      <c r="D302" s="269"/>
      <c r="E302" s="269"/>
      <c r="F302" s="270">
        <v>302795</v>
      </c>
      <c r="G302" s="270">
        <v>7202</v>
      </c>
      <c r="H302" s="270">
        <v>72</v>
      </c>
      <c r="I302" s="270">
        <v>7174</v>
      </c>
      <c r="J302" s="270">
        <v>9</v>
      </c>
    </row>
    <row r="303" spans="1:10" x14ac:dyDescent="0.25">
      <c r="A303" s="2" t="s">
        <v>1638</v>
      </c>
      <c r="B303" s="2" t="s">
        <v>106</v>
      </c>
      <c r="C303" s="2" t="s">
        <v>107</v>
      </c>
      <c r="D303" s="2" t="s">
        <v>5</v>
      </c>
      <c r="E303" s="117">
        <v>9</v>
      </c>
      <c r="F303" s="117">
        <v>201588</v>
      </c>
      <c r="G303" s="117">
        <v>8511</v>
      </c>
      <c r="H303" s="117">
        <v>568</v>
      </c>
      <c r="I303" s="117">
        <v>8493</v>
      </c>
      <c r="J303" s="117">
        <v>5</v>
      </c>
    </row>
    <row r="304" spans="1:10" x14ac:dyDescent="0.25">
      <c r="A304" s="2" t="s">
        <v>1639</v>
      </c>
      <c r="B304" s="2" t="s">
        <v>119</v>
      </c>
      <c r="C304" s="2" t="s">
        <v>107</v>
      </c>
      <c r="D304" s="2" t="s">
        <v>115</v>
      </c>
      <c r="E304" s="117">
        <v>9</v>
      </c>
      <c r="F304" s="117">
        <v>4259</v>
      </c>
      <c r="G304" s="117">
        <v>127</v>
      </c>
      <c r="H304" s="117">
        <v>16</v>
      </c>
      <c r="I304" s="117">
        <v>127</v>
      </c>
      <c r="J304" s="117">
        <v>3</v>
      </c>
    </row>
    <row r="305" spans="1:10" x14ac:dyDescent="0.25">
      <c r="A305" s="2" t="s">
        <v>1640</v>
      </c>
      <c r="B305" s="2" t="s">
        <v>339</v>
      </c>
      <c r="C305" s="2" t="s">
        <v>107</v>
      </c>
      <c r="D305" s="2" t="s">
        <v>115</v>
      </c>
      <c r="E305" s="117">
        <v>9</v>
      </c>
      <c r="F305" s="117">
        <v>85</v>
      </c>
      <c r="G305" s="117">
        <v>0</v>
      </c>
      <c r="H305" s="117">
        <v>0</v>
      </c>
      <c r="I305" s="117">
        <v>0</v>
      </c>
      <c r="J305" s="117">
        <v>0</v>
      </c>
    </row>
    <row r="306" spans="1:10" x14ac:dyDescent="0.25">
      <c r="A306" s="269"/>
      <c r="B306" s="269"/>
      <c r="C306" s="269" t="s">
        <v>107</v>
      </c>
      <c r="D306" s="269"/>
      <c r="E306" s="269"/>
      <c r="F306" s="270">
        <v>205932</v>
      </c>
      <c r="G306" s="270">
        <v>8638</v>
      </c>
      <c r="H306" s="270">
        <v>584</v>
      </c>
      <c r="I306" s="270">
        <v>8620</v>
      </c>
      <c r="J306" s="270">
        <v>5</v>
      </c>
    </row>
    <row r="307" spans="1:10" x14ac:dyDescent="0.25">
      <c r="A307" s="2" t="s">
        <v>1641</v>
      </c>
      <c r="B307" s="2" t="s">
        <v>108</v>
      </c>
      <c r="C307" s="2" t="s">
        <v>109</v>
      </c>
      <c r="D307" s="2" t="s">
        <v>5</v>
      </c>
      <c r="E307" s="117">
        <v>4</v>
      </c>
      <c r="F307" s="117">
        <v>600184</v>
      </c>
      <c r="G307" s="117">
        <v>7163</v>
      </c>
      <c r="H307" s="117">
        <v>443</v>
      </c>
      <c r="I307" s="117">
        <v>7134</v>
      </c>
      <c r="J307" s="117">
        <v>12</v>
      </c>
    </row>
    <row r="308" spans="1:10" x14ac:dyDescent="0.25">
      <c r="A308" s="2" t="s">
        <v>1642</v>
      </c>
      <c r="B308" s="2" t="s">
        <v>233</v>
      </c>
      <c r="C308" s="2" t="s">
        <v>109</v>
      </c>
      <c r="D308" s="2" t="s">
        <v>115</v>
      </c>
      <c r="E308" s="117">
        <v>4</v>
      </c>
      <c r="F308" s="117">
        <v>366</v>
      </c>
      <c r="G308" s="117">
        <v>23</v>
      </c>
      <c r="H308" s="117">
        <v>2</v>
      </c>
      <c r="I308" s="117">
        <v>22</v>
      </c>
      <c r="J308" s="117">
        <v>4</v>
      </c>
    </row>
    <row r="309" spans="1:10" x14ac:dyDescent="0.25">
      <c r="A309" s="2" t="s">
        <v>1643</v>
      </c>
      <c r="B309" s="2" t="s">
        <v>234</v>
      </c>
      <c r="C309" s="2" t="s">
        <v>109</v>
      </c>
      <c r="D309" s="2" t="s">
        <v>115</v>
      </c>
      <c r="E309" s="117">
        <v>4</v>
      </c>
      <c r="F309" s="117">
        <v>1566</v>
      </c>
      <c r="G309" s="117">
        <v>316</v>
      </c>
      <c r="H309" s="117">
        <v>6</v>
      </c>
      <c r="I309" s="117">
        <v>315</v>
      </c>
      <c r="J309" s="117">
        <v>5</v>
      </c>
    </row>
    <row r="310" spans="1:10" x14ac:dyDescent="0.25">
      <c r="A310" s="2" t="s">
        <v>1644</v>
      </c>
      <c r="B310" s="2" t="s">
        <v>340</v>
      </c>
      <c r="C310" s="2" t="s">
        <v>109</v>
      </c>
      <c r="D310" s="2" t="s">
        <v>115</v>
      </c>
      <c r="E310" s="117">
        <v>4</v>
      </c>
      <c r="F310" s="117">
        <v>230</v>
      </c>
      <c r="G310" s="117">
        <v>0</v>
      </c>
      <c r="H310" s="117">
        <v>0</v>
      </c>
      <c r="I310" s="117">
        <v>0</v>
      </c>
      <c r="J310" s="117">
        <v>0</v>
      </c>
    </row>
    <row r="311" spans="1:10" x14ac:dyDescent="0.25">
      <c r="A311" s="269"/>
      <c r="B311" s="269"/>
      <c r="C311" s="269" t="s">
        <v>109</v>
      </c>
      <c r="D311" s="269"/>
      <c r="E311" s="269"/>
      <c r="F311" s="270">
        <v>602346</v>
      </c>
      <c r="G311" s="270">
        <v>7502</v>
      </c>
      <c r="H311" s="270">
        <v>451</v>
      </c>
      <c r="I311" s="270">
        <v>7471</v>
      </c>
      <c r="J311" s="270">
        <v>12</v>
      </c>
    </row>
    <row r="312" spans="1:10" x14ac:dyDescent="0.25">
      <c r="A312" s="2" t="s">
        <v>1645</v>
      </c>
      <c r="B312" s="2" t="s">
        <v>110</v>
      </c>
      <c r="C312" s="2" t="s">
        <v>111</v>
      </c>
      <c r="D312" s="2" t="s">
        <v>5</v>
      </c>
      <c r="E312" s="117">
        <v>2</v>
      </c>
      <c r="F312" s="117">
        <v>289017</v>
      </c>
      <c r="G312" s="117">
        <v>3438</v>
      </c>
      <c r="H312" s="117">
        <v>37</v>
      </c>
      <c r="I312" s="117">
        <v>3423</v>
      </c>
      <c r="J312" s="117">
        <v>6</v>
      </c>
    </row>
    <row r="313" spans="1:10" x14ac:dyDescent="0.25">
      <c r="A313" s="2" t="s">
        <v>1646</v>
      </c>
      <c r="B313" s="2" t="s">
        <v>183</v>
      </c>
      <c r="C313" s="2" t="s">
        <v>111</v>
      </c>
      <c r="D313" s="2" t="s">
        <v>115</v>
      </c>
      <c r="E313" s="117">
        <v>2</v>
      </c>
      <c r="F313" s="117">
        <v>436</v>
      </c>
      <c r="G313" s="117">
        <v>38</v>
      </c>
      <c r="H313" s="117">
        <v>1</v>
      </c>
      <c r="I313" s="117">
        <v>38</v>
      </c>
      <c r="J313" s="117">
        <v>4</v>
      </c>
    </row>
    <row r="314" spans="1:10" x14ac:dyDescent="0.25">
      <c r="A314" s="2" t="s">
        <v>1647</v>
      </c>
      <c r="B314" s="2" t="s">
        <v>186</v>
      </c>
      <c r="C314" s="2" t="s">
        <v>111</v>
      </c>
      <c r="D314" s="2" t="s">
        <v>115</v>
      </c>
      <c r="E314" s="117">
        <v>2</v>
      </c>
      <c r="F314" s="117">
        <v>215</v>
      </c>
      <c r="G314" s="117">
        <v>11</v>
      </c>
      <c r="H314" s="117">
        <v>0</v>
      </c>
      <c r="I314" s="117">
        <v>11</v>
      </c>
      <c r="J314" s="117">
        <v>3</v>
      </c>
    </row>
    <row r="315" spans="1:10" x14ac:dyDescent="0.25">
      <c r="A315" s="2" t="s">
        <v>1648</v>
      </c>
      <c r="B315" s="2" t="s">
        <v>332</v>
      </c>
      <c r="C315" s="2" t="s">
        <v>111</v>
      </c>
      <c r="D315" s="2" t="s">
        <v>115</v>
      </c>
      <c r="E315" s="117">
        <v>2</v>
      </c>
      <c r="F315" s="117">
        <v>790</v>
      </c>
      <c r="G315" s="117">
        <v>14</v>
      </c>
      <c r="H315" s="117">
        <v>2</v>
      </c>
      <c r="I315" s="117">
        <v>14</v>
      </c>
      <c r="J315" s="117">
        <v>5</v>
      </c>
    </row>
    <row r="316" spans="1:10" x14ac:dyDescent="0.25">
      <c r="A316" s="2" t="s">
        <v>1649</v>
      </c>
      <c r="B316" s="2" t="s">
        <v>333</v>
      </c>
      <c r="C316" s="2" t="s">
        <v>111</v>
      </c>
      <c r="D316" s="2" t="s">
        <v>115</v>
      </c>
      <c r="E316" s="117">
        <v>2</v>
      </c>
      <c r="F316" s="117">
        <v>737</v>
      </c>
      <c r="G316" s="117">
        <v>59</v>
      </c>
      <c r="H316" s="117">
        <v>2</v>
      </c>
      <c r="I316" s="117">
        <v>59</v>
      </c>
      <c r="J316" s="117">
        <v>5</v>
      </c>
    </row>
    <row r="317" spans="1:10" x14ac:dyDescent="0.25">
      <c r="A317" s="2" t="s">
        <v>1650</v>
      </c>
      <c r="B317" s="2" t="s">
        <v>335</v>
      </c>
      <c r="C317" s="2" t="s">
        <v>111</v>
      </c>
      <c r="D317" s="2" t="s">
        <v>115</v>
      </c>
      <c r="E317" s="117">
        <v>2</v>
      </c>
      <c r="F317" s="117">
        <v>216</v>
      </c>
      <c r="G317" s="117">
        <v>5</v>
      </c>
      <c r="H317" s="117">
        <v>1</v>
      </c>
      <c r="I317" s="117">
        <v>5</v>
      </c>
      <c r="J317" s="117">
        <v>3</v>
      </c>
    </row>
    <row r="318" spans="1:10" x14ac:dyDescent="0.25">
      <c r="A318" s="269"/>
      <c r="B318" s="269"/>
      <c r="C318" s="269" t="s">
        <v>111</v>
      </c>
      <c r="D318" s="269"/>
      <c r="E318" s="269"/>
      <c r="F318" s="270">
        <v>291411</v>
      </c>
      <c r="G318" s="270">
        <v>3565</v>
      </c>
      <c r="H318" s="270">
        <v>43</v>
      </c>
      <c r="I318" s="270">
        <v>3550</v>
      </c>
      <c r="J318" s="270">
        <v>6</v>
      </c>
    </row>
    <row r="319" spans="1:10" x14ac:dyDescent="0.25">
      <c r="A319" s="2" t="s">
        <v>1651</v>
      </c>
      <c r="B319" s="2" t="s">
        <v>112</v>
      </c>
      <c r="C319" s="2" t="s">
        <v>113</v>
      </c>
      <c r="D319" s="2" t="s">
        <v>5</v>
      </c>
      <c r="E319" s="117">
        <v>7</v>
      </c>
      <c r="F319" s="117">
        <v>264953</v>
      </c>
      <c r="G319" s="117">
        <v>4621</v>
      </c>
      <c r="H319" s="117">
        <v>1107</v>
      </c>
      <c r="I319" s="117">
        <v>4601</v>
      </c>
      <c r="J319" s="117">
        <v>10</v>
      </c>
    </row>
    <row r="320" spans="1:10" x14ac:dyDescent="0.25">
      <c r="A320" s="2" t="s">
        <v>1652</v>
      </c>
      <c r="B320" s="2" t="s">
        <v>342</v>
      </c>
      <c r="C320" s="2" t="s">
        <v>113</v>
      </c>
      <c r="D320" s="2" t="s">
        <v>115</v>
      </c>
      <c r="E320" s="117">
        <v>7</v>
      </c>
      <c r="F320" s="117">
        <v>274</v>
      </c>
      <c r="G320" s="117">
        <v>50</v>
      </c>
      <c r="H320" s="117">
        <v>2</v>
      </c>
      <c r="I320" s="117">
        <v>50</v>
      </c>
      <c r="J320" s="117">
        <v>4</v>
      </c>
    </row>
    <row r="321" spans="1:10" x14ac:dyDescent="0.25">
      <c r="A321" s="2" t="s">
        <v>1653</v>
      </c>
      <c r="B321" s="2" t="s">
        <v>343</v>
      </c>
      <c r="C321" s="2" t="s">
        <v>113</v>
      </c>
      <c r="D321" s="2" t="s">
        <v>115</v>
      </c>
      <c r="E321" s="117">
        <v>7</v>
      </c>
      <c r="F321" s="117">
        <v>166</v>
      </c>
      <c r="G321" s="117">
        <v>13</v>
      </c>
      <c r="H321" s="117">
        <v>1</v>
      </c>
      <c r="I321" s="117">
        <v>13</v>
      </c>
      <c r="J321" s="117">
        <v>3</v>
      </c>
    </row>
    <row r="322" spans="1:10" x14ac:dyDescent="0.25">
      <c r="A322" s="2" t="s">
        <v>1654</v>
      </c>
      <c r="B322" s="2" t="s">
        <v>344</v>
      </c>
      <c r="C322" s="2" t="s">
        <v>113</v>
      </c>
      <c r="D322" s="2" t="s">
        <v>115</v>
      </c>
      <c r="E322" s="117">
        <v>7</v>
      </c>
      <c r="F322" s="117">
        <v>529</v>
      </c>
      <c r="G322" s="117">
        <v>128</v>
      </c>
      <c r="H322" s="117">
        <v>12</v>
      </c>
      <c r="I322" s="117">
        <v>128</v>
      </c>
      <c r="J322" s="117">
        <v>4</v>
      </c>
    </row>
    <row r="323" spans="1:10" x14ac:dyDescent="0.25">
      <c r="A323" s="2" t="s">
        <v>1655</v>
      </c>
      <c r="B323" s="2" t="s">
        <v>345</v>
      </c>
      <c r="C323" s="2" t="s">
        <v>113</v>
      </c>
      <c r="D323" s="2" t="s">
        <v>115</v>
      </c>
      <c r="E323" s="117">
        <v>7</v>
      </c>
      <c r="F323" s="117">
        <v>2257</v>
      </c>
      <c r="G323" s="117">
        <v>113</v>
      </c>
      <c r="H323" s="117">
        <v>55</v>
      </c>
      <c r="I323" s="117">
        <v>113</v>
      </c>
      <c r="J323" s="117">
        <v>4</v>
      </c>
    </row>
    <row r="324" spans="1:10" x14ac:dyDescent="0.25">
      <c r="A324" s="2" t="s">
        <v>1656</v>
      </c>
      <c r="B324" s="2" t="s">
        <v>346</v>
      </c>
      <c r="C324" s="2" t="s">
        <v>113</v>
      </c>
      <c r="D324" s="2" t="s">
        <v>115</v>
      </c>
      <c r="E324" s="117">
        <v>7</v>
      </c>
      <c r="F324" s="117">
        <v>1280</v>
      </c>
      <c r="G324" s="117">
        <v>66</v>
      </c>
      <c r="H324" s="117">
        <v>42</v>
      </c>
      <c r="I324" s="117">
        <v>66</v>
      </c>
      <c r="J324" s="117">
        <v>2</v>
      </c>
    </row>
    <row r="325" spans="1:10" x14ac:dyDescent="0.25">
      <c r="A325" s="269"/>
      <c r="B325" s="269"/>
      <c r="C325" s="269" t="s">
        <v>113</v>
      </c>
      <c r="D325" s="269"/>
      <c r="E325" s="269"/>
      <c r="F325" s="270">
        <v>269459</v>
      </c>
      <c r="G325" s="270">
        <v>4991</v>
      </c>
      <c r="H325" s="270">
        <v>1219</v>
      </c>
      <c r="I325" s="270">
        <v>4971</v>
      </c>
      <c r="J325" s="270">
        <v>10</v>
      </c>
    </row>
    <row r="326" spans="1:10" x14ac:dyDescent="0.25">
      <c r="A326" s="2" t="s">
        <v>1657</v>
      </c>
      <c r="B326" s="2" t="s">
        <v>132</v>
      </c>
      <c r="C326" s="2" t="s">
        <v>21</v>
      </c>
      <c r="D326" s="2" t="s">
        <v>115</v>
      </c>
      <c r="E326" s="117">
        <v>4</v>
      </c>
      <c r="F326" s="117">
        <v>1065</v>
      </c>
      <c r="G326" s="117">
        <v>18</v>
      </c>
      <c r="H326" s="117">
        <v>1</v>
      </c>
      <c r="I326" s="117">
        <v>18</v>
      </c>
      <c r="J326" s="117">
        <v>3</v>
      </c>
    </row>
    <row r="327" spans="1:10" x14ac:dyDescent="0.25">
      <c r="A327" s="2" t="s">
        <v>1658</v>
      </c>
      <c r="B327" s="2" t="s">
        <v>133</v>
      </c>
      <c r="C327" s="2" t="s">
        <v>21</v>
      </c>
      <c r="D327" s="2" t="s">
        <v>115</v>
      </c>
      <c r="E327" s="117">
        <v>4</v>
      </c>
      <c r="F327" s="117">
        <v>260</v>
      </c>
      <c r="G327" s="117">
        <v>50</v>
      </c>
      <c r="H327" s="117">
        <v>2</v>
      </c>
      <c r="I327" s="117">
        <v>50</v>
      </c>
      <c r="J327" s="117">
        <v>3</v>
      </c>
    </row>
    <row r="328" spans="1:10" x14ac:dyDescent="0.25">
      <c r="A328" s="2" t="s">
        <v>1464</v>
      </c>
      <c r="B328" s="2" t="s">
        <v>134</v>
      </c>
      <c r="C328" s="2" t="s">
        <v>21</v>
      </c>
      <c r="D328" s="2" t="s">
        <v>115</v>
      </c>
      <c r="E328" s="117">
        <v>4</v>
      </c>
      <c r="F328" s="117">
        <v>777</v>
      </c>
      <c r="G328" s="117">
        <v>15</v>
      </c>
      <c r="H328" s="117">
        <v>1</v>
      </c>
      <c r="I328" s="117">
        <v>15</v>
      </c>
      <c r="J328" s="117">
        <v>4</v>
      </c>
    </row>
    <row r="329" spans="1:10" x14ac:dyDescent="0.25">
      <c r="A329" s="2" t="s">
        <v>1659</v>
      </c>
      <c r="B329" s="2" t="s">
        <v>136</v>
      </c>
      <c r="C329" s="2" t="s">
        <v>21</v>
      </c>
      <c r="D329" s="2" t="s">
        <v>115</v>
      </c>
      <c r="E329" s="117">
        <v>4</v>
      </c>
      <c r="F329" s="117">
        <v>6159</v>
      </c>
      <c r="G329" s="117">
        <v>86</v>
      </c>
      <c r="H329" s="117">
        <v>13</v>
      </c>
      <c r="I329" s="117">
        <v>85</v>
      </c>
      <c r="J329" s="117">
        <v>6</v>
      </c>
    </row>
    <row r="330" spans="1:10" x14ac:dyDescent="0.25">
      <c r="A330" s="2" t="s">
        <v>1660</v>
      </c>
      <c r="B330" s="2" t="s">
        <v>137</v>
      </c>
      <c r="C330" s="2" t="s">
        <v>21</v>
      </c>
      <c r="D330" s="2" t="s">
        <v>115</v>
      </c>
      <c r="E330" s="117">
        <v>4</v>
      </c>
      <c r="F330" s="117">
        <v>192</v>
      </c>
      <c r="G330" s="117">
        <v>26</v>
      </c>
      <c r="H330" s="117">
        <v>1</v>
      </c>
      <c r="I330" s="117">
        <v>26</v>
      </c>
      <c r="J330" s="117">
        <v>3</v>
      </c>
    </row>
    <row r="331" spans="1:10" x14ac:dyDescent="0.25">
      <c r="A331" s="2" t="s">
        <v>1661</v>
      </c>
      <c r="B331" s="2" t="s">
        <v>150</v>
      </c>
      <c r="C331" s="2" t="s">
        <v>21</v>
      </c>
      <c r="D331" s="2" t="s">
        <v>115</v>
      </c>
      <c r="E331" s="117">
        <v>4</v>
      </c>
      <c r="F331" s="117">
        <v>61</v>
      </c>
      <c r="G331" s="117">
        <v>0</v>
      </c>
      <c r="H331" s="117">
        <v>0</v>
      </c>
      <c r="I331" s="117">
        <v>0</v>
      </c>
      <c r="J331" s="117">
        <v>0</v>
      </c>
    </row>
    <row r="332" spans="1:10" x14ac:dyDescent="0.25">
      <c r="A332" s="2" t="s">
        <v>1662</v>
      </c>
      <c r="B332" s="2" t="s">
        <v>330</v>
      </c>
      <c r="C332" s="2" t="s">
        <v>21</v>
      </c>
      <c r="D332" s="2" t="s">
        <v>115</v>
      </c>
      <c r="E332" s="117">
        <v>4</v>
      </c>
      <c r="F332" s="117">
        <v>3572</v>
      </c>
      <c r="G332" s="117">
        <v>12</v>
      </c>
      <c r="H332" s="117">
        <v>2</v>
      </c>
      <c r="I332" s="117">
        <v>12</v>
      </c>
      <c r="J332" s="117">
        <v>4</v>
      </c>
    </row>
    <row r="333" spans="1:10" x14ac:dyDescent="0.25">
      <c r="A333" s="2" t="s">
        <v>1663</v>
      </c>
      <c r="B333" s="2" t="s">
        <v>331</v>
      </c>
      <c r="C333" s="2" t="s">
        <v>21</v>
      </c>
      <c r="D333" s="2" t="s">
        <v>115</v>
      </c>
      <c r="E333" s="117">
        <v>4</v>
      </c>
      <c r="F333" s="117">
        <v>1042</v>
      </c>
      <c r="G333" s="117">
        <v>21</v>
      </c>
      <c r="H333" s="117">
        <v>1</v>
      </c>
      <c r="I333" s="117">
        <v>21</v>
      </c>
      <c r="J333" s="117">
        <v>5</v>
      </c>
    </row>
    <row r="334" spans="1:10" x14ac:dyDescent="0.25">
      <c r="A334" s="2" t="s">
        <v>1479</v>
      </c>
      <c r="B334" s="2" t="s">
        <v>138</v>
      </c>
      <c r="C334" s="2" t="s">
        <v>21</v>
      </c>
      <c r="D334" s="2" t="s">
        <v>115</v>
      </c>
      <c r="E334" s="117">
        <v>4</v>
      </c>
      <c r="F334" s="117">
        <v>1049</v>
      </c>
      <c r="G334" s="117">
        <v>22</v>
      </c>
      <c r="H334" s="117">
        <v>1</v>
      </c>
      <c r="I334" s="117">
        <v>22</v>
      </c>
      <c r="J334" s="117">
        <v>5</v>
      </c>
    </row>
    <row r="335" spans="1:10" x14ac:dyDescent="0.25">
      <c r="A335" s="2" t="s">
        <v>1664</v>
      </c>
      <c r="B335" s="2" t="s">
        <v>321</v>
      </c>
      <c r="C335" s="2" t="s">
        <v>21</v>
      </c>
      <c r="D335" s="2" t="s">
        <v>115</v>
      </c>
      <c r="E335" s="117">
        <v>4</v>
      </c>
      <c r="F335" s="117">
        <v>996</v>
      </c>
      <c r="G335" s="117">
        <v>41</v>
      </c>
      <c r="H335" s="117">
        <v>0</v>
      </c>
      <c r="I335" s="117">
        <v>41</v>
      </c>
      <c r="J335" s="117">
        <v>3</v>
      </c>
    </row>
    <row r="336" spans="1:10" x14ac:dyDescent="0.25">
      <c r="A336" s="2" t="s">
        <v>1665</v>
      </c>
      <c r="B336" s="2" t="s">
        <v>20</v>
      </c>
      <c r="C336" s="2" t="s">
        <v>21</v>
      </c>
      <c r="D336" s="2" t="s">
        <v>5</v>
      </c>
      <c r="E336" s="117">
        <v>4</v>
      </c>
      <c r="F336" s="117">
        <v>412491</v>
      </c>
      <c r="G336" s="117">
        <v>2692</v>
      </c>
      <c r="H336" s="117">
        <v>344</v>
      </c>
      <c r="I336" s="117">
        <v>2676</v>
      </c>
      <c r="J336" s="117">
        <v>9</v>
      </c>
    </row>
    <row r="337" spans="1:10" x14ac:dyDescent="0.25">
      <c r="A337" s="269"/>
      <c r="B337" s="269"/>
      <c r="C337" s="269" t="s">
        <v>21</v>
      </c>
      <c r="D337" s="269"/>
      <c r="E337" s="269"/>
      <c r="F337" s="270">
        <v>427664</v>
      </c>
      <c r="G337" s="270">
        <v>2983</v>
      </c>
      <c r="H337" s="270">
        <v>366</v>
      </c>
      <c r="I337" s="270">
        <v>2966</v>
      </c>
      <c r="J337" s="270">
        <v>9</v>
      </c>
    </row>
    <row r="338" spans="1:10" x14ac:dyDescent="0.25">
      <c r="A338" s="2" t="s">
        <v>1666</v>
      </c>
      <c r="B338" s="2" t="s">
        <v>247</v>
      </c>
      <c r="C338" s="2" t="s">
        <v>75</v>
      </c>
      <c r="D338" s="2" t="s">
        <v>115</v>
      </c>
      <c r="E338" s="117">
        <v>7</v>
      </c>
      <c r="F338" s="117">
        <v>265</v>
      </c>
      <c r="G338" s="117">
        <v>73</v>
      </c>
      <c r="H338" s="117">
        <v>1</v>
      </c>
      <c r="I338" s="117">
        <v>73</v>
      </c>
      <c r="J338" s="117">
        <v>3</v>
      </c>
    </row>
    <row r="339" spans="1:10" x14ac:dyDescent="0.25">
      <c r="A339" s="2" t="s">
        <v>1667</v>
      </c>
      <c r="B339" s="2" t="s">
        <v>249</v>
      </c>
      <c r="C339" s="2" t="s">
        <v>75</v>
      </c>
      <c r="D339" s="2" t="s">
        <v>115</v>
      </c>
      <c r="E339" s="117">
        <v>7</v>
      </c>
      <c r="F339" s="117">
        <v>207</v>
      </c>
      <c r="G339" s="117">
        <v>52</v>
      </c>
      <c r="H339" s="117">
        <v>0</v>
      </c>
      <c r="I339" s="117">
        <v>52</v>
      </c>
      <c r="J339" s="117">
        <v>3</v>
      </c>
    </row>
    <row r="340" spans="1:10" x14ac:dyDescent="0.25">
      <c r="A340" s="2" t="s">
        <v>1668</v>
      </c>
      <c r="B340" s="2" t="s">
        <v>307</v>
      </c>
      <c r="C340" s="2" t="s">
        <v>75</v>
      </c>
      <c r="D340" s="2" t="s">
        <v>115</v>
      </c>
      <c r="E340" s="117">
        <v>7</v>
      </c>
      <c r="F340" s="117">
        <v>194</v>
      </c>
      <c r="G340" s="117">
        <v>33</v>
      </c>
      <c r="H340" s="117">
        <v>7</v>
      </c>
      <c r="I340" s="117">
        <v>33</v>
      </c>
      <c r="J340" s="117">
        <v>3</v>
      </c>
    </row>
    <row r="341" spans="1:10" x14ac:dyDescent="0.25">
      <c r="A341" s="2" t="s">
        <v>1669</v>
      </c>
      <c r="B341" s="2" t="s">
        <v>308</v>
      </c>
      <c r="C341" s="2" t="s">
        <v>75</v>
      </c>
      <c r="D341" s="2" t="s">
        <v>115</v>
      </c>
      <c r="E341" s="117">
        <v>7</v>
      </c>
      <c r="F341" s="117">
        <v>402</v>
      </c>
      <c r="G341" s="117">
        <v>118</v>
      </c>
      <c r="H341" s="117">
        <v>1</v>
      </c>
      <c r="I341" s="117">
        <v>118</v>
      </c>
      <c r="J341" s="117">
        <v>3</v>
      </c>
    </row>
    <row r="342" spans="1:10" x14ac:dyDescent="0.25">
      <c r="A342" s="2" t="s">
        <v>1670</v>
      </c>
      <c r="B342" s="2" t="s">
        <v>309</v>
      </c>
      <c r="C342" s="2" t="s">
        <v>75</v>
      </c>
      <c r="D342" s="2" t="s">
        <v>115</v>
      </c>
      <c r="E342" s="117">
        <v>7</v>
      </c>
      <c r="F342" s="117">
        <v>293</v>
      </c>
      <c r="G342" s="117">
        <v>22</v>
      </c>
      <c r="H342" s="117">
        <v>0</v>
      </c>
      <c r="I342" s="117">
        <v>22</v>
      </c>
      <c r="J342" s="117">
        <v>3</v>
      </c>
    </row>
    <row r="343" spans="1:10" x14ac:dyDescent="0.25">
      <c r="A343" s="2" t="s">
        <v>1671</v>
      </c>
      <c r="B343" s="2" t="s">
        <v>310</v>
      </c>
      <c r="C343" s="2" t="s">
        <v>75</v>
      </c>
      <c r="D343" s="2" t="s">
        <v>115</v>
      </c>
      <c r="E343" s="117">
        <v>7</v>
      </c>
      <c r="F343" s="117">
        <v>281</v>
      </c>
      <c r="G343" s="117">
        <v>63</v>
      </c>
      <c r="H343" s="117">
        <v>6</v>
      </c>
      <c r="I343" s="117">
        <v>63</v>
      </c>
      <c r="J343" s="117">
        <v>6</v>
      </c>
    </row>
    <row r="344" spans="1:10" x14ac:dyDescent="0.25">
      <c r="A344" s="2" t="s">
        <v>1672</v>
      </c>
      <c r="B344" s="2" t="s">
        <v>248</v>
      </c>
      <c r="C344" s="2" t="s">
        <v>75</v>
      </c>
      <c r="D344" s="2" t="s">
        <v>115</v>
      </c>
      <c r="E344" s="117">
        <v>7</v>
      </c>
      <c r="F344" s="117">
        <v>2325</v>
      </c>
      <c r="G344" s="117">
        <v>230</v>
      </c>
      <c r="H344" s="117">
        <v>42</v>
      </c>
      <c r="I344" s="117">
        <v>228</v>
      </c>
      <c r="J344" s="117">
        <v>5</v>
      </c>
    </row>
    <row r="345" spans="1:10" x14ac:dyDescent="0.25">
      <c r="A345" s="2" t="s">
        <v>1673</v>
      </c>
      <c r="B345" s="2" t="s">
        <v>74</v>
      </c>
      <c r="C345" s="2" t="s">
        <v>75</v>
      </c>
      <c r="D345" s="2" t="s">
        <v>5</v>
      </c>
      <c r="E345" s="117">
        <v>7</v>
      </c>
      <c r="F345" s="117">
        <v>661204</v>
      </c>
      <c r="G345" s="117">
        <v>17871</v>
      </c>
      <c r="H345" s="117">
        <v>1556</v>
      </c>
      <c r="I345" s="117">
        <v>17810</v>
      </c>
      <c r="J345" s="117">
        <v>12</v>
      </c>
    </row>
    <row r="346" spans="1:10" x14ac:dyDescent="0.25">
      <c r="A346" s="269"/>
      <c r="B346" s="269"/>
      <c r="C346" s="269" t="s">
        <v>75</v>
      </c>
      <c r="D346" s="269"/>
      <c r="E346" s="269"/>
      <c r="F346" s="270">
        <v>665171</v>
      </c>
      <c r="G346" s="270">
        <v>18462</v>
      </c>
      <c r="H346" s="270">
        <v>1613</v>
      </c>
      <c r="I346" s="270">
        <v>18399</v>
      </c>
      <c r="J346" s="270">
        <v>12</v>
      </c>
    </row>
    <row r="347" spans="1:10" x14ac:dyDescent="0.25">
      <c r="A347" s="2" t="s">
        <v>1674</v>
      </c>
      <c r="B347" s="2" t="s">
        <v>273</v>
      </c>
      <c r="C347" s="2" t="s">
        <v>95</v>
      </c>
      <c r="D347" s="2" t="s">
        <v>115</v>
      </c>
      <c r="E347" s="117">
        <v>1</v>
      </c>
      <c r="F347" s="117">
        <v>852</v>
      </c>
      <c r="G347" s="117">
        <v>87</v>
      </c>
      <c r="H347" s="117">
        <v>1</v>
      </c>
      <c r="I347" s="117">
        <v>86</v>
      </c>
      <c r="J347" s="117">
        <v>3</v>
      </c>
    </row>
    <row r="348" spans="1:10" x14ac:dyDescent="0.25">
      <c r="A348" s="2" t="s">
        <v>1675</v>
      </c>
      <c r="B348" s="2" t="s">
        <v>274</v>
      </c>
      <c r="C348" s="2" t="s">
        <v>95</v>
      </c>
      <c r="D348" s="2" t="s">
        <v>115</v>
      </c>
      <c r="E348" s="117">
        <v>1</v>
      </c>
      <c r="F348" s="117">
        <v>518</v>
      </c>
      <c r="G348" s="117">
        <v>51</v>
      </c>
      <c r="H348" s="117">
        <v>2</v>
      </c>
      <c r="I348" s="117">
        <v>51</v>
      </c>
      <c r="J348" s="117">
        <v>4</v>
      </c>
    </row>
    <row r="349" spans="1:10" x14ac:dyDescent="0.25">
      <c r="A349" s="2" t="s">
        <v>1676</v>
      </c>
      <c r="B349" s="2" t="s">
        <v>272</v>
      </c>
      <c r="C349" s="2" t="s">
        <v>95</v>
      </c>
      <c r="D349" s="2" t="s">
        <v>115</v>
      </c>
      <c r="E349" s="117">
        <v>1</v>
      </c>
      <c r="F349" s="117">
        <v>1213</v>
      </c>
      <c r="G349" s="117">
        <v>47</v>
      </c>
      <c r="H349" s="117">
        <v>0</v>
      </c>
      <c r="I349" s="117">
        <v>47</v>
      </c>
      <c r="J349" s="117">
        <v>4</v>
      </c>
    </row>
    <row r="350" spans="1:10" x14ac:dyDescent="0.25">
      <c r="A350" s="2" t="s">
        <v>1677</v>
      </c>
      <c r="B350" s="2" t="s">
        <v>94</v>
      </c>
      <c r="C350" s="2" t="s">
        <v>95</v>
      </c>
      <c r="D350" s="2" t="s">
        <v>5</v>
      </c>
      <c r="E350" s="117">
        <v>1</v>
      </c>
      <c r="F350" s="117">
        <v>318426</v>
      </c>
      <c r="G350" s="117">
        <v>3385</v>
      </c>
      <c r="H350" s="117">
        <v>137</v>
      </c>
      <c r="I350" s="117">
        <v>3370</v>
      </c>
      <c r="J350" s="117">
        <v>5</v>
      </c>
    </row>
    <row r="351" spans="1:10" x14ac:dyDescent="0.25">
      <c r="A351" s="269"/>
      <c r="B351" s="269"/>
      <c r="C351" s="269" t="s">
        <v>95</v>
      </c>
      <c r="D351" s="269"/>
      <c r="E351" s="269"/>
      <c r="F351" s="270">
        <v>321009</v>
      </c>
      <c r="G351" s="270">
        <v>3570</v>
      </c>
      <c r="H351" s="270">
        <v>140</v>
      </c>
      <c r="I351" s="270">
        <v>3554</v>
      </c>
      <c r="J351" s="270">
        <v>5</v>
      </c>
    </row>
    <row r="352" spans="1:10" x14ac:dyDescent="0.25">
      <c r="A352" s="2" t="s">
        <v>535</v>
      </c>
      <c r="B352" s="2"/>
      <c r="C352" s="2"/>
      <c r="D352" s="2"/>
      <c r="E352" s="2"/>
      <c r="F352" s="2"/>
      <c r="G352" s="2"/>
      <c r="H352" s="2"/>
      <c r="I352" s="2"/>
      <c r="J352" s="2"/>
    </row>
    <row r="353" spans="1:10" x14ac:dyDescent="0.25">
      <c r="A353" s="2" t="s">
        <v>1504</v>
      </c>
      <c r="B353" s="2" t="s">
        <v>229</v>
      </c>
      <c r="C353" s="2" t="s">
        <v>544</v>
      </c>
      <c r="D353" s="2" t="s">
        <v>115</v>
      </c>
      <c r="E353" s="2" t="s">
        <v>545</v>
      </c>
      <c r="F353" s="117">
        <v>10101</v>
      </c>
      <c r="G353" s="117">
        <v>931</v>
      </c>
      <c r="H353" s="117">
        <v>13</v>
      </c>
      <c r="I353" s="117">
        <v>930</v>
      </c>
      <c r="J353" s="2" t="s">
        <v>1694</v>
      </c>
    </row>
    <row r="354" spans="1:10" x14ac:dyDescent="0.25">
      <c r="A354" s="2" t="s">
        <v>1606</v>
      </c>
      <c r="B354" s="2" t="s">
        <v>259</v>
      </c>
      <c r="C354" s="2" t="s">
        <v>546</v>
      </c>
      <c r="D354" s="2" t="s">
        <v>115</v>
      </c>
      <c r="E354" s="2" t="s">
        <v>547</v>
      </c>
      <c r="F354" s="117">
        <v>542</v>
      </c>
      <c r="G354" s="117">
        <v>60</v>
      </c>
      <c r="H354" s="117">
        <v>3</v>
      </c>
      <c r="I354" s="117">
        <v>60</v>
      </c>
      <c r="J354" s="2" t="s">
        <v>1695</v>
      </c>
    </row>
    <row r="355" spans="1:10" x14ac:dyDescent="0.25">
      <c r="A355" s="2" t="s">
        <v>1429</v>
      </c>
      <c r="B355" s="2" t="s">
        <v>142</v>
      </c>
      <c r="C355" s="2" t="s">
        <v>540</v>
      </c>
      <c r="D355" s="2" t="s">
        <v>115</v>
      </c>
      <c r="E355" s="2" t="s">
        <v>541</v>
      </c>
      <c r="F355" s="117">
        <v>611</v>
      </c>
      <c r="G355" s="117">
        <v>120</v>
      </c>
      <c r="H355" s="117">
        <v>4</v>
      </c>
      <c r="I355" s="117">
        <v>120</v>
      </c>
      <c r="J355" s="2" t="s">
        <v>1696</v>
      </c>
    </row>
    <row r="356" spans="1:10" x14ac:dyDescent="0.25">
      <c r="A356" s="2" t="s">
        <v>1413</v>
      </c>
      <c r="B356" s="2" t="s">
        <v>127</v>
      </c>
      <c r="C356" s="2" t="s">
        <v>538</v>
      </c>
      <c r="D356" s="2" t="s">
        <v>115</v>
      </c>
      <c r="E356" s="2" t="s">
        <v>539</v>
      </c>
      <c r="F356" s="117">
        <v>11784</v>
      </c>
      <c r="G356" s="117">
        <v>389</v>
      </c>
      <c r="H356" s="117">
        <v>8</v>
      </c>
      <c r="I356" s="117">
        <v>388</v>
      </c>
      <c r="J356" s="2" t="s">
        <v>1697</v>
      </c>
    </row>
    <row r="357" spans="1:10" x14ac:dyDescent="0.25">
      <c r="A357" s="2" t="s">
        <v>1407</v>
      </c>
      <c r="B357" s="2" t="s">
        <v>124</v>
      </c>
      <c r="C357" s="2" t="s">
        <v>536</v>
      </c>
      <c r="D357" s="2" t="s">
        <v>115</v>
      </c>
      <c r="E357" s="2" t="s">
        <v>537</v>
      </c>
      <c r="F357" s="117">
        <v>12182</v>
      </c>
      <c r="G357" s="117">
        <v>379</v>
      </c>
      <c r="H357" s="117">
        <v>14</v>
      </c>
      <c r="I357" s="117">
        <v>378</v>
      </c>
      <c r="J357" s="2" t="s">
        <v>1698</v>
      </c>
    </row>
    <row r="358" spans="1:10" x14ac:dyDescent="0.25">
      <c r="A358" s="2" t="s">
        <v>1474</v>
      </c>
      <c r="B358" s="2" t="s">
        <v>176</v>
      </c>
      <c r="C358" s="2" t="s">
        <v>542</v>
      </c>
      <c r="D358" s="2" t="s">
        <v>115</v>
      </c>
      <c r="E358" s="2" t="s">
        <v>543</v>
      </c>
      <c r="F358" s="117">
        <v>3723</v>
      </c>
      <c r="G358" s="117">
        <v>190</v>
      </c>
      <c r="H358" s="117">
        <v>7</v>
      </c>
      <c r="I358" s="117">
        <v>189</v>
      </c>
      <c r="J358" s="2" t="s">
        <v>1699</v>
      </c>
    </row>
    <row r="359" spans="1:10" x14ac:dyDescent="0.25">
      <c r="A359" s="2" t="s">
        <v>1479</v>
      </c>
      <c r="B359" s="2" t="s">
        <v>138</v>
      </c>
      <c r="C359" s="2" t="s">
        <v>1299</v>
      </c>
      <c r="D359" s="2" t="s">
        <v>115</v>
      </c>
      <c r="E359" s="2" t="s">
        <v>1298</v>
      </c>
      <c r="F359" s="117">
        <v>1054</v>
      </c>
      <c r="G359" s="117">
        <v>23</v>
      </c>
      <c r="H359" s="117">
        <v>1</v>
      </c>
      <c r="I359" s="117">
        <v>23</v>
      </c>
      <c r="J359" s="2" t="s">
        <v>1700</v>
      </c>
    </row>
    <row r="360" spans="1:10" x14ac:dyDescent="0.25">
      <c r="A360" s="2" t="s">
        <v>1464</v>
      </c>
      <c r="B360" s="2" t="s">
        <v>134</v>
      </c>
      <c r="C360" s="2" t="s">
        <v>1299</v>
      </c>
      <c r="D360" s="2" t="s">
        <v>115</v>
      </c>
      <c r="E360" s="2" t="s">
        <v>1298</v>
      </c>
      <c r="F360" s="117">
        <v>1016</v>
      </c>
      <c r="G360" s="117">
        <v>28</v>
      </c>
      <c r="H360" s="117">
        <v>2</v>
      </c>
      <c r="I360" s="117">
        <v>27</v>
      </c>
      <c r="J360" s="2" t="s">
        <v>1701</v>
      </c>
    </row>
  </sheetData>
  <hyperlinks>
    <hyperlink ref="M3"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0"/>
  <sheetViews>
    <sheetView topLeftCell="H1" workbookViewId="0">
      <selection activeCell="N5" sqref="N5"/>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0" bestFit="1" customWidth="1"/>
    <col min="6" max="7" width="20.7109375" bestFit="1" customWidth="1"/>
    <col min="8" max="8" width="18.42578125" bestFit="1" customWidth="1"/>
    <col min="9" max="9" width="26" bestFit="1" customWidth="1"/>
    <col min="10" max="11" width="23.5703125" bestFit="1" customWidth="1"/>
    <col min="14" max="14" width="104.42578125" bestFit="1" customWidth="1"/>
  </cols>
  <sheetData>
    <row r="1" spans="1:14" s="119" customFormat="1" x14ac:dyDescent="0.25">
      <c r="A1" s="280" t="s">
        <v>0</v>
      </c>
      <c r="B1" s="280" t="s">
        <v>1</v>
      </c>
      <c r="C1" s="280" t="s">
        <v>2</v>
      </c>
      <c r="D1" s="280" t="s">
        <v>512</v>
      </c>
      <c r="E1" s="280" t="s">
        <v>3099</v>
      </c>
      <c r="F1" s="280" t="s">
        <v>3100</v>
      </c>
      <c r="G1" s="280" t="s">
        <v>3101</v>
      </c>
      <c r="H1" s="280" t="s">
        <v>3102</v>
      </c>
      <c r="I1" s="280" t="s">
        <v>375</v>
      </c>
      <c r="J1" s="280" t="s">
        <v>3103</v>
      </c>
      <c r="K1" s="280" t="s">
        <v>3104</v>
      </c>
      <c r="M1" s="119" t="s">
        <v>3105</v>
      </c>
    </row>
    <row r="2" spans="1:14" x14ac:dyDescent="0.25">
      <c r="A2" s="117">
        <v>540001</v>
      </c>
      <c r="B2" s="2" t="s">
        <v>3</v>
      </c>
      <c r="C2" s="2" t="s">
        <v>4</v>
      </c>
      <c r="D2" s="2" t="s">
        <v>5</v>
      </c>
      <c r="E2" s="2" t="s">
        <v>2250</v>
      </c>
      <c r="F2" s="2" t="s">
        <v>3106</v>
      </c>
      <c r="G2" s="2" t="s">
        <v>3107</v>
      </c>
      <c r="H2" s="2" t="s">
        <v>3108</v>
      </c>
      <c r="I2" s="2" t="s">
        <v>3109</v>
      </c>
      <c r="J2" s="2" t="s">
        <v>3110</v>
      </c>
      <c r="K2" s="2" t="s">
        <v>3111</v>
      </c>
    </row>
    <row r="3" spans="1:14" x14ac:dyDescent="0.25">
      <c r="A3" s="117">
        <v>540002</v>
      </c>
      <c r="B3" s="2" t="s">
        <v>114</v>
      </c>
      <c r="C3" s="2" t="s">
        <v>4</v>
      </c>
      <c r="D3" s="2" t="s">
        <v>115</v>
      </c>
      <c r="E3" s="2" t="s">
        <v>2250</v>
      </c>
      <c r="F3" s="2" t="s">
        <v>3112</v>
      </c>
      <c r="G3" s="2" t="s">
        <v>3113</v>
      </c>
      <c r="H3" s="2" t="s">
        <v>3114</v>
      </c>
      <c r="I3" s="2" t="s">
        <v>2428</v>
      </c>
      <c r="J3" s="2" t="s">
        <v>2324</v>
      </c>
      <c r="K3" s="2" t="s">
        <v>2612</v>
      </c>
      <c r="M3" s="199" t="s">
        <v>1325</v>
      </c>
      <c r="N3" s="62" t="s">
        <v>5580</v>
      </c>
    </row>
    <row r="4" spans="1:14" x14ac:dyDescent="0.25">
      <c r="A4" s="117">
        <v>540003</v>
      </c>
      <c r="B4" s="2" t="s">
        <v>116</v>
      </c>
      <c r="C4" s="2" t="s">
        <v>4</v>
      </c>
      <c r="D4" s="2" t="s">
        <v>115</v>
      </c>
      <c r="E4" s="2" t="s">
        <v>2250</v>
      </c>
      <c r="F4" s="2" t="s">
        <v>2558</v>
      </c>
      <c r="G4" s="2" t="s">
        <v>2658</v>
      </c>
      <c r="H4" s="2" t="s">
        <v>2428</v>
      </c>
      <c r="I4" s="2" t="s">
        <v>2561</v>
      </c>
      <c r="J4" s="2" t="s">
        <v>2490</v>
      </c>
      <c r="K4" s="2" t="s">
        <v>2827</v>
      </c>
      <c r="M4" s="199" t="s">
        <v>1326</v>
      </c>
      <c r="N4" s="393" t="s">
        <v>5621</v>
      </c>
    </row>
    <row r="5" spans="1:14" x14ac:dyDescent="0.25">
      <c r="A5" s="117">
        <v>540004</v>
      </c>
      <c r="B5" s="2" t="s">
        <v>117</v>
      </c>
      <c r="C5" s="2" t="s">
        <v>4</v>
      </c>
      <c r="D5" s="2" t="s">
        <v>115</v>
      </c>
      <c r="E5" s="2" t="s">
        <v>2250</v>
      </c>
      <c r="F5" s="2" t="s">
        <v>3115</v>
      </c>
      <c r="G5" s="2" t="s">
        <v>3116</v>
      </c>
      <c r="H5" s="2" t="s">
        <v>2850</v>
      </c>
      <c r="I5" s="2" t="s">
        <v>3117</v>
      </c>
      <c r="J5" s="2" t="s">
        <v>3069</v>
      </c>
      <c r="K5" s="2" t="s">
        <v>2312</v>
      </c>
    </row>
    <row r="6" spans="1:14" x14ac:dyDescent="0.25">
      <c r="A6" s="269"/>
      <c r="B6" s="269"/>
      <c r="C6" s="269" t="s">
        <v>4</v>
      </c>
      <c r="D6" s="269"/>
      <c r="E6" s="269"/>
      <c r="F6" s="269" t="s">
        <v>3118</v>
      </c>
      <c r="G6" s="269" t="s">
        <v>3119</v>
      </c>
      <c r="H6" s="269" t="s">
        <v>3120</v>
      </c>
      <c r="I6" s="269" t="s">
        <v>3121</v>
      </c>
      <c r="J6" s="269" t="s">
        <v>3114</v>
      </c>
      <c r="K6" s="269" t="s">
        <v>3122</v>
      </c>
    </row>
    <row r="7" spans="1:14" x14ac:dyDescent="0.25">
      <c r="A7" s="117">
        <v>540007</v>
      </c>
      <c r="B7" s="2" t="s">
        <v>6</v>
      </c>
      <c r="C7" s="2" t="s">
        <v>7</v>
      </c>
      <c r="D7" s="2" t="s">
        <v>5</v>
      </c>
      <c r="E7" s="2" t="s">
        <v>2248</v>
      </c>
      <c r="F7" s="2" t="s">
        <v>3123</v>
      </c>
      <c r="G7" s="2" t="s">
        <v>3124</v>
      </c>
      <c r="H7" s="2" t="s">
        <v>3125</v>
      </c>
      <c r="I7" s="2" t="s">
        <v>3126</v>
      </c>
      <c r="J7" s="2" t="s">
        <v>3127</v>
      </c>
      <c r="K7" s="2" t="s">
        <v>3128</v>
      </c>
    </row>
    <row r="8" spans="1:14" x14ac:dyDescent="0.25">
      <c r="A8" s="117">
        <v>540008</v>
      </c>
      <c r="B8" s="2" t="s">
        <v>120</v>
      </c>
      <c r="C8" s="2" t="s">
        <v>7</v>
      </c>
      <c r="D8" s="2" t="s">
        <v>115</v>
      </c>
      <c r="E8" s="2" t="s">
        <v>2248</v>
      </c>
      <c r="F8" s="2" t="s">
        <v>3129</v>
      </c>
      <c r="G8" s="2" t="s">
        <v>3130</v>
      </c>
      <c r="H8" s="2" t="s">
        <v>3131</v>
      </c>
      <c r="I8" s="2" t="s">
        <v>2976</v>
      </c>
      <c r="J8" s="2" t="s">
        <v>2431</v>
      </c>
      <c r="K8" s="2" t="s">
        <v>2494</v>
      </c>
    </row>
    <row r="9" spans="1:14" x14ac:dyDescent="0.25">
      <c r="A9" s="117">
        <v>540229</v>
      </c>
      <c r="B9" s="2" t="s">
        <v>279</v>
      </c>
      <c r="C9" s="2" t="s">
        <v>7</v>
      </c>
      <c r="D9" s="2" t="s">
        <v>115</v>
      </c>
      <c r="E9" s="2" t="s">
        <v>2248</v>
      </c>
      <c r="F9" s="2" t="s">
        <v>2509</v>
      </c>
      <c r="G9" s="2" t="s">
        <v>3069</v>
      </c>
      <c r="H9" s="2" t="s">
        <v>2766</v>
      </c>
      <c r="I9" s="2" t="s">
        <v>2569</v>
      </c>
      <c r="J9" s="2" t="s">
        <v>2710</v>
      </c>
      <c r="K9" s="2" t="s">
        <v>2490</v>
      </c>
    </row>
    <row r="10" spans="1:14" x14ac:dyDescent="0.25">
      <c r="A10" s="117">
        <v>540230</v>
      </c>
      <c r="B10" s="2" t="s">
        <v>280</v>
      </c>
      <c r="C10" s="2" t="s">
        <v>7</v>
      </c>
      <c r="D10" s="2" t="s">
        <v>115</v>
      </c>
      <c r="E10" s="2" t="s">
        <v>2248</v>
      </c>
      <c r="F10" s="2" t="s">
        <v>3132</v>
      </c>
      <c r="G10" s="2" t="s">
        <v>3133</v>
      </c>
      <c r="H10" s="2" t="s">
        <v>3134</v>
      </c>
      <c r="I10" s="2" t="s">
        <v>2586</v>
      </c>
      <c r="J10" s="2" t="s">
        <v>2611</v>
      </c>
      <c r="K10" s="2" t="s">
        <v>2326</v>
      </c>
    </row>
    <row r="11" spans="1:14" x14ac:dyDescent="0.25">
      <c r="A11" s="117">
        <v>540238</v>
      </c>
      <c r="B11" s="2" t="s">
        <v>286</v>
      </c>
      <c r="C11" s="2" t="s">
        <v>7</v>
      </c>
      <c r="D11" s="2" t="s">
        <v>115</v>
      </c>
      <c r="E11" s="2" t="s">
        <v>2248</v>
      </c>
      <c r="F11" s="2" t="s">
        <v>2406</v>
      </c>
      <c r="G11" s="2" t="s">
        <v>2300</v>
      </c>
      <c r="H11" s="2" t="s">
        <v>2733</v>
      </c>
      <c r="I11" s="2" t="s">
        <v>2710</v>
      </c>
      <c r="J11" s="2" t="s">
        <v>2329</v>
      </c>
      <c r="K11" s="2" t="s">
        <v>2354</v>
      </c>
    </row>
    <row r="12" spans="1:14" x14ac:dyDescent="0.25">
      <c r="A12" s="269"/>
      <c r="B12" s="269"/>
      <c r="C12" s="269" t="s">
        <v>7</v>
      </c>
      <c r="D12" s="269"/>
      <c r="E12" s="269"/>
      <c r="F12" s="269" t="s">
        <v>3135</v>
      </c>
      <c r="G12" s="269" t="s">
        <v>3136</v>
      </c>
      <c r="H12" s="269" t="s">
        <v>3137</v>
      </c>
      <c r="I12" s="269" t="s">
        <v>3138</v>
      </c>
      <c r="J12" s="269" t="s">
        <v>3139</v>
      </c>
      <c r="K12" s="269" t="s">
        <v>3140</v>
      </c>
    </row>
    <row r="13" spans="1:14" x14ac:dyDescent="0.25">
      <c r="A13" s="117">
        <v>540009</v>
      </c>
      <c r="B13" s="2" t="s">
        <v>8</v>
      </c>
      <c r="C13" s="2" t="s">
        <v>9</v>
      </c>
      <c r="D13" s="2" t="s">
        <v>5</v>
      </c>
      <c r="E13" s="2" t="s">
        <v>2250</v>
      </c>
      <c r="F13" s="2" t="s">
        <v>3141</v>
      </c>
      <c r="G13" s="2" t="s">
        <v>3142</v>
      </c>
      <c r="H13" s="2" t="s">
        <v>3143</v>
      </c>
      <c r="I13" s="2" t="s">
        <v>2336</v>
      </c>
      <c r="J13" s="2" t="s">
        <v>3144</v>
      </c>
      <c r="K13" s="2" t="s">
        <v>3145</v>
      </c>
    </row>
    <row r="14" spans="1:14" x14ac:dyDescent="0.25">
      <c r="A14" s="117">
        <v>540010</v>
      </c>
      <c r="B14" s="2" t="s">
        <v>121</v>
      </c>
      <c r="C14" s="2" t="s">
        <v>9</v>
      </c>
      <c r="D14" s="2" t="s">
        <v>115</v>
      </c>
      <c r="E14" s="2" t="s">
        <v>2250</v>
      </c>
      <c r="F14" s="2" t="s">
        <v>3146</v>
      </c>
      <c r="G14" s="2" t="s">
        <v>3147</v>
      </c>
      <c r="H14" s="2" t="s">
        <v>3148</v>
      </c>
      <c r="I14" s="2" t="s">
        <v>2338</v>
      </c>
      <c r="J14" s="2" t="s">
        <v>2609</v>
      </c>
      <c r="K14" s="2" t="s">
        <v>2550</v>
      </c>
    </row>
    <row r="15" spans="1:14" x14ac:dyDescent="0.25">
      <c r="A15" s="117">
        <v>540235</v>
      </c>
      <c r="B15" s="2" t="s">
        <v>283</v>
      </c>
      <c r="C15" s="2" t="s">
        <v>9</v>
      </c>
      <c r="D15" s="2" t="s">
        <v>115</v>
      </c>
      <c r="E15" s="2" t="s">
        <v>2250</v>
      </c>
      <c r="F15" s="2" t="s">
        <v>3149</v>
      </c>
      <c r="G15" s="2" t="s">
        <v>3087</v>
      </c>
      <c r="H15" s="2" t="s">
        <v>2936</v>
      </c>
      <c r="I15" s="2" t="s">
        <v>2303</v>
      </c>
      <c r="J15" s="2" t="s">
        <v>2303</v>
      </c>
      <c r="K15" s="2" t="s">
        <v>2303</v>
      </c>
    </row>
    <row r="16" spans="1:14" x14ac:dyDescent="0.25">
      <c r="A16" s="117">
        <v>540236</v>
      </c>
      <c r="B16" s="2" t="s">
        <v>284</v>
      </c>
      <c r="C16" s="2" t="s">
        <v>9</v>
      </c>
      <c r="D16" s="2" t="s">
        <v>115</v>
      </c>
      <c r="E16" s="2" t="s">
        <v>2250</v>
      </c>
      <c r="F16" s="2" t="s">
        <v>3150</v>
      </c>
      <c r="G16" s="2" t="s">
        <v>3151</v>
      </c>
      <c r="H16" s="2" t="s">
        <v>3152</v>
      </c>
      <c r="I16" s="2" t="s">
        <v>2339</v>
      </c>
      <c r="J16" s="2" t="s">
        <v>2670</v>
      </c>
      <c r="K16" s="2" t="s">
        <v>2827</v>
      </c>
    </row>
    <row r="17" spans="1:11" x14ac:dyDescent="0.25">
      <c r="A17" s="117">
        <v>540237</v>
      </c>
      <c r="B17" s="2" t="s">
        <v>285</v>
      </c>
      <c r="C17" s="2" t="s">
        <v>9</v>
      </c>
      <c r="D17" s="2" t="s">
        <v>115</v>
      </c>
      <c r="E17" s="2" t="s">
        <v>2250</v>
      </c>
      <c r="F17" s="2" t="s">
        <v>3153</v>
      </c>
      <c r="G17" s="2" t="s">
        <v>3154</v>
      </c>
      <c r="H17" s="2" t="s">
        <v>3155</v>
      </c>
      <c r="I17" s="2" t="s">
        <v>2340</v>
      </c>
      <c r="J17" s="2" t="s">
        <v>2460</v>
      </c>
      <c r="K17" s="2" t="s">
        <v>2350</v>
      </c>
    </row>
    <row r="18" spans="1:11" x14ac:dyDescent="0.25">
      <c r="A18" s="269"/>
      <c r="B18" s="269"/>
      <c r="C18" s="269" t="s">
        <v>9</v>
      </c>
      <c r="D18" s="269"/>
      <c r="E18" s="269"/>
      <c r="F18" s="269" t="s">
        <v>3156</v>
      </c>
      <c r="G18" s="269" t="s">
        <v>3157</v>
      </c>
      <c r="H18" s="269" t="s">
        <v>3158</v>
      </c>
      <c r="I18" s="269" t="s">
        <v>2342</v>
      </c>
      <c r="J18" s="269" t="s">
        <v>3159</v>
      </c>
      <c r="K18" s="269" t="s">
        <v>3160</v>
      </c>
    </row>
    <row r="19" spans="1:11" x14ac:dyDescent="0.25">
      <c r="A19" s="117">
        <v>540011</v>
      </c>
      <c r="B19" s="2" t="s">
        <v>10</v>
      </c>
      <c r="C19" s="2" t="s">
        <v>11</v>
      </c>
      <c r="D19" s="2" t="s">
        <v>5</v>
      </c>
      <c r="E19" s="2" t="s">
        <v>2249</v>
      </c>
      <c r="F19" s="2" t="s">
        <v>3161</v>
      </c>
      <c r="G19" s="2" t="s">
        <v>3162</v>
      </c>
      <c r="H19" s="2" t="s">
        <v>3163</v>
      </c>
      <c r="I19" s="2" t="s">
        <v>3164</v>
      </c>
      <c r="J19" s="2" t="s">
        <v>3165</v>
      </c>
      <c r="K19" s="2" t="s">
        <v>3166</v>
      </c>
    </row>
    <row r="20" spans="1:11" x14ac:dyDescent="0.25">
      <c r="A20" s="117">
        <v>540012</v>
      </c>
      <c r="B20" s="2" t="s">
        <v>122</v>
      </c>
      <c r="C20" s="2" t="s">
        <v>11</v>
      </c>
      <c r="D20" s="2" t="s">
        <v>115</v>
      </c>
      <c r="E20" s="2" t="s">
        <v>2249</v>
      </c>
      <c r="F20" s="2" t="s">
        <v>2564</v>
      </c>
      <c r="G20" s="2" t="s">
        <v>3167</v>
      </c>
      <c r="H20" s="2" t="s">
        <v>2731</v>
      </c>
      <c r="I20" s="2" t="s">
        <v>3168</v>
      </c>
      <c r="J20" s="2" t="s">
        <v>2888</v>
      </c>
      <c r="K20" s="2" t="s">
        <v>2569</v>
      </c>
    </row>
    <row r="21" spans="1:11" x14ac:dyDescent="0.25">
      <c r="A21" s="117">
        <v>540013</v>
      </c>
      <c r="B21" s="2" t="s">
        <v>123</v>
      </c>
      <c r="C21" s="2" t="s">
        <v>11</v>
      </c>
      <c r="D21" s="2" t="s">
        <v>115</v>
      </c>
      <c r="E21" s="2" t="s">
        <v>2249</v>
      </c>
      <c r="F21" s="2" t="s">
        <v>3169</v>
      </c>
      <c r="G21" s="2" t="s">
        <v>3170</v>
      </c>
      <c r="H21" s="2" t="s">
        <v>3171</v>
      </c>
      <c r="I21" s="2" t="s">
        <v>2521</v>
      </c>
      <c r="J21" s="2" t="s">
        <v>2415</v>
      </c>
      <c r="K21" s="2" t="s">
        <v>2484</v>
      </c>
    </row>
    <row r="22" spans="1:11" x14ac:dyDescent="0.25">
      <c r="A22" s="117">
        <v>540014</v>
      </c>
      <c r="B22" s="2" t="s">
        <v>124</v>
      </c>
      <c r="C22" s="2" t="s">
        <v>11</v>
      </c>
      <c r="D22" s="2" t="s">
        <v>115</v>
      </c>
      <c r="E22" s="2" t="s">
        <v>2249</v>
      </c>
      <c r="F22" s="2" t="s">
        <v>3172</v>
      </c>
      <c r="G22" s="2" t="s">
        <v>3173</v>
      </c>
      <c r="H22" s="2" t="s">
        <v>3174</v>
      </c>
      <c r="I22" s="2" t="s">
        <v>2308</v>
      </c>
      <c r="J22" s="2" t="s">
        <v>2611</v>
      </c>
      <c r="K22" s="2" t="s">
        <v>2443</v>
      </c>
    </row>
    <row r="23" spans="1:11" x14ac:dyDescent="0.25">
      <c r="A23" s="117">
        <v>540015</v>
      </c>
      <c r="B23" s="2" t="s">
        <v>125</v>
      </c>
      <c r="C23" s="2" t="s">
        <v>11</v>
      </c>
      <c r="D23" s="2" t="s">
        <v>115</v>
      </c>
      <c r="E23" s="2" t="s">
        <v>2249</v>
      </c>
      <c r="F23" s="2" t="s">
        <v>3175</v>
      </c>
      <c r="G23" s="2" t="s">
        <v>3176</v>
      </c>
      <c r="H23" s="2" t="s">
        <v>3177</v>
      </c>
      <c r="I23" s="2" t="s">
        <v>3178</v>
      </c>
      <c r="J23" s="2" t="s">
        <v>2780</v>
      </c>
      <c r="K23" s="2" t="s">
        <v>2376</v>
      </c>
    </row>
    <row r="24" spans="1:11" x14ac:dyDescent="0.25">
      <c r="A24" s="117">
        <v>540093</v>
      </c>
      <c r="B24" s="2" t="s">
        <v>184</v>
      </c>
      <c r="C24" s="2" t="s">
        <v>11</v>
      </c>
      <c r="D24" s="2" t="s">
        <v>115</v>
      </c>
      <c r="E24" s="2" t="s">
        <v>2249</v>
      </c>
      <c r="F24" s="2" t="s">
        <v>3179</v>
      </c>
      <c r="G24" s="2" t="s">
        <v>2511</v>
      </c>
      <c r="H24" s="2" t="s">
        <v>3180</v>
      </c>
      <c r="I24" s="2" t="s">
        <v>2605</v>
      </c>
      <c r="J24" s="2" t="s">
        <v>2561</v>
      </c>
      <c r="K24" s="2" t="s">
        <v>2637</v>
      </c>
    </row>
    <row r="25" spans="1:11" x14ac:dyDescent="0.25">
      <c r="A25" s="117">
        <v>540084</v>
      </c>
      <c r="B25" s="2" t="s">
        <v>341</v>
      </c>
      <c r="C25" s="2" t="s">
        <v>11</v>
      </c>
      <c r="D25" s="2" t="s">
        <v>115</v>
      </c>
      <c r="E25" s="2" t="s">
        <v>2249</v>
      </c>
      <c r="F25" s="2" t="s">
        <v>2308</v>
      </c>
      <c r="G25" s="2" t="s">
        <v>3004</v>
      </c>
      <c r="H25" s="2" t="s">
        <v>2300</v>
      </c>
      <c r="I25" s="2" t="s">
        <v>2303</v>
      </c>
      <c r="J25" s="2" t="s">
        <v>2303</v>
      </c>
      <c r="K25" s="2" t="s">
        <v>2303</v>
      </c>
    </row>
    <row r="26" spans="1:11" x14ac:dyDescent="0.25">
      <c r="A26" s="269"/>
      <c r="B26" s="269"/>
      <c r="C26" s="269" t="s">
        <v>11</v>
      </c>
      <c r="D26" s="269"/>
      <c r="E26" s="269"/>
      <c r="F26" s="269" t="s">
        <v>3181</v>
      </c>
      <c r="G26" s="269" t="s">
        <v>3182</v>
      </c>
      <c r="H26" s="269" t="s">
        <v>3183</v>
      </c>
      <c r="I26" s="269" t="s">
        <v>3184</v>
      </c>
      <c r="J26" s="269" t="s">
        <v>3185</v>
      </c>
      <c r="K26" s="269" t="s">
        <v>3186</v>
      </c>
    </row>
    <row r="27" spans="1:11" x14ac:dyDescent="0.25">
      <c r="A27" s="117">
        <v>540016</v>
      </c>
      <c r="B27" s="2" t="s">
        <v>12</v>
      </c>
      <c r="C27" s="2" t="s">
        <v>13</v>
      </c>
      <c r="D27" s="2" t="s">
        <v>5</v>
      </c>
      <c r="E27" s="2" t="s">
        <v>2251</v>
      </c>
      <c r="F27" s="2" t="s">
        <v>3187</v>
      </c>
      <c r="G27" s="2" t="s">
        <v>3188</v>
      </c>
      <c r="H27" s="2" t="s">
        <v>3189</v>
      </c>
      <c r="I27" s="2" t="s">
        <v>3190</v>
      </c>
      <c r="J27" s="2" t="s">
        <v>3191</v>
      </c>
      <c r="K27" s="2" t="s">
        <v>3192</v>
      </c>
    </row>
    <row r="28" spans="1:11" x14ac:dyDescent="0.25">
      <c r="A28" s="117">
        <v>540017</v>
      </c>
      <c r="B28" s="2" t="s">
        <v>126</v>
      </c>
      <c r="C28" s="2" t="s">
        <v>13</v>
      </c>
      <c r="D28" s="2" t="s">
        <v>115</v>
      </c>
      <c r="E28" s="2" t="s">
        <v>2251</v>
      </c>
      <c r="F28" s="2" t="s">
        <v>3193</v>
      </c>
      <c r="G28" s="2" t="s">
        <v>3194</v>
      </c>
      <c r="H28" s="2" t="s">
        <v>3195</v>
      </c>
      <c r="I28" s="2" t="s">
        <v>2656</v>
      </c>
      <c r="J28" s="2" t="s">
        <v>3196</v>
      </c>
      <c r="K28" s="2" t="s">
        <v>2446</v>
      </c>
    </row>
    <row r="29" spans="1:11" x14ac:dyDescent="0.25">
      <c r="A29" s="117">
        <v>540018</v>
      </c>
      <c r="B29" s="2" t="s">
        <v>127</v>
      </c>
      <c r="C29" s="2" t="s">
        <v>13</v>
      </c>
      <c r="D29" s="2" t="s">
        <v>115</v>
      </c>
      <c r="E29" s="2" t="s">
        <v>2251</v>
      </c>
      <c r="F29" s="2" t="s">
        <v>3197</v>
      </c>
      <c r="G29" s="2" t="s">
        <v>3198</v>
      </c>
      <c r="H29" s="2" t="s">
        <v>3199</v>
      </c>
      <c r="I29" s="2" t="s">
        <v>3200</v>
      </c>
      <c r="J29" s="2" t="s">
        <v>3201</v>
      </c>
      <c r="K29" s="2" t="s">
        <v>2561</v>
      </c>
    </row>
    <row r="30" spans="1:11" x14ac:dyDescent="0.25">
      <c r="A30" s="117">
        <v>540019</v>
      </c>
      <c r="B30" s="2" t="s">
        <v>128</v>
      </c>
      <c r="C30" s="2" t="s">
        <v>13</v>
      </c>
      <c r="D30" s="2" t="s">
        <v>115</v>
      </c>
      <c r="E30" s="2" t="s">
        <v>2251</v>
      </c>
      <c r="F30" s="2" t="s">
        <v>3202</v>
      </c>
      <c r="G30" s="2" t="s">
        <v>3203</v>
      </c>
      <c r="H30" s="2" t="s">
        <v>3178</v>
      </c>
      <c r="I30" s="2" t="s">
        <v>3204</v>
      </c>
      <c r="J30" s="2" t="s">
        <v>2992</v>
      </c>
      <c r="K30" s="2" t="s">
        <v>2687</v>
      </c>
    </row>
    <row r="31" spans="1:11" x14ac:dyDescent="0.25">
      <c r="A31" s="269"/>
      <c r="B31" s="269"/>
      <c r="C31" s="269" t="s">
        <v>13</v>
      </c>
      <c r="D31" s="269"/>
      <c r="E31" s="269"/>
      <c r="F31" s="269" t="s">
        <v>3205</v>
      </c>
      <c r="G31" s="269" t="s">
        <v>3206</v>
      </c>
      <c r="H31" s="269" t="s">
        <v>3207</v>
      </c>
      <c r="I31" s="269" t="s">
        <v>3208</v>
      </c>
      <c r="J31" s="269" t="s">
        <v>3209</v>
      </c>
      <c r="K31" s="269" t="s">
        <v>3210</v>
      </c>
    </row>
    <row r="32" spans="1:11" x14ac:dyDescent="0.25">
      <c r="A32" s="117">
        <v>540020</v>
      </c>
      <c r="B32" s="2" t="s">
        <v>14</v>
      </c>
      <c r="C32" s="2" t="s">
        <v>15</v>
      </c>
      <c r="D32" s="2" t="s">
        <v>5</v>
      </c>
      <c r="E32" s="2" t="s">
        <v>2254</v>
      </c>
      <c r="F32" s="2" t="s">
        <v>3211</v>
      </c>
      <c r="G32" s="2" t="s">
        <v>3212</v>
      </c>
      <c r="H32" s="2" t="s">
        <v>3213</v>
      </c>
      <c r="I32" s="2" t="s">
        <v>3214</v>
      </c>
      <c r="J32" s="2" t="s">
        <v>3215</v>
      </c>
      <c r="K32" s="2" t="s">
        <v>3216</v>
      </c>
    </row>
    <row r="33" spans="1:11" x14ac:dyDescent="0.25">
      <c r="A33" s="117">
        <v>540021</v>
      </c>
      <c r="B33" s="2" t="s">
        <v>129</v>
      </c>
      <c r="C33" s="2" t="s">
        <v>15</v>
      </c>
      <c r="D33" s="2" t="s">
        <v>115</v>
      </c>
      <c r="E33" s="2" t="s">
        <v>2254</v>
      </c>
      <c r="F33" s="2" t="s">
        <v>3217</v>
      </c>
      <c r="G33" s="2" t="s">
        <v>3035</v>
      </c>
      <c r="H33" s="2" t="s">
        <v>2523</v>
      </c>
      <c r="I33" s="2" t="s">
        <v>2388</v>
      </c>
      <c r="J33" s="2" t="s">
        <v>2670</v>
      </c>
      <c r="K33" s="2" t="s">
        <v>2710</v>
      </c>
    </row>
    <row r="34" spans="1:11" x14ac:dyDescent="0.25">
      <c r="A34" s="269"/>
      <c r="B34" s="269"/>
      <c r="C34" s="269" t="s">
        <v>15</v>
      </c>
      <c r="D34" s="269"/>
      <c r="E34" s="269"/>
      <c r="F34" s="269" t="s">
        <v>3218</v>
      </c>
      <c r="G34" s="269" t="s">
        <v>3219</v>
      </c>
      <c r="H34" s="269" t="s">
        <v>3220</v>
      </c>
      <c r="I34" s="269" t="s">
        <v>3221</v>
      </c>
      <c r="J34" s="269" t="s">
        <v>3222</v>
      </c>
      <c r="K34" s="269" t="s">
        <v>3223</v>
      </c>
    </row>
    <row r="35" spans="1:11" x14ac:dyDescent="0.25">
      <c r="A35" s="117">
        <v>540022</v>
      </c>
      <c r="B35" s="2" t="s">
        <v>16</v>
      </c>
      <c r="C35" s="2" t="s">
        <v>17</v>
      </c>
      <c r="D35" s="2" t="s">
        <v>5</v>
      </c>
      <c r="E35" s="2" t="s">
        <v>2248</v>
      </c>
      <c r="F35" s="2" t="s">
        <v>3224</v>
      </c>
      <c r="G35" s="2" t="s">
        <v>3225</v>
      </c>
      <c r="H35" s="2" t="s">
        <v>3226</v>
      </c>
      <c r="I35" s="2" t="s">
        <v>3227</v>
      </c>
      <c r="J35" s="2" t="s">
        <v>3228</v>
      </c>
      <c r="K35" s="2" t="s">
        <v>3229</v>
      </c>
    </row>
    <row r="36" spans="1:11" x14ac:dyDescent="0.25">
      <c r="A36" s="117">
        <v>540023</v>
      </c>
      <c r="B36" s="2" t="s">
        <v>130</v>
      </c>
      <c r="C36" s="2" t="s">
        <v>17</v>
      </c>
      <c r="D36" s="2" t="s">
        <v>115</v>
      </c>
      <c r="E36" s="2" t="s">
        <v>2248</v>
      </c>
      <c r="F36" s="2" t="s">
        <v>3037</v>
      </c>
      <c r="G36" s="2" t="s">
        <v>3230</v>
      </c>
      <c r="H36" s="2" t="s">
        <v>3231</v>
      </c>
      <c r="I36" s="2" t="s">
        <v>2393</v>
      </c>
      <c r="J36" s="2" t="s">
        <v>2827</v>
      </c>
      <c r="K36" s="2" t="s">
        <v>2713</v>
      </c>
    </row>
    <row r="37" spans="1:11" x14ac:dyDescent="0.25">
      <c r="A37" s="269"/>
      <c r="B37" s="269"/>
      <c r="C37" s="269" t="s">
        <v>17</v>
      </c>
      <c r="D37" s="269"/>
      <c r="E37" s="269"/>
      <c r="F37" s="269" t="s">
        <v>3232</v>
      </c>
      <c r="G37" s="269" t="s">
        <v>3233</v>
      </c>
      <c r="H37" s="269" t="s">
        <v>3234</v>
      </c>
      <c r="I37" s="269" t="s">
        <v>3235</v>
      </c>
      <c r="J37" s="269" t="s">
        <v>3236</v>
      </c>
      <c r="K37" s="269" t="s">
        <v>3237</v>
      </c>
    </row>
    <row r="38" spans="1:11" x14ac:dyDescent="0.25">
      <c r="A38" s="117">
        <v>540024</v>
      </c>
      <c r="B38" s="2" t="s">
        <v>18</v>
      </c>
      <c r="C38" s="2" t="s">
        <v>19</v>
      </c>
      <c r="D38" s="2" t="s">
        <v>5</v>
      </c>
      <c r="E38" s="2" t="s">
        <v>2271</v>
      </c>
      <c r="F38" s="2" t="s">
        <v>3238</v>
      </c>
      <c r="G38" s="2" t="s">
        <v>3239</v>
      </c>
      <c r="H38" s="2" t="s">
        <v>3240</v>
      </c>
      <c r="I38" s="2" t="s">
        <v>3241</v>
      </c>
      <c r="J38" s="2" t="s">
        <v>3242</v>
      </c>
      <c r="K38" s="2" t="s">
        <v>3243</v>
      </c>
    </row>
    <row r="39" spans="1:11" x14ac:dyDescent="0.25">
      <c r="A39" s="117">
        <v>540025</v>
      </c>
      <c r="B39" s="2" t="s">
        <v>131</v>
      </c>
      <c r="C39" s="2" t="s">
        <v>19</v>
      </c>
      <c r="D39" s="2" t="s">
        <v>115</v>
      </c>
      <c r="E39" s="2" t="s">
        <v>2271</v>
      </c>
      <c r="F39" s="2" t="s">
        <v>3244</v>
      </c>
      <c r="G39" s="2" t="s">
        <v>2884</v>
      </c>
      <c r="H39" s="2" t="s">
        <v>2534</v>
      </c>
      <c r="I39" s="2" t="s">
        <v>2401</v>
      </c>
      <c r="J39" s="2" t="s">
        <v>2416</v>
      </c>
      <c r="K39" s="2" t="s">
        <v>2945</v>
      </c>
    </row>
    <row r="40" spans="1:11" x14ac:dyDescent="0.25">
      <c r="A40" s="269"/>
      <c r="B40" s="269"/>
      <c r="C40" s="269" t="s">
        <v>19</v>
      </c>
      <c r="D40" s="269"/>
      <c r="E40" s="269"/>
      <c r="F40" s="269" t="s">
        <v>3245</v>
      </c>
      <c r="G40" s="269" t="s">
        <v>3246</v>
      </c>
      <c r="H40" s="269" t="s">
        <v>3247</v>
      </c>
      <c r="I40" s="269" t="s">
        <v>3248</v>
      </c>
      <c r="J40" s="269" t="s">
        <v>2390</v>
      </c>
      <c r="K40" s="269" t="s">
        <v>3249</v>
      </c>
    </row>
    <row r="41" spans="1:11" x14ac:dyDescent="0.25">
      <c r="A41" s="117">
        <v>540035</v>
      </c>
      <c r="B41" s="2" t="s">
        <v>22</v>
      </c>
      <c r="C41" s="2" t="s">
        <v>23</v>
      </c>
      <c r="D41" s="2" t="s">
        <v>5</v>
      </c>
      <c r="E41" s="2" t="s">
        <v>2250</v>
      </c>
      <c r="F41" s="2" t="s">
        <v>3250</v>
      </c>
      <c r="G41" s="2" t="s">
        <v>3251</v>
      </c>
      <c r="H41" s="2" t="s">
        <v>3252</v>
      </c>
      <c r="I41" s="2" t="s">
        <v>3253</v>
      </c>
      <c r="J41" s="2" t="s">
        <v>3254</v>
      </c>
      <c r="K41" s="2" t="s">
        <v>3255</v>
      </c>
    </row>
    <row r="42" spans="1:11" x14ac:dyDescent="0.25">
      <c r="A42" s="117">
        <v>540036</v>
      </c>
      <c r="B42" s="2" t="s">
        <v>139</v>
      </c>
      <c r="C42" s="2" t="s">
        <v>23</v>
      </c>
      <c r="D42" s="2" t="s">
        <v>115</v>
      </c>
      <c r="E42" s="2" t="s">
        <v>2250</v>
      </c>
      <c r="F42" s="2" t="s">
        <v>3256</v>
      </c>
      <c r="G42" s="2" t="s">
        <v>3257</v>
      </c>
      <c r="H42" s="2" t="s">
        <v>2730</v>
      </c>
      <c r="I42" s="2" t="s">
        <v>2406</v>
      </c>
      <c r="J42" s="2" t="s">
        <v>2532</v>
      </c>
      <c r="K42" s="2" t="s">
        <v>2312</v>
      </c>
    </row>
    <row r="43" spans="1:11" x14ac:dyDescent="0.25">
      <c r="A43" s="117">
        <v>540037</v>
      </c>
      <c r="B43" s="2" t="s">
        <v>140</v>
      </c>
      <c r="C43" s="2" t="s">
        <v>23</v>
      </c>
      <c r="D43" s="2" t="s">
        <v>115</v>
      </c>
      <c r="E43" s="2" t="s">
        <v>2250</v>
      </c>
      <c r="F43" s="2" t="s">
        <v>3258</v>
      </c>
      <c r="G43" s="2" t="s">
        <v>2585</v>
      </c>
      <c r="H43" s="2" t="s">
        <v>3152</v>
      </c>
      <c r="I43" s="2" t="s">
        <v>2407</v>
      </c>
      <c r="J43" s="2" t="s">
        <v>2415</v>
      </c>
      <c r="K43" s="2" t="s">
        <v>2358</v>
      </c>
    </row>
    <row r="44" spans="1:11" x14ac:dyDescent="0.25">
      <c r="A44" s="269"/>
      <c r="B44" s="269"/>
      <c r="C44" s="269" t="s">
        <v>23</v>
      </c>
      <c r="D44" s="269"/>
      <c r="E44" s="269"/>
      <c r="F44" s="269" t="s">
        <v>3259</v>
      </c>
      <c r="G44" s="269" t="s">
        <v>3260</v>
      </c>
      <c r="H44" s="269" t="s">
        <v>3261</v>
      </c>
      <c r="I44" s="269" t="s">
        <v>2981</v>
      </c>
      <c r="J44" s="269" t="s">
        <v>3262</v>
      </c>
      <c r="K44" s="269" t="s">
        <v>3263</v>
      </c>
    </row>
    <row r="45" spans="1:11" x14ac:dyDescent="0.25">
      <c r="A45" s="117">
        <v>540038</v>
      </c>
      <c r="B45" s="2" t="s">
        <v>24</v>
      </c>
      <c r="C45" s="2" t="s">
        <v>25</v>
      </c>
      <c r="D45" s="2" t="s">
        <v>5</v>
      </c>
      <c r="E45" s="2" t="s">
        <v>2272</v>
      </c>
      <c r="F45" s="2" t="s">
        <v>3264</v>
      </c>
      <c r="G45" s="2" t="s">
        <v>3265</v>
      </c>
      <c r="H45" s="2" t="s">
        <v>3266</v>
      </c>
      <c r="I45" s="2" t="s">
        <v>3267</v>
      </c>
      <c r="J45" s="2" t="s">
        <v>3268</v>
      </c>
      <c r="K45" s="2" t="s">
        <v>3269</v>
      </c>
    </row>
    <row r="46" spans="1:11" x14ac:dyDescent="0.25">
      <c r="A46" s="117">
        <v>540039</v>
      </c>
      <c r="B46" s="2" t="s">
        <v>141</v>
      </c>
      <c r="C46" s="2" t="s">
        <v>25</v>
      </c>
      <c r="D46" s="2" t="s">
        <v>115</v>
      </c>
      <c r="E46" s="2" t="s">
        <v>2272</v>
      </c>
      <c r="F46" s="2" t="s">
        <v>3270</v>
      </c>
      <c r="G46" s="2" t="s">
        <v>3271</v>
      </c>
      <c r="H46" s="2" t="s">
        <v>3272</v>
      </c>
      <c r="I46" s="2" t="s">
        <v>2413</v>
      </c>
      <c r="J46" s="2" t="s">
        <v>2570</v>
      </c>
      <c r="K46" s="2" t="s">
        <v>3273</v>
      </c>
    </row>
    <row r="47" spans="1:11" x14ac:dyDescent="0.25">
      <c r="A47" s="117">
        <v>540240</v>
      </c>
      <c r="B47" s="2" t="s">
        <v>287</v>
      </c>
      <c r="C47" s="2" t="s">
        <v>25</v>
      </c>
      <c r="D47" s="2" t="s">
        <v>115</v>
      </c>
      <c r="E47" s="2" t="s">
        <v>2272</v>
      </c>
      <c r="F47" s="2" t="s">
        <v>2992</v>
      </c>
      <c r="G47" s="2" t="s">
        <v>2531</v>
      </c>
      <c r="H47" s="2" t="s">
        <v>2792</v>
      </c>
      <c r="I47" s="2" t="s">
        <v>2387</v>
      </c>
      <c r="J47" s="2" t="s">
        <v>2490</v>
      </c>
      <c r="K47" s="2" t="s">
        <v>2412</v>
      </c>
    </row>
    <row r="48" spans="1:11" x14ac:dyDescent="0.25">
      <c r="A48" s="269"/>
      <c r="B48" s="269"/>
      <c r="C48" s="269" t="s">
        <v>25</v>
      </c>
      <c r="D48" s="269"/>
      <c r="E48" s="269"/>
      <c r="F48" s="269" t="s">
        <v>3274</v>
      </c>
      <c r="G48" s="269" t="s">
        <v>3275</v>
      </c>
      <c r="H48" s="269" t="s">
        <v>3276</v>
      </c>
      <c r="I48" s="269" t="s">
        <v>3277</v>
      </c>
      <c r="J48" s="269" t="s">
        <v>2564</v>
      </c>
      <c r="K48" s="269" t="s">
        <v>3278</v>
      </c>
    </row>
    <row r="49" spans="1:11" x14ac:dyDescent="0.25">
      <c r="A49" s="117">
        <v>540040</v>
      </c>
      <c r="B49" s="2" t="s">
        <v>26</v>
      </c>
      <c r="C49" s="2" t="s">
        <v>27</v>
      </c>
      <c r="D49" s="2" t="s">
        <v>5</v>
      </c>
      <c r="E49" s="2" t="s">
        <v>2252</v>
      </c>
      <c r="F49" s="2" t="s">
        <v>3279</v>
      </c>
      <c r="G49" s="2" t="s">
        <v>3280</v>
      </c>
      <c r="H49" s="2" t="s">
        <v>3281</v>
      </c>
      <c r="I49" s="2" t="s">
        <v>3282</v>
      </c>
      <c r="J49" s="2" t="s">
        <v>3283</v>
      </c>
      <c r="K49" s="2" t="s">
        <v>3284</v>
      </c>
    </row>
    <row r="50" spans="1:11" x14ac:dyDescent="0.25">
      <c r="A50" s="117">
        <v>540041</v>
      </c>
      <c r="B50" s="2" t="s">
        <v>142</v>
      </c>
      <c r="C50" s="2" t="s">
        <v>27</v>
      </c>
      <c r="D50" s="2" t="s">
        <v>115</v>
      </c>
      <c r="E50" s="2" t="s">
        <v>2252</v>
      </c>
      <c r="F50" s="2" t="s">
        <v>2596</v>
      </c>
      <c r="G50" s="2" t="s">
        <v>3285</v>
      </c>
      <c r="H50" s="2" t="s">
        <v>2610</v>
      </c>
      <c r="I50" s="2" t="s">
        <v>2531</v>
      </c>
      <c r="J50" s="2" t="s">
        <v>2729</v>
      </c>
      <c r="K50" s="2" t="s">
        <v>2386</v>
      </c>
    </row>
    <row r="51" spans="1:11" x14ac:dyDescent="0.25">
      <c r="A51" s="117">
        <v>540043</v>
      </c>
      <c r="B51" s="2" t="s">
        <v>144</v>
      </c>
      <c r="C51" s="2" t="s">
        <v>27</v>
      </c>
      <c r="D51" s="2" t="s">
        <v>115</v>
      </c>
      <c r="E51" s="2" t="s">
        <v>2252</v>
      </c>
      <c r="F51" s="2" t="s">
        <v>3286</v>
      </c>
      <c r="G51" s="2" t="s">
        <v>2748</v>
      </c>
      <c r="H51" s="2" t="s">
        <v>3287</v>
      </c>
      <c r="I51" s="2" t="s">
        <v>3288</v>
      </c>
      <c r="J51" s="2" t="s">
        <v>3289</v>
      </c>
      <c r="K51" s="2" t="s">
        <v>2494</v>
      </c>
    </row>
    <row r="52" spans="1:11" x14ac:dyDescent="0.25">
      <c r="A52" s="117">
        <v>540044</v>
      </c>
      <c r="B52" s="2" t="s">
        <v>145</v>
      </c>
      <c r="C52" s="2" t="s">
        <v>27</v>
      </c>
      <c r="D52" s="2" t="s">
        <v>115</v>
      </c>
      <c r="E52" s="2" t="s">
        <v>2252</v>
      </c>
      <c r="F52" s="2" t="s">
        <v>3290</v>
      </c>
      <c r="G52" s="2" t="s">
        <v>2780</v>
      </c>
      <c r="H52" s="2" t="s">
        <v>3291</v>
      </c>
      <c r="I52" s="2" t="s">
        <v>2393</v>
      </c>
      <c r="J52" s="2" t="s">
        <v>2386</v>
      </c>
      <c r="K52" s="2" t="s">
        <v>2339</v>
      </c>
    </row>
    <row r="53" spans="1:11" x14ac:dyDescent="0.25">
      <c r="A53" s="117">
        <v>540045</v>
      </c>
      <c r="B53" s="2" t="s">
        <v>146</v>
      </c>
      <c r="C53" s="2" t="s">
        <v>27</v>
      </c>
      <c r="D53" s="2" t="s">
        <v>115</v>
      </c>
      <c r="E53" s="2" t="s">
        <v>2252</v>
      </c>
      <c r="F53" s="2" t="s">
        <v>3292</v>
      </c>
      <c r="G53" s="2" t="s">
        <v>3293</v>
      </c>
      <c r="H53" s="2" t="s">
        <v>3294</v>
      </c>
      <c r="I53" s="2" t="s">
        <v>2655</v>
      </c>
      <c r="J53" s="2" t="s">
        <v>2435</v>
      </c>
      <c r="K53" s="2" t="s">
        <v>2611</v>
      </c>
    </row>
    <row r="54" spans="1:11" x14ac:dyDescent="0.25">
      <c r="A54" s="117">
        <v>540228</v>
      </c>
      <c r="B54" s="2" t="s">
        <v>278</v>
      </c>
      <c r="C54" s="2" t="s">
        <v>27</v>
      </c>
      <c r="D54" s="2" t="s">
        <v>115</v>
      </c>
      <c r="E54" s="2" t="s">
        <v>2252</v>
      </c>
      <c r="F54" s="2" t="s">
        <v>3295</v>
      </c>
      <c r="G54" s="2" t="s">
        <v>2597</v>
      </c>
      <c r="H54" s="2" t="s">
        <v>2559</v>
      </c>
      <c r="I54" s="2" t="s">
        <v>2312</v>
      </c>
      <c r="J54" s="2" t="s">
        <v>2494</v>
      </c>
      <c r="K54" s="2" t="s">
        <v>2602</v>
      </c>
    </row>
    <row r="55" spans="1:11" x14ac:dyDescent="0.25">
      <c r="A55" s="117">
        <v>540243</v>
      </c>
      <c r="B55" s="2" t="s">
        <v>290</v>
      </c>
      <c r="C55" s="2" t="s">
        <v>27</v>
      </c>
      <c r="D55" s="2" t="s">
        <v>115</v>
      </c>
      <c r="E55" s="2" t="s">
        <v>2252</v>
      </c>
      <c r="F55" s="2" t="s">
        <v>2638</v>
      </c>
      <c r="G55" s="2" t="s">
        <v>3033</v>
      </c>
      <c r="H55" s="2" t="s">
        <v>3296</v>
      </c>
      <c r="I55" s="2" t="s">
        <v>2446</v>
      </c>
      <c r="J55" s="2" t="s">
        <v>2376</v>
      </c>
      <c r="K55" s="2" t="s">
        <v>2401</v>
      </c>
    </row>
    <row r="56" spans="1:11" x14ac:dyDescent="0.25">
      <c r="A56" s="117">
        <v>540244</v>
      </c>
      <c r="B56" s="2" t="s">
        <v>291</v>
      </c>
      <c r="C56" s="2" t="s">
        <v>27</v>
      </c>
      <c r="D56" s="2" t="s">
        <v>115</v>
      </c>
      <c r="E56" s="2" t="s">
        <v>2252</v>
      </c>
      <c r="F56" s="2" t="s">
        <v>2859</v>
      </c>
      <c r="G56" s="2" t="s">
        <v>2829</v>
      </c>
      <c r="H56" s="2" t="s">
        <v>2393</v>
      </c>
      <c r="I56" s="2" t="s">
        <v>2373</v>
      </c>
      <c r="J56" s="2" t="s">
        <v>2373</v>
      </c>
      <c r="K56" s="2" t="s">
        <v>2303</v>
      </c>
    </row>
    <row r="57" spans="1:11" x14ac:dyDescent="0.25">
      <c r="A57" s="117">
        <v>540281</v>
      </c>
      <c r="B57" s="2" t="s">
        <v>322</v>
      </c>
      <c r="C57" s="2" t="s">
        <v>27</v>
      </c>
      <c r="D57" s="2" t="s">
        <v>115</v>
      </c>
      <c r="E57" s="2" t="s">
        <v>2252</v>
      </c>
      <c r="F57" s="2" t="s">
        <v>3297</v>
      </c>
      <c r="G57" s="2" t="s">
        <v>3298</v>
      </c>
      <c r="H57" s="2" t="s">
        <v>3299</v>
      </c>
      <c r="I57" s="2" t="s">
        <v>2303</v>
      </c>
      <c r="J57" s="2" t="s">
        <v>2303</v>
      </c>
      <c r="K57" s="2" t="s">
        <v>2303</v>
      </c>
    </row>
    <row r="58" spans="1:11" x14ac:dyDescent="0.25">
      <c r="A58" s="269"/>
      <c r="B58" s="269"/>
      <c r="C58" s="269" t="s">
        <v>27</v>
      </c>
      <c r="D58" s="269"/>
      <c r="E58" s="269"/>
      <c r="F58" s="269" t="s">
        <v>3300</v>
      </c>
      <c r="G58" s="269" t="s">
        <v>3301</v>
      </c>
      <c r="H58" s="269" t="s">
        <v>3302</v>
      </c>
      <c r="I58" s="269" t="s">
        <v>3303</v>
      </c>
      <c r="J58" s="269" t="s">
        <v>3304</v>
      </c>
      <c r="K58" s="269" t="s">
        <v>3305</v>
      </c>
    </row>
    <row r="59" spans="1:11" x14ac:dyDescent="0.25">
      <c r="A59" s="117">
        <v>540047</v>
      </c>
      <c r="B59" s="2" t="s">
        <v>28</v>
      </c>
      <c r="C59" s="2" t="s">
        <v>29</v>
      </c>
      <c r="D59" s="2" t="s">
        <v>5</v>
      </c>
      <c r="E59" s="2" t="s">
        <v>2249</v>
      </c>
      <c r="F59" s="2" t="s">
        <v>3306</v>
      </c>
      <c r="G59" s="2" t="s">
        <v>3307</v>
      </c>
      <c r="H59" s="2" t="s">
        <v>3308</v>
      </c>
      <c r="I59" s="2" t="s">
        <v>3309</v>
      </c>
      <c r="J59" s="2" t="s">
        <v>3310</v>
      </c>
      <c r="K59" s="2" t="s">
        <v>2830</v>
      </c>
    </row>
    <row r="60" spans="1:11" x14ac:dyDescent="0.25">
      <c r="A60" s="117">
        <v>540014</v>
      </c>
      <c r="B60" s="2" t="s">
        <v>124</v>
      </c>
      <c r="C60" s="2" t="s">
        <v>29</v>
      </c>
      <c r="D60" s="2" t="s">
        <v>115</v>
      </c>
      <c r="E60" s="2" t="s">
        <v>2249</v>
      </c>
      <c r="F60" s="2" t="s">
        <v>3311</v>
      </c>
      <c r="G60" s="2" t="s">
        <v>3312</v>
      </c>
      <c r="H60" s="2" t="s">
        <v>3011</v>
      </c>
      <c r="I60" s="2" t="s">
        <v>3154</v>
      </c>
      <c r="J60" s="2" t="s">
        <v>3087</v>
      </c>
      <c r="K60" s="2" t="s">
        <v>2732</v>
      </c>
    </row>
    <row r="61" spans="1:11" x14ac:dyDescent="0.25">
      <c r="A61" s="117">
        <v>540048</v>
      </c>
      <c r="B61" s="2" t="s">
        <v>148</v>
      </c>
      <c r="C61" s="2" t="s">
        <v>29</v>
      </c>
      <c r="D61" s="2" t="s">
        <v>115</v>
      </c>
      <c r="E61" s="2" t="s">
        <v>2249</v>
      </c>
      <c r="F61" s="2" t="s">
        <v>3313</v>
      </c>
      <c r="G61" s="2" t="s">
        <v>3314</v>
      </c>
      <c r="H61" s="2" t="s">
        <v>3315</v>
      </c>
      <c r="I61" s="2" t="s">
        <v>2569</v>
      </c>
      <c r="J61" s="2" t="s">
        <v>2446</v>
      </c>
      <c r="K61" s="2" t="s">
        <v>2326</v>
      </c>
    </row>
    <row r="62" spans="1:11" x14ac:dyDescent="0.25">
      <c r="A62" s="117">
        <v>540049</v>
      </c>
      <c r="B62" s="2" t="s">
        <v>149</v>
      </c>
      <c r="C62" s="2" t="s">
        <v>29</v>
      </c>
      <c r="D62" s="2" t="s">
        <v>115</v>
      </c>
      <c r="E62" s="2" t="s">
        <v>2249</v>
      </c>
      <c r="F62" s="2" t="s">
        <v>3316</v>
      </c>
      <c r="G62" s="2" t="s">
        <v>3317</v>
      </c>
      <c r="H62" s="2" t="s">
        <v>3318</v>
      </c>
      <c r="I62" s="2" t="s">
        <v>3319</v>
      </c>
      <c r="J62" s="2" t="s">
        <v>2614</v>
      </c>
      <c r="K62" s="2" t="s">
        <v>2521</v>
      </c>
    </row>
    <row r="63" spans="1:11" x14ac:dyDescent="0.25">
      <c r="A63" s="269"/>
      <c r="B63" s="269"/>
      <c r="C63" s="269" t="s">
        <v>29</v>
      </c>
      <c r="D63" s="269"/>
      <c r="E63" s="269"/>
      <c r="F63" s="269" t="s">
        <v>3320</v>
      </c>
      <c r="G63" s="269" t="s">
        <v>3321</v>
      </c>
      <c r="H63" s="269" t="s">
        <v>3322</v>
      </c>
      <c r="I63" s="269" t="s">
        <v>3323</v>
      </c>
      <c r="J63" s="269" t="s">
        <v>3324</v>
      </c>
      <c r="K63" s="269" t="s">
        <v>2626</v>
      </c>
    </row>
    <row r="64" spans="1:11" x14ac:dyDescent="0.25">
      <c r="A64" s="117">
        <v>540051</v>
      </c>
      <c r="B64" s="2" t="s">
        <v>30</v>
      </c>
      <c r="C64" s="2" t="s">
        <v>31</v>
      </c>
      <c r="D64" s="2" t="s">
        <v>5</v>
      </c>
      <c r="E64" s="2" t="s">
        <v>2272</v>
      </c>
      <c r="F64" s="2" t="s">
        <v>3325</v>
      </c>
      <c r="G64" s="2" t="s">
        <v>3326</v>
      </c>
      <c r="H64" s="2" t="s">
        <v>3327</v>
      </c>
      <c r="I64" s="2" t="s">
        <v>3328</v>
      </c>
      <c r="J64" s="2" t="s">
        <v>3329</v>
      </c>
      <c r="K64" s="2" t="s">
        <v>3330</v>
      </c>
    </row>
    <row r="65" spans="1:11" x14ac:dyDescent="0.25">
      <c r="A65" s="117">
        <v>540052</v>
      </c>
      <c r="B65" s="2" t="s">
        <v>151</v>
      </c>
      <c r="C65" s="2" t="s">
        <v>31</v>
      </c>
      <c r="D65" s="2" t="s">
        <v>115</v>
      </c>
      <c r="E65" s="2" t="s">
        <v>2272</v>
      </c>
      <c r="F65" s="2" t="s">
        <v>3331</v>
      </c>
      <c r="G65" s="2" t="s">
        <v>3332</v>
      </c>
      <c r="H65" s="2" t="s">
        <v>3333</v>
      </c>
      <c r="I65" s="2" t="s">
        <v>3334</v>
      </c>
      <c r="J65" s="2" t="s">
        <v>3273</v>
      </c>
      <c r="K65" s="2" t="s">
        <v>3335</v>
      </c>
    </row>
    <row r="66" spans="1:11" x14ac:dyDescent="0.25">
      <c r="A66" s="117">
        <v>540245</v>
      </c>
      <c r="B66" s="2" t="s">
        <v>292</v>
      </c>
      <c r="C66" s="2" t="s">
        <v>31</v>
      </c>
      <c r="D66" s="2" t="s">
        <v>115</v>
      </c>
      <c r="E66" s="2" t="s">
        <v>2272</v>
      </c>
      <c r="F66" s="2" t="s">
        <v>2509</v>
      </c>
      <c r="G66" s="2" t="s">
        <v>3068</v>
      </c>
      <c r="H66" s="2" t="s">
        <v>3336</v>
      </c>
      <c r="I66" s="2" t="s">
        <v>2490</v>
      </c>
      <c r="J66" s="2" t="s">
        <v>2484</v>
      </c>
      <c r="K66" s="2" t="s">
        <v>2945</v>
      </c>
    </row>
    <row r="67" spans="1:11" x14ac:dyDescent="0.25">
      <c r="A67" s="269"/>
      <c r="B67" s="269"/>
      <c r="C67" s="269" t="s">
        <v>31</v>
      </c>
      <c r="D67" s="269"/>
      <c r="E67" s="269"/>
      <c r="F67" s="269" t="s">
        <v>3337</v>
      </c>
      <c r="G67" s="269" t="s">
        <v>3338</v>
      </c>
      <c r="H67" s="269" t="s">
        <v>3339</v>
      </c>
      <c r="I67" s="269" t="s">
        <v>3340</v>
      </c>
      <c r="J67" s="269" t="s">
        <v>3341</v>
      </c>
      <c r="K67" s="269" t="s">
        <v>3342</v>
      </c>
    </row>
    <row r="68" spans="1:11" x14ac:dyDescent="0.25">
      <c r="A68" s="117">
        <v>540053</v>
      </c>
      <c r="B68" s="2" t="s">
        <v>32</v>
      </c>
      <c r="C68" s="2" t="s">
        <v>33</v>
      </c>
      <c r="D68" s="2" t="s">
        <v>5</v>
      </c>
      <c r="E68" s="2" t="s">
        <v>2271</v>
      </c>
      <c r="F68" s="2" t="s">
        <v>3343</v>
      </c>
      <c r="G68" s="2" t="s">
        <v>3344</v>
      </c>
      <c r="H68" s="2" t="s">
        <v>3345</v>
      </c>
      <c r="I68" s="2" t="s">
        <v>3346</v>
      </c>
      <c r="J68" s="2" t="s">
        <v>3347</v>
      </c>
      <c r="K68" s="2" t="s">
        <v>3348</v>
      </c>
    </row>
    <row r="69" spans="1:11" x14ac:dyDescent="0.25">
      <c r="A69" s="117">
        <v>540054</v>
      </c>
      <c r="B69" s="2" t="s">
        <v>152</v>
      </c>
      <c r="C69" s="2" t="s">
        <v>33</v>
      </c>
      <c r="D69" s="2" t="s">
        <v>115</v>
      </c>
      <c r="E69" s="2" t="s">
        <v>2271</v>
      </c>
      <c r="F69" s="2" t="s">
        <v>2799</v>
      </c>
      <c r="G69" s="2" t="s">
        <v>3151</v>
      </c>
      <c r="H69" s="2" t="s">
        <v>2438</v>
      </c>
      <c r="I69" s="2" t="s">
        <v>2494</v>
      </c>
      <c r="J69" s="2" t="s">
        <v>2494</v>
      </c>
      <c r="K69" s="2" t="s">
        <v>2303</v>
      </c>
    </row>
    <row r="70" spans="1:11" x14ac:dyDescent="0.25">
      <c r="A70" s="117">
        <v>540055</v>
      </c>
      <c r="B70" s="2" t="s">
        <v>153</v>
      </c>
      <c r="C70" s="2" t="s">
        <v>33</v>
      </c>
      <c r="D70" s="2" t="s">
        <v>115</v>
      </c>
      <c r="E70" s="2" t="s">
        <v>2271</v>
      </c>
      <c r="F70" s="2" t="s">
        <v>3349</v>
      </c>
      <c r="G70" s="2" t="s">
        <v>3350</v>
      </c>
      <c r="H70" s="2" t="s">
        <v>2475</v>
      </c>
      <c r="I70" s="2" t="s">
        <v>2580</v>
      </c>
      <c r="J70" s="2" t="s">
        <v>2487</v>
      </c>
      <c r="K70" s="2" t="s">
        <v>2445</v>
      </c>
    </row>
    <row r="71" spans="1:11" x14ac:dyDescent="0.25">
      <c r="A71" s="117">
        <v>540056</v>
      </c>
      <c r="B71" s="2" t="s">
        <v>154</v>
      </c>
      <c r="C71" s="2" t="s">
        <v>33</v>
      </c>
      <c r="D71" s="2" t="s">
        <v>115</v>
      </c>
      <c r="E71" s="2" t="s">
        <v>2271</v>
      </c>
      <c r="F71" s="2" t="s">
        <v>3351</v>
      </c>
      <c r="G71" s="2" t="s">
        <v>3352</v>
      </c>
      <c r="H71" s="2" t="s">
        <v>3193</v>
      </c>
      <c r="I71" s="2" t="s">
        <v>3353</v>
      </c>
      <c r="J71" s="2" t="s">
        <v>3354</v>
      </c>
      <c r="K71" s="2" t="s">
        <v>2415</v>
      </c>
    </row>
    <row r="72" spans="1:11" x14ac:dyDescent="0.25">
      <c r="A72" s="117">
        <v>540057</v>
      </c>
      <c r="B72" s="2" t="s">
        <v>155</v>
      </c>
      <c r="C72" s="2" t="s">
        <v>33</v>
      </c>
      <c r="D72" s="2" t="s">
        <v>115</v>
      </c>
      <c r="E72" s="2" t="s">
        <v>2271</v>
      </c>
      <c r="F72" s="2" t="s">
        <v>3355</v>
      </c>
      <c r="G72" s="2" t="s">
        <v>3356</v>
      </c>
      <c r="H72" s="2" t="s">
        <v>3357</v>
      </c>
      <c r="I72" s="2" t="s">
        <v>3336</v>
      </c>
      <c r="J72" s="2" t="s">
        <v>2350</v>
      </c>
      <c r="K72" s="2" t="s">
        <v>2357</v>
      </c>
    </row>
    <row r="73" spans="1:11" x14ac:dyDescent="0.25">
      <c r="A73" s="117">
        <v>540058</v>
      </c>
      <c r="B73" s="2" t="s">
        <v>156</v>
      </c>
      <c r="C73" s="2" t="s">
        <v>33</v>
      </c>
      <c r="D73" s="2" t="s">
        <v>115</v>
      </c>
      <c r="E73" s="2" t="s">
        <v>2271</v>
      </c>
      <c r="F73" s="2" t="s">
        <v>3358</v>
      </c>
      <c r="G73" s="2" t="s">
        <v>2628</v>
      </c>
      <c r="H73" s="2" t="s">
        <v>2844</v>
      </c>
      <c r="I73" s="2" t="s">
        <v>2309</v>
      </c>
      <c r="J73" s="2" t="s">
        <v>2460</v>
      </c>
      <c r="K73" s="2" t="s">
        <v>2412</v>
      </c>
    </row>
    <row r="74" spans="1:11" x14ac:dyDescent="0.25">
      <c r="A74" s="117">
        <v>540059</v>
      </c>
      <c r="B74" s="2" t="s">
        <v>157</v>
      </c>
      <c r="C74" s="2" t="s">
        <v>33</v>
      </c>
      <c r="D74" s="2" t="s">
        <v>115</v>
      </c>
      <c r="E74" s="2" t="s">
        <v>2271</v>
      </c>
      <c r="F74" s="2" t="s">
        <v>3359</v>
      </c>
      <c r="G74" s="2" t="s">
        <v>3360</v>
      </c>
      <c r="H74" s="2" t="s">
        <v>2434</v>
      </c>
      <c r="I74" s="2" t="s">
        <v>2446</v>
      </c>
      <c r="J74" s="2" t="s">
        <v>2521</v>
      </c>
      <c r="K74" s="2" t="s">
        <v>2945</v>
      </c>
    </row>
    <row r="75" spans="1:11" x14ac:dyDescent="0.25">
      <c r="A75" s="117">
        <v>540060</v>
      </c>
      <c r="B75" s="2" t="s">
        <v>158</v>
      </c>
      <c r="C75" s="2" t="s">
        <v>33</v>
      </c>
      <c r="D75" s="2" t="s">
        <v>115</v>
      </c>
      <c r="E75" s="2" t="s">
        <v>2271</v>
      </c>
      <c r="F75" s="2" t="s">
        <v>3361</v>
      </c>
      <c r="G75" s="2" t="s">
        <v>3362</v>
      </c>
      <c r="H75" s="2" t="s">
        <v>3363</v>
      </c>
      <c r="I75" s="2" t="s">
        <v>2350</v>
      </c>
      <c r="J75" s="2" t="s">
        <v>2357</v>
      </c>
      <c r="K75" s="2" t="s">
        <v>2416</v>
      </c>
    </row>
    <row r="76" spans="1:11" x14ac:dyDescent="0.25">
      <c r="A76" s="117">
        <v>540061</v>
      </c>
      <c r="B76" s="2" t="s">
        <v>159</v>
      </c>
      <c r="C76" s="2" t="s">
        <v>33</v>
      </c>
      <c r="D76" s="2" t="s">
        <v>115</v>
      </c>
      <c r="E76" s="2" t="s">
        <v>2271</v>
      </c>
      <c r="F76" s="2" t="s">
        <v>3364</v>
      </c>
      <c r="G76" s="2" t="s">
        <v>3365</v>
      </c>
      <c r="H76" s="2" t="s">
        <v>3354</v>
      </c>
      <c r="I76" s="2" t="s">
        <v>2430</v>
      </c>
      <c r="J76" s="2" t="s">
        <v>2430</v>
      </c>
      <c r="K76" s="2" t="s">
        <v>2303</v>
      </c>
    </row>
    <row r="77" spans="1:11" x14ac:dyDescent="0.25">
      <c r="A77" s="117">
        <v>540062</v>
      </c>
      <c r="B77" s="2" t="s">
        <v>160</v>
      </c>
      <c r="C77" s="2" t="s">
        <v>33</v>
      </c>
      <c r="D77" s="2" t="s">
        <v>115</v>
      </c>
      <c r="E77" s="2" t="s">
        <v>2271</v>
      </c>
      <c r="F77" s="2" t="s">
        <v>3285</v>
      </c>
      <c r="G77" s="2" t="s">
        <v>2528</v>
      </c>
      <c r="H77" s="2" t="s">
        <v>3366</v>
      </c>
      <c r="I77" s="2" t="s">
        <v>2432</v>
      </c>
      <c r="J77" s="2" t="s">
        <v>2373</v>
      </c>
      <c r="K77" s="2" t="s">
        <v>2484</v>
      </c>
    </row>
    <row r="78" spans="1:11" x14ac:dyDescent="0.25">
      <c r="A78" s="117">
        <v>540242</v>
      </c>
      <c r="B78" s="2" t="s">
        <v>289</v>
      </c>
      <c r="C78" s="2" t="s">
        <v>33</v>
      </c>
      <c r="D78" s="2" t="s">
        <v>115</v>
      </c>
      <c r="E78" s="2" t="s">
        <v>2271</v>
      </c>
      <c r="F78" s="2" t="s">
        <v>3367</v>
      </c>
      <c r="G78" s="2" t="s">
        <v>2653</v>
      </c>
      <c r="H78" s="2" t="s">
        <v>3368</v>
      </c>
      <c r="I78" s="2" t="s">
        <v>2561</v>
      </c>
      <c r="J78" s="2" t="s">
        <v>2492</v>
      </c>
      <c r="K78" s="2" t="s">
        <v>2484</v>
      </c>
    </row>
    <row r="79" spans="1:11" x14ac:dyDescent="0.25">
      <c r="A79" s="269"/>
      <c r="B79" s="269"/>
      <c r="C79" s="269" t="s">
        <v>33</v>
      </c>
      <c r="D79" s="269"/>
      <c r="E79" s="269"/>
      <c r="F79" s="269" t="s">
        <v>3369</v>
      </c>
      <c r="G79" s="269" t="s">
        <v>3370</v>
      </c>
      <c r="H79" s="269" t="s">
        <v>3371</v>
      </c>
      <c r="I79" s="269" t="s">
        <v>3372</v>
      </c>
      <c r="J79" s="269" t="s">
        <v>3373</v>
      </c>
      <c r="K79" s="269" t="s">
        <v>3374</v>
      </c>
    </row>
    <row r="80" spans="1:11" x14ac:dyDescent="0.25">
      <c r="A80" s="117">
        <v>540063</v>
      </c>
      <c r="B80" s="2" t="s">
        <v>34</v>
      </c>
      <c r="C80" s="2" t="s">
        <v>35</v>
      </c>
      <c r="D80" s="2" t="s">
        <v>5</v>
      </c>
      <c r="E80" s="2" t="s">
        <v>2254</v>
      </c>
      <c r="F80" s="2" t="s">
        <v>3375</v>
      </c>
      <c r="G80" s="2" t="s">
        <v>3376</v>
      </c>
      <c r="H80" s="2" t="s">
        <v>3377</v>
      </c>
      <c r="I80" s="2" t="s">
        <v>3378</v>
      </c>
      <c r="J80" s="2" t="s">
        <v>3379</v>
      </c>
      <c r="K80" s="2" t="s">
        <v>3380</v>
      </c>
    </row>
    <row r="81" spans="1:11" x14ac:dyDescent="0.25">
      <c r="A81" s="117">
        <v>540064</v>
      </c>
      <c r="B81" s="2" t="s">
        <v>161</v>
      </c>
      <c r="C81" s="2" t="s">
        <v>35</v>
      </c>
      <c r="D81" s="2" t="s">
        <v>115</v>
      </c>
      <c r="E81" s="2" t="s">
        <v>2254</v>
      </c>
      <c r="F81" s="2" t="s">
        <v>3381</v>
      </c>
      <c r="G81" s="2" t="s">
        <v>3382</v>
      </c>
      <c r="H81" s="2" t="s">
        <v>3383</v>
      </c>
      <c r="I81" s="2" t="s">
        <v>3384</v>
      </c>
      <c r="J81" s="2" t="s">
        <v>2496</v>
      </c>
      <c r="K81" s="2" t="s">
        <v>3385</v>
      </c>
    </row>
    <row r="82" spans="1:11" x14ac:dyDescent="0.25">
      <c r="A82" s="117">
        <v>540241</v>
      </c>
      <c r="B82" s="2" t="s">
        <v>288</v>
      </c>
      <c r="C82" s="2" t="s">
        <v>35</v>
      </c>
      <c r="D82" s="2" t="s">
        <v>115</v>
      </c>
      <c r="E82" s="2" t="s">
        <v>2254</v>
      </c>
      <c r="F82" s="2" t="s">
        <v>3386</v>
      </c>
      <c r="G82" s="2" t="s">
        <v>3387</v>
      </c>
      <c r="H82" s="2" t="s">
        <v>3388</v>
      </c>
      <c r="I82" s="2" t="s">
        <v>3389</v>
      </c>
      <c r="J82" s="2" t="s">
        <v>2528</v>
      </c>
      <c r="K82" s="2" t="s">
        <v>2906</v>
      </c>
    </row>
    <row r="83" spans="1:11" x14ac:dyDescent="0.25">
      <c r="A83" s="269"/>
      <c r="B83" s="269"/>
      <c r="C83" s="269" t="s">
        <v>35</v>
      </c>
      <c r="D83" s="269"/>
      <c r="E83" s="269"/>
      <c r="F83" s="269" t="s">
        <v>3390</v>
      </c>
      <c r="G83" s="269" t="s">
        <v>3391</v>
      </c>
      <c r="H83" s="269" t="s">
        <v>3392</v>
      </c>
      <c r="I83" s="269" t="s">
        <v>3393</v>
      </c>
      <c r="J83" s="269" t="s">
        <v>3394</v>
      </c>
      <c r="K83" s="269" t="s">
        <v>3395</v>
      </c>
    </row>
    <row r="84" spans="1:11" x14ac:dyDescent="0.25">
      <c r="A84" s="117">
        <v>540065</v>
      </c>
      <c r="B84" s="2" t="s">
        <v>36</v>
      </c>
      <c r="C84" s="2" t="s">
        <v>37</v>
      </c>
      <c r="D84" s="2" t="s">
        <v>5</v>
      </c>
      <c r="E84" s="2" t="s">
        <v>2246</v>
      </c>
      <c r="F84" s="2" t="s">
        <v>3396</v>
      </c>
      <c r="G84" s="2" t="s">
        <v>3397</v>
      </c>
      <c r="H84" s="2" t="s">
        <v>3398</v>
      </c>
      <c r="I84" s="2" t="s">
        <v>3399</v>
      </c>
      <c r="J84" s="2" t="s">
        <v>3400</v>
      </c>
      <c r="K84" s="2" t="s">
        <v>3401</v>
      </c>
    </row>
    <row r="85" spans="1:11" x14ac:dyDescent="0.25">
      <c r="A85" s="117">
        <v>540030</v>
      </c>
      <c r="B85" s="2" t="s">
        <v>135</v>
      </c>
      <c r="C85" s="2" t="s">
        <v>37</v>
      </c>
      <c r="D85" s="2" t="s">
        <v>115</v>
      </c>
      <c r="E85" s="2" t="s">
        <v>2246</v>
      </c>
      <c r="F85" s="2" t="s">
        <v>3402</v>
      </c>
      <c r="G85" s="2" t="s">
        <v>2444</v>
      </c>
      <c r="H85" s="2" t="s">
        <v>2570</v>
      </c>
      <c r="I85" s="2" t="s">
        <v>2473</v>
      </c>
      <c r="J85" s="2" t="s">
        <v>2376</v>
      </c>
      <c r="K85" s="2" t="s">
        <v>2484</v>
      </c>
    </row>
    <row r="86" spans="1:11" x14ac:dyDescent="0.25">
      <c r="A86" s="117">
        <v>540066</v>
      </c>
      <c r="B86" s="2" t="s">
        <v>162</v>
      </c>
      <c r="C86" s="2" t="s">
        <v>37</v>
      </c>
      <c r="D86" s="2" t="s">
        <v>115</v>
      </c>
      <c r="E86" s="2" t="s">
        <v>2246</v>
      </c>
      <c r="F86" s="2" t="s">
        <v>3403</v>
      </c>
      <c r="G86" s="2" t="s">
        <v>3404</v>
      </c>
      <c r="H86" s="2" t="s">
        <v>3405</v>
      </c>
      <c r="I86" s="2" t="s">
        <v>3406</v>
      </c>
      <c r="J86" s="2" t="s">
        <v>2300</v>
      </c>
      <c r="K86" s="2" t="s">
        <v>3087</v>
      </c>
    </row>
    <row r="87" spans="1:11" x14ac:dyDescent="0.25">
      <c r="A87" s="117">
        <v>540067</v>
      </c>
      <c r="B87" s="2" t="s">
        <v>163</v>
      </c>
      <c r="C87" s="2" t="s">
        <v>37</v>
      </c>
      <c r="D87" s="2" t="s">
        <v>115</v>
      </c>
      <c r="E87" s="2" t="s">
        <v>2246</v>
      </c>
      <c r="F87" s="2" t="s">
        <v>2597</v>
      </c>
      <c r="G87" s="2" t="s">
        <v>3095</v>
      </c>
      <c r="H87" s="2" t="s">
        <v>3407</v>
      </c>
      <c r="I87" s="2" t="s">
        <v>3354</v>
      </c>
      <c r="J87" s="2" t="s">
        <v>2553</v>
      </c>
      <c r="K87" s="2" t="s">
        <v>3069</v>
      </c>
    </row>
    <row r="88" spans="1:11" x14ac:dyDescent="0.25">
      <c r="A88" s="117">
        <v>540068</v>
      </c>
      <c r="B88" s="2" t="s">
        <v>164</v>
      </c>
      <c r="C88" s="2" t="s">
        <v>37</v>
      </c>
      <c r="D88" s="2" t="s">
        <v>115</v>
      </c>
      <c r="E88" s="2" t="s">
        <v>2246</v>
      </c>
      <c r="F88" s="2" t="s">
        <v>3408</v>
      </c>
      <c r="G88" s="2" t="s">
        <v>3409</v>
      </c>
      <c r="H88" s="2" t="s">
        <v>2621</v>
      </c>
      <c r="I88" s="2" t="s">
        <v>3410</v>
      </c>
      <c r="J88" s="2" t="s">
        <v>2612</v>
      </c>
      <c r="K88" s="2" t="s">
        <v>2712</v>
      </c>
    </row>
    <row r="89" spans="1:11" x14ac:dyDescent="0.25">
      <c r="A89" s="117">
        <v>540069</v>
      </c>
      <c r="B89" s="2" t="s">
        <v>165</v>
      </c>
      <c r="C89" s="2" t="s">
        <v>37</v>
      </c>
      <c r="D89" s="2" t="s">
        <v>115</v>
      </c>
      <c r="E89" s="2" t="s">
        <v>2246</v>
      </c>
      <c r="F89" s="2" t="s">
        <v>3411</v>
      </c>
      <c r="G89" s="2" t="s">
        <v>3096</v>
      </c>
      <c r="H89" s="2" t="s">
        <v>2569</v>
      </c>
      <c r="I89" s="2" t="s">
        <v>2416</v>
      </c>
      <c r="J89" s="2" t="s">
        <v>2601</v>
      </c>
      <c r="K89" s="2" t="s">
        <v>2484</v>
      </c>
    </row>
    <row r="90" spans="1:11" x14ac:dyDescent="0.25">
      <c r="A90" s="269"/>
      <c r="B90" s="269"/>
      <c r="C90" s="269" t="s">
        <v>37</v>
      </c>
      <c r="D90" s="269"/>
      <c r="E90" s="269"/>
      <c r="F90" s="269" t="s">
        <v>3412</v>
      </c>
      <c r="G90" s="269" t="s">
        <v>3413</v>
      </c>
      <c r="H90" s="269" t="s">
        <v>3414</v>
      </c>
      <c r="I90" s="269" t="s">
        <v>3415</v>
      </c>
      <c r="J90" s="269" t="s">
        <v>3416</v>
      </c>
      <c r="K90" s="269" t="s">
        <v>3417</v>
      </c>
    </row>
    <row r="91" spans="1:11" x14ac:dyDescent="0.25">
      <c r="A91" s="117">
        <v>540070</v>
      </c>
      <c r="B91" s="2" t="s">
        <v>38</v>
      </c>
      <c r="C91" s="2" t="s">
        <v>39</v>
      </c>
      <c r="D91" s="2" t="s">
        <v>5</v>
      </c>
      <c r="E91" s="2" t="s">
        <v>2248</v>
      </c>
      <c r="F91" s="2" t="s">
        <v>3418</v>
      </c>
      <c r="G91" s="2" t="s">
        <v>3419</v>
      </c>
      <c r="H91" s="2" t="s">
        <v>3420</v>
      </c>
      <c r="I91" s="2" t="s">
        <v>3421</v>
      </c>
      <c r="J91" s="2" t="s">
        <v>3422</v>
      </c>
      <c r="K91" s="2" t="s">
        <v>3423</v>
      </c>
    </row>
    <row r="92" spans="1:11" x14ac:dyDescent="0.25">
      <c r="A92" s="117">
        <v>540029</v>
      </c>
      <c r="B92" s="2" t="s">
        <v>134</v>
      </c>
      <c r="C92" s="2" t="s">
        <v>39</v>
      </c>
      <c r="D92" s="2" t="s">
        <v>115</v>
      </c>
      <c r="E92" s="2" t="s">
        <v>2248</v>
      </c>
      <c r="F92" s="2" t="s">
        <v>3424</v>
      </c>
      <c r="G92" s="2" t="s">
        <v>2766</v>
      </c>
      <c r="H92" s="2" t="s">
        <v>2431</v>
      </c>
      <c r="I92" s="2" t="s">
        <v>2430</v>
      </c>
      <c r="J92" s="2" t="s">
        <v>2945</v>
      </c>
      <c r="K92" s="2" t="s">
        <v>2432</v>
      </c>
    </row>
    <row r="93" spans="1:11" x14ac:dyDescent="0.25">
      <c r="A93" s="117">
        <v>540071</v>
      </c>
      <c r="B93" s="2" t="s">
        <v>166</v>
      </c>
      <c r="C93" s="2" t="s">
        <v>39</v>
      </c>
      <c r="D93" s="2" t="s">
        <v>115</v>
      </c>
      <c r="E93" s="2" t="s">
        <v>2248</v>
      </c>
      <c r="F93" s="2" t="s">
        <v>3425</v>
      </c>
      <c r="G93" s="2" t="s">
        <v>3426</v>
      </c>
      <c r="H93" s="2" t="s">
        <v>3427</v>
      </c>
      <c r="I93" s="2" t="s">
        <v>2387</v>
      </c>
      <c r="J93" s="2" t="s">
        <v>2387</v>
      </c>
      <c r="K93" s="2" t="s">
        <v>2303</v>
      </c>
    </row>
    <row r="94" spans="1:11" x14ac:dyDescent="0.25">
      <c r="A94" s="117">
        <v>540072</v>
      </c>
      <c r="B94" s="2" t="s">
        <v>167</v>
      </c>
      <c r="C94" s="2" t="s">
        <v>39</v>
      </c>
      <c r="D94" s="2" t="s">
        <v>115</v>
      </c>
      <c r="E94" s="2" t="s">
        <v>2248</v>
      </c>
      <c r="F94" s="2" t="s">
        <v>3428</v>
      </c>
      <c r="G94" s="2" t="s">
        <v>3353</v>
      </c>
      <c r="H94" s="2" t="s">
        <v>3429</v>
      </c>
      <c r="I94" s="2" t="s">
        <v>2330</v>
      </c>
      <c r="J94" s="2" t="s">
        <v>2687</v>
      </c>
      <c r="K94" s="2" t="s">
        <v>2354</v>
      </c>
    </row>
    <row r="95" spans="1:11" x14ac:dyDescent="0.25">
      <c r="A95" s="117">
        <v>540073</v>
      </c>
      <c r="B95" s="2" t="s">
        <v>168</v>
      </c>
      <c r="C95" s="2" t="s">
        <v>39</v>
      </c>
      <c r="D95" s="2" t="s">
        <v>115</v>
      </c>
      <c r="E95" s="2" t="s">
        <v>2248</v>
      </c>
      <c r="F95" s="2" t="s">
        <v>3430</v>
      </c>
      <c r="G95" s="2" t="s">
        <v>3431</v>
      </c>
      <c r="H95" s="2" t="s">
        <v>3432</v>
      </c>
      <c r="I95" s="2" t="s">
        <v>3433</v>
      </c>
      <c r="J95" s="2" t="s">
        <v>3434</v>
      </c>
      <c r="K95" s="2" t="s">
        <v>2586</v>
      </c>
    </row>
    <row r="96" spans="1:11" x14ac:dyDescent="0.25">
      <c r="A96" s="117">
        <v>540074</v>
      </c>
      <c r="B96" s="2" t="s">
        <v>169</v>
      </c>
      <c r="C96" s="2" t="s">
        <v>39</v>
      </c>
      <c r="D96" s="2" t="s">
        <v>115</v>
      </c>
      <c r="E96" s="2" t="s">
        <v>2248</v>
      </c>
      <c r="F96" s="2" t="s">
        <v>3435</v>
      </c>
      <c r="G96" s="2" t="s">
        <v>3436</v>
      </c>
      <c r="H96" s="2" t="s">
        <v>3032</v>
      </c>
      <c r="I96" s="2" t="s">
        <v>2569</v>
      </c>
      <c r="J96" s="2" t="s">
        <v>2300</v>
      </c>
      <c r="K96" s="2" t="s">
        <v>2484</v>
      </c>
    </row>
    <row r="97" spans="1:11" x14ac:dyDescent="0.25">
      <c r="A97" s="117">
        <v>540075</v>
      </c>
      <c r="B97" s="2" t="s">
        <v>170</v>
      </c>
      <c r="C97" s="2" t="s">
        <v>39</v>
      </c>
      <c r="D97" s="2" t="s">
        <v>115</v>
      </c>
      <c r="E97" s="2" t="s">
        <v>2248</v>
      </c>
      <c r="F97" s="2" t="s">
        <v>3437</v>
      </c>
      <c r="G97" s="2" t="s">
        <v>3438</v>
      </c>
      <c r="H97" s="2" t="s">
        <v>3439</v>
      </c>
      <c r="I97" s="2" t="s">
        <v>2500</v>
      </c>
      <c r="J97" s="2" t="s">
        <v>2393</v>
      </c>
      <c r="K97" s="2" t="s">
        <v>2385</v>
      </c>
    </row>
    <row r="98" spans="1:11" x14ac:dyDescent="0.25">
      <c r="A98" s="117">
        <v>540076</v>
      </c>
      <c r="B98" s="2" t="s">
        <v>171</v>
      </c>
      <c r="C98" s="2" t="s">
        <v>39</v>
      </c>
      <c r="D98" s="2" t="s">
        <v>115</v>
      </c>
      <c r="E98" s="2" t="s">
        <v>2248</v>
      </c>
      <c r="F98" s="2" t="s">
        <v>3440</v>
      </c>
      <c r="G98" s="2" t="s">
        <v>3441</v>
      </c>
      <c r="H98" s="2" t="s">
        <v>3442</v>
      </c>
      <c r="I98" s="2" t="s">
        <v>2438</v>
      </c>
      <c r="J98" s="2" t="s">
        <v>3429</v>
      </c>
      <c r="K98" s="2" t="s">
        <v>2443</v>
      </c>
    </row>
    <row r="99" spans="1:11" x14ac:dyDescent="0.25">
      <c r="A99" s="117">
        <v>540077</v>
      </c>
      <c r="B99" s="2" t="s">
        <v>172</v>
      </c>
      <c r="C99" s="2" t="s">
        <v>39</v>
      </c>
      <c r="D99" s="2" t="s">
        <v>115</v>
      </c>
      <c r="E99" s="2" t="s">
        <v>2248</v>
      </c>
      <c r="F99" s="2" t="s">
        <v>3443</v>
      </c>
      <c r="G99" s="2" t="s">
        <v>3032</v>
      </c>
      <c r="H99" s="2" t="s">
        <v>3319</v>
      </c>
      <c r="I99" s="2" t="s">
        <v>2300</v>
      </c>
      <c r="J99" s="2" t="s">
        <v>2888</v>
      </c>
      <c r="K99" s="2" t="s">
        <v>2498</v>
      </c>
    </row>
    <row r="100" spans="1:11" x14ac:dyDescent="0.25">
      <c r="A100" s="117">
        <v>540078</v>
      </c>
      <c r="B100" s="2" t="s">
        <v>173</v>
      </c>
      <c r="C100" s="2" t="s">
        <v>39</v>
      </c>
      <c r="D100" s="2" t="s">
        <v>115</v>
      </c>
      <c r="E100" s="2" t="s">
        <v>2248</v>
      </c>
      <c r="F100" s="2" t="s">
        <v>3444</v>
      </c>
      <c r="G100" s="2" t="s">
        <v>2897</v>
      </c>
      <c r="H100" s="2" t="s">
        <v>2608</v>
      </c>
      <c r="I100" s="2" t="s">
        <v>2550</v>
      </c>
      <c r="J100" s="2" t="s">
        <v>2550</v>
      </c>
      <c r="K100" s="2" t="s">
        <v>2303</v>
      </c>
    </row>
    <row r="101" spans="1:11" x14ac:dyDescent="0.25">
      <c r="A101" s="117">
        <v>540079</v>
      </c>
      <c r="B101" s="2" t="s">
        <v>174</v>
      </c>
      <c r="C101" s="2" t="s">
        <v>39</v>
      </c>
      <c r="D101" s="2" t="s">
        <v>115</v>
      </c>
      <c r="E101" s="2" t="s">
        <v>2248</v>
      </c>
      <c r="F101" s="2" t="s">
        <v>3445</v>
      </c>
      <c r="G101" s="2" t="s">
        <v>3446</v>
      </c>
      <c r="H101" s="2" t="s">
        <v>2625</v>
      </c>
      <c r="I101" s="2" t="s">
        <v>2386</v>
      </c>
      <c r="J101" s="2" t="s">
        <v>2387</v>
      </c>
      <c r="K101" s="2" t="s">
        <v>2354</v>
      </c>
    </row>
    <row r="102" spans="1:11" x14ac:dyDescent="0.25">
      <c r="A102" s="117">
        <v>540081</v>
      </c>
      <c r="B102" s="2" t="s">
        <v>176</v>
      </c>
      <c r="C102" s="2" t="s">
        <v>39</v>
      </c>
      <c r="D102" s="2" t="s">
        <v>115</v>
      </c>
      <c r="E102" s="2" t="s">
        <v>2248</v>
      </c>
      <c r="F102" s="2" t="s">
        <v>3447</v>
      </c>
      <c r="G102" s="2" t="s">
        <v>3448</v>
      </c>
      <c r="H102" s="2" t="s">
        <v>3449</v>
      </c>
      <c r="I102" s="2" t="s">
        <v>3406</v>
      </c>
      <c r="J102" s="2" t="s">
        <v>2993</v>
      </c>
      <c r="K102" s="2" t="s">
        <v>2330</v>
      </c>
    </row>
    <row r="103" spans="1:11" x14ac:dyDescent="0.25">
      <c r="A103" s="117">
        <v>540082</v>
      </c>
      <c r="B103" s="2" t="s">
        <v>177</v>
      </c>
      <c r="C103" s="2" t="s">
        <v>39</v>
      </c>
      <c r="D103" s="2" t="s">
        <v>115</v>
      </c>
      <c r="E103" s="2" t="s">
        <v>2248</v>
      </c>
      <c r="F103" s="2" t="s">
        <v>3406</v>
      </c>
      <c r="G103" s="2" t="s">
        <v>2435</v>
      </c>
      <c r="H103" s="2" t="s">
        <v>2649</v>
      </c>
      <c r="I103" s="2" t="s">
        <v>2415</v>
      </c>
      <c r="J103" s="2" t="s">
        <v>2601</v>
      </c>
      <c r="K103" s="2" t="s">
        <v>2376</v>
      </c>
    </row>
    <row r="104" spans="1:11" x14ac:dyDescent="0.25">
      <c r="A104" s="117">
        <v>540083</v>
      </c>
      <c r="B104" s="2" t="s">
        <v>178</v>
      </c>
      <c r="C104" s="2" t="s">
        <v>39</v>
      </c>
      <c r="D104" s="2" t="s">
        <v>115</v>
      </c>
      <c r="E104" s="2" t="s">
        <v>2248</v>
      </c>
      <c r="F104" s="2" t="s">
        <v>3450</v>
      </c>
      <c r="G104" s="2" t="s">
        <v>3451</v>
      </c>
      <c r="H104" s="2" t="s">
        <v>3452</v>
      </c>
      <c r="I104" s="2" t="s">
        <v>2976</v>
      </c>
      <c r="J104" s="2" t="s">
        <v>2524</v>
      </c>
      <c r="K104" s="2" t="s">
        <v>2415</v>
      </c>
    </row>
    <row r="105" spans="1:11" x14ac:dyDescent="0.25">
      <c r="A105" s="117">
        <v>540223</v>
      </c>
      <c r="B105" s="2" t="s">
        <v>277</v>
      </c>
      <c r="C105" s="2" t="s">
        <v>39</v>
      </c>
      <c r="D105" s="2" t="s">
        <v>115</v>
      </c>
      <c r="E105" s="2" t="s">
        <v>2248</v>
      </c>
      <c r="F105" s="2" t="s">
        <v>3453</v>
      </c>
      <c r="G105" s="2" t="s">
        <v>3454</v>
      </c>
      <c r="H105" s="2" t="s">
        <v>3455</v>
      </c>
      <c r="I105" s="2" t="s">
        <v>3436</v>
      </c>
      <c r="J105" s="2" t="s">
        <v>3039</v>
      </c>
      <c r="K105" s="2" t="s">
        <v>2351</v>
      </c>
    </row>
    <row r="106" spans="1:11" x14ac:dyDescent="0.25">
      <c r="A106" s="117">
        <v>540279</v>
      </c>
      <c r="B106" s="2" t="s">
        <v>320</v>
      </c>
      <c r="C106" s="2" t="s">
        <v>39</v>
      </c>
      <c r="D106" s="2" t="s">
        <v>115</v>
      </c>
      <c r="E106" s="2" t="s">
        <v>2248</v>
      </c>
      <c r="F106" s="2" t="s">
        <v>3456</v>
      </c>
      <c r="G106" s="2" t="s">
        <v>2829</v>
      </c>
      <c r="H106" s="2" t="s">
        <v>3457</v>
      </c>
      <c r="I106" s="2" t="s">
        <v>2550</v>
      </c>
      <c r="J106" s="2" t="s">
        <v>2498</v>
      </c>
      <c r="K106" s="2" t="s">
        <v>2430</v>
      </c>
    </row>
    <row r="107" spans="1:11" x14ac:dyDescent="0.25">
      <c r="A107" s="117">
        <v>540033</v>
      </c>
      <c r="B107" s="2" t="s">
        <v>138</v>
      </c>
      <c r="C107" s="2" t="s">
        <v>39</v>
      </c>
      <c r="D107" s="2" t="s">
        <v>115</v>
      </c>
      <c r="E107" s="2" t="s">
        <v>2248</v>
      </c>
      <c r="F107" s="2" t="s">
        <v>2432</v>
      </c>
      <c r="G107" s="2" t="s">
        <v>2326</v>
      </c>
      <c r="H107" s="2" t="s">
        <v>2354</v>
      </c>
      <c r="I107" s="2" t="s">
        <v>2373</v>
      </c>
      <c r="J107" s="2" t="s">
        <v>2373</v>
      </c>
      <c r="K107" s="2" t="s">
        <v>2303</v>
      </c>
    </row>
    <row r="108" spans="1:11" x14ac:dyDescent="0.25">
      <c r="A108" s="269"/>
      <c r="B108" s="269"/>
      <c r="C108" s="269" t="s">
        <v>39</v>
      </c>
      <c r="D108" s="269"/>
      <c r="E108" s="269"/>
      <c r="F108" s="269" t="s">
        <v>3458</v>
      </c>
      <c r="G108" s="269" t="s">
        <v>3459</v>
      </c>
      <c r="H108" s="269" t="s">
        <v>3460</v>
      </c>
      <c r="I108" s="269" t="s">
        <v>3461</v>
      </c>
      <c r="J108" s="269" t="s">
        <v>3462</v>
      </c>
      <c r="K108" s="269" t="s">
        <v>3463</v>
      </c>
    </row>
    <row r="109" spans="1:11" x14ac:dyDescent="0.25">
      <c r="A109" s="117">
        <v>540085</v>
      </c>
      <c r="B109" s="2" t="s">
        <v>40</v>
      </c>
      <c r="C109" s="2" t="s">
        <v>41</v>
      </c>
      <c r="D109" s="2" t="s">
        <v>5</v>
      </c>
      <c r="E109" s="2" t="s">
        <v>2250</v>
      </c>
      <c r="F109" s="2" t="s">
        <v>3464</v>
      </c>
      <c r="G109" s="2" t="s">
        <v>3465</v>
      </c>
      <c r="H109" s="2" t="s">
        <v>3466</v>
      </c>
      <c r="I109" s="2" t="s">
        <v>3467</v>
      </c>
      <c r="J109" s="2" t="s">
        <v>3468</v>
      </c>
      <c r="K109" s="2" t="s">
        <v>3469</v>
      </c>
    </row>
    <row r="110" spans="1:11" x14ac:dyDescent="0.25">
      <c r="A110" s="117">
        <v>540086</v>
      </c>
      <c r="B110" s="2" t="s">
        <v>179</v>
      </c>
      <c r="C110" s="2" t="s">
        <v>41</v>
      </c>
      <c r="D110" s="2" t="s">
        <v>115</v>
      </c>
      <c r="E110" s="2" t="s">
        <v>2250</v>
      </c>
      <c r="F110" s="2" t="s">
        <v>3230</v>
      </c>
      <c r="G110" s="2" t="s">
        <v>2523</v>
      </c>
      <c r="H110" s="2" t="s">
        <v>2499</v>
      </c>
      <c r="I110" s="2" t="s">
        <v>2553</v>
      </c>
      <c r="J110" s="2" t="s">
        <v>2687</v>
      </c>
      <c r="K110" s="2" t="s">
        <v>2387</v>
      </c>
    </row>
    <row r="111" spans="1:11" x14ac:dyDescent="0.25">
      <c r="A111" s="117">
        <v>540087</v>
      </c>
      <c r="B111" s="2" t="s">
        <v>180</v>
      </c>
      <c r="C111" s="2" t="s">
        <v>41</v>
      </c>
      <c r="D111" s="2" t="s">
        <v>115</v>
      </c>
      <c r="E111" s="2" t="s">
        <v>2250</v>
      </c>
      <c r="F111" s="2" t="s">
        <v>3470</v>
      </c>
      <c r="G111" s="2" t="s">
        <v>3471</v>
      </c>
      <c r="H111" s="2" t="s">
        <v>3472</v>
      </c>
      <c r="I111" s="2" t="s">
        <v>3230</v>
      </c>
      <c r="J111" s="2" t="s">
        <v>2732</v>
      </c>
      <c r="K111" s="2" t="s">
        <v>2430</v>
      </c>
    </row>
    <row r="112" spans="1:11" x14ac:dyDescent="0.25">
      <c r="A112" s="269"/>
      <c r="B112" s="269"/>
      <c r="C112" s="269" t="s">
        <v>41</v>
      </c>
      <c r="D112" s="269"/>
      <c r="E112" s="269"/>
      <c r="F112" s="269" t="s">
        <v>3473</v>
      </c>
      <c r="G112" s="269" t="s">
        <v>3474</v>
      </c>
      <c r="H112" s="269" t="s">
        <v>3475</v>
      </c>
      <c r="I112" s="269" t="s">
        <v>3476</v>
      </c>
      <c r="J112" s="269" t="s">
        <v>3477</v>
      </c>
      <c r="K112" s="269" t="s">
        <v>3478</v>
      </c>
    </row>
    <row r="113" spans="1:11" x14ac:dyDescent="0.25">
      <c r="A113" s="117">
        <v>540088</v>
      </c>
      <c r="B113" s="2" t="s">
        <v>42</v>
      </c>
      <c r="C113" s="2" t="s">
        <v>43</v>
      </c>
      <c r="D113" s="2" t="s">
        <v>5</v>
      </c>
      <c r="E113" s="2" t="s">
        <v>2251</v>
      </c>
      <c r="F113" s="2" t="s">
        <v>3479</v>
      </c>
      <c r="G113" s="2" t="s">
        <v>3480</v>
      </c>
      <c r="H113" s="2" t="s">
        <v>3481</v>
      </c>
      <c r="I113" s="2" t="s">
        <v>3482</v>
      </c>
      <c r="J113" s="2" t="s">
        <v>3483</v>
      </c>
      <c r="K113" s="2" t="s">
        <v>3484</v>
      </c>
    </row>
    <row r="114" spans="1:11" x14ac:dyDescent="0.25">
      <c r="A114" s="117">
        <v>540089</v>
      </c>
      <c r="B114" s="2" t="s">
        <v>181</v>
      </c>
      <c r="C114" s="2" t="s">
        <v>43</v>
      </c>
      <c r="D114" s="2" t="s">
        <v>115</v>
      </c>
      <c r="E114" s="2" t="s">
        <v>2251</v>
      </c>
      <c r="F114" s="2" t="s">
        <v>3485</v>
      </c>
      <c r="G114" s="2" t="s">
        <v>3411</v>
      </c>
      <c r="H114" s="2" t="s">
        <v>2732</v>
      </c>
      <c r="I114" s="2" t="s">
        <v>2612</v>
      </c>
      <c r="J114" s="2" t="s">
        <v>2565</v>
      </c>
      <c r="K114" s="2" t="s">
        <v>2376</v>
      </c>
    </row>
    <row r="115" spans="1:11" x14ac:dyDescent="0.25">
      <c r="A115" s="117">
        <v>540090</v>
      </c>
      <c r="B115" s="2" t="s">
        <v>182</v>
      </c>
      <c r="C115" s="2" t="s">
        <v>43</v>
      </c>
      <c r="D115" s="2" t="s">
        <v>115</v>
      </c>
      <c r="E115" s="2" t="s">
        <v>2251</v>
      </c>
      <c r="F115" s="2" t="s">
        <v>3486</v>
      </c>
      <c r="G115" s="2" t="s">
        <v>2491</v>
      </c>
      <c r="H115" s="2" t="s">
        <v>2307</v>
      </c>
      <c r="I115" s="2" t="s">
        <v>2570</v>
      </c>
      <c r="J115" s="2" t="s">
        <v>2472</v>
      </c>
      <c r="K115" s="2" t="s">
        <v>2401</v>
      </c>
    </row>
    <row r="116" spans="1:11" x14ac:dyDescent="0.25">
      <c r="A116" s="269"/>
      <c r="B116" s="269"/>
      <c r="C116" s="269" t="s">
        <v>43</v>
      </c>
      <c r="D116" s="269"/>
      <c r="E116" s="269"/>
      <c r="F116" s="269" t="s">
        <v>3487</v>
      </c>
      <c r="G116" s="269" t="s">
        <v>3488</v>
      </c>
      <c r="H116" s="269" t="s">
        <v>3489</v>
      </c>
      <c r="I116" s="269" t="s">
        <v>3490</v>
      </c>
      <c r="J116" s="269" t="s">
        <v>3491</v>
      </c>
      <c r="K116" s="269" t="s">
        <v>3492</v>
      </c>
    </row>
    <row r="117" spans="1:11" x14ac:dyDescent="0.25">
      <c r="A117" s="117">
        <v>540097</v>
      </c>
      <c r="B117" s="2" t="s">
        <v>44</v>
      </c>
      <c r="C117" s="2" t="s">
        <v>45</v>
      </c>
      <c r="D117" s="2" t="s">
        <v>5</v>
      </c>
      <c r="E117" s="2" t="s">
        <v>2271</v>
      </c>
      <c r="F117" s="2" t="s">
        <v>3493</v>
      </c>
      <c r="G117" s="2" t="s">
        <v>3494</v>
      </c>
      <c r="H117" s="2" t="s">
        <v>3495</v>
      </c>
      <c r="I117" s="2" t="s">
        <v>3496</v>
      </c>
      <c r="J117" s="2" t="s">
        <v>3497</v>
      </c>
      <c r="K117" s="2" t="s">
        <v>3498</v>
      </c>
    </row>
    <row r="118" spans="1:11" x14ac:dyDescent="0.25">
      <c r="A118" s="117">
        <v>540098</v>
      </c>
      <c r="B118" s="2" t="s">
        <v>187</v>
      </c>
      <c r="C118" s="2" t="s">
        <v>45</v>
      </c>
      <c r="D118" s="2" t="s">
        <v>115</v>
      </c>
      <c r="E118" s="2" t="s">
        <v>2271</v>
      </c>
      <c r="F118" s="2" t="s">
        <v>3499</v>
      </c>
      <c r="G118" s="2" t="s">
        <v>2511</v>
      </c>
      <c r="H118" s="2" t="s">
        <v>3039</v>
      </c>
      <c r="I118" s="2" t="s">
        <v>2525</v>
      </c>
      <c r="J118" s="2" t="s">
        <v>2710</v>
      </c>
      <c r="K118" s="2" t="s">
        <v>2521</v>
      </c>
    </row>
    <row r="119" spans="1:11" x14ac:dyDescent="0.25">
      <c r="A119" s="117">
        <v>540099</v>
      </c>
      <c r="B119" s="2" t="s">
        <v>188</v>
      </c>
      <c r="C119" s="2" t="s">
        <v>45</v>
      </c>
      <c r="D119" s="2" t="s">
        <v>115</v>
      </c>
      <c r="E119" s="2" t="s">
        <v>2271</v>
      </c>
      <c r="F119" s="2" t="s">
        <v>3500</v>
      </c>
      <c r="G119" s="2" t="s">
        <v>3501</v>
      </c>
      <c r="H119" s="2" t="s">
        <v>3502</v>
      </c>
      <c r="I119" s="2" t="s">
        <v>2552</v>
      </c>
      <c r="J119" s="2" t="s">
        <v>2534</v>
      </c>
      <c r="K119" s="2" t="s">
        <v>2569</v>
      </c>
    </row>
    <row r="120" spans="1:11" x14ac:dyDescent="0.25">
      <c r="A120" s="117">
        <v>540100</v>
      </c>
      <c r="B120" s="2" t="s">
        <v>189</v>
      </c>
      <c r="C120" s="2" t="s">
        <v>45</v>
      </c>
      <c r="D120" s="2" t="s">
        <v>115</v>
      </c>
      <c r="E120" s="2" t="s">
        <v>2271</v>
      </c>
      <c r="F120" s="2" t="s">
        <v>2960</v>
      </c>
      <c r="G120" s="2" t="s">
        <v>3068</v>
      </c>
      <c r="H120" s="2" t="s">
        <v>2585</v>
      </c>
      <c r="I120" s="2" t="s">
        <v>2386</v>
      </c>
      <c r="J120" s="2" t="s">
        <v>2387</v>
      </c>
      <c r="K120" s="2" t="s">
        <v>2354</v>
      </c>
    </row>
    <row r="121" spans="1:11" x14ac:dyDescent="0.25">
      <c r="A121" s="117">
        <v>540101</v>
      </c>
      <c r="B121" s="2" t="s">
        <v>190</v>
      </c>
      <c r="C121" s="2" t="s">
        <v>45</v>
      </c>
      <c r="D121" s="2" t="s">
        <v>115</v>
      </c>
      <c r="E121" s="2" t="s">
        <v>2271</v>
      </c>
      <c r="F121" s="2" t="s">
        <v>3201</v>
      </c>
      <c r="G121" s="2" t="s">
        <v>3054</v>
      </c>
      <c r="H121" s="2" t="s">
        <v>2656</v>
      </c>
      <c r="I121" s="2" t="s">
        <v>2570</v>
      </c>
      <c r="J121" s="2" t="s">
        <v>2493</v>
      </c>
      <c r="K121" s="2" t="s">
        <v>2490</v>
      </c>
    </row>
    <row r="122" spans="1:11" x14ac:dyDescent="0.25">
      <c r="A122" s="117">
        <v>540102</v>
      </c>
      <c r="B122" s="2" t="s">
        <v>191</v>
      </c>
      <c r="C122" s="2" t="s">
        <v>45</v>
      </c>
      <c r="D122" s="2" t="s">
        <v>115</v>
      </c>
      <c r="E122" s="2" t="s">
        <v>2271</v>
      </c>
      <c r="F122" s="2" t="s">
        <v>2907</v>
      </c>
      <c r="G122" s="2" t="s">
        <v>2393</v>
      </c>
      <c r="H122" s="2" t="s">
        <v>2667</v>
      </c>
      <c r="I122" s="2" t="s">
        <v>2533</v>
      </c>
      <c r="J122" s="2" t="s">
        <v>2387</v>
      </c>
      <c r="K122" s="2" t="s">
        <v>2534</v>
      </c>
    </row>
    <row r="123" spans="1:11" x14ac:dyDescent="0.25">
      <c r="A123" s="117">
        <v>540103</v>
      </c>
      <c r="B123" s="2" t="s">
        <v>192</v>
      </c>
      <c r="C123" s="2" t="s">
        <v>45</v>
      </c>
      <c r="D123" s="2" t="s">
        <v>115</v>
      </c>
      <c r="E123" s="2" t="s">
        <v>2271</v>
      </c>
      <c r="F123" s="2" t="s">
        <v>3503</v>
      </c>
      <c r="G123" s="2" t="s">
        <v>3504</v>
      </c>
      <c r="H123" s="2" t="s">
        <v>3204</v>
      </c>
      <c r="I123" s="2" t="s">
        <v>2339</v>
      </c>
      <c r="J123" s="2" t="s">
        <v>2713</v>
      </c>
      <c r="K123" s="2" t="s">
        <v>2430</v>
      </c>
    </row>
    <row r="124" spans="1:11" x14ac:dyDescent="0.25">
      <c r="A124" s="117">
        <v>540104</v>
      </c>
      <c r="B124" s="2" t="s">
        <v>193</v>
      </c>
      <c r="C124" s="2" t="s">
        <v>45</v>
      </c>
      <c r="D124" s="2" t="s">
        <v>115</v>
      </c>
      <c r="E124" s="2" t="s">
        <v>2271</v>
      </c>
      <c r="F124" s="2" t="s">
        <v>2830</v>
      </c>
      <c r="G124" s="2" t="s">
        <v>2706</v>
      </c>
      <c r="H124" s="2" t="s">
        <v>3289</v>
      </c>
      <c r="I124" s="2" t="s">
        <v>2350</v>
      </c>
      <c r="J124" s="2" t="s">
        <v>2565</v>
      </c>
      <c r="K124" s="2" t="s">
        <v>2562</v>
      </c>
    </row>
    <row r="125" spans="1:11" x14ac:dyDescent="0.25">
      <c r="A125" s="117">
        <v>540105</v>
      </c>
      <c r="B125" s="2" t="s">
        <v>194</v>
      </c>
      <c r="C125" s="2" t="s">
        <v>45</v>
      </c>
      <c r="D125" s="2" t="s">
        <v>115</v>
      </c>
      <c r="E125" s="2" t="s">
        <v>2271</v>
      </c>
      <c r="F125" s="2" t="s">
        <v>2991</v>
      </c>
      <c r="G125" s="2" t="s">
        <v>3505</v>
      </c>
      <c r="H125" s="2" t="s">
        <v>2431</v>
      </c>
      <c r="I125" s="2" t="s">
        <v>2521</v>
      </c>
      <c r="J125" s="2" t="s">
        <v>2550</v>
      </c>
      <c r="K125" s="2" t="s">
        <v>2412</v>
      </c>
    </row>
    <row r="126" spans="1:11" x14ac:dyDescent="0.25">
      <c r="A126" s="117">
        <v>540106</v>
      </c>
      <c r="B126" s="2" t="s">
        <v>195</v>
      </c>
      <c r="C126" s="2" t="s">
        <v>45</v>
      </c>
      <c r="D126" s="2" t="s">
        <v>115</v>
      </c>
      <c r="E126" s="2" t="s">
        <v>2271</v>
      </c>
      <c r="F126" s="2" t="s">
        <v>3506</v>
      </c>
      <c r="G126" s="2" t="s">
        <v>2525</v>
      </c>
      <c r="H126" s="2" t="s">
        <v>3507</v>
      </c>
      <c r="I126" s="2" t="s">
        <v>2612</v>
      </c>
      <c r="J126" s="2" t="s">
        <v>2521</v>
      </c>
      <c r="K126" s="2" t="s">
        <v>2443</v>
      </c>
    </row>
    <row r="127" spans="1:11" x14ac:dyDescent="0.25">
      <c r="A127" s="117">
        <v>540292</v>
      </c>
      <c r="B127" s="2" t="s">
        <v>329</v>
      </c>
      <c r="C127" s="2" t="s">
        <v>45</v>
      </c>
      <c r="D127" s="2" t="s">
        <v>115</v>
      </c>
      <c r="E127" s="2" t="s">
        <v>2271</v>
      </c>
      <c r="F127" s="2" t="s">
        <v>3508</v>
      </c>
      <c r="G127" s="2" t="s">
        <v>3509</v>
      </c>
      <c r="H127" s="2" t="s">
        <v>3382</v>
      </c>
      <c r="I127" s="2" t="s">
        <v>2532</v>
      </c>
      <c r="J127" s="2" t="s">
        <v>2430</v>
      </c>
      <c r="K127" s="2" t="s">
        <v>2826</v>
      </c>
    </row>
    <row r="128" spans="1:11" x14ac:dyDescent="0.25">
      <c r="A128" s="117">
        <v>545556</v>
      </c>
      <c r="B128" s="2" t="s">
        <v>337</v>
      </c>
      <c r="C128" s="2" t="s">
        <v>45</v>
      </c>
      <c r="D128" s="2" t="s">
        <v>115</v>
      </c>
      <c r="E128" s="2" t="s">
        <v>2271</v>
      </c>
      <c r="F128" s="2" t="s">
        <v>3510</v>
      </c>
      <c r="G128" s="2" t="s">
        <v>3511</v>
      </c>
      <c r="H128" s="2" t="s">
        <v>3088</v>
      </c>
      <c r="I128" s="2" t="s">
        <v>2490</v>
      </c>
      <c r="J128" s="2" t="s">
        <v>2376</v>
      </c>
      <c r="K128" s="2" t="s">
        <v>2432</v>
      </c>
    </row>
    <row r="129" spans="1:11" x14ac:dyDescent="0.25">
      <c r="A129" s="269"/>
      <c r="B129" s="269"/>
      <c r="C129" s="269" t="s">
        <v>45</v>
      </c>
      <c r="D129" s="269"/>
      <c r="E129" s="269"/>
      <c r="F129" s="269" t="s">
        <v>3512</v>
      </c>
      <c r="G129" s="269" t="s">
        <v>3513</v>
      </c>
      <c r="H129" s="269" t="s">
        <v>3514</v>
      </c>
      <c r="I129" s="269" t="s">
        <v>3515</v>
      </c>
      <c r="J129" s="269" t="s">
        <v>3516</v>
      </c>
      <c r="K129" s="269" t="s">
        <v>3517</v>
      </c>
    </row>
    <row r="130" spans="1:11" x14ac:dyDescent="0.25">
      <c r="A130" s="117">
        <v>540107</v>
      </c>
      <c r="B130" s="2" t="s">
        <v>46</v>
      </c>
      <c r="C130" s="2" t="s">
        <v>47</v>
      </c>
      <c r="D130" s="2" t="s">
        <v>5</v>
      </c>
      <c r="E130" s="2" t="s">
        <v>2253</v>
      </c>
      <c r="F130" s="2" t="s">
        <v>3518</v>
      </c>
      <c r="G130" s="2" t="s">
        <v>3519</v>
      </c>
      <c r="H130" s="2" t="s">
        <v>3520</v>
      </c>
      <c r="I130" s="2" t="s">
        <v>3521</v>
      </c>
      <c r="J130" s="2" t="s">
        <v>3522</v>
      </c>
      <c r="K130" s="2" t="s">
        <v>3523</v>
      </c>
    </row>
    <row r="131" spans="1:11" x14ac:dyDescent="0.25">
      <c r="A131" s="117">
        <v>540108</v>
      </c>
      <c r="B131" s="2" t="s">
        <v>196</v>
      </c>
      <c r="C131" s="2" t="s">
        <v>47</v>
      </c>
      <c r="D131" s="2" t="s">
        <v>115</v>
      </c>
      <c r="E131" s="2" t="s">
        <v>2253</v>
      </c>
      <c r="F131" s="2" t="s">
        <v>3524</v>
      </c>
      <c r="G131" s="2" t="s">
        <v>3525</v>
      </c>
      <c r="H131" s="2" t="s">
        <v>2798</v>
      </c>
      <c r="I131" s="2" t="s">
        <v>2655</v>
      </c>
      <c r="J131" s="2" t="s">
        <v>2605</v>
      </c>
      <c r="K131" s="2" t="s">
        <v>2631</v>
      </c>
    </row>
    <row r="132" spans="1:11" x14ac:dyDescent="0.25">
      <c r="A132" s="117">
        <v>540109</v>
      </c>
      <c r="B132" s="2" t="s">
        <v>197</v>
      </c>
      <c r="C132" s="2" t="s">
        <v>47</v>
      </c>
      <c r="D132" s="2" t="s">
        <v>115</v>
      </c>
      <c r="E132" s="2" t="s">
        <v>2253</v>
      </c>
      <c r="F132" s="2" t="s">
        <v>3526</v>
      </c>
      <c r="G132" s="2" t="s">
        <v>3527</v>
      </c>
      <c r="H132" s="2" t="s">
        <v>2527</v>
      </c>
      <c r="I132" s="2" t="s">
        <v>2341</v>
      </c>
      <c r="J132" s="2" t="s">
        <v>2649</v>
      </c>
      <c r="K132" s="2" t="s">
        <v>2330</v>
      </c>
    </row>
    <row r="133" spans="1:11" x14ac:dyDescent="0.25">
      <c r="A133" s="117">
        <v>540110</v>
      </c>
      <c r="B133" s="2" t="s">
        <v>198</v>
      </c>
      <c r="C133" s="2" t="s">
        <v>47</v>
      </c>
      <c r="D133" s="2" t="s">
        <v>115</v>
      </c>
      <c r="E133" s="2" t="s">
        <v>2253</v>
      </c>
      <c r="F133" s="2" t="s">
        <v>2626</v>
      </c>
      <c r="G133" s="2" t="s">
        <v>3528</v>
      </c>
      <c r="H133" s="2" t="s">
        <v>3529</v>
      </c>
      <c r="I133" s="2" t="s">
        <v>2338</v>
      </c>
      <c r="J133" s="2" t="s">
        <v>2977</v>
      </c>
      <c r="K133" s="2" t="s">
        <v>2612</v>
      </c>
    </row>
    <row r="134" spans="1:11" x14ac:dyDescent="0.25">
      <c r="A134" s="117">
        <v>540111</v>
      </c>
      <c r="B134" s="2" t="s">
        <v>199</v>
      </c>
      <c r="C134" s="2" t="s">
        <v>47</v>
      </c>
      <c r="D134" s="2" t="s">
        <v>115</v>
      </c>
      <c r="E134" s="2" t="s">
        <v>2253</v>
      </c>
      <c r="F134" s="2" t="s">
        <v>3530</v>
      </c>
      <c r="G134" s="2" t="s">
        <v>3531</v>
      </c>
      <c r="H134" s="2" t="s">
        <v>3532</v>
      </c>
      <c r="I134" s="2" t="s">
        <v>3533</v>
      </c>
      <c r="J134" s="2" t="s">
        <v>3534</v>
      </c>
      <c r="K134" s="2" t="s">
        <v>3054</v>
      </c>
    </row>
    <row r="135" spans="1:11" x14ac:dyDescent="0.25">
      <c r="A135" s="117">
        <v>540287</v>
      </c>
      <c r="B135" s="2" t="s">
        <v>326</v>
      </c>
      <c r="C135" s="2" t="s">
        <v>47</v>
      </c>
      <c r="D135" s="2" t="s">
        <v>115</v>
      </c>
      <c r="E135" s="2" t="s">
        <v>2253</v>
      </c>
      <c r="F135" s="2" t="s">
        <v>3093</v>
      </c>
      <c r="G135" s="2" t="s">
        <v>3406</v>
      </c>
      <c r="H135" s="2" t="s">
        <v>3535</v>
      </c>
      <c r="I135" s="2" t="s">
        <v>2888</v>
      </c>
      <c r="J135" s="2" t="s">
        <v>2385</v>
      </c>
      <c r="K135" s="2" t="s">
        <v>2376</v>
      </c>
    </row>
    <row r="136" spans="1:11" x14ac:dyDescent="0.25">
      <c r="A136" s="117">
        <v>540152</v>
      </c>
      <c r="B136" s="2" t="s">
        <v>229</v>
      </c>
      <c r="C136" s="2" t="s">
        <v>47</v>
      </c>
      <c r="D136" s="2" t="s">
        <v>115</v>
      </c>
      <c r="E136" s="2" t="s">
        <v>2253</v>
      </c>
      <c r="F136" s="2" t="s">
        <v>2349</v>
      </c>
      <c r="G136" s="2" t="s">
        <v>2533</v>
      </c>
      <c r="H136" s="2" t="s">
        <v>2611</v>
      </c>
      <c r="I136" s="2" t="s">
        <v>2326</v>
      </c>
      <c r="J136" s="2" t="s">
        <v>2326</v>
      </c>
      <c r="K136" s="2" t="s">
        <v>2303</v>
      </c>
    </row>
    <row r="137" spans="1:11" x14ac:dyDescent="0.25">
      <c r="A137" s="269"/>
      <c r="B137" s="269"/>
      <c r="C137" s="269" t="s">
        <v>47</v>
      </c>
      <c r="D137" s="269"/>
      <c r="E137" s="269"/>
      <c r="F137" s="269" t="s">
        <v>3536</v>
      </c>
      <c r="G137" s="269" t="s">
        <v>3537</v>
      </c>
      <c r="H137" s="269" t="s">
        <v>3538</v>
      </c>
      <c r="I137" s="269" t="s">
        <v>3539</v>
      </c>
      <c r="J137" s="269" t="s">
        <v>3540</v>
      </c>
      <c r="K137" s="269" t="s">
        <v>3541</v>
      </c>
    </row>
    <row r="138" spans="1:11" x14ac:dyDescent="0.25">
      <c r="A138" s="117">
        <v>540112</v>
      </c>
      <c r="B138" s="2" t="s">
        <v>48</v>
      </c>
      <c r="C138" s="2" t="s">
        <v>49</v>
      </c>
      <c r="D138" s="2" t="s">
        <v>5</v>
      </c>
      <c r="E138" s="2" t="s">
        <v>2251</v>
      </c>
      <c r="F138" s="2" t="s">
        <v>3542</v>
      </c>
      <c r="G138" s="2" t="s">
        <v>3543</v>
      </c>
      <c r="H138" s="2" t="s">
        <v>3544</v>
      </c>
      <c r="I138" s="2" t="s">
        <v>3545</v>
      </c>
      <c r="J138" s="2" t="s">
        <v>3546</v>
      </c>
      <c r="K138" s="2" t="s">
        <v>3547</v>
      </c>
    </row>
    <row r="139" spans="1:11" x14ac:dyDescent="0.25">
      <c r="A139" s="117">
        <v>540113</v>
      </c>
      <c r="B139" s="2" t="s">
        <v>200</v>
      </c>
      <c r="C139" s="2" t="s">
        <v>49</v>
      </c>
      <c r="D139" s="2" t="s">
        <v>115</v>
      </c>
      <c r="E139" s="2" t="s">
        <v>2251</v>
      </c>
      <c r="F139" s="2" t="s">
        <v>3411</v>
      </c>
      <c r="G139" s="2" t="s">
        <v>2611</v>
      </c>
      <c r="H139" s="2" t="s">
        <v>2654</v>
      </c>
      <c r="I139" s="2" t="s">
        <v>2562</v>
      </c>
      <c r="J139" s="2" t="s">
        <v>2473</v>
      </c>
      <c r="K139" s="2" t="s">
        <v>2386</v>
      </c>
    </row>
    <row r="140" spans="1:11" x14ac:dyDescent="0.25">
      <c r="A140" s="117">
        <v>540247</v>
      </c>
      <c r="B140" s="2" t="s">
        <v>293</v>
      </c>
      <c r="C140" s="2" t="s">
        <v>49</v>
      </c>
      <c r="D140" s="2" t="s">
        <v>115</v>
      </c>
      <c r="E140" s="2" t="s">
        <v>2251</v>
      </c>
      <c r="F140" s="2" t="s">
        <v>3548</v>
      </c>
      <c r="G140" s="2" t="s">
        <v>2307</v>
      </c>
      <c r="H140" s="2" t="s">
        <v>3549</v>
      </c>
      <c r="I140" s="2" t="s">
        <v>3550</v>
      </c>
      <c r="J140" s="2" t="s">
        <v>2341</v>
      </c>
      <c r="K140" s="2" t="s">
        <v>3551</v>
      </c>
    </row>
    <row r="141" spans="1:11" x14ac:dyDescent="0.25">
      <c r="A141" s="117">
        <v>540248</v>
      </c>
      <c r="B141" s="2" t="s">
        <v>294</v>
      </c>
      <c r="C141" s="2" t="s">
        <v>49</v>
      </c>
      <c r="D141" s="2" t="s">
        <v>115</v>
      </c>
      <c r="E141" s="2" t="s">
        <v>2251</v>
      </c>
      <c r="F141" s="2" t="s">
        <v>3148</v>
      </c>
      <c r="G141" s="2" t="s">
        <v>3552</v>
      </c>
      <c r="H141" s="2" t="s">
        <v>3004</v>
      </c>
      <c r="I141" s="2" t="s">
        <v>2611</v>
      </c>
      <c r="J141" s="2" t="s">
        <v>2611</v>
      </c>
      <c r="K141" s="2" t="s">
        <v>2303</v>
      </c>
    </row>
    <row r="142" spans="1:11" x14ac:dyDescent="0.25">
      <c r="A142" s="117">
        <v>540249</v>
      </c>
      <c r="B142" s="2" t="s">
        <v>295</v>
      </c>
      <c r="C142" s="2" t="s">
        <v>49</v>
      </c>
      <c r="D142" s="2" t="s">
        <v>115</v>
      </c>
      <c r="E142" s="2" t="s">
        <v>2251</v>
      </c>
      <c r="F142" s="2" t="s">
        <v>3553</v>
      </c>
      <c r="G142" s="2" t="s">
        <v>3554</v>
      </c>
      <c r="H142" s="2" t="s">
        <v>3363</v>
      </c>
      <c r="I142" s="2" t="s">
        <v>3555</v>
      </c>
      <c r="J142" s="2" t="s">
        <v>2844</v>
      </c>
      <c r="K142" s="2" t="s">
        <v>2500</v>
      </c>
    </row>
    <row r="143" spans="1:11" x14ac:dyDescent="0.25">
      <c r="A143" s="117">
        <v>540250</v>
      </c>
      <c r="B143" s="2" t="s">
        <v>296</v>
      </c>
      <c r="C143" s="2" t="s">
        <v>49</v>
      </c>
      <c r="D143" s="2" t="s">
        <v>115</v>
      </c>
      <c r="E143" s="2" t="s">
        <v>2251</v>
      </c>
      <c r="F143" s="2" t="s">
        <v>3556</v>
      </c>
      <c r="G143" s="2" t="s">
        <v>3557</v>
      </c>
      <c r="H143" s="2" t="s">
        <v>3558</v>
      </c>
      <c r="I143" s="2" t="s">
        <v>3559</v>
      </c>
      <c r="J143" s="2" t="s">
        <v>2654</v>
      </c>
      <c r="K143" s="2" t="s">
        <v>3560</v>
      </c>
    </row>
    <row r="144" spans="1:11" x14ac:dyDescent="0.25">
      <c r="A144" s="117">
        <v>540251</v>
      </c>
      <c r="B144" s="2" t="s">
        <v>297</v>
      </c>
      <c r="C144" s="2" t="s">
        <v>49</v>
      </c>
      <c r="D144" s="2" t="s">
        <v>115</v>
      </c>
      <c r="E144" s="2" t="s">
        <v>2251</v>
      </c>
      <c r="F144" s="2" t="s">
        <v>2598</v>
      </c>
      <c r="G144" s="2" t="s">
        <v>3354</v>
      </c>
      <c r="H144" s="2" t="s">
        <v>2857</v>
      </c>
      <c r="I144" s="2" t="s">
        <v>2614</v>
      </c>
      <c r="J144" s="2" t="s">
        <v>2338</v>
      </c>
      <c r="K144" s="2" t="s">
        <v>2494</v>
      </c>
    </row>
    <row r="145" spans="1:11" x14ac:dyDescent="0.25">
      <c r="A145" s="269"/>
      <c r="B145" s="269"/>
      <c r="C145" s="269" t="s">
        <v>49</v>
      </c>
      <c r="D145" s="269"/>
      <c r="E145" s="269"/>
      <c r="F145" s="269" t="s">
        <v>3561</v>
      </c>
      <c r="G145" s="269" t="s">
        <v>3562</v>
      </c>
      <c r="H145" s="269" t="s">
        <v>3563</v>
      </c>
      <c r="I145" s="269" t="s">
        <v>3564</v>
      </c>
      <c r="J145" s="269" t="s">
        <v>3565</v>
      </c>
      <c r="K145" s="269" t="s">
        <v>3566</v>
      </c>
    </row>
    <row r="146" spans="1:11" x14ac:dyDescent="0.25">
      <c r="A146" s="117">
        <v>540114</v>
      </c>
      <c r="B146" s="2" t="s">
        <v>50</v>
      </c>
      <c r="C146" s="2" t="s">
        <v>51</v>
      </c>
      <c r="D146" s="2" t="s">
        <v>5</v>
      </c>
      <c r="E146" s="2" t="s">
        <v>2247</v>
      </c>
      <c r="F146" s="2" t="s">
        <v>3567</v>
      </c>
      <c r="G146" s="2" t="s">
        <v>3568</v>
      </c>
      <c r="H146" s="2" t="s">
        <v>3569</v>
      </c>
      <c r="I146" s="2" t="s">
        <v>3570</v>
      </c>
      <c r="J146" s="2" t="s">
        <v>3571</v>
      </c>
      <c r="K146" s="2" t="s">
        <v>3572</v>
      </c>
    </row>
    <row r="147" spans="1:11" x14ac:dyDescent="0.25">
      <c r="A147" s="117">
        <v>540115</v>
      </c>
      <c r="B147" s="2" t="s">
        <v>201</v>
      </c>
      <c r="C147" s="2" t="s">
        <v>51</v>
      </c>
      <c r="D147" s="2" t="s">
        <v>115</v>
      </c>
      <c r="E147" s="2" t="s">
        <v>2247</v>
      </c>
      <c r="F147" s="2" t="s">
        <v>3007</v>
      </c>
      <c r="G147" s="2" t="s">
        <v>2435</v>
      </c>
      <c r="H147" s="2" t="s">
        <v>3291</v>
      </c>
      <c r="I147" s="2" t="s">
        <v>2494</v>
      </c>
      <c r="J147" s="2" t="s">
        <v>2490</v>
      </c>
      <c r="K147" s="2" t="s">
        <v>2326</v>
      </c>
    </row>
    <row r="148" spans="1:11" x14ac:dyDescent="0.25">
      <c r="A148" s="117">
        <v>540116</v>
      </c>
      <c r="B148" s="2" t="s">
        <v>202</v>
      </c>
      <c r="C148" s="2" t="s">
        <v>51</v>
      </c>
      <c r="D148" s="2" t="s">
        <v>115</v>
      </c>
      <c r="E148" s="2" t="s">
        <v>2247</v>
      </c>
      <c r="F148" s="2" t="s">
        <v>3573</v>
      </c>
      <c r="G148" s="2" t="s">
        <v>3574</v>
      </c>
      <c r="H148" s="2" t="s">
        <v>3329</v>
      </c>
      <c r="I148" s="2" t="s">
        <v>2569</v>
      </c>
      <c r="J148" s="2" t="s">
        <v>2521</v>
      </c>
      <c r="K148" s="2" t="s">
        <v>2473</v>
      </c>
    </row>
    <row r="149" spans="1:11" x14ac:dyDescent="0.25">
      <c r="A149" s="117">
        <v>540117</v>
      </c>
      <c r="B149" s="2" t="s">
        <v>203</v>
      </c>
      <c r="C149" s="2" t="s">
        <v>51</v>
      </c>
      <c r="D149" s="2" t="s">
        <v>115</v>
      </c>
      <c r="E149" s="2" t="s">
        <v>2247</v>
      </c>
      <c r="F149" s="2" t="s">
        <v>3575</v>
      </c>
      <c r="G149" s="2" t="s">
        <v>3200</v>
      </c>
      <c r="H149" s="2" t="s">
        <v>3411</v>
      </c>
      <c r="I149" s="2" t="s">
        <v>3289</v>
      </c>
      <c r="J149" s="2" t="s">
        <v>2610</v>
      </c>
      <c r="K149" s="2" t="s">
        <v>2612</v>
      </c>
    </row>
    <row r="150" spans="1:11" x14ac:dyDescent="0.25">
      <c r="A150" s="117">
        <v>540118</v>
      </c>
      <c r="B150" s="2" t="s">
        <v>204</v>
      </c>
      <c r="C150" s="2" t="s">
        <v>51</v>
      </c>
      <c r="D150" s="2" t="s">
        <v>115</v>
      </c>
      <c r="E150" s="2" t="s">
        <v>2247</v>
      </c>
      <c r="F150" s="2" t="s">
        <v>3576</v>
      </c>
      <c r="G150" s="2" t="s">
        <v>3088</v>
      </c>
      <c r="H150" s="2" t="s">
        <v>3335</v>
      </c>
      <c r="I150" s="2" t="s">
        <v>2329</v>
      </c>
      <c r="J150" s="2" t="s">
        <v>2386</v>
      </c>
      <c r="K150" s="2" t="s">
        <v>2432</v>
      </c>
    </row>
    <row r="151" spans="1:11" x14ac:dyDescent="0.25">
      <c r="A151" s="117">
        <v>540119</v>
      </c>
      <c r="B151" s="2" t="s">
        <v>205</v>
      </c>
      <c r="C151" s="2" t="s">
        <v>51</v>
      </c>
      <c r="D151" s="2" t="s">
        <v>115</v>
      </c>
      <c r="E151" s="2" t="s">
        <v>2247</v>
      </c>
      <c r="F151" s="2" t="s">
        <v>3577</v>
      </c>
      <c r="G151" s="2" t="s">
        <v>2523</v>
      </c>
      <c r="H151" s="2" t="s">
        <v>2440</v>
      </c>
      <c r="I151" s="2" t="s">
        <v>2601</v>
      </c>
      <c r="J151" s="2" t="s">
        <v>2601</v>
      </c>
      <c r="K151" s="2" t="s">
        <v>2303</v>
      </c>
    </row>
    <row r="152" spans="1:11" x14ac:dyDescent="0.25">
      <c r="A152" s="117">
        <v>540120</v>
      </c>
      <c r="B152" s="2" t="s">
        <v>206</v>
      </c>
      <c r="C152" s="2" t="s">
        <v>51</v>
      </c>
      <c r="D152" s="2" t="s">
        <v>115</v>
      </c>
      <c r="E152" s="2" t="s">
        <v>2247</v>
      </c>
      <c r="F152" s="2" t="s">
        <v>2556</v>
      </c>
      <c r="G152" s="2" t="s">
        <v>3069</v>
      </c>
      <c r="H152" s="2" t="s">
        <v>2844</v>
      </c>
      <c r="I152" s="2" t="s">
        <v>2387</v>
      </c>
      <c r="J152" s="2" t="s">
        <v>2387</v>
      </c>
      <c r="K152" s="2" t="s">
        <v>2303</v>
      </c>
    </row>
    <row r="153" spans="1:11" x14ac:dyDescent="0.25">
      <c r="A153" s="117">
        <v>540121</v>
      </c>
      <c r="B153" s="2" t="s">
        <v>207</v>
      </c>
      <c r="C153" s="2" t="s">
        <v>51</v>
      </c>
      <c r="D153" s="2" t="s">
        <v>115</v>
      </c>
      <c r="E153" s="2" t="s">
        <v>2247</v>
      </c>
      <c r="F153" s="2" t="s">
        <v>3324</v>
      </c>
      <c r="G153" s="2" t="s">
        <v>2510</v>
      </c>
      <c r="H153" s="2" t="s">
        <v>3578</v>
      </c>
      <c r="I153" s="2" t="s">
        <v>2358</v>
      </c>
      <c r="J153" s="2" t="s">
        <v>2631</v>
      </c>
      <c r="K153" s="2" t="s">
        <v>2326</v>
      </c>
    </row>
    <row r="154" spans="1:11" x14ac:dyDescent="0.25">
      <c r="A154" s="117">
        <v>540122</v>
      </c>
      <c r="B154" s="2" t="s">
        <v>208</v>
      </c>
      <c r="C154" s="2" t="s">
        <v>51</v>
      </c>
      <c r="D154" s="2" t="s">
        <v>115</v>
      </c>
      <c r="E154" s="2" t="s">
        <v>2247</v>
      </c>
      <c r="F154" s="2" t="s">
        <v>3532</v>
      </c>
      <c r="G154" s="2" t="s">
        <v>2779</v>
      </c>
      <c r="H154" s="2" t="s">
        <v>3507</v>
      </c>
      <c r="I154" s="2" t="s">
        <v>2562</v>
      </c>
      <c r="J154" s="2" t="s">
        <v>2329</v>
      </c>
      <c r="K154" s="2" t="s">
        <v>2412</v>
      </c>
    </row>
    <row r="155" spans="1:11" x14ac:dyDescent="0.25">
      <c r="A155" s="117">
        <v>540123</v>
      </c>
      <c r="B155" s="2" t="s">
        <v>209</v>
      </c>
      <c r="C155" s="2" t="s">
        <v>51</v>
      </c>
      <c r="D155" s="2" t="s">
        <v>115</v>
      </c>
      <c r="E155" s="2" t="s">
        <v>2247</v>
      </c>
      <c r="F155" s="2" t="s">
        <v>3579</v>
      </c>
      <c r="G155" s="2" t="s">
        <v>3580</v>
      </c>
      <c r="H155" s="2" t="s">
        <v>3581</v>
      </c>
      <c r="I155" s="2" t="s">
        <v>2341</v>
      </c>
      <c r="J155" s="2" t="s">
        <v>3385</v>
      </c>
      <c r="K155" s="2" t="s">
        <v>2490</v>
      </c>
    </row>
    <row r="156" spans="1:11" x14ac:dyDescent="0.25">
      <c r="A156" s="117">
        <v>540291</v>
      </c>
      <c r="B156" s="2" t="s">
        <v>328</v>
      </c>
      <c r="C156" s="2" t="s">
        <v>51</v>
      </c>
      <c r="D156" s="2" t="s">
        <v>115</v>
      </c>
      <c r="E156" s="2" t="s">
        <v>2247</v>
      </c>
      <c r="F156" s="2" t="s">
        <v>2457</v>
      </c>
      <c r="G156" s="2" t="s">
        <v>2927</v>
      </c>
      <c r="H156" s="2" t="s">
        <v>3582</v>
      </c>
      <c r="I156" s="2" t="s">
        <v>2471</v>
      </c>
      <c r="J156" s="2" t="s">
        <v>2432</v>
      </c>
      <c r="K156" s="2" t="s">
        <v>2432</v>
      </c>
    </row>
    <row r="157" spans="1:11" x14ac:dyDescent="0.25">
      <c r="A157" s="269"/>
      <c r="B157" s="269"/>
      <c r="C157" s="269" t="s">
        <v>51</v>
      </c>
      <c r="D157" s="269"/>
      <c r="E157" s="269"/>
      <c r="F157" s="269" t="s">
        <v>3583</v>
      </c>
      <c r="G157" s="269" t="s">
        <v>2502</v>
      </c>
      <c r="H157" s="269" t="s">
        <v>3584</v>
      </c>
      <c r="I157" s="269" t="s">
        <v>3585</v>
      </c>
      <c r="J157" s="269" t="s">
        <v>3586</v>
      </c>
      <c r="K157" s="269" t="s">
        <v>3587</v>
      </c>
    </row>
    <row r="158" spans="1:11" x14ac:dyDescent="0.25">
      <c r="A158" s="117">
        <v>540124</v>
      </c>
      <c r="B158" s="2" t="s">
        <v>52</v>
      </c>
      <c r="C158" s="2" t="s">
        <v>53</v>
      </c>
      <c r="D158" s="2" t="s">
        <v>5</v>
      </c>
      <c r="E158" s="2" t="s">
        <v>2247</v>
      </c>
      <c r="F158" s="2" t="s">
        <v>3588</v>
      </c>
      <c r="G158" s="2" t="s">
        <v>3589</v>
      </c>
      <c r="H158" s="2" t="s">
        <v>3590</v>
      </c>
      <c r="I158" s="2" t="s">
        <v>3591</v>
      </c>
      <c r="J158" s="2" t="s">
        <v>3592</v>
      </c>
      <c r="K158" s="2" t="s">
        <v>3593</v>
      </c>
    </row>
    <row r="159" spans="1:11" x14ac:dyDescent="0.25">
      <c r="A159" s="117">
        <v>540125</v>
      </c>
      <c r="B159" s="2" t="s">
        <v>210</v>
      </c>
      <c r="C159" s="2" t="s">
        <v>53</v>
      </c>
      <c r="D159" s="2" t="s">
        <v>115</v>
      </c>
      <c r="E159" s="2" t="s">
        <v>2247</v>
      </c>
      <c r="F159" s="2" t="s">
        <v>3148</v>
      </c>
      <c r="G159" s="2" t="s">
        <v>3594</v>
      </c>
      <c r="H159" s="2" t="s">
        <v>3096</v>
      </c>
      <c r="I159" s="2" t="s">
        <v>2551</v>
      </c>
      <c r="J159" s="2" t="s">
        <v>2473</v>
      </c>
      <c r="K159" s="2" t="s">
        <v>2326</v>
      </c>
    </row>
    <row r="160" spans="1:11" x14ac:dyDescent="0.25">
      <c r="A160" s="117">
        <v>540126</v>
      </c>
      <c r="B160" s="2" t="s">
        <v>211</v>
      </c>
      <c r="C160" s="2" t="s">
        <v>53</v>
      </c>
      <c r="D160" s="2" t="s">
        <v>115</v>
      </c>
      <c r="E160" s="2" t="s">
        <v>2247</v>
      </c>
      <c r="F160" s="2" t="s">
        <v>3595</v>
      </c>
      <c r="G160" s="2" t="s">
        <v>3196</v>
      </c>
      <c r="H160" s="2" t="s">
        <v>2660</v>
      </c>
      <c r="I160" s="2" t="s">
        <v>2415</v>
      </c>
      <c r="J160" s="2" t="s">
        <v>2416</v>
      </c>
      <c r="K160" s="2" t="s">
        <v>2326</v>
      </c>
    </row>
    <row r="161" spans="1:11" x14ac:dyDescent="0.25">
      <c r="A161" s="117">
        <v>540127</v>
      </c>
      <c r="B161" s="2" t="s">
        <v>212</v>
      </c>
      <c r="C161" s="2" t="s">
        <v>53</v>
      </c>
      <c r="D161" s="2" t="s">
        <v>115</v>
      </c>
      <c r="E161" s="2" t="s">
        <v>2247</v>
      </c>
      <c r="F161" s="2" t="s">
        <v>2628</v>
      </c>
      <c r="G161" s="2" t="s">
        <v>2570</v>
      </c>
      <c r="H161" s="2" t="s">
        <v>2558</v>
      </c>
      <c r="I161" s="2" t="s">
        <v>2385</v>
      </c>
      <c r="J161" s="2" t="s">
        <v>2326</v>
      </c>
      <c r="K161" s="2" t="s">
        <v>2443</v>
      </c>
    </row>
    <row r="162" spans="1:11" x14ac:dyDescent="0.25">
      <c r="A162" s="117">
        <v>540128</v>
      </c>
      <c r="B162" s="2" t="s">
        <v>213</v>
      </c>
      <c r="C162" s="2" t="s">
        <v>53</v>
      </c>
      <c r="D162" s="2" t="s">
        <v>115</v>
      </c>
      <c r="E162" s="2" t="s">
        <v>2247</v>
      </c>
      <c r="F162" s="2" t="s">
        <v>2738</v>
      </c>
      <c r="G162" s="2" t="s">
        <v>3596</v>
      </c>
      <c r="H162" s="2" t="s">
        <v>2733</v>
      </c>
      <c r="I162" s="2" t="s">
        <v>3597</v>
      </c>
      <c r="J162" s="2" t="s">
        <v>3598</v>
      </c>
      <c r="K162" s="2" t="s">
        <v>2373</v>
      </c>
    </row>
    <row r="163" spans="1:11" x14ac:dyDescent="0.25">
      <c r="A163" s="117">
        <v>540172</v>
      </c>
      <c r="B163" s="2" t="s">
        <v>244</v>
      </c>
      <c r="C163" s="2" t="s">
        <v>53</v>
      </c>
      <c r="D163" s="2" t="s">
        <v>115</v>
      </c>
      <c r="E163" s="2" t="s">
        <v>2247</v>
      </c>
      <c r="F163" s="2" t="s">
        <v>3389</v>
      </c>
      <c r="G163" s="2" t="s">
        <v>2510</v>
      </c>
      <c r="H163" s="2" t="s">
        <v>2611</v>
      </c>
      <c r="I163" s="2" t="s">
        <v>2303</v>
      </c>
      <c r="J163" s="2" t="s">
        <v>2303</v>
      </c>
      <c r="K163" s="2" t="s">
        <v>2303</v>
      </c>
    </row>
    <row r="164" spans="1:11" x14ac:dyDescent="0.25">
      <c r="A164" s="117">
        <v>540285</v>
      </c>
      <c r="B164" s="2" t="s">
        <v>324</v>
      </c>
      <c r="C164" s="2" t="s">
        <v>53</v>
      </c>
      <c r="D164" s="2" t="s">
        <v>115</v>
      </c>
      <c r="E164" s="2" t="s">
        <v>2247</v>
      </c>
      <c r="F164" s="2" t="s">
        <v>3599</v>
      </c>
      <c r="G164" s="2" t="s">
        <v>3600</v>
      </c>
      <c r="H164" s="2" t="s">
        <v>3601</v>
      </c>
      <c r="I164" s="2" t="s">
        <v>2945</v>
      </c>
      <c r="J164" s="2" t="s">
        <v>2376</v>
      </c>
      <c r="K164" s="2" t="s">
        <v>2373</v>
      </c>
    </row>
    <row r="165" spans="1:11" x14ac:dyDescent="0.25">
      <c r="A165" s="269"/>
      <c r="B165" s="269"/>
      <c r="C165" s="269" t="s">
        <v>53</v>
      </c>
      <c r="D165" s="269"/>
      <c r="E165" s="269"/>
      <c r="F165" s="269" t="s">
        <v>3602</v>
      </c>
      <c r="G165" s="269" t="s">
        <v>3603</v>
      </c>
      <c r="H165" s="269" t="s">
        <v>3604</v>
      </c>
      <c r="I165" s="269" t="s">
        <v>3605</v>
      </c>
      <c r="J165" s="269" t="s">
        <v>3606</v>
      </c>
      <c r="K165" s="269" t="s">
        <v>2735</v>
      </c>
    </row>
    <row r="166" spans="1:11" x14ac:dyDescent="0.25">
      <c r="A166" s="117">
        <v>540129</v>
      </c>
      <c r="B166" s="2" t="s">
        <v>54</v>
      </c>
      <c r="C166" s="2" t="s">
        <v>55</v>
      </c>
      <c r="D166" s="2" t="s">
        <v>5</v>
      </c>
      <c r="E166" s="2" t="s">
        <v>2272</v>
      </c>
      <c r="F166" s="2" t="s">
        <v>3607</v>
      </c>
      <c r="G166" s="2" t="s">
        <v>3608</v>
      </c>
      <c r="H166" s="2" t="s">
        <v>3609</v>
      </c>
      <c r="I166" s="2" t="s">
        <v>3610</v>
      </c>
      <c r="J166" s="2" t="s">
        <v>3611</v>
      </c>
      <c r="K166" s="2" t="s">
        <v>3612</v>
      </c>
    </row>
    <row r="167" spans="1:11" x14ac:dyDescent="0.25">
      <c r="A167" s="117">
        <v>540130</v>
      </c>
      <c r="B167" s="2" t="s">
        <v>214</v>
      </c>
      <c r="C167" s="2" t="s">
        <v>55</v>
      </c>
      <c r="D167" s="2" t="s">
        <v>115</v>
      </c>
      <c r="E167" s="2" t="s">
        <v>2272</v>
      </c>
      <c r="F167" s="2" t="s">
        <v>3613</v>
      </c>
      <c r="G167" s="2" t="s">
        <v>3614</v>
      </c>
      <c r="H167" s="2" t="s">
        <v>3615</v>
      </c>
      <c r="I167" s="2" t="s">
        <v>2658</v>
      </c>
      <c r="J167" s="2" t="s">
        <v>2729</v>
      </c>
      <c r="K167" s="2" t="s">
        <v>2300</v>
      </c>
    </row>
    <row r="168" spans="1:11" x14ac:dyDescent="0.25">
      <c r="A168" s="117">
        <v>540131</v>
      </c>
      <c r="B168" s="2" t="s">
        <v>215</v>
      </c>
      <c r="C168" s="2" t="s">
        <v>55</v>
      </c>
      <c r="D168" s="2" t="s">
        <v>115</v>
      </c>
      <c r="E168" s="2" t="s">
        <v>2272</v>
      </c>
      <c r="F168" s="2" t="s">
        <v>3616</v>
      </c>
      <c r="G168" s="2" t="s">
        <v>2431</v>
      </c>
      <c r="H168" s="2" t="s">
        <v>2341</v>
      </c>
      <c r="I168" s="2" t="s">
        <v>2385</v>
      </c>
      <c r="J168" s="2" t="s">
        <v>2490</v>
      </c>
      <c r="K168" s="2" t="s">
        <v>2376</v>
      </c>
    </row>
    <row r="169" spans="1:11" x14ac:dyDescent="0.25">
      <c r="A169" s="117">
        <v>540155</v>
      </c>
      <c r="B169" s="2" t="s">
        <v>231</v>
      </c>
      <c r="C169" s="2" t="s">
        <v>55</v>
      </c>
      <c r="D169" s="2" t="s">
        <v>115</v>
      </c>
      <c r="E169" s="2" t="s">
        <v>2272</v>
      </c>
      <c r="F169" s="2" t="s">
        <v>3406</v>
      </c>
      <c r="G169" s="2" t="s">
        <v>2497</v>
      </c>
      <c r="H169" s="2" t="s">
        <v>2729</v>
      </c>
      <c r="I169" s="2" t="s">
        <v>2472</v>
      </c>
      <c r="J169" s="2" t="s">
        <v>2945</v>
      </c>
      <c r="K169" s="2" t="s">
        <v>2494</v>
      </c>
    </row>
    <row r="170" spans="1:11" x14ac:dyDescent="0.25">
      <c r="A170" s="117">
        <v>545555</v>
      </c>
      <c r="B170" s="2" t="s">
        <v>336</v>
      </c>
      <c r="C170" s="2" t="s">
        <v>55</v>
      </c>
      <c r="D170" s="2" t="s">
        <v>115</v>
      </c>
      <c r="E170" s="2" t="s">
        <v>2272</v>
      </c>
      <c r="F170" s="2" t="s">
        <v>3617</v>
      </c>
      <c r="G170" s="2" t="s">
        <v>2780</v>
      </c>
      <c r="H170" s="2" t="s">
        <v>3532</v>
      </c>
      <c r="I170" s="2" t="s">
        <v>2827</v>
      </c>
      <c r="J170" s="2" t="s">
        <v>2326</v>
      </c>
      <c r="K170" s="2" t="s">
        <v>2499</v>
      </c>
    </row>
    <row r="171" spans="1:11" x14ac:dyDescent="0.25">
      <c r="A171" s="117">
        <v>540091</v>
      </c>
      <c r="B171" s="2" t="s">
        <v>338</v>
      </c>
      <c r="C171" s="2" t="s">
        <v>55</v>
      </c>
      <c r="D171" s="2" t="s">
        <v>115</v>
      </c>
      <c r="E171" s="2" t="s">
        <v>2272</v>
      </c>
      <c r="F171" s="2" t="s">
        <v>2406</v>
      </c>
      <c r="G171" s="2" t="s">
        <v>2570</v>
      </c>
      <c r="H171" s="2" t="s">
        <v>2435</v>
      </c>
      <c r="I171" s="2" t="s">
        <v>2303</v>
      </c>
      <c r="J171" s="2" t="s">
        <v>2303</v>
      </c>
      <c r="K171" s="2" t="s">
        <v>2303</v>
      </c>
    </row>
    <row r="172" spans="1:11" x14ac:dyDescent="0.25">
      <c r="A172" s="269"/>
      <c r="B172" s="269"/>
      <c r="C172" s="269" t="s">
        <v>55</v>
      </c>
      <c r="D172" s="269"/>
      <c r="E172" s="269"/>
      <c r="F172" s="269" t="s">
        <v>3618</v>
      </c>
      <c r="G172" s="269" t="s">
        <v>3619</v>
      </c>
      <c r="H172" s="269" t="s">
        <v>3620</v>
      </c>
      <c r="I172" s="269" t="s">
        <v>3621</v>
      </c>
      <c r="J172" s="269" t="s">
        <v>3113</v>
      </c>
      <c r="K172" s="269" t="s">
        <v>3622</v>
      </c>
    </row>
    <row r="173" spans="1:11" x14ac:dyDescent="0.25">
      <c r="A173" s="117">
        <v>540133</v>
      </c>
      <c r="B173" s="2" t="s">
        <v>56</v>
      </c>
      <c r="C173" s="2" t="s">
        <v>57</v>
      </c>
      <c r="D173" s="2" t="s">
        <v>5</v>
      </c>
      <c r="E173" s="2" t="s">
        <v>2251</v>
      </c>
      <c r="F173" s="2" t="s">
        <v>3623</v>
      </c>
      <c r="G173" s="2" t="s">
        <v>3624</v>
      </c>
      <c r="H173" s="2" t="s">
        <v>3625</v>
      </c>
      <c r="I173" s="2" t="s">
        <v>3626</v>
      </c>
      <c r="J173" s="2" t="s">
        <v>3627</v>
      </c>
      <c r="K173" s="2" t="s">
        <v>3628</v>
      </c>
    </row>
    <row r="174" spans="1:11" x14ac:dyDescent="0.25">
      <c r="A174" s="117">
        <v>540134</v>
      </c>
      <c r="B174" s="2" t="s">
        <v>217</v>
      </c>
      <c r="C174" s="2" t="s">
        <v>57</v>
      </c>
      <c r="D174" s="2" t="s">
        <v>115</v>
      </c>
      <c r="E174" s="2" t="s">
        <v>2251</v>
      </c>
      <c r="F174" s="2" t="s">
        <v>3629</v>
      </c>
      <c r="G174" s="2" t="s">
        <v>3039</v>
      </c>
      <c r="H174" s="2" t="s">
        <v>3630</v>
      </c>
      <c r="I174" s="2" t="s">
        <v>2300</v>
      </c>
      <c r="J174" s="2" t="s">
        <v>2521</v>
      </c>
      <c r="K174" s="2" t="s">
        <v>2376</v>
      </c>
    </row>
    <row r="175" spans="1:11" x14ac:dyDescent="0.25">
      <c r="A175" s="117">
        <v>540135</v>
      </c>
      <c r="B175" s="2" t="s">
        <v>218</v>
      </c>
      <c r="C175" s="2" t="s">
        <v>57</v>
      </c>
      <c r="D175" s="2" t="s">
        <v>115</v>
      </c>
      <c r="E175" s="2" t="s">
        <v>2251</v>
      </c>
      <c r="F175" s="2" t="s">
        <v>3631</v>
      </c>
      <c r="G175" s="2" t="s">
        <v>3632</v>
      </c>
      <c r="H175" s="2" t="s">
        <v>2314</v>
      </c>
      <c r="I175" s="2" t="s">
        <v>2386</v>
      </c>
      <c r="J175" s="2" t="s">
        <v>2443</v>
      </c>
      <c r="K175" s="2" t="s">
        <v>2484</v>
      </c>
    </row>
    <row r="176" spans="1:11" x14ac:dyDescent="0.25">
      <c r="A176" s="117">
        <v>540136</v>
      </c>
      <c r="B176" s="2" t="s">
        <v>219</v>
      </c>
      <c r="C176" s="2" t="s">
        <v>57</v>
      </c>
      <c r="D176" s="2" t="s">
        <v>115</v>
      </c>
      <c r="E176" s="2" t="s">
        <v>2251</v>
      </c>
      <c r="F176" s="2" t="s">
        <v>3436</v>
      </c>
      <c r="G176" s="2" t="s">
        <v>2532</v>
      </c>
      <c r="H176" s="2" t="s">
        <v>3087</v>
      </c>
      <c r="I176" s="2" t="s">
        <v>2446</v>
      </c>
      <c r="J176" s="2" t="s">
        <v>2521</v>
      </c>
      <c r="K176" s="2" t="s">
        <v>2945</v>
      </c>
    </row>
    <row r="177" spans="1:11" x14ac:dyDescent="0.25">
      <c r="A177" s="117">
        <v>540138</v>
      </c>
      <c r="B177" s="2" t="s">
        <v>221</v>
      </c>
      <c r="C177" s="2" t="s">
        <v>57</v>
      </c>
      <c r="D177" s="2" t="s">
        <v>115</v>
      </c>
      <c r="E177" s="2" t="s">
        <v>2251</v>
      </c>
      <c r="F177" s="2" t="s">
        <v>3633</v>
      </c>
      <c r="G177" s="2" t="s">
        <v>3634</v>
      </c>
      <c r="H177" s="2" t="s">
        <v>3635</v>
      </c>
      <c r="I177" s="2" t="s">
        <v>2712</v>
      </c>
      <c r="J177" s="2" t="s">
        <v>2501</v>
      </c>
      <c r="K177" s="2" t="s">
        <v>2357</v>
      </c>
    </row>
    <row r="178" spans="1:11" x14ac:dyDescent="0.25">
      <c r="A178" s="117">
        <v>545538</v>
      </c>
      <c r="B178" s="2" t="s">
        <v>334</v>
      </c>
      <c r="C178" s="2" t="s">
        <v>57</v>
      </c>
      <c r="D178" s="2" t="s">
        <v>115</v>
      </c>
      <c r="E178" s="2" t="s">
        <v>2251</v>
      </c>
      <c r="F178" s="2" t="s">
        <v>3636</v>
      </c>
      <c r="G178" s="2" t="s">
        <v>2706</v>
      </c>
      <c r="H178" s="2" t="s">
        <v>2843</v>
      </c>
      <c r="I178" s="2" t="s">
        <v>2977</v>
      </c>
      <c r="J178" s="2" t="s">
        <v>2446</v>
      </c>
      <c r="K178" s="2" t="s">
        <v>2888</v>
      </c>
    </row>
    <row r="179" spans="1:11" x14ac:dyDescent="0.25">
      <c r="A179" s="269"/>
      <c r="B179" s="269"/>
      <c r="C179" s="269" t="s">
        <v>57</v>
      </c>
      <c r="D179" s="269"/>
      <c r="E179" s="269"/>
      <c r="F179" s="269" t="s">
        <v>3637</v>
      </c>
      <c r="G179" s="269" t="s">
        <v>3638</v>
      </c>
      <c r="H179" s="269" t="s">
        <v>3639</v>
      </c>
      <c r="I179" s="269" t="s">
        <v>3640</v>
      </c>
      <c r="J179" s="269" t="s">
        <v>3641</v>
      </c>
      <c r="K179" s="269" t="s">
        <v>3642</v>
      </c>
    </row>
    <row r="180" spans="1:11" x14ac:dyDescent="0.25">
      <c r="A180" s="117">
        <v>540139</v>
      </c>
      <c r="B180" s="2" t="s">
        <v>58</v>
      </c>
      <c r="C180" s="2" t="s">
        <v>59</v>
      </c>
      <c r="D180" s="2" t="s">
        <v>5</v>
      </c>
      <c r="E180" s="2" t="s">
        <v>2271</v>
      </c>
      <c r="F180" s="2" t="s">
        <v>3643</v>
      </c>
      <c r="G180" s="2" t="s">
        <v>3644</v>
      </c>
      <c r="H180" s="2" t="s">
        <v>3645</v>
      </c>
      <c r="I180" s="2" t="s">
        <v>3646</v>
      </c>
      <c r="J180" s="2" t="s">
        <v>3175</v>
      </c>
      <c r="K180" s="2" t="s">
        <v>3647</v>
      </c>
    </row>
    <row r="181" spans="1:11" x14ac:dyDescent="0.25">
      <c r="A181" s="117">
        <v>540140</v>
      </c>
      <c r="B181" s="2" t="s">
        <v>222</v>
      </c>
      <c r="C181" s="2" t="s">
        <v>59</v>
      </c>
      <c r="D181" s="2" t="s">
        <v>115</v>
      </c>
      <c r="E181" s="2" t="s">
        <v>2271</v>
      </c>
      <c r="F181" s="2" t="s">
        <v>3088</v>
      </c>
      <c r="G181" s="2" t="s">
        <v>2602</v>
      </c>
      <c r="H181" s="2" t="s">
        <v>2528</v>
      </c>
      <c r="I181" s="2" t="s">
        <v>2601</v>
      </c>
      <c r="J181" s="2" t="s">
        <v>2354</v>
      </c>
      <c r="K181" s="2" t="s">
        <v>2494</v>
      </c>
    </row>
    <row r="182" spans="1:11" x14ac:dyDescent="0.25">
      <c r="A182" s="117">
        <v>540141</v>
      </c>
      <c r="B182" s="2" t="s">
        <v>223</v>
      </c>
      <c r="C182" s="2" t="s">
        <v>59</v>
      </c>
      <c r="D182" s="2" t="s">
        <v>115</v>
      </c>
      <c r="E182" s="2" t="s">
        <v>2271</v>
      </c>
      <c r="F182" s="2" t="s">
        <v>3648</v>
      </c>
      <c r="G182" s="2" t="s">
        <v>3649</v>
      </c>
      <c r="H182" s="2" t="s">
        <v>3650</v>
      </c>
      <c r="I182" s="2" t="s">
        <v>3167</v>
      </c>
      <c r="J182" s="2" t="s">
        <v>2843</v>
      </c>
      <c r="K182" s="2" t="s">
        <v>2826</v>
      </c>
    </row>
    <row r="183" spans="1:11" x14ac:dyDescent="0.25">
      <c r="A183" s="117">
        <v>540272</v>
      </c>
      <c r="B183" s="2" t="s">
        <v>315</v>
      </c>
      <c r="C183" s="2" t="s">
        <v>59</v>
      </c>
      <c r="D183" s="2" t="s">
        <v>115</v>
      </c>
      <c r="E183" s="2" t="s">
        <v>2271</v>
      </c>
      <c r="F183" s="2" t="s">
        <v>3651</v>
      </c>
      <c r="G183" s="2" t="s">
        <v>3652</v>
      </c>
      <c r="H183" s="2" t="s">
        <v>3133</v>
      </c>
      <c r="I183" s="2" t="s">
        <v>2472</v>
      </c>
      <c r="J183" s="2" t="s">
        <v>2472</v>
      </c>
      <c r="K183" s="2" t="s">
        <v>2303</v>
      </c>
    </row>
    <row r="184" spans="1:11" x14ac:dyDescent="0.25">
      <c r="A184" s="117">
        <v>540273</v>
      </c>
      <c r="B184" s="2" t="s">
        <v>316</v>
      </c>
      <c r="C184" s="2" t="s">
        <v>59</v>
      </c>
      <c r="D184" s="2" t="s">
        <v>115</v>
      </c>
      <c r="E184" s="2" t="s">
        <v>2271</v>
      </c>
      <c r="F184" s="2" t="s">
        <v>3446</v>
      </c>
      <c r="G184" s="2" t="s">
        <v>3653</v>
      </c>
      <c r="H184" s="2" t="s">
        <v>2388</v>
      </c>
      <c r="I184" s="2" t="s">
        <v>2376</v>
      </c>
      <c r="J184" s="2" t="s">
        <v>2432</v>
      </c>
      <c r="K184" s="2" t="s">
        <v>2354</v>
      </c>
    </row>
    <row r="185" spans="1:11" x14ac:dyDescent="0.25">
      <c r="A185" s="117">
        <v>540274</v>
      </c>
      <c r="B185" s="2" t="s">
        <v>317</v>
      </c>
      <c r="C185" s="2" t="s">
        <v>59</v>
      </c>
      <c r="D185" s="2" t="s">
        <v>115</v>
      </c>
      <c r="E185" s="2" t="s">
        <v>2271</v>
      </c>
      <c r="F185" s="2" t="s">
        <v>3654</v>
      </c>
      <c r="G185" s="2" t="s">
        <v>3655</v>
      </c>
      <c r="H185" s="2" t="s">
        <v>2327</v>
      </c>
      <c r="I185" s="2" t="s">
        <v>2472</v>
      </c>
      <c r="J185" s="2" t="s">
        <v>2550</v>
      </c>
      <c r="K185" s="2" t="s">
        <v>2373</v>
      </c>
    </row>
    <row r="186" spans="1:11" x14ac:dyDescent="0.25">
      <c r="A186" s="269"/>
      <c r="B186" s="269"/>
      <c r="C186" s="269" t="s">
        <v>59</v>
      </c>
      <c r="D186" s="269"/>
      <c r="E186" s="269"/>
      <c r="F186" s="269" t="s">
        <v>3656</v>
      </c>
      <c r="G186" s="269" t="s">
        <v>3657</v>
      </c>
      <c r="H186" s="269" t="s">
        <v>3658</v>
      </c>
      <c r="I186" s="269" t="s">
        <v>3111</v>
      </c>
      <c r="J186" s="269" t="s">
        <v>3659</v>
      </c>
      <c r="K186" s="269" t="s">
        <v>3660</v>
      </c>
    </row>
    <row r="187" spans="1:11" x14ac:dyDescent="0.25">
      <c r="A187" s="117">
        <v>540144</v>
      </c>
      <c r="B187" s="2" t="s">
        <v>60</v>
      </c>
      <c r="C187" s="2" t="s">
        <v>61</v>
      </c>
      <c r="D187" s="2" t="s">
        <v>5</v>
      </c>
      <c r="E187" s="2" t="s">
        <v>2246</v>
      </c>
      <c r="F187" s="2" t="s">
        <v>3661</v>
      </c>
      <c r="G187" s="2" t="s">
        <v>3662</v>
      </c>
      <c r="H187" s="2" t="s">
        <v>3663</v>
      </c>
      <c r="I187" s="2" t="s">
        <v>3664</v>
      </c>
      <c r="J187" s="2" t="s">
        <v>3665</v>
      </c>
      <c r="K187" s="2" t="s">
        <v>3666</v>
      </c>
    </row>
    <row r="188" spans="1:11" x14ac:dyDescent="0.25">
      <c r="A188" s="117">
        <v>540005</v>
      </c>
      <c r="B188" s="2" t="s">
        <v>118</v>
      </c>
      <c r="C188" s="2" t="s">
        <v>61</v>
      </c>
      <c r="D188" s="2" t="s">
        <v>115</v>
      </c>
      <c r="E188" s="2" t="s">
        <v>2246</v>
      </c>
      <c r="F188" s="2" t="s">
        <v>3167</v>
      </c>
      <c r="G188" s="2" t="s">
        <v>3039</v>
      </c>
      <c r="H188" s="2" t="s">
        <v>2562</v>
      </c>
      <c r="I188" s="2" t="s">
        <v>2386</v>
      </c>
      <c r="J188" s="2" t="s">
        <v>2386</v>
      </c>
      <c r="K188" s="2" t="s">
        <v>2303</v>
      </c>
    </row>
    <row r="189" spans="1:11" x14ac:dyDescent="0.25">
      <c r="A189" s="117">
        <v>540252</v>
      </c>
      <c r="B189" s="2" t="s">
        <v>298</v>
      </c>
      <c r="C189" s="2" t="s">
        <v>61</v>
      </c>
      <c r="D189" s="2" t="s">
        <v>115</v>
      </c>
      <c r="E189" s="2" t="s">
        <v>2246</v>
      </c>
      <c r="F189" s="2" t="s">
        <v>3285</v>
      </c>
      <c r="G189" s="2" t="s">
        <v>2580</v>
      </c>
      <c r="H189" s="2" t="s">
        <v>3230</v>
      </c>
      <c r="I189" s="2" t="s">
        <v>2428</v>
      </c>
      <c r="J189" s="2" t="s">
        <v>2603</v>
      </c>
      <c r="K189" s="2" t="s">
        <v>2495</v>
      </c>
    </row>
    <row r="190" spans="1:11" x14ac:dyDescent="0.25">
      <c r="A190" s="269"/>
      <c r="B190" s="269"/>
      <c r="C190" s="269" t="s">
        <v>61</v>
      </c>
      <c r="D190" s="269"/>
      <c r="E190" s="269"/>
      <c r="F190" s="269" t="s">
        <v>3667</v>
      </c>
      <c r="G190" s="269" t="s">
        <v>3668</v>
      </c>
      <c r="H190" s="269" t="s">
        <v>3669</v>
      </c>
      <c r="I190" s="269" t="s">
        <v>3670</v>
      </c>
      <c r="J190" s="269" t="s">
        <v>3439</v>
      </c>
      <c r="K190" s="269" t="s">
        <v>3671</v>
      </c>
    </row>
    <row r="191" spans="1:11" x14ac:dyDescent="0.25">
      <c r="A191" s="117">
        <v>540146</v>
      </c>
      <c r="B191" s="2" t="s">
        <v>62</v>
      </c>
      <c r="C191" s="2" t="s">
        <v>63</v>
      </c>
      <c r="D191" s="2" t="s">
        <v>5</v>
      </c>
      <c r="E191" s="2" t="s">
        <v>2252</v>
      </c>
      <c r="F191" s="2" t="s">
        <v>3672</v>
      </c>
      <c r="G191" s="2" t="s">
        <v>3673</v>
      </c>
      <c r="H191" s="2" t="s">
        <v>3674</v>
      </c>
      <c r="I191" s="2" t="s">
        <v>3675</v>
      </c>
      <c r="J191" s="2" t="s">
        <v>3676</v>
      </c>
      <c r="K191" s="2" t="s">
        <v>3677</v>
      </c>
    </row>
    <row r="192" spans="1:11" x14ac:dyDescent="0.25">
      <c r="A192" s="117">
        <v>540147</v>
      </c>
      <c r="B192" s="2" t="s">
        <v>225</v>
      </c>
      <c r="C192" s="2" t="s">
        <v>63</v>
      </c>
      <c r="D192" s="2" t="s">
        <v>115</v>
      </c>
      <c r="E192" s="2" t="s">
        <v>2252</v>
      </c>
      <c r="F192" s="2" t="s">
        <v>3678</v>
      </c>
      <c r="G192" s="2" t="s">
        <v>3679</v>
      </c>
      <c r="H192" s="2" t="s">
        <v>3363</v>
      </c>
      <c r="I192" s="2" t="s">
        <v>3289</v>
      </c>
      <c r="J192" s="2" t="s">
        <v>3336</v>
      </c>
      <c r="K192" s="2" t="s">
        <v>2376</v>
      </c>
    </row>
    <row r="193" spans="1:11" x14ac:dyDescent="0.25">
      <c r="A193" s="117">
        <v>540148</v>
      </c>
      <c r="B193" s="2" t="s">
        <v>226</v>
      </c>
      <c r="C193" s="2" t="s">
        <v>63</v>
      </c>
      <c r="D193" s="2" t="s">
        <v>115</v>
      </c>
      <c r="E193" s="2" t="s">
        <v>2252</v>
      </c>
      <c r="F193" s="2" t="s">
        <v>3680</v>
      </c>
      <c r="G193" s="2" t="s">
        <v>3681</v>
      </c>
      <c r="H193" s="2" t="s">
        <v>3682</v>
      </c>
      <c r="I193" s="2" t="s">
        <v>2528</v>
      </c>
      <c r="J193" s="2" t="s">
        <v>2388</v>
      </c>
      <c r="K193" s="2" t="s">
        <v>2495</v>
      </c>
    </row>
    <row r="194" spans="1:11" x14ac:dyDescent="0.25">
      <c r="A194" s="269"/>
      <c r="B194" s="269"/>
      <c r="C194" s="269" t="s">
        <v>63</v>
      </c>
      <c r="D194" s="269"/>
      <c r="E194" s="269"/>
      <c r="F194" s="269" t="s">
        <v>3683</v>
      </c>
      <c r="G194" s="269" t="s">
        <v>3684</v>
      </c>
      <c r="H194" s="269" t="s">
        <v>3685</v>
      </c>
      <c r="I194" s="269" t="s">
        <v>3686</v>
      </c>
      <c r="J194" s="269" t="s">
        <v>3687</v>
      </c>
      <c r="K194" s="269" t="s">
        <v>3688</v>
      </c>
    </row>
    <row r="195" spans="1:11" x14ac:dyDescent="0.25">
      <c r="A195" s="117">
        <v>540149</v>
      </c>
      <c r="B195" s="2" t="s">
        <v>64</v>
      </c>
      <c r="C195" s="2" t="s">
        <v>65</v>
      </c>
      <c r="D195" s="2" t="s">
        <v>5</v>
      </c>
      <c r="E195" s="2" t="s">
        <v>2253</v>
      </c>
      <c r="F195" s="2" t="s">
        <v>3689</v>
      </c>
      <c r="G195" s="2" t="s">
        <v>3690</v>
      </c>
      <c r="H195" s="2" t="s">
        <v>3691</v>
      </c>
      <c r="I195" s="2" t="s">
        <v>3692</v>
      </c>
      <c r="J195" s="2" t="s">
        <v>2872</v>
      </c>
      <c r="K195" s="2" t="s">
        <v>3693</v>
      </c>
    </row>
    <row r="196" spans="1:11" x14ac:dyDescent="0.25">
      <c r="A196" s="117">
        <v>540080</v>
      </c>
      <c r="B196" s="2" t="s">
        <v>175</v>
      </c>
      <c r="C196" s="2" t="s">
        <v>65</v>
      </c>
      <c r="D196" s="2" t="s">
        <v>115</v>
      </c>
      <c r="E196" s="2" t="s">
        <v>2253</v>
      </c>
      <c r="F196" s="2" t="s">
        <v>3694</v>
      </c>
      <c r="G196" s="2" t="s">
        <v>3406</v>
      </c>
      <c r="H196" s="2" t="s">
        <v>2813</v>
      </c>
      <c r="I196" s="2" t="s">
        <v>2303</v>
      </c>
      <c r="J196" s="2" t="s">
        <v>2303</v>
      </c>
      <c r="K196" s="2" t="s">
        <v>2303</v>
      </c>
    </row>
    <row r="197" spans="1:11" x14ac:dyDescent="0.25">
      <c r="A197" s="117">
        <v>540094</v>
      </c>
      <c r="B197" s="2" t="s">
        <v>185</v>
      </c>
      <c r="C197" s="2" t="s">
        <v>65</v>
      </c>
      <c r="D197" s="2" t="s">
        <v>115</v>
      </c>
      <c r="E197" s="2" t="s">
        <v>2253</v>
      </c>
      <c r="F197" s="2" t="s">
        <v>3695</v>
      </c>
      <c r="G197" s="2" t="s">
        <v>3696</v>
      </c>
      <c r="H197" s="2" t="s">
        <v>3697</v>
      </c>
      <c r="I197" s="2" t="s">
        <v>2521</v>
      </c>
      <c r="J197" s="2" t="s">
        <v>2443</v>
      </c>
      <c r="K197" s="2" t="s">
        <v>2490</v>
      </c>
    </row>
    <row r="198" spans="1:11" x14ac:dyDescent="0.25">
      <c r="A198" s="117">
        <v>540150</v>
      </c>
      <c r="B198" s="2" t="s">
        <v>227</v>
      </c>
      <c r="C198" s="2" t="s">
        <v>65</v>
      </c>
      <c r="D198" s="2" t="s">
        <v>115</v>
      </c>
      <c r="E198" s="2" t="s">
        <v>2253</v>
      </c>
      <c r="F198" s="2" t="s">
        <v>3698</v>
      </c>
      <c r="G198" s="2" t="s">
        <v>2779</v>
      </c>
      <c r="H198" s="2" t="s">
        <v>3699</v>
      </c>
      <c r="I198" s="2" t="s">
        <v>2827</v>
      </c>
      <c r="J198" s="2" t="s">
        <v>2499</v>
      </c>
      <c r="K198" s="2" t="s">
        <v>2326</v>
      </c>
    </row>
    <row r="199" spans="1:11" x14ac:dyDescent="0.25">
      <c r="A199" s="117">
        <v>540151</v>
      </c>
      <c r="B199" s="2" t="s">
        <v>228</v>
      </c>
      <c r="C199" s="2" t="s">
        <v>65</v>
      </c>
      <c r="D199" s="2" t="s">
        <v>115</v>
      </c>
      <c r="E199" s="2" t="s">
        <v>2253</v>
      </c>
      <c r="F199" s="2" t="s">
        <v>3700</v>
      </c>
      <c r="G199" s="2" t="s">
        <v>3701</v>
      </c>
      <c r="H199" s="2" t="s">
        <v>2780</v>
      </c>
      <c r="I199" s="2" t="s">
        <v>2324</v>
      </c>
      <c r="J199" s="2" t="s">
        <v>2561</v>
      </c>
      <c r="K199" s="2" t="s">
        <v>2499</v>
      </c>
    </row>
    <row r="200" spans="1:11" x14ac:dyDescent="0.25">
      <c r="A200" s="117">
        <v>540152</v>
      </c>
      <c r="B200" s="2" t="s">
        <v>229</v>
      </c>
      <c r="C200" s="2" t="s">
        <v>65</v>
      </c>
      <c r="D200" s="2" t="s">
        <v>115</v>
      </c>
      <c r="E200" s="2" t="s">
        <v>2253</v>
      </c>
      <c r="F200" s="2" t="s">
        <v>3702</v>
      </c>
      <c r="G200" s="2" t="s">
        <v>2879</v>
      </c>
      <c r="H200" s="2" t="s">
        <v>3703</v>
      </c>
      <c r="I200" s="2" t="s">
        <v>3704</v>
      </c>
      <c r="J200" s="2" t="s">
        <v>3705</v>
      </c>
      <c r="K200" s="2" t="s">
        <v>2534</v>
      </c>
    </row>
    <row r="201" spans="1:11" x14ac:dyDescent="0.25">
      <c r="A201" s="117">
        <v>540275</v>
      </c>
      <c r="B201" s="2" t="s">
        <v>318</v>
      </c>
      <c r="C201" s="2" t="s">
        <v>65</v>
      </c>
      <c r="D201" s="2" t="s">
        <v>115</v>
      </c>
      <c r="E201" s="2" t="s">
        <v>2253</v>
      </c>
      <c r="F201" s="2" t="s">
        <v>3706</v>
      </c>
      <c r="G201" s="2" t="s">
        <v>3707</v>
      </c>
      <c r="H201" s="2" t="s">
        <v>3708</v>
      </c>
      <c r="I201" s="2" t="s">
        <v>2303</v>
      </c>
      <c r="J201" s="2" t="s">
        <v>2303</v>
      </c>
      <c r="K201" s="2" t="s">
        <v>2303</v>
      </c>
    </row>
    <row r="202" spans="1:11" x14ac:dyDescent="0.25">
      <c r="A202" s="269"/>
      <c r="B202" s="269"/>
      <c r="C202" s="269" t="s">
        <v>65</v>
      </c>
      <c r="D202" s="269"/>
      <c r="E202" s="269"/>
      <c r="F202" s="269" t="s">
        <v>3709</v>
      </c>
      <c r="G202" s="269" t="s">
        <v>3710</v>
      </c>
      <c r="H202" s="269" t="s">
        <v>3711</v>
      </c>
      <c r="I202" s="269" t="s">
        <v>3712</v>
      </c>
      <c r="J202" s="269" t="s">
        <v>2952</v>
      </c>
      <c r="K202" s="269" t="s">
        <v>3713</v>
      </c>
    </row>
    <row r="203" spans="1:11" x14ac:dyDescent="0.25">
      <c r="A203" s="117">
        <v>540153</v>
      </c>
      <c r="B203" s="2" t="s">
        <v>66</v>
      </c>
      <c r="C203" s="2" t="s">
        <v>67</v>
      </c>
      <c r="D203" s="2" t="s">
        <v>5</v>
      </c>
      <c r="E203" s="2" t="s">
        <v>2272</v>
      </c>
      <c r="F203" s="2" t="s">
        <v>3714</v>
      </c>
      <c r="G203" s="2" t="s">
        <v>3715</v>
      </c>
      <c r="H203" s="2" t="s">
        <v>3716</v>
      </c>
      <c r="I203" s="2" t="s">
        <v>2800</v>
      </c>
      <c r="J203" s="2" t="s">
        <v>3717</v>
      </c>
      <c r="K203" s="2" t="s">
        <v>3718</v>
      </c>
    </row>
    <row r="204" spans="1:11" x14ac:dyDescent="0.25">
      <c r="A204" s="117">
        <v>540154</v>
      </c>
      <c r="B204" s="2" t="s">
        <v>230</v>
      </c>
      <c r="C204" s="2" t="s">
        <v>67</v>
      </c>
      <c r="D204" s="2" t="s">
        <v>115</v>
      </c>
      <c r="E204" s="2" t="s">
        <v>2272</v>
      </c>
      <c r="F204" s="2" t="s">
        <v>3554</v>
      </c>
      <c r="G204" s="2" t="s">
        <v>3719</v>
      </c>
      <c r="H204" s="2" t="s">
        <v>2524</v>
      </c>
      <c r="I204" s="2" t="s">
        <v>2401</v>
      </c>
      <c r="J204" s="2" t="s">
        <v>2415</v>
      </c>
      <c r="K204" s="2" t="s">
        <v>2432</v>
      </c>
    </row>
    <row r="205" spans="1:11" x14ac:dyDescent="0.25">
      <c r="A205" s="269"/>
      <c r="B205" s="269"/>
      <c r="C205" s="269" t="s">
        <v>67</v>
      </c>
      <c r="D205" s="269"/>
      <c r="E205" s="269"/>
      <c r="F205" s="269" t="s">
        <v>3720</v>
      </c>
      <c r="G205" s="269" t="s">
        <v>3721</v>
      </c>
      <c r="H205" s="269" t="s">
        <v>3722</v>
      </c>
      <c r="I205" s="269" t="s">
        <v>2801</v>
      </c>
      <c r="J205" s="269" t="s">
        <v>3723</v>
      </c>
      <c r="K205" s="269" t="s">
        <v>3724</v>
      </c>
    </row>
    <row r="206" spans="1:11" x14ac:dyDescent="0.25">
      <c r="A206" s="117">
        <v>540160</v>
      </c>
      <c r="B206" s="2" t="s">
        <v>68</v>
      </c>
      <c r="C206" s="2" t="s">
        <v>69</v>
      </c>
      <c r="D206" s="2" t="s">
        <v>5</v>
      </c>
      <c r="E206" s="2" t="s">
        <v>2271</v>
      </c>
      <c r="F206" s="2" t="s">
        <v>3725</v>
      </c>
      <c r="G206" s="2" t="s">
        <v>3726</v>
      </c>
      <c r="H206" s="2" t="s">
        <v>3727</v>
      </c>
      <c r="I206" s="2" t="s">
        <v>2863</v>
      </c>
      <c r="J206" s="2" t="s">
        <v>3728</v>
      </c>
      <c r="K206" s="2" t="s">
        <v>3729</v>
      </c>
    </row>
    <row r="207" spans="1:11" x14ac:dyDescent="0.25">
      <c r="A207" s="117">
        <v>540137</v>
      </c>
      <c r="B207" s="2" t="s">
        <v>220</v>
      </c>
      <c r="C207" s="2" t="s">
        <v>69</v>
      </c>
      <c r="D207" s="2" t="s">
        <v>115</v>
      </c>
      <c r="E207" s="2" t="s">
        <v>2271</v>
      </c>
      <c r="F207" s="2" t="s">
        <v>3167</v>
      </c>
      <c r="G207" s="2" t="s">
        <v>2829</v>
      </c>
      <c r="H207" s="2" t="s">
        <v>2341</v>
      </c>
      <c r="I207" s="2" t="s">
        <v>2303</v>
      </c>
      <c r="J207" s="2" t="s">
        <v>2303</v>
      </c>
      <c r="K207" s="2" t="s">
        <v>2303</v>
      </c>
    </row>
    <row r="208" spans="1:11" x14ac:dyDescent="0.25">
      <c r="A208" s="117">
        <v>540161</v>
      </c>
      <c r="B208" s="2" t="s">
        <v>235</v>
      </c>
      <c r="C208" s="2" t="s">
        <v>69</v>
      </c>
      <c r="D208" s="2" t="s">
        <v>115</v>
      </c>
      <c r="E208" s="2" t="s">
        <v>2271</v>
      </c>
      <c r="F208" s="2" t="s">
        <v>3117</v>
      </c>
      <c r="G208" s="2" t="s">
        <v>2407</v>
      </c>
      <c r="H208" s="2" t="s">
        <v>2906</v>
      </c>
      <c r="I208" s="2" t="s">
        <v>2562</v>
      </c>
      <c r="J208" s="2" t="s">
        <v>2888</v>
      </c>
      <c r="K208" s="2" t="s">
        <v>2432</v>
      </c>
    </row>
    <row r="209" spans="1:11" x14ac:dyDescent="0.25">
      <c r="A209" s="117">
        <v>540162</v>
      </c>
      <c r="B209" s="2" t="s">
        <v>236</v>
      </c>
      <c r="C209" s="2" t="s">
        <v>69</v>
      </c>
      <c r="D209" s="2" t="s">
        <v>115</v>
      </c>
      <c r="E209" s="2" t="s">
        <v>2271</v>
      </c>
      <c r="F209" s="2" t="s">
        <v>2446</v>
      </c>
      <c r="G209" s="2" t="s">
        <v>2562</v>
      </c>
      <c r="H209" s="2" t="s">
        <v>2432</v>
      </c>
      <c r="I209" s="2" t="s">
        <v>2551</v>
      </c>
      <c r="J209" s="2" t="s">
        <v>2490</v>
      </c>
      <c r="K209" s="2" t="s">
        <v>2354</v>
      </c>
    </row>
    <row r="210" spans="1:11" x14ac:dyDescent="0.25">
      <c r="A210" s="117">
        <v>540163</v>
      </c>
      <c r="B210" s="2" t="s">
        <v>237</v>
      </c>
      <c r="C210" s="2" t="s">
        <v>69</v>
      </c>
      <c r="D210" s="2" t="s">
        <v>115</v>
      </c>
      <c r="E210" s="2" t="s">
        <v>2271</v>
      </c>
      <c r="F210" s="2" t="s">
        <v>3730</v>
      </c>
      <c r="G210" s="2" t="s">
        <v>2509</v>
      </c>
      <c r="H210" s="2" t="s">
        <v>3611</v>
      </c>
      <c r="I210" s="2" t="s">
        <v>2993</v>
      </c>
      <c r="J210" s="2" t="s">
        <v>2609</v>
      </c>
      <c r="K210" s="2" t="s">
        <v>2663</v>
      </c>
    </row>
    <row r="211" spans="1:11" x14ac:dyDescent="0.25">
      <c r="A211" s="117">
        <v>540254</v>
      </c>
      <c r="B211" s="2" t="s">
        <v>300</v>
      </c>
      <c r="C211" s="2" t="s">
        <v>69</v>
      </c>
      <c r="D211" s="2" t="s">
        <v>115</v>
      </c>
      <c r="E211" s="2" t="s">
        <v>2271</v>
      </c>
      <c r="F211" s="2" t="s">
        <v>3731</v>
      </c>
      <c r="G211" s="2" t="s">
        <v>3387</v>
      </c>
      <c r="H211" s="2" t="s">
        <v>3203</v>
      </c>
      <c r="I211" s="2" t="s">
        <v>2387</v>
      </c>
      <c r="J211" s="2" t="s">
        <v>2326</v>
      </c>
      <c r="K211" s="2" t="s">
        <v>2494</v>
      </c>
    </row>
    <row r="212" spans="1:11" x14ac:dyDescent="0.25">
      <c r="A212" s="117">
        <v>540257</v>
      </c>
      <c r="B212" s="2" t="s">
        <v>302</v>
      </c>
      <c r="C212" s="2" t="s">
        <v>69</v>
      </c>
      <c r="D212" s="2" t="s">
        <v>115</v>
      </c>
      <c r="E212" s="2" t="s">
        <v>2271</v>
      </c>
      <c r="F212" s="2" t="s">
        <v>3732</v>
      </c>
      <c r="G212" s="2" t="s">
        <v>3560</v>
      </c>
      <c r="H212" s="2" t="s">
        <v>3552</v>
      </c>
      <c r="I212" s="2" t="s">
        <v>2446</v>
      </c>
      <c r="J212" s="2" t="s">
        <v>2494</v>
      </c>
      <c r="K212" s="2" t="s">
        <v>2416</v>
      </c>
    </row>
    <row r="213" spans="1:11" x14ac:dyDescent="0.25">
      <c r="A213" s="117">
        <v>540268</v>
      </c>
      <c r="B213" s="2" t="s">
        <v>311</v>
      </c>
      <c r="C213" s="2" t="s">
        <v>69</v>
      </c>
      <c r="D213" s="2" t="s">
        <v>115</v>
      </c>
      <c r="E213" s="2" t="s">
        <v>2271</v>
      </c>
      <c r="F213" s="2" t="s">
        <v>3733</v>
      </c>
      <c r="G213" s="2" t="s">
        <v>3288</v>
      </c>
      <c r="H213" s="2" t="s">
        <v>3734</v>
      </c>
      <c r="I213" s="2" t="s">
        <v>2329</v>
      </c>
      <c r="J213" s="2" t="s">
        <v>2430</v>
      </c>
      <c r="K213" s="2" t="s">
        <v>2490</v>
      </c>
    </row>
    <row r="214" spans="1:11" x14ac:dyDescent="0.25">
      <c r="A214" s="117">
        <v>540269</v>
      </c>
      <c r="B214" s="2" t="s">
        <v>312</v>
      </c>
      <c r="C214" s="2" t="s">
        <v>69</v>
      </c>
      <c r="D214" s="2" t="s">
        <v>115</v>
      </c>
      <c r="E214" s="2" t="s">
        <v>2271</v>
      </c>
      <c r="F214" s="2" t="s">
        <v>3534</v>
      </c>
      <c r="G214" s="2" t="s">
        <v>2491</v>
      </c>
      <c r="H214" s="2" t="s">
        <v>2779</v>
      </c>
      <c r="I214" s="2" t="s">
        <v>2601</v>
      </c>
      <c r="J214" s="2" t="s">
        <v>2354</v>
      </c>
      <c r="K214" s="2" t="s">
        <v>2494</v>
      </c>
    </row>
    <row r="215" spans="1:11" x14ac:dyDescent="0.25">
      <c r="A215" s="117">
        <v>540270</v>
      </c>
      <c r="B215" s="2" t="s">
        <v>313</v>
      </c>
      <c r="C215" s="2" t="s">
        <v>69</v>
      </c>
      <c r="D215" s="2" t="s">
        <v>115</v>
      </c>
      <c r="E215" s="2" t="s">
        <v>2271</v>
      </c>
      <c r="F215" s="2" t="s">
        <v>3410</v>
      </c>
      <c r="G215" s="2" t="s">
        <v>2606</v>
      </c>
      <c r="H215" s="2" t="s">
        <v>2300</v>
      </c>
      <c r="I215" s="2" t="s">
        <v>2373</v>
      </c>
      <c r="J215" s="2" t="s">
        <v>2373</v>
      </c>
      <c r="K215" s="2" t="s">
        <v>2303</v>
      </c>
    </row>
    <row r="216" spans="1:11" x14ac:dyDescent="0.25">
      <c r="A216" s="117">
        <v>540284</v>
      </c>
      <c r="B216" s="2" t="s">
        <v>323</v>
      </c>
      <c r="C216" s="2" t="s">
        <v>69</v>
      </c>
      <c r="D216" s="2" t="s">
        <v>115</v>
      </c>
      <c r="E216" s="2" t="s">
        <v>2271</v>
      </c>
      <c r="F216" s="2" t="s">
        <v>3296</v>
      </c>
      <c r="G216" s="2" t="s">
        <v>2460</v>
      </c>
      <c r="H216" s="2" t="s">
        <v>3735</v>
      </c>
      <c r="I216" s="2" t="s">
        <v>2387</v>
      </c>
      <c r="J216" s="2" t="s">
        <v>2303</v>
      </c>
      <c r="K216" s="2" t="s">
        <v>2387</v>
      </c>
    </row>
    <row r="217" spans="1:11" x14ac:dyDescent="0.25">
      <c r="A217" s="269"/>
      <c r="B217" s="269"/>
      <c r="C217" s="269" t="s">
        <v>69</v>
      </c>
      <c r="D217" s="269"/>
      <c r="E217" s="269"/>
      <c r="F217" s="269" t="s">
        <v>3736</v>
      </c>
      <c r="G217" s="269" t="s">
        <v>3737</v>
      </c>
      <c r="H217" s="269" t="s">
        <v>3738</v>
      </c>
      <c r="I217" s="269" t="s">
        <v>3739</v>
      </c>
      <c r="J217" s="269" t="s">
        <v>3740</v>
      </c>
      <c r="K217" s="269" t="s">
        <v>3741</v>
      </c>
    </row>
    <row r="218" spans="1:11" x14ac:dyDescent="0.25">
      <c r="A218" s="117">
        <v>540164</v>
      </c>
      <c r="B218" s="2" t="s">
        <v>70</v>
      </c>
      <c r="C218" s="2" t="s">
        <v>71</v>
      </c>
      <c r="D218" s="2" t="s">
        <v>5</v>
      </c>
      <c r="E218" s="2" t="s">
        <v>2248</v>
      </c>
      <c r="F218" s="2" t="s">
        <v>3742</v>
      </c>
      <c r="G218" s="2" t="s">
        <v>3743</v>
      </c>
      <c r="H218" s="2" t="s">
        <v>3744</v>
      </c>
      <c r="I218" s="2" t="s">
        <v>3745</v>
      </c>
      <c r="J218" s="2" t="s">
        <v>3746</v>
      </c>
      <c r="K218" s="2" t="s">
        <v>3747</v>
      </c>
    </row>
    <row r="219" spans="1:11" x14ac:dyDescent="0.25">
      <c r="A219" s="117">
        <v>540081</v>
      </c>
      <c r="B219" s="2" t="s">
        <v>176</v>
      </c>
      <c r="C219" s="2" t="s">
        <v>71</v>
      </c>
      <c r="D219" s="2" t="s">
        <v>115</v>
      </c>
      <c r="E219" s="2" t="s">
        <v>2248</v>
      </c>
      <c r="F219" s="2" t="s">
        <v>2785</v>
      </c>
      <c r="G219" s="2" t="s">
        <v>2470</v>
      </c>
      <c r="H219" s="2" t="s">
        <v>3748</v>
      </c>
      <c r="I219" s="2" t="s">
        <v>2710</v>
      </c>
      <c r="J219" s="2" t="s">
        <v>2550</v>
      </c>
      <c r="K219" s="2" t="s">
        <v>2432</v>
      </c>
    </row>
    <row r="220" spans="1:11" x14ac:dyDescent="0.25">
      <c r="A220" s="117">
        <v>540165</v>
      </c>
      <c r="B220" s="2" t="s">
        <v>238</v>
      </c>
      <c r="C220" s="2" t="s">
        <v>71</v>
      </c>
      <c r="D220" s="2" t="s">
        <v>115</v>
      </c>
      <c r="E220" s="2" t="s">
        <v>2248</v>
      </c>
      <c r="F220" s="2" t="s">
        <v>2927</v>
      </c>
      <c r="G220" s="2" t="s">
        <v>2649</v>
      </c>
      <c r="H220" s="2" t="s">
        <v>2385</v>
      </c>
      <c r="I220" s="2" t="s">
        <v>2499</v>
      </c>
      <c r="J220" s="2" t="s">
        <v>2710</v>
      </c>
      <c r="K220" s="2" t="s">
        <v>2326</v>
      </c>
    </row>
    <row r="221" spans="1:11" x14ac:dyDescent="0.25">
      <c r="A221" s="117">
        <v>540166</v>
      </c>
      <c r="B221" s="2" t="s">
        <v>239</v>
      </c>
      <c r="C221" s="2" t="s">
        <v>71</v>
      </c>
      <c r="D221" s="2" t="s">
        <v>115</v>
      </c>
      <c r="E221" s="2" t="s">
        <v>2248</v>
      </c>
      <c r="F221" s="2" t="s">
        <v>3749</v>
      </c>
      <c r="G221" s="2" t="s">
        <v>3750</v>
      </c>
      <c r="H221" s="2" t="s">
        <v>3751</v>
      </c>
      <c r="I221" s="2" t="s">
        <v>3752</v>
      </c>
      <c r="J221" s="2" t="s">
        <v>3353</v>
      </c>
      <c r="K221" s="2" t="s">
        <v>2497</v>
      </c>
    </row>
    <row r="222" spans="1:11" x14ac:dyDescent="0.25">
      <c r="A222" s="117">
        <v>540167</v>
      </c>
      <c r="B222" s="2" t="s">
        <v>240</v>
      </c>
      <c r="C222" s="2" t="s">
        <v>71</v>
      </c>
      <c r="D222" s="2" t="s">
        <v>115</v>
      </c>
      <c r="E222" s="2" t="s">
        <v>2248</v>
      </c>
      <c r="F222" s="2" t="s">
        <v>3753</v>
      </c>
      <c r="G222" s="2" t="s">
        <v>3754</v>
      </c>
      <c r="H222" s="2" t="s">
        <v>3755</v>
      </c>
      <c r="I222" s="2" t="s">
        <v>2358</v>
      </c>
      <c r="J222" s="2" t="s">
        <v>2472</v>
      </c>
      <c r="K222" s="2" t="s">
        <v>2472</v>
      </c>
    </row>
    <row r="223" spans="1:11" x14ac:dyDescent="0.25">
      <c r="A223" s="117">
        <v>540168</v>
      </c>
      <c r="B223" s="2" t="s">
        <v>241</v>
      </c>
      <c r="C223" s="2" t="s">
        <v>71</v>
      </c>
      <c r="D223" s="2" t="s">
        <v>115</v>
      </c>
      <c r="E223" s="2" t="s">
        <v>2248</v>
      </c>
      <c r="F223" s="2" t="s">
        <v>3155</v>
      </c>
      <c r="G223" s="2" t="s">
        <v>2779</v>
      </c>
      <c r="H223" s="2" t="s">
        <v>2859</v>
      </c>
      <c r="I223" s="2" t="s">
        <v>2826</v>
      </c>
      <c r="J223" s="2" t="s">
        <v>2446</v>
      </c>
      <c r="K223" s="2" t="s">
        <v>2553</v>
      </c>
    </row>
    <row r="224" spans="1:11" x14ac:dyDescent="0.25">
      <c r="A224" s="117">
        <v>540222</v>
      </c>
      <c r="B224" s="2" t="s">
        <v>276</v>
      </c>
      <c r="C224" s="2" t="s">
        <v>71</v>
      </c>
      <c r="D224" s="2" t="s">
        <v>115</v>
      </c>
      <c r="E224" s="2" t="s">
        <v>2248</v>
      </c>
      <c r="F224" s="2" t="s">
        <v>3756</v>
      </c>
      <c r="G224" s="2" t="s">
        <v>3757</v>
      </c>
      <c r="H224" s="2" t="s">
        <v>3758</v>
      </c>
      <c r="I224" s="2" t="s">
        <v>3759</v>
      </c>
      <c r="J224" s="2" t="s">
        <v>2532</v>
      </c>
      <c r="K224" s="2" t="s">
        <v>2859</v>
      </c>
    </row>
    <row r="225" spans="1:11" x14ac:dyDescent="0.25">
      <c r="A225" s="117">
        <v>540271</v>
      </c>
      <c r="B225" s="2" t="s">
        <v>314</v>
      </c>
      <c r="C225" s="2" t="s">
        <v>71</v>
      </c>
      <c r="D225" s="2" t="s">
        <v>115</v>
      </c>
      <c r="E225" s="2" t="s">
        <v>2248</v>
      </c>
      <c r="F225" s="2" t="s">
        <v>3760</v>
      </c>
      <c r="G225" s="2" t="s">
        <v>3532</v>
      </c>
      <c r="H225" s="2" t="s">
        <v>3761</v>
      </c>
      <c r="I225" s="2" t="s">
        <v>2927</v>
      </c>
      <c r="J225" s="2" t="s">
        <v>2813</v>
      </c>
      <c r="K225" s="2" t="s">
        <v>2416</v>
      </c>
    </row>
    <row r="226" spans="1:11" x14ac:dyDescent="0.25">
      <c r="A226" s="269"/>
      <c r="B226" s="269"/>
      <c r="C226" s="269" t="s">
        <v>71</v>
      </c>
      <c r="D226" s="269"/>
      <c r="E226" s="269"/>
      <c r="F226" s="269" t="s">
        <v>3762</v>
      </c>
      <c r="G226" s="269" t="s">
        <v>3763</v>
      </c>
      <c r="H226" s="269" t="s">
        <v>3764</v>
      </c>
      <c r="I226" s="269" t="s">
        <v>3765</v>
      </c>
      <c r="J226" s="269" t="s">
        <v>3766</v>
      </c>
      <c r="K226" s="269" t="s">
        <v>3767</v>
      </c>
    </row>
    <row r="227" spans="1:11" x14ac:dyDescent="0.25">
      <c r="A227" s="117">
        <v>540169</v>
      </c>
      <c r="B227" s="2" t="s">
        <v>72</v>
      </c>
      <c r="C227" s="2" t="s">
        <v>73</v>
      </c>
      <c r="D227" s="2" t="s">
        <v>5</v>
      </c>
      <c r="E227" s="2" t="s">
        <v>2247</v>
      </c>
      <c r="F227" s="2" t="s">
        <v>3768</v>
      </c>
      <c r="G227" s="2" t="s">
        <v>3769</v>
      </c>
      <c r="H227" s="2" t="s">
        <v>3770</v>
      </c>
      <c r="I227" s="2" t="s">
        <v>3771</v>
      </c>
      <c r="J227" s="2" t="s">
        <v>3772</v>
      </c>
      <c r="K227" s="2" t="s">
        <v>3773</v>
      </c>
    </row>
    <row r="228" spans="1:11" x14ac:dyDescent="0.25">
      <c r="A228" s="117">
        <v>540170</v>
      </c>
      <c r="B228" s="2" t="s">
        <v>242</v>
      </c>
      <c r="C228" s="2" t="s">
        <v>73</v>
      </c>
      <c r="D228" s="2" t="s">
        <v>115</v>
      </c>
      <c r="E228" s="2" t="s">
        <v>2247</v>
      </c>
      <c r="F228" s="2" t="s">
        <v>3774</v>
      </c>
      <c r="G228" s="2" t="s">
        <v>2548</v>
      </c>
      <c r="H228" s="2" t="s">
        <v>3775</v>
      </c>
      <c r="I228" s="2" t="s">
        <v>2611</v>
      </c>
      <c r="J228" s="2" t="s">
        <v>2357</v>
      </c>
      <c r="K228" s="2" t="s">
        <v>2401</v>
      </c>
    </row>
    <row r="229" spans="1:11" x14ac:dyDescent="0.25">
      <c r="A229" s="117">
        <v>540171</v>
      </c>
      <c r="B229" s="2" t="s">
        <v>243</v>
      </c>
      <c r="C229" s="2" t="s">
        <v>73</v>
      </c>
      <c r="D229" s="2" t="s">
        <v>115</v>
      </c>
      <c r="E229" s="2" t="s">
        <v>2247</v>
      </c>
      <c r="F229" s="2" t="s">
        <v>3360</v>
      </c>
      <c r="G229" s="2" t="s">
        <v>3230</v>
      </c>
      <c r="H229" s="2" t="s">
        <v>3748</v>
      </c>
      <c r="I229" s="2" t="s">
        <v>2561</v>
      </c>
      <c r="J229" s="2" t="s">
        <v>2710</v>
      </c>
      <c r="K229" s="2" t="s">
        <v>2387</v>
      </c>
    </row>
    <row r="230" spans="1:11" x14ac:dyDescent="0.25">
      <c r="A230" s="117">
        <v>540173</v>
      </c>
      <c r="B230" s="2" t="s">
        <v>245</v>
      </c>
      <c r="C230" s="2" t="s">
        <v>73</v>
      </c>
      <c r="D230" s="2" t="s">
        <v>115</v>
      </c>
      <c r="E230" s="2" t="s">
        <v>2247</v>
      </c>
      <c r="F230" s="2" t="s">
        <v>3096</v>
      </c>
      <c r="G230" s="2" t="s">
        <v>2687</v>
      </c>
      <c r="H230" s="2" t="s">
        <v>3595</v>
      </c>
      <c r="I230" s="2" t="s">
        <v>2603</v>
      </c>
      <c r="J230" s="2" t="s">
        <v>2521</v>
      </c>
      <c r="K230" s="2" t="s">
        <v>2687</v>
      </c>
    </row>
    <row r="231" spans="1:11" x14ac:dyDescent="0.25">
      <c r="A231" s="117">
        <v>540174</v>
      </c>
      <c r="B231" s="2" t="s">
        <v>246</v>
      </c>
      <c r="C231" s="2" t="s">
        <v>73</v>
      </c>
      <c r="D231" s="2" t="s">
        <v>115</v>
      </c>
      <c r="E231" s="2" t="s">
        <v>2247</v>
      </c>
      <c r="F231" s="2" t="s">
        <v>3776</v>
      </c>
      <c r="G231" s="2" t="s">
        <v>3777</v>
      </c>
      <c r="H231" s="2" t="s">
        <v>2609</v>
      </c>
      <c r="I231" s="2" t="s">
        <v>2471</v>
      </c>
      <c r="J231" s="2" t="s">
        <v>2471</v>
      </c>
      <c r="K231" s="2" t="s">
        <v>2303</v>
      </c>
    </row>
    <row r="232" spans="1:11" x14ac:dyDescent="0.25">
      <c r="A232" s="117">
        <v>540286</v>
      </c>
      <c r="B232" s="2" t="s">
        <v>325</v>
      </c>
      <c r="C232" s="2" t="s">
        <v>73</v>
      </c>
      <c r="D232" s="2" t="s">
        <v>115</v>
      </c>
      <c r="E232" s="2" t="s">
        <v>2247</v>
      </c>
      <c r="F232" s="2" t="s">
        <v>3778</v>
      </c>
      <c r="G232" s="2" t="s">
        <v>3779</v>
      </c>
      <c r="H232" s="2" t="s">
        <v>3068</v>
      </c>
      <c r="I232" s="2" t="s">
        <v>2660</v>
      </c>
      <c r="J232" s="2" t="s">
        <v>2660</v>
      </c>
      <c r="K232" s="2" t="s">
        <v>2303</v>
      </c>
    </row>
    <row r="233" spans="1:11" x14ac:dyDescent="0.25">
      <c r="A233" s="269"/>
      <c r="B233" s="269"/>
      <c r="C233" s="269" t="s">
        <v>73</v>
      </c>
      <c r="D233" s="269"/>
      <c r="E233" s="269"/>
      <c r="F233" s="269" t="s">
        <v>3780</v>
      </c>
      <c r="G233" s="269" t="s">
        <v>3781</v>
      </c>
      <c r="H233" s="269" t="s">
        <v>3782</v>
      </c>
      <c r="I233" s="269" t="s">
        <v>3783</v>
      </c>
      <c r="J233" s="269" t="s">
        <v>3784</v>
      </c>
      <c r="K233" s="269" t="s">
        <v>3785</v>
      </c>
    </row>
    <row r="234" spans="1:11" x14ac:dyDescent="0.25">
      <c r="A234" s="117">
        <v>540183</v>
      </c>
      <c r="B234" s="2" t="s">
        <v>76</v>
      </c>
      <c r="C234" s="2" t="s">
        <v>77</v>
      </c>
      <c r="D234" s="2" t="s">
        <v>5</v>
      </c>
      <c r="E234" s="2" t="s">
        <v>2254</v>
      </c>
      <c r="F234" s="2" t="s">
        <v>3786</v>
      </c>
      <c r="G234" s="2" t="s">
        <v>3787</v>
      </c>
      <c r="H234" s="2" t="s">
        <v>3788</v>
      </c>
      <c r="I234" s="2" t="s">
        <v>3789</v>
      </c>
      <c r="J234" s="2" t="s">
        <v>3790</v>
      </c>
      <c r="K234" s="2" t="s">
        <v>3791</v>
      </c>
    </row>
    <row r="235" spans="1:11" x14ac:dyDescent="0.25">
      <c r="A235" s="117">
        <v>540184</v>
      </c>
      <c r="B235" s="2" t="s">
        <v>253</v>
      </c>
      <c r="C235" s="2" t="s">
        <v>77</v>
      </c>
      <c r="D235" s="2" t="s">
        <v>115</v>
      </c>
      <c r="E235" s="2" t="s">
        <v>2254</v>
      </c>
      <c r="F235" s="2" t="s">
        <v>3792</v>
      </c>
      <c r="G235" s="2" t="s">
        <v>2324</v>
      </c>
      <c r="H235" s="2" t="s">
        <v>2553</v>
      </c>
      <c r="I235" s="2" t="s">
        <v>2603</v>
      </c>
      <c r="J235" s="2" t="s">
        <v>2446</v>
      </c>
      <c r="K235" s="2" t="s">
        <v>2415</v>
      </c>
    </row>
    <row r="236" spans="1:11" x14ac:dyDescent="0.25">
      <c r="A236" s="117">
        <v>540185</v>
      </c>
      <c r="B236" s="2" t="s">
        <v>254</v>
      </c>
      <c r="C236" s="2" t="s">
        <v>77</v>
      </c>
      <c r="D236" s="2" t="s">
        <v>115</v>
      </c>
      <c r="E236" s="2" t="s">
        <v>2254</v>
      </c>
      <c r="F236" s="2" t="s">
        <v>3793</v>
      </c>
      <c r="G236" s="2" t="s">
        <v>3794</v>
      </c>
      <c r="H236" s="2" t="s">
        <v>3795</v>
      </c>
      <c r="I236" s="2" t="s">
        <v>2651</v>
      </c>
      <c r="J236" s="2" t="s">
        <v>2324</v>
      </c>
      <c r="K236" s="2" t="s">
        <v>2471</v>
      </c>
    </row>
    <row r="237" spans="1:11" x14ac:dyDescent="0.25">
      <c r="A237" s="269"/>
      <c r="B237" s="269"/>
      <c r="C237" s="269" t="s">
        <v>77</v>
      </c>
      <c r="D237" s="269"/>
      <c r="E237" s="269"/>
      <c r="F237" s="269" t="s">
        <v>3796</v>
      </c>
      <c r="G237" s="269" t="s">
        <v>3797</v>
      </c>
      <c r="H237" s="269" t="s">
        <v>3798</v>
      </c>
      <c r="I237" s="269" t="s">
        <v>3799</v>
      </c>
      <c r="J237" s="269" t="s">
        <v>3800</v>
      </c>
      <c r="K237" s="269" t="s">
        <v>3801</v>
      </c>
    </row>
    <row r="238" spans="1:11" x14ac:dyDescent="0.25">
      <c r="A238" s="117">
        <v>540186</v>
      </c>
      <c r="B238" s="2" t="s">
        <v>78</v>
      </c>
      <c r="C238" s="2" t="s">
        <v>79</v>
      </c>
      <c r="D238" s="2" t="s">
        <v>5</v>
      </c>
      <c r="E238" s="2" t="s">
        <v>2247</v>
      </c>
      <c r="F238" s="2" t="s">
        <v>3802</v>
      </c>
      <c r="G238" s="2" t="s">
        <v>3803</v>
      </c>
      <c r="H238" s="2" t="s">
        <v>3804</v>
      </c>
      <c r="I238" s="2" t="s">
        <v>3805</v>
      </c>
      <c r="J238" s="2" t="s">
        <v>3324</v>
      </c>
      <c r="K238" s="2" t="s">
        <v>3806</v>
      </c>
    </row>
    <row r="239" spans="1:11" x14ac:dyDescent="0.25">
      <c r="A239" s="117">
        <v>540187</v>
      </c>
      <c r="B239" s="2" t="s">
        <v>255</v>
      </c>
      <c r="C239" s="2" t="s">
        <v>79</v>
      </c>
      <c r="D239" s="2" t="s">
        <v>115</v>
      </c>
      <c r="E239" s="2" t="s">
        <v>2247</v>
      </c>
      <c r="F239" s="2" t="s">
        <v>3807</v>
      </c>
      <c r="G239" s="2" t="s">
        <v>3808</v>
      </c>
      <c r="H239" s="2" t="s">
        <v>3809</v>
      </c>
      <c r="I239" s="2" t="s">
        <v>2357</v>
      </c>
      <c r="J239" s="2" t="s">
        <v>2687</v>
      </c>
      <c r="K239" s="2" t="s">
        <v>2494</v>
      </c>
    </row>
    <row r="240" spans="1:11" x14ac:dyDescent="0.25">
      <c r="A240" s="269"/>
      <c r="B240" s="269"/>
      <c r="C240" s="269" t="s">
        <v>79</v>
      </c>
      <c r="D240" s="269"/>
      <c r="E240" s="269"/>
      <c r="F240" s="269" t="s">
        <v>3810</v>
      </c>
      <c r="G240" s="269" t="s">
        <v>3811</v>
      </c>
      <c r="H240" s="269" t="s">
        <v>3812</v>
      </c>
      <c r="I240" s="269" t="s">
        <v>3813</v>
      </c>
      <c r="J240" s="269" t="s">
        <v>3309</v>
      </c>
      <c r="K240" s="269" t="s">
        <v>3814</v>
      </c>
    </row>
    <row r="241" spans="1:11" x14ac:dyDescent="0.25">
      <c r="A241" s="117">
        <v>540188</v>
      </c>
      <c r="B241" s="2" t="s">
        <v>80</v>
      </c>
      <c r="C241" s="2" t="s">
        <v>81</v>
      </c>
      <c r="D241" s="2" t="s">
        <v>5</v>
      </c>
      <c r="E241" s="2" t="s">
        <v>2271</v>
      </c>
      <c r="F241" s="2" t="s">
        <v>3815</v>
      </c>
      <c r="G241" s="2" t="s">
        <v>3816</v>
      </c>
      <c r="H241" s="2" t="s">
        <v>3817</v>
      </c>
      <c r="I241" s="2" t="s">
        <v>3818</v>
      </c>
      <c r="J241" s="2" t="s">
        <v>3444</v>
      </c>
      <c r="K241" s="2" t="s">
        <v>3819</v>
      </c>
    </row>
    <row r="242" spans="1:11" x14ac:dyDescent="0.25">
      <c r="A242" s="117">
        <v>540189</v>
      </c>
      <c r="B242" s="2" t="s">
        <v>256</v>
      </c>
      <c r="C242" s="2" t="s">
        <v>81</v>
      </c>
      <c r="D242" s="2" t="s">
        <v>115</v>
      </c>
      <c r="E242" s="2" t="s">
        <v>2271</v>
      </c>
      <c r="F242" s="2" t="s">
        <v>3095</v>
      </c>
      <c r="G242" s="2" t="s">
        <v>2497</v>
      </c>
      <c r="H242" s="2" t="s">
        <v>2813</v>
      </c>
      <c r="I242" s="2" t="s">
        <v>2416</v>
      </c>
      <c r="J242" s="2" t="s">
        <v>2490</v>
      </c>
      <c r="K242" s="2" t="s">
        <v>2498</v>
      </c>
    </row>
    <row r="243" spans="1:11" x14ac:dyDescent="0.25">
      <c r="A243" s="117">
        <v>540190</v>
      </c>
      <c r="B243" s="2" t="s">
        <v>257</v>
      </c>
      <c r="C243" s="2" t="s">
        <v>81</v>
      </c>
      <c r="D243" s="2" t="s">
        <v>115</v>
      </c>
      <c r="E243" s="2" t="s">
        <v>2271</v>
      </c>
      <c r="F243" s="2" t="s">
        <v>3820</v>
      </c>
      <c r="G243" s="2" t="s">
        <v>3821</v>
      </c>
      <c r="H243" s="2" t="s">
        <v>3822</v>
      </c>
      <c r="I243" s="2" t="s">
        <v>3258</v>
      </c>
      <c r="J243" s="2" t="s">
        <v>2614</v>
      </c>
      <c r="K243" s="2" t="s">
        <v>2766</v>
      </c>
    </row>
    <row r="244" spans="1:11" x14ac:dyDescent="0.25">
      <c r="A244" s="269"/>
      <c r="B244" s="269"/>
      <c r="C244" s="269" t="s">
        <v>81</v>
      </c>
      <c r="D244" s="269"/>
      <c r="E244" s="269"/>
      <c r="F244" s="269" t="s">
        <v>3823</v>
      </c>
      <c r="G244" s="269" t="s">
        <v>3824</v>
      </c>
      <c r="H244" s="269" t="s">
        <v>3825</v>
      </c>
      <c r="I244" s="269" t="s">
        <v>3826</v>
      </c>
      <c r="J244" s="269" t="s">
        <v>3615</v>
      </c>
      <c r="K244" s="269" t="s">
        <v>3827</v>
      </c>
    </row>
    <row r="245" spans="1:11" x14ac:dyDescent="0.25">
      <c r="A245" s="117">
        <v>540198</v>
      </c>
      <c r="B245" s="2" t="s">
        <v>82</v>
      </c>
      <c r="C245" s="2" t="s">
        <v>83</v>
      </c>
      <c r="D245" s="2" t="s">
        <v>5</v>
      </c>
      <c r="E245" s="2" t="s">
        <v>2250</v>
      </c>
      <c r="F245" s="2" t="s">
        <v>3828</v>
      </c>
      <c r="G245" s="2" t="s">
        <v>3829</v>
      </c>
      <c r="H245" s="2" t="s">
        <v>3830</v>
      </c>
      <c r="I245" s="2" t="s">
        <v>3831</v>
      </c>
      <c r="J245" s="2" t="s">
        <v>3832</v>
      </c>
      <c r="K245" s="2" t="s">
        <v>3833</v>
      </c>
    </row>
    <row r="246" spans="1:11" x14ac:dyDescent="0.25">
      <c r="A246" s="117">
        <v>540199</v>
      </c>
      <c r="B246" s="2" t="s">
        <v>261</v>
      </c>
      <c r="C246" s="2" t="s">
        <v>83</v>
      </c>
      <c r="D246" s="2" t="s">
        <v>115</v>
      </c>
      <c r="E246" s="2" t="s">
        <v>2250</v>
      </c>
      <c r="F246" s="2" t="s">
        <v>3834</v>
      </c>
      <c r="G246" s="2" t="s">
        <v>3835</v>
      </c>
      <c r="H246" s="2" t="s">
        <v>2628</v>
      </c>
      <c r="I246" s="2" t="s">
        <v>3836</v>
      </c>
      <c r="J246" s="2" t="s">
        <v>3837</v>
      </c>
      <c r="K246" s="2" t="s">
        <v>2649</v>
      </c>
    </row>
    <row r="247" spans="1:11" x14ac:dyDescent="0.25">
      <c r="A247" s="269"/>
      <c r="B247" s="269"/>
      <c r="C247" s="269" t="s">
        <v>83</v>
      </c>
      <c r="D247" s="269"/>
      <c r="E247" s="269"/>
      <c r="F247" s="269" t="s">
        <v>3838</v>
      </c>
      <c r="G247" s="269" t="s">
        <v>3839</v>
      </c>
      <c r="H247" s="269" t="s">
        <v>3840</v>
      </c>
      <c r="I247" s="269" t="s">
        <v>3841</v>
      </c>
      <c r="J247" s="269" t="s">
        <v>3842</v>
      </c>
      <c r="K247" s="269" t="s">
        <v>3843</v>
      </c>
    </row>
    <row r="248" spans="1:11" x14ac:dyDescent="0.25">
      <c r="A248" s="117">
        <v>540200</v>
      </c>
      <c r="B248" s="2" t="s">
        <v>84</v>
      </c>
      <c r="C248" s="2" t="s">
        <v>85</v>
      </c>
      <c r="D248" s="2" t="s">
        <v>5</v>
      </c>
      <c r="E248" s="2" t="s">
        <v>2251</v>
      </c>
      <c r="F248" s="2" t="s">
        <v>3844</v>
      </c>
      <c r="G248" s="2" t="s">
        <v>3845</v>
      </c>
      <c r="H248" s="2" t="s">
        <v>3846</v>
      </c>
      <c r="I248" s="2" t="s">
        <v>3847</v>
      </c>
      <c r="J248" s="2" t="s">
        <v>3848</v>
      </c>
      <c r="K248" s="2" t="s">
        <v>3849</v>
      </c>
    </row>
    <row r="249" spans="1:11" x14ac:dyDescent="0.25">
      <c r="A249" s="117">
        <v>540018</v>
      </c>
      <c r="B249" s="2" t="s">
        <v>127</v>
      </c>
      <c r="C249" s="2" t="s">
        <v>85</v>
      </c>
      <c r="D249" s="2" t="s">
        <v>115</v>
      </c>
      <c r="E249" s="2" t="s">
        <v>2251</v>
      </c>
      <c r="F249" s="2" t="s">
        <v>3318</v>
      </c>
      <c r="G249" s="2" t="s">
        <v>3850</v>
      </c>
      <c r="H249" s="2" t="s">
        <v>2323</v>
      </c>
      <c r="I249" s="2" t="s">
        <v>2324</v>
      </c>
      <c r="J249" s="2" t="s">
        <v>2649</v>
      </c>
      <c r="K249" s="2" t="s">
        <v>2373</v>
      </c>
    </row>
    <row r="250" spans="1:11" x14ac:dyDescent="0.25">
      <c r="A250" s="117">
        <v>540202</v>
      </c>
      <c r="B250" s="2" t="s">
        <v>262</v>
      </c>
      <c r="C250" s="2" t="s">
        <v>85</v>
      </c>
      <c r="D250" s="2" t="s">
        <v>115</v>
      </c>
      <c r="E250" s="2" t="s">
        <v>2251</v>
      </c>
      <c r="F250" s="2" t="s">
        <v>3851</v>
      </c>
      <c r="G250" s="2" t="s">
        <v>3426</v>
      </c>
      <c r="H250" s="2" t="s">
        <v>3852</v>
      </c>
      <c r="I250" s="2" t="s">
        <v>3033</v>
      </c>
      <c r="J250" s="2" t="s">
        <v>2357</v>
      </c>
      <c r="K250" s="2" t="s">
        <v>2612</v>
      </c>
    </row>
    <row r="251" spans="1:11" x14ac:dyDescent="0.25">
      <c r="A251" s="117">
        <v>540221</v>
      </c>
      <c r="B251" s="2" t="s">
        <v>275</v>
      </c>
      <c r="C251" s="2" t="s">
        <v>85</v>
      </c>
      <c r="D251" s="2" t="s">
        <v>115</v>
      </c>
      <c r="E251" s="2" t="s">
        <v>2251</v>
      </c>
      <c r="F251" s="2" t="s">
        <v>3853</v>
      </c>
      <c r="G251" s="2" t="s">
        <v>3854</v>
      </c>
      <c r="H251" s="2" t="s">
        <v>2511</v>
      </c>
      <c r="I251" s="2" t="s">
        <v>2713</v>
      </c>
      <c r="J251" s="2" t="s">
        <v>2351</v>
      </c>
      <c r="K251" s="2" t="s">
        <v>2551</v>
      </c>
    </row>
    <row r="252" spans="1:11" x14ac:dyDescent="0.25">
      <c r="A252" s="117">
        <v>540231</v>
      </c>
      <c r="B252" s="2" t="s">
        <v>281</v>
      </c>
      <c r="C252" s="2" t="s">
        <v>85</v>
      </c>
      <c r="D252" s="2" t="s">
        <v>115</v>
      </c>
      <c r="E252" s="2" t="s">
        <v>2251</v>
      </c>
      <c r="F252" s="2" t="s">
        <v>3855</v>
      </c>
      <c r="G252" s="2" t="s">
        <v>3856</v>
      </c>
      <c r="H252" s="2" t="s">
        <v>3551</v>
      </c>
      <c r="I252" s="2" t="s">
        <v>2531</v>
      </c>
      <c r="J252" s="2" t="s">
        <v>2813</v>
      </c>
      <c r="K252" s="2" t="s">
        <v>2473</v>
      </c>
    </row>
    <row r="253" spans="1:11" x14ac:dyDescent="0.25">
      <c r="A253" s="117">
        <v>540232</v>
      </c>
      <c r="B253" s="2" t="s">
        <v>282</v>
      </c>
      <c r="C253" s="2" t="s">
        <v>85</v>
      </c>
      <c r="D253" s="2" t="s">
        <v>115</v>
      </c>
      <c r="E253" s="2" t="s">
        <v>2251</v>
      </c>
      <c r="F253" s="2" t="s">
        <v>3857</v>
      </c>
      <c r="G253" s="2" t="s">
        <v>3695</v>
      </c>
      <c r="H253" s="2" t="s">
        <v>2797</v>
      </c>
      <c r="I253" s="2" t="s">
        <v>3117</v>
      </c>
      <c r="J253" s="2" t="s">
        <v>2500</v>
      </c>
      <c r="K253" s="2" t="s">
        <v>2460</v>
      </c>
    </row>
    <row r="254" spans="1:11" x14ac:dyDescent="0.25">
      <c r="A254" s="269"/>
      <c r="B254" s="269"/>
      <c r="C254" s="269" t="s">
        <v>85</v>
      </c>
      <c r="D254" s="269"/>
      <c r="E254" s="269"/>
      <c r="F254" s="269" t="s">
        <v>3858</v>
      </c>
      <c r="G254" s="269" t="s">
        <v>3859</v>
      </c>
      <c r="H254" s="269" t="s">
        <v>3860</v>
      </c>
      <c r="I254" s="269" t="s">
        <v>3861</v>
      </c>
      <c r="J254" s="269" t="s">
        <v>2395</v>
      </c>
      <c r="K254" s="269" t="s">
        <v>3862</v>
      </c>
    </row>
    <row r="255" spans="1:11" x14ac:dyDescent="0.25">
      <c r="A255" s="117">
        <v>540203</v>
      </c>
      <c r="B255" s="2" t="s">
        <v>86</v>
      </c>
      <c r="C255" s="2" t="s">
        <v>87</v>
      </c>
      <c r="D255" s="2" t="s">
        <v>5</v>
      </c>
      <c r="E255" s="2" t="s">
        <v>2252</v>
      </c>
      <c r="F255" s="2" t="s">
        <v>3863</v>
      </c>
      <c r="G255" s="2" t="s">
        <v>3864</v>
      </c>
      <c r="H255" s="2" t="s">
        <v>3865</v>
      </c>
      <c r="I255" s="2" t="s">
        <v>3866</v>
      </c>
      <c r="J255" s="2" t="s">
        <v>3867</v>
      </c>
      <c r="K255" s="2" t="s">
        <v>3868</v>
      </c>
    </row>
    <row r="256" spans="1:11" x14ac:dyDescent="0.25">
      <c r="A256" s="117">
        <v>540204</v>
      </c>
      <c r="B256" s="2" t="s">
        <v>263</v>
      </c>
      <c r="C256" s="2" t="s">
        <v>87</v>
      </c>
      <c r="D256" s="2" t="s">
        <v>115</v>
      </c>
      <c r="E256" s="2" t="s">
        <v>2252</v>
      </c>
      <c r="F256" s="2" t="s">
        <v>3869</v>
      </c>
      <c r="G256" s="2" t="s">
        <v>3407</v>
      </c>
      <c r="H256" s="2" t="s">
        <v>2532</v>
      </c>
      <c r="I256" s="2" t="s">
        <v>2631</v>
      </c>
      <c r="J256" s="2" t="s">
        <v>2493</v>
      </c>
      <c r="K256" s="2" t="s">
        <v>2326</v>
      </c>
    </row>
    <row r="257" spans="1:11" x14ac:dyDescent="0.25">
      <c r="A257" s="117">
        <v>540205</v>
      </c>
      <c r="B257" s="2" t="s">
        <v>264</v>
      </c>
      <c r="C257" s="2" t="s">
        <v>87</v>
      </c>
      <c r="D257" s="2" t="s">
        <v>115</v>
      </c>
      <c r="E257" s="2" t="s">
        <v>2252</v>
      </c>
      <c r="F257" s="2" t="s">
        <v>3064</v>
      </c>
      <c r="G257" s="2" t="s">
        <v>2602</v>
      </c>
      <c r="H257" s="2" t="s">
        <v>3748</v>
      </c>
      <c r="I257" s="2" t="s">
        <v>2387</v>
      </c>
      <c r="J257" s="2" t="s">
        <v>2471</v>
      </c>
      <c r="K257" s="2" t="s">
        <v>2945</v>
      </c>
    </row>
    <row r="258" spans="1:11" x14ac:dyDescent="0.25">
      <c r="A258" s="117">
        <v>540206</v>
      </c>
      <c r="B258" s="2" t="s">
        <v>265</v>
      </c>
      <c r="C258" s="2" t="s">
        <v>87</v>
      </c>
      <c r="D258" s="2" t="s">
        <v>115</v>
      </c>
      <c r="E258" s="2" t="s">
        <v>2252</v>
      </c>
      <c r="F258" s="2" t="s">
        <v>2653</v>
      </c>
      <c r="G258" s="2" t="s">
        <v>2884</v>
      </c>
      <c r="H258" s="2" t="s">
        <v>3038</v>
      </c>
      <c r="I258" s="2" t="s">
        <v>2533</v>
      </c>
      <c r="J258" s="2" t="s">
        <v>2521</v>
      </c>
      <c r="K258" s="2" t="s">
        <v>2521</v>
      </c>
    </row>
    <row r="259" spans="1:11" x14ac:dyDescent="0.25">
      <c r="A259" s="269"/>
      <c r="B259" s="269"/>
      <c r="C259" s="269" t="s">
        <v>87</v>
      </c>
      <c r="D259" s="269"/>
      <c r="E259" s="269"/>
      <c r="F259" s="269" t="s">
        <v>3870</v>
      </c>
      <c r="G259" s="269" t="s">
        <v>3871</v>
      </c>
      <c r="H259" s="269" t="s">
        <v>3872</v>
      </c>
      <c r="I259" s="269" t="s">
        <v>3862</v>
      </c>
      <c r="J259" s="269" t="s">
        <v>3873</v>
      </c>
      <c r="K259" s="269" t="s">
        <v>2822</v>
      </c>
    </row>
    <row r="260" spans="1:11" x14ac:dyDescent="0.25">
      <c r="A260" s="117">
        <v>540207</v>
      </c>
      <c r="B260" s="2" t="s">
        <v>88</v>
      </c>
      <c r="C260" s="2" t="s">
        <v>89</v>
      </c>
      <c r="D260" s="2" t="s">
        <v>5</v>
      </c>
      <c r="E260" s="2" t="s">
        <v>2253</v>
      </c>
      <c r="F260" s="2" t="s">
        <v>3874</v>
      </c>
      <c r="G260" s="2" t="s">
        <v>3875</v>
      </c>
      <c r="H260" s="2" t="s">
        <v>3876</v>
      </c>
      <c r="I260" s="2" t="s">
        <v>3877</v>
      </c>
      <c r="J260" s="2" t="s">
        <v>3878</v>
      </c>
      <c r="K260" s="2" t="s">
        <v>3879</v>
      </c>
    </row>
    <row r="261" spans="1:11" x14ac:dyDescent="0.25">
      <c r="A261" s="117">
        <v>540196</v>
      </c>
      <c r="B261" s="2" t="s">
        <v>259</v>
      </c>
      <c r="C261" s="2" t="s">
        <v>89</v>
      </c>
      <c r="D261" s="2" t="s">
        <v>115</v>
      </c>
      <c r="E261" s="2" t="s">
        <v>2254</v>
      </c>
      <c r="F261" s="2" t="s">
        <v>2689</v>
      </c>
      <c r="G261" s="2" t="s">
        <v>3880</v>
      </c>
      <c r="H261" s="2" t="s">
        <v>2492</v>
      </c>
      <c r="I261" s="2" t="s">
        <v>2300</v>
      </c>
      <c r="J261" s="2" t="s">
        <v>2562</v>
      </c>
      <c r="K261" s="2" t="s">
        <v>2484</v>
      </c>
    </row>
    <row r="262" spans="1:11" x14ac:dyDescent="0.25">
      <c r="A262" s="117">
        <v>540208</v>
      </c>
      <c r="B262" s="2" t="s">
        <v>266</v>
      </c>
      <c r="C262" s="2" t="s">
        <v>89</v>
      </c>
      <c r="D262" s="2" t="s">
        <v>115</v>
      </c>
      <c r="E262" s="2" t="s">
        <v>2253</v>
      </c>
      <c r="F262" s="2" t="s">
        <v>3881</v>
      </c>
      <c r="G262" s="2" t="s">
        <v>3882</v>
      </c>
      <c r="H262" s="2" t="s">
        <v>3883</v>
      </c>
      <c r="I262" s="2" t="s">
        <v>2873</v>
      </c>
      <c r="J262" s="2" t="s">
        <v>3499</v>
      </c>
      <c r="K262" s="2" t="s">
        <v>3168</v>
      </c>
    </row>
    <row r="263" spans="1:11" x14ac:dyDescent="0.25">
      <c r="A263" s="117">
        <v>540210</v>
      </c>
      <c r="B263" s="2" t="s">
        <v>267</v>
      </c>
      <c r="C263" s="2" t="s">
        <v>89</v>
      </c>
      <c r="D263" s="2" t="s">
        <v>115</v>
      </c>
      <c r="E263" s="2" t="s">
        <v>2253</v>
      </c>
      <c r="F263" s="2" t="s">
        <v>3884</v>
      </c>
      <c r="G263" s="2" t="s">
        <v>2349</v>
      </c>
      <c r="H263" s="2" t="s">
        <v>2487</v>
      </c>
      <c r="I263" s="2" t="s">
        <v>2766</v>
      </c>
      <c r="J263" s="2" t="s">
        <v>2350</v>
      </c>
      <c r="K263" s="2" t="s">
        <v>2300</v>
      </c>
    </row>
    <row r="264" spans="1:11" x14ac:dyDescent="0.25">
      <c r="A264" s="117">
        <v>540256</v>
      </c>
      <c r="B264" s="2" t="s">
        <v>301</v>
      </c>
      <c r="C264" s="2" t="s">
        <v>89</v>
      </c>
      <c r="D264" s="2" t="s">
        <v>115</v>
      </c>
      <c r="E264" s="2" t="s">
        <v>2253</v>
      </c>
      <c r="F264" s="2" t="s">
        <v>3358</v>
      </c>
      <c r="G264" s="2" t="s">
        <v>2325</v>
      </c>
      <c r="H264" s="2" t="s">
        <v>3550</v>
      </c>
      <c r="I264" s="2" t="s">
        <v>2844</v>
      </c>
      <c r="J264" s="2" t="s">
        <v>2888</v>
      </c>
      <c r="K264" s="2" t="s">
        <v>2710</v>
      </c>
    </row>
    <row r="265" spans="1:11" x14ac:dyDescent="0.25">
      <c r="A265" s="117">
        <v>540258</v>
      </c>
      <c r="B265" s="2" t="s">
        <v>303</v>
      </c>
      <c r="C265" s="2" t="s">
        <v>89</v>
      </c>
      <c r="D265" s="2" t="s">
        <v>115</v>
      </c>
      <c r="E265" s="2" t="s">
        <v>2253</v>
      </c>
      <c r="F265" s="2" t="s">
        <v>2353</v>
      </c>
      <c r="G265" s="2" t="s">
        <v>2309</v>
      </c>
      <c r="H265" s="2" t="s">
        <v>2606</v>
      </c>
      <c r="I265" s="2" t="s">
        <v>2446</v>
      </c>
      <c r="J265" s="2" t="s">
        <v>2551</v>
      </c>
      <c r="K265" s="2" t="s">
        <v>2550</v>
      </c>
    </row>
    <row r="266" spans="1:11" x14ac:dyDescent="0.25">
      <c r="A266" s="269"/>
      <c r="B266" s="269"/>
      <c r="C266" s="269" t="s">
        <v>89</v>
      </c>
      <c r="D266" s="269"/>
      <c r="E266" s="269"/>
      <c r="F266" s="269" t="s">
        <v>3885</v>
      </c>
      <c r="G266" s="269" t="s">
        <v>3886</v>
      </c>
      <c r="H266" s="269" t="s">
        <v>3887</v>
      </c>
      <c r="I266" s="269" t="s">
        <v>3888</v>
      </c>
      <c r="J266" s="269" t="s">
        <v>3889</v>
      </c>
      <c r="K266" s="269" t="s">
        <v>3890</v>
      </c>
    </row>
    <row r="267" spans="1:11" x14ac:dyDescent="0.25">
      <c r="A267" s="117">
        <v>540211</v>
      </c>
      <c r="B267" s="2" t="s">
        <v>90</v>
      </c>
      <c r="C267" s="2" t="s">
        <v>91</v>
      </c>
      <c r="D267" s="2" t="s">
        <v>5</v>
      </c>
      <c r="E267" s="2" t="s">
        <v>2254</v>
      </c>
      <c r="F267" s="2" t="s">
        <v>3891</v>
      </c>
      <c r="G267" s="2" t="s">
        <v>2806</v>
      </c>
      <c r="H267" s="2" t="s">
        <v>3892</v>
      </c>
      <c r="I267" s="2" t="s">
        <v>3893</v>
      </c>
      <c r="J267" s="2" t="s">
        <v>3894</v>
      </c>
      <c r="K267" s="2" t="s">
        <v>3895</v>
      </c>
    </row>
    <row r="268" spans="1:11" x14ac:dyDescent="0.25">
      <c r="A268" s="117">
        <v>540212</v>
      </c>
      <c r="B268" s="2" t="s">
        <v>268</v>
      </c>
      <c r="C268" s="2" t="s">
        <v>91</v>
      </c>
      <c r="D268" s="2" t="s">
        <v>115</v>
      </c>
      <c r="E268" s="2" t="s">
        <v>2254</v>
      </c>
      <c r="F268" s="2" t="s">
        <v>3896</v>
      </c>
      <c r="G268" s="2" t="s">
        <v>3897</v>
      </c>
      <c r="H268" s="2" t="s">
        <v>3336</v>
      </c>
      <c r="I268" s="2" t="s">
        <v>2528</v>
      </c>
      <c r="J268" s="2" t="s">
        <v>2525</v>
      </c>
      <c r="K268" s="2" t="s">
        <v>2308</v>
      </c>
    </row>
    <row r="269" spans="1:11" x14ac:dyDescent="0.25">
      <c r="A269" s="269"/>
      <c r="B269" s="269"/>
      <c r="C269" s="269" t="s">
        <v>91</v>
      </c>
      <c r="D269" s="269"/>
      <c r="E269" s="269"/>
      <c r="F269" s="269" t="s">
        <v>3898</v>
      </c>
      <c r="G269" s="269" t="s">
        <v>3899</v>
      </c>
      <c r="H269" s="269" t="s">
        <v>3900</v>
      </c>
      <c r="I269" s="269" t="s">
        <v>3901</v>
      </c>
      <c r="J269" s="269" t="s">
        <v>3854</v>
      </c>
      <c r="K269" s="269" t="s">
        <v>3902</v>
      </c>
    </row>
    <row r="270" spans="1:11" x14ac:dyDescent="0.25">
      <c r="A270" s="117">
        <v>540213</v>
      </c>
      <c r="B270" s="2" t="s">
        <v>92</v>
      </c>
      <c r="C270" s="2" t="s">
        <v>93</v>
      </c>
      <c r="D270" s="2" t="s">
        <v>5</v>
      </c>
      <c r="E270" s="2" t="s">
        <v>2254</v>
      </c>
      <c r="F270" s="2" t="s">
        <v>3903</v>
      </c>
      <c r="G270" s="2" t="s">
        <v>3904</v>
      </c>
      <c r="H270" s="2" t="s">
        <v>3905</v>
      </c>
      <c r="I270" s="2" t="s">
        <v>3906</v>
      </c>
      <c r="J270" s="2" t="s">
        <v>3907</v>
      </c>
      <c r="K270" s="2" t="s">
        <v>3908</v>
      </c>
    </row>
    <row r="271" spans="1:11" x14ac:dyDescent="0.25">
      <c r="A271" s="117">
        <v>540042</v>
      </c>
      <c r="B271" s="2" t="s">
        <v>143</v>
      </c>
      <c r="C271" s="2" t="s">
        <v>93</v>
      </c>
      <c r="D271" s="2" t="s">
        <v>115</v>
      </c>
      <c r="E271" s="2" t="s">
        <v>2254</v>
      </c>
      <c r="F271" s="2" t="s">
        <v>2872</v>
      </c>
      <c r="G271" s="2" t="s">
        <v>3909</v>
      </c>
      <c r="H271" s="2" t="s">
        <v>3555</v>
      </c>
      <c r="I271" s="2" t="s">
        <v>2494</v>
      </c>
      <c r="J271" s="2" t="s">
        <v>2373</v>
      </c>
      <c r="K271" s="2" t="s">
        <v>2551</v>
      </c>
    </row>
    <row r="272" spans="1:11" x14ac:dyDescent="0.25">
      <c r="A272" s="117">
        <v>540214</v>
      </c>
      <c r="B272" s="2" t="s">
        <v>269</v>
      </c>
      <c r="C272" s="2" t="s">
        <v>93</v>
      </c>
      <c r="D272" s="2" t="s">
        <v>115</v>
      </c>
      <c r="E272" s="2" t="s">
        <v>2254</v>
      </c>
      <c r="F272" s="2" t="s">
        <v>3910</v>
      </c>
      <c r="G272" s="2" t="s">
        <v>3911</v>
      </c>
      <c r="H272" s="2" t="s">
        <v>3912</v>
      </c>
      <c r="I272" s="2" t="s">
        <v>3913</v>
      </c>
      <c r="J272" s="2" t="s">
        <v>3914</v>
      </c>
      <c r="K272" s="2" t="s">
        <v>3165</v>
      </c>
    </row>
    <row r="273" spans="1:11" x14ac:dyDescent="0.25">
      <c r="A273" s="117">
        <v>540215</v>
      </c>
      <c r="B273" s="2" t="s">
        <v>270</v>
      </c>
      <c r="C273" s="2" t="s">
        <v>93</v>
      </c>
      <c r="D273" s="2" t="s">
        <v>115</v>
      </c>
      <c r="E273" s="2" t="s">
        <v>2254</v>
      </c>
      <c r="F273" s="2" t="s">
        <v>3915</v>
      </c>
      <c r="G273" s="2" t="s">
        <v>3451</v>
      </c>
      <c r="H273" s="2" t="s">
        <v>3287</v>
      </c>
      <c r="I273" s="2" t="s">
        <v>3258</v>
      </c>
      <c r="J273" s="2" t="s">
        <v>3353</v>
      </c>
      <c r="K273" s="2" t="s">
        <v>2492</v>
      </c>
    </row>
    <row r="274" spans="1:11" x14ac:dyDescent="0.25">
      <c r="A274" s="117">
        <v>540216</v>
      </c>
      <c r="B274" s="2" t="s">
        <v>271</v>
      </c>
      <c r="C274" s="2" t="s">
        <v>93</v>
      </c>
      <c r="D274" s="2" t="s">
        <v>115</v>
      </c>
      <c r="E274" s="2" t="s">
        <v>2254</v>
      </c>
      <c r="F274" s="2" t="s">
        <v>3775</v>
      </c>
      <c r="G274" s="2" t="s">
        <v>3916</v>
      </c>
      <c r="H274" s="2" t="s">
        <v>3598</v>
      </c>
      <c r="I274" s="2" t="s">
        <v>2605</v>
      </c>
      <c r="J274" s="2" t="s">
        <v>2843</v>
      </c>
      <c r="K274" s="2" t="s">
        <v>2601</v>
      </c>
    </row>
    <row r="275" spans="1:11" x14ac:dyDescent="0.25">
      <c r="A275" s="269"/>
      <c r="B275" s="269"/>
      <c r="C275" s="269" t="s">
        <v>93</v>
      </c>
      <c r="D275" s="269"/>
      <c r="E275" s="269"/>
      <c r="F275" s="269" t="s">
        <v>3917</v>
      </c>
      <c r="G275" s="269" t="s">
        <v>3918</v>
      </c>
      <c r="H275" s="269" t="s">
        <v>3919</v>
      </c>
      <c r="I275" s="269" t="s">
        <v>3920</v>
      </c>
      <c r="J275" s="269" t="s">
        <v>3921</v>
      </c>
      <c r="K275" s="269" t="s">
        <v>3519</v>
      </c>
    </row>
    <row r="276" spans="1:11" x14ac:dyDescent="0.25">
      <c r="A276" s="117">
        <v>540224</v>
      </c>
      <c r="B276" s="2" t="s">
        <v>96</v>
      </c>
      <c r="C276" s="2" t="s">
        <v>97</v>
      </c>
      <c r="D276" s="2" t="s">
        <v>5</v>
      </c>
      <c r="E276" s="2" t="s">
        <v>2254</v>
      </c>
      <c r="F276" s="2" t="s">
        <v>3922</v>
      </c>
      <c r="G276" s="2" t="s">
        <v>3923</v>
      </c>
      <c r="H276" s="2" t="s">
        <v>3924</v>
      </c>
      <c r="I276" s="2" t="s">
        <v>3925</v>
      </c>
      <c r="J276" s="2" t="s">
        <v>3926</v>
      </c>
      <c r="K276" s="2" t="s">
        <v>3927</v>
      </c>
    </row>
    <row r="277" spans="1:11" x14ac:dyDescent="0.25">
      <c r="A277" s="117">
        <v>540132</v>
      </c>
      <c r="B277" s="2" t="s">
        <v>216</v>
      </c>
      <c r="C277" s="2" t="s">
        <v>97</v>
      </c>
      <c r="D277" s="2" t="s">
        <v>115</v>
      </c>
      <c r="E277" s="2" t="s">
        <v>2254</v>
      </c>
      <c r="F277" s="2" t="s">
        <v>3928</v>
      </c>
      <c r="G277" s="2" t="s">
        <v>3929</v>
      </c>
      <c r="H277" s="2" t="s">
        <v>2596</v>
      </c>
      <c r="I277" s="2" t="s">
        <v>2416</v>
      </c>
      <c r="J277" s="2" t="s">
        <v>2373</v>
      </c>
      <c r="K277" s="2" t="s">
        <v>2386</v>
      </c>
    </row>
    <row r="278" spans="1:11" x14ac:dyDescent="0.25">
      <c r="A278" s="117">
        <v>540179</v>
      </c>
      <c r="B278" s="2" t="s">
        <v>250</v>
      </c>
      <c r="C278" s="2" t="s">
        <v>97</v>
      </c>
      <c r="D278" s="2" t="s">
        <v>115</v>
      </c>
      <c r="E278" s="2" t="s">
        <v>2254</v>
      </c>
      <c r="F278" s="2" t="s">
        <v>3930</v>
      </c>
      <c r="G278" s="2" t="s">
        <v>2488</v>
      </c>
      <c r="H278" s="2" t="s">
        <v>2509</v>
      </c>
      <c r="I278" s="2" t="s">
        <v>2534</v>
      </c>
      <c r="J278" s="2" t="s">
        <v>2710</v>
      </c>
      <c r="K278" s="2" t="s">
        <v>2473</v>
      </c>
    </row>
    <row r="279" spans="1:11" x14ac:dyDescent="0.25">
      <c r="A279" s="117">
        <v>540180</v>
      </c>
      <c r="B279" s="2" t="s">
        <v>251</v>
      </c>
      <c r="C279" s="2" t="s">
        <v>97</v>
      </c>
      <c r="D279" s="2" t="s">
        <v>115</v>
      </c>
      <c r="E279" s="2" t="s">
        <v>2254</v>
      </c>
      <c r="F279" s="2" t="s">
        <v>3931</v>
      </c>
      <c r="G279" s="2" t="s">
        <v>3429</v>
      </c>
      <c r="H279" s="2" t="s">
        <v>2489</v>
      </c>
      <c r="I279" s="2" t="s">
        <v>2827</v>
      </c>
      <c r="J279" s="2" t="s">
        <v>2387</v>
      </c>
      <c r="K279" s="2" t="s">
        <v>2494</v>
      </c>
    </row>
    <row r="280" spans="1:11" x14ac:dyDescent="0.25">
      <c r="A280" s="117">
        <v>540182</v>
      </c>
      <c r="B280" s="2" t="s">
        <v>252</v>
      </c>
      <c r="C280" s="2" t="s">
        <v>97</v>
      </c>
      <c r="D280" s="2" t="s">
        <v>115</v>
      </c>
      <c r="E280" s="2" t="s">
        <v>2254</v>
      </c>
      <c r="F280" s="2" t="s">
        <v>3932</v>
      </c>
      <c r="G280" s="2" t="s">
        <v>3511</v>
      </c>
      <c r="H280" s="2" t="s">
        <v>3842</v>
      </c>
      <c r="I280" s="2" t="s">
        <v>2570</v>
      </c>
      <c r="J280" s="2" t="s">
        <v>2612</v>
      </c>
      <c r="K280" s="2" t="s">
        <v>2945</v>
      </c>
    </row>
    <row r="281" spans="1:11" x14ac:dyDescent="0.25">
      <c r="A281" s="117">
        <v>540262</v>
      </c>
      <c r="B281" s="2" t="s">
        <v>305</v>
      </c>
      <c r="C281" s="2" t="s">
        <v>97</v>
      </c>
      <c r="D281" s="2" t="s">
        <v>115</v>
      </c>
      <c r="E281" s="2" t="s">
        <v>2254</v>
      </c>
      <c r="F281" s="2" t="s">
        <v>3167</v>
      </c>
      <c r="G281" s="2" t="s">
        <v>2888</v>
      </c>
      <c r="H281" s="2" t="s">
        <v>2655</v>
      </c>
      <c r="I281" s="2" t="s">
        <v>2550</v>
      </c>
      <c r="J281" s="2" t="s">
        <v>2484</v>
      </c>
      <c r="K281" s="2" t="s">
        <v>2387</v>
      </c>
    </row>
    <row r="282" spans="1:11" x14ac:dyDescent="0.25">
      <c r="A282" s="117">
        <v>540263</v>
      </c>
      <c r="B282" s="2" t="s">
        <v>306</v>
      </c>
      <c r="C282" s="2" t="s">
        <v>97</v>
      </c>
      <c r="D282" s="2" t="s">
        <v>115</v>
      </c>
      <c r="E282" s="2" t="s">
        <v>2254</v>
      </c>
      <c r="F282" s="2" t="s">
        <v>2656</v>
      </c>
      <c r="G282" s="2" t="s">
        <v>2612</v>
      </c>
      <c r="H282" s="2" t="s">
        <v>2792</v>
      </c>
      <c r="I282" s="2" t="s">
        <v>2443</v>
      </c>
      <c r="J282" s="2" t="s">
        <v>2412</v>
      </c>
      <c r="K282" s="2" t="s">
        <v>2471</v>
      </c>
    </row>
    <row r="283" spans="1:11" x14ac:dyDescent="0.25">
      <c r="A283" s="269"/>
      <c r="B283" s="269"/>
      <c r="C283" s="269" t="s">
        <v>97</v>
      </c>
      <c r="D283" s="269"/>
      <c r="E283" s="269"/>
      <c r="F283" s="269" t="s">
        <v>3933</v>
      </c>
      <c r="G283" s="269" t="s">
        <v>3934</v>
      </c>
      <c r="H283" s="269" t="s">
        <v>3935</v>
      </c>
      <c r="I283" s="269" t="s">
        <v>3936</v>
      </c>
      <c r="J283" s="269" t="s">
        <v>3937</v>
      </c>
      <c r="K283" s="269" t="s">
        <v>3938</v>
      </c>
    </row>
    <row r="284" spans="1:11" x14ac:dyDescent="0.25">
      <c r="A284" s="117">
        <v>540225</v>
      </c>
      <c r="B284" s="2" t="s">
        <v>98</v>
      </c>
      <c r="C284" s="2" t="s">
        <v>99</v>
      </c>
      <c r="D284" s="2" t="s">
        <v>5</v>
      </c>
      <c r="E284" s="2" t="s">
        <v>2254</v>
      </c>
      <c r="F284" s="2" t="s">
        <v>3939</v>
      </c>
      <c r="G284" s="2" t="s">
        <v>3940</v>
      </c>
      <c r="H284" s="2" t="s">
        <v>3941</v>
      </c>
      <c r="I284" s="2" t="s">
        <v>3942</v>
      </c>
      <c r="J284" s="2" t="s">
        <v>3894</v>
      </c>
      <c r="K284" s="2" t="s">
        <v>3943</v>
      </c>
    </row>
    <row r="285" spans="1:11" x14ac:dyDescent="0.25">
      <c r="A285" s="117">
        <v>540156</v>
      </c>
      <c r="B285" s="2" t="s">
        <v>232</v>
      </c>
      <c r="C285" s="2" t="s">
        <v>99</v>
      </c>
      <c r="D285" s="2" t="s">
        <v>115</v>
      </c>
      <c r="E285" s="2" t="s">
        <v>2254</v>
      </c>
      <c r="F285" s="2" t="s">
        <v>3944</v>
      </c>
      <c r="G285" s="2" t="s">
        <v>3945</v>
      </c>
      <c r="H285" s="2" t="s">
        <v>2509</v>
      </c>
      <c r="I285" s="2" t="s">
        <v>3004</v>
      </c>
      <c r="J285" s="2" t="s">
        <v>2844</v>
      </c>
      <c r="K285" s="2" t="s">
        <v>2484</v>
      </c>
    </row>
    <row r="286" spans="1:11" x14ac:dyDescent="0.25">
      <c r="A286" s="117">
        <v>540253</v>
      </c>
      <c r="B286" s="2" t="s">
        <v>299</v>
      </c>
      <c r="C286" s="2" t="s">
        <v>99</v>
      </c>
      <c r="D286" s="2" t="s">
        <v>115</v>
      </c>
      <c r="E286" s="2" t="s">
        <v>2254</v>
      </c>
      <c r="F286" s="2" t="s">
        <v>3696</v>
      </c>
      <c r="G286" s="2" t="s">
        <v>3946</v>
      </c>
      <c r="H286" s="2" t="s">
        <v>2844</v>
      </c>
      <c r="I286" s="2" t="s">
        <v>2601</v>
      </c>
      <c r="J286" s="2" t="s">
        <v>2490</v>
      </c>
      <c r="K286" s="2" t="s">
        <v>2432</v>
      </c>
    </row>
    <row r="287" spans="1:11" x14ac:dyDescent="0.25">
      <c r="A287" s="269"/>
      <c r="B287" s="269"/>
      <c r="C287" s="269" t="s">
        <v>99</v>
      </c>
      <c r="D287" s="269"/>
      <c r="E287" s="269"/>
      <c r="F287" s="269" t="s">
        <v>3947</v>
      </c>
      <c r="G287" s="269" t="s">
        <v>3948</v>
      </c>
      <c r="H287" s="269" t="s">
        <v>3949</v>
      </c>
      <c r="I287" s="269" t="s">
        <v>3950</v>
      </c>
      <c r="J287" s="269" t="s">
        <v>3951</v>
      </c>
      <c r="K287" s="269" t="s">
        <v>3952</v>
      </c>
    </row>
    <row r="288" spans="1:11" x14ac:dyDescent="0.25">
      <c r="A288" s="117">
        <v>540226</v>
      </c>
      <c r="B288" s="2" t="s">
        <v>100</v>
      </c>
      <c r="C288" s="2" t="s">
        <v>101</v>
      </c>
      <c r="D288" s="2" t="s">
        <v>5</v>
      </c>
      <c r="E288" s="2" t="s">
        <v>2272</v>
      </c>
      <c r="F288" s="2" t="s">
        <v>3953</v>
      </c>
      <c r="G288" s="2" t="s">
        <v>3954</v>
      </c>
      <c r="H288" s="2" t="s">
        <v>3955</v>
      </c>
      <c r="I288" s="2" t="s">
        <v>3956</v>
      </c>
      <c r="J288" s="2" t="s">
        <v>3957</v>
      </c>
      <c r="K288" s="2" t="s">
        <v>3958</v>
      </c>
    </row>
    <row r="289" spans="1:11" x14ac:dyDescent="0.25">
      <c r="A289" s="117">
        <v>540046</v>
      </c>
      <c r="B289" s="2" t="s">
        <v>147</v>
      </c>
      <c r="C289" s="2" t="s">
        <v>101</v>
      </c>
      <c r="D289" s="2" t="s">
        <v>115</v>
      </c>
      <c r="E289" s="2" t="s">
        <v>2272</v>
      </c>
      <c r="F289" s="2" t="s">
        <v>3776</v>
      </c>
      <c r="G289" s="2" t="s">
        <v>2327</v>
      </c>
      <c r="H289" s="2" t="s">
        <v>3598</v>
      </c>
      <c r="I289" s="2" t="s">
        <v>2533</v>
      </c>
      <c r="J289" s="2" t="s">
        <v>2430</v>
      </c>
      <c r="K289" s="2" t="s">
        <v>2631</v>
      </c>
    </row>
    <row r="290" spans="1:11" x14ac:dyDescent="0.25">
      <c r="A290" s="117">
        <v>540276</v>
      </c>
      <c r="B290" s="2" t="s">
        <v>319</v>
      </c>
      <c r="C290" s="2" t="s">
        <v>101</v>
      </c>
      <c r="D290" s="2" t="s">
        <v>115</v>
      </c>
      <c r="E290" s="2" t="s">
        <v>2272</v>
      </c>
      <c r="F290" s="2" t="s">
        <v>3959</v>
      </c>
      <c r="G290" s="2" t="s">
        <v>3697</v>
      </c>
      <c r="H290" s="2" t="s">
        <v>3960</v>
      </c>
      <c r="I290" s="2" t="s">
        <v>2550</v>
      </c>
      <c r="J290" s="2" t="s">
        <v>2376</v>
      </c>
      <c r="K290" s="2" t="s">
        <v>2494</v>
      </c>
    </row>
    <row r="291" spans="1:11" x14ac:dyDescent="0.25">
      <c r="A291" s="269"/>
      <c r="B291" s="269"/>
      <c r="C291" s="269" t="s">
        <v>101</v>
      </c>
      <c r="D291" s="269"/>
      <c r="E291" s="269"/>
      <c r="F291" s="269" t="s">
        <v>3961</v>
      </c>
      <c r="G291" s="269" t="s">
        <v>3962</v>
      </c>
      <c r="H291" s="269" t="s">
        <v>3963</v>
      </c>
      <c r="I291" s="269" t="s">
        <v>3964</v>
      </c>
      <c r="J291" s="269" t="s">
        <v>3965</v>
      </c>
      <c r="K291" s="269" t="s">
        <v>3966</v>
      </c>
    </row>
    <row r="292" spans="1:11" x14ac:dyDescent="0.25">
      <c r="A292" s="117">
        <v>540277</v>
      </c>
      <c r="B292" s="2" t="s">
        <v>102</v>
      </c>
      <c r="C292" s="2" t="s">
        <v>103</v>
      </c>
      <c r="D292" s="2" t="s">
        <v>5</v>
      </c>
      <c r="E292" s="2" t="s">
        <v>2254</v>
      </c>
      <c r="F292" s="2" t="s">
        <v>3967</v>
      </c>
      <c r="G292" s="2" t="s">
        <v>3968</v>
      </c>
      <c r="H292" s="2" t="s">
        <v>3969</v>
      </c>
      <c r="I292" s="2" t="s">
        <v>3970</v>
      </c>
      <c r="J292" s="2" t="s">
        <v>3971</v>
      </c>
      <c r="K292" s="2" t="s">
        <v>3972</v>
      </c>
    </row>
    <row r="293" spans="1:11" x14ac:dyDescent="0.25">
      <c r="A293" s="117">
        <v>540195</v>
      </c>
      <c r="B293" s="2" t="s">
        <v>258</v>
      </c>
      <c r="C293" s="2" t="s">
        <v>103</v>
      </c>
      <c r="D293" s="2" t="s">
        <v>115</v>
      </c>
      <c r="E293" s="2" t="s">
        <v>2254</v>
      </c>
      <c r="F293" s="2" t="s">
        <v>3973</v>
      </c>
      <c r="G293" s="2" t="s">
        <v>2413</v>
      </c>
      <c r="H293" s="2" t="s">
        <v>2570</v>
      </c>
      <c r="I293" s="2" t="s">
        <v>2551</v>
      </c>
      <c r="J293" s="2" t="s">
        <v>2376</v>
      </c>
      <c r="K293" s="2" t="s">
        <v>2376</v>
      </c>
    </row>
    <row r="294" spans="1:11" x14ac:dyDescent="0.25">
      <c r="A294" s="117">
        <v>540196</v>
      </c>
      <c r="B294" s="2" t="s">
        <v>259</v>
      </c>
      <c r="C294" s="2" t="s">
        <v>103</v>
      </c>
      <c r="D294" s="2" t="s">
        <v>115</v>
      </c>
      <c r="E294" s="2" t="s">
        <v>2254</v>
      </c>
      <c r="F294" s="2" t="s">
        <v>3974</v>
      </c>
      <c r="G294" s="2" t="s">
        <v>2656</v>
      </c>
      <c r="H294" s="2" t="s">
        <v>2496</v>
      </c>
      <c r="I294" s="2" t="s">
        <v>2329</v>
      </c>
      <c r="J294" s="2" t="s">
        <v>2443</v>
      </c>
      <c r="K294" s="2" t="s">
        <v>2498</v>
      </c>
    </row>
    <row r="295" spans="1:11" x14ac:dyDescent="0.25">
      <c r="A295" s="117">
        <v>540197</v>
      </c>
      <c r="B295" s="2" t="s">
        <v>260</v>
      </c>
      <c r="C295" s="2" t="s">
        <v>103</v>
      </c>
      <c r="D295" s="2" t="s">
        <v>115</v>
      </c>
      <c r="E295" s="2" t="s">
        <v>2254</v>
      </c>
      <c r="F295" s="2" t="s">
        <v>3975</v>
      </c>
      <c r="G295" s="2" t="s">
        <v>3976</v>
      </c>
      <c r="H295" s="2" t="s">
        <v>2525</v>
      </c>
      <c r="I295" s="2" t="s">
        <v>2553</v>
      </c>
      <c r="J295" s="2" t="s">
        <v>2357</v>
      </c>
      <c r="K295" s="2" t="s">
        <v>2326</v>
      </c>
    </row>
    <row r="296" spans="1:11" x14ac:dyDescent="0.25">
      <c r="A296" s="117">
        <v>540259</v>
      </c>
      <c r="B296" s="2" t="s">
        <v>304</v>
      </c>
      <c r="C296" s="2" t="s">
        <v>103</v>
      </c>
      <c r="D296" s="2" t="s">
        <v>115</v>
      </c>
      <c r="E296" s="2" t="s">
        <v>2254</v>
      </c>
      <c r="F296" s="2" t="s">
        <v>3168</v>
      </c>
      <c r="G296" s="2" t="s">
        <v>2358</v>
      </c>
      <c r="H296" s="2" t="s">
        <v>2385</v>
      </c>
      <c r="I296" s="2" t="s">
        <v>2446</v>
      </c>
      <c r="J296" s="2" t="s">
        <v>2827</v>
      </c>
      <c r="K296" s="2" t="s">
        <v>2326</v>
      </c>
    </row>
    <row r="297" spans="1:11" x14ac:dyDescent="0.25">
      <c r="A297" s="269"/>
      <c r="B297" s="269"/>
      <c r="C297" s="269" t="s">
        <v>103</v>
      </c>
      <c r="D297" s="269"/>
      <c r="E297" s="269"/>
      <c r="F297" s="269" t="s">
        <v>3977</v>
      </c>
      <c r="G297" s="269" t="s">
        <v>3978</v>
      </c>
      <c r="H297" s="269" t="s">
        <v>3979</v>
      </c>
      <c r="I297" s="269" t="s">
        <v>3980</v>
      </c>
      <c r="J297" s="269" t="s">
        <v>3687</v>
      </c>
      <c r="K297" s="269" t="s">
        <v>3981</v>
      </c>
    </row>
    <row r="298" spans="1:11" x14ac:dyDescent="0.25">
      <c r="A298" s="117">
        <v>540278</v>
      </c>
      <c r="B298" s="2" t="s">
        <v>104</v>
      </c>
      <c r="C298" s="2" t="s">
        <v>105</v>
      </c>
      <c r="D298" s="2" t="s">
        <v>5</v>
      </c>
      <c r="E298" s="2" t="s">
        <v>2247</v>
      </c>
      <c r="F298" s="2" t="s">
        <v>3982</v>
      </c>
      <c r="G298" s="2" t="s">
        <v>3797</v>
      </c>
      <c r="H298" s="2" t="s">
        <v>3983</v>
      </c>
      <c r="I298" s="2" t="s">
        <v>3984</v>
      </c>
      <c r="J298" s="2" t="s">
        <v>3985</v>
      </c>
      <c r="K298" s="2" t="s">
        <v>3986</v>
      </c>
    </row>
    <row r="299" spans="1:11" x14ac:dyDescent="0.25">
      <c r="A299" s="117">
        <v>540041</v>
      </c>
      <c r="B299" s="2" t="s">
        <v>142</v>
      </c>
      <c r="C299" s="2" t="s">
        <v>105</v>
      </c>
      <c r="D299" s="2" t="s">
        <v>115</v>
      </c>
      <c r="E299" s="2" t="s">
        <v>2247</v>
      </c>
      <c r="F299" s="2" t="s">
        <v>3366</v>
      </c>
      <c r="G299" s="2" t="s">
        <v>2637</v>
      </c>
      <c r="H299" s="2" t="s">
        <v>2308</v>
      </c>
      <c r="I299" s="2" t="s">
        <v>2631</v>
      </c>
      <c r="J299" s="2" t="s">
        <v>2534</v>
      </c>
      <c r="K299" s="2" t="s">
        <v>2432</v>
      </c>
    </row>
    <row r="300" spans="1:11" x14ac:dyDescent="0.25">
      <c r="A300" s="117">
        <v>540143</v>
      </c>
      <c r="B300" s="2" t="s">
        <v>224</v>
      </c>
      <c r="C300" s="2" t="s">
        <v>105</v>
      </c>
      <c r="D300" s="2" t="s">
        <v>115</v>
      </c>
      <c r="E300" s="2" t="s">
        <v>2247</v>
      </c>
      <c r="F300" s="2" t="s">
        <v>3632</v>
      </c>
      <c r="G300" s="2" t="s">
        <v>2353</v>
      </c>
      <c r="H300" s="2" t="s">
        <v>2473</v>
      </c>
      <c r="I300" s="2" t="s">
        <v>2329</v>
      </c>
      <c r="J300" s="2" t="s">
        <v>2472</v>
      </c>
      <c r="K300" s="2" t="s">
        <v>2354</v>
      </c>
    </row>
    <row r="301" spans="1:11" x14ac:dyDescent="0.25">
      <c r="A301" s="117">
        <v>540290</v>
      </c>
      <c r="B301" s="2" t="s">
        <v>327</v>
      </c>
      <c r="C301" s="2" t="s">
        <v>105</v>
      </c>
      <c r="D301" s="2" t="s">
        <v>115</v>
      </c>
      <c r="E301" s="2" t="s">
        <v>2247</v>
      </c>
      <c r="F301" s="2" t="s">
        <v>3987</v>
      </c>
      <c r="G301" s="2" t="s">
        <v>3204</v>
      </c>
      <c r="H301" s="2" t="s">
        <v>2603</v>
      </c>
      <c r="I301" s="2" t="s">
        <v>2303</v>
      </c>
      <c r="J301" s="2" t="s">
        <v>2303</v>
      </c>
      <c r="K301" s="2" t="s">
        <v>2303</v>
      </c>
    </row>
    <row r="302" spans="1:11" x14ac:dyDescent="0.25">
      <c r="A302" s="269"/>
      <c r="B302" s="269"/>
      <c r="C302" s="269" t="s">
        <v>105</v>
      </c>
      <c r="D302" s="269"/>
      <c r="E302" s="269"/>
      <c r="F302" s="269" t="s">
        <v>3988</v>
      </c>
      <c r="G302" s="269" t="s">
        <v>3989</v>
      </c>
      <c r="H302" s="269" t="s">
        <v>3990</v>
      </c>
      <c r="I302" s="269" t="s">
        <v>3991</v>
      </c>
      <c r="J302" s="269" t="s">
        <v>3992</v>
      </c>
      <c r="K302" s="269" t="s">
        <v>3993</v>
      </c>
    </row>
    <row r="303" spans="1:11" x14ac:dyDescent="0.25">
      <c r="A303" s="117">
        <v>540282</v>
      </c>
      <c r="B303" s="2" t="s">
        <v>106</v>
      </c>
      <c r="C303" s="2" t="s">
        <v>107</v>
      </c>
      <c r="D303" s="2" t="s">
        <v>5</v>
      </c>
      <c r="E303" s="2" t="s">
        <v>2246</v>
      </c>
      <c r="F303" s="2" t="s">
        <v>3994</v>
      </c>
      <c r="G303" s="2" t="s">
        <v>3995</v>
      </c>
      <c r="H303" s="2" t="s">
        <v>3996</v>
      </c>
      <c r="I303" s="2" t="s">
        <v>3997</v>
      </c>
      <c r="J303" s="2" t="s">
        <v>3998</v>
      </c>
      <c r="K303" s="2" t="s">
        <v>3999</v>
      </c>
    </row>
    <row r="304" spans="1:11" x14ac:dyDescent="0.25">
      <c r="A304" s="117">
        <v>540006</v>
      </c>
      <c r="B304" s="2" t="s">
        <v>119</v>
      </c>
      <c r="C304" s="2" t="s">
        <v>107</v>
      </c>
      <c r="D304" s="2" t="s">
        <v>115</v>
      </c>
      <c r="E304" s="2" t="s">
        <v>2246</v>
      </c>
      <c r="F304" s="2" t="s">
        <v>4000</v>
      </c>
      <c r="G304" s="2" t="s">
        <v>4001</v>
      </c>
      <c r="H304" s="2" t="s">
        <v>4002</v>
      </c>
      <c r="I304" s="2" t="s">
        <v>2857</v>
      </c>
      <c r="J304" s="2" t="s">
        <v>3068</v>
      </c>
      <c r="K304" s="2" t="s">
        <v>2460</v>
      </c>
    </row>
    <row r="305" spans="1:11" x14ac:dyDescent="0.25">
      <c r="A305" s="117">
        <v>545550</v>
      </c>
      <c r="B305" s="2" t="s">
        <v>339</v>
      </c>
      <c r="C305" s="2" t="s">
        <v>107</v>
      </c>
      <c r="D305" s="2" t="s">
        <v>115</v>
      </c>
      <c r="E305" s="2" t="s">
        <v>2246</v>
      </c>
      <c r="F305" s="2" t="s">
        <v>2651</v>
      </c>
      <c r="G305" s="2" t="s">
        <v>2844</v>
      </c>
      <c r="H305" s="2" t="s">
        <v>2687</v>
      </c>
      <c r="I305" s="2" t="s">
        <v>2303</v>
      </c>
      <c r="J305" s="2" t="s">
        <v>2303</v>
      </c>
      <c r="K305" s="2" t="s">
        <v>2303</v>
      </c>
    </row>
    <row r="306" spans="1:11" x14ac:dyDescent="0.25">
      <c r="A306" s="269"/>
      <c r="B306" s="269"/>
      <c r="C306" s="269" t="s">
        <v>107</v>
      </c>
      <c r="D306" s="269"/>
      <c r="E306" s="269"/>
      <c r="F306" s="269" t="s">
        <v>4003</v>
      </c>
      <c r="G306" s="269" t="s">
        <v>4004</v>
      </c>
      <c r="H306" s="269" t="s">
        <v>4005</v>
      </c>
      <c r="I306" s="269" t="s">
        <v>4006</v>
      </c>
      <c r="J306" s="269" t="s">
        <v>4007</v>
      </c>
      <c r="K306" s="269" t="s">
        <v>4008</v>
      </c>
    </row>
    <row r="307" spans="1:11" x14ac:dyDescent="0.25">
      <c r="A307" s="117">
        <v>540283</v>
      </c>
      <c r="B307" s="2" t="s">
        <v>108</v>
      </c>
      <c r="C307" s="2" t="s">
        <v>109</v>
      </c>
      <c r="D307" s="2" t="s">
        <v>5</v>
      </c>
      <c r="E307" s="2" t="s">
        <v>2252</v>
      </c>
      <c r="F307" s="2" t="s">
        <v>4009</v>
      </c>
      <c r="G307" s="2" t="s">
        <v>4010</v>
      </c>
      <c r="H307" s="2" t="s">
        <v>4011</v>
      </c>
      <c r="I307" s="2" t="s">
        <v>4012</v>
      </c>
      <c r="J307" s="2" t="s">
        <v>4013</v>
      </c>
      <c r="K307" s="2" t="s">
        <v>4014</v>
      </c>
    </row>
    <row r="308" spans="1:11" x14ac:dyDescent="0.25">
      <c r="A308" s="117">
        <v>540158</v>
      </c>
      <c r="B308" s="2" t="s">
        <v>233</v>
      </c>
      <c r="C308" s="2" t="s">
        <v>109</v>
      </c>
      <c r="D308" s="2" t="s">
        <v>115</v>
      </c>
      <c r="E308" s="2" t="s">
        <v>2252</v>
      </c>
      <c r="F308" s="2" t="s">
        <v>3734</v>
      </c>
      <c r="G308" s="2" t="s">
        <v>2614</v>
      </c>
      <c r="H308" s="2" t="s">
        <v>3505</v>
      </c>
      <c r="I308" s="2" t="s">
        <v>2472</v>
      </c>
      <c r="J308" s="2" t="s">
        <v>2326</v>
      </c>
      <c r="K308" s="2" t="s">
        <v>2386</v>
      </c>
    </row>
    <row r="309" spans="1:11" x14ac:dyDescent="0.25">
      <c r="A309" s="117">
        <v>540159</v>
      </c>
      <c r="B309" s="2" t="s">
        <v>234</v>
      </c>
      <c r="C309" s="2" t="s">
        <v>109</v>
      </c>
      <c r="D309" s="2" t="s">
        <v>115</v>
      </c>
      <c r="E309" s="2" t="s">
        <v>2252</v>
      </c>
      <c r="F309" s="2" t="s">
        <v>4015</v>
      </c>
      <c r="G309" s="2" t="s">
        <v>3652</v>
      </c>
      <c r="H309" s="2" t="s">
        <v>4016</v>
      </c>
      <c r="I309" s="2" t="s">
        <v>3317</v>
      </c>
      <c r="J309" s="2" t="s">
        <v>3555</v>
      </c>
      <c r="K309" s="2" t="s">
        <v>4017</v>
      </c>
    </row>
    <row r="310" spans="1:11" x14ac:dyDescent="0.25">
      <c r="A310" s="117">
        <v>540288</v>
      </c>
      <c r="B310" s="2" t="s">
        <v>340</v>
      </c>
      <c r="C310" s="2" t="s">
        <v>109</v>
      </c>
      <c r="D310" s="2" t="s">
        <v>115</v>
      </c>
      <c r="E310" s="2" t="s">
        <v>2252</v>
      </c>
      <c r="F310" s="2" t="s">
        <v>2311</v>
      </c>
      <c r="G310" s="2" t="s">
        <v>2435</v>
      </c>
      <c r="H310" s="2" t="s">
        <v>4018</v>
      </c>
      <c r="I310" s="2" t="s">
        <v>2303</v>
      </c>
      <c r="J310" s="2" t="s">
        <v>2303</v>
      </c>
      <c r="K310" s="2" t="s">
        <v>2303</v>
      </c>
    </row>
    <row r="311" spans="1:11" x14ac:dyDescent="0.25">
      <c r="A311" s="269"/>
      <c r="B311" s="269"/>
      <c r="C311" s="269" t="s">
        <v>109</v>
      </c>
      <c r="D311" s="269"/>
      <c r="E311" s="269"/>
      <c r="F311" s="269" t="s">
        <v>4019</v>
      </c>
      <c r="G311" s="269" t="s">
        <v>4020</v>
      </c>
      <c r="H311" s="269" t="s">
        <v>4021</v>
      </c>
      <c r="I311" s="269" t="s">
        <v>4022</v>
      </c>
      <c r="J311" s="269" t="s">
        <v>4023</v>
      </c>
      <c r="K311" s="269" t="s">
        <v>4024</v>
      </c>
    </row>
    <row r="312" spans="1:11" x14ac:dyDescent="0.25">
      <c r="A312" s="117">
        <v>545536</v>
      </c>
      <c r="B312" s="2" t="s">
        <v>110</v>
      </c>
      <c r="C312" s="2" t="s">
        <v>111</v>
      </c>
      <c r="D312" s="2" t="s">
        <v>5</v>
      </c>
      <c r="E312" s="2" t="s">
        <v>2251</v>
      </c>
      <c r="F312" s="2" t="s">
        <v>4025</v>
      </c>
      <c r="G312" s="2" t="s">
        <v>4026</v>
      </c>
      <c r="H312" s="2" t="s">
        <v>4027</v>
      </c>
      <c r="I312" s="2" t="s">
        <v>4028</v>
      </c>
      <c r="J312" s="2" t="s">
        <v>4029</v>
      </c>
      <c r="K312" s="2" t="s">
        <v>4030</v>
      </c>
    </row>
    <row r="313" spans="1:11" x14ac:dyDescent="0.25">
      <c r="A313" s="117">
        <v>540092</v>
      </c>
      <c r="B313" s="2" t="s">
        <v>183</v>
      </c>
      <c r="C313" s="2" t="s">
        <v>111</v>
      </c>
      <c r="D313" s="2" t="s">
        <v>115</v>
      </c>
      <c r="E313" s="2" t="s">
        <v>2251</v>
      </c>
      <c r="F313" s="2" t="s">
        <v>3527</v>
      </c>
      <c r="G313" s="2" t="s">
        <v>2598</v>
      </c>
      <c r="H313" s="2" t="s">
        <v>3273</v>
      </c>
      <c r="I313" s="2" t="s">
        <v>2569</v>
      </c>
      <c r="J313" s="2" t="s">
        <v>2562</v>
      </c>
      <c r="K313" s="2" t="s">
        <v>2945</v>
      </c>
    </row>
    <row r="314" spans="1:11" x14ac:dyDescent="0.25">
      <c r="A314" s="117">
        <v>540095</v>
      </c>
      <c r="B314" s="2" t="s">
        <v>186</v>
      </c>
      <c r="C314" s="2" t="s">
        <v>111</v>
      </c>
      <c r="D314" s="2" t="s">
        <v>115</v>
      </c>
      <c r="E314" s="2" t="s">
        <v>2251</v>
      </c>
      <c r="F314" s="2" t="s">
        <v>3167</v>
      </c>
      <c r="G314" s="2" t="s">
        <v>3004</v>
      </c>
      <c r="H314" s="2" t="s">
        <v>3230</v>
      </c>
      <c r="I314" s="2" t="s">
        <v>2473</v>
      </c>
      <c r="J314" s="2" t="s">
        <v>2498</v>
      </c>
      <c r="K314" s="2" t="s">
        <v>2354</v>
      </c>
    </row>
    <row r="315" spans="1:11" x14ac:dyDescent="0.25">
      <c r="A315" s="117">
        <v>545535</v>
      </c>
      <c r="B315" s="2" t="s">
        <v>332</v>
      </c>
      <c r="C315" s="2" t="s">
        <v>111</v>
      </c>
      <c r="D315" s="2" t="s">
        <v>115</v>
      </c>
      <c r="E315" s="2" t="s">
        <v>2251</v>
      </c>
      <c r="F315" s="2" t="s">
        <v>3634</v>
      </c>
      <c r="G315" s="2" t="s">
        <v>4031</v>
      </c>
      <c r="H315" s="2" t="s">
        <v>4032</v>
      </c>
      <c r="I315" s="2" t="s">
        <v>2443</v>
      </c>
      <c r="J315" s="2" t="s">
        <v>2551</v>
      </c>
      <c r="K315" s="2" t="s">
        <v>2354</v>
      </c>
    </row>
    <row r="316" spans="1:11" x14ac:dyDescent="0.25">
      <c r="A316" s="117">
        <v>545537</v>
      </c>
      <c r="B316" s="2" t="s">
        <v>333</v>
      </c>
      <c r="C316" s="2" t="s">
        <v>111</v>
      </c>
      <c r="D316" s="2" t="s">
        <v>115</v>
      </c>
      <c r="E316" s="2" t="s">
        <v>2251</v>
      </c>
      <c r="F316" s="2" t="s">
        <v>4033</v>
      </c>
      <c r="G316" s="2" t="s">
        <v>3167</v>
      </c>
      <c r="H316" s="2" t="s">
        <v>4034</v>
      </c>
      <c r="I316" s="2" t="s">
        <v>2351</v>
      </c>
      <c r="J316" s="2" t="s">
        <v>2492</v>
      </c>
      <c r="K316" s="2" t="s">
        <v>2888</v>
      </c>
    </row>
    <row r="317" spans="1:11" x14ac:dyDescent="0.25">
      <c r="A317" s="117">
        <v>545539</v>
      </c>
      <c r="B317" s="2" t="s">
        <v>335</v>
      </c>
      <c r="C317" s="2" t="s">
        <v>111</v>
      </c>
      <c r="D317" s="2" t="s">
        <v>115</v>
      </c>
      <c r="E317" s="2" t="s">
        <v>2251</v>
      </c>
      <c r="F317" s="2" t="s">
        <v>4035</v>
      </c>
      <c r="G317" s="2" t="s">
        <v>2357</v>
      </c>
      <c r="H317" s="2" t="s">
        <v>3595</v>
      </c>
      <c r="I317" s="2" t="s">
        <v>2432</v>
      </c>
      <c r="J317" s="2" t="s">
        <v>2354</v>
      </c>
      <c r="K317" s="2" t="s">
        <v>2326</v>
      </c>
    </row>
    <row r="318" spans="1:11" x14ac:dyDescent="0.25">
      <c r="A318" s="269"/>
      <c r="B318" s="269"/>
      <c r="C318" s="269" t="s">
        <v>111</v>
      </c>
      <c r="D318" s="269"/>
      <c r="E318" s="269"/>
      <c r="F318" s="269" t="s">
        <v>4036</v>
      </c>
      <c r="G318" s="269" t="s">
        <v>4037</v>
      </c>
      <c r="H318" s="269" t="s">
        <v>4038</v>
      </c>
      <c r="I318" s="269" t="s">
        <v>4039</v>
      </c>
      <c r="J318" s="269" t="s">
        <v>4040</v>
      </c>
      <c r="K318" s="269" t="s">
        <v>4041</v>
      </c>
    </row>
    <row r="319" spans="1:11" x14ac:dyDescent="0.25">
      <c r="A319" s="117">
        <v>540191</v>
      </c>
      <c r="B319" s="2" t="s">
        <v>112</v>
      </c>
      <c r="C319" s="2" t="s">
        <v>113</v>
      </c>
      <c r="D319" s="2" t="s">
        <v>5</v>
      </c>
      <c r="E319" s="2" t="s">
        <v>2250</v>
      </c>
      <c r="F319" s="2" t="s">
        <v>4042</v>
      </c>
      <c r="G319" s="2" t="s">
        <v>4043</v>
      </c>
      <c r="H319" s="2" t="s">
        <v>4044</v>
      </c>
      <c r="I319" s="2" t="s">
        <v>4045</v>
      </c>
      <c r="J319" s="2" t="s">
        <v>4046</v>
      </c>
      <c r="K319" s="2" t="s">
        <v>4047</v>
      </c>
    </row>
    <row r="320" spans="1:11" x14ac:dyDescent="0.25">
      <c r="A320" s="117">
        <v>540193</v>
      </c>
      <c r="B320" s="2" t="s">
        <v>342</v>
      </c>
      <c r="C320" s="2" t="s">
        <v>113</v>
      </c>
      <c r="D320" s="2" t="s">
        <v>115</v>
      </c>
      <c r="E320" s="2" t="s">
        <v>2250</v>
      </c>
      <c r="F320" s="2" t="s">
        <v>3201</v>
      </c>
      <c r="G320" s="2" t="s">
        <v>2497</v>
      </c>
      <c r="H320" s="2" t="s">
        <v>3384</v>
      </c>
      <c r="I320" s="2" t="s">
        <v>2533</v>
      </c>
      <c r="J320" s="2" t="s">
        <v>2387</v>
      </c>
      <c r="K320" s="2" t="s">
        <v>2534</v>
      </c>
    </row>
    <row r="321" spans="1:11" x14ac:dyDescent="0.25">
      <c r="A321" s="117">
        <v>540192</v>
      </c>
      <c r="B321" s="2" t="s">
        <v>343</v>
      </c>
      <c r="C321" s="2" t="s">
        <v>113</v>
      </c>
      <c r="D321" s="2" t="s">
        <v>115</v>
      </c>
      <c r="E321" s="2" t="s">
        <v>2250</v>
      </c>
      <c r="F321" s="2" t="s">
        <v>4048</v>
      </c>
      <c r="G321" s="2" t="s">
        <v>2658</v>
      </c>
      <c r="H321" s="2" t="s">
        <v>2350</v>
      </c>
      <c r="I321" s="2" t="s">
        <v>2430</v>
      </c>
      <c r="J321" s="2" t="s">
        <v>2498</v>
      </c>
      <c r="K321" s="2" t="s">
        <v>2484</v>
      </c>
    </row>
    <row r="322" spans="1:11" x14ac:dyDescent="0.25">
      <c r="A322" s="117">
        <v>540194</v>
      </c>
      <c r="B322" s="2" t="s">
        <v>344</v>
      </c>
      <c r="C322" s="2" t="s">
        <v>113</v>
      </c>
      <c r="D322" s="2" t="s">
        <v>115</v>
      </c>
      <c r="E322" s="2" t="s">
        <v>2250</v>
      </c>
      <c r="F322" s="2" t="s">
        <v>4049</v>
      </c>
      <c r="G322" s="2" t="s">
        <v>4050</v>
      </c>
      <c r="H322" s="2" t="s">
        <v>3595</v>
      </c>
      <c r="I322" s="2" t="s">
        <v>2500</v>
      </c>
      <c r="J322" s="2" t="s">
        <v>2829</v>
      </c>
      <c r="K322" s="2" t="s">
        <v>2888</v>
      </c>
    </row>
    <row r="323" spans="1:11" x14ac:dyDescent="0.25">
      <c r="A323" s="117">
        <v>540261</v>
      </c>
      <c r="B323" s="2" t="s">
        <v>345</v>
      </c>
      <c r="C323" s="2" t="s">
        <v>113</v>
      </c>
      <c r="D323" s="2" t="s">
        <v>115</v>
      </c>
      <c r="E323" s="2" t="s">
        <v>2250</v>
      </c>
      <c r="F323" s="2" t="s">
        <v>4051</v>
      </c>
      <c r="G323" s="2" t="s">
        <v>2560</v>
      </c>
      <c r="H323" s="2" t="s">
        <v>4052</v>
      </c>
      <c r="I323" s="2" t="s">
        <v>2733</v>
      </c>
      <c r="J323" s="2" t="s">
        <v>2354</v>
      </c>
      <c r="K323" s="2" t="s">
        <v>2523</v>
      </c>
    </row>
    <row r="324" spans="1:11" x14ac:dyDescent="0.25">
      <c r="A324" s="117">
        <v>540260</v>
      </c>
      <c r="B324" s="2" t="s">
        <v>346</v>
      </c>
      <c r="C324" s="2" t="s">
        <v>113</v>
      </c>
      <c r="D324" s="2" t="s">
        <v>115</v>
      </c>
      <c r="E324" s="2" t="s">
        <v>2250</v>
      </c>
      <c r="F324" s="2" t="s">
        <v>4053</v>
      </c>
      <c r="G324" s="2" t="s">
        <v>2560</v>
      </c>
      <c r="H324" s="2" t="s">
        <v>4054</v>
      </c>
      <c r="I324" s="2" t="s">
        <v>2649</v>
      </c>
      <c r="J324" s="2" t="s">
        <v>2471</v>
      </c>
      <c r="K324" s="2" t="s">
        <v>2728</v>
      </c>
    </row>
    <row r="325" spans="1:11" x14ac:dyDescent="0.25">
      <c r="A325" s="269"/>
      <c r="B325" s="269"/>
      <c r="C325" s="269" t="s">
        <v>113</v>
      </c>
      <c r="D325" s="269"/>
      <c r="E325" s="269"/>
      <c r="F325" s="269" t="s">
        <v>4055</v>
      </c>
      <c r="G325" s="269" t="s">
        <v>4056</v>
      </c>
      <c r="H325" s="269" t="s">
        <v>4057</v>
      </c>
      <c r="I325" s="269" t="s">
        <v>4058</v>
      </c>
      <c r="J325" s="269" t="s">
        <v>4059</v>
      </c>
      <c r="K325" s="269" t="s">
        <v>4060</v>
      </c>
    </row>
    <row r="326" spans="1:11" x14ac:dyDescent="0.25">
      <c r="A326" s="117">
        <v>540027</v>
      </c>
      <c r="B326" s="2" t="s">
        <v>132</v>
      </c>
      <c r="C326" s="2" t="s">
        <v>21</v>
      </c>
      <c r="D326" s="2" t="s">
        <v>115</v>
      </c>
      <c r="E326" s="2" t="s">
        <v>2252</v>
      </c>
      <c r="F326" s="2" t="s">
        <v>4061</v>
      </c>
      <c r="G326" s="2" t="s">
        <v>4034</v>
      </c>
      <c r="H326" s="2" t="s">
        <v>4062</v>
      </c>
      <c r="I326" s="2" t="s">
        <v>2385</v>
      </c>
      <c r="J326" s="2" t="s">
        <v>2945</v>
      </c>
      <c r="K326" s="2" t="s">
        <v>2473</v>
      </c>
    </row>
    <row r="327" spans="1:11" x14ac:dyDescent="0.25">
      <c r="A327" s="117">
        <v>540028</v>
      </c>
      <c r="B327" s="2" t="s">
        <v>133</v>
      </c>
      <c r="C327" s="2" t="s">
        <v>21</v>
      </c>
      <c r="D327" s="2" t="s">
        <v>115</v>
      </c>
      <c r="E327" s="2" t="s">
        <v>2252</v>
      </c>
      <c r="F327" s="2" t="s">
        <v>3528</v>
      </c>
      <c r="G327" s="2" t="s">
        <v>3909</v>
      </c>
      <c r="H327" s="2" t="s">
        <v>2927</v>
      </c>
      <c r="I327" s="2" t="s">
        <v>2553</v>
      </c>
      <c r="J327" s="2" t="s">
        <v>2415</v>
      </c>
      <c r="K327" s="2" t="s">
        <v>2888</v>
      </c>
    </row>
    <row r="328" spans="1:11" x14ac:dyDescent="0.25">
      <c r="A328" s="117">
        <v>540029</v>
      </c>
      <c r="B328" s="2" t="s">
        <v>134</v>
      </c>
      <c r="C328" s="2" t="s">
        <v>21</v>
      </c>
      <c r="D328" s="2" t="s">
        <v>115</v>
      </c>
      <c r="E328" s="2" t="s">
        <v>2252</v>
      </c>
      <c r="F328" s="2" t="s">
        <v>4063</v>
      </c>
      <c r="G328" s="2" t="s">
        <v>2808</v>
      </c>
      <c r="H328" s="2" t="s">
        <v>4064</v>
      </c>
      <c r="I328" s="2" t="s">
        <v>2494</v>
      </c>
      <c r="J328" s="2" t="s">
        <v>2354</v>
      </c>
      <c r="K328" s="2" t="s">
        <v>2430</v>
      </c>
    </row>
    <row r="329" spans="1:11" x14ac:dyDescent="0.25">
      <c r="A329" s="117">
        <v>540031</v>
      </c>
      <c r="B329" s="2" t="s">
        <v>136</v>
      </c>
      <c r="C329" s="2" t="s">
        <v>21</v>
      </c>
      <c r="D329" s="2" t="s">
        <v>115</v>
      </c>
      <c r="E329" s="2" t="s">
        <v>2252</v>
      </c>
      <c r="F329" s="2" t="s">
        <v>4065</v>
      </c>
      <c r="G329" s="2" t="s">
        <v>4066</v>
      </c>
      <c r="H329" s="2" t="s">
        <v>4067</v>
      </c>
      <c r="I329" s="2" t="s">
        <v>2826</v>
      </c>
      <c r="J329" s="2" t="s">
        <v>2603</v>
      </c>
      <c r="K329" s="2" t="s">
        <v>2888</v>
      </c>
    </row>
    <row r="330" spans="1:11" x14ac:dyDescent="0.25">
      <c r="A330" s="117">
        <v>540032</v>
      </c>
      <c r="B330" s="2" t="s">
        <v>137</v>
      </c>
      <c r="C330" s="2" t="s">
        <v>21</v>
      </c>
      <c r="D330" s="2" t="s">
        <v>115</v>
      </c>
      <c r="E330" s="2" t="s">
        <v>2252</v>
      </c>
      <c r="F330" s="2" t="s">
        <v>2352</v>
      </c>
      <c r="G330" s="2" t="s">
        <v>2488</v>
      </c>
      <c r="H330" s="2" t="s">
        <v>2308</v>
      </c>
      <c r="I330" s="2" t="s">
        <v>2888</v>
      </c>
      <c r="J330" s="2" t="s">
        <v>2385</v>
      </c>
      <c r="K330" s="2" t="s">
        <v>2376</v>
      </c>
    </row>
    <row r="331" spans="1:11" x14ac:dyDescent="0.25">
      <c r="A331" s="117">
        <v>540050</v>
      </c>
      <c r="B331" s="2" t="s">
        <v>150</v>
      </c>
      <c r="C331" s="2" t="s">
        <v>21</v>
      </c>
      <c r="D331" s="2" t="s">
        <v>115</v>
      </c>
      <c r="E331" s="2" t="s">
        <v>2252</v>
      </c>
      <c r="F331" s="2" t="s">
        <v>2670</v>
      </c>
      <c r="G331" s="2" t="s">
        <v>2443</v>
      </c>
      <c r="H331" s="2" t="s">
        <v>2561</v>
      </c>
      <c r="I331" s="2" t="s">
        <v>2303</v>
      </c>
      <c r="J331" s="2" t="s">
        <v>2303</v>
      </c>
      <c r="K331" s="2" t="s">
        <v>2303</v>
      </c>
    </row>
    <row r="332" spans="1:11" x14ac:dyDescent="0.25">
      <c r="A332" s="117">
        <v>540293</v>
      </c>
      <c r="B332" s="2" t="s">
        <v>330</v>
      </c>
      <c r="C332" s="2" t="s">
        <v>21</v>
      </c>
      <c r="D332" s="2" t="s">
        <v>115</v>
      </c>
      <c r="E332" s="2" t="s">
        <v>2252</v>
      </c>
      <c r="F332" s="2" t="s">
        <v>4068</v>
      </c>
      <c r="G332" s="2" t="s">
        <v>3692</v>
      </c>
      <c r="H332" s="2" t="s">
        <v>4069</v>
      </c>
      <c r="I332" s="2" t="s">
        <v>2490</v>
      </c>
      <c r="J332" s="2" t="s">
        <v>2373</v>
      </c>
      <c r="K332" s="2" t="s">
        <v>2473</v>
      </c>
    </row>
    <row r="333" spans="1:11" x14ac:dyDescent="0.25">
      <c r="A333" s="117">
        <v>540294</v>
      </c>
      <c r="B333" s="2" t="s">
        <v>331</v>
      </c>
      <c r="C333" s="2" t="s">
        <v>21</v>
      </c>
      <c r="D333" s="2" t="s">
        <v>115</v>
      </c>
      <c r="E333" s="2" t="s">
        <v>2252</v>
      </c>
      <c r="F333" s="2" t="s">
        <v>3682</v>
      </c>
      <c r="G333" s="2" t="s">
        <v>4017</v>
      </c>
      <c r="H333" s="2" t="s">
        <v>4070</v>
      </c>
      <c r="I333" s="2" t="s">
        <v>2550</v>
      </c>
      <c r="J333" s="2" t="s">
        <v>2471</v>
      </c>
      <c r="K333" s="2" t="s">
        <v>2490</v>
      </c>
    </row>
    <row r="334" spans="1:11" x14ac:dyDescent="0.25">
      <c r="A334" s="117">
        <v>540033</v>
      </c>
      <c r="B334" s="2" t="s">
        <v>138</v>
      </c>
      <c r="C334" s="2" t="s">
        <v>21</v>
      </c>
      <c r="D334" s="2" t="s">
        <v>115</v>
      </c>
      <c r="E334" s="2" t="s">
        <v>2252</v>
      </c>
      <c r="F334" s="2" t="s">
        <v>2783</v>
      </c>
      <c r="G334" s="2" t="s">
        <v>3974</v>
      </c>
      <c r="H334" s="2" t="s">
        <v>3341</v>
      </c>
      <c r="I334" s="2" t="s">
        <v>2550</v>
      </c>
      <c r="J334" s="2" t="s">
        <v>2443</v>
      </c>
      <c r="K334" s="2" t="s">
        <v>2412</v>
      </c>
    </row>
    <row r="335" spans="1:11" x14ac:dyDescent="0.25">
      <c r="A335" s="117">
        <v>540280</v>
      </c>
      <c r="B335" s="2" t="s">
        <v>321</v>
      </c>
      <c r="C335" s="2" t="s">
        <v>21</v>
      </c>
      <c r="D335" s="2" t="s">
        <v>115</v>
      </c>
      <c r="E335" s="2" t="s">
        <v>2252</v>
      </c>
      <c r="F335" s="2" t="s">
        <v>4071</v>
      </c>
      <c r="G335" s="2" t="s">
        <v>4072</v>
      </c>
      <c r="H335" s="2" t="s">
        <v>4073</v>
      </c>
      <c r="I335" s="2" t="s">
        <v>2492</v>
      </c>
      <c r="J335" s="2" t="s">
        <v>2300</v>
      </c>
      <c r="K335" s="2" t="s">
        <v>2412</v>
      </c>
    </row>
    <row r="336" spans="1:11" x14ac:dyDescent="0.25">
      <c r="A336" s="117">
        <v>540026</v>
      </c>
      <c r="B336" s="2" t="s">
        <v>20</v>
      </c>
      <c r="C336" s="2" t="s">
        <v>21</v>
      </c>
      <c r="D336" s="2" t="s">
        <v>5</v>
      </c>
      <c r="E336" s="2" t="s">
        <v>2252</v>
      </c>
      <c r="F336" s="2" t="s">
        <v>4074</v>
      </c>
      <c r="G336" s="2" t="s">
        <v>4075</v>
      </c>
      <c r="H336" s="2" t="s">
        <v>4076</v>
      </c>
      <c r="I336" s="2" t="s">
        <v>4077</v>
      </c>
      <c r="J336" s="2" t="s">
        <v>3916</v>
      </c>
      <c r="K336" s="2" t="s">
        <v>4078</v>
      </c>
    </row>
    <row r="337" spans="1:11" x14ac:dyDescent="0.25">
      <c r="A337" s="269"/>
      <c r="B337" s="269"/>
      <c r="C337" s="269" t="s">
        <v>21</v>
      </c>
      <c r="D337" s="269"/>
      <c r="E337" s="269"/>
      <c r="F337" s="269" t="s">
        <v>4079</v>
      </c>
      <c r="G337" s="269" t="s">
        <v>4080</v>
      </c>
      <c r="H337" s="269" t="s">
        <v>4081</v>
      </c>
      <c r="I337" s="269" t="s">
        <v>4082</v>
      </c>
      <c r="J337" s="269" t="s">
        <v>4083</v>
      </c>
      <c r="K337" s="269" t="s">
        <v>3879</v>
      </c>
    </row>
    <row r="338" spans="1:11" x14ac:dyDescent="0.25">
      <c r="A338" s="117">
        <v>540176</v>
      </c>
      <c r="B338" s="2" t="s">
        <v>247</v>
      </c>
      <c r="C338" s="2" t="s">
        <v>75</v>
      </c>
      <c r="D338" s="2" t="s">
        <v>115</v>
      </c>
      <c r="E338" s="2" t="s">
        <v>2250</v>
      </c>
      <c r="F338" s="2" t="s">
        <v>3356</v>
      </c>
      <c r="G338" s="2" t="s">
        <v>2651</v>
      </c>
      <c r="H338" s="2" t="s">
        <v>4084</v>
      </c>
      <c r="I338" s="2" t="s">
        <v>2325</v>
      </c>
      <c r="J338" s="2" t="s">
        <v>2387</v>
      </c>
      <c r="K338" s="2" t="s">
        <v>2525</v>
      </c>
    </row>
    <row r="339" spans="1:11" x14ac:dyDescent="0.25">
      <c r="A339" s="117">
        <v>540178</v>
      </c>
      <c r="B339" s="2" t="s">
        <v>249</v>
      </c>
      <c r="C339" s="2" t="s">
        <v>75</v>
      </c>
      <c r="D339" s="2" t="s">
        <v>115</v>
      </c>
      <c r="E339" s="2" t="s">
        <v>2250</v>
      </c>
      <c r="F339" s="2" t="s">
        <v>3066</v>
      </c>
      <c r="G339" s="2" t="s">
        <v>2525</v>
      </c>
      <c r="H339" s="2" t="s">
        <v>3087</v>
      </c>
      <c r="I339" s="2" t="s">
        <v>2533</v>
      </c>
      <c r="J339" s="2" t="s">
        <v>2498</v>
      </c>
      <c r="K339" s="2" t="s">
        <v>2357</v>
      </c>
    </row>
    <row r="340" spans="1:11" x14ac:dyDescent="0.25">
      <c r="A340" s="117">
        <v>540264</v>
      </c>
      <c r="B340" s="2" t="s">
        <v>307</v>
      </c>
      <c r="C340" s="2" t="s">
        <v>75</v>
      </c>
      <c r="D340" s="2" t="s">
        <v>115</v>
      </c>
      <c r="E340" s="2" t="s">
        <v>2250</v>
      </c>
      <c r="F340" s="2" t="s">
        <v>2566</v>
      </c>
      <c r="G340" s="2" t="s">
        <v>2611</v>
      </c>
      <c r="H340" s="2" t="s">
        <v>3054</v>
      </c>
      <c r="I340" s="2" t="s">
        <v>2565</v>
      </c>
      <c r="J340" s="2" t="s">
        <v>2373</v>
      </c>
      <c r="K340" s="2" t="s">
        <v>2446</v>
      </c>
    </row>
    <row r="341" spans="1:11" x14ac:dyDescent="0.25">
      <c r="A341" s="117">
        <v>540265</v>
      </c>
      <c r="B341" s="2" t="s">
        <v>308</v>
      </c>
      <c r="C341" s="2" t="s">
        <v>75</v>
      </c>
      <c r="D341" s="2" t="s">
        <v>115</v>
      </c>
      <c r="E341" s="2" t="s">
        <v>2250</v>
      </c>
      <c r="F341" s="2" t="s">
        <v>3059</v>
      </c>
      <c r="G341" s="2" t="s">
        <v>2570</v>
      </c>
      <c r="H341" s="2" t="s">
        <v>3700</v>
      </c>
      <c r="I341" s="2" t="s">
        <v>3054</v>
      </c>
      <c r="J341" s="2" t="s">
        <v>2473</v>
      </c>
      <c r="K341" s="2" t="s">
        <v>2829</v>
      </c>
    </row>
    <row r="342" spans="1:11" x14ac:dyDescent="0.25">
      <c r="A342" s="117">
        <v>540266</v>
      </c>
      <c r="B342" s="2" t="s">
        <v>309</v>
      </c>
      <c r="C342" s="2" t="s">
        <v>75</v>
      </c>
      <c r="D342" s="2" t="s">
        <v>115</v>
      </c>
      <c r="E342" s="2" t="s">
        <v>2250</v>
      </c>
      <c r="F342" s="2" t="s">
        <v>3598</v>
      </c>
      <c r="G342" s="2" t="s">
        <v>2993</v>
      </c>
      <c r="H342" s="2" t="s">
        <v>4085</v>
      </c>
      <c r="I342" s="2" t="s">
        <v>2550</v>
      </c>
      <c r="J342" s="2" t="s">
        <v>2412</v>
      </c>
      <c r="K342" s="2" t="s">
        <v>2443</v>
      </c>
    </row>
    <row r="343" spans="1:11" x14ac:dyDescent="0.25">
      <c r="A343" s="117">
        <v>540267</v>
      </c>
      <c r="B343" s="2" t="s">
        <v>310</v>
      </c>
      <c r="C343" s="2" t="s">
        <v>75</v>
      </c>
      <c r="D343" s="2" t="s">
        <v>115</v>
      </c>
      <c r="E343" s="2" t="s">
        <v>2250</v>
      </c>
      <c r="F343" s="2" t="s">
        <v>3976</v>
      </c>
      <c r="G343" s="2" t="s">
        <v>2406</v>
      </c>
      <c r="H343" s="2" t="s">
        <v>2328</v>
      </c>
      <c r="I343" s="2" t="s">
        <v>2813</v>
      </c>
      <c r="J343" s="2" t="s">
        <v>2551</v>
      </c>
      <c r="K343" s="2" t="s">
        <v>3005</v>
      </c>
    </row>
    <row r="344" spans="1:11" x14ac:dyDescent="0.25">
      <c r="A344" s="117">
        <v>540177</v>
      </c>
      <c r="B344" s="2" t="s">
        <v>248</v>
      </c>
      <c r="C344" s="2" t="s">
        <v>75</v>
      </c>
      <c r="D344" s="2" t="s">
        <v>115</v>
      </c>
      <c r="E344" s="2" t="s">
        <v>2250</v>
      </c>
      <c r="F344" s="2" t="s">
        <v>4086</v>
      </c>
      <c r="G344" s="2" t="s">
        <v>4087</v>
      </c>
      <c r="H344" s="2" t="s">
        <v>4088</v>
      </c>
      <c r="I344" s="2" t="s">
        <v>2598</v>
      </c>
      <c r="J344" s="2" t="s">
        <v>3319</v>
      </c>
      <c r="K344" s="2" t="s">
        <v>3319</v>
      </c>
    </row>
    <row r="345" spans="1:11" x14ac:dyDescent="0.25">
      <c r="A345" s="117">
        <v>540175</v>
      </c>
      <c r="B345" s="2" t="s">
        <v>74</v>
      </c>
      <c r="C345" s="2" t="s">
        <v>75</v>
      </c>
      <c r="D345" s="2" t="s">
        <v>5</v>
      </c>
      <c r="E345" s="2" t="s">
        <v>2250</v>
      </c>
      <c r="F345" s="2" t="s">
        <v>4089</v>
      </c>
      <c r="G345" s="2" t="s">
        <v>4090</v>
      </c>
      <c r="H345" s="2" t="s">
        <v>4091</v>
      </c>
      <c r="I345" s="2" t="s">
        <v>4092</v>
      </c>
      <c r="J345" s="2" t="s">
        <v>4093</v>
      </c>
      <c r="K345" s="2" t="s">
        <v>4094</v>
      </c>
    </row>
    <row r="346" spans="1:11" x14ac:dyDescent="0.25">
      <c r="A346" s="269"/>
      <c r="B346" s="269"/>
      <c r="C346" s="269" t="s">
        <v>75</v>
      </c>
      <c r="D346" s="269"/>
      <c r="E346" s="269"/>
      <c r="F346" s="269" t="s">
        <v>4095</v>
      </c>
      <c r="G346" s="269" t="s">
        <v>4096</v>
      </c>
      <c r="H346" s="269" t="s">
        <v>4097</v>
      </c>
      <c r="I346" s="269" t="s">
        <v>4098</v>
      </c>
      <c r="J346" s="269" t="s">
        <v>2677</v>
      </c>
      <c r="K346" s="269" t="s">
        <v>4099</v>
      </c>
    </row>
    <row r="347" spans="1:11" x14ac:dyDescent="0.25">
      <c r="A347" s="117">
        <v>540219</v>
      </c>
      <c r="B347" s="2" t="s">
        <v>273</v>
      </c>
      <c r="C347" s="2" t="s">
        <v>95</v>
      </c>
      <c r="D347" s="2" t="s">
        <v>115</v>
      </c>
      <c r="E347" s="2" t="s">
        <v>2247</v>
      </c>
      <c r="F347" s="2" t="s">
        <v>4100</v>
      </c>
      <c r="G347" s="2" t="s">
        <v>3200</v>
      </c>
      <c r="H347" s="2" t="s">
        <v>3855</v>
      </c>
      <c r="I347" s="2" t="s">
        <v>2388</v>
      </c>
      <c r="J347" s="2" t="s">
        <v>2312</v>
      </c>
      <c r="K347" s="2" t="s">
        <v>2550</v>
      </c>
    </row>
    <row r="348" spans="1:11" x14ac:dyDescent="0.25">
      <c r="A348" s="117">
        <v>540220</v>
      </c>
      <c r="B348" s="2" t="s">
        <v>274</v>
      </c>
      <c r="C348" s="2" t="s">
        <v>95</v>
      </c>
      <c r="D348" s="2" t="s">
        <v>115</v>
      </c>
      <c r="E348" s="2" t="s">
        <v>2247</v>
      </c>
      <c r="F348" s="2" t="s">
        <v>2458</v>
      </c>
      <c r="G348" s="2" t="s">
        <v>2859</v>
      </c>
      <c r="H348" s="2" t="s">
        <v>3154</v>
      </c>
      <c r="I348" s="2" t="s">
        <v>2570</v>
      </c>
      <c r="J348" s="2" t="s">
        <v>2710</v>
      </c>
      <c r="K348" s="2" t="s">
        <v>2329</v>
      </c>
    </row>
    <row r="349" spans="1:11" x14ac:dyDescent="0.25">
      <c r="A349" s="117">
        <v>540218</v>
      </c>
      <c r="B349" s="2" t="s">
        <v>272</v>
      </c>
      <c r="C349" s="2" t="s">
        <v>95</v>
      </c>
      <c r="D349" s="2" t="s">
        <v>115</v>
      </c>
      <c r="E349" s="2" t="s">
        <v>2247</v>
      </c>
      <c r="F349" s="2" t="s">
        <v>4101</v>
      </c>
      <c r="G349" s="2" t="s">
        <v>3472</v>
      </c>
      <c r="H349" s="2" t="s">
        <v>2579</v>
      </c>
      <c r="I349" s="2" t="s">
        <v>2570</v>
      </c>
      <c r="J349" s="2" t="s">
        <v>2631</v>
      </c>
      <c r="K349" s="2" t="s">
        <v>2498</v>
      </c>
    </row>
    <row r="350" spans="1:11" x14ac:dyDescent="0.25">
      <c r="A350" s="117">
        <v>540217</v>
      </c>
      <c r="B350" s="2" t="s">
        <v>94</v>
      </c>
      <c r="C350" s="2" t="s">
        <v>95</v>
      </c>
      <c r="D350" s="2" t="s">
        <v>5</v>
      </c>
      <c r="E350" s="2" t="s">
        <v>2247</v>
      </c>
      <c r="F350" s="2" t="s">
        <v>4102</v>
      </c>
      <c r="G350" s="2" t="s">
        <v>4103</v>
      </c>
      <c r="H350" s="2" t="s">
        <v>4104</v>
      </c>
      <c r="I350" s="2" t="s">
        <v>4105</v>
      </c>
      <c r="J350" s="2" t="s">
        <v>4106</v>
      </c>
      <c r="K350" s="2" t="s">
        <v>4107</v>
      </c>
    </row>
    <row r="351" spans="1:11" x14ac:dyDescent="0.25">
      <c r="A351" s="269"/>
      <c r="B351" s="269"/>
      <c r="C351" s="269" t="s">
        <v>95</v>
      </c>
      <c r="D351" s="269"/>
      <c r="E351" s="269"/>
      <c r="F351" s="269" t="s">
        <v>4108</v>
      </c>
      <c r="G351" s="269" t="s">
        <v>4109</v>
      </c>
      <c r="H351" s="269" t="s">
        <v>4110</v>
      </c>
      <c r="I351" s="269" t="s">
        <v>4111</v>
      </c>
      <c r="J351" s="269" t="s">
        <v>4112</v>
      </c>
      <c r="K351" s="269" t="s">
        <v>2475</v>
      </c>
    </row>
    <row r="352" spans="1:11" x14ac:dyDescent="0.25">
      <c r="A352" s="2" t="s">
        <v>535</v>
      </c>
      <c r="B352" s="2"/>
      <c r="C352" s="2"/>
      <c r="D352" s="2"/>
      <c r="E352" s="2"/>
      <c r="F352" s="2"/>
      <c r="G352" s="2"/>
      <c r="H352" s="2"/>
      <c r="I352" s="2"/>
      <c r="J352" s="2"/>
      <c r="K352" s="2"/>
    </row>
    <row r="353" spans="1:11" x14ac:dyDescent="0.25">
      <c r="A353" s="117">
        <v>540152</v>
      </c>
      <c r="B353" s="2" t="s">
        <v>229</v>
      </c>
      <c r="C353" s="2" t="s">
        <v>544</v>
      </c>
      <c r="D353" s="2" t="s">
        <v>115</v>
      </c>
      <c r="E353" s="2" t="s">
        <v>545</v>
      </c>
      <c r="F353" s="2" t="s">
        <v>4113</v>
      </c>
      <c r="G353" s="2" t="s">
        <v>4114</v>
      </c>
      <c r="H353" s="2" t="s">
        <v>4115</v>
      </c>
      <c r="I353" s="2" t="s">
        <v>4116</v>
      </c>
      <c r="J353" s="2" t="s">
        <v>4117</v>
      </c>
      <c r="K353" s="2" t="s">
        <v>2534</v>
      </c>
    </row>
    <row r="354" spans="1:11" x14ac:dyDescent="0.25">
      <c r="A354" s="117">
        <v>540196</v>
      </c>
      <c r="B354" s="2" t="s">
        <v>259</v>
      </c>
      <c r="C354" s="2" t="s">
        <v>546</v>
      </c>
      <c r="D354" s="2" t="s">
        <v>115</v>
      </c>
      <c r="E354" s="2" t="s">
        <v>547</v>
      </c>
      <c r="F354" s="2" t="s">
        <v>2810</v>
      </c>
      <c r="G354" s="2" t="s">
        <v>3776</v>
      </c>
      <c r="H354" s="2" t="s">
        <v>2608</v>
      </c>
      <c r="I354" s="2" t="s">
        <v>2603</v>
      </c>
      <c r="J354" s="2" t="s">
        <v>2357</v>
      </c>
      <c r="K354" s="2" t="s">
        <v>2430</v>
      </c>
    </row>
    <row r="355" spans="1:11" x14ac:dyDescent="0.25">
      <c r="A355" s="117">
        <v>540041</v>
      </c>
      <c r="B355" s="2" t="s">
        <v>142</v>
      </c>
      <c r="C355" s="2" t="s">
        <v>540</v>
      </c>
      <c r="D355" s="2" t="s">
        <v>115</v>
      </c>
      <c r="E355" s="2" t="s">
        <v>541</v>
      </c>
      <c r="F355" s="2" t="s">
        <v>2790</v>
      </c>
      <c r="G355" s="2" t="s">
        <v>3578</v>
      </c>
      <c r="H355" s="2" t="s">
        <v>3315</v>
      </c>
      <c r="I355" s="2" t="s">
        <v>4118</v>
      </c>
      <c r="J355" s="2" t="s">
        <v>2637</v>
      </c>
      <c r="K355" s="2" t="s">
        <v>2329</v>
      </c>
    </row>
    <row r="356" spans="1:11" x14ac:dyDescent="0.25">
      <c r="A356" s="117">
        <v>540018</v>
      </c>
      <c r="B356" s="2" t="s">
        <v>127</v>
      </c>
      <c r="C356" s="2" t="s">
        <v>538</v>
      </c>
      <c r="D356" s="2" t="s">
        <v>115</v>
      </c>
      <c r="E356" s="2" t="s">
        <v>539</v>
      </c>
      <c r="F356" s="2" t="s">
        <v>4119</v>
      </c>
      <c r="G356" s="2" t="s">
        <v>4120</v>
      </c>
      <c r="H356" s="2" t="s">
        <v>4121</v>
      </c>
      <c r="I356" s="2" t="s">
        <v>3037</v>
      </c>
      <c r="J356" s="2" t="s">
        <v>3636</v>
      </c>
      <c r="K356" s="2" t="s">
        <v>2358</v>
      </c>
    </row>
    <row r="357" spans="1:11" x14ac:dyDescent="0.25">
      <c r="A357" s="117">
        <v>540014</v>
      </c>
      <c r="B357" s="2" t="s">
        <v>124</v>
      </c>
      <c r="C357" s="2" t="s">
        <v>536</v>
      </c>
      <c r="D357" s="2" t="s">
        <v>115</v>
      </c>
      <c r="E357" s="2" t="s">
        <v>537</v>
      </c>
      <c r="F357" s="2" t="s">
        <v>4122</v>
      </c>
      <c r="G357" s="2" t="s">
        <v>2951</v>
      </c>
      <c r="H357" s="2" t="s">
        <v>4123</v>
      </c>
      <c r="I357" s="2" t="s">
        <v>4124</v>
      </c>
      <c r="J357" s="2" t="s">
        <v>3897</v>
      </c>
      <c r="K357" s="2" t="s">
        <v>2414</v>
      </c>
    </row>
    <row r="358" spans="1:11" x14ac:dyDescent="0.25">
      <c r="A358" s="117">
        <v>540081</v>
      </c>
      <c r="B358" s="2" t="s">
        <v>176</v>
      </c>
      <c r="C358" s="2" t="s">
        <v>542</v>
      </c>
      <c r="D358" s="2" t="s">
        <v>115</v>
      </c>
      <c r="E358" s="2" t="s">
        <v>543</v>
      </c>
      <c r="F358" s="2" t="s">
        <v>4125</v>
      </c>
      <c r="G358" s="2" t="s">
        <v>4126</v>
      </c>
      <c r="H358" s="2" t="s">
        <v>4127</v>
      </c>
      <c r="I358" s="2" t="s">
        <v>3064</v>
      </c>
      <c r="J358" s="2" t="s">
        <v>3117</v>
      </c>
      <c r="K358" s="2" t="s">
        <v>2569</v>
      </c>
    </row>
    <row r="359" spans="1:11" x14ac:dyDescent="0.25">
      <c r="A359" s="117">
        <v>540033</v>
      </c>
      <c r="B359" s="2" t="s">
        <v>138</v>
      </c>
      <c r="C359" s="2" t="s">
        <v>1299</v>
      </c>
      <c r="D359" s="2" t="s">
        <v>115</v>
      </c>
      <c r="E359" s="2" t="s">
        <v>1298</v>
      </c>
      <c r="F359" s="2" t="s">
        <v>3749</v>
      </c>
      <c r="G359" s="2" t="s">
        <v>4128</v>
      </c>
      <c r="H359" s="2" t="s">
        <v>4129</v>
      </c>
      <c r="I359" s="2" t="s">
        <v>2472</v>
      </c>
      <c r="J359" s="2" t="s">
        <v>2601</v>
      </c>
      <c r="K359" s="2" t="s">
        <v>2412</v>
      </c>
    </row>
    <row r="360" spans="1:11" x14ac:dyDescent="0.25">
      <c r="A360" s="117">
        <v>540029</v>
      </c>
      <c r="B360" s="2" t="s">
        <v>134</v>
      </c>
      <c r="C360" s="2" t="s">
        <v>1299</v>
      </c>
      <c r="D360" s="2" t="s">
        <v>115</v>
      </c>
      <c r="E360" s="2" t="s">
        <v>1298</v>
      </c>
      <c r="F360" s="2" t="s">
        <v>4130</v>
      </c>
      <c r="G360" s="2" t="s">
        <v>2707</v>
      </c>
      <c r="H360" s="2" t="s">
        <v>4131</v>
      </c>
      <c r="I360" s="2" t="s">
        <v>2521</v>
      </c>
      <c r="J360" s="2" t="s">
        <v>2471</v>
      </c>
      <c r="K360" s="2" t="s">
        <v>2387</v>
      </c>
    </row>
  </sheetData>
  <hyperlinks>
    <hyperlink ref="N4"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80"/>
  <sheetViews>
    <sheetView topLeftCell="O1" workbookViewId="0">
      <pane ySplit="4" topLeftCell="A5" activePane="bottomLeft" state="frozen"/>
      <selection pane="bottomLeft" activeCell="Y7" sqref="Y7"/>
    </sheetView>
  </sheetViews>
  <sheetFormatPr defaultRowHeight="15" x14ac:dyDescent="0.25"/>
  <cols>
    <col min="1" max="1" width="17" style="10" customWidth="1"/>
    <col min="2" max="2" width="28.28515625" customWidth="1"/>
    <col min="3" max="3" width="25.28515625" customWidth="1"/>
    <col min="4" max="4" width="17.42578125" customWidth="1"/>
    <col min="5" max="5" width="9.140625" style="10"/>
    <col min="6" max="6" width="11" customWidth="1"/>
    <col min="7" max="7" width="9.42578125" customWidth="1"/>
    <col min="8" max="8" width="11" customWidth="1"/>
    <col min="9" max="9" width="11" style="16" customWidth="1"/>
    <col min="10" max="10" width="7.5703125" customWidth="1"/>
    <col min="14" max="14" width="11.5703125" customWidth="1"/>
    <col min="15" max="15" width="9.42578125" customWidth="1"/>
    <col min="16" max="16" width="11.85546875" customWidth="1"/>
    <col min="18" max="18" width="10.42578125" customWidth="1"/>
    <col min="25" max="25" width="105.7109375" bestFit="1" customWidth="1"/>
  </cols>
  <sheetData>
    <row r="1" spans="1:25" ht="18.75" x14ac:dyDescent="0.3">
      <c r="A1" s="397" t="s">
        <v>518</v>
      </c>
      <c r="B1" s="397"/>
      <c r="C1" s="397"/>
      <c r="D1" s="397"/>
      <c r="F1" s="9" t="s">
        <v>548</v>
      </c>
    </row>
    <row r="2" spans="1:25" s="198" customFormat="1" x14ac:dyDescent="0.25">
      <c r="A2" s="10"/>
      <c r="E2" s="10"/>
      <c r="X2" s="233" t="s">
        <v>1325</v>
      </c>
      <c r="Y2" s="233" t="s">
        <v>1327</v>
      </c>
    </row>
    <row r="3" spans="1:25" x14ac:dyDescent="0.25">
      <c r="F3" s="398" t="s">
        <v>519</v>
      </c>
      <c r="G3" s="398"/>
      <c r="H3" s="398"/>
      <c r="I3" s="120"/>
      <c r="K3" s="398" t="s">
        <v>520</v>
      </c>
      <c r="L3" s="398"/>
      <c r="M3" s="398"/>
      <c r="N3" s="398"/>
      <c r="O3" s="398"/>
      <c r="P3" s="398"/>
      <c r="Q3" s="398"/>
      <c r="R3" s="398"/>
      <c r="S3" s="398"/>
      <c r="T3" s="398"/>
      <c r="U3" s="398"/>
      <c r="X3" s="233" t="s">
        <v>1326</v>
      </c>
      <c r="Y3" s="389" t="s">
        <v>1328</v>
      </c>
    </row>
    <row r="4" spans="1:25" s="15" customFormat="1" ht="60" x14ac:dyDescent="0.25">
      <c r="A4" s="69" t="s">
        <v>0</v>
      </c>
      <c r="B4" s="70" t="s">
        <v>1</v>
      </c>
      <c r="C4" s="237" t="s">
        <v>2</v>
      </c>
      <c r="D4" s="69" t="s">
        <v>347</v>
      </c>
      <c r="E4" s="69" t="s">
        <v>403</v>
      </c>
      <c r="F4" s="35" t="s">
        <v>521</v>
      </c>
      <c r="G4" s="35" t="s">
        <v>522</v>
      </c>
      <c r="H4" s="35" t="s">
        <v>523</v>
      </c>
      <c r="I4" s="121" t="s">
        <v>577</v>
      </c>
      <c r="J4" s="71"/>
      <c r="K4" s="72" t="s">
        <v>524</v>
      </c>
      <c r="L4" s="72" t="s">
        <v>525</v>
      </c>
      <c r="M4" s="72" t="s">
        <v>526</v>
      </c>
      <c r="N4" s="17" t="s">
        <v>527</v>
      </c>
      <c r="O4" s="17" t="s">
        <v>528</v>
      </c>
      <c r="P4" s="17" t="s">
        <v>529</v>
      </c>
      <c r="Q4" s="17" t="s">
        <v>530</v>
      </c>
      <c r="R4" s="17" t="s">
        <v>531</v>
      </c>
      <c r="S4" s="17" t="s">
        <v>532</v>
      </c>
      <c r="T4" s="17" t="s">
        <v>533</v>
      </c>
      <c r="U4" s="17" t="s">
        <v>415</v>
      </c>
      <c r="V4" s="57"/>
      <c r="W4" s="121" t="s">
        <v>534</v>
      </c>
    </row>
    <row r="5" spans="1:25" x14ac:dyDescent="0.25">
      <c r="A5" s="2">
        <v>540001</v>
      </c>
      <c r="B5" s="2" t="s">
        <v>3</v>
      </c>
      <c r="C5" s="238" t="s">
        <v>4</v>
      </c>
      <c r="D5" s="2" t="s">
        <v>5</v>
      </c>
      <c r="E5" s="2">
        <v>7</v>
      </c>
      <c r="F5" s="2">
        <v>393</v>
      </c>
      <c r="G5" s="2">
        <v>317</v>
      </c>
      <c r="H5" s="2">
        <v>355</v>
      </c>
      <c r="I5" s="2">
        <v>0</v>
      </c>
      <c r="J5" s="2"/>
      <c r="K5" s="2">
        <v>7465</v>
      </c>
      <c r="L5" s="2">
        <v>8859</v>
      </c>
      <c r="M5" s="2">
        <v>8162</v>
      </c>
      <c r="N5" s="2">
        <v>4231</v>
      </c>
      <c r="O5" s="2">
        <v>2208</v>
      </c>
      <c r="P5" s="2">
        <v>315</v>
      </c>
      <c r="Q5" s="2">
        <v>9</v>
      </c>
      <c r="R5" s="2">
        <v>0</v>
      </c>
      <c r="S5" s="2">
        <v>5</v>
      </c>
      <c r="T5" s="2">
        <v>322</v>
      </c>
      <c r="U5" s="2">
        <v>375</v>
      </c>
      <c r="V5" s="16"/>
      <c r="W5" s="239">
        <f t="shared" ref="W5:W68" si="0" xml:space="preserve"> H5 / K5</f>
        <v>4.7555257870060284E-2</v>
      </c>
    </row>
    <row r="6" spans="1:25" x14ac:dyDescent="0.25">
      <c r="A6" s="2">
        <v>540002</v>
      </c>
      <c r="B6" s="2" t="s">
        <v>114</v>
      </c>
      <c r="C6" s="238" t="s">
        <v>4</v>
      </c>
      <c r="D6" s="2" t="s">
        <v>115</v>
      </c>
      <c r="E6" s="2">
        <v>7</v>
      </c>
      <c r="F6" s="2">
        <v>120</v>
      </c>
      <c r="G6" s="2">
        <v>93</v>
      </c>
      <c r="H6" s="2">
        <v>106.5</v>
      </c>
      <c r="I6" s="2">
        <v>0</v>
      </c>
      <c r="J6" s="2"/>
      <c r="K6" s="2">
        <v>1039</v>
      </c>
      <c r="L6" s="2">
        <v>975</v>
      </c>
      <c r="M6" s="2">
        <v>1007</v>
      </c>
      <c r="N6" s="2">
        <v>803</v>
      </c>
      <c r="O6" s="2">
        <v>8</v>
      </c>
      <c r="P6" s="2">
        <v>86</v>
      </c>
      <c r="Q6" s="2">
        <v>5</v>
      </c>
      <c r="R6" s="2">
        <v>0</v>
      </c>
      <c r="S6" s="2">
        <v>1</v>
      </c>
      <c r="T6" s="2">
        <v>48</v>
      </c>
      <c r="U6" s="2">
        <v>88</v>
      </c>
      <c r="V6" s="16"/>
      <c r="W6" s="239">
        <f t="shared" si="0"/>
        <v>0.10250240615976901</v>
      </c>
    </row>
    <row r="7" spans="1:25" x14ac:dyDescent="0.25">
      <c r="A7" s="2">
        <v>540003</v>
      </c>
      <c r="B7" s="2" t="s">
        <v>116</v>
      </c>
      <c r="C7" s="238" t="s">
        <v>4</v>
      </c>
      <c r="D7" s="2" t="s">
        <v>115</v>
      </c>
      <c r="E7" s="2">
        <v>7</v>
      </c>
      <c r="F7" s="2">
        <v>12</v>
      </c>
      <c r="G7" s="2">
        <v>18</v>
      </c>
      <c r="H7" s="2">
        <v>15</v>
      </c>
      <c r="I7" s="2">
        <v>0</v>
      </c>
      <c r="J7" s="2"/>
      <c r="K7" s="2">
        <v>259</v>
      </c>
      <c r="L7" s="2">
        <v>256</v>
      </c>
      <c r="M7" s="2">
        <v>257.5</v>
      </c>
      <c r="N7" s="2">
        <v>197</v>
      </c>
      <c r="O7" s="2">
        <v>8</v>
      </c>
      <c r="P7" s="2">
        <v>26</v>
      </c>
      <c r="Q7" s="2">
        <v>0</v>
      </c>
      <c r="R7" s="2">
        <v>0</v>
      </c>
      <c r="S7" s="2">
        <v>0</v>
      </c>
      <c r="T7" s="2">
        <v>19</v>
      </c>
      <c r="U7" s="2">
        <v>9</v>
      </c>
      <c r="V7" s="16"/>
      <c r="W7" s="239">
        <f t="shared" si="0"/>
        <v>5.7915057915057917E-2</v>
      </c>
    </row>
    <row r="8" spans="1:25" x14ac:dyDescent="0.25">
      <c r="A8" s="2">
        <v>540004</v>
      </c>
      <c r="B8" s="2" t="s">
        <v>117</v>
      </c>
      <c r="C8" s="238" t="s">
        <v>4</v>
      </c>
      <c r="D8" s="2" t="s">
        <v>115</v>
      </c>
      <c r="E8" s="2">
        <v>7</v>
      </c>
      <c r="F8" s="2">
        <v>264</v>
      </c>
      <c r="G8" s="2">
        <v>223</v>
      </c>
      <c r="H8" s="2">
        <v>243.5</v>
      </c>
      <c r="I8" s="2">
        <v>0</v>
      </c>
      <c r="J8" s="2"/>
      <c r="K8" s="2">
        <v>1451</v>
      </c>
      <c r="L8" s="2">
        <v>1131</v>
      </c>
      <c r="M8" s="2">
        <v>1291</v>
      </c>
      <c r="N8" s="2">
        <v>984</v>
      </c>
      <c r="O8" s="2">
        <v>4</v>
      </c>
      <c r="P8" s="2">
        <v>254</v>
      </c>
      <c r="Q8" s="2">
        <v>1</v>
      </c>
      <c r="R8" s="2">
        <v>0</v>
      </c>
      <c r="S8" s="2">
        <v>2</v>
      </c>
      <c r="T8" s="2">
        <v>156</v>
      </c>
      <c r="U8" s="2">
        <v>50</v>
      </c>
      <c r="V8" s="16"/>
      <c r="W8" s="239">
        <f t="shared" si="0"/>
        <v>0.16781529979324603</v>
      </c>
    </row>
    <row r="9" spans="1:25" x14ac:dyDescent="0.25">
      <c r="A9" s="241"/>
      <c r="B9" s="241"/>
      <c r="C9" s="240" t="s">
        <v>4</v>
      </c>
      <c r="D9" s="23" t="s">
        <v>1360</v>
      </c>
      <c r="E9" s="23"/>
      <c r="F9" s="23">
        <v>789</v>
      </c>
      <c r="G9" s="23">
        <v>651</v>
      </c>
      <c r="H9" s="23">
        <v>720</v>
      </c>
      <c r="I9" s="23">
        <v>0</v>
      </c>
      <c r="J9" s="23"/>
      <c r="K9" s="23">
        <v>10214</v>
      </c>
      <c r="L9" s="23">
        <v>11221</v>
      </c>
      <c r="M9" s="23">
        <v>10717.5</v>
      </c>
      <c r="N9" s="23">
        <v>6215</v>
      </c>
      <c r="O9" s="23">
        <v>2228</v>
      </c>
      <c r="P9" s="23">
        <v>681</v>
      </c>
      <c r="Q9" s="23">
        <v>15</v>
      </c>
      <c r="R9" s="23">
        <v>0</v>
      </c>
      <c r="S9" s="23">
        <v>8</v>
      </c>
      <c r="T9" s="23">
        <v>545</v>
      </c>
      <c r="U9" s="23">
        <v>522</v>
      </c>
      <c r="V9" s="16"/>
      <c r="W9" s="239">
        <f t="shared" si="0"/>
        <v>7.0491482279224596E-2</v>
      </c>
    </row>
    <row r="10" spans="1:25" x14ac:dyDescent="0.25">
      <c r="A10" s="2">
        <v>540282</v>
      </c>
      <c r="B10" s="2" t="s">
        <v>106</v>
      </c>
      <c r="C10" s="238" t="s">
        <v>107</v>
      </c>
      <c r="D10" s="2" t="s">
        <v>5</v>
      </c>
      <c r="E10" s="2">
        <v>9</v>
      </c>
      <c r="F10" s="2">
        <v>501</v>
      </c>
      <c r="G10" s="2">
        <v>858</v>
      </c>
      <c r="H10" s="2">
        <v>679.5</v>
      </c>
      <c r="I10" s="2">
        <v>0</v>
      </c>
      <c r="J10" s="2"/>
      <c r="K10" s="2">
        <v>44904</v>
      </c>
      <c r="L10" s="2">
        <v>39920</v>
      </c>
      <c r="M10" s="2">
        <v>42412</v>
      </c>
      <c r="N10" s="2">
        <v>35102</v>
      </c>
      <c r="O10" s="2">
        <v>1902</v>
      </c>
      <c r="P10" s="2">
        <v>4931</v>
      </c>
      <c r="Q10" s="2">
        <v>45</v>
      </c>
      <c r="R10" s="2">
        <v>2023</v>
      </c>
      <c r="S10" s="2">
        <v>22</v>
      </c>
      <c r="T10" s="2">
        <v>558</v>
      </c>
      <c r="U10" s="2">
        <v>321</v>
      </c>
      <c r="V10" s="16"/>
      <c r="W10" s="239">
        <f t="shared" si="0"/>
        <v>1.5132282202031E-2</v>
      </c>
    </row>
    <row r="11" spans="1:25" x14ac:dyDescent="0.25">
      <c r="A11" s="2">
        <v>545550</v>
      </c>
      <c r="B11" s="2" t="s">
        <v>339</v>
      </c>
      <c r="C11" s="238" t="s">
        <v>107</v>
      </c>
      <c r="D11" s="2" t="s">
        <v>115</v>
      </c>
      <c r="E11" s="2">
        <v>9</v>
      </c>
      <c r="F11" s="2">
        <v>0</v>
      </c>
      <c r="G11" s="2">
        <v>0</v>
      </c>
      <c r="H11" s="2">
        <v>0</v>
      </c>
      <c r="I11" s="2">
        <v>0</v>
      </c>
      <c r="J11" s="2"/>
      <c r="K11" s="2">
        <v>178</v>
      </c>
      <c r="L11" s="2">
        <v>141</v>
      </c>
      <c r="M11" s="2">
        <v>159.5</v>
      </c>
      <c r="N11" s="2">
        <v>133</v>
      </c>
      <c r="O11" s="2">
        <v>0</v>
      </c>
      <c r="P11" s="2">
        <v>33</v>
      </c>
      <c r="Q11" s="2">
        <v>0</v>
      </c>
      <c r="R11" s="2">
        <v>0</v>
      </c>
      <c r="S11" s="2">
        <v>1</v>
      </c>
      <c r="T11" s="2">
        <v>11</v>
      </c>
      <c r="U11" s="2">
        <v>0</v>
      </c>
      <c r="V11" s="16"/>
      <c r="W11" s="239">
        <f t="shared" si="0"/>
        <v>0</v>
      </c>
    </row>
    <row r="12" spans="1:25" x14ac:dyDescent="0.25">
      <c r="A12" s="2">
        <v>540006</v>
      </c>
      <c r="B12" s="2" t="s">
        <v>119</v>
      </c>
      <c r="C12" s="238" t="s">
        <v>107</v>
      </c>
      <c r="D12" s="2" t="s">
        <v>115</v>
      </c>
      <c r="E12" s="2">
        <v>9</v>
      </c>
      <c r="F12" s="2">
        <v>87</v>
      </c>
      <c r="G12" s="2">
        <v>82</v>
      </c>
      <c r="H12" s="2">
        <v>84.5</v>
      </c>
      <c r="I12" s="2">
        <v>0</v>
      </c>
      <c r="J12" s="2"/>
      <c r="K12" s="2">
        <v>9083</v>
      </c>
      <c r="L12" s="2">
        <v>5754</v>
      </c>
      <c r="M12" s="2">
        <v>7418.5</v>
      </c>
      <c r="N12" s="2">
        <v>5896</v>
      </c>
      <c r="O12" s="2">
        <v>5</v>
      </c>
      <c r="P12" s="2">
        <v>979</v>
      </c>
      <c r="Q12" s="2">
        <v>4</v>
      </c>
      <c r="R12" s="2">
        <v>1662</v>
      </c>
      <c r="S12" s="2">
        <v>7</v>
      </c>
      <c r="T12" s="2">
        <v>501</v>
      </c>
      <c r="U12" s="2">
        <v>29</v>
      </c>
      <c r="V12" s="16"/>
      <c r="W12" s="239">
        <f t="shared" si="0"/>
        <v>9.3030936915116155E-3</v>
      </c>
    </row>
    <row r="13" spans="1:25" x14ac:dyDescent="0.25">
      <c r="A13" s="241"/>
      <c r="B13" s="241"/>
      <c r="C13" s="240" t="s">
        <v>107</v>
      </c>
      <c r="D13" s="23" t="s">
        <v>1360</v>
      </c>
      <c r="E13" s="23"/>
      <c r="F13" s="23">
        <v>588</v>
      </c>
      <c r="G13" s="23">
        <v>940</v>
      </c>
      <c r="H13" s="23">
        <v>764</v>
      </c>
      <c r="I13" s="23">
        <v>0</v>
      </c>
      <c r="J13" s="23"/>
      <c r="K13" s="23">
        <v>54165</v>
      </c>
      <c r="L13" s="23">
        <v>45815</v>
      </c>
      <c r="M13" s="23">
        <v>49990</v>
      </c>
      <c r="N13" s="23">
        <v>41131</v>
      </c>
      <c r="O13" s="23">
        <v>1907</v>
      </c>
      <c r="P13" s="23">
        <v>5943</v>
      </c>
      <c r="Q13" s="23">
        <v>49</v>
      </c>
      <c r="R13" s="23">
        <v>3685</v>
      </c>
      <c r="S13" s="23">
        <v>30</v>
      </c>
      <c r="T13" s="23">
        <v>1070</v>
      </c>
      <c r="U13" s="23">
        <v>350</v>
      </c>
      <c r="V13" s="16"/>
      <c r="W13" s="239">
        <f t="shared" si="0"/>
        <v>1.4105049386134959E-2</v>
      </c>
    </row>
    <row r="14" spans="1:25" x14ac:dyDescent="0.25">
      <c r="A14" s="2">
        <v>540007</v>
      </c>
      <c r="B14" s="2" t="s">
        <v>6</v>
      </c>
      <c r="C14" s="238" t="s">
        <v>7</v>
      </c>
      <c r="D14" s="2" t="s">
        <v>5</v>
      </c>
      <c r="E14" s="2">
        <v>3</v>
      </c>
      <c r="F14" s="2">
        <v>2932</v>
      </c>
      <c r="G14" s="2">
        <v>3093</v>
      </c>
      <c r="H14" s="2">
        <v>3012.5</v>
      </c>
      <c r="I14" s="2">
        <v>0</v>
      </c>
      <c r="J14" s="2"/>
      <c r="K14" s="2">
        <v>10187</v>
      </c>
      <c r="L14" s="2">
        <v>8652</v>
      </c>
      <c r="M14" s="2">
        <v>9419.5</v>
      </c>
      <c r="N14" s="2">
        <v>6689</v>
      </c>
      <c r="O14" s="2">
        <v>37</v>
      </c>
      <c r="P14" s="2">
        <v>630</v>
      </c>
      <c r="Q14" s="2">
        <v>124</v>
      </c>
      <c r="R14" s="2">
        <v>0</v>
      </c>
      <c r="S14" s="2">
        <v>19</v>
      </c>
      <c r="T14" s="2">
        <v>247</v>
      </c>
      <c r="U14" s="2">
        <v>2441</v>
      </c>
      <c r="V14" s="16"/>
      <c r="W14" s="239">
        <f t="shared" si="0"/>
        <v>0.29572003533915775</v>
      </c>
    </row>
    <row r="15" spans="1:25" x14ac:dyDescent="0.25">
      <c r="A15" s="2">
        <v>540230</v>
      </c>
      <c r="B15" s="2" t="s">
        <v>280</v>
      </c>
      <c r="C15" s="238" t="s">
        <v>7</v>
      </c>
      <c r="D15" s="2" t="s">
        <v>115</v>
      </c>
      <c r="E15" s="2">
        <v>3</v>
      </c>
      <c r="F15" s="2">
        <v>155</v>
      </c>
      <c r="G15" s="2">
        <v>125</v>
      </c>
      <c r="H15" s="2">
        <v>140</v>
      </c>
      <c r="I15" s="2">
        <v>0</v>
      </c>
      <c r="J15" s="2"/>
      <c r="K15" s="2">
        <v>332</v>
      </c>
      <c r="L15" s="2">
        <v>269</v>
      </c>
      <c r="M15" s="2">
        <v>300.5</v>
      </c>
      <c r="N15" s="2">
        <v>130</v>
      </c>
      <c r="O15" s="2">
        <v>0</v>
      </c>
      <c r="P15" s="2">
        <v>76</v>
      </c>
      <c r="Q15" s="2">
        <v>0</v>
      </c>
      <c r="R15" s="2">
        <v>0</v>
      </c>
      <c r="S15" s="2">
        <v>1</v>
      </c>
      <c r="T15" s="2">
        <v>29</v>
      </c>
      <c r="U15" s="2">
        <v>96</v>
      </c>
      <c r="V15" s="16"/>
      <c r="W15" s="239">
        <f t="shared" si="0"/>
        <v>0.42168674698795183</v>
      </c>
    </row>
    <row r="16" spans="1:25" x14ac:dyDescent="0.25">
      <c r="A16" s="2">
        <v>540008</v>
      </c>
      <c r="B16" s="2" t="s">
        <v>120</v>
      </c>
      <c r="C16" s="238" t="s">
        <v>7</v>
      </c>
      <c r="D16" s="2" t="s">
        <v>115</v>
      </c>
      <c r="E16" s="2">
        <v>3</v>
      </c>
      <c r="F16" s="2">
        <v>324</v>
      </c>
      <c r="G16" s="2">
        <v>251</v>
      </c>
      <c r="H16" s="2">
        <v>287.5</v>
      </c>
      <c r="I16" s="2">
        <v>0</v>
      </c>
      <c r="J16" s="2"/>
      <c r="K16" s="2">
        <v>1424</v>
      </c>
      <c r="L16" s="2">
        <v>1092</v>
      </c>
      <c r="M16" s="2">
        <v>1258</v>
      </c>
      <c r="N16" s="2">
        <v>826</v>
      </c>
      <c r="O16" s="2">
        <v>1</v>
      </c>
      <c r="P16" s="2">
        <v>98</v>
      </c>
      <c r="Q16" s="2">
        <v>1</v>
      </c>
      <c r="R16" s="2">
        <v>3</v>
      </c>
      <c r="S16" s="2">
        <v>4</v>
      </c>
      <c r="T16" s="2">
        <v>69</v>
      </c>
      <c r="U16" s="2">
        <v>422</v>
      </c>
      <c r="V16" s="16"/>
      <c r="W16" s="239">
        <f t="shared" si="0"/>
        <v>0.20189606741573032</v>
      </c>
    </row>
    <row r="17" spans="1:23" x14ac:dyDescent="0.25">
      <c r="A17" s="2">
        <v>540238</v>
      </c>
      <c r="B17" s="2" t="s">
        <v>286</v>
      </c>
      <c r="C17" s="238" t="s">
        <v>7</v>
      </c>
      <c r="D17" s="2" t="s">
        <v>115</v>
      </c>
      <c r="E17" s="2">
        <v>3</v>
      </c>
      <c r="F17" s="2">
        <v>69</v>
      </c>
      <c r="G17" s="2">
        <v>90</v>
      </c>
      <c r="H17" s="2">
        <v>79.5</v>
      </c>
      <c r="I17" s="2">
        <v>0</v>
      </c>
      <c r="J17" s="2"/>
      <c r="K17" s="2">
        <v>92</v>
      </c>
      <c r="L17" s="2">
        <v>98</v>
      </c>
      <c r="M17" s="2">
        <v>95</v>
      </c>
      <c r="N17" s="2">
        <v>64</v>
      </c>
      <c r="O17" s="2">
        <v>0</v>
      </c>
      <c r="P17" s="2">
        <v>13</v>
      </c>
      <c r="Q17" s="2">
        <v>0</v>
      </c>
      <c r="R17" s="2">
        <v>0</v>
      </c>
      <c r="S17" s="2">
        <v>2</v>
      </c>
      <c r="T17" s="2">
        <v>8</v>
      </c>
      <c r="U17" s="2">
        <v>5</v>
      </c>
      <c r="V17" s="16"/>
      <c r="W17" s="239">
        <f t="shared" si="0"/>
        <v>0.86413043478260865</v>
      </c>
    </row>
    <row r="18" spans="1:23" x14ac:dyDescent="0.25">
      <c r="A18" s="2">
        <v>540229</v>
      </c>
      <c r="B18" s="2" t="s">
        <v>279</v>
      </c>
      <c r="C18" s="238" t="s">
        <v>7</v>
      </c>
      <c r="D18" s="2" t="s">
        <v>115</v>
      </c>
      <c r="E18" s="2">
        <v>3</v>
      </c>
      <c r="F18" s="2">
        <v>85</v>
      </c>
      <c r="G18" s="2">
        <v>110</v>
      </c>
      <c r="H18" s="2">
        <v>97.5</v>
      </c>
      <c r="I18" s="2">
        <v>0</v>
      </c>
      <c r="J18" s="2"/>
      <c r="K18" s="2">
        <v>278</v>
      </c>
      <c r="L18" s="2">
        <v>257</v>
      </c>
      <c r="M18" s="2">
        <v>267.5</v>
      </c>
      <c r="N18" s="2">
        <v>115</v>
      </c>
      <c r="O18" s="2">
        <v>0</v>
      </c>
      <c r="P18" s="2">
        <v>61</v>
      </c>
      <c r="Q18" s="2">
        <v>1</v>
      </c>
      <c r="R18" s="2">
        <v>2</v>
      </c>
      <c r="S18" s="2">
        <v>16</v>
      </c>
      <c r="T18" s="2">
        <v>26</v>
      </c>
      <c r="U18" s="2">
        <v>57</v>
      </c>
      <c r="V18" s="16"/>
      <c r="W18" s="239">
        <f t="shared" si="0"/>
        <v>0.35071942446043164</v>
      </c>
    </row>
    <row r="19" spans="1:23" x14ac:dyDescent="0.25">
      <c r="A19" s="241"/>
      <c r="B19" s="241"/>
      <c r="C19" s="240" t="s">
        <v>7</v>
      </c>
      <c r="D19" s="23" t="s">
        <v>1360</v>
      </c>
      <c r="E19" s="23"/>
      <c r="F19" s="23">
        <v>3565</v>
      </c>
      <c r="G19" s="23">
        <v>3669</v>
      </c>
      <c r="H19" s="23">
        <v>3617</v>
      </c>
      <c r="I19" s="23">
        <v>0</v>
      </c>
      <c r="J19" s="23"/>
      <c r="K19" s="23">
        <v>12313</v>
      </c>
      <c r="L19" s="23">
        <v>10368</v>
      </c>
      <c r="M19" s="23">
        <v>11340.5</v>
      </c>
      <c r="N19" s="23">
        <v>7824</v>
      </c>
      <c r="O19" s="23">
        <v>38</v>
      </c>
      <c r="P19" s="23">
        <v>878</v>
      </c>
      <c r="Q19" s="23">
        <v>126</v>
      </c>
      <c r="R19" s="23">
        <v>5</v>
      </c>
      <c r="S19" s="23">
        <v>42</v>
      </c>
      <c r="T19" s="23">
        <v>379</v>
      </c>
      <c r="U19" s="23">
        <v>3021</v>
      </c>
      <c r="V19" s="16"/>
      <c r="W19" s="239">
        <f t="shared" si="0"/>
        <v>0.29375456834240232</v>
      </c>
    </row>
    <row r="20" spans="1:23" x14ac:dyDescent="0.25">
      <c r="A20" s="2">
        <v>540009</v>
      </c>
      <c r="B20" s="2" t="s">
        <v>8</v>
      </c>
      <c r="C20" s="238" t="s">
        <v>9</v>
      </c>
      <c r="D20" s="2" t="s">
        <v>5</v>
      </c>
      <c r="E20" s="2">
        <v>7</v>
      </c>
      <c r="F20" s="2">
        <v>1290</v>
      </c>
      <c r="G20" s="2">
        <v>955</v>
      </c>
      <c r="H20" s="2">
        <v>1122.5</v>
      </c>
      <c r="I20" s="2">
        <v>0</v>
      </c>
      <c r="J20" s="2"/>
      <c r="K20" s="2">
        <v>14142</v>
      </c>
      <c r="L20" s="2">
        <v>8553</v>
      </c>
      <c r="M20" s="2">
        <v>11347.5</v>
      </c>
      <c r="N20" s="2">
        <v>9927</v>
      </c>
      <c r="O20" s="2">
        <v>3054</v>
      </c>
      <c r="P20" s="2">
        <v>395</v>
      </c>
      <c r="Q20" s="2">
        <v>42</v>
      </c>
      <c r="R20" s="2">
        <v>9</v>
      </c>
      <c r="S20" s="2">
        <v>26</v>
      </c>
      <c r="T20" s="2">
        <v>385</v>
      </c>
      <c r="U20" s="2">
        <v>304</v>
      </c>
      <c r="V20" s="16"/>
      <c r="W20" s="239">
        <f t="shared" si="0"/>
        <v>7.9373497383679825E-2</v>
      </c>
    </row>
    <row r="21" spans="1:23" x14ac:dyDescent="0.25">
      <c r="A21" s="2">
        <v>540010</v>
      </c>
      <c r="B21" s="2" t="s">
        <v>121</v>
      </c>
      <c r="C21" s="238" t="s">
        <v>9</v>
      </c>
      <c r="D21" s="2" t="s">
        <v>115</v>
      </c>
      <c r="E21" s="2">
        <v>7</v>
      </c>
      <c r="F21" s="2">
        <v>35</v>
      </c>
      <c r="G21" s="2">
        <v>26</v>
      </c>
      <c r="H21" s="2">
        <v>30.5</v>
      </c>
      <c r="I21" s="2">
        <v>0</v>
      </c>
      <c r="J21" s="2"/>
      <c r="K21" s="2">
        <v>411</v>
      </c>
      <c r="L21" s="2">
        <v>278</v>
      </c>
      <c r="M21" s="2">
        <v>344.5</v>
      </c>
      <c r="N21" s="2">
        <v>316</v>
      </c>
      <c r="O21" s="2">
        <v>14</v>
      </c>
      <c r="P21" s="2">
        <v>27</v>
      </c>
      <c r="Q21" s="2">
        <v>0</v>
      </c>
      <c r="R21" s="2">
        <v>0</v>
      </c>
      <c r="S21" s="2">
        <v>7</v>
      </c>
      <c r="T21" s="2">
        <v>22</v>
      </c>
      <c r="U21" s="2">
        <v>25</v>
      </c>
      <c r="V21" s="16"/>
      <c r="W21" s="239">
        <f t="shared" si="0"/>
        <v>7.4209245742092464E-2</v>
      </c>
    </row>
    <row r="22" spans="1:23" x14ac:dyDescent="0.25">
      <c r="A22" s="2">
        <v>540235</v>
      </c>
      <c r="B22" s="2" t="s">
        <v>283</v>
      </c>
      <c r="C22" s="238" t="s">
        <v>9</v>
      </c>
      <c r="D22" s="2" t="s">
        <v>115</v>
      </c>
      <c r="E22" s="2">
        <v>7</v>
      </c>
      <c r="F22" s="2">
        <v>0</v>
      </c>
      <c r="G22" s="2">
        <v>0</v>
      </c>
      <c r="H22" s="2">
        <v>0</v>
      </c>
      <c r="I22" s="2">
        <v>0</v>
      </c>
      <c r="J22" s="2"/>
      <c r="K22" s="2">
        <v>220</v>
      </c>
      <c r="L22" s="2">
        <v>156</v>
      </c>
      <c r="M22" s="2">
        <v>188</v>
      </c>
      <c r="N22" s="2">
        <v>184</v>
      </c>
      <c r="O22" s="2">
        <v>0</v>
      </c>
      <c r="P22" s="2">
        <v>14</v>
      </c>
      <c r="Q22" s="2">
        <v>0</v>
      </c>
      <c r="R22" s="2">
        <v>0</v>
      </c>
      <c r="S22" s="2">
        <v>0</v>
      </c>
      <c r="T22" s="2">
        <v>13</v>
      </c>
      <c r="U22" s="2">
        <v>9</v>
      </c>
      <c r="V22" s="16"/>
      <c r="W22" s="239">
        <f t="shared" si="0"/>
        <v>0</v>
      </c>
    </row>
    <row r="23" spans="1:23" x14ac:dyDescent="0.25">
      <c r="A23" s="2">
        <v>540237</v>
      </c>
      <c r="B23" s="2" t="s">
        <v>285</v>
      </c>
      <c r="C23" s="238" t="s">
        <v>9</v>
      </c>
      <c r="D23" s="2" t="s">
        <v>115</v>
      </c>
      <c r="E23" s="2">
        <v>7</v>
      </c>
      <c r="F23" s="2">
        <v>57</v>
      </c>
      <c r="G23" s="2">
        <v>42</v>
      </c>
      <c r="H23" s="2">
        <v>49.5</v>
      </c>
      <c r="I23" s="2">
        <v>0</v>
      </c>
      <c r="J23" s="2"/>
      <c r="K23" s="2">
        <v>824</v>
      </c>
      <c r="L23" s="2">
        <v>384</v>
      </c>
      <c r="M23" s="2">
        <v>604</v>
      </c>
      <c r="N23" s="2">
        <v>494</v>
      </c>
      <c r="O23" s="2">
        <v>0</v>
      </c>
      <c r="P23" s="2">
        <v>167</v>
      </c>
      <c r="Q23" s="2">
        <v>27</v>
      </c>
      <c r="R23" s="2">
        <v>0</v>
      </c>
      <c r="S23" s="2">
        <v>14</v>
      </c>
      <c r="T23" s="2">
        <v>42</v>
      </c>
      <c r="U23" s="2">
        <v>80</v>
      </c>
      <c r="V23" s="16"/>
      <c r="W23" s="239">
        <f t="shared" si="0"/>
        <v>6.0072815533980584E-2</v>
      </c>
    </row>
    <row r="24" spans="1:23" x14ac:dyDescent="0.25">
      <c r="A24" s="2">
        <v>540236</v>
      </c>
      <c r="B24" s="2" t="s">
        <v>284</v>
      </c>
      <c r="C24" s="238" t="s">
        <v>9</v>
      </c>
      <c r="D24" s="2" t="s">
        <v>115</v>
      </c>
      <c r="E24" s="2">
        <v>7</v>
      </c>
      <c r="F24" s="2">
        <v>41</v>
      </c>
      <c r="G24" s="2">
        <v>38</v>
      </c>
      <c r="H24" s="2">
        <v>39.5</v>
      </c>
      <c r="I24" s="2">
        <v>0</v>
      </c>
      <c r="J24" s="2"/>
      <c r="K24" s="2">
        <v>799</v>
      </c>
      <c r="L24" s="2">
        <v>467</v>
      </c>
      <c r="M24" s="2">
        <v>633</v>
      </c>
      <c r="N24" s="2">
        <v>577</v>
      </c>
      <c r="O24" s="2">
        <v>0</v>
      </c>
      <c r="P24" s="2">
        <v>159</v>
      </c>
      <c r="Q24" s="2">
        <v>0</v>
      </c>
      <c r="R24" s="2">
        <v>0</v>
      </c>
      <c r="S24" s="2">
        <v>4</v>
      </c>
      <c r="T24" s="2">
        <v>38</v>
      </c>
      <c r="U24" s="2">
        <v>21</v>
      </c>
      <c r="V24" s="16"/>
      <c r="W24" s="239">
        <f t="shared" si="0"/>
        <v>4.9436795994993739E-2</v>
      </c>
    </row>
    <row r="25" spans="1:23" x14ac:dyDescent="0.25">
      <c r="A25" s="241"/>
      <c r="B25" s="241"/>
      <c r="C25" s="240" t="s">
        <v>9</v>
      </c>
      <c r="D25" s="23" t="s">
        <v>1360</v>
      </c>
      <c r="E25" s="23"/>
      <c r="F25" s="23">
        <v>1423</v>
      </c>
      <c r="G25" s="23">
        <v>1061</v>
      </c>
      <c r="H25" s="23">
        <v>1242</v>
      </c>
      <c r="I25" s="23">
        <v>0</v>
      </c>
      <c r="J25" s="23"/>
      <c r="K25" s="23">
        <v>16396</v>
      </c>
      <c r="L25" s="23">
        <v>9838</v>
      </c>
      <c r="M25" s="23">
        <v>13117</v>
      </c>
      <c r="N25" s="23">
        <v>11498</v>
      </c>
      <c r="O25" s="23">
        <v>3068</v>
      </c>
      <c r="P25" s="23">
        <v>762</v>
      </c>
      <c r="Q25" s="23">
        <v>69</v>
      </c>
      <c r="R25" s="23">
        <v>9</v>
      </c>
      <c r="S25" s="23">
        <v>51</v>
      </c>
      <c r="T25" s="23">
        <v>500</v>
      </c>
      <c r="U25" s="23">
        <v>439</v>
      </c>
      <c r="V25" s="16"/>
      <c r="W25" s="239">
        <f t="shared" si="0"/>
        <v>7.5750182971456456E-2</v>
      </c>
    </row>
    <row r="26" spans="1:23" x14ac:dyDescent="0.25">
      <c r="A26" s="2">
        <v>540011</v>
      </c>
      <c r="B26" s="2" t="s">
        <v>10</v>
      </c>
      <c r="C26" s="238" t="s">
        <v>11</v>
      </c>
      <c r="D26" s="2" t="s">
        <v>5</v>
      </c>
      <c r="E26" s="2">
        <v>11</v>
      </c>
      <c r="F26" s="2">
        <v>307</v>
      </c>
      <c r="G26" s="2">
        <v>205</v>
      </c>
      <c r="H26" s="2">
        <v>256</v>
      </c>
      <c r="I26" s="2">
        <v>0</v>
      </c>
      <c r="J26" s="2"/>
      <c r="K26" s="2">
        <v>9981</v>
      </c>
      <c r="L26" s="2">
        <v>7396</v>
      </c>
      <c r="M26" s="2">
        <v>8688.5</v>
      </c>
      <c r="N26" s="2">
        <v>8061</v>
      </c>
      <c r="O26" s="2">
        <v>716</v>
      </c>
      <c r="P26" s="2">
        <v>818</v>
      </c>
      <c r="Q26" s="2">
        <v>14</v>
      </c>
      <c r="R26" s="2">
        <v>0</v>
      </c>
      <c r="S26" s="2">
        <v>3</v>
      </c>
      <c r="T26" s="2">
        <v>281</v>
      </c>
      <c r="U26" s="2">
        <v>88</v>
      </c>
      <c r="V26" s="16"/>
      <c r="W26" s="239">
        <f t="shared" si="0"/>
        <v>2.5648732591924656E-2</v>
      </c>
    </row>
    <row r="27" spans="1:23" x14ac:dyDescent="0.25">
      <c r="A27" s="2">
        <v>540093</v>
      </c>
      <c r="B27" s="2" t="s">
        <v>184</v>
      </c>
      <c r="C27" s="238" t="s">
        <v>11</v>
      </c>
      <c r="D27" s="2" t="s">
        <v>115</v>
      </c>
      <c r="E27" s="2">
        <v>11</v>
      </c>
      <c r="F27" s="2">
        <v>36</v>
      </c>
      <c r="G27" s="2">
        <v>30</v>
      </c>
      <c r="H27" s="2">
        <v>33</v>
      </c>
      <c r="I27" s="2">
        <v>0</v>
      </c>
      <c r="J27" s="2"/>
      <c r="K27" s="2">
        <v>438</v>
      </c>
      <c r="L27" s="2">
        <v>248</v>
      </c>
      <c r="M27" s="2">
        <v>343</v>
      </c>
      <c r="N27" s="2">
        <v>317</v>
      </c>
      <c r="O27" s="2">
        <v>0</v>
      </c>
      <c r="P27" s="2">
        <v>70</v>
      </c>
      <c r="Q27" s="2">
        <v>4</v>
      </c>
      <c r="R27" s="2">
        <v>0</v>
      </c>
      <c r="S27" s="2">
        <v>2</v>
      </c>
      <c r="T27" s="2">
        <v>39</v>
      </c>
      <c r="U27" s="2">
        <v>6</v>
      </c>
      <c r="V27" s="16"/>
      <c r="W27" s="239">
        <f t="shared" si="0"/>
        <v>7.5342465753424653E-2</v>
      </c>
    </row>
    <row r="28" spans="1:23" x14ac:dyDescent="0.25">
      <c r="A28" s="2">
        <v>540012</v>
      </c>
      <c r="B28" s="2" t="s">
        <v>122</v>
      </c>
      <c r="C28" s="238" t="s">
        <v>11</v>
      </c>
      <c r="D28" s="2" t="s">
        <v>115</v>
      </c>
      <c r="E28" s="2">
        <v>11</v>
      </c>
      <c r="F28" s="2">
        <v>15</v>
      </c>
      <c r="G28" s="2">
        <v>10</v>
      </c>
      <c r="H28" s="2">
        <v>12.5</v>
      </c>
      <c r="I28" s="2">
        <v>0</v>
      </c>
      <c r="J28" s="2"/>
      <c r="K28" s="2">
        <v>309</v>
      </c>
      <c r="L28" s="2">
        <v>229</v>
      </c>
      <c r="M28" s="2">
        <v>269</v>
      </c>
      <c r="N28" s="2">
        <v>194</v>
      </c>
      <c r="O28" s="2">
        <v>0</v>
      </c>
      <c r="P28" s="2">
        <v>20</v>
      </c>
      <c r="Q28" s="2">
        <v>0</v>
      </c>
      <c r="R28" s="2">
        <v>0</v>
      </c>
      <c r="S28" s="2">
        <v>1</v>
      </c>
      <c r="T28" s="2">
        <v>79</v>
      </c>
      <c r="U28" s="2">
        <v>15</v>
      </c>
      <c r="V28" s="16"/>
      <c r="W28" s="239">
        <f t="shared" si="0"/>
        <v>4.0453074433656956E-2</v>
      </c>
    </row>
    <row r="29" spans="1:23" x14ac:dyDescent="0.25">
      <c r="A29" s="2">
        <v>540013</v>
      </c>
      <c r="B29" s="2" t="s">
        <v>123</v>
      </c>
      <c r="C29" s="238" t="s">
        <v>11</v>
      </c>
      <c r="D29" s="2" t="s">
        <v>115</v>
      </c>
      <c r="E29" s="2">
        <v>11</v>
      </c>
      <c r="F29" s="2">
        <v>112</v>
      </c>
      <c r="G29" s="2">
        <v>71</v>
      </c>
      <c r="H29" s="2">
        <v>91.5</v>
      </c>
      <c r="I29" s="2">
        <v>0</v>
      </c>
      <c r="J29" s="2"/>
      <c r="K29" s="2">
        <v>2249</v>
      </c>
      <c r="L29" s="2">
        <v>1504</v>
      </c>
      <c r="M29" s="2">
        <v>1876.5</v>
      </c>
      <c r="N29" s="2">
        <v>1728</v>
      </c>
      <c r="O29" s="2">
        <v>3</v>
      </c>
      <c r="P29" s="2">
        <v>306</v>
      </c>
      <c r="Q29" s="2">
        <v>84</v>
      </c>
      <c r="R29" s="2">
        <v>15</v>
      </c>
      <c r="S29" s="2">
        <v>0</v>
      </c>
      <c r="T29" s="2">
        <v>104</v>
      </c>
      <c r="U29" s="2">
        <v>9</v>
      </c>
      <c r="V29" s="16"/>
      <c r="W29" s="239">
        <f t="shared" si="0"/>
        <v>4.0684748777234325E-2</v>
      </c>
    </row>
    <row r="30" spans="1:23" x14ac:dyDescent="0.25">
      <c r="A30" s="2">
        <v>540014</v>
      </c>
      <c r="B30" s="2" t="s">
        <v>124</v>
      </c>
      <c r="C30" s="238" t="s">
        <v>11</v>
      </c>
      <c r="D30" s="2" t="s">
        <v>115</v>
      </c>
      <c r="E30" s="2">
        <v>11</v>
      </c>
      <c r="F30" s="2">
        <v>97</v>
      </c>
      <c r="G30" s="2">
        <v>57</v>
      </c>
      <c r="H30" s="2">
        <v>77</v>
      </c>
      <c r="I30" s="2">
        <v>0</v>
      </c>
      <c r="J30" s="2"/>
      <c r="K30" s="2">
        <v>4450</v>
      </c>
      <c r="L30" s="2">
        <v>1843</v>
      </c>
      <c r="M30" s="2">
        <v>3146.5</v>
      </c>
      <c r="N30" s="2">
        <v>3396</v>
      </c>
      <c r="O30" s="2">
        <v>21</v>
      </c>
      <c r="P30" s="2">
        <v>792</v>
      </c>
      <c r="Q30" s="2">
        <v>92</v>
      </c>
      <c r="R30" s="2">
        <v>40</v>
      </c>
      <c r="S30" s="2">
        <v>0</v>
      </c>
      <c r="T30" s="2">
        <v>84</v>
      </c>
      <c r="U30" s="2">
        <v>25</v>
      </c>
      <c r="V30" s="16"/>
      <c r="W30" s="239">
        <f t="shared" si="0"/>
        <v>1.7303370786516854E-2</v>
      </c>
    </row>
    <row r="31" spans="1:23" x14ac:dyDescent="0.25">
      <c r="A31" s="2">
        <v>540015</v>
      </c>
      <c r="B31" s="2" t="s">
        <v>125</v>
      </c>
      <c r="C31" s="238" t="s">
        <v>11</v>
      </c>
      <c r="D31" s="2" t="s">
        <v>115</v>
      </c>
      <c r="E31" s="2">
        <v>11</v>
      </c>
      <c r="F31" s="2">
        <v>1331</v>
      </c>
      <c r="G31" s="2">
        <v>863</v>
      </c>
      <c r="H31" s="2">
        <v>1097</v>
      </c>
      <c r="I31" s="2">
        <v>0</v>
      </c>
      <c r="J31" s="2"/>
      <c r="K31" s="2">
        <v>2275</v>
      </c>
      <c r="L31" s="2">
        <v>1493</v>
      </c>
      <c r="M31" s="2">
        <v>1884</v>
      </c>
      <c r="N31" s="2">
        <v>1666</v>
      </c>
      <c r="O31" s="2">
        <v>0</v>
      </c>
      <c r="P31" s="2">
        <v>402</v>
      </c>
      <c r="Q31" s="2">
        <v>24</v>
      </c>
      <c r="R31" s="2">
        <v>0</v>
      </c>
      <c r="S31" s="2">
        <v>1</v>
      </c>
      <c r="T31" s="2">
        <v>172</v>
      </c>
      <c r="U31" s="2">
        <v>10</v>
      </c>
      <c r="V31" s="16"/>
      <c r="W31" s="239">
        <f t="shared" si="0"/>
        <v>0.48219780219780217</v>
      </c>
    </row>
    <row r="32" spans="1:23" x14ac:dyDescent="0.25">
      <c r="A32" s="2">
        <v>540084</v>
      </c>
      <c r="B32" s="2" t="s">
        <v>341</v>
      </c>
      <c r="C32" s="238" t="s">
        <v>11</v>
      </c>
      <c r="D32" s="2" t="s">
        <v>115</v>
      </c>
      <c r="E32" s="2">
        <v>11</v>
      </c>
      <c r="F32" s="2">
        <v>0</v>
      </c>
      <c r="G32" s="2">
        <v>0</v>
      </c>
      <c r="H32" s="2">
        <v>0</v>
      </c>
      <c r="I32" s="2">
        <v>0</v>
      </c>
      <c r="J32" s="2"/>
      <c r="K32" s="2">
        <v>275</v>
      </c>
      <c r="L32" s="2">
        <v>242</v>
      </c>
      <c r="M32" s="2">
        <v>258.5</v>
      </c>
      <c r="N32" s="2">
        <v>267</v>
      </c>
      <c r="O32" s="2">
        <v>0</v>
      </c>
      <c r="P32" s="2">
        <v>1</v>
      </c>
      <c r="Q32" s="2">
        <v>0</v>
      </c>
      <c r="R32" s="2">
        <v>0</v>
      </c>
      <c r="S32" s="2">
        <v>0</v>
      </c>
      <c r="T32" s="2">
        <v>7</v>
      </c>
      <c r="U32" s="2">
        <v>0</v>
      </c>
      <c r="V32" s="16"/>
      <c r="W32" s="239">
        <f t="shared" si="0"/>
        <v>0</v>
      </c>
    </row>
    <row r="33" spans="1:23" x14ac:dyDescent="0.25">
      <c r="A33" s="23"/>
      <c r="B33" s="23"/>
      <c r="C33" s="240" t="s">
        <v>11</v>
      </c>
      <c r="D33" s="23" t="s">
        <v>1360</v>
      </c>
      <c r="E33" s="23"/>
      <c r="F33" s="23">
        <v>1898</v>
      </c>
      <c r="G33" s="23">
        <v>1236</v>
      </c>
      <c r="H33" s="23">
        <v>1567</v>
      </c>
      <c r="I33" s="23">
        <v>0</v>
      </c>
      <c r="J33" s="23"/>
      <c r="K33" s="23">
        <v>19977</v>
      </c>
      <c r="L33" s="23">
        <v>12955</v>
      </c>
      <c r="M33" s="23">
        <v>16466</v>
      </c>
      <c r="N33" s="23">
        <v>15629</v>
      </c>
      <c r="O33" s="23">
        <v>740</v>
      </c>
      <c r="P33" s="23">
        <v>2409</v>
      </c>
      <c r="Q33" s="23">
        <v>218</v>
      </c>
      <c r="R33" s="23">
        <v>55</v>
      </c>
      <c r="S33" s="23">
        <v>7</v>
      </c>
      <c r="T33" s="23">
        <v>766</v>
      </c>
      <c r="U33" s="23">
        <v>153</v>
      </c>
      <c r="V33" s="16"/>
      <c r="W33" s="239">
        <f t="shared" si="0"/>
        <v>7.8440206237172752E-2</v>
      </c>
    </row>
    <row r="34" spans="1:23" x14ac:dyDescent="0.25">
      <c r="A34" s="2">
        <v>540016</v>
      </c>
      <c r="B34" s="2" t="s">
        <v>12</v>
      </c>
      <c r="C34" s="238" t="s">
        <v>13</v>
      </c>
      <c r="D34" s="2" t="s">
        <v>5</v>
      </c>
      <c r="E34" s="2">
        <v>2</v>
      </c>
      <c r="F34" s="2">
        <v>1467</v>
      </c>
      <c r="G34" s="2">
        <v>2378</v>
      </c>
      <c r="H34" s="2">
        <v>1922.5</v>
      </c>
      <c r="I34" s="2">
        <v>0</v>
      </c>
      <c r="J34" s="2"/>
      <c r="K34" s="2">
        <v>20735</v>
      </c>
      <c r="L34" s="2">
        <v>23791</v>
      </c>
      <c r="M34" s="2">
        <v>22263</v>
      </c>
      <c r="N34" s="2">
        <v>16276</v>
      </c>
      <c r="O34" s="2">
        <v>1234</v>
      </c>
      <c r="P34" s="2">
        <v>1394</v>
      </c>
      <c r="Q34" s="2">
        <v>30</v>
      </c>
      <c r="R34" s="2">
        <v>899</v>
      </c>
      <c r="S34" s="2">
        <v>21</v>
      </c>
      <c r="T34" s="2">
        <v>495</v>
      </c>
      <c r="U34" s="2">
        <v>386</v>
      </c>
      <c r="V34" s="16"/>
      <c r="W34" s="239">
        <f t="shared" si="0"/>
        <v>9.2717627200385816E-2</v>
      </c>
    </row>
    <row r="35" spans="1:23" x14ac:dyDescent="0.25">
      <c r="A35" s="2">
        <v>540017</v>
      </c>
      <c r="B35" s="2" t="s">
        <v>126</v>
      </c>
      <c r="C35" s="238" t="s">
        <v>13</v>
      </c>
      <c r="D35" s="2" t="s">
        <v>115</v>
      </c>
      <c r="E35" s="2">
        <v>2</v>
      </c>
      <c r="F35" s="2">
        <v>31</v>
      </c>
      <c r="G35" s="2">
        <v>63</v>
      </c>
      <c r="H35" s="2">
        <v>47</v>
      </c>
      <c r="I35" s="2">
        <v>0</v>
      </c>
      <c r="J35" s="2"/>
      <c r="K35" s="2">
        <v>1792</v>
      </c>
      <c r="L35" s="2">
        <v>1611</v>
      </c>
      <c r="M35" s="2">
        <v>1701.5</v>
      </c>
      <c r="N35" s="2">
        <v>1222</v>
      </c>
      <c r="O35" s="2">
        <v>0</v>
      </c>
      <c r="P35" s="2">
        <v>382</v>
      </c>
      <c r="Q35" s="2">
        <v>6</v>
      </c>
      <c r="R35" s="2">
        <v>91</v>
      </c>
      <c r="S35" s="2">
        <v>4</v>
      </c>
      <c r="T35" s="2">
        <v>65</v>
      </c>
      <c r="U35" s="2">
        <v>22</v>
      </c>
      <c r="V35" s="16"/>
      <c r="W35" s="239">
        <f t="shared" si="0"/>
        <v>2.6227678571428572E-2</v>
      </c>
    </row>
    <row r="36" spans="1:23" x14ac:dyDescent="0.25">
      <c r="A36" s="2">
        <v>540018</v>
      </c>
      <c r="B36" s="2" t="s">
        <v>127</v>
      </c>
      <c r="C36" s="238" t="s">
        <v>13</v>
      </c>
      <c r="D36" s="2" t="s">
        <v>115</v>
      </c>
      <c r="E36" s="2">
        <v>2</v>
      </c>
      <c r="F36" s="2">
        <v>458</v>
      </c>
      <c r="G36" s="2">
        <v>564</v>
      </c>
      <c r="H36" s="2">
        <v>511</v>
      </c>
      <c r="I36" s="2">
        <v>0</v>
      </c>
      <c r="J36" s="2"/>
      <c r="K36" s="2">
        <v>18815</v>
      </c>
      <c r="L36" s="2">
        <v>17018</v>
      </c>
      <c r="M36" s="2">
        <v>17916.5</v>
      </c>
      <c r="N36" s="2">
        <v>15341</v>
      </c>
      <c r="O36" s="2">
        <v>2</v>
      </c>
      <c r="P36" s="2">
        <v>1778</v>
      </c>
      <c r="Q36" s="2">
        <v>50</v>
      </c>
      <c r="R36" s="2">
        <v>258</v>
      </c>
      <c r="S36" s="2">
        <v>31</v>
      </c>
      <c r="T36" s="2">
        <v>1162</v>
      </c>
      <c r="U36" s="2">
        <v>193</v>
      </c>
      <c r="V36" s="16"/>
      <c r="W36" s="239">
        <f t="shared" si="0"/>
        <v>2.7159181504119053E-2</v>
      </c>
    </row>
    <row r="37" spans="1:23" x14ac:dyDescent="0.25">
      <c r="A37" s="2">
        <v>540019</v>
      </c>
      <c r="B37" s="2" t="s">
        <v>128</v>
      </c>
      <c r="C37" s="238" t="s">
        <v>13</v>
      </c>
      <c r="D37" s="2" t="s">
        <v>115</v>
      </c>
      <c r="E37" s="2">
        <v>2</v>
      </c>
      <c r="F37" s="2">
        <v>417</v>
      </c>
      <c r="G37" s="2">
        <v>478</v>
      </c>
      <c r="H37" s="2">
        <v>447.5</v>
      </c>
      <c r="I37" s="2">
        <v>0</v>
      </c>
      <c r="J37" s="2"/>
      <c r="K37" s="2">
        <v>1176</v>
      </c>
      <c r="L37" s="2">
        <v>1223</v>
      </c>
      <c r="M37" s="2">
        <v>1199.5</v>
      </c>
      <c r="N37" s="2">
        <v>879</v>
      </c>
      <c r="O37" s="2">
        <v>1</v>
      </c>
      <c r="P37" s="2">
        <v>197</v>
      </c>
      <c r="Q37" s="2">
        <v>2</v>
      </c>
      <c r="R37" s="2">
        <v>46</v>
      </c>
      <c r="S37" s="2">
        <v>2</v>
      </c>
      <c r="T37" s="2">
        <v>38</v>
      </c>
      <c r="U37" s="2">
        <v>11</v>
      </c>
      <c r="V37" s="16"/>
      <c r="W37" s="239">
        <f t="shared" si="0"/>
        <v>0.38052721088435376</v>
      </c>
    </row>
    <row r="38" spans="1:23" x14ac:dyDescent="0.25">
      <c r="A38" s="23"/>
      <c r="B38" s="23"/>
      <c r="C38" s="240" t="s">
        <v>13</v>
      </c>
      <c r="D38" s="23" t="s">
        <v>1360</v>
      </c>
      <c r="E38" s="23"/>
      <c r="F38" s="23">
        <v>2373</v>
      </c>
      <c r="G38" s="23">
        <v>3483</v>
      </c>
      <c r="H38" s="23">
        <v>2928</v>
      </c>
      <c r="I38" s="23">
        <v>0</v>
      </c>
      <c r="J38" s="23"/>
      <c r="K38" s="23">
        <v>42518</v>
      </c>
      <c r="L38" s="23">
        <v>43643</v>
      </c>
      <c r="M38" s="23">
        <v>43080.5</v>
      </c>
      <c r="N38" s="23">
        <v>33718</v>
      </c>
      <c r="O38" s="23">
        <v>1237</v>
      </c>
      <c r="P38" s="23">
        <v>3751</v>
      </c>
      <c r="Q38" s="23">
        <v>88</v>
      </c>
      <c r="R38" s="23">
        <v>1294</v>
      </c>
      <c r="S38" s="23">
        <v>58</v>
      </c>
      <c r="T38" s="23">
        <v>1760</v>
      </c>
      <c r="U38" s="23">
        <v>612</v>
      </c>
      <c r="V38" s="16"/>
      <c r="W38" s="239">
        <f t="shared" si="0"/>
        <v>6.8864951314737285E-2</v>
      </c>
    </row>
    <row r="39" spans="1:23" x14ac:dyDescent="0.25">
      <c r="A39" s="2">
        <v>540020</v>
      </c>
      <c r="B39" s="2" t="s">
        <v>14</v>
      </c>
      <c r="C39" s="238" t="s">
        <v>15</v>
      </c>
      <c r="D39" s="2" t="s">
        <v>5</v>
      </c>
      <c r="E39" s="2">
        <v>5</v>
      </c>
      <c r="F39" s="2">
        <v>245</v>
      </c>
      <c r="G39" s="2">
        <v>575</v>
      </c>
      <c r="H39" s="2">
        <v>410</v>
      </c>
      <c r="I39" s="2">
        <v>0</v>
      </c>
      <c r="J39" s="2"/>
      <c r="K39" s="2">
        <v>2330</v>
      </c>
      <c r="L39" s="2">
        <v>4609</v>
      </c>
      <c r="M39" s="2">
        <v>3469.5</v>
      </c>
      <c r="N39" s="2">
        <v>943</v>
      </c>
      <c r="O39" s="2">
        <v>1170</v>
      </c>
      <c r="P39" s="2">
        <v>36</v>
      </c>
      <c r="Q39" s="2">
        <v>0</v>
      </c>
      <c r="R39" s="2">
        <v>27</v>
      </c>
      <c r="S39" s="2">
        <v>3</v>
      </c>
      <c r="T39" s="2">
        <v>24</v>
      </c>
      <c r="U39" s="2">
        <v>127</v>
      </c>
      <c r="V39" s="16"/>
      <c r="W39" s="239">
        <f t="shared" si="0"/>
        <v>0.17596566523605151</v>
      </c>
    </row>
    <row r="40" spans="1:23" x14ac:dyDescent="0.25">
      <c r="A40" s="2">
        <v>540021</v>
      </c>
      <c r="B40" s="2" t="s">
        <v>129</v>
      </c>
      <c r="C40" s="238" t="s">
        <v>15</v>
      </c>
      <c r="D40" s="2" t="s">
        <v>115</v>
      </c>
      <c r="E40" s="2">
        <v>5</v>
      </c>
      <c r="F40" s="2">
        <v>127</v>
      </c>
      <c r="G40" s="2">
        <v>99</v>
      </c>
      <c r="H40" s="2">
        <v>113</v>
      </c>
      <c r="I40" s="2">
        <v>0</v>
      </c>
      <c r="J40" s="2"/>
      <c r="K40" s="2">
        <v>393</v>
      </c>
      <c r="L40" s="2">
        <v>271</v>
      </c>
      <c r="M40" s="2">
        <v>332</v>
      </c>
      <c r="N40" s="2">
        <v>250</v>
      </c>
      <c r="O40" s="2">
        <v>0</v>
      </c>
      <c r="P40" s="2">
        <v>60</v>
      </c>
      <c r="Q40" s="2">
        <v>0</v>
      </c>
      <c r="R40" s="2">
        <v>14</v>
      </c>
      <c r="S40" s="2">
        <v>1</v>
      </c>
      <c r="T40" s="2">
        <v>60</v>
      </c>
      <c r="U40" s="2">
        <v>8</v>
      </c>
      <c r="V40" s="16"/>
      <c r="W40" s="239">
        <f t="shared" si="0"/>
        <v>0.2875318066157761</v>
      </c>
    </row>
    <row r="41" spans="1:23" x14ac:dyDescent="0.25">
      <c r="A41" s="23"/>
      <c r="B41" s="23"/>
      <c r="C41" s="240" t="s">
        <v>15</v>
      </c>
      <c r="D41" s="23" t="s">
        <v>1360</v>
      </c>
      <c r="E41" s="23"/>
      <c r="F41" s="23">
        <v>372</v>
      </c>
      <c r="G41" s="23">
        <v>674</v>
      </c>
      <c r="H41" s="23">
        <v>523</v>
      </c>
      <c r="I41" s="23">
        <v>0</v>
      </c>
      <c r="J41" s="23"/>
      <c r="K41" s="23">
        <v>2723</v>
      </c>
      <c r="L41" s="23">
        <v>4880</v>
      </c>
      <c r="M41" s="23">
        <v>3801.5</v>
      </c>
      <c r="N41" s="23">
        <v>1193</v>
      </c>
      <c r="O41" s="23">
        <v>1170</v>
      </c>
      <c r="P41" s="23">
        <v>96</v>
      </c>
      <c r="Q41" s="23">
        <v>0</v>
      </c>
      <c r="R41" s="23">
        <v>41</v>
      </c>
      <c r="S41" s="23">
        <v>4</v>
      </c>
      <c r="T41" s="23">
        <v>84</v>
      </c>
      <c r="U41" s="23">
        <v>135</v>
      </c>
      <c r="V41" s="16"/>
      <c r="W41" s="239">
        <f t="shared" si="0"/>
        <v>0.19206757253029746</v>
      </c>
    </row>
    <row r="42" spans="1:23" x14ac:dyDescent="0.25">
      <c r="A42" s="2">
        <v>540022</v>
      </c>
      <c r="B42" s="2" t="s">
        <v>16</v>
      </c>
      <c r="C42" s="238" t="s">
        <v>17</v>
      </c>
      <c r="D42" s="2" t="s">
        <v>5</v>
      </c>
      <c r="E42" s="2">
        <v>3</v>
      </c>
      <c r="F42" s="2">
        <v>1694</v>
      </c>
      <c r="G42" s="2">
        <v>744</v>
      </c>
      <c r="H42" s="2">
        <v>1219</v>
      </c>
      <c r="I42" s="2">
        <v>0</v>
      </c>
      <c r="J42" s="2"/>
      <c r="K42" s="2">
        <v>9394</v>
      </c>
      <c r="L42" s="2">
        <v>4281</v>
      </c>
      <c r="M42" s="2">
        <v>6837.5</v>
      </c>
      <c r="N42" s="2">
        <v>7411</v>
      </c>
      <c r="O42" s="2">
        <v>1111</v>
      </c>
      <c r="P42" s="2">
        <v>362</v>
      </c>
      <c r="Q42" s="2">
        <v>40</v>
      </c>
      <c r="R42" s="2">
        <v>0</v>
      </c>
      <c r="S42" s="2">
        <v>6</v>
      </c>
      <c r="T42" s="2">
        <v>169</v>
      </c>
      <c r="U42" s="2">
        <v>295</v>
      </c>
      <c r="V42" s="16"/>
      <c r="W42" s="239">
        <f t="shared" si="0"/>
        <v>0.12976367894400681</v>
      </c>
    </row>
    <row r="43" spans="1:23" x14ac:dyDescent="0.25">
      <c r="A43" s="2">
        <v>540023</v>
      </c>
      <c r="B43" s="2" t="s">
        <v>130</v>
      </c>
      <c r="C43" s="238" t="s">
        <v>17</v>
      </c>
      <c r="D43" s="2" t="s">
        <v>115</v>
      </c>
      <c r="E43" s="2">
        <v>3</v>
      </c>
      <c r="F43" s="2">
        <v>51</v>
      </c>
      <c r="G43" s="2">
        <v>67</v>
      </c>
      <c r="H43" s="2">
        <v>59</v>
      </c>
      <c r="I43" s="2">
        <v>0</v>
      </c>
      <c r="J43" s="2"/>
      <c r="K43" s="2">
        <v>414</v>
      </c>
      <c r="L43" s="2">
        <v>308</v>
      </c>
      <c r="M43" s="2">
        <v>361</v>
      </c>
      <c r="N43" s="2">
        <v>278</v>
      </c>
      <c r="O43" s="2">
        <v>0</v>
      </c>
      <c r="P43" s="2">
        <v>81</v>
      </c>
      <c r="Q43" s="2">
        <v>0</v>
      </c>
      <c r="R43" s="2">
        <v>0</v>
      </c>
      <c r="S43" s="2">
        <v>0</v>
      </c>
      <c r="T43" s="2">
        <v>45</v>
      </c>
      <c r="U43" s="2">
        <v>10</v>
      </c>
      <c r="V43" s="16"/>
      <c r="W43" s="239">
        <f t="shared" si="0"/>
        <v>0.14251207729468598</v>
      </c>
    </row>
    <row r="44" spans="1:23" x14ac:dyDescent="0.25">
      <c r="A44" s="23"/>
      <c r="B44" s="23"/>
      <c r="C44" s="240" t="s">
        <v>17</v>
      </c>
      <c r="D44" s="23" t="s">
        <v>1360</v>
      </c>
      <c r="E44" s="23"/>
      <c r="F44" s="23">
        <v>1745</v>
      </c>
      <c r="G44" s="23">
        <v>811</v>
      </c>
      <c r="H44" s="23">
        <v>1278</v>
      </c>
      <c r="I44" s="23">
        <v>0</v>
      </c>
      <c r="J44" s="23"/>
      <c r="K44" s="23">
        <v>9808</v>
      </c>
      <c r="L44" s="23">
        <v>4589</v>
      </c>
      <c r="M44" s="23">
        <v>7198.5</v>
      </c>
      <c r="N44" s="23">
        <v>7689</v>
      </c>
      <c r="O44" s="23">
        <v>1111</v>
      </c>
      <c r="P44" s="23">
        <v>443</v>
      </c>
      <c r="Q44" s="23">
        <v>40</v>
      </c>
      <c r="R44" s="23">
        <v>0</v>
      </c>
      <c r="S44" s="23">
        <v>6</v>
      </c>
      <c r="T44" s="23">
        <v>214</v>
      </c>
      <c r="U44" s="23">
        <v>305</v>
      </c>
      <c r="V44" s="16"/>
      <c r="W44" s="239">
        <f t="shared" si="0"/>
        <v>0.13030179445350734</v>
      </c>
    </row>
    <row r="45" spans="1:23" x14ac:dyDescent="0.25">
      <c r="A45" s="2">
        <v>540024</v>
      </c>
      <c r="B45" s="2" t="s">
        <v>18</v>
      </c>
      <c r="C45" s="238" t="s">
        <v>19</v>
      </c>
      <c r="D45" s="2" t="s">
        <v>5</v>
      </c>
      <c r="E45" s="2">
        <v>6</v>
      </c>
      <c r="F45" s="2">
        <v>1353</v>
      </c>
      <c r="G45" s="2">
        <v>997</v>
      </c>
      <c r="H45" s="2">
        <v>1175</v>
      </c>
      <c r="I45" s="2">
        <v>0</v>
      </c>
      <c r="J45" s="2"/>
      <c r="K45" s="2">
        <v>8610</v>
      </c>
      <c r="L45" s="2">
        <v>5168</v>
      </c>
      <c r="M45" s="2">
        <v>6889</v>
      </c>
      <c r="N45" s="2">
        <v>2662</v>
      </c>
      <c r="O45" s="2">
        <v>5440</v>
      </c>
      <c r="P45" s="2">
        <v>204</v>
      </c>
      <c r="Q45" s="2">
        <v>1</v>
      </c>
      <c r="R45" s="2">
        <v>0</v>
      </c>
      <c r="S45" s="2">
        <v>12</v>
      </c>
      <c r="T45" s="2">
        <v>213</v>
      </c>
      <c r="U45" s="2">
        <v>78</v>
      </c>
      <c r="V45" s="16"/>
      <c r="W45" s="239">
        <f t="shared" si="0"/>
        <v>0.13646922183507548</v>
      </c>
    </row>
    <row r="46" spans="1:23" x14ac:dyDescent="0.25">
      <c r="A46" s="2">
        <v>540025</v>
      </c>
      <c r="B46" s="2" t="s">
        <v>131</v>
      </c>
      <c r="C46" s="238" t="s">
        <v>19</v>
      </c>
      <c r="D46" s="2" t="s">
        <v>115</v>
      </c>
      <c r="E46" s="2">
        <v>6</v>
      </c>
      <c r="F46" s="2">
        <v>15</v>
      </c>
      <c r="G46" s="2">
        <v>17</v>
      </c>
      <c r="H46" s="2">
        <v>16</v>
      </c>
      <c r="I46" s="2">
        <v>0</v>
      </c>
      <c r="J46" s="2"/>
      <c r="K46" s="2">
        <v>568</v>
      </c>
      <c r="L46" s="2">
        <v>420</v>
      </c>
      <c r="M46" s="2">
        <v>494</v>
      </c>
      <c r="N46" s="2">
        <v>441</v>
      </c>
      <c r="O46" s="2">
        <v>3</v>
      </c>
      <c r="P46" s="2">
        <v>61</v>
      </c>
      <c r="Q46" s="2">
        <v>0</v>
      </c>
      <c r="R46" s="2">
        <v>0</v>
      </c>
      <c r="S46" s="2">
        <v>0</v>
      </c>
      <c r="T46" s="2">
        <v>52</v>
      </c>
      <c r="U46" s="2">
        <v>11</v>
      </c>
      <c r="V46" s="16"/>
      <c r="W46" s="239">
        <f t="shared" si="0"/>
        <v>2.8169014084507043E-2</v>
      </c>
    </row>
    <row r="47" spans="1:23" x14ac:dyDescent="0.25">
      <c r="A47" s="23"/>
      <c r="B47" s="23"/>
      <c r="C47" s="240" t="s">
        <v>19</v>
      </c>
      <c r="D47" s="23" t="s">
        <v>1360</v>
      </c>
      <c r="E47" s="23"/>
      <c r="F47" s="23">
        <v>1368</v>
      </c>
      <c r="G47" s="23">
        <v>1014</v>
      </c>
      <c r="H47" s="23">
        <v>1191</v>
      </c>
      <c r="I47" s="23">
        <v>0</v>
      </c>
      <c r="J47" s="23"/>
      <c r="K47" s="23">
        <v>9178</v>
      </c>
      <c r="L47" s="23">
        <v>5588</v>
      </c>
      <c r="M47" s="23">
        <v>7383</v>
      </c>
      <c r="N47" s="23">
        <v>3103</v>
      </c>
      <c r="O47" s="23">
        <v>5443</v>
      </c>
      <c r="P47" s="23">
        <v>265</v>
      </c>
      <c r="Q47" s="23">
        <v>1</v>
      </c>
      <c r="R47" s="23">
        <v>0</v>
      </c>
      <c r="S47" s="23">
        <v>12</v>
      </c>
      <c r="T47" s="23">
        <v>265</v>
      </c>
      <c r="U47" s="23">
        <v>89</v>
      </c>
      <c r="V47" s="16"/>
      <c r="W47" s="239">
        <f t="shared" si="0"/>
        <v>0.1297668337328394</v>
      </c>
    </row>
    <row r="48" spans="1:23" x14ac:dyDescent="0.25">
      <c r="A48" s="2">
        <v>540026</v>
      </c>
      <c r="B48" s="2" t="s">
        <v>20</v>
      </c>
      <c r="C48" s="238" t="s">
        <v>21</v>
      </c>
      <c r="D48" s="2" t="s">
        <v>5</v>
      </c>
      <c r="E48" s="2">
        <v>4</v>
      </c>
      <c r="F48" s="2">
        <v>1065</v>
      </c>
      <c r="G48" s="2">
        <v>1139</v>
      </c>
      <c r="H48" s="2">
        <v>1102</v>
      </c>
      <c r="I48" s="2">
        <v>952</v>
      </c>
      <c r="J48" s="2"/>
      <c r="K48" s="2">
        <v>15030</v>
      </c>
      <c r="L48" s="2">
        <v>16488</v>
      </c>
      <c r="M48" s="2">
        <v>15759</v>
      </c>
      <c r="N48" s="2">
        <v>12540</v>
      </c>
      <c r="O48" s="2">
        <v>928</v>
      </c>
      <c r="P48" s="2">
        <v>687</v>
      </c>
      <c r="Q48" s="2">
        <v>82</v>
      </c>
      <c r="R48" s="2">
        <v>1</v>
      </c>
      <c r="S48" s="2">
        <v>31</v>
      </c>
      <c r="T48" s="2">
        <v>515</v>
      </c>
      <c r="U48" s="2">
        <v>246</v>
      </c>
      <c r="V48" s="75"/>
      <c r="W48" s="239">
        <f t="shared" si="0"/>
        <v>7.3320026613439782E-2</v>
      </c>
    </row>
    <row r="49" spans="1:23" x14ac:dyDescent="0.25">
      <c r="A49" s="2">
        <v>540027</v>
      </c>
      <c r="B49" s="2" t="s">
        <v>132</v>
      </c>
      <c r="C49" s="238" t="s">
        <v>21</v>
      </c>
      <c r="D49" s="2" t="s">
        <v>115</v>
      </c>
      <c r="E49" s="2">
        <v>4</v>
      </c>
      <c r="F49" s="2">
        <v>2</v>
      </c>
      <c r="G49" s="2">
        <v>2</v>
      </c>
      <c r="H49" s="2">
        <v>2</v>
      </c>
      <c r="I49" s="2">
        <v>1</v>
      </c>
      <c r="J49" s="2"/>
      <c r="K49" s="2">
        <v>741</v>
      </c>
      <c r="L49" s="2">
        <v>598</v>
      </c>
      <c r="M49" s="2">
        <v>669.5</v>
      </c>
      <c r="N49" s="2">
        <v>623</v>
      </c>
      <c r="O49" s="2">
        <v>3</v>
      </c>
      <c r="P49" s="2">
        <v>60</v>
      </c>
      <c r="Q49" s="2">
        <v>0</v>
      </c>
      <c r="R49" s="2">
        <v>0</v>
      </c>
      <c r="S49" s="2">
        <v>1</v>
      </c>
      <c r="T49" s="2">
        <v>41</v>
      </c>
      <c r="U49" s="2">
        <v>13</v>
      </c>
      <c r="V49" s="75"/>
      <c r="W49" s="239">
        <f t="shared" si="0"/>
        <v>2.6990553306342779E-3</v>
      </c>
    </row>
    <row r="50" spans="1:23" x14ac:dyDescent="0.25">
      <c r="A50" s="2">
        <v>540293</v>
      </c>
      <c r="B50" s="2" t="s">
        <v>330</v>
      </c>
      <c r="C50" s="238" t="s">
        <v>21</v>
      </c>
      <c r="D50" s="2" t="s">
        <v>115</v>
      </c>
      <c r="E50" s="2">
        <v>4</v>
      </c>
      <c r="F50" s="2">
        <v>0</v>
      </c>
      <c r="G50" s="2">
        <v>0</v>
      </c>
      <c r="H50" s="2">
        <v>0</v>
      </c>
      <c r="I50" s="2">
        <v>0</v>
      </c>
      <c r="J50" s="2"/>
      <c r="K50" s="2">
        <v>1481</v>
      </c>
      <c r="L50" s="2">
        <v>1366</v>
      </c>
      <c r="M50" s="2">
        <v>1423.5</v>
      </c>
      <c r="N50" s="2">
        <v>1227</v>
      </c>
      <c r="O50" s="2">
        <v>4</v>
      </c>
      <c r="P50" s="2">
        <v>172</v>
      </c>
      <c r="Q50" s="2">
        <v>1</v>
      </c>
      <c r="R50" s="2">
        <v>0</v>
      </c>
      <c r="S50" s="2">
        <v>3</v>
      </c>
      <c r="T50" s="2">
        <v>53</v>
      </c>
      <c r="U50" s="2">
        <v>21</v>
      </c>
      <c r="V50" s="75"/>
      <c r="W50" s="239">
        <f t="shared" si="0"/>
        <v>0</v>
      </c>
    </row>
    <row r="51" spans="1:23" x14ac:dyDescent="0.25">
      <c r="A51" s="2">
        <v>540294</v>
      </c>
      <c r="B51" s="2" t="s">
        <v>331</v>
      </c>
      <c r="C51" s="238" t="s">
        <v>21</v>
      </c>
      <c r="D51" s="2" t="s">
        <v>115</v>
      </c>
      <c r="E51" s="2">
        <v>4</v>
      </c>
      <c r="F51" s="2">
        <v>16</v>
      </c>
      <c r="G51" s="2">
        <v>21</v>
      </c>
      <c r="H51" s="2">
        <v>18.5</v>
      </c>
      <c r="I51" s="2">
        <v>20</v>
      </c>
      <c r="J51" s="2"/>
      <c r="K51" s="2">
        <v>368</v>
      </c>
      <c r="L51" s="2">
        <v>221</v>
      </c>
      <c r="M51" s="2">
        <v>294.5</v>
      </c>
      <c r="N51" s="2">
        <v>269</v>
      </c>
      <c r="O51" s="2">
        <v>0</v>
      </c>
      <c r="P51" s="2">
        <v>64</v>
      </c>
      <c r="Q51" s="2">
        <v>0</v>
      </c>
      <c r="R51" s="2">
        <v>0</v>
      </c>
      <c r="S51" s="2">
        <v>2</v>
      </c>
      <c r="T51" s="2">
        <v>27</v>
      </c>
      <c r="U51" s="2">
        <v>6</v>
      </c>
      <c r="V51" s="75"/>
      <c r="W51" s="239">
        <f t="shared" si="0"/>
        <v>5.0271739130434784E-2</v>
      </c>
    </row>
    <row r="52" spans="1:23" x14ac:dyDescent="0.25">
      <c r="A52" s="2">
        <v>540028</v>
      </c>
      <c r="B52" s="2" t="s">
        <v>133</v>
      </c>
      <c r="C52" s="238" t="s">
        <v>21</v>
      </c>
      <c r="D52" s="2" t="s">
        <v>115</v>
      </c>
      <c r="E52" s="2">
        <v>4</v>
      </c>
      <c r="F52" s="2">
        <v>13</v>
      </c>
      <c r="G52" s="2">
        <v>32</v>
      </c>
      <c r="H52" s="2">
        <v>22.5</v>
      </c>
      <c r="I52" s="2">
        <v>18</v>
      </c>
      <c r="J52" s="2"/>
      <c r="K52" s="2">
        <v>210</v>
      </c>
      <c r="L52" s="2">
        <v>249</v>
      </c>
      <c r="M52" s="2">
        <v>229.5</v>
      </c>
      <c r="N52" s="2">
        <v>156</v>
      </c>
      <c r="O52" s="2">
        <v>0</v>
      </c>
      <c r="P52" s="2">
        <v>28</v>
      </c>
      <c r="Q52" s="2">
        <v>0</v>
      </c>
      <c r="R52" s="2">
        <v>0</v>
      </c>
      <c r="S52" s="2">
        <v>1</v>
      </c>
      <c r="T52" s="2">
        <v>15</v>
      </c>
      <c r="U52" s="2">
        <v>10</v>
      </c>
      <c r="V52" s="75"/>
      <c r="W52" s="239">
        <f t="shared" si="0"/>
        <v>0.10714285714285714</v>
      </c>
    </row>
    <row r="53" spans="1:23" x14ac:dyDescent="0.25">
      <c r="A53" s="2">
        <v>540029</v>
      </c>
      <c r="B53" s="2" t="s">
        <v>134</v>
      </c>
      <c r="C53" s="238" t="s">
        <v>21</v>
      </c>
      <c r="D53" s="2" t="s">
        <v>115</v>
      </c>
      <c r="E53" s="2">
        <v>4</v>
      </c>
      <c r="F53" s="2">
        <v>14</v>
      </c>
      <c r="G53" s="2">
        <v>21</v>
      </c>
      <c r="H53" s="2">
        <v>17.5</v>
      </c>
      <c r="I53" s="2">
        <v>12</v>
      </c>
      <c r="J53" s="2"/>
      <c r="K53" s="2">
        <v>352</v>
      </c>
      <c r="L53" s="2">
        <v>328</v>
      </c>
      <c r="M53" s="2">
        <v>340</v>
      </c>
      <c r="N53" s="2">
        <v>257</v>
      </c>
      <c r="O53" s="2">
        <v>0</v>
      </c>
      <c r="P53" s="2">
        <v>33</v>
      </c>
      <c r="Q53" s="2">
        <v>0</v>
      </c>
      <c r="R53" s="2">
        <v>0</v>
      </c>
      <c r="S53" s="2">
        <v>2</v>
      </c>
      <c r="T53" s="2">
        <v>59</v>
      </c>
      <c r="U53" s="2">
        <v>1</v>
      </c>
      <c r="V53" s="75"/>
      <c r="W53" s="239">
        <f t="shared" si="0"/>
        <v>4.9715909090909088E-2</v>
      </c>
    </row>
    <row r="54" spans="1:23" x14ac:dyDescent="0.25">
      <c r="A54" s="2">
        <v>540280</v>
      </c>
      <c r="B54" s="2" t="s">
        <v>321</v>
      </c>
      <c r="C54" s="238" t="s">
        <v>21</v>
      </c>
      <c r="D54" s="2" t="s">
        <v>115</v>
      </c>
      <c r="E54" s="2">
        <v>4</v>
      </c>
      <c r="F54" s="2">
        <v>101</v>
      </c>
      <c r="G54" s="2">
        <v>128</v>
      </c>
      <c r="H54" s="2">
        <v>114.5</v>
      </c>
      <c r="I54" s="2">
        <v>39</v>
      </c>
      <c r="J54" s="2"/>
      <c r="K54" s="2">
        <v>648</v>
      </c>
      <c r="L54" s="2">
        <v>681</v>
      </c>
      <c r="M54" s="2">
        <v>664.5</v>
      </c>
      <c r="N54" s="2">
        <v>444</v>
      </c>
      <c r="O54" s="2">
        <v>0</v>
      </c>
      <c r="P54" s="2">
        <v>49</v>
      </c>
      <c r="Q54" s="2">
        <v>3</v>
      </c>
      <c r="R54" s="2">
        <v>0</v>
      </c>
      <c r="S54" s="2">
        <v>1</v>
      </c>
      <c r="T54" s="2">
        <v>134</v>
      </c>
      <c r="U54" s="2">
        <v>17</v>
      </c>
      <c r="V54" s="75"/>
      <c r="W54" s="239">
        <f t="shared" si="0"/>
        <v>0.17669753086419754</v>
      </c>
    </row>
    <row r="55" spans="1:23" x14ac:dyDescent="0.25">
      <c r="A55" s="2">
        <v>540031</v>
      </c>
      <c r="B55" s="2" t="s">
        <v>136</v>
      </c>
      <c r="C55" s="238" t="s">
        <v>21</v>
      </c>
      <c r="D55" s="2" t="s">
        <v>115</v>
      </c>
      <c r="E55" s="2">
        <v>4</v>
      </c>
      <c r="F55" s="2">
        <v>49</v>
      </c>
      <c r="G55" s="2">
        <v>56</v>
      </c>
      <c r="H55" s="2">
        <v>52.5</v>
      </c>
      <c r="I55" s="2">
        <v>55</v>
      </c>
      <c r="J55" s="2"/>
      <c r="K55" s="2">
        <v>4110</v>
      </c>
      <c r="L55" s="2">
        <v>4090</v>
      </c>
      <c r="M55" s="2">
        <v>4100</v>
      </c>
      <c r="N55" s="2">
        <v>3442</v>
      </c>
      <c r="O55" s="2">
        <v>12</v>
      </c>
      <c r="P55" s="2">
        <v>507</v>
      </c>
      <c r="Q55" s="2">
        <v>1</v>
      </c>
      <c r="R55" s="2">
        <v>0</v>
      </c>
      <c r="S55" s="2">
        <v>6</v>
      </c>
      <c r="T55" s="2">
        <v>120</v>
      </c>
      <c r="U55" s="2">
        <v>22</v>
      </c>
      <c r="V55" s="75"/>
      <c r="W55" s="239">
        <f t="shared" si="0"/>
        <v>1.2773722627737226E-2</v>
      </c>
    </row>
    <row r="56" spans="1:23" x14ac:dyDescent="0.25">
      <c r="A56" s="2">
        <v>540032</v>
      </c>
      <c r="B56" s="2" t="s">
        <v>137</v>
      </c>
      <c r="C56" s="238" t="s">
        <v>21</v>
      </c>
      <c r="D56" s="2" t="s">
        <v>115</v>
      </c>
      <c r="E56" s="2">
        <v>4</v>
      </c>
      <c r="F56" s="2">
        <v>42</v>
      </c>
      <c r="G56" s="2">
        <v>44</v>
      </c>
      <c r="H56" s="2">
        <v>43</v>
      </c>
      <c r="I56" s="2">
        <v>40</v>
      </c>
      <c r="J56" s="2"/>
      <c r="K56" s="2">
        <v>106</v>
      </c>
      <c r="L56" s="2">
        <v>115</v>
      </c>
      <c r="M56" s="2">
        <v>110.5</v>
      </c>
      <c r="N56" s="2">
        <v>86</v>
      </c>
      <c r="O56" s="2">
        <v>0</v>
      </c>
      <c r="P56" s="2">
        <v>6</v>
      </c>
      <c r="Q56" s="2">
        <v>0</v>
      </c>
      <c r="R56" s="2">
        <v>0</v>
      </c>
      <c r="S56" s="2">
        <v>0</v>
      </c>
      <c r="T56" s="2">
        <v>12</v>
      </c>
      <c r="U56" s="2">
        <v>2</v>
      </c>
      <c r="V56" s="75"/>
      <c r="W56" s="239">
        <f t="shared" si="0"/>
        <v>0.40566037735849059</v>
      </c>
    </row>
    <row r="57" spans="1:23" x14ac:dyDescent="0.25">
      <c r="A57" s="2">
        <v>540033</v>
      </c>
      <c r="B57" s="2" t="s">
        <v>138</v>
      </c>
      <c r="C57" s="238" t="s">
        <v>21</v>
      </c>
      <c r="D57" s="2" t="s">
        <v>115</v>
      </c>
      <c r="E57" s="2">
        <v>4</v>
      </c>
      <c r="F57" s="2">
        <v>51</v>
      </c>
      <c r="G57" s="2">
        <v>64</v>
      </c>
      <c r="H57" s="2">
        <v>57.5</v>
      </c>
      <c r="I57" s="2">
        <v>57</v>
      </c>
      <c r="J57" s="2"/>
      <c r="K57" s="2">
        <v>533</v>
      </c>
      <c r="L57" s="2">
        <v>448</v>
      </c>
      <c r="M57" s="2">
        <v>490.5</v>
      </c>
      <c r="N57" s="2">
        <v>396</v>
      </c>
      <c r="O57" s="2">
        <v>0</v>
      </c>
      <c r="P57" s="2">
        <v>84</v>
      </c>
      <c r="Q57" s="2">
        <v>4</v>
      </c>
      <c r="R57" s="2">
        <v>0</v>
      </c>
      <c r="S57" s="2">
        <v>0</v>
      </c>
      <c r="T57" s="2">
        <v>31</v>
      </c>
      <c r="U57" s="2">
        <v>18</v>
      </c>
      <c r="V57" s="75"/>
      <c r="W57" s="239">
        <f t="shared" si="0"/>
        <v>0.10787992495309569</v>
      </c>
    </row>
    <row r="58" spans="1:23" x14ac:dyDescent="0.25">
      <c r="A58" s="2">
        <v>540050</v>
      </c>
      <c r="B58" s="2" t="s">
        <v>150</v>
      </c>
      <c r="C58" s="238" t="s">
        <v>21</v>
      </c>
      <c r="D58" s="2" t="s">
        <v>115</v>
      </c>
      <c r="E58" s="2">
        <v>4</v>
      </c>
      <c r="F58" s="2">
        <v>0</v>
      </c>
      <c r="G58" s="2">
        <v>0</v>
      </c>
      <c r="H58" s="2">
        <v>0</v>
      </c>
      <c r="I58" s="2">
        <v>0</v>
      </c>
      <c r="J58" s="2"/>
      <c r="K58" s="2">
        <v>23</v>
      </c>
      <c r="L58" s="2">
        <v>21</v>
      </c>
      <c r="M58" s="2">
        <v>22</v>
      </c>
      <c r="N58" s="2">
        <v>3</v>
      </c>
      <c r="O58" s="2">
        <v>0</v>
      </c>
      <c r="P58" s="2">
        <v>0</v>
      </c>
      <c r="Q58" s="2">
        <v>0</v>
      </c>
      <c r="R58" s="2">
        <v>0</v>
      </c>
      <c r="S58" s="2">
        <v>2</v>
      </c>
      <c r="T58" s="2">
        <v>13</v>
      </c>
      <c r="U58" s="2">
        <v>5</v>
      </c>
      <c r="V58" s="75"/>
      <c r="W58" s="239">
        <f t="shared" si="0"/>
        <v>0</v>
      </c>
    </row>
    <row r="59" spans="1:23" x14ac:dyDescent="0.25">
      <c r="A59" s="23"/>
      <c r="B59" s="23"/>
      <c r="C59" s="240" t="s">
        <v>21</v>
      </c>
      <c r="D59" s="23" t="s">
        <v>1360</v>
      </c>
      <c r="E59" s="23"/>
      <c r="F59" s="23">
        <v>1353</v>
      </c>
      <c r="G59" s="23">
        <v>1507</v>
      </c>
      <c r="H59" s="23">
        <v>1430</v>
      </c>
      <c r="I59" s="23">
        <v>1194</v>
      </c>
      <c r="J59" s="23"/>
      <c r="K59" s="23">
        <v>23602</v>
      </c>
      <c r="L59" s="23">
        <v>24605</v>
      </c>
      <c r="M59" s="23">
        <v>24103.5</v>
      </c>
      <c r="N59" s="23">
        <v>19443</v>
      </c>
      <c r="O59" s="23">
        <v>947</v>
      </c>
      <c r="P59" s="23">
        <v>1690</v>
      </c>
      <c r="Q59" s="23">
        <v>91</v>
      </c>
      <c r="R59" s="23">
        <v>1</v>
      </c>
      <c r="S59" s="23">
        <v>49</v>
      </c>
      <c r="T59" s="23">
        <v>1020</v>
      </c>
      <c r="U59" s="23">
        <v>361</v>
      </c>
      <c r="V59" s="75"/>
      <c r="W59" s="239">
        <f t="shared" si="0"/>
        <v>6.0588085755444457E-2</v>
      </c>
    </row>
    <row r="60" spans="1:23" x14ac:dyDescent="0.25">
      <c r="A60" s="2">
        <v>540035</v>
      </c>
      <c r="B60" s="2" t="s">
        <v>22</v>
      </c>
      <c r="C60" s="238" t="s">
        <v>23</v>
      </c>
      <c r="D60" s="2" t="s">
        <v>5</v>
      </c>
      <c r="E60" s="2">
        <v>7</v>
      </c>
      <c r="F60" s="2">
        <v>649</v>
      </c>
      <c r="G60" s="2">
        <v>554</v>
      </c>
      <c r="H60" s="2">
        <v>601.5</v>
      </c>
      <c r="I60" s="2">
        <v>0</v>
      </c>
      <c r="J60" s="2"/>
      <c r="K60" s="2">
        <v>7445</v>
      </c>
      <c r="L60" s="2">
        <v>4271</v>
      </c>
      <c r="M60" s="2">
        <v>5858</v>
      </c>
      <c r="N60" s="2">
        <v>2091</v>
      </c>
      <c r="O60" s="2">
        <v>4933</v>
      </c>
      <c r="P60" s="2">
        <v>153</v>
      </c>
      <c r="Q60" s="2">
        <v>14</v>
      </c>
      <c r="R60" s="2">
        <v>0</v>
      </c>
      <c r="S60" s="2">
        <v>14</v>
      </c>
      <c r="T60" s="2">
        <v>205</v>
      </c>
      <c r="U60" s="2">
        <v>35</v>
      </c>
      <c r="V60" s="16"/>
      <c r="W60" s="239">
        <f t="shared" si="0"/>
        <v>8.0792478173270649E-2</v>
      </c>
    </row>
    <row r="61" spans="1:23" x14ac:dyDescent="0.25">
      <c r="A61" s="2">
        <v>540036</v>
      </c>
      <c r="B61" s="2" t="s">
        <v>139</v>
      </c>
      <c r="C61" s="238" t="s">
        <v>23</v>
      </c>
      <c r="D61" s="2" t="s">
        <v>115</v>
      </c>
      <c r="E61" s="2">
        <v>7</v>
      </c>
      <c r="F61" s="2">
        <v>134</v>
      </c>
      <c r="G61" s="2">
        <v>102</v>
      </c>
      <c r="H61" s="2">
        <v>118</v>
      </c>
      <c r="I61" s="2">
        <v>0</v>
      </c>
      <c r="J61" s="2"/>
      <c r="K61" s="2">
        <v>760</v>
      </c>
      <c r="L61" s="2">
        <v>512</v>
      </c>
      <c r="M61" s="2">
        <v>636</v>
      </c>
      <c r="N61" s="2">
        <v>506</v>
      </c>
      <c r="O61" s="2">
        <v>7</v>
      </c>
      <c r="P61" s="2">
        <v>109</v>
      </c>
      <c r="Q61" s="2">
        <v>0</v>
      </c>
      <c r="R61" s="2">
        <v>13</v>
      </c>
      <c r="S61" s="2">
        <v>7</v>
      </c>
      <c r="T61" s="2">
        <v>115</v>
      </c>
      <c r="U61" s="2">
        <v>3</v>
      </c>
      <c r="V61" s="16"/>
      <c r="W61" s="239">
        <f t="shared" si="0"/>
        <v>0.15526315789473685</v>
      </c>
    </row>
    <row r="62" spans="1:23" x14ac:dyDescent="0.25">
      <c r="A62" s="2">
        <v>540037</v>
      </c>
      <c r="B62" s="2" t="s">
        <v>140</v>
      </c>
      <c r="C62" s="238" t="s">
        <v>23</v>
      </c>
      <c r="D62" s="2" t="s">
        <v>115</v>
      </c>
      <c r="E62" s="2">
        <v>7</v>
      </c>
      <c r="F62" s="2">
        <v>22</v>
      </c>
      <c r="G62" s="2">
        <v>18</v>
      </c>
      <c r="H62" s="2">
        <v>20</v>
      </c>
      <c r="I62" s="2">
        <v>0</v>
      </c>
      <c r="J62" s="2"/>
      <c r="K62" s="2">
        <v>168</v>
      </c>
      <c r="L62" s="2">
        <v>102</v>
      </c>
      <c r="M62" s="2">
        <v>135</v>
      </c>
      <c r="N62" s="2">
        <v>120</v>
      </c>
      <c r="O62" s="2">
        <v>14</v>
      </c>
      <c r="P62" s="2">
        <v>10</v>
      </c>
      <c r="Q62" s="2">
        <v>0</v>
      </c>
      <c r="R62" s="2">
        <v>0</v>
      </c>
      <c r="S62" s="2">
        <v>0</v>
      </c>
      <c r="T62" s="2">
        <v>22</v>
      </c>
      <c r="U62" s="2">
        <v>2</v>
      </c>
      <c r="V62" s="16"/>
      <c r="W62" s="239">
        <f t="shared" si="0"/>
        <v>0.11904761904761904</v>
      </c>
    </row>
    <row r="63" spans="1:23" x14ac:dyDescent="0.25">
      <c r="A63" s="23"/>
      <c r="B63" s="23"/>
      <c r="C63" s="240" t="s">
        <v>23</v>
      </c>
      <c r="D63" s="23" t="s">
        <v>1360</v>
      </c>
      <c r="E63" s="23"/>
      <c r="F63" s="23">
        <v>805</v>
      </c>
      <c r="G63" s="23">
        <v>674</v>
      </c>
      <c r="H63" s="23">
        <v>739.5</v>
      </c>
      <c r="I63" s="23">
        <v>0</v>
      </c>
      <c r="J63" s="23"/>
      <c r="K63" s="23">
        <v>8373</v>
      </c>
      <c r="L63" s="23">
        <v>4885</v>
      </c>
      <c r="M63" s="23">
        <v>6629</v>
      </c>
      <c r="N63" s="23">
        <v>2717</v>
      </c>
      <c r="O63" s="23">
        <v>4954</v>
      </c>
      <c r="P63" s="23">
        <v>272</v>
      </c>
      <c r="Q63" s="23">
        <v>14</v>
      </c>
      <c r="R63" s="23">
        <v>13</v>
      </c>
      <c r="S63" s="23">
        <v>21</v>
      </c>
      <c r="T63" s="23">
        <v>342</v>
      </c>
      <c r="U63" s="23">
        <v>40</v>
      </c>
      <c r="V63" s="16"/>
      <c r="W63" s="239">
        <f t="shared" si="0"/>
        <v>8.8319598710139738E-2</v>
      </c>
    </row>
    <row r="64" spans="1:23" x14ac:dyDescent="0.25">
      <c r="A64" s="2">
        <v>540038</v>
      </c>
      <c r="B64" s="2" t="s">
        <v>24</v>
      </c>
      <c r="C64" s="238" t="s">
        <v>25</v>
      </c>
      <c r="D64" s="2" t="s">
        <v>5</v>
      </c>
      <c r="E64" s="2">
        <v>8</v>
      </c>
      <c r="F64" s="2">
        <v>280</v>
      </c>
      <c r="G64" s="2">
        <v>455</v>
      </c>
      <c r="H64" s="2">
        <v>367.5</v>
      </c>
      <c r="I64" s="2">
        <v>0</v>
      </c>
      <c r="J64" s="2"/>
      <c r="K64" s="2">
        <v>6517</v>
      </c>
      <c r="L64" s="2">
        <v>8060</v>
      </c>
      <c r="M64" s="2">
        <v>7288.5</v>
      </c>
      <c r="N64" s="2">
        <v>4380</v>
      </c>
      <c r="O64" s="2">
        <v>1415</v>
      </c>
      <c r="P64" s="2">
        <v>362</v>
      </c>
      <c r="Q64" s="2">
        <v>44</v>
      </c>
      <c r="R64" s="2">
        <v>0</v>
      </c>
      <c r="S64" s="2">
        <v>22</v>
      </c>
      <c r="T64" s="2">
        <v>197</v>
      </c>
      <c r="U64" s="2">
        <v>97</v>
      </c>
      <c r="V64" s="16"/>
      <c r="W64" s="239">
        <f t="shared" si="0"/>
        <v>5.6390977443609019E-2</v>
      </c>
    </row>
    <row r="65" spans="1:23" x14ac:dyDescent="0.25">
      <c r="A65" s="2">
        <v>540240</v>
      </c>
      <c r="B65" s="2" t="s">
        <v>287</v>
      </c>
      <c r="C65" s="238" t="s">
        <v>25</v>
      </c>
      <c r="D65" s="2" t="s">
        <v>115</v>
      </c>
      <c r="E65" s="2">
        <v>8</v>
      </c>
      <c r="F65" s="2">
        <v>21</v>
      </c>
      <c r="G65" s="2">
        <v>25</v>
      </c>
      <c r="H65" s="2">
        <v>23</v>
      </c>
      <c r="I65" s="2">
        <v>0</v>
      </c>
      <c r="J65" s="2"/>
      <c r="K65" s="2">
        <v>185</v>
      </c>
      <c r="L65" s="2">
        <v>198</v>
      </c>
      <c r="M65" s="2">
        <v>191.5</v>
      </c>
      <c r="N65" s="2">
        <v>156</v>
      </c>
      <c r="O65" s="2">
        <v>0</v>
      </c>
      <c r="P65" s="2">
        <v>11</v>
      </c>
      <c r="Q65" s="2">
        <v>1</v>
      </c>
      <c r="R65" s="2">
        <v>0</v>
      </c>
      <c r="S65" s="2">
        <v>0</v>
      </c>
      <c r="T65" s="2">
        <v>11</v>
      </c>
      <c r="U65" s="2">
        <v>6</v>
      </c>
      <c r="V65" s="16"/>
      <c r="W65" s="239">
        <f t="shared" si="0"/>
        <v>0.12432432432432433</v>
      </c>
    </row>
    <row r="66" spans="1:23" x14ac:dyDescent="0.25">
      <c r="A66" s="2">
        <v>540039</v>
      </c>
      <c r="B66" s="2" t="s">
        <v>141</v>
      </c>
      <c r="C66" s="238" t="s">
        <v>25</v>
      </c>
      <c r="D66" s="2" t="s">
        <v>115</v>
      </c>
      <c r="E66" s="2">
        <v>8</v>
      </c>
      <c r="F66" s="2">
        <v>5</v>
      </c>
      <c r="G66" s="2">
        <v>34</v>
      </c>
      <c r="H66" s="2">
        <v>19.5</v>
      </c>
      <c r="I66" s="2">
        <v>0</v>
      </c>
      <c r="J66" s="2"/>
      <c r="K66" s="2">
        <v>1359</v>
      </c>
      <c r="L66" s="2">
        <v>1334</v>
      </c>
      <c r="M66" s="2">
        <v>1346.5</v>
      </c>
      <c r="N66" s="2">
        <v>839</v>
      </c>
      <c r="O66" s="2">
        <v>2</v>
      </c>
      <c r="P66" s="2">
        <v>409</v>
      </c>
      <c r="Q66" s="2">
        <v>4</v>
      </c>
      <c r="R66" s="2">
        <v>0</v>
      </c>
      <c r="S66" s="2">
        <v>0</v>
      </c>
      <c r="T66" s="2">
        <v>102</v>
      </c>
      <c r="U66" s="2">
        <v>3</v>
      </c>
      <c r="V66" s="16"/>
      <c r="W66" s="239">
        <f t="shared" si="0"/>
        <v>1.434878587196468E-2</v>
      </c>
    </row>
    <row r="67" spans="1:23" x14ac:dyDescent="0.25">
      <c r="A67" s="23"/>
      <c r="B67" s="23"/>
      <c r="C67" s="240" t="s">
        <v>25</v>
      </c>
      <c r="D67" s="23" t="s">
        <v>1360</v>
      </c>
      <c r="E67" s="23"/>
      <c r="F67" s="23">
        <v>306</v>
      </c>
      <c r="G67" s="23">
        <v>514</v>
      </c>
      <c r="H67" s="23">
        <v>410</v>
      </c>
      <c r="I67" s="23">
        <v>0</v>
      </c>
      <c r="J67" s="23"/>
      <c r="K67" s="23">
        <v>8061</v>
      </c>
      <c r="L67" s="23">
        <v>9592</v>
      </c>
      <c r="M67" s="23">
        <v>8826.5</v>
      </c>
      <c r="N67" s="23">
        <v>5375</v>
      </c>
      <c r="O67" s="23">
        <v>1417</v>
      </c>
      <c r="P67" s="23">
        <v>782</v>
      </c>
      <c r="Q67" s="23">
        <v>49</v>
      </c>
      <c r="R67" s="23">
        <v>0</v>
      </c>
      <c r="S67" s="23">
        <v>22</v>
      </c>
      <c r="T67" s="23">
        <v>310</v>
      </c>
      <c r="U67" s="23">
        <v>106</v>
      </c>
      <c r="V67" s="16"/>
      <c r="W67" s="239">
        <f t="shared" si="0"/>
        <v>5.086217590869619E-2</v>
      </c>
    </row>
    <row r="68" spans="1:23" x14ac:dyDescent="0.25">
      <c r="A68" s="2">
        <v>540040</v>
      </c>
      <c r="B68" s="2" t="s">
        <v>26</v>
      </c>
      <c r="C68" s="238" t="s">
        <v>27</v>
      </c>
      <c r="D68" s="2" t="s">
        <v>5</v>
      </c>
      <c r="E68" s="2">
        <v>4</v>
      </c>
      <c r="F68" s="2">
        <v>979</v>
      </c>
      <c r="G68" s="2">
        <v>1292</v>
      </c>
      <c r="H68" s="2">
        <v>1135.5</v>
      </c>
      <c r="I68" s="2">
        <v>0</v>
      </c>
      <c r="J68" s="2"/>
      <c r="K68" s="2">
        <v>14856</v>
      </c>
      <c r="L68" s="2">
        <v>19528</v>
      </c>
      <c r="M68" s="2">
        <v>17192</v>
      </c>
      <c r="N68" s="2">
        <v>10490</v>
      </c>
      <c r="O68" s="2">
        <v>2471</v>
      </c>
      <c r="P68" s="2">
        <v>1452</v>
      </c>
      <c r="Q68" s="2">
        <v>17</v>
      </c>
      <c r="R68" s="2">
        <v>88</v>
      </c>
      <c r="S68" s="2">
        <v>0</v>
      </c>
      <c r="T68" s="2">
        <v>233</v>
      </c>
      <c r="U68" s="2">
        <v>105</v>
      </c>
      <c r="V68" s="16"/>
      <c r="W68" s="239">
        <f t="shared" si="0"/>
        <v>7.6433764135702742E-2</v>
      </c>
    </row>
    <row r="69" spans="1:23" x14ac:dyDescent="0.25">
      <c r="A69" s="2">
        <v>540041</v>
      </c>
      <c r="B69" s="2" t="s">
        <v>142</v>
      </c>
      <c r="C69" s="238" t="s">
        <v>27</v>
      </c>
      <c r="D69" s="2" t="s">
        <v>115</v>
      </c>
      <c r="E69" s="2">
        <v>4</v>
      </c>
      <c r="F69" s="2">
        <v>136</v>
      </c>
      <c r="G69" s="2">
        <v>159</v>
      </c>
      <c r="H69" s="2">
        <v>147.5</v>
      </c>
      <c r="I69" s="2">
        <v>0</v>
      </c>
      <c r="J69" s="2"/>
      <c r="K69" s="2">
        <v>545</v>
      </c>
      <c r="L69" s="2">
        <v>542</v>
      </c>
      <c r="M69" s="2">
        <v>543.5</v>
      </c>
      <c r="N69" s="2">
        <v>441</v>
      </c>
      <c r="O69" s="2">
        <v>5</v>
      </c>
      <c r="P69" s="2">
        <v>26</v>
      </c>
      <c r="Q69" s="2">
        <v>0</v>
      </c>
      <c r="R69" s="2">
        <v>58</v>
      </c>
      <c r="S69" s="2">
        <v>0</v>
      </c>
      <c r="T69" s="2">
        <v>14</v>
      </c>
      <c r="U69" s="2">
        <v>1</v>
      </c>
      <c r="V69" s="16"/>
      <c r="W69" s="239">
        <f t="shared" ref="W69:W132" si="1" xml:space="preserve"> H69 / K69</f>
        <v>0.27064220183486237</v>
      </c>
    </row>
    <row r="70" spans="1:23" x14ac:dyDescent="0.25">
      <c r="A70" s="2">
        <v>540243</v>
      </c>
      <c r="B70" s="2" t="s">
        <v>290</v>
      </c>
      <c r="C70" s="238" t="s">
        <v>27</v>
      </c>
      <c r="D70" s="2" t="s">
        <v>115</v>
      </c>
      <c r="E70" s="2">
        <v>4</v>
      </c>
      <c r="F70" s="2">
        <v>7</v>
      </c>
      <c r="G70" s="2">
        <v>7</v>
      </c>
      <c r="H70" s="2">
        <v>7</v>
      </c>
      <c r="I70" s="2">
        <v>0</v>
      </c>
      <c r="J70" s="2"/>
      <c r="K70" s="2">
        <v>127</v>
      </c>
      <c r="L70" s="2">
        <v>183</v>
      </c>
      <c r="M70" s="2">
        <v>155</v>
      </c>
      <c r="N70" s="2">
        <v>110</v>
      </c>
      <c r="O70" s="2">
        <v>3</v>
      </c>
      <c r="P70" s="2">
        <v>7</v>
      </c>
      <c r="Q70" s="2">
        <v>0</v>
      </c>
      <c r="R70" s="2">
        <v>0</v>
      </c>
      <c r="S70" s="2">
        <v>0</v>
      </c>
      <c r="T70" s="2">
        <v>6</v>
      </c>
      <c r="U70" s="2">
        <v>1</v>
      </c>
      <c r="V70" s="16"/>
      <c r="W70" s="239">
        <f t="shared" si="1"/>
        <v>5.5118110236220472E-2</v>
      </c>
    </row>
    <row r="71" spans="1:23" x14ac:dyDescent="0.25">
      <c r="A71" s="2">
        <v>540281</v>
      </c>
      <c r="B71" s="2" t="s">
        <v>322</v>
      </c>
      <c r="C71" s="238" t="s">
        <v>27</v>
      </c>
      <c r="D71" s="2" t="s">
        <v>115</v>
      </c>
      <c r="E71" s="2">
        <v>4</v>
      </c>
      <c r="F71" s="2">
        <v>0</v>
      </c>
      <c r="G71" s="2">
        <v>0</v>
      </c>
      <c r="H71" s="2">
        <v>0</v>
      </c>
      <c r="I71" s="2">
        <v>0</v>
      </c>
      <c r="J71" s="2"/>
      <c r="K71" s="2">
        <v>2648</v>
      </c>
      <c r="L71" s="2">
        <v>1788</v>
      </c>
      <c r="M71" s="2">
        <v>2218</v>
      </c>
      <c r="N71" s="2">
        <v>1578</v>
      </c>
      <c r="O71" s="2">
        <v>17</v>
      </c>
      <c r="P71" s="2">
        <v>784</v>
      </c>
      <c r="Q71" s="2">
        <v>3</v>
      </c>
      <c r="R71" s="2">
        <v>181</v>
      </c>
      <c r="S71" s="2">
        <v>0</v>
      </c>
      <c r="T71" s="2">
        <v>60</v>
      </c>
      <c r="U71" s="2">
        <v>25</v>
      </c>
      <c r="V71" s="16"/>
      <c r="W71" s="239">
        <f t="shared" si="1"/>
        <v>0</v>
      </c>
    </row>
    <row r="72" spans="1:23" x14ac:dyDescent="0.25">
      <c r="A72" s="2">
        <v>540244</v>
      </c>
      <c r="B72" s="2" t="s">
        <v>291</v>
      </c>
      <c r="C72" s="238" t="s">
        <v>27</v>
      </c>
      <c r="D72" s="2" t="s">
        <v>115</v>
      </c>
      <c r="E72" s="2">
        <v>4</v>
      </c>
      <c r="F72" s="2">
        <v>0</v>
      </c>
      <c r="G72" s="2">
        <v>0</v>
      </c>
      <c r="H72" s="2">
        <v>0</v>
      </c>
      <c r="I72" s="2">
        <v>0</v>
      </c>
      <c r="J72" s="2"/>
      <c r="K72" s="2">
        <v>157</v>
      </c>
      <c r="L72" s="2">
        <v>177</v>
      </c>
      <c r="M72" s="2">
        <v>167</v>
      </c>
      <c r="N72" s="2">
        <v>138</v>
      </c>
      <c r="O72" s="2">
        <v>0</v>
      </c>
      <c r="P72" s="2">
        <v>6</v>
      </c>
      <c r="Q72" s="2">
        <v>0</v>
      </c>
      <c r="R72" s="2">
        <v>0</v>
      </c>
      <c r="S72" s="2">
        <v>0</v>
      </c>
      <c r="T72" s="2">
        <v>12</v>
      </c>
      <c r="U72" s="2">
        <v>1</v>
      </c>
      <c r="V72" s="16"/>
      <c r="W72" s="239">
        <f t="shared" si="1"/>
        <v>0</v>
      </c>
    </row>
    <row r="73" spans="1:23" x14ac:dyDescent="0.25">
      <c r="A73" s="2">
        <v>540228</v>
      </c>
      <c r="B73" s="2" t="s">
        <v>278</v>
      </c>
      <c r="C73" s="238" t="s">
        <v>27</v>
      </c>
      <c r="D73" s="2" t="s">
        <v>115</v>
      </c>
      <c r="E73" s="2">
        <v>4</v>
      </c>
      <c r="F73" s="2">
        <v>19</v>
      </c>
      <c r="G73" s="2">
        <v>27</v>
      </c>
      <c r="H73" s="2">
        <v>23</v>
      </c>
      <c r="I73" s="2">
        <v>0</v>
      </c>
      <c r="J73" s="2"/>
      <c r="K73" s="2">
        <v>990</v>
      </c>
      <c r="L73" s="2">
        <v>858</v>
      </c>
      <c r="M73" s="2">
        <v>924</v>
      </c>
      <c r="N73" s="2">
        <v>678</v>
      </c>
      <c r="O73" s="2">
        <v>0</v>
      </c>
      <c r="P73" s="2">
        <v>201</v>
      </c>
      <c r="Q73" s="2">
        <v>0</v>
      </c>
      <c r="R73" s="2">
        <v>67</v>
      </c>
      <c r="S73" s="2">
        <v>0</v>
      </c>
      <c r="T73" s="2">
        <v>28</v>
      </c>
      <c r="U73" s="2">
        <v>16</v>
      </c>
      <c r="V73" s="16"/>
      <c r="W73" s="239">
        <f t="shared" si="1"/>
        <v>2.3232323232323233E-2</v>
      </c>
    </row>
    <row r="74" spans="1:23" x14ac:dyDescent="0.25">
      <c r="A74" s="2">
        <v>540043</v>
      </c>
      <c r="B74" s="2" t="s">
        <v>144</v>
      </c>
      <c r="C74" s="238" t="s">
        <v>27</v>
      </c>
      <c r="D74" s="2" t="s">
        <v>115</v>
      </c>
      <c r="E74" s="2">
        <v>4</v>
      </c>
      <c r="F74" s="2">
        <v>69</v>
      </c>
      <c r="G74" s="2">
        <v>92</v>
      </c>
      <c r="H74" s="2">
        <v>80.5</v>
      </c>
      <c r="I74" s="2">
        <v>0</v>
      </c>
      <c r="J74" s="2"/>
      <c r="K74" s="2">
        <v>931</v>
      </c>
      <c r="L74" s="2">
        <v>860</v>
      </c>
      <c r="M74" s="2">
        <v>895.5</v>
      </c>
      <c r="N74" s="2">
        <v>738</v>
      </c>
      <c r="O74" s="2">
        <v>4</v>
      </c>
      <c r="P74" s="2">
        <v>122</v>
      </c>
      <c r="Q74" s="2">
        <v>1</v>
      </c>
      <c r="R74" s="2">
        <v>23</v>
      </c>
      <c r="S74" s="2">
        <v>0</v>
      </c>
      <c r="T74" s="2">
        <v>30</v>
      </c>
      <c r="U74" s="2">
        <v>13</v>
      </c>
      <c r="V74" s="16"/>
      <c r="W74" s="239">
        <f t="shared" si="1"/>
        <v>8.646616541353383E-2</v>
      </c>
    </row>
    <row r="75" spans="1:23" x14ac:dyDescent="0.25">
      <c r="A75" s="2">
        <v>540044</v>
      </c>
      <c r="B75" s="2" t="s">
        <v>145</v>
      </c>
      <c r="C75" s="238" t="s">
        <v>27</v>
      </c>
      <c r="D75" s="2" t="s">
        <v>115</v>
      </c>
      <c r="E75" s="2">
        <v>4</v>
      </c>
      <c r="F75" s="2">
        <v>22</v>
      </c>
      <c r="G75" s="2">
        <v>38</v>
      </c>
      <c r="H75" s="2">
        <v>30</v>
      </c>
      <c r="I75" s="2">
        <v>0</v>
      </c>
      <c r="J75" s="2"/>
      <c r="K75" s="2">
        <v>513</v>
      </c>
      <c r="L75" s="2">
        <v>572</v>
      </c>
      <c r="M75" s="2">
        <v>542.5</v>
      </c>
      <c r="N75" s="2">
        <v>433</v>
      </c>
      <c r="O75" s="2">
        <v>0</v>
      </c>
      <c r="P75" s="2">
        <v>59</v>
      </c>
      <c r="Q75" s="2">
        <v>0</v>
      </c>
      <c r="R75" s="2">
        <v>0</v>
      </c>
      <c r="S75" s="2">
        <v>0</v>
      </c>
      <c r="T75" s="2">
        <v>16</v>
      </c>
      <c r="U75" s="2">
        <v>5</v>
      </c>
      <c r="V75" s="16"/>
      <c r="W75" s="239">
        <f t="shared" si="1"/>
        <v>5.8479532163742687E-2</v>
      </c>
    </row>
    <row r="76" spans="1:23" x14ac:dyDescent="0.25">
      <c r="A76" s="2">
        <v>540045</v>
      </c>
      <c r="B76" s="2" t="s">
        <v>146</v>
      </c>
      <c r="C76" s="238" t="s">
        <v>27</v>
      </c>
      <c r="D76" s="2" t="s">
        <v>115</v>
      </c>
      <c r="E76" s="2">
        <v>4</v>
      </c>
      <c r="F76" s="2">
        <v>470</v>
      </c>
      <c r="G76" s="2">
        <v>421</v>
      </c>
      <c r="H76" s="2">
        <v>445.5</v>
      </c>
      <c r="I76" s="2">
        <v>0</v>
      </c>
      <c r="J76" s="2"/>
      <c r="K76" s="2">
        <v>1604</v>
      </c>
      <c r="L76" s="2">
        <v>1303</v>
      </c>
      <c r="M76" s="2">
        <v>1453.5</v>
      </c>
      <c r="N76" s="2">
        <v>1261</v>
      </c>
      <c r="O76" s="2">
        <v>0</v>
      </c>
      <c r="P76" s="2">
        <v>277</v>
      </c>
      <c r="Q76" s="2">
        <v>0</v>
      </c>
      <c r="R76" s="2">
        <v>18</v>
      </c>
      <c r="S76" s="2">
        <v>0</v>
      </c>
      <c r="T76" s="2">
        <v>31</v>
      </c>
      <c r="U76" s="2">
        <v>17</v>
      </c>
      <c r="V76" s="16"/>
      <c r="W76" s="239">
        <f t="shared" si="1"/>
        <v>0.27774314214463841</v>
      </c>
    </row>
    <row r="77" spans="1:23" x14ac:dyDescent="0.25">
      <c r="A77" s="23"/>
      <c r="B77" s="23"/>
      <c r="C77" s="240" t="s">
        <v>27</v>
      </c>
      <c r="D77" s="23" t="s">
        <v>1360</v>
      </c>
      <c r="E77" s="23"/>
      <c r="F77" s="23">
        <v>1702</v>
      </c>
      <c r="G77" s="23">
        <v>2036</v>
      </c>
      <c r="H77" s="23">
        <v>1869</v>
      </c>
      <c r="I77" s="23">
        <v>0</v>
      </c>
      <c r="J77" s="23"/>
      <c r="K77" s="23">
        <v>22371</v>
      </c>
      <c r="L77" s="23">
        <v>25811</v>
      </c>
      <c r="M77" s="23">
        <v>24091</v>
      </c>
      <c r="N77" s="23">
        <v>15867</v>
      </c>
      <c r="O77" s="23">
        <v>2500</v>
      </c>
      <c r="P77" s="23">
        <v>2934</v>
      </c>
      <c r="Q77" s="23">
        <v>21</v>
      </c>
      <c r="R77" s="23">
        <v>435</v>
      </c>
      <c r="S77" s="23">
        <v>0</v>
      </c>
      <c r="T77" s="23">
        <v>430</v>
      </c>
      <c r="U77" s="23">
        <v>184</v>
      </c>
      <c r="V77" s="16"/>
      <c r="W77" s="239">
        <f t="shared" si="1"/>
        <v>8.354566179428724E-2</v>
      </c>
    </row>
    <row r="78" spans="1:23" x14ac:dyDescent="0.25">
      <c r="A78" s="2">
        <v>540226</v>
      </c>
      <c r="B78" s="2" t="s">
        <v>100</v>
      </c>
      <c r="C78" s="238" t="s">
        <v>101</v>
      </c>
      <c r="D78" s="2" t="s">
        <v>5</v>
      </c>
      <c r="E78" s="2">
        <v>8</v>
      </c>
      <c r="F78" s="2">
        <v>1501</v>
      </c>
      <c r="G78" s="2">
        <v>1378</v>
      </c>
      <c r="H78" s="2">
        <v>1439.5</v>
      </c>
      <c r="I78" s="2">
        <v>0</v>
      </c>
      <c r="J78" s="2"/>
      <c r="K78" s="2">
        <v>14436</v>
      </c>
      <c r="L78" s="2">
        <v>15602</v>
      </c>
      <c r="M78" s="2">
        <v>15019</v>
      </c>
      <c r="N78" s="2">
        <v>10680</v>
      </c>
      <c r="O78" s="2">
        <v>2452</v>
      </c>
      <c r="P78" s="2">
        <v>936</v>
      </c>
      <c r="Q78" s="2">
        <v>7</v>
      </c>
      <c r="R78" s="2">
        <v>0</v>
      </c>
      <c r="S78" s="2">
        <v>14</v>
      </c>
      <c r="T78" s="2">
        <v>264</v>
      </c>
      <c r="U78" s="2">
        <v>83</v>
      </c>
      <c r="V78" s="16"/>
      <c r="W78" s="239">
        <f t="shared" si="1"/>
        <v>9.9715987808257134E-2</v>
      </c>
    </row>
    <row r="79" spans="1:23" x14ac:dyDescent="0.25">
      <c r="A79" s="2">
        <v>540046</v>
      </c>
      <c r="B79" s="2" t="s">
        <v>147</v>
      </c>
      <c r="C79" s="238" t="s">
        <v>101</v>
      </c>
      <c r="D79" s="2" t="s">
        <v>115</v>
      </c>
      <c r="E79" s="2">
        <v>8</v>
      </c>
      <c r="F79" s="2">
        <v>37</v>
      </c>
      <c r="G79" s="2">
        <v>42</v>
      </c>
      <c r="H79" s="2">
        <v>39.5</v>
      </c>
      <c r="I79" s="2">
        <v>0</v>
      </c>
      <c r="J79" s="2"/>
      <c r="K79" s="2">
        <v>251</v>
      </c>
      <c r="L79" s="2">
        <v>236</v>
      </c>
      <c r="M79" s="2">
        <v>243.5</v>
      </c>
      <c r="N79" s="2">
        <v>146</v>
      </c>
      <c r="O79" s="2">
        <v>4</v>
      </c>
      <c r="P79" s="2">
        <v>77</v>
      </c>
      <c r="Q79" s="2">
        <v>1</v>
      </c>
      <c r="R79" s="2">
        <v>0</v>
      </c>
      <c r="S79" s="2">
        <v>2</v>
      </c>
      <c r="T79" s="2">
        <v>21</v>
      </c>
      <c r="U79" s="2">
        <v>0</v>
      </c>
      <c r="V79" s="16"/>
      <c r="W79" s="239">
        <f t="shared" si="1"/>
        <v>0.15737051792828685</v>
      </c>
    </row>
    <row r="80" spans="1:23" x14ac:dyDescent="0.25">
      <c r="A80" s="2">
        <v>540276</v>
      </c>
      <c r="B80" s="2" t="s">
        <v>319</v>
      </c>
      <c r="C80" s="238" t="s">
        <v>101</v>
      </c>
      <c r="D80" s="2" t="s">
        <v>115</v>
      </c>
      <c r="E80" s="2">
        <v>8</v>
      </c>
      <c r="F80" s="2">
        <v>6</v>
      </c>
      <c r="G80" s="2">
        <v>6</v>
      </c>
      <c r="H80" s="2">
        <v>6</v>
      </c>
      <c r="I80" s="2">
        <v>0</v>
      </c>
      <c r="J80" s="2"/>
      <c r="K80" s="2">
        <v>1148</v>
      </c>
      <c r="L80" s="2">
        <v>837</v>
      </c>
      <c r="M80" s="2">
        <v>992.5</v>
      </c>
      <c r="N80" s="2">
        <v>643</v>
      </c>
      <c r="O80" s="2">
        <v>5</v>
      </c>
      <c r="P80" s="2">
        <v>216</v>
      </c>
      <c r="Q80" s="2">
        <v>0</v>
      </c>
      <c r="R80" s="2">
        <v>70</v>
      </c>
      <c r="S80" s="2">
        <v>2</v>
      </c>
      <c r="T80" s="2">
        <v>207</v>
      </c>
      <c r="U80" s="2">
        <v>5</v>
      </c>
      <c r="V80" s="16"/>
      <c r="W80" s="239">
        <f t="shared" si="1"/>
        <v>5.2264808362369342E-3</v>
      </c>
    </row>
    <row r="81" spans="1:23" x14ac:dyDescent="0.25">
      <c r="A81" s="23"/>
      <c r="B81" s="23"/>
      <c r="C81" s="240" t="s">
        <v>101</v>
      </c>
      <c r="D81" s="23" t="s">
        <v>1360</v>
      </c>
      <c r="E81" s="23"/>
      <c r="F81" s="23">
        <v>1544</v>
      </c>
      <c r="G81" s="23">
        <v>1426</v>
      </c>
      <c r="H81" s="23">
        <v>1485</v>
      </c>
      <c r="I81" s="23">
        <v>0</v>
      </c>
      <c r="J81" s="23"/>
      <c r="K81" s="23">
        <v>15835</v>
      </c>
      <c r="L81" s="23">
        <v>16675</v>
      </c>
      <c r="M81" s="23">
        <v>16255</v>
      </c>
      <c r="N81" s="23">
        <v>11469</v>
      </c>
      <c r="O81" s="23">
        <v>2461</v>
      </c>
      <c r="P81" s="23">
        <v>1229</v>
      </c>
      <c r="Q81" s="23">
        <v>8</v>
      </c>
      <c r="R81" s="23">
        <v>70</v>
      </c>
      <c r="S81" s="23">
        <v>18</v>
      </c>
      <c r="T81" s="23">
        <v>492</v>
      </c>
      <c r="U81" s="23">
        <v>88</v>
      </c>
      <c r="V81" s="16"/>
      <c r="W81" s="239">
        <f t="shared" si="1"/>
        <v>9.3779602147142413E-2</v>
      </c>
    </row>
    <row r="82" spans="1:23" x14ac:dyDescent="0.25">
      <c r="A82" s="2">
        <v>540047</v>
      </c>
      <c r="B82" s="2" t="s">
        <v>28</v>
      </c>
      <c r="C82" s="238" t="s">
        <v>29</v>
      </c>
      <c r="D82" s="2" t="s">
        <v>5</v>
      </c>
      <c r="E82" s="2">
        <v>11</v>
      </c>
      <c r="F82" s="2">
        <v>307</v>
      </c>
      <c r="G82" s="2">
        <v>372</v>
      </c>
      <c r="H82" s="2">
        <v>339.5</v>
      </c>
      <c r="I82" s="2">
        <v>211</v>
      </c>
      <c r="J82" s="2"/>
      <c r="K82" s="2">
        <v>5979</v>
      </c>
      <c r="L82" s="2">
        <v>7513</v>
      </c>
      <c r="M82" s="2">
        <v>6746</v>
      </c>
      <c r="N82" s="2">
        <v>5004</v>
      </c>
      <c r="O82" s="2">
        <v>75</v>
      </c>
      <c r="P82" s="2">
        <v>715</v>
      </c>
      <c r="Q82" s="2">
        <v>18</v>
      </c>
      <c r="R82" s="2">
        <v>22</v>
      </c>
      <c r="S82" s="2">
        <v>8</v>
      </c>
      <c r="T82" s="2">
        <v>104</v>
      </c>
      <c r="U82" s="2">
        <v>33</v>
      </c>
      <c r="V82" s="16"/>
      <c r="W82" s="239">
        <f t="shared" si="1"/>
        <v>5.6782070580364608E-2</v>
      </c>
    </row>
    <row r="83" spans="1:23" x14ac:dyDescent="0.25">
      <c r="A83" s="2">
        <v>540048</v>
      </c>
      <c r="B83" s="2" t="s">
        <v>148</v>
      </c>
      <c r="C83" s="238" t="s">
        <v>29</v>
      </c>
      <c r="D83" s="2" t="s">
        <v>115</v>
      </c>
      <c r="E83" s="2">
        <v>11</v>
      </c>
      <c r="F83" s="2">
        <v>23</v>
      </c>
      <c r="G83" s="2">
        <v>21</v>
      </c>
      <c r="H83" s="2">
        <v>22</v>
      </c>
      <c r="I83" s="2">
        <v>15</v>
      </c>
      <c r="J83" s="2"/>
      <c r="K83" s="2">
        <v>1295</v>
      </c>
      <c r="L83" s="2">
        <v>1181</v>
      </c>
      <c r="M83" s="2">
        <v>1238</v>
      </c>
      <c r="N83" s="2">
        <v>1085</v>
      </c>
      <c r="O83" s="2">
        <v>0</v>
      </c>
      <c r="P83" s="2">
        <v>133</v>
      </c>
      <c r="Q83" s="2">
        <v>3</v>
      </c>
      <c r="R83" s="2">
        <v>21</v>
      </c>
      <c r="S83" s="2">
        <v>3</v>
      </c>
      <c r="T83" s="2">
        <v>42</v>
      </c>
      <c r="U83" s="2">
        <v>8</v>
      </c>
      <c r="V83" s="16"/>
      <c r="W83" s="239">
        <f t="shared" si="1"/>
        <v>1.698841698841699E-2</v>
      </c>
    </row>
    <row r="84" spans="1:23" x14ac:dyDescent="0.25">
      <c r="A84" s="2">
        <v>540049</v>
      </c>
      <c r="B84" s="2" t="s">
        <v>149</v>
      </c>
      <c r="C84" s="238" t="s">
        <v>29</v>
      </c>
      <c r="D84" s="2" t="s">
        <v>115</v>
      </c>
      <c r="E84" s="2">
        <v>11</v>
      </c>
      <c r="F84" s="2">
        <v>190</v>
      </c>
      <c r="G84" s="2">
        <v>196</v>
      </c>
      <c r="H84" s="2">
        <v>193</v>
      </c>
      <c r="I84" s="2">
        <v>176</v>
      </c>
      <c r="J84" s="2"/>
      <c r="K84" s="2">
        <v>564</v>
      </c>
      <c r="L84" s="2">
        <v>580</v>
      </c>
      <c r="M84" s="2">
        <v>572</v>
      </c>
      <c r="N84" s="2">
        <v>424</v>
      </c>
      <c r="O84" s="2">
        <v>0</v>
      </c>
      <c r="P84" s="2">
        <v>73</v>
      </c>
      <c r="Q84" s="2">
        <v>0</v>
      </c>
      <c r="R84" s="2">
        <v>8</v>
      </c>
      <c r="S84" s="2">
        <v>3</v>
      </c>
      <c r="T84" s="2">
        <v>43</v>
      </c>
      <c r="U84" s="2">
        <v>13</v>
      </c>
      <c r="V84" s="16"/>
      <c r="W84" s="239">
        <f t="shared" si="1"/>
        <v>0.34219858156028371</v>
      </c>
    </row>
    <row r="85" spans="1:23" x14ac:dyDescent="0.25">
      <c r="A85" s="2">
        <v>540014</v>
      </c>
      <c r="B85" s="2" t="s">
        <v>124</v>
      </c>
      <c r="C85" s="238" t="s">
        <v>29</v>
      </c>
      <c r="D85" s="2" t="s">
        <v>115</v>
      </c>
      <c r="E85" s="2">
        <v>11</v>
      </c>
      <c r="F85" s="2">
        <v>112</v>
      </c>
      <c r="G85" s="2">
        <v>159</v>
      </c>
      <c r="H85" s="2">
        <v>135.5</v>
      </c>
      <c r="I85" s="2">
        <v>120</v>
      </c>
      <c r="J85" s="2"/>
      <c r="K85" s="2">
        <v>7431</v>
      </c>
      <c r="L85" s="2">
        <v>7581</v>
      </c>
      <c r="M85" s="2">
        <v>7506</v>
      </c>
      <c r="N85" s="2">
        <v>6462</v>
      </c>
      <c r="O85" s="2">
        <v>1</v>
      </c>
      <c r="P85" s="2">
        <v>510</v>
      </c>
      <c r="Q85" s="2">
        <v>1</v>
      </c>
      <c r="R85" s="2">
        <v>212</v>
      </c>
      <c r="S85" s="2">
        <v>6</v>
      </c>
      <c r="T85" s="2">
        <v>234</v>
      </c>
      <c r="U85" s="2">
        <v>5</v>
      </c>
      <c r="V85" s="16"/>
      <c r="W85" s="239">
        <f t="shared" si="1"/>
        <v>1.8234423361593324E-2</v>
      </c>
    </row>
    <row r="86" spans="1:23" x14ac:dyDescent="0.25">
      <c r="A86" s="23"/>
      <c r="B86" s="23"/>
      <c r="C86" s="240" t="s">
        <v>29</v>
      </c>
      <c r="D86" s="23" t="s">
        <v>1360</v>
      </c>
      <c r="E86" s="23"/>
      <c r="F86" s="23">
        <v>632</v>
      </c>
      <c r="G86" s="23">
        <v>748</v>
      </c>
      <c r="H86" s="23">
        <v>690</v>
      </c>
      <c r="I86" s="23">
        <v>522</v>
      </c>
      <c r="J86" s="23"/>
      <c r="K86" s="23">
        <v>15269</v>
      </c>
      <c r="L86" s="23">
        <v>16855</v>
      </c>
      <c r="M86" s="23">
        <v>16062</v>
      </c>
      <c r="N86" s="23">
        <v>12975</v>
      </c>
      <c r="O86" s="23">
        <v>76</v>
      </c>
      <c r="P86" s="23">
        <v>1431</v>
      </c>
      <c r="Q86" s="23">
        <v>22</v>
      </c>
      <c r="R86" s="23">
        <v>263</v>
      </c>
      <c r="S86" s="23">
        <v>20</v>
      </c>
      <c r="T86" s="23">
        <v>423</v>
      </c>
      <c r="U86" s="23">
        <v>59</v>
      </c>
      <c r="V86" s="16"/>
      <c r="W86" s="239">
        <f t="shared" si="1"/>
        <v>4.5189599842818784E-2</v>
      </c>
    </row>
    <row r="87" spans="1:23" x14ac:dyDescent="0.25">
      <c r="A87" s="2">
        <v>540051</v>
      </c>
      <c r="B87" s="2" t="s">
        <v>30</v>
      </c>
      <c r="C87" s="238" t="s">
        <v>31</v>
      </c>
      <c r="D87" s="2" t="s">
        <v>5</v>
      </c>
      <c r="E87" s="2">
        <v>8</v>
      </c>
      <c r="F87" s="2">
        <v>416</v>
      </c>
      <c r="G87" s="2">
        <v>771</v>
      </c>
      <c r="H87" s="2">
        <v>593.5</v>
      </c>
      <c r="I87" s="2">
        <v>0</v>
      </c>
      <c r="J87" s="2"/>
      <c r="K87" s="2">
        <v>8146</v>
      </c>
      <c r="L87" s="2">
        <v>10984</v>
      </c>
      <c r="M87" s="2">
        <v>9565</v>
      </c>
      <c r="N87" s="2">
        <v>4086</v>
      </c>
      <c r="O87" s="2">
        <v>1797</v>
      </c>
      <c r="P87" s="2">
        <v>118</v>
      </c>
      <c r="Q87" s="2">
        <v>16</v>
      </c>
      <c r="R87" s="2">
        <v>0</v>
      </c>
      <c r="S87" s="2">
        <v>12</v>
      </c>
      <c r="T87" s="2">
        <v>248</v>
      </c>
      <c r="U87" s="2">
        <v>1869</v>
      </c>
      <c r="V87" s="16"/>
      <c r="W87" s="239">
        <f t="shared" si="1"/>
        <v>7.2857844340780756E-2</v>
      </c>
    </row>
    <row r="88" spans="1:23" x14ac:dyDescent="0.25">
      <c r="A88" s="2">
        <v>540052</v>
      </c>
      <c r="B88" s="2" t="s">
        <v>151</v>
      </c>
      <c r="C88" s="238" t="s">
        <v>31</v>
      </c>
      <c r="D88" s="2" t="s">
        <v>115</v>
      </c>
      <c r="E88" s="2">
        <v>8</v>
      </c>
      <c r="F88" s="2">
        <v>77</v>
      </c>
      <c r="G88" s="2">
        <v>99</v>
      </c>
      <c r="H88" s="2">
        <v>88</v>
      </c>
      <c r="I88" s="2">
        <v>0</v>
      </c>
      <c r="J88" s="2"/>
      <c r="K88" s="2">
        <v>1318</v>
      </c>
      <c r="L88" s="2">
        <v>1287</v>
      </c>
      <c r="M88" s="2">
        <v>1302.5</v>
      </c>
      <c r="N88" s="2">
        <v>455</v>
      </c>
      <c r="O88" s="2">
        <v>13</v>
      </c>
      <c r="P88" s="2">
        <v>238</v>
      </c>
      <c r="Q88" s="2">
        <v>5</v>
      </c>
      <c r="R88" s="2">
        <v>0</v>
      </c>
      <c r="S88" s="2">
        <v>1</v>
      </c>
      <c r="T88" s="2">
        <v>137</v>
      </c>
      <c r="U88" s="2">
        <v>469</v>
      </c>
      <c r="V88" s="16"/>
      <c r="W88" s="239">
        <f t="shared" si="1"/>
        <v>6.6767830045523516E-2</v>
      </c>
    </row>
    <row r="89" spans="1:23" x14ac:dyDescent="0.25">
      <c r="A89" s="2">
        <v>540245</v>
      </c>
      <c r="B89" s="2" t="s">
        <v>292</v>
      </c>
      <c r="C89" s="238" t="s">
        <v>31</v>
      </c>
      <c r="D89" s="2" t="s">
        <v>115</v>
      </c>
      <c r="E89" s="2">
        <v>8</v>
      </c>
      <c r="F89" s="2">
        <v>1</v>
      </c>
      <c r="G89" s="2">
        <v>3</v>
      </c>
      <c r="H89" s="2">
        <v>2</v>
      </c>
      <c r="I89" s="2">
        <v>0</v>
      </c>
      <c r="J89" s="2"/>
      <c r="K89" s="2">
        <v>192</v>
      </c>
      <c r="L89" s="2">
        <v>213</v>
      </c>
      <c r="M89" s="2">
        <v>202.5</v>
      </c>
      <c r="N89" s="2">
        <v>129</v>
      </c>
      <c r="O89" s="2">
        <v>2</v>
      </c>
      <c r="P89" s="2">
        <v>33</v>
      </c>
      <c r="Q89" s="2">
        <v>0</v>
      </c>
      <c r="R89" s="2">
        <v>0</v>
      </c>
      <c r="S89" s="2">
        <v>1</v>
      </c>
      <c r="T89" s="2">
        <v>23</v>
      </c>
      <c r="U89" s="2">
        <v>4</v>
      </c>
      <c r="V89" s="16"/>
      <c r="W89" s="239">
        <f t="shared" si="1"/>
        <v>1.0416666666666666E-2</v>
      </c>
    </row>
    <row r="90" spans="1:23" x14ac:dyDescent="0.25">
      <c r="A90" s="23"/>
      <c r="B90" s="23"/>
      <c r="C90" s="240" t="s">
        <v>31</v>
      </c>
      <c r="D90" s="23" t="s">
        <v>1360</v>
      </c>
      <c r="E90" s="23"/>
      <c r="F90" s="23">
        <v>494</v>
      </c>
      <c r="G90" s="23">
        <v>873</v>
      </c>
      <c r="H90" s="23">
        <v>683.5</v>
      </c>
      <c r="I90" s="23">
        <v>0</v>
      </c>
      <c r="J90" s="23"/>
      <c r="K90" s="23">
        <v>9656</v>
      </c>
      <c r="L90" s="23">
        <v>12484</v>
      </c>
      <c r="M90" s="23">
        <v>11070</v>
      </c>
      <c r="N90" s="23">
        <v>4670</v>
      </c>
      <c r="O90" s="23">
        <v>1812</v>
      </c>
      <c r="P90" s="23">
        <v>389</v>
      </c>
      <c r="Q90" s="23">
        <v>21</v>
      </c>
      <c r="R90" s="23">
        <v>0</v>
      </c>
      <c r="S90" s="23">
        <v>14</v>
      </c>
      <c r="T90" s="23">
        <v>408</v>
      </c>
      <c r="U90" s="23">
        <v>2342</v>
      </c>
      <c r="V90" s="75"/>
      <c r="W90" s="242">
        <f t="shared" si="1"/>
        <v>7.0785004142502078E-2</v>
      </c>
    </row>
    <row r="91" spans="1:23" x14ac:dyDescent="0.25">
      <c r="A91" s="2">
        <v>540053</v>
      </c>
      <c r="B91" s="2" t="s">
        <v>32</v>
      </c>
      <c r="C91" s="238" t="s">
        <v>33</v>
      </c>
      <c r="D91" s="2" t="s">
        <v>5</v>
      </c>
      <c r="E91" s="2">
        <v>6</v>
      </c>
      <c r="F91" s="2">
        <v>1029</v>
      </c>
      <c r="G91" s="2">
        <v>1218</v>
      </c>
      <c r="H91" s="2">
        <v>1123.5</v>
      </c>
      <c r="I91" s="2">
        <v>0</v>
      </c>
      <c r="J91" s="2"/>
      <c r="K91" s="2">
        <v>22248</v>
      </c>
      <c r="L91" s="2">
        <v>20058</v>
      </c>
      <c r="M91" s="2">
        <v>21153</v>
      </c>
      <c r="N91" s="2">
        <v>13449</v>
      </c>
      <c r="O91" s="2">
        <v>6513</v>
      </c>
      <c r="P91" s="2">
        <v>1599</v>
      </c>
      <c r="Q91" s="2">
        <v>21</v>
      </c>
      <c r="R91" s="2">
        <v>101</v>
      </c>
      <c r="S91" s="2">
        <v>39</v>
      </c>
      <c r="T91" s="2">
        <v>370</v>
      </c>
      <c r="U91" s="2">
        <v>156</v>
      </c>
      <c r="V91" s="16"/>
      <c r="W91" s="239">
        <f t="shared" si="1"/>
        <v>5.0498921251348437E-2</v>
      </c>
    </row>
    <row r="92" spans="1:23" x14ac:dyDescent="0.25">
      <c r="A92" s="2">
        <v>540054</v>
      </c>
      <c r="B92" s="2" t="s">
        <v>152</v>
      </c>
      <c r="C92" s="238" t="s">
        <v>33</v>
      </c>
      <c r="D92" s="2" t="s">
        <v>115</v>
      </c>
      <c r="E92" s="2">
        <v>6</v>
      </c>
      <c r="F92" s="2">
        <v>21</v>
      </c>
      <c r="G92" s="2">
        <v>36</v>
      </c>
      <c r="H92" s="2">
        <v>28.5</v>
      </c>
      <c r="I92" s="2">
        <v>0</v>
      </c>
      <c r="J92" s="2"/>
      <c r="K92" s="2">
        <v>455</v>
      </c>
      <c r="L92" s="2">
        <v>388</v>
      </c>
      <c r="M92" s="2">
        <v>421.5</v>
      </c>
      <c r="N92" s="2">
        <v>272</v>
      </c>
      <c r="O92" s="2">
        <v>7</v>
      </c>
      <c r="P92" s="2">
        <v>122</v>
      </c>
      <c r="Q92" s="2">
        <v>38</v>
      </c>
      <c r="R92" s="2">
        <v>3</v>
      </c>
      <c r="S92" s="2">
        <v>0</v>
      </c>
      <c r="T92" s="2">
        <v>8</v>
      </c>
      <c r="U92" s="2">
        <v>5</v>
      </c>
      <c r="V92" s="16"/>
      <c r="W92" s="239">
        <f t="shared" si="1"/>
        <v>6.2637362637362637E-2</v>
      </c>
    </row>
    <row r="93" spans="1:23" x14ac:dyDescent="0.25">
      <c r="A93" s="2">
        <v>540055</v>
      </c>
      <c r="B93" s="2" t="s">
        <v>153</v>
      </c>
      <c r="C93" s="238" t="s">
        <v>33</v>
      </c>
      <c r="D93" s="2" t="s">
        <v>115</v>
      </c>
      <c r="E93" s="2">
        <v>6</v>
      </c>
      <c r="F93" s="2">
        <v>95</v>
      </c>
      <c r="G93" s="2">
        <v>169</v>
      </c>
      <c r="H93" s="2">
        <v>132</v>
      </c>
      <c r="I93" s="2">
        <v>0</v>
      </c>
      <c r="J93" s="2"/>
      <c r="K93" s="2">
        <v>3550</v>
      </c>
      <c r="L93" s="2">
        <v>3633</v>
      </c>
      <c r="M93" s="2">
        <v>3591.5</v>
      </c>
      <c r="N93" s="2">
        <v>2999</v>
      </c>
      <c r="O93" s="2">
        <v>20</v>
      </c>
      <c r="P93" s="2">
        <v>356</v>
      </c>
      <c r="Q93" s="2">
        <v>7</v>
      </c>
      <c r="R93" s="2">
        <v>64</v>
      </c>
      <c r="S93" s="2">
        <v>3</v>
      </c>
      <c r="T93" s="2">
        <v>96</v>
      </c>
      <c r="U93" s="2">
        <v>5</v>
      </c>
      <c r="V93" s="16"/>
      <c r="W93" s="239">
        <f t="shared" si="1"/>
        <v>3.7183098591549293E-2</v>
      </c>
    </row>
    <row r="94" spans="1:23" x14ac:dyDescent="0.25">
      <c r="A94" s="2">
        <v>540056</v>
      </c>
      <c r="B94" s="2" t="s">
        <v>154</v>
      </c>
      <c r="C94" s="238" t="s">
        <v>33</v>
      </c>
      <c r="D94" s="2" t="s">
        <v>115</v>
      </c>
      <c r="E94" s="2">
        <v>6</v>
      </c>
      <c r="F94" s="2">
        <v>291</v>
      </c>
      <c r="G94" s="2">
        <v>366</v>
      </c>
      <c r="H94" s="2">
        <v>328.5</v>
      </c>
      <c r="I94" s="2">
        <v>0</v>
      </c>
      <c r="J94" s="2"/>
      <c r="K94" s="2">
        <v>7212</v>
      </c>
      <c r="L94" s="2">
        <v>6653</v>
      </c>
      <c r="M94" s="2">
        <v>6932.5</v>
      </c>
      <c r="N94" s="2">
        <v>6341</v>
      </c>
      <c r="O94" s="2">
        <v>5</v>
      </c>
      <c r="P94" s="2">
        <v>560</v>
      </c>
      <c r="Q94" s="2">
        <v>10</v>
      </c>
      <c r="R94" s="2">
        <v>82</v>
      </c>
      <c r="S94" s="2">
        <v>6</v>
      </c>
      <c r="T94" s="2">
        <v>195</v>
      </c>
      <c r="U94" s="2">
        <v>13</v>
      </c>
      <c r="V94" s="16"/>
      <c r="W94" s="239">
        <f t="shared" si="1"/>
        <v>4.5549084858569053E-2</v>
      </c>
    </row>
    <row r="95" spans="1:23" x14ac:dyDescent="0.25">
      <c r="A95" s="2">
        <v>540057</v>
      </c>
      <c r="B95" s="2" t="s">
        <v>155</v>
      </c>
      <c r="C95" s="238" t="s">
        <v>33</v>
      </c>
      <c r="D95" s="2" t="s">
        <v>115</v>
      </c>
      <c r="E95" s="2">
        <v>6</v>
      </c>
      <c r="F95" s="2">
        <v>77</v>
      </c>
      <c r="G95" s="2">
        <v>71</v>
      </c>
      <c r="H95" s="2">
        <v>74</v>
      </c>
      <c r="I95" s="2">
        <v>0</v>
      </c>
      <c r="J95" s="2"/>
      <c r="K95" s="2">
        <v>270</v>
      </c>
      <c r="L95" s="2">
        <v>212</v>
      </c>
      <c r="M95" s="2">
        <v>241</v>
      </c>
      <c r="N95" s="2">
        <v>207</v>
      </c>
      <c r="O95" s="2">
        <v>23</v>
      </c>
      <c r="P95" s="2">
        <v>20</v>
      </c>
      <c r="Q95" s="2">
        <v>0</v>
      </c>
      <c r="R95" s="2">
        <v>0</v>
      </c>
      <c r="S95" s="2">
        <v>0</v>
      </c>
      <c r="T95" s="2">
        <v>19</v>
      </c>
      <c r="U95" s="2">
        <v>1</v>
      </c>
      <c r="V95" s="16"/>
      <c r="W95" s="239">
        <f t="shared" si="1"/>
        <v>0.27407407407407408</v>
      </c>
    </row>
    <row r="96" spans="1:23" x14ac:dyDescent="0.25">
      <c r="A96" s="2">
        <v>540058</v>
      </c>
      <c r="B96" s="2" t="s">
        <v>156</v>
      </c>
      <c r="C96" s="238" t="s">
        <v>33</v>
      </c>
      <c r="D96" s="2" t="s">
        <v>115</v>
      </c>
      <c r="E96" s="2">
        <v>6</v>
      </c>
      <c r="F96" s="2">
        <v>44</v>
      </c>
      <c r="G96" s="2">
        <v>38</v>
      </c>
      <c r="H96" s="2">
        <v>41</v>
      </c>
      <c r="I96" s="2">
        <v>0</v>
      </c>
      <c r="J96" s="2"/>
      <c r="K96" s="2">
        <v>563</v>
      </c>
      <c r="L96" s="2">
        <v>485</v>
      </c>
      <c r="M96" s="2">
        <v>524</v>
      </c>
      <c r="N96" s="2">
        <v>499</v>
      </c>
      <c r="O96" s="2">
        <v>7</v>
      </c>
      <c r="P96" s="2">
        <v>32</v>
      </c>
      <c r="Q96" s="2">
        <v>0</v>
      </c>
      <c r="R96" s="2">
        <v>0</v>
      </c>
      <c r="S96" s="2">
        <v>0</v>
      </c>
      <c r="T96" s="2">
        <v>18</v>
      </c>
      <c r="U96" s="2">
        <v>7</v>
      </c>
      <c r="V96" s="16"/>
      <c r="W96" s="239">
        <f t="shared" si="1"/>
        <v>7.2824156305506219E-2</v>
      </c>
    </row>
    <row r="97" spans="1:23" x14ac:dyDescent="0.25">
      <c r="A97" s="2">
        <v>540059</v>
      </c>
      <c r="B97" s="2" t="s">
        <v>157</v>
      </c>
      <c r="C97" s="238" t="s">
        <v>33</v>
      </c>
      <c r="D97" s="2" t="s">
        <v>115</v>
      </c>
      <c r="E97" s="2">
        <v>6</v>
      </c>
      <c r="F97" s="2">
        <v>41</v>
      </c>
      <c r="G97" s="2">
        <v>53</v>
      </c>
      <c r="H97" s="2">
        <v>47</v>
      </c>
      <c r="I97" s="2">
        <v>0</v>
      </c>
      <c r="J97" s="2"/>
      <c r="K97" s="2">
        <v>708</v>
      </c>
      <c r="L97" s="2">
        <v>828</v>
      </c>
      <c r="M97" s="2">
        <v>768</v>
      </c>
      <c r="N97" s="2">
        <v>600</v>
      </c>
      <c r="O97" s="2">
        <v>1</v>
      </c>
      <c r="P97" s="2">
        <v>85</v>
      </c>
      <c r="Q97" s="2">
        <v>0</v>
      </c>
      <c r="R97" s="2">
        <v>7</v>
      </c>
      <c r="S97" s="2">
        <v>0</v>
      </c>
      <c r="T97" s="2">
        <v>14</v>
      </c>
      <c r="U97" s="2">
        <v>1</v>
      </c>
      <c r="V97" s="16"/>
      <c r="W97" s="239">
        <f t="shared" si="1"/>
        <v>6.6384180790960451E-2</v>
      </c>
    </row>
    <row r="98" spans="1:23" x14ac:dyDescent="0.25">
      <c r="A98" s="2">
        <v>540242</v>
      </c>
      <c r="B98" s="2" t="s">
        <v>289</v>
      </c>
      <c r="C98" s="238" t="s">
        <v>33</v>
      </c>
      <c r="D98" s="2" t="s">
        <v>115</v>
      </c>
      <c r="E98" s="2">
        <v>6</v>
      </c>
      <c r="F98" s="2">
        <v>54</v>
      </c>
      <c r="G98" s="2">
        <v>67</v>
      </c>
      <c r="H98" s="2">
        <v>60.5</v>
      </c>
      <c r="I98" s="2">
        <v>0</v>
      </c>
      <c r="J98" s="2"/>
      <c r="K98" s="2">
        <v>750</v>
      </c>
      <c r="L98" s="2">
        <v>673</v>
      </c>
      <c r="M98" s="2">
        <v>711.5</v>
      </c>
      <c r="N98" s="2">
        <v>603</v>
      </c>
      <c r="O98" s="2">
        <v>7</v>
      </c>
      <c r="P98" s="2">
        <v>49</v>
      </c>
      <c r="Q98" s="2">
        <v>0</v>
      </c>
      <c r="R98" s="2">
        <v>3</v>
      </c>
      <c r="S98" s="2">
        <v>1</v>
      </c>
      <c r="T98" s="2">
        <v>79</v>
      </c>
      <c r="U98" s="2">
        <v>8</v>
      </c>
      <c r="V98" s="16"/>
      <c r="W98" s="239">
        <f t="shared" si="1"/>
        <v>8.0666666666666664E-2</v>
      </c>
    </row>
    <row r="99" spans="1:23" x14ac:dyDescent="0.25">
      <c r="A99" s="2">
        <v>540060</v>
      </c>
      <c r="B99" s="2" t="s">
        <v>158</v>
      </c>
      <c r="C99" s="238" t="s">
        <v>33</v>
      </c>
      <c r="D99" s="2" t="s">
        <v>115</v>
      </c>
      <c r="E99" s="2">
        <v>6</v>
      </c>
      <c r="F99" s="2">
        <v>66</v>
      </c>
      <c r="G99" s="2">
        <v>90</v>
      </c>
      <c r="H99" s="2">
        <v>78</v>
      </c>
      <c r="I99" s="2">
        <v>0</v>
      </c>
      <c r="J99" s="2"/>
      <c r="K99" s="2">
        <v>1005</v>
      </c>
      <c r="L99" s="2">
        <v>1160</v>
      </c>
      <c r="M99" s="2">
        <v>1082.5</v>
      </c>
      <c r="N99" s="2">
        <v>828</v>
      </c>
      <c r="O99" s="2">
        <v>15</v>
      </c>
      <c r="P99" s="2">
        <v>110</v>
      </c>
      <c r="Q99" s="2">
        <v>1</v>
      </c>
      <c r="R99" s="2">
        <v>12</v>
      </c>
      <c r="S99" s="2">
        <v>1</v>
      </c>
      <c r="T99" s="2">
        <v>37</v>
      </c>
      <c r="U99" s="2">
        <v>1</v>
      </c>
      <c r="V99" s="16"/>
      <c r="W99" s="239">
        <f t="shared" si="1"/>
        <v>7.7611940298507459E-2</v>
      </c>
    </row>
    <row r="100" spans="1:23" x14ac:dyDescent="0.25">
      <c r="A100" s="2">
        <v>540061</v>
      </c>
      <c r="B100" s="2" t="s">
        <v>159</v>
      </c>
      <c r="C100" s="238" t="s">
        <v>33</v>
      </c>
      <c r="D100" s="2" t="s">
        <v>115</v>
      </c>
      <c r="E100" s="2">
        <v>6</v>
      </c>
      <c r="F100" s="2">
        <v>16</v>
      </c>
      <c r="G100" s="2">
        <v>18</v>
      </c>
      <c r="H100" s="2">
        <v>17</v>
      </c>
      <c r="I100" s="2">
        <v>0</v>
      </c>
      <c r="J100" s="2"/>
      <c r="K100" s="2">
        <v>923</v>
      </c>
      <c r="L100" s="2">
        <v>1049</v>
      </c>
      <c r="M100" s="2">
        <v>986</v>
      </c>
      <c r="N100" s="2">
        <v>768</v>
      </c>
      <c r="O100" s="2">
        <v>1</v>
      </c>
      <c r="P100" s="2">
        <v>118</v>
      </c>
      <c r="Q100" s="2">
        <v>0</v>
      </c>
      <c r="R100" s="2">
        <v>8</v>
      </c>
      <c r="S100" s="2">
        <v>0</v>
      </c>
      <c r="T100" s="2">
        <v>23</v>
      </c>
      <c r="U100" s="2">
        <v>5</v>
      </c>
      <c r="V100" s="16"/>
      <c r="W100" s="239">
        <f t="shared" si="1"/>
        <v>1.8418201516793065E-2</v>
      </c>
    </row>
    <row r="101" spans="1:23" x14ac:dyDescent="0.25">
      <c r="A101" s="2">
        <v>540062</v>
      </c>
      <c r="B101" s="2" t="s">
        <v>160</v>
      </c>
      <c r="C101" s="238" t="s">
        <v>33</v>
      </c>
      <c r="D101" s="2" t="s">
        <v>115</v>
      </c>
      <c r="E101" s="2">
        <v>6</v>
      </c>
      <c r="F101" s="2">
        <v>0</v>
      </c>
      <c r="G101" s="2">
        <v>1</v>
      </c>
      <c r="H101" s="2">
        <v>0.5</v>
      </c>
      <c r="I101" s="2">
        <v>0</v>
      </c>
      <c r="J101" s="2"/>
      <c r="K101" s="2">
        <v>306</v>
      </c>
      <c r="L101" s="2">
        <v>328</v>
      </c>
      <c r="M101" s="2">
        <v>317</v>
      </c>
      <c r="N101" s="2">
        <v>264</v>
      </c>
      <c r="O101" s="2">
        <v>9</v>
      </c>
      <c r="P101" s="2">
        <v>11</v>
      </c>
      <c r="Q101" s="2">
        <v>0</v>
      </c>
      <c r="R101" s="2">
        <v>4</v>
      </c>
      <c r="S101" s="2">
        <v>1</v>
      </c>
      <c r="T101" s="2">
        <v>17</v>
      </c>
      <c r="U101" s="2">
        <v>0</v>
      </c>
      <c r="V101" s="16"/>
      <c r="W101" s="239">
        <f t="shared" si="1"/>
        <v>1.6339869281045752E-3</v>
      </c>
    </row>
    <row r="102" spans="1:23" x14ac:dyDescent="0.25">
      <c r="A102" s="23"/>
      <c r="B102" s="23"/>
      <c r="C102" s="240" t="s">
        <v>33</v>
      </c>
      <c r="D102" s="23" t="s">
        <v>1360</v>
      </c>
      <c r="E102" s="23"/>
      <c r="F102" s="23">
        <v>1734</v>
      </c>
      <c r="G102" s="23">
        <v>2127</v>
      </c>
      <c r="H102" s="23">
        <v>1930.5</v>
      </c>
      <c r="I102" s="23">
        <v>0</v>
      </c>
      <c r="J102" s="23"/>
      <c r="K102" s="23">
        <v>37990</v>
      </c>
      <c r="L102" s="23">
        <v>35467</v>
      </c>
      <c r="M102" s="23">
        <v>36728.5</v>
      </c>
      <c r="N102" s="23">
        <v>26830</v>
      </c>
      <c r="O102" s="23">
        <v>6608</v>
      </c>
      <c r="P102" s="23">
        <v>3062</v>
      </c>
      <c r="Q102" s="23">
        <v>77</v>
      </c>
      <c r="R102" s="23">
        <v>284</v>
      </c>
      <c r="S102" s="23">
        <v>51</v>
      </c>
      <c r="T102" s="23">
        <v>876</v>
      </c>
      <c r="U102" s="23">
        <v>202</v>
      </c>
      <c r="V102" s="75"/>
      <c r="W102" s="242">
        <f t="shared" si="1"/>
        <v>5.0816004211634638E-2</v>
      </c>
    </row>
    <row r="103" spans="1:23" x14ac:dyDescent="0.25">
      <c r="A103" s="2">
        <v>540063</v>
      </c>
      <c r="B103" s="2" t="s">
        <v>34</v>
      </c>
      <c r="C103" s="238" t="s">
        <v>35</v>
      </c>
      <c r="D103" s="2" t="s">
        <v>5</v>
      </c>
      <c r="E103" s="2">
        <v>5</v>
      </c>
      <c r="F103" s="2">
        <v>888</v>
      </c>
      <c r="G103" s="2">
        <v>1350</v>
      </c>
      <c r="H103" s="2">
        <v>1119</v>
      </c>
      <c r="I103" s="2">
        <v>0</v>
      </c>
      <c r="J103" s="2"/>
      <c r="K103" s="2">
        <v>12573</v>
      </c>
      <c r="L103" s="2">
        <v>14733</v>
      </c>
      <c r="M103" s="2">
        <v>13653</v>
      </c>
      <c r="N103" s="2">
        <v>6901</v>
      </c>
      <c r="O103" s="2">
        <v>4066</v>
      </c>
      <c r="P103" s="2">
        <v>1228</v>
      </c>
      <c r="Q103" s="2">
        <v>16</v>
      </c>
      <c r="R103" s="2">
        <v>0</v>
      </c>
      <c r="S103" s="2">
        <v>8</v>
      </c>
      <c r="T103" s="2">
        <v>5</v>
      </c>
      <c r="U103" s="2">
        <v>349</v>
      </c>
      <c r="V103" s="16"/>
      <c r="W103" s="239">
        <f t="shared" si="1"/>
        <v>8.9000238606537815E-2</v>
      </c>
    </row>
    <row r="104" spans="1:23" x14ac:dyDescent="0.25">
      <c r="A104" s="2">
        <v>540241</v>
      </c>
      <c r="B104" s="2" t="s">
        <v>288</v>
      </c>
      <c r="C104" s="238" t="s">
        <v>35</v>
      </c>
      <c r="D104" s="2" t="s">
        <v>115</v>
      </c>
      <c r="E104" s="2">
        <v>5</v>
      </c>
      <c r="F104" s="2">
        <v>142</v>
      </c>
      <c r="G104" s="2">
        <v>145</v>
      </c>
      <c r="H104" s="2">
        <v>143.5</v>
      </c>
      <c r="I104" s="2">
        <v>0</v>
      </c>
      <c r="J104" s="2"/>
      <c r="K104" s="2">
        <v>1896</v>
      </c>
      <c r="L104" s="2">
        <v>1774</v>
      </c>
      <c r="M104" s="2">
        <v>1835</v>
      </c>
      <c r="N104" s="2">
        <v>1326</v>
      </c>
      <c r="O104" s="2">
        <v>0</v>
      </c>
      <c r="P104" s="2">
        <v>456</v>
      </c>
      <c r="Q104" s="2">
        <v>2</v>
      </c>
      <c r="R104" s="2">
        <v>86</v>
      </c>
      <c r="S104" s="2">
        <v>0</v>
      </c>
      <c r="T104" s="2">
        <v>10</v>
      </c>
      <c r="U104" s="2">
        <v>16</v>
      </c>
      <c r="V104" s="16"/>
      <c r="W104" s="239">
        <f t="shared" si="1"/>
        <v>7.5685654008438824E-2</v>
      </c>
    </row>
    <row r="105" spans="1:23" x14ac:dyDescent="0.25">
      <c r="A105" s="2">
        <v>540064</v>
      </c>
      <c r="B105" s="2" t="s">
        <v>161</v>
      </c>
      <c r="C105" s="238" t="s">
        <v>35</v>
      </c>
      <c r="D105" s="2" t="s">
        <v>115</v>
      </c>
      <c r="E105" s="2">
        <v>5</v>
      </c>
      <c r="F105" s="2">
        <v>14</v>
      </c>
      <c r="G105" s="2">
        <v>24</v>
      </c>
      <c r="H105" s="2">
        <v>19</v>
      </c>
      <c r="I105" s="2">
        <v>0</v>
      </c>
      <c r="J105" s="2"/>
      <c r="K105" s="2">
        <v>1865</v>
      </c>
      <c r="L105" s="2">
        <v>1619</v>
      </c>
      <c r="M105" s="2">
        <v>1742</v>
      </c>
      <c r="N105" s="2">
        <v>1212</v>
      </c>
      <c r="O105" s="2">
        <v>99</v>
      </c>
      <c r="P105" s="2">
        <v>515</v>
      </c>
      <c r="Q105" s="2">
        <v>0</v>
      </c>
      <c r="R105" s="2">
        <v>9</v>
      </c>
      <c r="S105" s="2">
        <v>1</v>
      </c>
      <c r="T105" s="2">
        <v>6</v>
      </c>
      <c r="U105" s="2">
        <v>23</v>
      </c>
      <c r="V105" s="16"/>
      <c r="W105" s="239">
        <f t="shared" si="1"/>
        <v>1.0187667560321715E-2</v>
      </c>
    </row>
    <row r="106" spans="1:23" x14ac:dyDescent="0.25">
      <c r="A106" s="23"/>
      <c r="B106" s="23"/>
      <c r="C106" s="240" t="s">
        <v>35</v>
      </c>
      <c r="D106" s="23" t="s">
        <v>1360</v>
      </c>
      <c r="E106" s="23"/>
      <c r="F106" s="23">
        <v>1044</v>
      </c>
      <c r="G106" s="23">
        <v>1519</v>
      </c>
      <c r="H106" s="23">
        <v>1281.5</v>
      </c>
      <c r="I106" s="23">
        <v>0</v>
      </c>
      <c r="J106" s="23"/>
      <c r="K106" s="23">
        <v>16334</v>
      </c>
      <c r="L106" s="23">
        <v>18126</v>
      </c>
      <c r="M106" s="23">
        <v>17230</v>
      </c>
      <c r="N106" s="23">
        <v>9439</v>
      </c>
      <c r="O106" s="23">
        <v>4165</v>
      </c>
      <c r="P106" s="23">
        <v>2199</v>
      </c>
      <c r="Q106" s="23">
        <v>18</v>
      </c>
      <c r="R106" s="23">
        <v>95</v>
      </c>
      <c r="S106" s="23">
        <v>9</v>
      </c>
      <c r="T106" s="23">
        <v>21</v>
      </c>
      <c r="U106" s="23">
        <v>388</v>
      </c>
      <c r="V106" s="75"/>
      <c r="W106" s="242">
        <f t="shared" si="1"/>
        <v>7.8455981388514756E-2</v>
      </c>
    </row>
    <row r="107" spans="1:23" s="61" customFormat="1" x14ac:dyDescent="0.25">
      <c r="A107" s="2">
        <v>540065</v>
      </c>
      <c r="B107" s="2" t="s">
        <v>36</v>
      </c>
      <c r="C107" s="238" t="s">
        <v>37</v>
      </c>
      <c r="D107" s="2" t="s">
        <v>5</v>
      </c>
      <c r="E107" s="2">
        <v>9</v>
      </c>
      <c r="F107" s="2">
        <v>439</v>
      </c>
      <c r="G107" s="2">
        <v>541</v>
      </c>
      <c r="H107" s="2">
        <v>490</v>
      </c>
      <c r="I107" s="2">
        <v>479</v>
      </c>
      <c r="J107" s="122">
        <v>485</v>
      </c>
      <c r="K107" s="2">
        <v>19412</v>
      </c>
      <c r="L107" s="2">
        <v>19640</v>
      </c>
      <c r="M107" s="2">
        <v>19526</v>
      </c>
      <c r="N107" s="2">
        <v>15900</v>
      </c>
      <c r="O107" s="2">
        <v>1046</v>
      </c>
      <c r="P107" s="2">
        <v>2355</v>
      </c>
      <c r="Q107" s="2">
        <v>32</v>
      </c>
      <c r="R107" s="2">
        <v>0</v>
      </c>
      <c r="S107" s="2">
        <v>20</v>
      </c>
      <c r="T107" s="2">
        <v>0</v>
      </c>
      <c r="U107" s="2">
        <v>59</v>
      </c>
      <c r="V107" s="16"/>
      <c r="W107" s="239">
        <f t="shared" si="1"/>
        <v>2.5242118277354213E-2</v>
      </c>
    </row>
    <row r="108" spans="1:23" x14ac:dyDescent="0.25">
      <c r="A108" s="2">
        <v>540030</v>
      </c>
      <c r="B108" s="2" t="s">
        <v>135</v>
      </c>
      <c r="C108" s="238" t="s">
        <v>37</v>
      </c>
      <c r="D108" s="2" t="s">
        <v>115</v>
      </c>
      <c r="E108" s="2">
        <v>9</v>
      </c>
      <c r="F108" s="2">
        <v>0</v>
      </c>
      <c r="G108" s="2">
        <v>0</v>
      </c>
      <c r="H108" s="2">
        <v>0</v>
      </c>
      <c r="I108" s="2">
        <v>0</v>
      </c>
      <c r="J108" s="122">
        <v>0</v>
      </c>
      <c r="K108" s="2">
        <v>608</v>
      </c>
      <c r="L108" s="2">
        <v>407</v>
      </c>
      <c r="M108" s="2">
        <v>507.5</v>
      </c>
      <c r="N108" s="2">
        <v>511</v>
      </c>
      <c r="O108" s="2">
        <v>0</v>
      </c>
      <c r="P108" s="2">
        <v>97</v>
      </c>
      <c r="Q108" s="2">
        <v>0</v>
      </c>
      <c r="R108" s="2">
        <v>0</v>
      </c>
      <c r="S108" s="2">
        <v>0</v>
      </c>
      <c r="T108" s="2">
        <v>0</v>
      </c>
      <c r="U108" s="2">
        <v>0</v>
      </c>
      <c r="V108" s="16"/>
      <c r="W108" s="239">
        <f t="shared" si="1"/>
        <v>0</v>
      </c>
    </row>
    <row r="109" spans="1:23" x14ac:dyDescent="0.25">
      <c r="A109" s="2">
        <v>540066</v>
      </c>
      <c r="B109" s="2" t="s">
        <v>162</v>
      </c>
      <c r="C109" s="238" t="s">
        <v>37</v>
      </c>
      <c r="D109" s="2" t="s">
        <v>115</v>
      </c>
      <c r="E109" s="2">
        <v>9</v>
      </c>
      <c r="F109" s="2">
        <v>21</v>
      </c>
      <c r="G109" s="2">
        <v>31</v>
      </c>
      <c r="H109" s="2">
        <v>26</v>
      </c>
      <c r="I109" s="2">
        <v>22</v>
      </c>
      <c r="J109" s="122">
        <v>22</v>
      </c>
      <c r="K109" s="2">
        <v>2979</v>
      </c>
      <c r="L109" s="2">
        <v>1950</v>
      </c>
      <c r="M109" s="2">
        <v>2464.5</v>
      </c>
      <c r="N109" s="2">
        <v>2284</v>
      </c>
      <c r="O109" s="2">
        <v>14</v>
      </c>
      <c r="P109" s="2">
        <v>668</v>
      </c>
      <c r="Q109" s="2">
        <v>0</v>
      </c>
      <c r="R109" s="2">
        <v>0</v>
      </c>
      <c r="S109" s="2">
        <v>4</v>
      </c>
      <c r="T109" s="2">
        <v>0</v>
      </c>
      <c r="U109" s="2">
        <v>9</v>
      </c>
      <c r="V109" s="16"/>
      <c r="W109" s="239">
        <f t="shared" si="1"/>
        <v>8.7277609936220208E-3</v>
      </c>
    </row>
    <row r="110" spans="1:23" x14ac:dyDescent="0.25">
      <c r="A110" s="2">
        <v>540067</v>
      </c>
      <c r="B110" s="2" t="s">
        <v>163</v>
      </c>
      <c r="C110" s="238" t="s">
        <v>37</v>
      </c>
      <c r="D110" s="2" t="s">
        <v>115</v>
      </c>
      <c r="E110" s="2">
        <v>9</v>
      </c>
      <c r="F110" s="2">
        <v>4</v>
      </c>
      <c r="G110" s="2">
        <v>1</v>
      </c>
      <c r="H110" s="2">
        <v>2.5</v>
      </c>
      <c r="I110" s="2">
        <v>1</v>
      </c>
      <c r="J110" s="122">
        <v>1</v>
      </c>
      <c r="K110" s="2">
        <v>271</v>
      </c>
      <c r="L110" s="2">
        <v>220</v>
      </c>
      <c r="M110" s="2">
        <v>245.5</v>
      </c>
      <c r="N110" s="2">
        <v>225</v>
      </c>
      <c r="O110" s="2">
        <v>0</v>
      </c>
      <c r="P110" s="2">
        <v>45</v>
      </c>
      <c r="Q110" s="2">
        <v>0</v>
      </c>
      <c r="R110" s="2">
        <v>0</v>
      </c>
      <c r="S110" s="2">
        <v>0</v>
      </c>
      <c r="T110" s="2">
        <v>0</v>
      </c>
      <c r="U110" s="2">
        <v>1</v>
      </c>
      <c r="V110" s="16"/>
      <c r="W110" s="239">
        <f t="shared" si="1"/>
        <v>9.2250922509225092E-3</v>
      </c>
    </row>
    <row r="111" spans="1:23" x14ac:dyDescent="0.25">
      <c r="A111" s="2">
        <v>540068</v>
      </c>
      <c r="B111" s="2" t="s">
        <v>164</v>
      </c>
      <c r="C111" s="238" t="s">
        <v>37</v>
      </c>
      <c r="D111" s="2" t="s">
        <v>115</v>
      </c>
      <c r="E111" s="2">
        <v>9</v>
      </c>
      <c r="F111" s="2">
        <v>75</v>
      </c>
      <c r="G111" s="2">
        <v>86</v>
      </c>
      <c r="H111" s="2">
        <v>80.5</v>
      </c>
      <c r="I111" s="2">
        <v>77</v>
      </c>
      <c r="J111" s="122">
        <v>77</v>
      </c>
      <c r="K111" s="2">
        <v>2662</v>
      </c>
      <c r="L111" s="2">
        <v>1646</v>
      </c>
      <c r="M111" s="2">
        <v>2154</v>
      </c>
      <c r="N111" s="2">
        <v>1934</v>
      </c>
      <c r="O111" s="2">
        <v>21</v>
      </c>
      <c r="P111" s="2">
        <v>694</v>
      </c>
      <c r="Q111" s="2">
        <v>0</v>
      </c>
      <c r="R111" s="2">
        <v>0</v>
      </c>
      <c r="S111" s="2">
        <v>0</v>
      </c>
      <c r="T111" s="2">
        <v>0</v>
      </c>
      <c r="U111" s="2">
        <v>13</v>
      </c>
      <c r="V111" s="16"/>
      <c r="W111" s="239">
        <f t="shared" si="1"/>
        <v>3.0240420736288506E-2</v>
      </c>
    </row>
    <row r="112" spans="1:23" x14ac:dyDescent="0.25">
      <c r="A112" s="2">
        <v>540069</v>
      </c>
      <c r="B112" s="2" t="s">
        <v>165</v>
      </c>
      <c r="C112" s="238" t="s">
        <v>37</v>
      </c>
      <c r="D112" s="2" t="s">
        <v>115</v>
      </c>
      <c r="E112" s="2">
        <v>9</v>
      </c>
      <c r="F112" s="2">
        <v>129</v>
      </c>
      <c r="G112" s="2">
        <v>53</v>
      </c>
      <c r="H112" s="2">
        <v>91</v>
      </c>
      <c r="I112" s="2">
        <v>65</v>
      </c>
      <c r="J112" s="122">
        <v>65</v>
      </c>
      <c r="K112" s="2">
        <v>725</v>
      </c>
      <c r="L112" s="2">
        <v>358</v>
      </c>
      <c r="M112" s="2">
        <v>541.5</v>
      </c>
      <c r="N112" s="2">
        <v>385</v>
      </c>
      <c r="O112" s="2">
        <v>0</v>
      </c>
      <c r="P112" s="2">
        <v>213</v>
      </c>
      <c r="Q112" s="2">
        <v>0</v>
      </c>
      <c r="R112" s="2">
        <v>0</v>
      </c>
      <c r="S112" s="2">
        <v>2</v>
      </c>
      <c r="T112" s="2">
        <v>0</v>
      </c>
      <c r="U112" s="2">
        <v>125</v>
      </c>
      <c r="V112" s="16"/>
      <c r="W112" s="239">
        <f t="shared" si="1"/>
        <v>0.12551724137931033</v>
      </c>
    </row>
    <row r="113" spans="1:23" x14ac:dyDescent="0.25">
      <c r="A113" s="23"/>
      <c r="B113" s="23"/>
      <c r="C113" s="240" t="s">
        <v>37</v>
      </c>
      <c r="D113" s="23" t="s">
        <v>1360</v>
      </c>
      <c r="E113" s="23"/>
      <c r="F113" s="23">
        <v>668</v>
      </c>
      <c r="G113" s="23">
        <v>712</v>
      </c>
      <c r="H113" s="23">
        <v>690</v>
      </c>
      <c r="I113" s="23">
        <v>644</v>
      </c>
      <c r="J113" s="23"/>
      <c r="K113" s="23">
        <v>26657</v>
      </c>
      <c r="L113" s="23">
        <v>24221</v>
      </c>
      <c r="M113" s="23">
        <v>25439</v>
      </c>
      <c r="N113" s="23">
        <v>21239</v>
      </c>
      <c r="O113" s="23">
        <v>1081</v>
      </c>
      <c r="P113" s="23">
        <v>4072</v>
      </c>
      <c r="Q113" s="23">
        <v>32</v>
      </c>
      <c r="R113" s="23">
        <v>0</v>
      </c>
      <c r="S113" s="23">
        <v>26</v>
      </c>
      <c r="T113" s="23">
        <v>0</v>
      </c>
      <c r="U113" s="23">
        <v>207</v>
      </c>
      <c r="V113" s="75"/>
      <c r="W113" s="242">
        <f t="shared" si="1"/>
        <v>2.5884383088869714E-2</v>
      </c>
    </row>
    <row r="114" spans="1:23" x14ac:dyDescent="0.25">
      <c r="A114" s="2">
        <v>540070</v>
      </c>
      <c r="B114" s="2" t="s">
        <v>38</v>
      </c>
      <c r="C114" s="238" t="s">
        <v>39</v>
      </c>
      <c r="D114" s="2" t="s">
        <v>5</v>
      </c>
      <c r="E114" s="2">
        <v>3</v>
      </c>
      <c r="F114" s="2">
        <v>8230</v>
      </c>
      <c r="G114" s="2">
        <v>10168</v>
      </c>
      <c r="H114" s="2">
        <v>9199</v>
      </c>
      <c r="I114" s="2">
        <v>0</v>
      </c>
      <c r="J114" s="2"/>
      <c r="K114" s="2">
        <v>48490</v>
      </c>
      <c r="L114" s="2">
        <v>48750</v>
      </c>
      <c r="M114" s="2">
        <v>48620</v>
      </c>
      <c r="N114" s="2">
        <v>39570</v>
      </c>
      <c r="O114" s="2">
        <v>130</v>
      </c>
      <c r="P114" s="2">
        <v>3806</v>
      </c>
      <c r="Q114" s="2">
        <v>227</v>
      </c>
      <c r="R114" s="2">
        <v>2598</v>
      </c>
      <c r="S114" s="2">
        <v>62</v>
      </c>
      <c r="T114" s="2">
        <v>1194</v>
      </c>
      <c r="U114" s="2">
        <v>903</v>
      </c>
      <c r="V114" s="16"/>
      <c r="W114" s="239">
        <f t="shared" si="1"/>
        <v>0.18970921839554547</v>
      </c>
    </row>
    <row r="115" spans="1:23" x14ac:dyDescent="0.25">
      <c r="A115" s="2">
        <v>540071</v>
      </c>
      <c r="B115" s="2" t="s">
        <v>166</v>
      </c>
      <c r="C115" s="238" t="s">
        <v>39</v>
      </c>
      <c r="D115" s="2" t="s">
        <v>115</v>
      </c>
      <c r="E115" s="2">
        <v>3</v>
      </c>
      <c r="F115" s="2">
        <v>94</v>
      </c>
      <c r="G115" s="2">
        <v>117</v>
      </c>
      <c r="H115" s="2">
        <v>105.5</v>
      </c>
      <c r="I115" s="2">
        <v>0</v>
      </c>
      <c r="J115" s="2"/>
      <c r="K115" s="2">
        <v>636</v>
      </c>
      <c r="L115" s="2">
        <v>695</v>
      </c>
      <c r="M115" s="2">
        <v>665.5</v>
      </c>
      <c r="N115" s="2">
        <v>550</v>
      </c>
      <c r="O115" s="2">
        <v>0</v>
      </c>
      <c r="P115" s="2">
        <v>36</v>
      </c>
      <c r="Q115" s="2">
        <v>0</v>
      </c>
      <c r="R115" s="2">
        <v>21</v>
      </c>
      <c r="S115" s="2">
        <v>1</v>
      </c>
      <c r="T115" s="2">
        <v>24</v>
      </c>
      <c r="U115" s="2">
        <v>4</v>
      </c>
      <c r="V115" s="16"/>
      <c r="W115" s="239">
        <f t="shared" si="1"/>
        <v>0.16588050314465408</v>
      </c>
    </row>
    <row r="116" spans="1:23" x14ac:dyDescent="0.25">
      <c r="A116" s="2">
        <v>540072</v>
      </c>
      <c r="B116" s="2" t="s">
        <v>167</v>
      </c>
      <c r="C116" s="238" t="s">
        <v>39</v>
      </c>
      <c r="D116" s="2" t="s">
        <v>115</v>
      </c>
      <c r="E116" s="2">
        <v>3</v>
      </c>
      <c r="F116" s="2">
        <v>65</v>
      </c>
      <c r="G116" s="2">
        <v>92</v>
      </c>
      <c r="H116" s="2">
        <v>78.5</v>
      </c>
      <c r="I116" s="2">
        <v>0</v>
      </c>
      <c r="J116" s="2"/>
      <c r="K116" s="2">
        <v>477</v>
      </c>
      <c r="L116" s="2">
        <v>464</v>
      </c>
      <c r="M116" s="2">
        <v>470.5</v>
      </c>
      <c r="N116" s="2">
        <v>399</v>
      </c>
      <c r="O116" s="2">
        <v>0</v>
      </c>
      <c r="P116" s="2">
        <v>39</v>
      </c>
      <c r="Q116" s="2">
        <v>1</v>
      </c>
      <c r="R116" s="2">
        <v>8</v>
      </c>
      <c r="S116" s="2">
        <v>0</v>
      </c>
      <c r="T116" s="2">
        <v>18</v>
      </c>
      <c r="U116" s="2">
        <v>12</v>
      </c>
      <c r="V116" s="16"/>
      <c r="W116" s="239">
        <f t="shared" si="1"/>
        <v>0.16457023060796647</v>
      </c>
    </row>
    <row r="117" spans="1:23" x14ac:dyDescent="0.25">
      <c r="A117" s="2">
        <v>540073</v>
      </c>
      <c r="B117" s="2" t="s">
        <v>168</v>
      </c>
      <c r="C117" s="238" t="s">
        <v>39</v>
      </c>
      <c r="D117" s="2" t="s">
        <v>115</v>
      </c>
      <c r="E117" s="2">
        <v>3</v>
      </c>
      <c r="F117" s="2">
        <v>1630</v>
      </c>
      <c r="G117" s="2">
        <v>1778</v>
      </c>
      <c r="H117" s="2">
        <v>1704</v>
      </c>
      <c r="I117" s="2">
        <v>0</v>
      </c>
      <c r="J117" s="2"/>
      <c r="K117" s="2">
        <v>27265</v>
      </c>
      <c r="L117" s="2">
        <v>21187</v>
      </c>
      <c r="M117" s="2">
        <v>24226</v>
      </c>
      <c r="N117" s="2">
        <v>19362</v>
      </c>
      <c r="O117" s="2">
        <v>0</v>
      </c>
      <c r="P117" s="2">
        <v>2222</v>
      </c>
      <c r="Q117" s="2">
        <v>18</v>
      </c>
      <c r="R117" s="2">
        <v>2913</v>
      </c>
      <c r="S117" s="2">
        <v>37</v>
      </c>
      <c r="T117" s="2">
        <v>2173</v>
      </c>
      <c r="U117" s="2">
        <v>540</v>
      </c>
      <c r="V117" s="16"/>
      <c r="W117" s="239">
        <f t="shared" si="1"/>
        <v>6.2497707683843759E-2</v>
      </c>
    </row>
    <row r="118" spans="1:23" x14ac:dyDescent="0.25">
      <c r="A118" s="2">
        <v>540074</v>
      </c>
      <c r="B118" s="2" t="s">
        <v>169</v>
      </c>
      <c r="C118" s="238" t="s">
        <v>39</v>
      </c>
      <c r="D118" s="2" t="s">
        <v>115</v>
      </c>
      <c r="E118" s="2">
        <v>3</v>
      </c>
      <c r="F118" s="2">
        <v>165</v>
      </c>
      <c r="G118" s="2">
        <v>211</v>
      </c>
      <c r="H118" s="2">
        <v>188</v>
      </c>
      <c r="I118" s="2">
        <v>0</v>
      </c>
      <c r="J118" s="2"/>
      <c r="K118" s="2">
        <v>806</v>
      </c>
      <c r="L118" s="2">
        <v>835</v>
      </c>
      <c r="M118" s="2">
        <v>820.5</v>
      </c>
      <c r="N118" s="2">
        <v>727</v>
      </c>
      <c r="O118" s="2">
        <v>0</v>
      </c>
      <c r="P118" s="2">
        <v>36</v>
      </c>
      <c r="Q118" s="2">
        <v>0</v>
      </c>
      <c r="R118" s="2">
        <v>7</v>
      </c>
      <c r="S118" s="2">
        <v>0</v>
      </c>
      <c r="T118" s="2">
        <v>22</v>
      </c>
      <c r="U118" s="2">
        <v>14</v>
      </c>
      <c r="V118" s="16"/>
      <c r="W118" s="239">
        <f t="shared" si="1"/>
        <v>0.23325062034739455</v>
      </c>
    </row>
    <row r="119" spans="1:23" x14ac:dyDescent="0.25">
      <c r="A119" s="2">
        <v>540075</v>
      </c>
      <c r="B119" s="2" t="s">
        <v>170</v>
      </c>
      <c r="C119" s="238" t="s">
        <v>39</v>
      </c>
      <c r="D119" s="2" t="s">
        <v>115</v>
      </c>
      <c r="E119" s="2">
        <v>3</v>
      </c>
      <c r="F119" s="2">
        <v>364</v>
      </c>
      <c r="G119" s="2">
        <v>325</v>
      </c>
      <c r="H119" s="2">
        <v>344.5</v>
      </c>
      <c r="I119" s="2">
        <v>0</v>
      </c>
      <c r="J119" s="2"/>
      <c r="K119" s="2">
        <v>638</v>
      </c>
      <c r="L119" s="2">
        <v>545</v>
      </c>
      <c r="M119" s="2">
        <v>591.5</v>
      </c>
      <c r="N119" s="2">
        <v>482</v>
      </c>
      <c r="O119" s="2">
        <v>0</v>
      </c>
      <c r="P119" s="2">
        <v>103</v>
      </c>
      <c r="Q119" s="2">
        <v>0</v>
      </c>
      <c r="R119" s="2">
        <v>3</v>
      </c>
      <c r="S119" s="2">
        <v>7</v>
      </c>
      <c r="T119" s="2">
        <v>39</v>
      </c>
      <c r="U119" s="2">
        <v>4</v>
      </c>
      <c r="V119" s="16"/>
      <c r="W119" s="239">
        <f t="shared" si="1"/>
        <v>0.53996865203761757</v>
      </c>
    </row>
    <row r="120" spans="1:23" x14ac:dyDescent="0.25">
      <c r="A120" s="2">
        <v>540076</v>
      </c>
      <c r="B120" s="2" t="s">
        <v>171</v>
      </c>
      <c r="C120" s="238" t="s">
        <v>39</v>
      </c>
      <c r="D120" s="2" t="s">
        <v>115</v>
      </c>
      <c r="E120" s="2">
        <v>3</v>
      </c>
      <c r="F120" s="2">
        <v>973</v>
      </c>
      <c r="G120" s="2">
        <v>1180</v>
      </c>
      <c r="H120" s="2">
        <v>1076.5</v>
      </c>
      <c r="I120" s="2">
        <v>0</v>
      </c>
      <c r="J120" s="2"/>
      <c r="K120" s="2">
        <v>4080</v>
      </c>
      <c r="L120" s="2">
        <v>3562</v>
      </c>
      <c r="M120" s="2">
        <v>3821</v>
      </c>
      <c r="N120" s="2">
        <v>3030</v>
      </c>
      <c r="O120" s="2">
        <v>0</v>
      </c>
      <c r="P120" s="2">
        <v>362</v>
      </c>
      <c r="Q120" s="2">
        <v>3</v>
      </c>
      <c r="R120" s="2">
        <v>507</v>
      </c>
      <c r="S120" s="2">
        <v>5</v>
      </c>
      <c r="T120" s="2">
        <v>148</v>
      </c>
      <c r="U120" s="2">
        <v>25</v>
      </c>
      <c r="V120" s="16"/>
      <c r="W120" s="239">
        <f t="shared" si="1"/>
        <v>0.26384803921568628</v>
      </c>
    </row>
    <row r="121" spans="1:23" x14ac:dyDescent="0.25">
      <c r="A121" s="2">
        <v>540077</v>
      </c>
      <c r="B121" s="2" t="s">
        <v>172</v>
      </c>
      <c r="C121" s="238" t="s">
        <v>39</v>
      </c>
      <c r="D121" s="2" t="s">
        <v>115</v>
      </c>
      <c r="E121" s="2">
        <v>3</v>
      </c>
      <c r="F121" s="2">
        <v>51</v>
      </c>
      <c r="G121" s="2">
        <v>69</v>
      </c>
      <c r="H121" s="2">
        <v>60</v>
      </c>
      <c r="I121" s="2">
        <v>0</v>
      </c>
      <c r="J121" s="2"/>
      <c r="K121" s="2">
        <v>439</v>
      </c>
      <c r="L121" s="2">
        <v>478</v>
      </c>
      <c r="M121" s="2">
        <v>458.5</v>
      </c>
      <c r="N121" s="2">
        <v>382</v>
      </c>
      <c r="O121" s="2">
        <v>0</v>
      </c>
      <c r="P121" s="2">
        <v>13</v>
      </c>
      <c r="Q121" s="2">
        <v>1</v>
      </c>
      <c r="R121" s="2">
        <v>17</v>
      </c>
      <c r="S121" s="2">
        <v>1</v>
      </c>
      <c r="T121" s="2">
        <v>18</v>
      </c>
      <c r="U121" s="2">
        <v>7</v>
      </c>
      <c r="V121" s="16"/>
      <c r="W121" s="239">
        <f t="shared" si="1"/>
        <v>0.1366742596810934</v>
      </c>
    </row>
    <row r="122" spans="1:23" x14ac:dyDescent="0.25">
      <c r="A122" s="2">
        <v>540078</v>
      </c>
      <c r="B122" s="2" t="s">
        <v>173</v>
      </c>
      <c r="C122" s="238" t="s">
        <v>39</v>
      </c>
      <c r="D122" s="2" t="s">
        <v>115</v>
      </c>
      <c r="E122" s="2">
        <v>3</v>
      </c>
      <c r="F122" s="2">
        <v>84</v>
      </c>
      <c r="G122" s="2">
        <v>100</v>
      </c>
      <c r="H122" s="2">
        <v>92</v>
      </c>
      <c r="I122" s="2">
        <v>0</v>
      </c>
      <c r="J122" s="2"/>
      <c r="K122" s="2">
        <v>376</v>
      </c>
      <c r="L122" s="2">
        <v>408</v>
      </c>
      <c r="M122" s="2">
        <v>392</v>
      </c>
      <c r="N122" s="2">
        <v>344</v>
      </c>
      <c r="O122" s="2">
        <v>0</v>
      </c>
      <c r="P122" s="2">
        <v>9</v>
      </c>
      <c r="Q122" s="2">
        <v>0</v>
      </c>
      <c r="R122" s="2">
        <v>0</v>
      </c>
      <c r="S122" s="2">
        <v>1</v>
      </c>
      <c r="T122" s="2">
        <v>21</v>
      </c>
      <c r="U122" s="2">
        <v>1</v>
      </c>
      <c r="V122" s="16"/>
      <c r="W122" s="239">
        <f t="shared" si="1"/>
        <v>0.24468085106382978</v>
      </c>
    </row>
    <row r="123" spans="1:23" x14ac:dyDescent="0.25">
      <c r="A123" s="2">
        <v>540279</v>
      </c>
      <c r="B123" s="2" t="s">
        <v>320</v>
      </c>
      <c r="C123" s="238" t="s">
        <v>39</v>
      </c>
      <c r="D123" s="2" t="s">
        <v>115</v>
      </c>
      <c r="E123" s="2">
        <v>3</v>
      </c>
      <c r="F123" s="2">
        <v>23</v>
      </c>
      <c r="G123" s="2">
        <v>23</v>
      </c>
      <c r="H123" s="2">
        <v>23</v>
      </c>
      <c r="I123" s="2">
        <v>0</v>
      </c>
      <c r="J123" s="2"/>
      <c r="K123" s="2">
        <v>157</v>
      </c>
      <c r="L123" s="2">
        <v>148</v>
      </c>
      <c r="M123" s="2">
        <v>152.5</v>
      </c>
      <c r="N123" s="2">
        <v>139</v>
      </c>
      <c r="O123" s="2">
        <v>0</v>
      </c>
      <c r="P123" s="2">
        <v>4</v>
      </c>
      <c r="Q123" s="2">
        <v>0</v>
      </c>
      <c r="R123" s="2">
        <v>0</v>
      </c>
      <c r="S123" s="2">
        <v>1</v>
      </c>
      <c r="T123" s="2">
        <v>7</v>
      </c>
      <c r="U123" s="2">
        <v>6</v>
      </c>
      <c r="V123" s="16"/>
      <c r="W123" s="239">
        <f t="shared" si="1"/>
        <v>0.1464968152866242</v>
      </c>
    </row>
    <row r="124" spans="1:23" x14ac:dyDescent="0.25">
      <c r="A124" s="2">
        <v>540079</v>
      </c>
      <c r="B124" s="2" t="s">
        <v>174</v>
      </c>
      <c r="C124" s="238" t="s">
        <v>39</v>
      </c>
      <c r="D124" s="2" t="s">
        <v>115</v>
      </c>
      <c r="E124" s="2">
        <v>3</v>
      </c>
      <c r="F124" s="2">
        <v>30</v>
      </c>
      <c r="G124" s="2">
        <v>29</v>
      </c>
      <c r="H124" s="2">
        <v>29.5</v>
      </c>
      <c r="I124" s="2">
        <v>0</v>
      </c>
      <c r="J124" s="2"/>
      <c r="K124" s="2">
        <v>858</v>
      </c>
      <c r="L124" s="2">
        <v>786</v>
      </c>
      <c r="M124" s="2">
        <v>822</v>
      </c>
      <c r="N124" s="2">
        <v>639</v>
      </c>
      <c r="O124" s="2">
        <v>0</v>
      </c>
      <c r="P124" s="2">
        <v>95</v>
      </c>
      <c r="Q124" s="2">
        <v>3</v>
      </c>
      <c r="R124" s="2">
        <v>82</v>
      </c>
      <c r="S124" s="2">
        <v>4</v>
      </c>
      <c r="T124" s="2">
        <v>19</v>
      </c>
      <c r="U124" s="2">
        <v>16</v>
      </c>
      <c r="V124" s="16"/>
      <c r="W124" s="239">
        <f t="shared" si="1"/>
        <v>3.4382284382284384E-2</v>
      </c>
    </row>
    <row r="125" spans="1:23" x14ac:dyDescent="0.25">
      <c r="A125" s="2">
        <v>540029</v>
      </c>
      <c r="B125" s="2" t="s">
        <v>134</v>
      </c>
      <c r="C125" s="238" t="s">
        <v>39</v>
      </c>
      <c r="D125" s="2" t="s">
        <v>115</v>
      </c>
      <c r="E125" s="2">
        <v>3</v>
      </c>
      <c r="F125" s="2">
        <v>18</v>
      </c>
      <c r="G125" s="2">
        <v>32</v>
      </c>
      <c r="H125" s="2">
        <v>25</v>
      </c>
      <c r="I125" s="2">
        <v>0</v>
      </c>
      <c r="J125" s="2"/>
      <c r="K125" s="2">
        <v>317</v>
      </c>
      <c r="L125" s="2">
        <v>280</v>
      </c>
      <c r="M125" s="2">
        <v>298.5</v>
      </c>
      <c r="N125" s="2">
        <v>233</v>
      </c>
      <c r="O125" s="2">
        <v>0</v>
      </c>
      <c r="P125" s="2">
        <v>22</v>
      </c>
      <c r="Q125" s="2">
        <v>0</v>
      </c>
      <c r="R125" s="2">
        <v>4</v>
      </c>
      <c r="S125" s="2">
        <v>0</v>
      </c>
      <c r="T125" s="2">
        <v>57</v>
      </c>
      <c r="U125" s="2">
        <v>1</v>
      </c>
      <c r="V125" s="16"/>
      <c r="W125" s="239">
        <f t="shared" si="1"/>
        <v>7.8864353312302835E-2</v>
      </c>
    </row>
    <row r="126" spans="1:23" x14ac:dyDescent="0.25">
      <c r="A126" s="2">
        <v>540081</v>
      </c>
      <c r="B126" s="2" t="s">
        <v>176</v>
      </c>
      <c r="C126" s="238" t="s">
        <v>39</v>
      </c>
      <c r="D126" s="2" t="s">
        <v>115</v>
      </c>
      <c r="E126" s="2">
        <v>3</v>
      </c>
      <c r="F126" s="2">
        <v>468</v>
      </c>
      <c r="G126" s="2">
        <v>548</v>
      </c>
      <c r="H126" s="2">
        <v>508</v>
      </c>
      <c r="I126" s="2">
        <v>0</v>
      </c>
      <c r="J126" s="2"/>
      <c r="K126" s="2">
        <v>2842</v>
      </c>
      <c r="L126" s="2">
        <v>2844</v>
      </c>
      <c r="M126" s="2">
        <v>2843</v>
      </c>
      <c r="N126" s="2">
        <v>2230</v>
      </c>
      <c r="O126" s="2">
        <v>0</v>
      </c>
      <c r="P126" s="2">
        <v>230</v>
      </c>
      <c r="Q126" s="2">
        <v>6</v>
      </c>
      <c r="R126" s="2">
        <v>222</v>
      </c>
      <c r="S126" s="2">
        <v>8</v>
      </c>
      <c r="T126" s="2">
        <v>123</v>
      </c>
      <c r="U126" s="2">
        <v>23</v>
      </c>
      <c r="V126" s="16"/>
      <c r="W126" s="239">
        <f t="shared" si="1"/>
        <v>0.17874736101337085</v>
      </c>
    </row>
    <row r="127" spans="1:23" x14ac:dyDescent="0.25">
      <c r="A127" s="2">
        <v>540082</v>
      </c>
      <c r="B127" s="2" t="s">
        <v>177</v>
      </c>
      <c r="C127" s="238" t="s">
        <v>39</v>
      </c>
      <c r="D127" s="2" t="s">
        <v>115</v>
      </c>
      <c r="E127" s="2">
        <v>3</v>
      </c>
      <c r="F127" s="2">
        <v>45</v>
      </c>
      <c r="G127" s="2">
        <v>50</v>
      </c>
      <c r="H127" s="2">
        <v>47.5</v>
      </c>
      <c r="I127" s="2">
        <v>0</v>
      </c>
      <c r="J127" s="2"/>
      <c r="K127" s="2">
        <v>288</v>
      </c>
      <c r="L127" s="2">
        <v>299</v>
      </c>
      <c r="M127" s="2">
        <v>293.5</v>
      </c>
      <c r="N127" s="2">
        <v>237</v>
      </c>
      <c r="O127" s="2">
        <v>0</v>
      </c>
      <c r="P127" s="2">
        <v>25</v>
      </c>
      <c r="Q127" s="2">
        <v>0</v>
      </c>
      <c r="R127" s="2">
        <v>16</v>
      </c>
      <c r="S127" s="2">
        <v>1</v>
      </c>
      <c r="T127" s="2">
        <v>7</v>
      </c>
      <c r="U127" s="2">
        <v>2</v>
      </c>
      <c r="V127" s="16"/>
      <c r="W127" s="239">
        <f t="shared" si="1"/>
        <v>0.16493055555555555</v>
      </c>
    </row>
    <row r="128" spans="1:23" x14ac:dyDescent="0.25">
      <c r="A128" s="2">
        <v>540033</v>
      </c>
      <c r="B128" s="2" t="s">
        <v>138</v>
      </c>
      <c r="C128" s="238" t="s">
        <v>39</v>
      </c>
      <c r="D128" s="2" t="s">
        <v>115</v>
      </c>
      <c r="E128" s="2">
        <v>3</v>
      </c>
      <c r="F128" s="2">
        <v>0</v>
      </c>
      <c r="G128" s="2">
        <v>0</v>
      </c>
      <c r="H128" s="2">
        <v>0</v>
      </c>
      <c r="I128" s="2">
        <v>0</v>
      </c>
      <c r="J128" s="2"/>
      <c r="K128" s="2">
        <v>3</v>
      </c>
      <c r="L128" s="2">
        <v>3</v>
      </c>
      <c r="M128" s="2">
        <v>3</v>
      </c>
      <c r="N128" s="2">
        <v>1</v>
      </c>
      <c r="O128" s="2">
        <v>0</v>
      </c>
      <c r="P128" s="2">
        <v>0</v>
      </c>
      <c r="Q128" s="2">
        <v>0</v>
      </c>
      <c r="R128" s="2">
        <v>0</v>
      </c>
      <c r="S128" s="2">
        <v>0</v>
      </c>
      <c r="T128" s="2">
        <v>2</v>
      </c>
      <c r="U128" s="2">
        <v>0</v>
      </c>
      <c r="V128" s="16"/>
      <c r="W128" s="239">
        <f t="shared" si="1"/>
        <v>0</v>
      </c>
    </row>
    <row r="129" spans="1:23" x14ac:dyDescent="0.25">
      <c r="A129" s="2">
        <v>540223</v>
      </c>
      <c r="B129" s="2" t="s">
        <v>277</v>
      </c>
      <c r="C129" s="238" t="s">
        <v>39</v>
      </c>
      <c r="D129" s="2" t="s">
        <v>115</v>
      </c>
      <c r="E129" s="2">
        <v>3</v>
      </c>
      <c r="F129" s="2">
        <v>382</v>
      </c>
      <c r="G129" s="2">
        <v>425</v>
      </c>
      <c r="H129" s="2">
        <v>403.5</v>
      </c>
      <c r="I129" s="2">
        <v>0</v>
      </c>
      <c r="J129" s="2"/>
      <c r="K129" s="2">
        <v>6968</v>
      </c>
      <c r="L129" s="2">
        <v>6188</v>
      </c>
      <c r="M129" s="2">
        <v>6578</v>
      </c>
      <c r="N129" s="2">
        <v>5128</v>
      </c>
      <c r="O129" s="2">
        <v>0</v>
      </c>
      <c r="P129" s="2">
        <v>966</v>
      </c>
      <c r="Q129" s="2">
        <v>23</v>
      </c>
      <c r="R129" s="2">
        <v>469</v>
      </c>
      <c r="S129" s="2">
        <v>2</v>
      </c>
      <c r="T129" s="2">
        <v>294</v>
      </c>
      <c r="U129" s="2">
        <v>86</v>
      </c>
      <c r="V129" s="16"/>
      <c r="W129" s="239">
        <f t="shared" si="1"/>
        <v>5.7907577497129735E-2</v>
      </c>
    </row>
    <row r="130" spans="1:23" x14ac:dyDescent="0.25">
      <c r="A130" s="2">
        <v>540083</v>
      </c>
      <c r="B130" s="2" t="s">
        <v>178</v>
      </c>
      <c r="C130" s="238" t="s">
        <v>39</v>
      </c>
      <c r="D130" s="2" t="s">
        <v>115</v>
      </c>
      <c r="E130" s="2">
        <v>3</v>
      </c>
      <c r="F130" s="2">
        <v>147</v>
      </c>
      <c r="G130" s="2">
        <v>215</v>
      </c>
      <c r="H130" s="2">
        <v>181</v>
      </c>
      <c r="I130" s="2">
        <v>0</v>
      </c>
      <c r="J130" s="2"/>
      <c r="K130" s="2">
        <v>5626</v>
      </c>
      <c r="L130" s="2">
        <v>5426</v>
      </c>
      <c r="M130" s="2">
        <v>5526</v>
      </c>
      <c r="N130" s="2">
        <v>4837</v>
      </c>
      <c r="O130" s="2">
        <v>0</v>
      </c>
      <c r="P130" s="2">
        <v>360</v>
      </c>
      <c r="Q130" s="2">
        <v>0</v>
      </c>
      <c r="R130" s="2">
        <v>275</v>
      </c>
      <c r="S130" s="2">
        <v>6</v>
      </c>
      <c r="T130" s="2">
        <v>109</v>
      </c>
      <c r="U130" s="2">
        <v>39</v>
      </c>
      <c r="V130" s="16"/>
      <c r="W130" s="239">
        <f t="shared" si="1"/>
        <v>3.2172058300746535E-2</v>
      </c>
    </row>
    <row r="131" spans="1:23" x14ac:dyDescent="0.25">
      <c r="A131" s="23"/>
      <c r="B131" s="23"/>
      <c r="C131" s="240" t="s">
        <v>39</v>
      </c>
      <c r="D131" s="23" t="s">
        <v>1360</v>
      </c>
      <c r="E131" s="23"/>
      <c r="F131" s="23">
        <v>12769</v>
      </c>
      <c r="G131" s="23">
        <v>15362</v>
      </c>
      <c r="H131" s="23">
        <v>14065.5</v>
      </c>
      <c r="I131" s="23">
        <v>0</v>
      </c>
      <c r="J131" s="23"/>
      <c r="K131" s="23">
        <v>100266</v>
      </c>
      <c r="L131" s="23">
        <v>92898</v>
      </c>
      <c r="M131" s="23">
        <v>96582</v>
      </c>
      <c r="N131" s="23">
        <v>78290</v>
      </c>
      <c r="O131" s="23">
        <v>130</v>
      </c>
      <c r="P131" s="23">
        <v>8328</v>
      </c>
      <c r="Q131" s="23">
        <v>282</v>
      </c>
      <c r="R131" s="23">
        <v>7142</v>
      </c>
      <c r="S131" s="23">
        <v>136</v>
      </c>
      <c r="T131" s="23">
        <v>4275</v>
      </c>
      <c r="U131" s="23">
        <v>1683</v>
      </c>
      <c r="V131" s="75"/>
      <c r="W131" s="242">
        <f t="shared" si="1"/>
        <v>0.14028185027825982</v>
      </c>
    </row>
    <row r="132" spans="1:23" x14ac:dyDescent="0.25">
      <c r="A132" s="2">
        <v>540085</v>
      </c>
      <c r="B132" s="2" t="s">
        <v>40</v>
      </c>
      <c r="C132" s="238" t="s">
        <v>41</v>
      </c>
      <c r="D132" s="2" t="s">
        <v>5</v>
      </c>
      <c r="E132" s="2">
        <v>7</v>
      </c>
      <c r="F132" s="2">
        <v>1689</v>
      </c>
      <c r="G132" s="2">
        <v>1023</v>
      </c>
      <c r="H132" s="2">
        <v>1356</v>
      </c>
      <c r="I132" s="2">
        <v>0</v>
      </c>
      <c r="J132" s="2"/>
      <c r="K132" s="2">
        <v>18189</v>
      </c>
      <c r="L132" s="2">
        <v>9218</v>
      </c>
      <c r="M132" s="2">
        <v>13703.5</v>
      </c>
      <c r="N132" s="2">
        <v>12074</v>
      </c>
      <c r="O132" s="2">
        <v>3597</v>
      </c>
      <c r="P132" s="2">
        <v>881</v>
      </c>
      <c r="Q132" s="2">
        <v>5</v>
      </c>
      <c r="R132" s="2">
        <v>0</v>
      </c>
      <c r="S132" s="2">
        <v>112</v>
      </c>
      <c r="T132" s="2">
        <v>493</v>
      </c>
      <c r="U132" s="2">
        <v>1027</v>
      </c>
      <c r="V132" s="16"/>
      <c r="W132" s="239">
        <f t="shared" si="1"/>
        <v>7.4550552531749956E-2</v>
      </c>
    </row>
    <row r="133" spans="1:23" x14ac:dyDescent="0.25">
      <c r="A133" s="2">
        <v>540086</v>
      </c>
      <c r="B133" s="2" t="s">
        <v>179</v>
      </c>
      <c r="C133" s="238" t="s">
        <v>41</v>
      </c>
      <c r="D133" s="2" t="s">
        <v>115</v>
      </c>
      <c r="E133" s="2">
        <v>7</v>
      </c>
      <c r="F133" s="2">
        <v>62</v>
      </c>
      <c r="G133" s="2">
        <v>44</v>
      </c>
      <c r="H133" s="2">
        <v>53</v>
      </c>
      <c r="I133" s="2">
        <v>0</v>
      </c>
      <c r="J133" s="2"/>
      <c r="K133" s="2">
        <v>376</v>
      </c>
      <c r="L133" s="2">
        <v>276</v>
      </c>
      <c r="M133" s="2">
        <v>326</v>
      </c>
      <c r="N133" s="2">
        <v>241</v>
      </c>
      <c r="O133" s="2">
        <v>8</v>
      </c>
      <c r="P133" s="2">
        <v>84</v>
      </c>
      <c r="Q133" s="2">
        <v>0</v>
      </c>
      <c r="R133" s="2">
        <v>0</v>
      </c>
      <c r="S133" s="2">
        <v>3</v>
      </c>
      <c r="T133" s="2">
        <v>21</v>
      </c>
      <c r="U133" s="2">
        <v>19</v>
      </c>
      <c r="V133" s="16"/>
      <c r="W133" s="239">
        <f t="shared" ref="W133:W196" si="2" xml:space="preserve"> H133 / K133</f>
        <v>0.14095744680851063</v>
      </c>
    </row>
    <row r="134" spans="1:23" x14ac:dyDescent="0.25">
      <c r="A134" s="2">
        <v>540087</v>
      </c>
      <c r="B134" s="2" t="s">
        <v>180</v>
      </c>
      <c r="C134" s="238" t="s">
        <v>41</v>
      </c>
      <c r="D134" s="2" t="s">
        <v>115</v>
      </c>
      <c r="E134" s="2">
        <v>7</v>
      </c>
      <c r="F134" s="2">
        <v>395</v>
      </c>
      <c r="G134" s="2">
        <v>329</v>
      </c>
      <c r="H134" s="2">
        <v>362</v>
      </c>
      <c r="I134" s="2">
        <v>0</v>
      </c>
      <c r="J134" s="2"/>
      <c r="K134" s="2">
        <v>3140</v>
      </c>
      <c r="L134" s="2">
        <v>1974</v>
      </c>
      <c r="M134" s="2">
        <v>2557</v>
      </c>
      <c r="N134" s="2">
        <v>2471</v>
      </c>
      <c r="O134" s="2">
        <v>8</v>
      </c>
      <c r="P134" s="2">
        <v>386</v>
      </c>
      <c r="Q134" s="2">
        <v>0</v>
      </c>
      <c r="R134" s="2">
        <v>0</v>
      </c>
      <c r="S134" s="2">
        <v>5</v>
      </c>
      <c r="T134" s="2">
        <v>120</v>
      </c>
      <c r="U134" s="2">
        <v>150</v>
      </c>
      <c r="V134" s="16"/>
      <c r="W134" s="239">
        <f t="shared" si="2"/>
        <v>0.11528662420382166</v>
      </c>
    </row>
    <row r="135" spans="1:23" x14ac:dyDescent="0.25">
      <c r="A135" s="23"/>
      <c r="B135" s="23"/>
      <c r="C135" s="240" t="s">
        <v>41</v>
      </c>
      <c r="D135" s="23" t="s">
        <v>1360</v>
      </c>
      <c r="E135" s="23"/>
      <c r="F135" s="23">
        <v>2146</v>
      </c>
      <c r="G135" s="23">
        <v>1396</v>
      </c>
      <c r="H135" s="23">
        <v>1771</v>
      </c>
      <c r="I135" s="23">
        <v>0</v>
      </c>
      <c r="J135" s="23"/>
      <c r="K135" s="23">
        <v>21705</v>
      </c>
      <c r="L135" s="23">
        <v>11468</v>
      </c>
      <c r="M135" s="23">
        <v>16586.5</v>
      </c>
      <c r="N135" s="23">
        <v>14786</v>
      </c>
      <c r="O135" s="23">
        <v>3613</v>
      </c>
      <c r="P135" s="23">
        <v>1351</v>
      </c>
      <c r="Q135" s="23">
        <v>5</v>
      </c>
      <c r="R135" s="23">
        <v>0</v>
      </c>
      <c r="S135" s="23">
        <v>120</v>
      </c>
      <c r="T135" s="23">
        <v>634</v>
      </c>
      <c r="U135" s="23">
        <v>1196</v>
      </c>
      <c r="V135" s="75"/>
      <c r="W135" s="242">
        <f t="shared" si="2"/>
        <v>8.1594102741303853E-2</v>
      </c>
    </row>
    <row r="136" spans="1:23" x14ac:dyDescent="0.25">
      <c r="A136" s="2">
        <v>540088</v>
      </c>
      <c r="B136" s="2" t="s">
        <v>42</v>
      </c>
      <c r="C136" s="238" t="s">
        <v>43</v>
      </c>
      <c r="D136" s="2" t="s">
        <v>5</v>
      </c>
      <c r="E136" s="2">
        <v>2</v>
      </c>
      <c r="F136" s="2">
        <v>2347</v>
      </c>
      <c r="G136" s="2">
        <v>2815</v>
      </c>
      <c r="H136" s="2">
        <v>2581</v>
      </c>
      <c r="I136" s="2">
        <v>0</v>
      </c>
      <c r="J136" s="2"/>
      <c r="K136" s="2">
        <v>10787</v>
      </c>
      <c r="L136" s="2">
        <v>11856</v>
      </c>
      <c r="M136" s="2">
        <v>11321.5</v>
      </c>
      <c r="N136" s="2">
        <v>9358</v>
      </c>
      <c r="O136" s="2">
        <v>704</v>
      </c>
      <c r="P136" s="2">
        <v>337</v>
      </c>
      <c r="Q136" s="2">
        <v>5</v>
      </c>
      <c r="R136" s="2">
        <v>0</v>
      </c>
      <c r="S136" s="2">
        <v>11</v>
      </c>
      <c r="T136" s="2">
        <v>233</v>
      </c>
      <c r="U136" s="2">
        <v>139</v>
      </c>
      <c r="V136" s="16"/>
      <c r="W136" s="239">
        <f t="shared" si="2"/>
        <v>0.23926949105404655</v>
      </c>
    </row>
    <row r="137" spans="1:23" x14ac:dyDescent="0.25">
      <c r="A137" s="2">
        <v>540089</v>
      </c>
      <c r="B137" s="2" t="s">
        <v>181</v>
      </c>
      <c r="C137" s="238" t="s">
        <v>43</v>
      </c>
      <c r="D137" s="2" t="s">
        <v>115</v>
      </c>
      <c r="E137" s="2">
        <v>2</v>
      </c>
      <c r="F137" s="2">
        <v>98</v>
      </c>
      <c r="G137" s="2">
        <v>150</v>
      </c>
      <c r="H137" s="2">
        <v>124</v>
      </c>
      <c r="I137" s="2">
        <v>0</v>
      </c>
      <c r="J137" s="2"/>
      <c r="K137" s="2">
        <v>487</v>
      </c>
      <c r="L137" s="2">
        <v>558</v>
      </c>
      <c r="M137" s="2">
        <v>522.5</v>
      </c>
      <c r="N137" s="2">
        <v>391</v>
      </c>
      <c r="O137" s="2">
        <v>0</v>
      </c>
      <c r="P137" s="2">
        <v>52</v>
      </c>
      <c r="Q137" s="2">
        <v>0</v>
      </c>
      <c r="R137" s="2">
        <v>4</v>
      </c>
      <c r="S137" s="2">
        <v>2</v>
      </c>
      <c r="T137" s="2">
        <v>38</v>
      </c>
      <c r="U137" s="2">
        <v>0</v>
      </c>
      <c r="V137" s="16"/>
      <c r="W137" s="239">
        <f t="shared" si="2"/>
        <v>0.25462012320328542</v>
      </c>
    </row>
    <row r="138" spans="1:23" x14ac:dyDescent="0.25">
      <c r="A138" s="2">
        <v>540090</v>
      </c>
      <c r="B138" s="2" t="s">
        <v>182</v>
      </c>
      <c r="C138" s="238" t="s">
        <v>43</v>
      </c>
      <c r="D138" s="2" t="s">
        <v>115</v>
      </c>
      <c r="E138" s="2">
        <v>2</v>
      </c>
      <c r="F138" s="2">
        <v>57</v>
      </c>
      <c r="G138" s="2">
        <v>67</v>
      </c>
      <c r="H138" s="2">
        <v>62</v>
      </c>
      <c r="I138" s="2">
        <v>0</v>
      </c>
      <c r="J138" s="2"/>
      <c r="K138" s="2">
        <v>393</v>
      </c>
      <c r="L138" s="2">
        <v>413</v>
      </c>
      <c r="M138" s="2">
        <v>403</v>
      </c>
      <c r="N138" s="2">
        <v>307</v>
      </c>
      <c r="O138" s="2">
        <v>3</v>
      </c>
      <c r="P138" s="2">
        <v>53</v>
      </c>
      <c r="Q138" s="2">
        <v>0</v>
      </c>
      <c r="R138" s="2">
        <v>0</v>
      </c>
      <c r="S138" s="2">
        <v>0</v>
      </c>
      <c r="T138" s="2">
        <v>23</v>
      </c>
      <c r="U138" s="2">
        <v>7</v>
      </c>
      <c r="V138" s="16"/>
      <c r="W138" s="239">
        <f t="shared" si="2"/>
        <v>0.15776081424936386</v>
      </c>
    </row>
    <row r="139" spans="1:23" x14ac:dyDescent="0.25">
      <c r="A139" s="23"/>
      <c r="B139" s="23"/>
      <c r="C139" s="240" t="s">
        <v>43</v>
      </c>
      <c r="D139" s="23" t="s">
        <v>1360</v>
      </c>
      <c r="E139" s="23"/>
      <c r="F139" s="23">
        <v>2502</v>
      </c>
      <c r="G139" s="23">
        <v>3032</v>
      </c>
      <c r="H139" s="23">
        <v>2767</v>
      </c>
      <c r="I139" s="23">
        <v>0</v>
      </c>
      <c r="J139" s="23"/>
      <c r="K139" s="23">
        <v>11667</v>
      </c>
      <c r="L139" s="23">
        <v>12827</v>
      </c>
      <c r="M139" s="23">
        <v>12247</v>
      </c>
      <c r="N139" s="23">
        <v>10056</v>
      </c>
      <c r="O139" s="23">
        <v>707</v>
      </c>
      <c r="P139" s="23">
        <v>442</v>
      </c>
      <c r="Q139" s="23">
        <v>5</v>
      </c>
      <c r="R139" s="23">
        <v>4</v>
      </c>
      <c r="S139" s="23">
        <v>13</v>
      </c>
      <c r="T139" s="23">
        <v>294</v>
      </c>
      <c r="U139" s="23">
        <v>146</v>
      </c>
      <c r="V139" s="75"/>
      <c r="W139" s="242">
        <f t="shared" si="2"/>
        <v>0.23716465243850177</v>
      </c>
    </row>
    <row r="140" spans="1:23" x14ac:dyDescent="0.25">
      <c r="A140" s="2">
        <v>545536</v>
      </c>
      <c r="B140" s="2" t="s">
        <v>110</v>
      </c>
      <c r="C140" s="238" t="s">
        <v>111</v>
      </c>
      <c r="D140" s="2" t="s">
        <v>5</v>
      </c>
      <c r="E140" s="2">
        <v>2</v>
      </c>
      <c r="F140" s="2">
        <v>5706</v>
      </c>
      <c r="G140" s="2">
        <v>4636</v>
      </c>
      <c r="H140" s="2">
        <v>5171</v>
      </c>
      <c r="I140" s="2">
        <v>0</v>
      </c>
      <c r="J140" s="2"/>
      <c r="K140" s="2">
        <v>22441</v>
      </c>
      <c r="L140" s="2">
        <v>14807</v>
      </c>
      <c r="M140" s="2">
        <v>18624</v>
      </c>
      <c r="N140" s="2">
        <v>18873</v>
      </c>
      <c r="O140" s="2">
        <v>5</v>
      </c>
      <c r="P140" s="2">
        <v>1362</v>
      </c>
      <c r="Q140" s="2">
        <v>785</v>
      </c>
      <c r="R140" s="2">
        <v>0</v>
      </c>
      <c r="S140" s="2">
        <v>1</v>
      </c>
      <c r="T140" s="2">
        <v>671</v>
      </c>
      <c r="U140" s="2">
        <v>744</v>
      </c>
      <c r="V140" s="75"/>
      <c r="W140" s="239">
        <f t="shared" si="2"/>
        <v>0.23042645158415401</v>
      </c>
    </row>
    <row r="141" spans="1:23" x14ac:dyDescent="0.25">
      <c r="A141" s="2">
        <v>540092</v>
      </c>
      <c r="B141" s="2" t="s">
        <v>183</v>
      </c>
      <c r="C141" s="238" t="s">
        <v>111</v>
      </c>
      <c r="D141" s="2" t="s">
        <v>115</v>
      </c>
      <c r="E141" s="2">
        <v>2</v>
      </c>
      <c r="F141" s="2">
        <v>45</v>
      </c>
      <c r="G141" s="2">
        <v>60</v>
      </c>
      <c r="H141" s="2">
        <v>52.5</v>
      </c>
      <c r="I141" s="2">
        <v>0</v>
      </c>
      <c r="J141" s="2"/>
      <c r="K141" s="2">
        <v>713</v>
      </c>
      <c r="L141" s="2">
        <v>496</v>
      </c>
      <c r="M141" s="2">
        <v>604.5</v>
      </c>
      <c r="N141" s="2">
        <v>476</v>
      </c>
      <c r="O141" s="2">
        <v>0</v>
      </c>
      <c r="P141" s="2">
        <v>162</v>
      </c>
      <c r="Q141" s="2">
        <v>0</v>
      </c>
      <c r="R141" s="2">
        <v>0</v>
      </c>
      <c r="S141" s="2">
        <v>0</v>
      </c>
      <c r="T141" s="2">
        <v>49</v>
      </c>
      <c r="U141" s="2">
        <v>26</v>
      </c>
      <c r="V141" s="75"/>
      <c r="W141" s="239">
        <f t="shared" si="2"/>
        <v>7.3632538569424963E-2</v>
      </c>
    </row>
    <row r="142" spans="1:23" x14ac:dyDescent="0.25">
      <c r="A142" s="2">
        <v>545535</v>
      </c>
      <c r="B142" s="2" t="s">
        <v>332</v>
      </c>
      <c r="C142" s="238" t="s">
        <v>111</v>
      </c>
      <c r="D142" s="2" t="s">
        <v>115</v>
      </c>
      <c r="E142" s="2">
        <v>2</v>
      </c>
      <c r="F142" s="2">
        <v>7</v>
      </c>
      <c r="G142" s="2">
        <v>13</v>
      </c>
      <c r="H142" s="2">
        <v>10</v>
      </c>
      <c r="I142" s="2">
        <v>0</v>
      </c>
      <c r="J142" s="2"/>
      <c r="K142" s="2">
        <v>1001</v>
      </c>
      <c r="L142" s="2">
        <v>608</v>
      </c>
      <c r="M142" s="2">
        <v>804.5</v>
      </c>
      <c r="N142" s="2">
        <v>709</v>
      </c>
      <c r="O142" s="2">
        <v>0</v>
      </c>
      <c r="P142" s="2">
        <v>167</v>
      </c>
      <c r="Q142" s="2">
        <v>0</v>
      </c>
      <c r="R142" s="2">
        <v>2</v>
      </c>
      <c r="S142" s="2">
        <v>0</v>
      </c>
      <c r="T142" s="2">
        <v>83</v>
      </c>
      <c r="U142" s="2">
        <v>40</v>
      </c>
      <c r="V142" s="75"/>
      <c r="W142" s="239">
        <f t="shared" si="2"/>
        <v>9.99000999000999E-3</v>
      </c>
    </row>
    <row r="143" spans="1:23" x14ac:dyDescent="0.25">
      <c r="A143" s="2">
        <v>545537</v>
      </c>
      <c r="B143" s="2" t="s">
        <v>333</v>
      </c>
      <c r="C143" s="238" t="s">
        <v>111</v>
      </c>
      <c r="D143" s="2" t="s">
        <v>115</v>
      </c>
      <c r="E143" s="2">
        <v>2</v>
      </c>
      <c r="F143" s="2">
        <v>154</v>
      </c>
      <c r="G143" s="2">
        <v>140</v>
      </c>
      <c r="H143" s="2">
        <v>147</v>
      </c>
      <c r="I143" s="2">
        <v>0</v>
      </c>
      <c r="J143" s="2"/>
      <c r="K143" s="2">
        <v>485</v>
      </c>
      <c r="L143" s="2">
        <v>396</v>
      </c>
      <c r="M143" s="2">
        <v>440.5</v>
      </c>
      <c r="N143" s="2">
        <v>376</v>
      </c>
      <c r="O143" s="2">
        <v>0</v>
      </c>
      <c r="P143" s="2">
        <v>68</v>
      </c>
      <c r="Q143" s="2">
        <v>0</v>
      </c>
      <c r="R143" s="2">
        <v>0</v>
      </c>
      <c r="S143" s="2">
        <v>2</v>
      </c>
      <c r="T143" s="2">
        <v>33</v>
      </c>
      <c r="U143" s="2">
        <v>6</v>
      </c>
      <c r="V143" s="75"/>
      <c r="W143" s="239">
        <f t="shared" si="2"/>
        <v>0.30309278350515462</v>
      </c>
    </row>
    <row r="144" spans="1:23" x14ac:dyDescent="0.25">
      <c r="A144" s="2">
        <v>540095</v>
      </c>
      <c r="B144" s="2" t="s">
        <v>186</v>
      </c>
      <c r="C144" s="238" t="s">
        <v>111</v>
      </c>
      <c r="D144" s="2" t="s">
        <v>115</v>
      </c>
      <c r="E144" s="2">
        <v>2</v>
      </c>
      <c r="F144" s="2">
        <v>31</v>
      </c>
      <c r="G144" s="2">
        <v>31</v>
      </c>
      <c r="H144" s="2">
        <v>31</v>
      </c>
      <c r="I144" s="2">
        <v>0</v>
      </c>
      <c r="J144" s="2"/>
      <c r="K144" s="2">
        <v>189</v>
      </c>
      <c r="L144" s="2">
        <v>137</v>
      </c>
      <c r="M144" s="2">
        <v>163</v>
      </c>
      <c r="N144" s="2">
        <v>185</v>
      </c>
      <c r="O144" s="2">
        <v>0</v>
      </c>
      <c r="P144" s="2">
        <v>0</v>
      </c>
      <c r="Q144" s="2">
        <v>0</v>
      </c>
      <c r="R144" s="2">
        <v>0</v>
      </c>
      <c r="S144" s="2">
        <v>0</v>
      </c>
      <c r="T144" s="2">
        <v>2</v>
      </c>
      <c r="U144" s="2">
        <v>2</v>
      </c>
      <c r="V144" s="75"/>
      <c r="W144" s="239">
        <f t="shared" si="2"/>
        <v>0.16402116402116401</v>
      </c>
    </row>
    <row r="145" spans="1:23" x14ac:dyDescent="0.25">
      <c r="A145" s="2">
        <v>545539</v>
      </c>
      <c r="B145" s="2" t="s">
        <v>335</v>
      </c>
      <c r="C145" s="238" t="s">
        <v>111</v>
      </c>
      <c r="D145" s="2" t="s">
        <v>115</v>
      </c>
      <c r="E145" s="2">
        <v>2</v>
      </c>
      <c r="F145" s="2">
        <v>4</v>
      </c>
      <c r="G145" s="2">
        <v>16</v>
      </c>
      <c r="H145" s="2">
        <v>10</v>
      </c>
      <c r="I145" s="2">
        <v>0</v>
      </c>
      <c r="J145" s="2"/>
      <c r="K145" s="2">
        <v>265</v>
      </c>
      <c r="L145" s="2">
        <v>167</v>
      </c>
      <c r="M145" s="2">
        <v>216</v>
      </c>
      <c r="N145" s="2">
        <v>228</v>
      </c>
      <c r="O145" s="2">
        <v>0</v>
      </c>
      <c r="P145" s="2">
        <v>24</v>
      </c>
      <c r="Q145" s="2">
        <v>0</v>
      </c>
      <c r="R145" s="2">
        <v>0</v>
      </c>
      <c r="S145" s="2">
        <v>0</v>
      </c>
      <c r="T145" s="2">
        <v>9</v>
      </c>
      <c r="U145" s="2">
        <v>4</v>
      </c>
      <c r="V145" s="75"/>
      <c r="W145" s="239">
        <f t="shared" si="2"/>
        <v>3.7735849056603772E-2</v>
      </c>
    </row>
    <row r="146" spans="1:23" x14ac:dyDescent="0.25">
      <c r="A146" s="23"/>
      <c r="B146" s="23"/>
      <c r="C146" s="240" t="s">
        <v>111</v>
      </c>
      <c r="D146" s="23" t="s">
        <v>1360</v>
      </c>
      <c r="E146" s="23"/>
      <c r="F146" s="23">
        <v>5947</v>
      </c>
      <c r="G146" s="23">
        <v>4896</v>
      </c>
      <c r="H146" s="23">
        <v>5421.5</v>
      </c>
      <c r="I146" s="23">
        <v>0</v>
      </c>
      <c r="J146" s="23"/>
      <c r="K146" s="23">
        <v>25094</v>
      </c>
      <c r="L146" s="23">
        <v>16611</v>
      </c>
      <c r="M146" s="23">
        <v>20852.5</v>
      </c>
      <c r="N146" s="23">
        <v>20847</v>
      </c>
      <c r="O146" s="23">
        <v>5</v>
      </c>
      <c r="P146" s="23">
        <v>1783</v>
      </c>
      <c r="Q146" s="23">
        <v>785</v>
      </c>
      <c r="R146" s="23">
        <v>2</v>
      </c>
      <c r="S146" s="23">
        <v>3</v>
      </c>
      <c r="T146" s="23">
        <v>847</v>
      </c>
      <c r="U146" s="23">
        <v>822</v>
      </c>
      <c r="V146" s="75"/>
      <c r="W146" s="242">
        <f t="shared" si="2"/>
        <v>0.21604766079540927</v>
      </c>
    </row>
    <row r="147" spans="1:23" x14ac:dyDescent="0.25">
      <c r="A147" s="2">
        <v>540097</v>
      </c>
      <c r="B147" s="2" t="s">
        <v>44</v>
      </c>
      <c r="C147" s="238" t="s">
        <v>45</v>
      </c>
      <c r="D147" s="2" t="s">
        <v>5</v>
      </c>
      <c r="E147" s="2">
        <v>6</v>
      </c>
      <c r="F147" s="2">
        <v>1312</v>
      </c>
      <c r="G147" s="2">
        <v>1203</v>
      </c>
      <c r="H147" s="2">
        <v>1257.5</v>
      </c>
      <c r="I147" s="2">
        <v>0</v>
      </c>
      <c r="J147" s="2"/>
      <c r="K147" s="2">
        <v>20990</v>
      </c>
      <c r="L147" s="2">
        <v>16294</v>
      </c>
      <c r="M147" s="2">
        <v>18642</v>
      </c>
      <c r="N147" s="2">
        <v>15521</v>
      </c>
      <c r="O147" s="2">
        <v>3779</v>
      </c>
      <c r="P147" s="2">
        <v>1043</v>
      </c>
      <c r="Q147" s="2">
        <v>58</v>
      </c>
      <c r="R147" s="2">
        <v>50</v>
      </c>
      <c r="S147" s="2">
        <v>16</v>
      </c>
      <c r="T147" s="2">
        <v>396</v>
      </c>
      <c r="U147" s="2">
        <v>127</v>
      </c>
      <c r="V147" s="16"/>
      <c r="W147" s="239">
        <f t="shared" si="2"/>
        <v>5.9909480705097669E-2</v>
      </c>
    </row>
    <row r="148" spans="1:23" x14ac:dyDescent="0.25">
      <c r="A148" s="2">
        <v>540098</v>
      </c>
      <c r="B148" s="2" t="s">
        <v>187</v>
      </c>
      <c r="C148" s="238" t="s">
        <v>45</v>
      </c>
      <c r="D148" s="2" t="s">
        <v>115</v>
      </c>
      <c r="E148" s="2">
        <v>6</v>
      </c>
      <c r="F148" s="2">
        <v>26</v>
      </c>
      <c r="G148" s="2">
        <v>33</v>
      </c>
      <c r="H148" s="2">
        <v>29.5</v>
      </c>
      <c r="I148" s="2">
        <v>0</v>
      </c>
      <c r="J148" s="2"/>
      <c r="K148" s="2">
        <v>793</v>
      </c>
      <c r="L148" s="2">
        <v>662</v>
      </c>
      <c r="M148" s="2">
        <v>727.5</v>
      </c>
      <c r="N148" s="2">
        <v>704</v>
      </c>
      <c r="O148" s="2">
        <v>4</v>
      </c>
      <c r="P148" s="2">
        <v>54</v>
      </c>
      <c r="Q148" s="2">
        <v>0</v>
      </c>
      <c r="R148" s="2">
        <v>2</v>
      </c>
      <c r="S148" s="2">
        <v>0</v>
      </c>
      <c r="T148" s="2">
        <v>24</v>
      </c>
      <c r="U148" s="2">
        <v>5</v>
      </c>
      <c r="V148" s="16"/>
      <c r="W148" s="239">
        <f t="shared" si="2"/>
        <v>3.7200504413619169E-2</v>
      </c>
    </row>
    <row r="149" spans="1:23" x14ac:dyDescent="0.25">
      <c r="A149" s="2">
        <v>540099</v>
      </c>
      <c r="B149" s="2" t="s">
        <v>188</v>
      </c>
      <c r="C149" s="238" t="s">
        <v>45</v>
      </c>
      <c r="D149" s="2" t="s">
        <v>115</v>
      </c>
      <c r="E149" s="2">
        <v>6</v>
      </c>
      <c r="F149" s="2">
        <v>41</v>
      </c>
      <c r="G149" s="2">
        <v>44</v>
      </c>
      <c r="H149" s="2">
        <v>42.5</v>
      </c>
      <c r="I149" s="2">
        <v>0</v>
      </c>
      <c r="J149" s="2"/>
      <c r="K149" s="2">
        <v>9967</v>
      </c>
      <c r="L149" s="2">
        <v>8218</v>
      </c>
      <c r="M149" s="2">
        <v>9092.5</v>
      </c>
      <c r="N149" s="2">
        <v>8346</v>
      </c>
      <c r="O149" s="2">
        <v>1</v>
      </c>
      <c r="P149" s="2">
        <v>719</v>
      </c>
      <c r="Q149" s="2">
        <v>32</v>
      </c>
      <c r="R149" s="2">
        <v>60</v>
      </c>
      <c r="S149" s="2">
        <v>12</v>
      </c>
      <c r="T149" s="2">
        <v>497</v>
      </c>
      <c r="U149" s="2">
        <v>300</v>
      </c>
      <c r="V149" s="16"/>
      <c r="W149" s="239">
        <f t="shared" si="2"/>
        <v>4.2640714357379348E-3</v>
      </c>
    </row>
    <row r="150" spans="1:23" x14ac:dyDescent="0.25">
      <c r="A150" s="2">
        <v>540100</v>
      </c>
      <c r="B150" s="2" t="s">
        <v>189</v>
      </c>
      <c r="C150" s="238" t="s">
        <v>45</v>
      </c>
      <c r="D150" s="2" t="s">
        <v>115</v>
      </c>
      <c r="E150" s="2">
        <v>6</v>
      </c>
      <c r="F150" s="2">
        <v>30</v>
      </c>
      <c r="G150" s="2">
        <v>34</v>
      </c>
      <c r="H150" s="2">
        <v>32</v>
      </c>
      <c r="I150" s="2">
        <v>0</v>
      </c>
      <c r="J150" s="2"/>
      <c r="K150" s="2">
        <v>316</v>
      </c>
      <c r="L150" s="2">
        <v>257</v>
      </c>
      <c r="M150" s="2">
        <v>286.5</v>
      </c>
      <c r="N150" s="2">
        <v>271</v>
      </c>
      <c r="O150" s="2">
        <v>1</v>
      </c>
      <c r="P150" s="2">
        <v>17</v>
      </c>
      <c r="Q150" s="2">
        <v>0</v>
      </c>
      <c r="R150" s="2">
        <v>0</v>
      </c>
      <c r="S150" s="2">
        <v>1</v>
      </c>
      <c r="T150" s="2">
        <v>22</v>
      </c>
      <c r="U150" s="2">
        <v>4</v>
      </c>
      <c r="V150" s="16"/>
      <c r="W150" s="239">
        <f t="shared" si="2"/>
        <v>0.10126582278481013</v>
      </c>
    </row>
    <row r="151" spans="1:23" x14ac:dyDescent="0.25">
      <c r="A151" s="2">
        <v>540101</v>
      </c>
      <c r="B151" s="2" t="s">
        <v>190</v>
      </c>
      <c r="C151" s="238" t="s">
        <v>45</v>
      </c>
      <c r="D151" s="2" t="s">
        <v>115</v>
      </c>
      <c r="E151" s="2">
        <v>6</v>
      </c>
      <c r="F151" s="2">
        <v>67</v>
      </c>
      <c r="G151" s="2">
        <v>59</v>
      </c>
      <c r="H151" s="2">
        <v>63</v>
      </c>
      <c r="I151" s="2">
        <v>0</v>
      </c>
      <c r="J151" s="2"/>
      <c r="K151" s="2">
        <v>269</v>
      </c>
      <c r="L151" s="2">
        <v>222</v>
      </c>
      <c r="M151" s="2">
        <v>245.5</v>
      </c>
      <c r="N151" s="2">
        <v>210</v>
      </c>
      <c r="O151" s="2">
        <v>0</v>
      </c>
      <c r="P151" s="2">
        <v>38</v>
      </c>
      <c r="Q151" s="2">
        <v>0</v>
      </c>
      <c r="R151" s="2">
        <v>0</v>
      </c>
      <c r="S151" s="2">
        <v>1</v>
      </c>
      <c r="T151" s="2">
        <v>16</v>
      </c>
      <c r="U151" s="2">
        <v>4</v>
      </c>
      <c r="V151" s="16"/>
      <c r="W151" s="239">
        <f t="shared" si="2"/>
        <v>0.2342007434944238</v>
      </c>
    </row>
    <row r="152" spans="1:23" x14ac:dyDescent="0.25">
      <c r="A152" s="2">
        <v>540102</v>
      </c>
      <c r="B152" s="2" t="s">
        <v>191</v>
      </c>
      <c r="C152" s="238" t="s">
        <v>45</v>
      </c>
      <c r="D152" s="2" t="s">
        <v>115</v>
      </c>
      <c r="E152" s="2">
        <v>6</v>
      </c>
      <c r="F152" s="2">
        <v>48</v>
      </c>
      <c r="G152" s="2">
        <v>38</v>
      </c>
      <c r="H152" s="2">
        <v>43</v>
      </c>
      <c r="I152" s="2">
        <v>0</v>
      </c>
      <c r="J152" s="2"/>
      <c r="K152" s="2">
        <v>430</v>
      </c>
      <c r="L152" s="2">
        <v>358</v>
      </c>
      <c r="M152" s="2">
        <v>394</v>
      </c>
      <c r="N152" s="2">
        <v>382</v>
      </c>
      <c r="O152" s="2">
        <v>11</v>
      </c>
      <c r="P152" s="2">
        <v>18</v>
      </c>
      <c r="Q152" s="2">
        <v>0</v>
      </c>
      <c r="R152" s="2">
        <v>0</v>
      </c>
      <c r="S152" s="2">
        <v>0</v>
      </c>
      <c r="T152" s="2">
        <v>18</v>
      </c>
      <c r="U152" s="2">
        <v>1</v>
      </c>
      <c r="V152" s="16"/>
      <c r="W152" s="239">
        <f t="shared" si="2"/>
        <v>0.1</v>
      </c>
    </row>
    <row r="153" spans="1:23" x14ac:dyDescent="0.25">
      <c r="A153" s="2">
        <v>540103</v>
      </c>
      <c r="B153" s="2" t="s">
        <v>192</v>
      </c>
      <c r="C153" s="238" t="s">
        <v>45</v>
      </c>
      <c r="D153" s="2" t="s">
        <v>115</v>
      </c>
      <c r="E153" s="2">
        <v>6</v>
      </c>
      <c r="F153" s="2">
        <v>273</v>
      </c>
      <c r="G153" s="2">
        <v>191</v>
      </c>
      <c r="H153" s="2">
        <v>232</v>
      </c>
      <c r="I153" s="2">
        <v>0</v>
      </c>
      <c r="J153" s="2"/>
      <c r="K153" s="2">
        <v>1431</v>
      </c>
      <c r="L153" s="2">
        <v>979</v>
      </c>
      <c r="M153" s="2">
        <v>1205</v>
      </c>
      <c r="N153" s="2">
        <v>1201</v>
      </c>
      <c r="O153" s="2">
        <v>1</v>
      </c>
      <c r="P153" s="2">
        <v>128</v>
      </c>
      <c r="Q153" s="2">
        <v>0</v>
      </c>
      <c r="R153" s="2">
        <v>0</v>
      </c>
      <c r="S153" s="2">
        <v>2</v>
      </c>
      <c r="T153" s="2">
        <v>86</v>
      </c>
      <c r="U153" s="2">
        <v>13</v>
      </c>
      <c r="V153" s="16"/>
      <c r="W153" s="239">
        <f t="shared" si="2"/>
        <v>0.16212438853948288</v>
      </c>
    </row>
    <row r="154" spans="1:23" x14ac:dyDescent="0.25">
      <c r="A154" s="2">
        <v>540104</v>
      </c>
      <c r="B154" s="2" t="s">
        <v>193</v>
      </c>
      <c r="C154" s="238" t="s">
        <v>45</v>
      </c>
      <c r="D154" s="2" t="s">
        <v>115</v>
      </c>
      <c r="E154" s="2">
        <v>6</v>
      </c>
      <c r="F154" s="2">
        <v>25</v>
      </c>
      <c r="G154" s="2">
        <v>20</v>
      </c>
      <c r="H154" s="2">
        <v>22.5</v>
      </c>
      <c r="I154" s="2">
        <v>0</v>
      </c>
      <c r="J154" s="2"/>
      <c r="K154" s="2">
        <v>624</v>
      </c>
      <c r="L154" s="2">
        <v>546</v>
      </c>
      <c r="M154" s="2">
        <v>585</v>
      </c>
      <c r="N154" s="2">
        <v>539</v>
      </c>
      <c r="O154" s="2">
        <v>0</v>
      </c>
      <c r="P154" s="2">
        <v>47</v>
      </c>
      <c r="Q154" s="2">
        <v>9</v>
      </c>
      <c r="R154" s="2">
        <v>1</v>
      </c>
      <c r="S154" s="2">
        <v>1</v>
      </c>
      <c r="T154" s="2">
        <v>26</v>
      </c>
      <c r="U154" s="2">
        <v>1</v>
      </c>
      <c r="V154" s="16"/>
      <c r="W154" s="239">
        <f t="shared" si="2"/>
        <v>3.6057692307692304E-2</v>
      </c>
    </row>
    <row r="155" spans="1:23" x14ac:dyDescent="0.25">
      <c r="A155" s="2">
        <v>540292</v>
      </c>
      <c r="B155" s="2" t="s">
        <v>329</v>
      </c>
      <c r="C155" s="238" t="s">
        <v>45</v>
      </c>
      <c r="D155" s="2" t="s">
        <v>115</v>
      </c>
      <c r="E155" s="2">
        <v>6</v>
      </c>
      <c r="F155" s="2">
        <v>48</v>
      </c>
      <c r="G155" s="2">
        <v>45</v>
      </c>
      <c r="H155" s="2">
        <v>46.5</v>
      </c>
      <c r="I155" s="2">
        <v>0</v>
      </c>
      <c r="J155" s="2"/>
      <c r="K155" s="2">
        <v>1775</v>
      </c>
      <c r="L155" s="2">
        <v>1566</v>
      </c>
      <c r="M155" s="2">
        <v>1670.5</v>
      </c>
      <c r="N155" s="2">
        <v>1499</v>
      </c>
      <c r="O155" s="2">
        <v>9</v>
      </c>
      <c r="P155" s="2">
        <v>150</v>
      </c>
      <c r="Q155" s="2">
        <v>3</v>
      </c>
      <c r="R155" s="2">
        <v>35</v>
      </c>
      <c r="S155" s="2">
        <v>1</v>
      </c>
      <c r="T155" s="2">
        <v>38</v>
      </c>
      <c r="U155" s="2">
        <v>40</v>
      </c>
      <c r="V155" s="16"/>
      <c r="W155" s="239">
        <f t="shared" si="2"/>
        <v>2.619718309859155E-2</v>
      </c>
    </row>
    <row r="156" spans="1:23" x14ac:dyDescent="0.25">
      <c r="A156" s="2">
        <v>540105</v>
      </c>
      <c r="B156" s="2" t="s">
        <v>194</v>
      </c>
      <c r="C156" s="238" t="s">
        <v>45</v>
      </c>
      <c r="D156" s="2" t="s">
        <v>115</v>
      </c>
      <c r="E156" s="2">
        <v>6</v>
      </c>
      <c r="F156" s="2">
        <v>35</v>
      </c>
      <c r="G156" s="2">
        <v>25</v>
      </c>
      <c r="H156" s="2">
        <v>30</v>
      </c>
      <c r="I156" s="2">
        <v>0</v>
      </c>
      <c r="J156" s="2"/>
      <c r="K156" s="2">
        <v>599</v>
      </c>
      <c r="L156" s="2">
        <v>478</v>
      </c>
      <c r="M156" s="2">
        <v>538.5</v>
      </c>
      <c r="N156" s="2">
        <v>514</v>
      </c>
      <c r="O156" s="2">
        <v>0</v>
      </c>
      <c r="P156" s="2">
        <v>36</v>
      </c>
      <c r="Q156" s="2">
        <v>11</v>
      </c>
      <c r="R156" s="2">
        <v>8</v>
      </c>
      <c r="S156" s="2">
        <v>2</v>
      </c>
      <c r="T156" s="2">
        <v>24</v>
      </c>
      <c r="U156" s="2">
        <v>4</v>
      </c>
      <c r="V156" s="16"/>
      <c r="W156" s="239">
        <f t="shared" si="2"/>
        <v>5.0083472454090151E-2</v>
      </c>
    </row>
    <row r="157" spans="1:23" x14ac:dyDescent="0.25">
      <c r="A157" s="2">
        <v>545556</v>
      </c>
      <c r="B157" s="2" t="s">
        <v>337</v>
      </c>
      <c r="C157" s="238" t="s">
        <v>45</v>
      </c>
      <c r="D157" s="2" t="s">
        <v>115</v>
      </c>
      <c r="E157" s="2">
        <v>6</v>
      </c>
      <c r="F157" s="2">
        <v>4</v>
      </c>
      <c r="G157" s="2">
        <v>3</v>
      </c>
      <c r="H157" s="2">
        <v>3.5</v>
      </c>
      <c r="I157" s="2">
        <v>0</v>
      </c>
      <c r="J157" s="2"/>
      <c r="K157" s="2">
        <v>434</v>
      </c>
      <c r="L157" s="2">
        <v>367</v>
      </c>
      <c r="M157" s="2">
        <v>400.5</v>
      </c>
      <c r="N157" s="2">
        <v>233</v>
      </c>
      <c r="O157" s="2">
        <v>8</v>
      </c>
      <c r="P157" s="2">
        <v>155</v>
      </c>
      <c r="Q157" s="2">
        <v>13</v>
      </c>
      <c r="R157" s="2">
        <v>15</v>
      </c>
      <c r="S157" s="2">
        <v>1</v>
      </c>
      <c r="T157" s="2">
        <v>8</v>
      </c>
      <c r="U157" s="2">
        <v>1</v>
      </c>
      <c r="V157" s="16"/>
      <c r="W157" s="239">
        <f t="shared" si="2"/>
        <v>8.0645161290322578E-3</v>
      </c>
    </row>
    <row r="158" spans="1:23" x14ac:dyDescent="0.25">
      <c r="A158" s="2">
        <v>540106</v>
      </c>
      <c r="B158" s="2" t="s">
        <v>195</v>
      </c>
      <c r="C158" s="238" t="s">
        <v>45</v>
      </c>
      <c r="D158" s="2" t="s">
        <v>115</v>
      </c>
      <c r="E158" s="2">
        <v>6</v>
      </c>
      <c r="F158" s="2">
        <v>28</v>
      </c>
      <c r="G158" s="2">
        <v>34</v>
      </c>
      <c r="H158" s="2">
        <v>31</v>
      </c>
      <c r="I158" s="2">
        <v>0</v>
      </c>
      <c r="J158" s="2"/>
      <c r="K158" s="2">
        <v>127</v>
      </c>
      <c r="L158" s="2">
        <v>105</v>
      </c>
      <c r="M158" s="2">
        <v>116</v>
      </c>
      <c r="N158" s="2">
        <v>103</v>
      </c>
      <c r="O158" s="2">
        <v>0</v>
      </c>
      <c r="P158" s="2">
        <v>13</v>
      </c>
      <c r="Q158" s="2">
        <v>0</v>
      </c>
      <c r="R158" s="2">
        <v>0</v>
      </c>
      <c r="S158" s="2">
        <v>2</v>
      </c>
      <c r="T158" s="2">
        <v>7</v>
      </c>
      <c r="U158" s="2">
        <v>2</v>
      </c>
      <c r="V158" s="16"/>
      <c r="W158" s="239">
        <f t="shared" si="2"/>
        <v>0.24409448818897639</v>
      </c>
    </row>
    <row r="159" spans="1:23" x14ac:dyDescent="0.25">
      <c r="A159" s="23"/>
      <c r="B159" s="23"/>
      <c r="C159" s="240" t="s">
        <v>45</v>
      </c>
      <c r="D159" s="23" t="s">
        <v>1360</v>
      </c>
      <c r="E159" s="23"/>
      <c r="F159" s="23">
        <v>1937</v>
      </c>
      <c r="G159" s="23">
        <v>1729</v>
      </c>
      <c r="H159" s="23">
        <v>1833</v>
      </c>
      <c r="I159" s="23">
        <v>0</v>
      </c>
      <c r="J159" s="23"/>
      <c r="K159" s="23">
        <v>37755</v>
      </c>
      <c r="L159" s="23">
        <v>30052</v>
      </c>
      <c r="M159" s="23">
        <v>33903.5</v>
      </c>
      <c r="N159" s="23">
        <v>29523</v>
      </c>
      <c r="O159" s="23">
        <v>3814</v>
      </c>
      <c r="P159" s="23">
        <v>2418</v>
      </c>
      <c r="Q159" s="23">
        <v>126</v>
      </c>
      <c r="R159" s="23">
        <v>171</v>
      </c>
      <c r="S159" s="23">
        <v>39</v>
      </c>
      <c r="T159" s="23">
        <v>1162</v>
      </c>
      <c r="U159" s="23">
        <v>502</v>
      </c>
      <c r="V159" s="75"/>
      <c r="W159" s="242">
        <f t="shared" si="2"/>
        <v>4.8549860945570122E-2</v>
      </c>
    </row>
    <row r="160" spans="1:23" x14ac:dyDescent="0.25">
      <c r="A160" s="2">
        <v>540107</v>
      </c>
      <c r="B160" s="2" t="s">
        <v>46</v>
      </c>
      <c r="C160" s="238" t="s">
        <v>47</v>
      </c>
      <c r="D160" s="2" t="s">
        <v>5</v>
      </c>
      <c r="E160" s="2">
        <v>10</v>
      </c>
      <c r="F160" s="2">
        <v>590</v>
      </c>
      <c r="G160" s="2">
        <v>902</v>
      </c>
      <c r="H160" s="2">
        <v>746</v>
      </c>
      <c r="I160" s="2">
        <v>0</v>
      </c>
      <c r="J160" s="2"/>
      <c r="K160" s="2">
        <v>9168</v>
      </c>
      <c r="L160" s="2">
        <v>13110</v>
      </c>
      <c r="M160" s="2">
        <v>11139</v>
      </c>
      <c r="N160" s="2">
        <v>6386</v>
      </c>
      <c r="O160" s="2">
        <v>1796</v>
      </c>
      <c r="P160" s="2">
        <v>374</v>
      </c>
      <c r="Q160" s="2">
        <v>68</v>
      </c>
      <c r="R160" s="2">
        <v>281</v>
      </c>
      <c r="S160" s="2">
        <v>11</v>
      </c>
      <c r="T160" s="2">
        <v>189</v>
      </c>
      <c r="U160" s="2">
        <v>63</v>
      </c>
      <c r="V160" s="16"/>
      <c r="W160" s="239">
        <f t="shared" si="2"/>
        <v>8.1369982547993019E-2</v>
      </c>
    </row>
    <row r="161" spans="1:23" x14ac:dyDescent="0.25">
      <c r="A161" s="2">
        <v>540108</v>
      </c>
      <c r="B161" s="2" t="s">
        <v>196</v>
      </c>
      <c r="C161" s="238" t="s">
        <v>47</v>
      </c>
      <c r="D161" s="2" t="s">
        <v>115</v>
      </c>
      <c r="E161" s="2">
        <v>10</v>
      </c>
      <c r="F161" s="2">
        <v>340</v>
      </c>
      <c r="G161" s="2">
        <v>259</v>
      </c>
      <c r="H161" s="2">
        <v>299.5</v>
      </c>
      <c r="I161" s="2">
        <v>0</v>
      </c>
      <c r="J161" s="2"/>
      <c r="K161" s="2">
        <v>783</v>
      </c>
      <c r="L161" s="2">
        <v>558</v>
      </c>
      <c r="M161" s="2">
        <v>670.5</v>
      </c>
      <c r="N161" s="2">
        <v>581</v>
      </c>
      <c r="O161" s="2">
        <v>0</v>
      </c>
      <c r="P161" s="2">
        <v>42</v>
      </c>
      <c r="Q161" s="2">
        <v>18</v>
      </c>
      <c r="R161" s="2">
        <v>12</v>
      </c>
      <c r="S161" s="2">
        <v>0</v>
      </c>
      <c r="T161" s="2">
        <v>124</v>
      </c>
      <c r="U161" s="2">
        <v>6</v>
      </c>
      <c r="V161" s="16"/>
      <c r="W161" s="239">
        <f t="shared" si="2"/>
        <v>0.38250319284802042</v>
      </c>
    </row>
    <row r="162" spans="1:23" x14ac:dyDescent="0.25">
      <c r="A162" s="2">
        <v>540287</v>
      </c>
      <c r="B162" s="2" t="s">
        <v>326</v>
      </c>
      <c r="C162" s="238" t="s">
        <v>47</v>
      </c>
      <c r="D162" s="2" t="s">
        <v>115</v>
      </c>
      <c r="E162" s="2">
        <v>10</v>
      </c>
      <c r="F162" s="2">
        <v>57</v>
      </c>
      <c r="G162" s="2">
        <v>75</v>
      </c>
      <c r="H162" s="2">
        <v>66</v>
      </c>
      <c r="I162" s="2">
        <v>0</v>
      </c>
      <c r="J162" s="2"/>
      <c r="K162" s="2">
        <v>545</v>
      </c>
      <c r="L162" s="2">
        <v>471</v>
      </c>
      <c r="M162" s="2">
        <v>508</v>
      </c>
      <c r="N162" s="2">
        <v>437</v>
      </c>
      <c r="O162" s="2">
        <v>3</v>
      </c>
      <c r="P162" s="2">
        <v>65</v>
      </c>
      <c r="Q162" s="2">
        <v>1</v>
      </c>
      <c r="R162" s="2">
        <v>5</v>
      </c>
      <c r="S162" s="2">
        <v>0</v>
      </c>
      <c r="T162" s="2">
        <v>30</v>
      </c>
      <c r="U162" s="2">
        <v>4</v>
      </c>
      <c r="V162" s="16"/>
      <c r="W162" s="239">
        <f t="shared" si="2"/>
        <v>0.12110091743119267</v>
      </c>
    </row>
    <row r="163" spans="1:23" x14ac:dyDescent="0.25">
      <c r="A163" s="2">
        <v>540109</v>
      </c>
      <c r="B163" s="2" t="s">
        <v>197</v>
      </c>
      <c r="C163" s="238" t="s">
        <v>47</v>
      </c>
      <c r="D163" s="2" t="s">
        <v>115</v>
      </c>
      <c r="E163" s="2">
        <v>10</v>
      </c>
      <c r="F163" s="2">
        <v>29</v>
      </c>
      <c r="G163" s="2">
        <v>56</v>
      </c>
      <c r="H163" s="2">
        <v>42.5</v>
      </c>
      <c r="I163" s="2">
        <v>0</v>
      </c>
      <c r="J163" s="2"/>
      <c r="K163" s="2">
        <v>723</v>
      </c>
      <c r="L163" s="2">
        <v>937</v>
      </c>
      <c r="M163" s="2">
        <v>830</v>
      </c>
      <c r="N163" s="2">
        <v>643</v>
      </c>
      <c r="O163" s="2">
        <v>0</v>
      </c>
      <c r="P163" s="2">
        <v>38</v>
      </c>
      <c r="Q163" s="2">
        <v>3</v>
      </c>
      <c r="R163" s="2">
        <v>11</v>
      </c>
      <c r="S163" s="2">
        <v>0</v>
      </c>
      <c r="T163" s="2">
        <v>16</v>
      </c>
      <c r="U163" s="2">
        <v>12</v>
      </c>
      <c r="V163" s="16"/>
      <c r="W163" s="239">
        <f t="shared" si="2"/>
        <v>5.8782849239280774E-2</v>
      </c>
    </row>
    <row r="164" spans="1:23" x14ac:dyDescent="0.25">
      <c r="A164" s="2">
        <v>540110</v>
      </c>
      <c r="B164" s="2" t="s">
        <v>198</v>
      </c>
      <c r="C164" s="238" t="s">
        <v>47</v>
      </c>
      <c r="D164" s="2" t="s">
        <v>115</v>
      </c>
      <c r="E164" s="2">
        <v>10</v>
      </c>
      <c r="F164" s="2">
        <v>124</v>
      </c>
      <c r="G164" s="2">
        <v>136</v>
      </c>
      <c r="H164" s="2">
        <v>130</v>
      </c>
      <c r="I164" s="2">
        <v>0</v>
      </c>
      <c r="J164" s="2"/>
      <c r="K164" s="2">
        <v>976</v>
      </c>
      <c r="L164" s="2">
        <v>780</v>
      </c>
      <c r="M164" s="2">
        <v>878</v>
      </c>
      <c r="N164" s="2">
        <v>799</v>
      </c>
      <c r="O164" s="2">
        <v>0</v>
      </c>
      <c r="P164" s="2">
        <v>54</v>
      </c>
      <c r="Q164" s="2">
        <v>1</v>
      </c>
      <c r="R164" s="2">
        <v>16</v>
      </c>
      <c r="S164" s="2">
        <v>0</v>
      </c>
      <c r="T164" s="2">
        <v>98</v>
      </c>
      <c r="U164" s="2">
        <v>8</v>
      </c>
      <c r="V164" s="16"/>
      <c r="W164" s="239">
        <f t="shared" si="2"/>
        <v>0.13319672131147542</v>
      </c>
    </row>
    <row r="165" spans="1:23" x14ac:dyDescent="0.25">
      <c r="A165" s="2">
        <v>540111</v>
      </c>
      <c r="B165" s="2" t="s">
        <v>199</v>
      </c>
      <c r="C165" s="238" t="s">
        <v>47</v>
      </c>
      <c r="D165" s="2" t="s">
        <v>115</v>
      </c>
      <c r="E165" s="2">
        <v>10</v>
      </c>
      <c r="F165" s="2">
        <v>300</v>
      </c>
      <c r="G165" s="2">
        <v>393</v>
      </c>
      <c r="H165" s="2">
        <v>346.5</v>
      </c>
      <c r="I165" s="2">
        <v>0</v>
      </c>
      <c r="J165" s="2"/>
      <c r="K165" s="2">
        <v>4388</v>
      </c>
      <c r="L165" s="2">
        <v>4456</v>
      </c>
      <c r="M165" s="2">
        <v>4422</v>
      </c>
      <c r="N165" s="2">
        <v>3629</v>
      </c>
      <c r="O165" s="2">
        <v>1</v>
      </c>
      <c r="P165" s="2">
        <v>396</v>
      </c>
      <c r="Q165" s="2">
        <v>1</v>
      </c>
      <c r="R165" s="2">
        <v>82</v>
      </c>
      <c r="S165" s="2">
        <v>1</v>
      </c>
      <c r="T165" s="2">
        <v>260</v>
      </c>
      <c r="U165" s="2">
        <v>18</v>
      </c>
      <c r="V165" s="16"/>
      <c r="W165" s="239">
        <f t="shared" si="2"/>
        <v>7.8965360072926163E-2</v>
      </c>
    </row>
    <row r="166" spans="1:23" x14ac:dyDescent="0.25">
      <c r="A166" s="2">
        <v>540152</v>
      </c>
      <c r="B166" s="2" t="s">
        <v>229</v>
      </c>
      <c r="C166" s="238" t="s">
        <v>47</v>
      </c>
      <c r="D166" s="2" t="s">
        <v>115</v>
      </c>
      <c r="E166" s="2">
        <v>10</v>
      </c>
      <c r="F166" s="2">
        <v>6</v>
      </c>
      <c r="G166" s="2">
        <v>7</v>
      </c>
      <c r="H166" s="2">
        <v>6.5</v>
      </c>
      <c r="I166" s="2">
        <v>0</v>
      </c>
      <c r="J166" s="2"/>
      <c r="K166" s="2">
        <v>371</v>
      </c>
      <c r="L166" s="2">
        <v>141</v>
      </c>
      <c r="M166" s="2">
        <v>256</v>
      </c>
      <c r="N166" s="2">
        <v>243</v>
      </c>
      <c r="O166" s="2">
        <v>0</v>
      </c>
      <c r="P166" s="2">
        <v>66</v>
      </c>
      <c r="Q166" s="2">
        <v>0</v>
      </c>
      <c r="R166" s="2">
        <v>51</v>
      </c>
      <c r="S166" s="2">
        <v>0</v>
      </c>
      <c r="T166" s="2">
        <v>7</v>
      </c>
      <c r="U166" s="2">
        <v>4</v>
      </c>
      <c r="V166" s="16"/>
      <c r="W166" s="239">
        <f t="shared" si="2"/>
        <v>1.7520215633423181E-2</v>
      </c>
    </row>
    <row r="167" spans="1:23" x14ac:dyDescent="0.25">
      <c r="A167" s="23"/>
      <c r="B167" s="23"/>
      <c r="C167" s="240" t="s">
        <v>47</v>
      </c>
      <c r="D167" s="23" t="s">
        <v>1360</v>
      </c>
      <c r="E167" s="23"/>
      <c r="F167" s="23">
        <v>1446</v>
      </c>
      <c r="G167" s="23">
        <v>1828</v>
      </c>
      <c r="H167" s="23">
        <v>1637</v>
      </c>
      <c r="I167" s="23">
        <v>0</v>
      </c>
      <c r="J167" s="23"/>
      <c r="K167" s="23">
        <v>16954</v>
      </c>
      <c r="L167" s="23">
        <v>20453</v>
      </c>
      <c r="M167" s="23">
        <v>18703.5</v>
      </c>
      <c r="N167" s="23">
        <v>12718</v>
      </c>
      <c r="O167" s="23">
        <v>1800</v>
      </c>
      <c r="P167" s="23">
        <v>1035</v>
      </c>
      <c r="Q167" s="23">
        <v>92</v>
      </c>
      <c r="R167" s="23">
        <v>458</v>
      </c>
      <c r="S167" s="23">
        <v>12</v>
      </c>
      <c r="T167" s="23">
        <v>724</v>
      </c>
      <c r="U167" s="23">
        <v>115</v>
      </c>
      <c r="V167" s="75"/>
      <c r="W167" s="242">
        <f t="shared" si="2"/>
        <v>9.6555385159844284E-2</v>
      </c>
    </row>
    <row r="168" spans="1:23" x14ac:dyDescent="0.25">
      <c r="A168" s="2">
        <v>540112</v>
      </c>
      <c r="B168" s="2" t="s">
        <v>48</v>
      </c>
      <c r="C168" s="238" t="s">
        <v>49</v>
      </c>
      <c r="D168" s="2" t="s">
        <v>5</v>
      </c>
      <c r="E168" s="2">
        <v>2</v>
      </c>
      <c r="F168" s="2">
        <v>1182</v>
      </c>
      <c r="G168" s="2">
        <v>1438</v>
      </c>
      <c r="H168" s="2">
        <v>1310</v>
      </c>
      <c r="I168" s="2">
        <v>0</v>
      </c>
      <c r="J168" s="2"/>
      <c r="K168" s="2">
        <v>10919</v>
      </c>
      <c r="L168" s="2">
        <v>14808</v>
      </c>
      <c r="M168" s="2">
        <v>12863.5</v>
      </c>
      <c r="N168" s="2">
        <v>6124</v>
      </c>
      <c r="O168" s="2">
        <v>3776</v>
      </c>
      <c r="P168" s="2">
        <v>663</v>
      </c>
      <c r="Q168" s="2">
        <v>17</v>
      </c>
      <c r="R168" s="2">
        <v>1</v>
      </c>
      <c r="S168" s="2">
        <v>14</v>
      </c>
      <c r="T168" s="2">
        <v>214</v>
      </c>
      <c r="U168" s="2">
        <v>110</v>
      </c>
      <c r="V168" s="16"/>
      <c r="W168" s="239">
        <f t="shared" si="2"/>
        <v>0.11997435662606466</v>
      </c>
    </row>
    <row r="169" spans="1:23" x14ac:dyDescent="0.25">
      <c r="A169" s="2">
        <v>540247</v>
      </c>
      <c r="B169" s="2" t="s">
        <v>293</v>
      </c>
      <c r="C169" s="238" t="s">
        <v>49</v>
      </c>
      <c r="D169" s="2" t="s">
        <v>115</v>
      </c>
      <c r="E169" s="2">
        <v>2</v>
      </c>
      <c r="F169" s="2">
        <v>272</v>
      </c>
      <c r="G169" s="2">
        <v>262</v>
      </c>
      <c r="H169" s="2">
        <v>267</v>
      </c>
      <c r="I169" s="2">
        <v>0</v>
      </c>
      <c r="J169" s="2"/>
      <c r="K169" s="2">
        <v>367</v>
      </c>
      <c r="L169" s="2">
        <v>359</v>
      </c>
      <c r="M169" s="2">
        <v>363</v>
      </c>
      <c r="N169" s="2">
        <v>254</v>
      </c>
      <c r="O169" s="2">
        <v>21</v>
      </c>
      <c r="P169" s="2">
        <v>28</v>
      </c>
      <c r="Q169" s="2">
        <v>0</v>
      </c>
      <c r="R169" s="2">
        <v>0</v>
      </c>
      <c r="S169" s="2">
        <v>0</v>
      </c>
      <c r="T169" s="2">
        <v>13</v>
      </c>
      <c r="U169" s="2">
        <v>51</v>
      </c>
      <c r="V169" s="16"/>
      <c r="W169" s="239">
        <f t="shared" si="2"/>
        <v>0.72752043596730243</v>
      </c>
    </row>
    <row r="170" spans="1:23" x14ac:dyDescent="0.25">
      <c r="A170" s="2">
        <v>540251</v>
      </c>
      <c r="B170" s="2" t="s">
        <v>297</v>
      </c>
      <c r="C170" s="238" t="s">
        <v>49</v>
      </c>
      <c r="D170" s="2" t="s">
        <v>115</v>
      </c>
      <c r="E170" s="2">
        <v>2</v>
      </c>
      <c r="F170" s="2">
        <v>166</v>
      </c>
      <c r="G170" s="2">
        <v>168</v>
      </c>
      <c r="H170" s="2">
        <v>167</v>
      </c>
      <c r="I170" s="2">
        <v>0</v>
      </c>
      <c r="J170" s="2"/>
      <c r="K170" s="2">
        <v>184</v>
      </c>
      <c r="L170" s="2">
        <v>184</v>
      </c>
      <c r="M170" s="2">
        <v>184</v>
      </c>
      <c r="N170" s="2">
        <v>121</v>
      </c>
      <c r="O170" s="2">
        <v>2</v>
      </c>
      <c r="P170" s="2">
        <v>49</v>
      </c>
      <c r="Q170" s="2">
        <v>0</v>
      </c>
      <c r="R170" s="2">
        <v>0</v>
      </c>
      <c r="S170" s="2">
        <v>0</v>
      </c>
      <c r="T170" s="2">
        <v>6</v>
      </c>
      <c r="U170" s="2">
        <v>6</v>
      </c>
      <c r="V170" s="16"/>
      <c r="W170" s="239">
        <f t="shared" si="2"/>
        <v>0.90760869565217395</v>
      </c>
    </row>
    <row r="171" spans="1:23" x14ac:dyDescent="0.25">
      <c r="A171" s="2">
        <v>540113</v>
      </c>
      <c r="B171" s="2" t="s">
        <v>200</v>
      </c>
      <c r="C171" s="238" t="s">
        <v>49</v>
      </c>
      <c r="D171" s="2" t="s">
        <v>115</v>
      </c>
      <c r="E171" s="2">
        <v>2</v>
      </c>
      <c r="F171" s="2">
        <v>34</v>
      </c>
      <c r="G171" s="2">
        <v>25</v>
      </c>
      <c r="H171" s="2">
        <v>29.5</v>
      </c>
      <c r="I171" s="2">
        <v>0</v>
      </c>
      <c r="J171" s="2"/>
      <c r="K171" s="2">
        <v>91</v>
      </c>
      <c r="L171" s="2">
        <v>67</v>
      </c>
      <c r="M171" s="2">
        <v>79</v>
      </c>
      <c r="N171" s="2">
        <v>73</v>
      </c>
      <c r="O171" s="2">
        <v>4</v>
      </c>
      <c r="P171" s="2">
        <v>1</v>
      </c>
      <c r="Q171" s="2">
        <v>0</v>
      </c>
      <c r="R171" s="2">
        <v>0</v>
      </c>
      <c r="S171" s="2">
        <v>0</v>
      </c>
      <c r="T171" s="2">
        <v>9</v>
      </c>
      <c r="U171" s="2">
        <v>4</v>
      </c>
      <c r="V171" s="16"/>
      <c r="W171" s="239">
        <f t="shared" si="2"/>
        <v>0.32417582417582419</v>
      </c>
    </row>
    <row r="172" spans="1:23" x14ac:dyDescent="0.25">
      <c r="A172" s="2">
        <v>540248</v>
      </c>
      <c r="B172" s="2" t="s">
        <v>294</v>
      </c>
      <c r="C172" s="238" t="s">
        <v>49</v>
      </c>
      <c r="D172" s="2" t="s">
        <v>115</v>
      </c>
      <c r="E172" s="2">
        <v>2</v>
      </c>
      <c r="F172" s="2">
        <v>124</v>
      </c>
      <c r="G172" s="2">
        <v>153</v>
      </c>
      <c r="H172" s="2">
        <v>138.5</v>
      </c>
      <c r="I172" s="2">
        <v>0</v>
      </c>
      <c r="J172" s="2"/>
      <c r="K172" s="2">
        <v>615</v>
      </c>
      <c r="L172" s="2">
        <v>642</v>
      </c>
      <c r="M172" s="2">
        <v>628.5</v>
      </c>
      <c r="N172" s="2">
        <v>382</v>
      </c>
      <c r="O172" s="2">
        <v>4</v>
      </c>
      <c r="P172" s="2">
        <v>135</v>
      </c>
      <c r="Q172" s="2">
        <v>0</v>
      </c>
      <c r="R172" s="2">
        <v>0</v>
      </c>
      <c r="S172" s="2">
        <v>1</v>
      </c>
      <c r="T172" s="2">
        <v>23</v>
      </c>
      <c r="U172" s="2">
        <v>70</v>
      </c>
      <c r="V172" s="16"/>
      <c r="W172" s="239">
        <f t="shared" si="2"/>
        <v>0.22520325203252031</v>
      </c>
    </row>
    <row r="173" spans="1:23" x14ac:dyDescent="0.25">
      <c r="A173" s="2">
        <v>540249</v>
      </c>
      <c r="B173" s="2" t="s">
        <v>295</v>
      </c>
      <c r="C173" s="238" t="s">
        <v>49</v>
      </c>
      <c r="D173" s="2" t="s">
        <v>115</v>
      </c>
      <c r="E173" s="2">
        <v>2</v>
      </c>
      <c r="F173" s="2">
        <v>59</v>
      </c>
      <c r="G173" s="2">
        <v>72</v>
      </c>
      <c r="H173" s="2">
        <v>65.5</v>
      </c>
      <c r="I173" s="2">
        <v>0</v>
      </c>
      <c r="J173" s="2"/>
      <c r="K173" s="2">
        <v>757</v>
      </c>
      <c r="L173" s="2">
        <v>746</v>
      </c>
      <c r="M173" s="2">
        <v>751.5</v>
      </c>
      <c r="N173" s="2">
        <v>609</v>
      </c>
      <c r="O173" s="2">
        <v>4</v>
      </c>
      <c r="P173" s="2">
        <v>37</v>
      </c>
      <c r="Q173" s="2">
        <v>1</v>
      </c>
      <c r="R173" s="2">
        <v>9</v>
      </c>
      <c r="S173" s="2">
        <v>1</v>
      </c>
      <c r="T173" s="2">
        <v>15</v>
      </c>
      <c r="U173" s="2">
        <v>81</v>
      </c>
      <c r="V173" s="16"/>
      <c r="W173" s="239">
        <f t="shared" si="2"/>
        <v>8.6525759577278732E-2</v>
      </c>
    </row>
    <row r="174" spans="1:23" x14ac:dyDescent="0.25">
      <c r="A174" s="2">
        <v>540250</v>
      </c>
      <c r="B174" s="2" t="s">
        <v>296</v>
      </c>
      <c r="C174" s="238" t="s">
        <v>49</v>
      </c>
      <c r="D174" s="2" t="s">
        <v>115</v>
      </c>
      <c r="E174" s="2">
        <v>2</v>
      </c>
      <c r="F174" s="2">
        <v>75</v>
      </c>
      <c r="G174" s="2">
        <v>104</v>
      </c>
      <c r="H174" s="2">
        <v>89.5</v>
      </c>
      <c r="I174" s="2">
        <v>0</v>
      </c>
      <c r="J174" s="2"/>
      <c r="K174" s="2">
        <v>2338</v>
      </c>
      <c r="L174" s="2">
        <v>2244</v>
      </c>
      <c r="M174" s="2">
        <v>2291</v>
      </c>
      <c r="N174" s="2">
        <v>1696</v>
      </c>
      <c r="O174" s="2">
        <v>3</v>
      </c>
      <c r="P174" s="2">
        <v>200</v>
      </c>
      <c r="Q174" s="2">
        <v>0</v>
      </c>
      <c r="R174" s="2">
        <v>90</v>
      </c>
      <c r="S174" s="2">
        <v>2</v>
      </c>
      <c r="T174" s="2">
        <v>234</v>
      </c>
      <c r="U174" s="2">
        <v>113</v>
      </c>
      <c r="V174" s="16"/>
      <c r="W174" s="239">
        <f t="shared" si="2"/>
        <v>3.8280581693755346E-2</v>
      </c>
    </row>
    <row r="175" spans="1:23" x14ac:dyDescent="0.25">
      <c r="A175" s="23"/>
      <c r="B175" s="23"/>
      <c r="C175" s="240" t="s">
        <v>49</v>
      </c>
      <c r="D175" s="23" t="s">
        <v>1360</v>
      </c>
      <c r="E175" s="23"/>
      <c r="F175" s="23">
        <v>1912</v>
      </c>
      <c r="G175" s="23">
        <v>2222</v>
      </c>
      <c r="H175" s="23">
        <v>2067</v>
      </c>
      <c r="I175" s="23">
        <v>0</v>
      </c>
      <c r="J175" s="23"/>
      <c r="K175" s="23">
        <v>15271</v>
      </c>
      <c r="L175" s="23">
        <v>19050</v>
      </c>
      <c r="M175" s="23">
        <v>17160.5</v>
      </c>
      <c r="N175" s="23">
        <v>9259</v>
      </c>
      <c r="O175" s="23">
        <v>3814</v>
      </c>
      <c r="P175" s="23">
        <v>1113</v>
      </c>
      <c r="Q175" s="23">
        <v>18</v>
      </c>
      <c r="R175" s="23">
        <v>100</v>
      </c>
      <c r="S175" s="23">
        <v>18</v>
      </c>
      <c r="T175" s="23">
        <v>514</v>
      </c>
      <c r="U175" s="23">
        <v>435</v>
      </c>
      <c r="V175" s="75"/>
      <c r="W175" s="242">
        <f t="shared" si="2"/>
        <v>0.1353545936742846</v>
      </c>
    </row>
    <row r="176" spans="1:23" x14ac:dyDescent="0.25">
      <c r="A176" s="2">
        <v>540114</v>
      </c>
      <c r="B176" s="2" t="s">
        <v>50</v>
      </c>
      <c r="C176" s="238" t="s">
        <v>51</v>
      </c>
      <c r="D176" s="2" t="s">
        <v>5</v>
      </c>
      <c r="E176" s="2">
        <v>1</v>
      </c>
      <c r="F176" s="2">
        <v>2375</v>
      </c>
      <c r="G176" s="2">
        <v>1957</v>
      </c>
      <c r="H176" s="2">
        <v>2166</v>
      </c>
      <c r="I176" s="2">
        <v>0</v>
      </c>
      <c r="J176" s="2"/>
      <c r="K176" s="2">
        <v>15289</v>
      </c>
      <c r="L176" s="2">
        <v>9948</v>
      </c>
      <c r="M176" s="2">
        <v>12618.5</v>
      </c>
      <c r="N176" s="2">
        <v>13618</v>
      </c>
      <c r="O176" s="2">
        <v>133</v>
      </c>
      <c r="P176" s="2">
        <v>536</v>
      </c>
      <c r="Q176" s="2">
        <v>80</v>
      </c>
      <c r="R176" s="2">
        <v>1</v>
      </c>
      <c r="S176" s="2">
        <v>6</v>
      </c>
      <c r="T176" s="2">
        <v>286</v>
      </c>
      <c r="U176" s="2">
        <v>629</v>
      </c>
      <c r="V176" s="16"/>
      <c r="W176" s="239">
        <f t="shared" si="2"/>
        <v>0.14167048204591537</v>
      </c>
    </row>
    <row r="177" spans="1:23" x14ac:dyDescent="0.25">
      <c r="A177" s="2">
        <v>540115</v>
      </c>
      <c r="B177" s="2" t="s">
        <v>201</v>
      </c>
      <c r="C177" s="238" t="s">
        <v>51</v>
      </c>
      <c r="D177" s="2" t="s">
        <v>115</v>
      </c>
      <c r="E177" s="2">
        <v>1</v>
      </c>
      <c r="F177" s="2">
        <v>65</v>
      </c>
      <c r="G177" s="2">
        <v>65</v>
      </c>
      <c r="H177" s="2">
        <v>65</v>
      </c>
      <c r="I177" s="2">
        <v>0</v>
      </c>
      <c r="J177" s="2"/>
      <c r="K177" s="2">
        <v>177</v>
      </c>
      <c r="L177" s="2">
        <v>144</v>
      </c>
      <c r="M177" s="2">
        <v>160.5</v>
      </c>
      <c r="N177" s="2">
        <v>149</v>
      </c>
      <c r="O177" s="2">
        <v>0</v>
      </c>
      <c r="P177" s="2">
        <v>18</v>
      </c>
      <c r="Q177" s="2">
        <v>0</v>
      </c>
      <c r="R177" s="2">
        <v>0</v>
      </c>
      <c r="S177" s="2">
        <v>1</v>
      </c>
      <c r="T177" s="2">
        <v>6</v>
      </c>
      <c r="U177" s="2">
        <v>3</v>
      </c>
      <c r="V177" s="16"/>
      <c r="W177" s="239">
        <f t="shared" si="2"/>
        <v>0.3672316384180791</v>
      </c>
    </row>
    <row r="178" spans="1:23" x14ac:dyDescent="0.25">
      <c r="A178" s="2">
        <v>540291</v>
      </c>
      <c r="B178" s="2" t="s">
        <v>328</v>
      </c>
      <c r="C178" s="238" t="s">
        <v>51</v>
      </c>
      <c r="D178" s="2" t="s">
        <v>115</v>
      </c>
      <c r="E178" s="2">
        <v>1</v>
      </c>
      <c r="F178" s="2">
        <v>18</v>
      </c>
      <c r="G178" s="2">
        <v>21</v>
      </c>
      <c r="H178" s="2">
        <v>19.5</v>
      </c>
      <c r="I178" s="2">
        <v>0</v>
      </c>
      <c r="J178" s="2"/>
      <c r="K178" s="2">
        <v>213</v>
      </c>
      <c r="L178" s="2">
        <v>161</v>
      </c>
      <c r="M178" s="2">
        <v>187</v>
      </c>
      <c r="N178" s="2">
        <v>158</v>
      </c>
      <c r="O178" s="2">
        <v>1</v>
      </c>
      <c r="P178" s="2">
        <v>38</v>
      </c>
      <c r="Q178" s="2">
        <v>0</v>
      </c>
      <c r="R178" s="2">
        <v>0</v>
      </c>
      <c r="S178" s="2">
        <v>3</v>
      </c>
      <c r="T178" s="2">
        <v>7</v>
      </c>
      <c r="U178" s="2">
        <v>6</v>
      </c>
      <c r="V178" s="16"/>
      <c r="W178" s="239">
        <f t="shared" si="2"/>
        <v>9.154929577464789E-2</v>
      </c>
    </row>
    <row r="179" spans="1:23" x14ac:dyDescent="0.25">
      <c r="A179" s="2">
        <v>540116</v>
      </c>
      <c r="B179" s="2" t="s">
        <v>202</v>
      </c>
      <c r="C179" s="238" t="s">
        <v>51</v>
      </c>
      <c r="D179" s="2" t="s">
        <v>115</v>
      </c>
      <c r="E179" s="2">
        <v>1</v>
      </c>
      <c r="F179" s="2">
        <v>102</v>
      </c>
      <c r="G179" s="2">
        <v>78</v>
      </c>
      <c r="H179" s="2">
        <v>90</v>
      </c>
      <c r="I179" s="2">
        <v>0</v>
      </c>
      <c r="J179" s="2"/>
      <c r="K179" s="2">
        <v>222</v>
      </c>
      <c r="L179" s="2">
        <v>164</v>
      </c>
      <c r="M179" s="2">
        <v>193</v>
      </c>
      <c r="N179" s="2">
        <v>200</v>
      </c>
      <c r="O179" s="2">
        <v>0</v>
      </c>
      <c r="P179" s="2">
        <v>6</v>
      </c>
      <c r="Q179" s="2">
        <v>0</v>
      </c>
      <c r="R179" s="2">
        <v>0</v>
      </c>
      <c r="S179" s="2">
        <v>1</v>
      </c>
      <c r="T179" s="2">
        <v>10</v>
      </c>
      <c r="U179" s="2">
        <v>5</v>
      </c>
      <c r="V179" s="16"/>
      <c r="W179" s="239">
        <f t="shared" si="2"/>
        <v>0.40540540540540543</v>
      </c>
    </row>
    <row r="180" spans="1:23" x14ac:dyDescent="0.25">
      <c r="A180" s="2">
        <v>540117</v>
      </c>
      <c r="B180" s="2" t="s">
        <v>203</v>
      </c>
      <c r="C180" s="238" t="s">
        <v>51</v>
      </c>
      <c r="D180" s="2" t="s">
        <v>115</v>
      </c>
      <c r="E180" s="2">
        <v>1</v>
      </c>
      <c r="F180" s="2">
        <v>412</v>
      </c>
      <c r="G180" s="2">
        <v>324</v>
      </c>
      <c r="H180" s="2">
        <v>368</v>
      </c>
      <c r="I180" s="2">
        <v>0</v>
      </c>
      <c r="J180" s="2"/>
      <c r="K180" s="2">
        <v>855</v>
      </c>
      <c r="L180" s="2">
        <v>583</v>
      </c>
      <c r="M180" s="2">
        <v>719</v>
      </c>
      <c r="N180" s="2">
        <v>769</v>
      </c>
      <c r="O180" s="2">
        <v>0</v>
      </c>
      <c r="P180" s="2">
        <v>21</v>
      </c>
      <c r="Q180" s="2">
        <v>0</v>
      </c>
      <c r="R180" s="2">
        <v>1</v>
      </c>
      <c r="S180" s="2">
        <v>0</v>
      </c>
      <c r="T180" s="2">
        <v>39</v>
      </c>
      <c r="U180" s="2">
        <v>25</v>
      </c>
      <c r="V180" s="16"/>
      <c r="W180" s="239">
        <f t="shared" si="2"/>
        <v>0.43040935672514619</v>
      </c>
    </row>
    <row r="181" spans="1:23" x14ac:dyDescent="0.25">
      <c r="A181" s="2">
        <v>540118</v>
      </c>
      <c r="B181" s="2" t="s">
        <v>204</v>
      </c>
      <c r="C181" s="238" t="s">
        <v>51</v>
      </c>
      <c r="D181" s="2" t="s">
        <v>115</v>
      </c>
      <c r="E181" s="2">
        <v>1</v>
      </c>
      <c r="F181" s="2">
        <v>44</v>
      </c>
      <c r="G181" s="2">
        <v>55</v>
      </c>
      <c r="H181" s="2">
        <v>49.5</v>
      </c>
      <c r="I181" s="2">
        <v>0</v>
      </c>
      <c r="J181" s="2"/>
      <c r="K181" s="2">
        <v>337</v>
      </c>
      <c r="L181" s="2">
        <v>206</v>
      </c>
      <c r="M181" s="2">
        <v>271.5</v>
      </c>
      <c r="N181" s="2">
        <v>244</v>
      </c>
      <c r="O181" s="2">
        <v>3</v>
      </c>
      <c r="P181" s="2">
        <v>38</v>
      </c>
      <c r="Q181" s="2">
        <v>1</v>
      </c>
      <c r="R181" s="2">
        <v>0</v>
      </c>
      <c r="S181" s="2">
        <v>3</v>
      </c>
      <c r="T181" s="2">
        <v>10</v>
      </c>
      <c r="U181" s="2">
        <v>38</v>
      </c>
      <c r="V181" s="16"/>
      <c r="W181" s="239">
        <f t="shared" si="2"/>
        <v>0.14688427299703263</v>
      </c>
    </row>
    <row r="182" spans="1:23" x14ac:dyDescent="0.25">
      <c r="A182" s="2">
        <v>540119</v>
      </c>
      <c r="B182" s="2" t="s">
        <v>205</v>
      </c>
      <c r="C182" s="238" t="s">
        <v>51</v>
      </c>
      <c r="D182" s="2" t="s">
        <v>115</v>
      </c>
      <c r="E182" s="2">
        <v>1</v>
      </c>
      <c r="F182" s="2">
        <v>138</v>
      </c>
      <c r="G182" s="2">
        <v>89</v>
      </c>
      <c r="H182" s="2">
        <v>113.5</v>
      </c>
      <c r="I182" s="2">
        <v>0</v>
      </c>
      <c r="J182" s="2"/>
      <c r="K182" s="2">
        <v>268</v>
      </c>
      <c r="L182" s="2">
        <v>179</v>
      </c>
      <c r="M182" s="2">
        <v>223.5</v>
      </c>
      <c r="N182" s="2">
        <v>204</v>
      </c>
      <c r="O182" s="2">
        <v>0</v>
      </c>
      <c r="P182" s="2">
        <v>38</v>
      </c>
      <c r="Q182" s="2">
        <v>1</v>
      </c>
      <c r="R182" s="2">
        <v>0</v>
      </c>
      <c r="S182" s="2">
        <v>3</v>
      </c>
      <c r="T182" s="2">
        <v>16</v>
      </c>
      <c r="U182" s="2">
        <v>6</v>
      </c>
      <c r="V182" s="16"/>
      <c r="W182" s="239">
        <f t="shared" si="2"/>
        <v>0.42350746268656714</v>
      </c>
    </row>
    <row r="183" spans="1:23" x14ac:dyDescent="0.25">
      <c r="A183" s="2">
        <v>540120</v>
      </c>
      <c r="B183" s="2" t="s">
        <v>206</v>
      </c>
      <c r="C183" s="238" t="s">
        <v>51</v>
      </c>
      <c r="D183" s="2" t="s">
        <v>115</v>
      </c>
      <c r="E183" s="2">
        <v>1</v>
      </c>
      <c r="F183" s="2">
        <v>77</v>
      </c>
      <c r="G183" s="2">
        <v>60</v>
      </c>
      <c r="H183" s="2">
        <v>68.5</v>
      </c>
      <c r="I183" s="2">
        <v>0</v>
      </c>
      <c r="J183" s="2"/>
      <c r="K183" s="2">
        <v>247</v>
      </c>
      <c r="L183" s="2">
        <v>184</v>
      </c>
      <c r="M183" s="2">
        <v>215.5</v>
      </c>
      <c r="N183" s="2">
        <v>206</v>
      </c>
      <c r="O183" s="2">
        <v>1</v>
      </c>
      <c r="P183" s="2">
        <v>15</v>
      </c>
      <c r="Q183" s="2">
        <v>0</v>
      </c>
      <c r="R183" s="2">
        <v>0</v>
      </c>
      <c r="S183" s="2">
        <v>2</v>
      </c>
      <c r="T183" s="2">
        <v>15</v>
      </c>
      <c r="U183" s="2">
        <v>8</v>
      </c>
      <c r="V183" s="16"/>
      <c r="W183" s="239">
        <f t="shared" si="2"/>
        <v>0.27732793522267207</v>
      </c>
    </row>
    <row r="184" spans="1:23" x14ac:dyDescent="0.25">
      <c r="A184" s="2">
        <v>540121</v>
      </c>
      <c r="B184" s="2" t="s">
        <v>207</v>
      </c>
      <c r="C184" s="238" t="s">
        <v>51</v>
      </c>
      <c r="D184" s="2" t="s">
        <v>115</v>
      </c>
      <c r="E184" s="2">
        <v>1</v>
      </c>
      <c r="F184" s="2">
        <v>165</v>
      </c>
      <c r="G184" s="2">
        <v>100</v>
      </c>
      <c r="H184" s="2">
        <v>132.5</v>
      </c>
      <c r="I184" s="2">
        <v>0</v>
      </c>
      <c r="J184" s="2"/>
      <c r="K184" s="2">
        <v>360</v>
      </c>
      <c r="L184" s="2">
        <v>212</v>
      </c>
      <c r="M184" s="2">
        <v>286</v>
      </c>
      <c r="N184" s="2">
        <v>278</v>
      </c>
      <c r="O184" s="2">
        <v>2</v>
      </c>
      <c r="P184" s="2">
        <v>43</v>
      </c>
      <c r="Q184" s="2">
        <v>0</v>
      </c>
      <c r="R184" s="2">
        <v>0</v>
      </c>
      <c r="S184" s="2">
        <v>3</v>
      </c>
      <c r="T184" s="2">
        <v>21</v>
      </c>
      <c r="U184" s="2">
        <v>13</v>
      </c>
      <c r="V184" s="16"/>
      <c r="W184" s="239">
        <f t="shared" si="2"/>
        <v>0.36805555555555558</v>
      </c>
    </row>
    <row r="185" spans="1:23" x14ac:dyDescent="0.25">
      <c r="A185" s="2">
        <v>540122</v>
      </c>
      <c r="B185" s="2" t="s">
        <v>208</v>
      </c>
      <c r="C185" s="238" t="s">
        <v>51</v>
      </c>
      <c r="D185" s="2" t="s">
        <v>115</v>
      </c>
      <c r="E185" s="2">
        <v>1</v>
      </c>
      <c r="F185" s="2">
        <v>82</v>
      </c>
      <c r="G185" s="2">
        <v>100</v>
      </c>
      <c r="H185" s="2">
        <v>91</v>
      </c>
      <c r="I185" s="2">
        <v>0</v>
      </c>
      <c r="J185" s="2"/>
      <c r="K185" s="2">
        <v>576</v>
      </c>
      <c r="L185" s="2">
        <v>440</v>
      </c>
      <c r="M185" s="2">
        <v>508</v>
      </c>
      <c r="N185" s="2">
        <v>441</v>
      </c>
      <c r="O185" s="2">
        <v>0</v>
      </c>
      <c r="P185" s="2">
        <v>59</v>
      </c>
      <c r="Q185" s="2">
        <v>0</v>
      </c>
      <c r="R185" s="2">
        <v>1</v>
      </c>
      <c r="S185" s="2">
        <v>2</v>
      </c>
      <c r="T185" s="2">
        <v>24</v>
      </c>
      <c r="U185" s="2">
        <v>49</v>
      </c>
      <c r="V185" s="16"/>
      <c r="W185" s="239">
        <f t="shared" si="2"/>
        <v>0.1579861111111111</v>
      </c>
    </row>
    <row r="186" spans="1:23" x14ac:dyDescent="0.25">
      <c r="A186" s="2">
        <v>540123</v>
      </c>
      <c r="B186" s="2" t="s">
        <v>209</v>
      </c>
      <c r="C186" s="238" t="s">
        <v>51</v>
      </c>
      <c r="D186" s="2" t="s">
        <v>115</v>
      </c>
      <c r="E186" s="2">
        <v>1</v>
      </c>
      <c r="F186" s="2">
        <v>379</v>
      </c>
      <c r="G186" s="2">
        <v>331</v>
      </c>
      <c r="H186" s="2">
        <v>355</v>
      </c>
      <c r="I186" s="2">
        <v>0</v>
      </c>
      <c r="J186" s="2"/>
      <c r="K186" s="2">
        <v>1386</v>
      </c>
      <c r="L186" s="2">
        <v>1059</v>
      </c>
      <c r="M186" s="2">
        <v>1222.5</v>
      </c>
      <c r="N186" s="2">
        <v>1040</v>
      </c>
      <c r="O186" s="2">
        <v>3</v>
      </c>
      <c r="P186" s="2">
        <v>206</v>
      </c>
      <c r="Q186" s="2">
        <v>0</v>
      </c>
      <c r="R186" s="2">
        <v>2</v>
      </c>
      <c r="S186" s="2">
        <v>4</v>
      </c>
      <c r="T186" s="2">
        <v>73</v>
      </c>
      <c r="U186" s="2">
        <v>58</v>
      </c>
      <c r="V186" s="16"/>
      <c r="W186" s="239">
        <f t="shared" si="2"/>
        <v>0.25613275613275616</v>
      </c>
    </row>
    <row r="187" spans="1:23" x14ac:dyDescent="0.25">
      <c r="A187" s="23"/>
      <c r="B187" s="23"/>
      <c r="C187" s="240" t="s">
        <v>51</v>
      </c>
      <c r="D187" s="23" t="s">
        <v>1360</v>
      </c>
      <c r="E187" s="23"/>
      <c r="F187" s="23">
        <v>3857</v>
      </c>
      <c r="G187" s="23">
        <v>3180</v>
      </c>
      <c r="H187" s="23">
        <v>3518.5</v>
      </c>
      <c r="I187" s="23">
        <v>0</v>
      </c>
      <c r="J187" s="23"/>
      <c r="K187" s="23">
        <v>19930</v>
      </c>
      <c r="L187" s="23">
        <v>13280</v>
      </c>
      <c r="M187" s="23">
        <v>16605</v>
      </c>
      <c r="N187" s="23">
        <v>17307</v>
      </c>
      <c r="O187" s="23">
        <v>143</v>
      </c>
      <c r="P187" s="23">
        <v>1018</v>
      </c>
      <c r="Q187" s="23">
        <v>82</v>
      </c>
      <c r="R187" s="23">
        <v>5</v>
      </c>
      <c r="S187" s="23">
        <v>28</v>
      </c>
      <c r="T187" s="23">
        <v>507</v>
      </c>
      <c r="U187" s="23">
        <v>840</v>
      </c>
      <c r="V187" s="75"/>
      <c r="W187" s="242">
        <f t="shared" si="2"/>
        <v>0.17654290015052684</v>
      </c>
    </row>
    <row r="188" spans="1:23" x14ac:dyDescent="0.25">
      <c r="A188" s="2">
        <v>540124</v>
      </c>
      <c r="B188" s="2" t="s">
        <v>52</v>
      </c>
      <c r="C188" s="238" t="s">
        <v>53</v>
      </c>
      <c r="D188" s="2" t="s">
        <v>5</v>
      </c>
      <c r="E188" s="2">
        <v>1</v>
      </c>
      <c r="F188" s="2">
        <v>1915</v>
      </c>
      <c r="G188" s="2">
        <v>2366</v>
      </c>
      <c r="H188" s="2">
        <v>2140.5</v>
      </c>
      <c r="I188" s="2">
        <v>1878</v>
      </c>
      <c r="J188" s="2"/>
      <c r="K188" s="2">
        <v>24403</v>
      </c>
      <c r="L188" s="2">
        <v>26509</v>
      </c>
      <c r="M188" s="2">
        <v>25456</v>
      </c>
      <c r="N188" s="2">
        <v>18727</v>
      </c>
      <c r="O188" s="2">
        <v>744</v>
      </c>
      <c r="P188" s="2">
        <v>4248</v>
      </c>
      <c r="Q188" s="2">
        <v>43</v>
      </c>
      <c r="R188" s="2">
        <v>0</v>
      </c>
      <c r="S188" s="2">
        <v>11</v>
      </c>
      <c r="T188" s="2">
        <v>369</v>
      </c>
      <c r="U188" s="2">
        <v>261</v>
      </c>
      <c r="V188" s="16"/>
      <c r="W188" s="239">
        <f t="shared" si="2"/>
        <v>8.771462525099373E-2</v>
      </c>
    </row>
    <row r="189" spans="1:23" x14ac:dyDescent="0.25">
      <c r="A189" s="2">
        <v>540172</v>
      </c>
      <c r="B189" s="2" t="s">
        <v>244</v>
      </c>
      <c r="C189" s="238" t="s">
        <v>53</v>
      </c>
      <c r="D189" s="2" t="s">
        <v>115</v>
      </c>
      <c r="E189" s="2">
        <v>1</v>
      </c>
      <c r="F189" s="2">
        <v>0</v>
      </c>
      <c r="G189" s="2">
        <v>0</v>
      </c>
      <c r="H189" s="2">
        <v>0</v>
      </c>
      <c r="I189" s="2">
        <v>0</v>
      </c>
      <c r="J189" s="2"/>
      <c r="K189" s="2">
        <v>331</v>
      </c>
      <c r="L189" s="2">
        <v>396</v>
      </c>
      <c r="M189" s="2">
        <v>363.5</v>
      </c>
      <c r="N189" s="2">
        <v>280</v>
      </c>
      <c r="O189" s="2">
        <v>1</v>
      </c>
      <c r="P189" s="2">
        <v>21</v>
      </c>
      <c r="Q189" s="2">
        <v>0</v>
      </c>
      <c r="R189" s="2">
        <v>0</v>
      </c>
      <c r="S189" s="2">
        <v>1</v>
      </c>
      <c r="T189" s="2">
        <v>28</v>
      </c>
      <c r="U189" s="2">
        <v>0</v>
      </c>
      <c r="V189" s="16"/>
      <c r="W189" s="239">
        <f t="shared" si="2"/>
        <v>0</v>
      </c>
    </row>
    <row r="190" spans="1:23" x14ac:dyDescent="0.25">
      <c r="A190" s="2">
        <v>540285</v>
      </c>
      <c r="B190" s="2" t="s">
        <v>324</v>
      </c>
      <c r="C190" s="238" t="s">
        <v>53</v>
      </c>
      <c r="D190" s="2" t="s">
        <v>115</v>
      </c>
      <c r="E190" s="2">
        <v>1</v>
      </c>
      <c r="F190" s="2">
        <v>2</v>
      </c>
      <c r="G190" s="2">
        <v>2</v>
      </c>
      <c r="H190" s="2">
        <v>2</v>
      </c>
      <c r="I190" s="2">
        <v>2</v>
      </c>
      <c r="J190" s="2"/>
      <c r="K190" s="2">
        <v>5157</v>
      </c>
      <c r="L190" s="2">
        <v>4853</v>
      </c>
      <c r="M190" s="2">
        <v>5005</v>
      </c>
      <c r="N190" s="2">
        <v>4425</v>
      </c>
      <c r="O190" s="2">
        <v>1</v>
      </c>
      <c r="P190" s="2">
        <v>471</v>
      </c>
      <c r="Q190" s="2">
        <v>6</v>
      </c>
      <c r="R190" s="2">
        <v>0</v>
      </c>
      <c r="S190" s="2">
        <v>3</v>
      </c>
      <c r="T190" s="2">
        <v>197</v>
      </c>
      <c r="U190" s="2">
        <v>54</v>
      </c>
      <c r="V190" s="16"/>
      <c r="W190" s="239">
        <f t="shared" si="2"/>
        <v>3.8782237735117316E-4</v>
      </c>
    </row>
    <row r="191" spans="1:23" x14ac:dyDescent="0.25">
      <c r="A191" s="2">
        <v>540125</v>
      </c>
      <c r="B191" s="2" t="s">
        <v>210</v>
      </c>
      <c r="C191" s="238" t="s">
        <v>53</v>
      </c>
      <c r="D191" s="2" t="s">
        <v>115</v>
      </c>
      <c r="E191" s="2">
        <v>1</v>
      </c>
      <c r="F191" s="2">
        <v>18</v>
      </c>
      <c r="G191" s="2">
        <v>29</v>
      </c>
      <c r="H191" s="2">
        <v>23.5</v>
      </c>
      <c r="I191" s="2">
        <v>18</v>
      </c>
      <c r="J191" s="2"/>
      <c r="K191" s="2">
        <v>272</v>
      </c>
      <c r="L191" s="2">
        <v>263</v>
      </c>
      <c r="M191" s="2">
        <v>267.5</v>
      </c>
      <c r="N191" s="2">
        <v>225</v>
      </c>
      <c r="O191" s="2">
        <v>0</v>
      </c>
      <c r="P191" s="2">
        <v>22</v>
      </c>
      <c r="Q191" s="2">
        <v>0</v>
      </c>
      <c r="R191" s="2">
        <v>0</v>
      </c>
      <c r="S191" s="2">
        <v>3</v>
      </c>
      <c r="T191" s="2">
        <v>15</v>
      </c>
      <c r="U191" s="2">
        <v>7</v>
      </c>
      <c r="V191" s="16"/>
      <c r="W191" s="239">
        <f t="shared" si="2"/>
        <v>8.639705882352941E-2</v>
      </c>
    </row>
    <row r="192" spans="1:23" x14ac:dyDescent="0.25">
      <c r="A192" s="2">
        <v>540126</v>
      </c>
      <c r="B192" s="2" t="s">
        <v>211</v>
      </c>
      <c r="C192" s="238" t="s">
        <v>53</v>
      </c>
      <c r="D192" s="2" t="s">
        <v>115</v>
      </c>
      <c r="E192" s="2">
        <v>1</v>
      </c>
      <c r="F192" s="2">
        <v>74</v>
      </c>
      <c r="G192" s="2">
        <v>64</v>
      </c>
      <c r="H192" s="2">
        <v>69</v>
      </c>
      <c r="I192" s="2">
        <v>53</v>
      </c>
      <c r="J192" s="2"/>
      <c r="K192" s="2">
        <v>140</v>
      </c>
      <c r="L192" s="2">
        <v>135</v>
      </c>
      <c r="M192" s="2">
        <v>137.5</v>
      </c>
      <c r="N192" s="2">
        <v>100</v>
      </c>
      <c r="O192" s="2">
        <v>0</v>
      </c>
      <c r="P192" s="2">
        <v>26</v>
      </c>
      <c r="Q192" s="2">
        <v>0</v>
      </c>
      <c r="R192" s="2">
        <v>0</v>
      </c>
      <c r="S192" s="2">
        <v>2</v>
      </c>
      <c r="T192" s="2">
        <v>9</v>
      </c>
      <c r="U192" s="2">
        <v>3</v>
      </c>
      <c r="V192" s="16"/>
      <c r="W192" s="239">
        <f t="shared" si="2"/>
        <v>0.49285714285714288</v>
      </c>
    </row>
    <row r="193" spans="1:23" x14ac:dyDescent="0.25">
      <c r="A193" s="2">
        <v>540127</v>
      </c>
      <c r="B193" s="2" t="s">
        <v>212</v>
      </c>
      <c r="C193" s="238" t="s">
        <v>53</v>
      </c>
      <c r="D193" s="2" t="s">
        <v>115</v>
      </c>
      <c r="E193" s="2">
        <v>1</v>
      </c>
      <c r="F193" s="2">
        <v>20</v>
      </c>
      <c r="G193" s="2">
        <v>22</v>
      </c>
      <c r="H193" s="2">
        <v>21</v>
      </c>
      <c r="I193" s="2">
        <v>19</v>
      </c>
      <c r="J193" s="2"/>
      <c r="K193" s="2">
        <v>74</v>
      </c>
      <c r="L193" s="2">
        <v>72</v>
      </c>
      <c r="M193" s="2">
        <v>73</v>
      </c>
      <c r="N193" s="2">
        <v>66</v>
      </c>
      <c r="O193" s="2">
        <v>0</v>
      </c>
      <c r="P193" s="2">
        <v>0</v>
      </c>
      <c r="Q193" s="2">
        <v>0</v>
      </c>
      <c r="R193" s="2">
        <v>0</v>
      </c>
      <c r="S193" s="2">
        <v>0</v>
      </c>
      <c r="T193" s="2">
        <v>8</v>
      </c>
      <c r="U193" s="2">
        <v>0</v>
      </c>
      <c r="V193" s="16"/>
      <c r="W193" s="239">
        <f t="shared" si="2"/>
        <v>0.28378378378378377</v>
      </c>
    </row>
    <row r="194" spans="1:23" x14ac:dyDescent="0.25">
      <c r="A194" s="2">
        <v>540128</v>
      </c>
      <c r="B194" s="2" t="s">
        <v>213</v>
      </c>
      <c r="C194" s="238" t="s">
        <v>53</v>
      </c>
      <c r="D194" s="2" t="s">
        <v>115</v>
      </c>
      <c r="E194" s="2">
        <v>1</v>
      </c>
      <c r="F194" s="2">
        <v>252</v>
      </c>
      <c r="G194" s="2">
        <v>274</v>
      </c>
      <c r="H194" s="2">
        <v>263</v>
      </c>
      <c r="I194" s="2">
        <v>216</v>
      </c>
      <c r="J194" s="2"/>
      <c r="K194" s="2">
        <v>3262</v>
      </c>
      <c r="L194" s="2">
        <v>3099</v>
      </c>
      <c r="M194" s="2">
        <v>3180.5</v>
      </c>
      <c r="N194" s="2">
        <v>2490</v>
      </c>
      <c r="O194" s="2">
        <v>0</v>
      </c>
      <c r="P194" s="2">
        <v>592</v>
      </c>
      <c r="Q194" s="2">
        <v>8</v>
      </c>
      <c r="R194" s="2">
        <v>0</v>
      </c>
      <c r="S194" s="2">
        <v>6</v>
      </c>
      <c r="T194" s="2">
        <v>123</v>
      </c>
      <c r="U194" s="2">
        <v>43</v>
      </c>
      <c r="V194" s="16"/>
      <c r="W194" s="239">
        <f t="shared" si="2"/>
        <v>8.0625383200490494E-2</v>
      </c>
    </row>
    <row r="195" spans="1:23" x14ac:dyDescent="0.25">
      <c r="A195" s="23"/>
      <c r="B195" s="23"/>
      <c r="C195" s="240" t="s">
        <v>53</v>
      </c>
      <c r="D195" s="23" t="s">
        <v>1360</v>
      </c>
      <c r="E195" s="23"/>
      <c r="F195" s="23">
        <v>2281</v>
      </c>
      <c r="G195" s="23">
        <v>2757</v>
      </c>
      <c r="H195" s="23">
        <v>2519</v>
      </c>
      <c r="I195" s="23">
        <v>2186</v>
      </c>
      <c r="J195" s="23"/>
      <c r="K195" s="23">
        <v>33639</v>
      </c>
      <c r="L195" s="23">
        <v>35327</v>
      </c>
      <c r="M195" s="23">
        <v>34483</v>
      </c>
      <c r="N195" s="23">
        <v>26313</v>
      </c>
      <c r="O195" s="23">
        <v>746</v>
      </c>
      <c r="P195" s="23">
        <v>5380</v>
      </c>
      <c r="Q195" s="23">
        <v>57</v>
      </c>
      <c r="R195" s="23">
        <v>0</v>
      </c>
      <c r="S195" s="23">
        <v>26</v>
      </c>
      <c r="T195" s="23">
        <v>749</v>
      </c>
      <c r="U195" s="23">
        <v>368</v>
      </c>
      <c r="V195" s="75"/>
      <c r="W195" s="242">
        <f t="shared" si="2"/>
        <v>7.4883319956003447E-2</v>
      </c>
    </row>
    <row r="196" spans="1:23" x14ac:dyDescent="0.25">
      <c r="A196" s="2">
        <v>540129</v>
      </c>
      <c r="B196" s="2" t="s">
        <v>54</v>
      </c>
      <c r="C196" s="238" t="s">
        <v>55</v>
      </c>
      <c r="D196" s="2" t="s">
        <v>5</v>
      </c>
      <c r="E196" s="2">
        <v>8</v>
      </c>
      <c r="F196" s="2">
        <v>706</v>
      </c>
      <c r="G196" s="2">
        <v>845</v>
      </c>
      <c r="H196" s="2">
        <v>775.5</v>
      </c>
      <c r="I196" s="2">
        <v>590</v>
      </c>
      <c r="J196" s="2"/>
      <c r="K196" s="2">
        <v>10819</v>
      </c>
      <c r="L196" s="2">
        <v>12731</v>
      </c>
      <c r="M196" s="2">
        <v>11775</v>
      </c>
      <c r="N196" s="2">
        <v>8418</v>
      </c>
      <c r="O196" s="2">
        <v>757</v>
      </c>
      <c r="P196" s="2">
        <v>884</v>
      </c>
      <c r="Q196" s="2">
        <v>40</v>
      </c>
      <c r="R196" s="2">
        <v>1</v>
      </c>
      <c r="S196" s="2">
        <v>15</v>
      </c>
      <c r="T196" s="2">
        <v>254</v>
      </c>
      <c r="U196" s="2">
        <v>450</v>
      </c>
      <c r="V196" s="16"/>
      <c r="W196" s="239">
        <f t="shared" si="2"/>
        <v>7.1679452814493019E-2</v>
      </c>
    </row>
    <row r="197" spans="1:23" x14ac:dyDescent="0.25">
      <c r="A197" s="2">
        <v>545555</v>
      </c>
      <c r="B197" s="2" t="s">
        <v>336</v>
      </c>
      <c r="C197" s="238" t="s">
        <v>55</v>
      </c>
      <c r="D197" s="2" t="s">
        <v>115</v>
      </c>
      <c r="E197" s="2">
        <v>8</v>
      </c>
      <c r="F197" s="2">
        <v>0</v>
      </c>
      <c r="G197" s="2">
        <v>0</v>
      </c>
      <c r="H197" s="2">
        <v>0</v>
      </c>
      <c r="I197" s="2">
        <v>0</v>
      </c>
      <c r="J197" s="2"/>
      <c r="K197" s="2">
        <v>433</v>
      </c>
      <c r="L197" s="2">
        <v>472</v>
      </c>
      <c r="M197" s="2">
        <v>452.5</v>
      </c>
      <c r="N197" s="2">
        <v>420</v>
      </c>
      <c r="O197" s="2">
        <v>0</v>
      </c>
      <c r="P197" s="2">
        <v>7</v>
      </c>
      <c r="Q197" s="2">
        <v>0</v>
      </c>
      <c r="R197" s="2">
        <v>0</v>
      </c>
      <c r="S197" s="2">
        <v>2</v>
      </c>
      <c r="T197" s="2">
        <v>4</v>
      </c>
      <c r="U197" s="2">
        <v>0</v>
      </c>
      <c r="V197" s="16"/>
      <c r="W197" s="239">
        <f t="shared" ref="W197:W260" si="3" xml:space="preserve"> H197 / K197</f>
        <v>0</v>
      </c>
    </row>
    <row r="198" spans="1:23" x14ac:dyDescent="0.25">
      <c r="A198" s="2">
        <v>540091</v>
      </c>
      <c r="B198" s="2" t="s">
        <v>338</v>
      </c>
      <c r="C198" s="238" t="s">
        <v>55</v>
      </c>
      <c r="D198" s="2" t="s">
        <v>115</v>
      </c>
      <c r="E198" s="2">
        <v>8</v>
      </c>
      <c r="F198" s="2">
        <v>0</v>
      </c>
      <c r="G198" s="2">
        <v>0</v>
      </c>
      <c r="H198" s="2">
        <v>0</v>
      </c>
      <c r="I198" s="2">
        <v>0</v>
      </c>
      <c r="J198" s="2"/>
      <c r="K198" s="2">
        <v>116</v>
      </c>
      <c r="L198" s="2">
        <v>121</v>
      </c>
      <c r="M198" s="2">
        <v>118.5</v>
      </c>
      <c r="N198" s="2">
        <v>94</v>
      </c>
      <c r="O198" s="2">
        <v>0</v>
      </c>
      <c r="P198" s="2">
        <v>4</v>
      </c>
      <c r="Q198" s="2">
        <v>0</v>
      </c>
      <c r="R198" s="2">
        <v>0</v>
      </c>
      <c r="S198" s="2">
        <v>0</v>
      </c>
      <c r="T198" s="2">
        <v>10</v>
      </c>
      <c r="U198" s="2">
        <v>8</v>
      </c>
      <c r="V198" s="16"/>
      <c r="W198" s="239">
        <f t="shared" si="3"/>
        <v>0</v>
      </c>
    </row>
    <row r="199" spans="1:23" x14ac:dyDescent="0.25">
      <c r="A199" s="2">
        <v>540130</v>
      </c>
      <c r="B199" s="2" t="s">
        <v>214</v>
      </c>
      <c r="C199" s="238" t="s">
        <v>55</v>
      </c>
      <c r="D199" s="2" t="s">
        <v>115</v>
      </c>
      <c r="E199" s="2">
        <v>8</v>
      </c>
      <c r="F199" s="2">
        <v>290</v>
      </c>
      <c r="G199" s="2">
        <v>269</v>
      </c>
      <c r="H199" s="2">
        <v>279.5</v>
      </c>
      <c r="I199" s="2">
        <v>267</v>
      </c>
      <c r="J199" s="2"/>
      <c r="K199" s="2">
        <v>2364</v>
      </c>
      <c r="L199" s="2">
        <v>1955</v>
      </c>
      <c r="M199" s="2">
        <v>2159.5</v>
      </c>
      <c r="N199" s="2">
        <v>1883</v>
      </c>
      <c r="O199" s="2">
        <v>0</v>
      </c>
      <c r="P199" s="2">
        <v>239</v>
      </c>
      <c r="Q199" s="2">
        <v>0</v>
      </c>
      <c r="R199" s="2">
        <v>0</v>
      </c>
      <c r="S199" s="2">
        <v>4</v>
      </c>
      <c r="T199" s="2">
        <v>192</v>
      </c>
      <c r="U199" s="2">
        <v>46</v>
      </c>
      <c r="V199" s="16"/>
      <c r="W199" s="239">
        <f t="shared" si="3"/>
        <v>0.11823181049069374</v>
      </c>
    </row>
    <row r="200" spans="1:23" x14ac:dyDescent="0.25">
      <c r="A200" s="2">
        <v>540131</v>
      </c>
      <c r="B200" s="2" t="s">
        <v>215</v>
      </c>
      <c r="C200" s="238" t="s">
        <v>55</v>
      </c>
      <c r="D200" s="2" t="s">
        <v>115</v>
      </c>
      <c r="E200" s="2">
        <v>8</v>
      </c>
      <c r="F200" s="2">
        <v>106</v>
      </c>
      <c r="G200" s="2">
        <v>31</v>
      </c>
      <c r="H200" s="2">
        <v>68.5</v>
      </c>
      <c r="I200" s="2">
        <v>38</v>
      </c>
      <c r="J200" s="2"/>
      <c r="K200" s="2">
        <v>508</v>
      </c>
      <c r="L200" s="2">
        <v>272</v>
      </c>
      <c r="M200" s="2">
        <v>390</v>
      </c>
      <c r="N200" s="2">
        <v>338</v>
      </c>
      <c r="O200" s="2">
        <v>0</v>
      </c>
      <c r="P200" s="2">
        <v>34</v>
      </c>
      <c r="Q200" s="2">
        <v>1</v>
      </c>
      <c r="R200" s="2">
        <v>0</v>
      </c>
      <c r="S200" s="2">
        <v>21</v>
      </c>
      <c r="T200" s="2">
        <v>102</v>
      </c>
      <c r="U200" s="2">
        <v>12</v>
      </c>
      <c r="V200" s="16"/>
      <c r="W200" s="239">
        <f t="shared" si="3"/>
        <v>0.13484251968503938</v>
      </c>
    </row>
    <row r="201" spans="1:23" x14ac:dyDescent="0.25">
      <c r="A201" s="2">
        <v>540155</v>
      </c>
      <c r="B201" s="2" t="s">
        <v>231</v>
      </c>
      <c r="C201" s="238" t="s">
        <v>55</v>
      </c>
      <c r="D201" s="2" t="s">
        <v>115</v>
      </c>
      <c r="E201" s="2">
        <v>8</v>
      </c>
      <c r="F201" s="2">
        <v>6</v>
      </c>
      <c r="G201" s="2">
        <v>8</v>
      </c>
      <c r="H201" s="2">
        <v>7</v>
      </c>
      <c r="I201" s="2">
        <v>9</v>
      </c>
      <c r="J201" s="2"/>
      <c r="K201" s="2">
        <v>400</v>
      </c>
      <c r="L201" s="2">
        <v>340</v>
      </c>
      <c r="M201" s="2">
        <v>370</v>
      </c>
      <c r="N201" s="2">
        <v>329</v>
      </c>
      <c r="O201" s="2">
        <v>0</v>
      </c>
      <c r="P201" s="2">
        <v>43</v>
      </c>
      <c r="Q201" s="2">
        <v>0</v>
      </c>
      <c r="R201" s="2">
        <v>0</v>
      </c>
      <c r="S201" s="2">
        <v>0</v>
      </c>
      <c r="T201" s="2">
        <v>16</v>
      </c>
      <c r="U201" s="2">
        <v>12</v>
      </c>
      <c r="V201" s="16"/>
      <c r="W201" s="239">
        <f t="shared" si="3"/>
        <v>1.7500000000000002E-2</v>
      </c>
    </row>
    <row r="202" spans="1:23" x14ac:dyDescent="0.25">
      <c r="A202" s="23"/>
      <c r="B202" s="23"/>
      <c r="C202" s="240" t="s">
        <v>55</v>
      </c>
      <c r="D202" s="23" t="s">
        <v>1360</v>
      </c>
      <c r="E202" s="23"/>
      <c r="F202" s="23">
        <v>1108</v>
      </c>
      <c r="G202" s="23">
        <v>1153</v>
      </c>
      <c r="H202" s="23">
        <v>1130.5</v>
      </c>
      <c r="I202" s="23">
        <v>904</v>
      </c>
      <c r="J202" s="23"/>
      <c r="K202" s="23">
        <v>14640</v>
      </c>
      <c r="L202" s="23">
        <v>15891</v>
      </c>
      <c r="M202" s="23">
        <v>15265.5</v>
      </c>
      <c r="N202" s="23">
        <v>11482</v>
      </c>
      <c r="O202" s="23">
        <v>757</v>
      </c>
      <c r="P202" s="23">
        <v>1211</v>
      </c>
      <c r="Q202" s="23">
        <v>41</v>
      </c>
      <c r="R202" s="23">
        <v>1</v>
      </c>
      <c r="S202" s="23">
        <v>42</v>
      </c>
      <c r="T202" s="23">
        <v>578</v>
      </c>
      <c r="U202" s="23">
        <v>528</v>
      </c>
      <c r="V202" s="75"/>
      <c r="W202" s="242">
        <f t="shared" si="3"/>
        <v>7.7219945355191263E-2</v>
      </c>
    </row>
    <row r="203" spans="1:23" x14ac:dyDescent="0.25">
      <c r="A203" s="2">
        <v>540133</v>
      </c>
      <c r="B203" s="2" t="s">
        <v>56</v>
      </c>
      <c r="C203" s="238" t="s">
        <v>57</v>
      </c>
      <c r="D203" s="2" t="s">
        <v>5</v>
      </c>
      <c r="E203" s="2">
        <v>2</v>
      </c>
      <c r="F203" s="2">
        <v>3297</v>
      </c>
      <c r="G203" s="2">
        <v>2787</v>
      </c>
      <c r="H203" s="2">
        <v>3042</v>
      </c>
      <c r="I203" s="2">
        <v>0</v>
      </c>
      <c r="J203" s="2"/>
      <c r="K203" s="2">
        <v>16207</v>
      </c>
      <c r="L203" s="2">
        <v>10593</v>
      </c>
      <c r="M203" s="2">
        <v>13400</v>
      </c>
      <c r="N203" s="2">
        <v>14338</v>
      </c>
      <c r="O203" s="2">
        <v>7</v>
      </c>
      <c r="P203" s="2">
        <v>436</v>
      </c>
      <c r="Q203" s="2">
        <v>151</v>
      </c>
      <c r="R203" s="2">
        <v>0</v>
      </c>
      <c r="S203" s="2">
        <v>12</v>
      </c>
      <c r="T203" s="2">
        <v>648</v>
      </c>
      <c r="U203" s="2">
        <v>615</v>
      </c>
      <c r="V203" s="16"/>
      <c r="W203" s="239">
        <f t="shared" si="3"/>
        <v>0.18769667427654718</v>
      </c>
    </row>
    <row r="204" spans="1:23" x14ac:dyDescent="0.25">
      <c r="A204" s="2">
        <v>540134</v>
      </c>
      <c r="B204" s="2" t="s">
        <v>217</v>
      </c>
      <c r="C204" s="238" t="s">
        <v>57</v>
      </c>
      <c r="D204" s="2" t="s">
        <v>115</v>
      </c>
      <c r="E204" s="2">
        <v>2</v>
      </c>
      <c r="F204" s="2">
        <v>176</v>
      </c>
      <c r="G204" s="2">
        <v>127</v>
      </c>
      <c r="H204" s="2">
        <v>151.5</v>
      </c>
      <c r="I204" s="2">
        <v>0</v>
      </c>
      <c r="J204" s="2"/>
      <c r="K204" s="2">
        <v>427</v>
      </c>
      <c r="L204" s="2">
        <v>259</v>
      </c>
      <c r="M204" s="2">
        <v>343</v>
      </c>
      <c r="N204" s="2">
        <v>338</v>
      </c>
      <c r="O204" s="2">
        <v>0</v>
      </c>
      <c r="P204" s="2">
        <v>24</v>
      </c>
      <c r="Q204" s="2">
        <v>0</v>
      </c>
      <c r="R204" s="2">
        <v>0</v>
      </c>
      <c r="S204" s="2">
        <v>0</v>
      </c>
      <c r="T204" s="2">
        <v>38</v>
      </c>
      <c r="U204" s="2">
        <v>27</v>
      </c>
      <c r="V204" s="16"/>
      <c r="W204" s="239">
        <f t="shared" si="3"/>
        <v>0.35480093676814989</v>
      </c>
    </row>
    <row r="205" spans="1:23" x14ac:dyDescent="0.25">
      <c r="A205" s="2">
        <v>540135</v>
      </c>
      <c r="B205" s="2" t="s">
        <v>218</v>
      </c>
      <c r="C205" s="238" t="s">
        <v>57</v>
      </c>
      <c r="D205" s="2" t="s">
        <v>115</v>
      </c>
      <c r="E205" s="2">
        <v>2</v>
      </c>
      <c r="F205" s="2">
        <v>81</v>
      </c>
      <c r="G205" s="2">
        <v>71</v>
      </c>
      <c r="H205" s="2">
        <v>76</v>
      </c>
      <c r="I205" s="2">
        <v>0</v>
      </c>
      <c r="J205" s="2"/>
      <c r="K205" s="2">
        <v>404</v>
      </c>
      <c r="L205" s="2">
        <v>296</v>
      </c>
      <c r="M205" s="2">
        <v>350</v>
      </c>
      <c r="N205" s="2">
        <v>233</v>
      </c>
      <c r="O205" s="2">
        <v>0</v>
      </c>
      <c r="P205" s="2">
        <v>116</v>
      </c>
      <c r="Q205" s="2">
        <v>0</v>
      </c>
      <c r="R205" s="2">
        <v>0</v>
      </c>
      <c r="S205" s="2">
        <v>1</v>
      </c>
      <c r="T205" s="2">
        <v>24</v>
      </c>
      <c r="U205" s="2">
        <v>30</v>
      </c>
      <c r="V205" s="16"/>
      <c r="W205" s="239">
        <f t="shared" si="3"/>
        <v>0.18811881188118812</v>
      </c>
    </row>
    <row r="206" spans="1:23" x14ac:dyDescent="0.25">
      <c r="A206" s="2">
        <v>540136</v>
      </c>
      <c r="B206" s="2" t="s">
        <v>219</v>
      </c>
      <c r="C206" s="238" t="s">
        <v>57</v>
      </c>
      <c r="D206" s="2" t="s">
        <v>115</v>
      </c>
      <c r="E206" s="2">
        <v>2</v>
      </c>
      <c r="F206" s="2">
        <v>117</v>
      </c>
      <c r="G206" s="2">
        <v>91</v>
      </c>
      <c r="H206" s="2">
        <v>104</v>
      </c>
      <c r="I206" s="2">
        <v>0</v>
      </c>
      <c r="J206" s="2"/>
      <c r="K206" s="2">
        <v>283</v>
      </c>
      <c r="L206" s="2">
        <v>206</v>
      </c>
      <c r="M206" s="2">
        <v>244.5</v>
      </c>
      <c r="N206" s="2">
        <v>210</v>
      </c>
      <c r="O206" s="2">
        <v>0</v>
      </c>
      <c r="P206" s="2">
        <v>31</v>
      </c>
      <c r="Q206" s="2">
        <v>6</v>
      </c>
      <c r="R206" s="2">
        <v>0</v>
      </c>
      <c r="S206" s="2">
        <v>0</v>
      </c>
      <c r="T206" s="2">
        <v>25</v>
      </c>
      <c r="U206" s="2">
        <v>11</v>
      </c>
      <c r="V206" s="16"/>
      <c r="W206" s="239">
        <f t="shared" si="3"/>
        <v>0.36749116607773852</v>
      </c>
    </row>
    <row r="207" spans="1:23" x14ac:dyDescent="0.25">
      <c r="A207" s="2">
        <v>545538</v>
      </c>
      <c r="B207" s="2" t="s">
        <v>334</v>
      </c>
      <c r="C207" s="238" t="s">
        <v>57</v>
      </c>
      <c r="D207" s="2" t="s">
        <v>115</v>
      </c>
      <c r="E207" s="2">
        <v>2</v>
      </c>
      <c r="F207" s="2">
        <v>56</v>
      </c>
      <c r="G207" s="2">
        <v>56</v>
      </c>
      <c r="H207" s="2">
        <v>56</v>
      </c>
      <c r="I207" s="2">
        <v>0</v>
      </c>
      <c r="J207" s="2"/>
      <c r="K207" s="2">
        <v>287</v>
      </c>
      <c r="L207" s="2">
        <v>206</v>
      </c>
      <c r="M207" s="2">
        <v>246.5</v>
      </c>
      <c r="N207" s="2">
        <v>198</v>
      </c>
      <c r="O207" s="2">
        <v>0</v>
      </c>
      <c r="P207" s="2">
        <v>38</v>
      </c>
      <c r="Q207" s="2">
        <v>0</v>
      </c>
      <c r="R207" s="2">
        <v>0</v>
      </c>
      <c r="S207" s="2">
        <v>0</v>
      </c>
      <c r="T207" s="2">
        <v>28</v>
      </c>
      <c r="U207" s="2">
        <v>23</v>
      </c>
      <c r="V207" s="16"/>
      <c r="W207" s="239">
        <f t="shared" si="3"/>
        <v>0.1951219512195122</v>
      </c>
    </row>
    <row r="208" spans="1:23" x14ac:dyDescent="0.25">
      <c r="A208" s="2">
        <v>540138</v>
      </c>
      <c r="B208" s="2" t="s">
        <v>221</v>
      </c>
      <c r="C208" s="238" t="s">
        <v>57</v>
      </c>
      <c r="D208" s="2" t="s">
        <v>115</v>
      </c>
      <c r="E208" s="2">
        <v>2</v>
      </c>
      <c r="F208" s="2">
        <v>47</v>
      </c>
      <c r="G208" s="2">
        <v>63</v>
      </c>
      <c r="H208" s="2">
        <v>55</v>
      </c>
      <c r="I208" s="2">
        <v>0</v>
      </c>
      <c r="J208" s="2"/>
      <c r="K208" s="2">
        <v>1740</v>
      </c>
      <c r="L208" s="2">
        <v>1209</v>
      </c>
      <c r="M208" s="2">
        <v>1474.5</v>
      </c>
      <c r="N208" s="2">
        <v>1358</v>
      </c>
      <c r="O208" s="2">
        <v>0</v>
      </c>
      <c r="P208" s="2">
        <v>173</v>
      </c>
      <c r="Q208" s="2">
        <v>0</v>
      </c>
      <c r="R208" s="2">
        <v>6</v>
      </c>
      <c r="S208" s="2">
        <v>2</v>
      </c>
      <c r="T208" s="2">
        <v>142</v>
      </c>
      <c r="U208" s="2">
        <v>59</v>
      </c>
      <c r="V208" s="16"/>
      <c r="W208" s="239">
        <f t="shared" si="3"/>
        <v>3.1609195402298854E-2</v>
      </c>
    </row>
    <row r="209" spans="1:23" x14ac:dyDescent="0.25">
      <c r="A209" s="23"/>
      <c r="B209" s="23"/>
      <c r="C209" s="240" t="s">
        <v>57</v>
      </c>
      <c r="D209" s="23" t="s">
        <v>1360</v>
      </c>
      <c r="E209" s="23"/>
      <c r="F209" s="23">
        <v>3774</v>
      </c>
      <c r="G209" s="23">
        <v>3195</v>
      </c>
      <c r="H209" s="23">
        <v>3484.5</v>
      </c>
      <c r="I209" s="23">
        <v>0</v>
      </c>
      <c r="J209" s="23"/>
      <c r="K209" s="23">
        <v>19348</v>
      </c>
      <c r="L209" s="23">
        <v>12769</v>
      </c>
      <c r="M209" s="23">
        <v>16058.5</v>
      </c>
      <c r="N209" s="23">
        <v>16675</v>
      </c>
      <c r="O209" s="23">
        <v>7</v>
      </c>
      <c r="P209" s="23">
        <v>818</v>
      </c>
      <c r="Q209" s="23">
        <v>157</v>
      </c>
      <c r="R209" s="23">
        <v>6</v>
      </c>
      <c r="S209" s="23">
        <v>15</v>
      </c>
      <c r="T209" s="23">
        <v>905</v>
      </c>
      <c r="U209" s="23">
        <v>765</v>
      </c>
      <c r="V209" s="75"/>
      <c r="W209" s="242">
        <f t="shared" si="3"/>
        <v>0.18009613396733512</v>
      </c>
    </row>
    <row r="210" spans="1:23" x14ac:dyDescent="0.25">
      <c r="A210" s="2">
        <v>540139</v>
      </c>
      <c r="B210" s="2" t="s">
        <v>58</v>
      </c>
      <c r="C210" s="238" t="s">
        <v>59</v>
      </c>
      <c r="D210" s="2" t="s">
        <v>5</v>
      </c>
      <c r="E210" s="2">
        <v>6</v>
      </c>
      <c r="F210" s="2">
        <v>719</v>
      </c>
      <c r="G210" s="2">
        <v>1039</v>
      </c>
      <c r="H210" s="2">
        <v>879</v>
      </c>
      <c r="I210" s="2">
        <v>0</v>
      </c>
      <c r="J210" s="2"/>
      <c r="K210" s="2">
        <v>35153</v>
      </c>
      <c r="L210" s="2">
        <v>25788</v>
      </c>
      <c r="M210" s="2">
        <v>30470.5</v>
      </c>
      <c r="N210" s="2">
        <v>22411</v>
      </c>
      <c r="O210" s="2">
        <v>858</v>
      </c>
      <c r="P210" s="2">
        <v>4147</v>
      </c>
      <c r="Q210" s="2">
        <v>52</v>
      </c>
      <c r="R210" s="2">
        <v>6824</v>
      </c>
      <c r="S210" s="2">
        <v>27</v>
      </c>
      <c r="T210" s="2">
        <v>712</v>
      </c>
      <c r="U210" s="2">
        <v>122</v>
      </c>
      <c r="V210" s="16"/>
      <c r="W210" s="239">
        <f t="shared" si="3"/>
        <v>2.5004978237988223E-2</v>
      </c>
    </row>
    <row r="211" spans="1:23" x14ac:dyDescent="0.25">
      <c r="A211" s="2">
        <v>540140</v>
      </c>
      <c r="B211" s="2" t="s">
        <v>222</v>
      </c>
      <c r="C211" s="238" t="s">
        <v>59</v>
      </c>
      <c r="D211" s="2" t="s">
        <v>115</v>
      </c>
      <c r="E211" s="2">
        <v>6</v>
      </c>
      <c r="F211" s="2">
        <v>0</v>
      </c>
      <c r="G211" s="2">
        <v>0</v>
      </c>
      <c r="H211" s="2">
        <v>0</v>
      </c>
      <c r="I211" s="2">
        <v>0</v>
      </c>
      <c r="J211" s="2"/>
      <c r="K211" s="2">
        <v>91</v>
      </c>
      <c r="L211" s="2">
        <v>114</v>
      </c>
      <c r="M211" s="2">
        <v>102.5</v>
      </c>
      <c r="N211" s="2">
        <v>67</v>
      </c>
      <c r="O211" s="2">
        <v>0</v>
      </c>
      <c r="P211" s="2">
        <v>11</v>
      </c>
      <c r="Q211" s="2">
        <v>0</v>
      </c>
      <c r="R211" s="2">
        <v>1</v>
      </c>
      <c r="S211" s="2">
        <v>0</v>
      </c>
      <c r="T211" s="2">
        <v>10</v>
      </c>
      <c r="U211" s="2">
        <v>2</v>
      </c>
      <c r="V211" s="16"/>
      <c r="W211" s="239">
        <f t="shared" si="3"/>
        <v>0</v>
      </c>
    </row>
    <row r="212" spans="1:23" x14ac:dyDescent="0.25">
      <c r="A212" s="2">
        <v>540272</v>
      </c>
      <c r="B212" s="2" t="s">
        <v>315</v>
      </c>
      <c r="C212" s="238" t="s">
        <v>59</v>
      </c>
      <c r="D212" s="2" t="s">
        <v>115</v>
      </c>
      <c r="E212" s="2">
        <v>6</v>
      </c>
      <c r="F212" s="2">
        <v>27</v>
      </c>
      <c r="G212" s="2">
        <v>38</v>
      </c>
      <c r="H212" s="2">
        <v>32.5</v>
      </c>
      <c r="I212" s="2">
        <v>0</v>
      </c>
      <c r="J212" s="2"/>
      <c r="K212" s="2">
        <v>953</v>
      </c>
      <c r="L212" s="2">
        <v>451</v>
      </c>
      <c r="M212" s="2">
        <v>702</v>
      </c>
      <c r="N212" s="2">
        <v>260</v>
      </c>
      <c r="O212" s="2">
        <v>0</v>
      </c>
      <c r="P212" s="2">
        <v>251</v>
      </c>
      <c r="Q212" s="2">
        <v>1</v>
      </c>
      <c r="R212" s="2">
        <v>421</v>
      </c>
      <c r="S212" s="2">
        <v>0</v>
      </c>
      <c r="T212" s="2">
        <v>17</v>
      </c>
      <c r="U212" s="2">
        <v>3</v>
      </c>
      <c r="V212" s="16"/>
      <c r="W212" s="239">
        <f t="shared" si="3"/>
        <v>3.4102833158447012E-2</v>
      </c>
    </row>
    <row r="213" spans="1:23" x14ac:dyDescent="0.25">
      <c r="A213" s="2">
        <v>540141</v>
      </c>
      <c r="B213" s="2" t="s">
        <v>223</v>
      </c>
      <c r="C213" s="238" t="s">
        <v>59</v>
      </c>
      <c r="D213" s="2" t="s">
        <v>115</v>
      </c>
      <c r="E213" s="2">
        <v>6</v>
      </c>
      <c r="F213" s="2">
        <v>172</v>
      </c>
      <c r="G213" s="2">
        <v>183</v>
      </c>
      <c r="H213" s="2">
        <v>177.5</v>
      </c>
      <c r="I213" s="2">
        <v>0</v>
      </c>
      <c r="J213" s="2"/>
      <c r="K213" s="2">
        <v>12569</v>
      </c>
      <c r="L213" s="2">
        <v>7185</v>
      </c>
      <c r="M213" s="2">
        <v>9877</v>
      </c>
      <c r="N213" s="2">
        <v>7779</v>
      </c>
      <c r="O213" s="2">
        <v>0</v>
      </c>
      <c r="P213" s="2">
        <v>1524</v>
      </c>
      <c r="Q213" s="2">
        <v>5</v>
      </c>
      <c r="R213" s="2">
        <v>2416</v>
      </c>
      <c r="S213" s="2">
        <v>3</v>
      </c>
      <c r="T213" s="2">
        <v>763</v>
      </c>
      <c r="U213" s="2">
        <v>79</v>
      </c>
      <c r="V213" s="16"/>
      <c r="W213" s="239">
        <f t="shared" si="3"/>
        <v>1.4122046304399713E-2</v>
      </c>
    </row>
    <row r="214" spans="1:23" x14ac:dyDescent="0.25">
      <c r="A214" s="2">
        <v>540273</v>
      </c>
      <c r="B214" s="2" t="s">
        <v>316</v>
      </c>
      <c r="C214" s="238" t="s">
        <v>59</v>
      </c>
      <c r="D214" s="2" t="s">
        <v>115</v>
      </c>
      <c r="E214" s="2">
        <v>6</v>
      </c>
      <c r="F214" s="2">
        <v>1</v>
      </c>
      <c r="G214" s="2">
        <v>12</v>
      </c>
      <c r="H214" s="2">
        <v>6.5</v>
      </c>
      <c r="I214" s="2">
        <v>0</v>
      </c>
      <c r="J214" s="2"/>
      <c r="K214" s="2">
        <v>1067</v>
      </c>
      <c r="L214" s="2">
        <v>721</v>
      </c>
      <c r="M214" s="2">
        <v>894</v>
      </c>
      <c r="N214" s="2">
        <v>581</v>
      </c>
      <c r="O214" s="2">
        <v>0</v>
      </c>
      <c r="P214" s="2">
        <v>219</v>
      </c>
      <c r="Q214" s="2">
        <v>2</v>
      </c>
      <c r="R214" s="2">
        <v>202</v>
      </c>
      <c r="S214" s="2">
        <v>0</v>
      </c>
      <c r="T214" s="2">
        <v>61</v>
      </c>
      <c r="U214" s="2">
        <v>2</v>
      </c>
      <c r="V214" s="16"/>
      <c r="W214" s="239">
        <f t="shared" si="3"/>
        <v>6.0918462980318654E-3</v>
      </c>
    </row>
    <row r="215" spans="1:23" x14ac:dyDescent="0.25">
      <c r="A215" s="2">
        <v>540274</v>
      </c>
      <c r="B215" s="2" t="s">
        <v>317</v>
      </c>
      <c r="C215" s="238" t="s">
        <v>59</v>
      </c>
      <c r="D215" s="2" t="s">
        <v>115</v>
      </c>
      <c r="E215" s="2">
        <v>6</v>
      </c>
      <c r="F215" s="2">
        <v>26</v>
      </c>
      <c r="G215" s="2">
        <v>28</v>
      </c>
      <c r="H215" s="2">
        <v>27</v>
      </c>
      <c r="I215" s="2">
        <v>0</v>
      </c>
      <c r="J215" s="2"/>
      <c r="K215" s="2">
        <v>2172</v>
      </c>
      <c r="L215" s="2">
        <v>1781</v>
      </c>
      <c r="M215" s="2">
        <v>1976.5</v>
      </c>
      <c r="N215" s="2">
        <v>1706</v>
      </c>
      <c r="O215" s="2">
        <v>0</v>
      </c>
      <c r="P215" s="2">
        <v>326</v>
      </c>
      <c r="Q215" s="2">
        <v>0</v>
      </c>
      <c r="R215" s="2">
        <v>107</v>
      </c>
      <c r="S215" s="2">
        <v>1</v>
      </c>
      <c r="T215" s="2">
        <v>27</v>
      </c>
      <c r="U215" s="2">
        <v>5</v>
      </c>
      <c r="V215" s="16"/>
      <c r="W215" s="239">
        <f t="shared" si="3"/>
        <v>1.2430939226519336E-2</v>
      </c>
    </row>
    <row r="216" spans="1:23" x14ac:dyDescent="0.25">
      <c r="A216" s="23"/>
      <c r="B216" s="23"/>
      <c r="C216" s="240" t="s">
        <v>59</v>
      </c>
      <c r="D216" s="23" t="s">
        <v>1360</v>
      </c>
      <c r="E216" s="23"/>
      <c r="F216" s="23">
        <v>945</v>
      </c>
      <c r="G216" s="23">
        <v>1300</v>
      </c>
      <c r="H216" s="23">
        <v>1122.5</v>
      </c>
      <c r="I216" s="23">
        <v>0</v>
      </c>
      <c r="J216" s="23"/>
      <c r="K216" s="23">
        <v>52005</v>
      </c>
      <c r="L216" s="23">
        <v>36040</v>
      </c>
      <c r="M216" s="23">
        <v>44022.5</v>
      </c>
      <c r="N216" s="23">
        <v>32804</v>
      </c>
      <c r="O216" s="23">
        <v>858</v>
      </c>
      <c r="P216" s="23">
        <v>6478</v>
      </c>
      <c r="Q216" s="23">
        <v>60</v>
      </c>
      <c r="R216" s="23">
        <v>9971</v>
      </c>
      <c r="S216" s="23">
        <v>31</v>
      </c>
      <c r="T216" s="23">
        <v>1590</v>
      </c>
      <c r="U216" s="23">
        <v>213</v>
      </c>
      <c r="V216" s="75"/>
      <c r="W216" s="242">
        <f t="shared" si="3"/>
        <v>2.158446303240073E-2</v>
      </c>
    </row>
    <row r="217" spans="1:23" x14ac:dyDescent="0.25">
      <c r="A217" s="2">
        <v>540278</v>
      </c>
      <c r="B217" s="2" t="s">
        <v>104</v>
      </c>
      <c r="C217" s="238" t="s">
        <v>105</v>
      </c>
      <c r="D217" s="2" t="s">
        <v>5</v>
      </c>
      <c r="E217" s="2">
        <v>1</v>
      </c>
      <c r="F217" s="2">
        <v>303</v>
      </c>
      <c r="G217" s="2">
        <v>591</v>
      </c>
      <c r="H217" s="2">
        <v>447</v>
      </c>
      <c r="I217" s="2">
        <v>0</v>
      </c>
      <c r="J217" s="2"/>
      <c r="K217" s="2">
        <v>6278</v>
      </c>
      <c r="L217" s="2">
        <v>12408</v>
      </c>
      <c r="M217" s="2">
        <v>9343</v>
      </c>
      <c r="N217" s="2">
        <v>3867</v>
      </c>
      <c r="O217" s="2">
        <v>1965</v>
      </c>
      <c r="P217" s="2">
        <v>198</v>
      </c>
      <c r="Q217" s="2">
        <v>4</v>
      </c>
      <c r="R217" s="2">
        <v>0</v>
      </c>
      <c r="S217" s="2">
        <v>3</v>
      </c>
      <c r="T217" s="2">
        <v>139</v>
      </c>
      <c r="U217" s="2">
        <v>102</v>
      </c>
      <c r="V217" s="75"/>
      <c r="W217" s="239">
        <f t="shared" si="3"/>
        <v>7.1201019432940424E-2</v>
      </c>
    </row>
    <row r="218" spans="1:23" x14ac:dyDescent="0.25">
      <c r="A218" s="2">
        <v>540041</v>
      </c>
      <c r="B218" s="2" t="s">
        <v>142</v>
      </c>
      <c r="C218" s="238" t="s">
        <v>105</v>
      </c>
      <c r="D218" s="2" t="s">
        <v>115</v>
      </c>
      <c r="E218" s="2">
        <v>1</v>
      </c>
      <c r="F218" s="2">
        <v>79</v>
      </c>
      <c r="G218" s="2">
        <v>63</v>
      </c>
      <c r="H218" s="2">
        <v>71</v>
      </c>
      <c r="I218" s="2">
        <v>0</v>
      </c>
      <c r="J218" s="2"/>
      <c r="K218" s="2">
        <v>181</v>
      </c>
      <c r="L218" s="2">
        <v>109</v>
      </c>
      <c r="M218" s="2">
        <v>145</v>
      </c>
      <c r="N218" s="2">
        <v>120</v>
      </c>
      <c r="O218" s="2">
        <v>0</v>
      </c>
      <c r="P218" s="2">
        <v>36</v>
      </c>
      <c r="Q218" s="2">
        <v>0</v>
      </c>
      <c r="R218" s="2">
        <v>0</v>
      </c>
      <c r="S218" s="2">
        <v>0</v>
      </c>
      <c r="T218" s="2">
        <v>18</v>
      </c>
      <c r="U218" s="2">
        <v>7</v>
      </c>
      <c r="V218" s="75"/>
      <c r="W218" s="239">
        <f t="shared" si="3"/>
        <v>0.39226519337016574</v>
      </c>
    </row>
    <row r="219" spans="1:23" x14ac:dyDescent="0.25">
      <c r="A219" s="2">
        <v>540143</v>
      </c>
      <c r="B219" s="2" t="s">
        <v>224</v>
      </c>
      <c r="C219" s="238" t="s">
        <v>105</v>
      </c>
      <c r="D219" s="2" t="s">
        <v>115</v>
      </c>
      <c r="E219" s="2">
        <v>1</v>
      </c>
      <c r="F219" s="2">
        <v>24</v>
      </c>
      <c r="G219" s="2">
        <v>46</v>
      </c>
      <c r="H219" s="2">
        <v>35</v>
      </c>
      <c r="I219" s="2">
        <v>0</v>
      </c>
      <c r="J219" s="2"/>
      <c r="K219" s="2">
        <v>340</v>
      </c>
      <c r="L219" s="2">
        <v>331</v>
      </c>
      <c r="M219" s="2">
        <v>335.5</v>
      </c>
      <c r="N219" s="2">
        <v>223</v>
      </c>
      <c r="O219" s="2">
        <v>5</v>
      </c>
      <c r="P219" s="2">
        <v>83</v>
      </c>
      <c r="Q219" s="2">
        <v>0</v>
      </c>
      <c r="R219" s="2">
        <v>0</v>
      </c>
      <c r="S219" s="2">
        <v>1</v>
      </c>
      <c r="T219" s="2">
        <v>23</v>
      </c>
      <c r="U219" s="2">
        <v>5</v>
      </c>
      <c r="V219" s="75"/>
      <c r="W219" s="239">
        <f t="shared" si="3"/>
        <v>0.10294117647058823</v>
      </c>
    </row>
    <row r="220" spans="1:23" x14ac:dyDescent="0.25">
      <c r="A220" s="2">
        <v>540290</v>
      </c>
      <c r="B220" s="2" t="s">
        <v>327</v>
      </c>
      <c r="C220" s="238" t="s">
        <v>105</v>
      </c>
      <c r="D220" s="2" t="s">
        <v>115</v>
      </c>
      <c r="E220" s="2">
        <v>1</v>
      </c>
      <c r="F220" s="2">
        <v>0</v>
      </c>
      <c r="G220" s="2">
        <v>0</v>
      </c>
      <c r="H220" s="2">
        <v>0</v>
      </c>
      <c r="I220" s="2">
        <v>0</v>
      </c>
      <c r="J220" s="2"/>
      <c r="K220" s="2">
        <v>378</v>
      </c>
      <c r="L220" s="2">
        <v>359</v>
      </c>
      <c r="M220" s="2">
        <v>368.5</v>
      </c>
      <c r="N220" s="2">
        <v>237</v>
      </c>
      <c r="O220" s="2">
        <v>2</v>
      </c>
      <c r="P220" s="2">
        <v>93</v>
      </c>
      <c r="Q220" s="2">
        <v>1</v>
      </c>
      <c r="R220" s="2">
        <v>0</v>
      </c>
      <c r="S220" s="2">
        <v>1</v>
      </c>
      <c r="T220" s="2">
        <v>42</v>
      </c>
      <c r="U220" s="2">
        <v>2</v>
      </c>
      <c r="V220" s="75"/>
      <c r="W220" s="239">
        <f t="shared" si="3"/>
        <v>0</v>
      </c>
    </row>
    <row r="221" spans="1:23" x14ac:dyDescent="0.25">
      <c r="A221" s="23"/>
      <c r="B221" s="23"/>
      <c r="C221" s="240" t="s">
        <v>105</v>
      </c>
      <c r="D221" s="23" t="s">
        <v>1360</v>
      </c>
      <c r="E221" s="23"/>
      <c r="F221" s="23">
        <v>406</v>
      </c>
      <c r="G221" s="23">
        <v>700</v>
      </c>
      <c r="H221" s="23">
        <v>553</v>
      </c>
      <c r="I221" s="23">
        <v>0</v>
      </c>
      <c r="J221" s="23"/>
      <c r="K221" s="23">
        <v>7177</v>
      </c>
      <c r="L221" s="23">
        <v>13207</v>
      </c>
      <c r="M221" s="23">
        <v>10192</v>
      </c>
      <c r="N221" s="23">
        <v>4447</v>
      </c>
      <c r="O221" s="23">
        <v>1972</v>
      </c>
      <c r="P221" s="23">
        <v>410</v>
      </c>
      <c r="Q221" s="23">
        <v>5</v>
      </c>
      <c r="R221" s="23">
        <v>0</v>
      </c>
      <c r="S221" s="23">
        <v>5</v>
      </c>
      <c r="T221" s="23">
        <v>222</v>
      </c>
      <c r="U221" s="23">
        <v>116</v>
      </c>
      <c r="V221" s="75"/>
      <c r="W221" s="242">
        <f t="shared" si="3"/>
        <v>7.7051692907900232E-2</v>
      </c>
    </row>
    <row r="222" spans="1:23" x14ac:dyDescent="0.25">
      <c r="A222" s="2">
        <v>540144</v>
      </c>
      <c r="B222" s="2" t="s">
        <v>60</v>
      </c>
      <c r="C222" s="238" t="s">
        <v>61</v>
      </c>
      <c r="D222" s="2" t="s">
        <v>5</v>
      </c>
      <c r="E222" s="2">
        <v>9</v>
      </c>
      <c r="F222" s="2">
        <v>767</v>
      </c>
      <c r="G222" s="2">
        <v>420</v>
      </c>
      <c r="H222" s="2">
        <v>593.5</v>
      </c>
      <c r="I222" s="2">
        <v>0</v>
      </c>
      <c r="J222" s="2"/>
      <c r="K222" s="2">
        <v>15642</v>
      </c>
      <c r="L222" s="2">
        <v>10682</v>
      </c>
      <c r="M222" s="2">
        <v>13162</v>
      </c>
      <c r="N222" s="2">
        <v>12722</v>
      </c>
      <c r="O222" s="2">
        <v>1727</v>
      </c>
      <c r="P222" s="2">
        <v>735</v>
      </c>
      <c r="Q222" s="2">
        <v>54</v>
      </c>
      <c r="R222" s="2">
        <v>1</v>
      </c>
      <c r="S222" s="2">
        <v>14</v>
      </c>
      <c r="T222" s="2">
        <v>305</v>
      </c>
      <c r="U222" s="2">
        <v>84</v>
      </c>
      <c r="V222" s="16"/>
      <c r="W222" s="239">
        <f t="shared" si="3"/>
        <v>3.7942718322465159E-2</v>
      </c>
    </row>
    <row r="223" spans="1:23" x14ac:dyDescent="0.25">
      <c r="A223" s="2">
        <v>540005</v>
      </c>
      <c r="B223" s="2" t="s">
        <v>118</v>
      </c>
      <c r="C223" s="238" t="s">
        <v>61</v>
      </c>
      <c r="D223" s="2" t="s">
        <v>115</v>
      </c>
      <c r="E223" s="2">
        <v>9</v>
      </c>
      <c r="F223" s="2">
        <v>91</v>
      </c>
      <c r="G223" s="2">
        <v>89</v>
      </c>
      <c r="H223" s="2">
        <v>90</v>
      </c>
      <c r="I223" s="2">
        <v>0</v>
      </c>
      <c r="J223" s="2"/>
      <c r="K223" s="2">
        <v>510</v>
      </c>
      <c r="L223" s="2">
        <v>393</v>
      </c>
      <c r="M223" s="2">
        <v>451.5</v>
      </c>
      <c r="N223" s="2">
        <v>349</v>
      </c>
      <c r="O223" s="2">
        <v>0</v>
      </c>
      <c r="P223" s="2">
        <v>115</v>
      </c>
      <c r="Q223" s="2">
        <v>0</v>
      </c>
      <c r="R223" s="2">
        <v>0</v>
      </c>
      <c r="S223" s="2">
        <v>2</v>
      </c>
      <c r="T223" s="2">
        <v>44</v>
      </c>
      <c r="U223" s="2">
        <v>0</v>
      </c>
      <c r="V223" s="16"/>
      <c r="W223" s="239">
        <f t="shared" si="3"/>
        <v>0.17647058823529413</v>
      </c>
    </row>
    <row r="224" spans="1:23" x14ac:dyDescent="0.25">
      <c r="A224" s="2">
        <v>540252</v>
      </c>
      <c r="B224" s="2" t="s">
        <v>298</v>
      </c>
      <c r="C224" s="238" t="s">
        <v>61</v>
      </c>
      <c r="D224" s="2" t="s">
        <v>115</v>
      </c>
      <c r="E224" s="2">
        <v>9</v>
      </c>
      <c r="F224" s="2">
        <v>55</v>
      </c>
      <c r="G224" s="2">
        <v>38</v>
      </c>
      <c r="H224" s="2">
        <v>46.5</v>
      </c>
      <c r="I224" s="2">
        <v>0</v>
      </c>
      <c r="J224" s="2"/>
      <c r="K224" s="2">
        <v>351</v>
      </c>
      <c r="L224" s="2">
        <v>293</v>
      </c>
      <c r="M224" s="2">
        <v>322</v>
      </c>
      <c r="N224" s="2">
        <v>262</v>
      </c>
      <c r="O224" s="2">
        <v>7</v>
      </c>
      <c r="P224" s="2">
        <v>45</v>
      </c>
      <c r="Q224" s="2">
        <v>0</v>
      </c>
      <c r="R224" s="2">
        <v>0</v>
      </c>
      <c r="S224" s="2">
        <v>6</v>
      </c>
      <c r="T224" s="2">
        <v>28</v>
      </c>
      <c r="U224" s="2">
        <v>3</v>
      </c>
      <c r="V224" s="16"/>
      <c r="W224" s="239">
        <f t="shared" si="3"/>
        <v>0.13247863247863248</v>
      </c>
    </row>
    <row r="225" spans="1:23" x14ac:dyDescent="0.25">
      <c r="A225" s="23"/>
      <c r="B225" s="23"/>
      <c r="C225" s="240" t="s">
        <v>61</v>
      </c>
      <c r="D225" s="23" t="s">
        <v>1360</v>
      </c>
      <c r="E225" s="23"/>
      <c r="F225" s="23">
        <v>913</v>
      </c>
      <c r="G225" s="23">
        <v>547</v>
      </c>
      <c r="H225" s="23">
        <v>730</v>
      </c>
      <c r="I225" s="23">
        <v>0</v>
      </c>
      <c r="J225" s="23"/>
      <c r="K225" s="23">
        <v>16503</v>
      </c>
      <c r="L225" s="23">
        <v>11368</v>
      </c>
      <c r="M225" s="23">
        <v>13935.5</v>
      </c>
      <c r="N225" s="23">
        <v>13333</v>
      </c>
      <c r="O225" s="23">
        <v>1734</v>
      </c>
      <c r="P225" s="23">
        <v>895</v>
      </c>
      <c r="Q225" s="23">
        <v>54</v>
      </c>
      <c r="R225" s="23">
        <v>1</v>
      </c>
      <c r="S225" s="23">
        <v>22</v>
      </c>
      <c r="T225" s="23">
        <v>377</v>
      </c>
      <c r="U225" s="23">
        <v>87</v>
      </c>
      <c r="V225" s="75"/>
      <c r="W225" s="242">
        <f t="shared" si="3"/>
        <v>4.4234381627582864E-2</v>
      </c>
    </row>
    <row r="226" spans="1:23" x14ac:dyDescent="0.25">
      <c r="A226" s="2">
        <v>540146</v>
      </c>
      <c r="B226" s="2" t="s">
        <v>62</v>
      </c>
      <c r="C226" s="238" t="s">
        <v>63</v>
      </c>
      <c r="D226" s="2" t="s">
        <v>5</v>
      </c>
      <c r="E226" s="2">
        <v>4</v>
      </c>
      <c r="F226" s="2">
        <v>733</v>
      </c>
      <c r="G226" s="2">
        <v>816</v>
      </c>
      <c r="H226" s="2">
        <v>774.5</v>
      </c>
      <c r="I226" s="2">
        <v>0</v>
      </c>
      <c r="J226" s="2"/>
      <c r="K226" s="2">
        <v>14217</v>
      </c>
      <c r="L226" s="2">
        <v>13678</v>
      </c>
      <c r="M226" s="2">
        <v>13947.5</v>
      </c>
      <c r="N226" s="2">
        <v>10229</v>
      </c>
      <c r="O226" s="2">
        <v>2996</v>
      </c>
      <c r="P226" s="2">
        <v>667</v>
      </c>
      <c r="Q226" s="2">
        <v>66</v>
      </c>
      <c r="R226" s="2">
        <v>0</v>
      </c>
      <c r="S226" s="2">
        <v>20</v>
      </c>
      <c r="T226" s="2">
        <v>26</v>
      </c>
      <c r="U226" s="2">
        <v>213</v>
      </c>
      <c r="V226" s="16"/>
      <c r="W226" s="239">
        <f t="shared" si="3"/>
        <v>5.4477034536118733E-2</v>
      </c>
    </row>
    <row r="227" spans="1:23" x14ac:dyDescent="0.25">
      <c r="A227" s="2">
        <v>540147</v>
      </c>
      <c r="B227" s="2" t="s">
        <v>225</v>
      </c>
      <c r="C227" s="238" t="s">
        <v>63</v>
      </c>
      <c r="D227" s="2" t="s">
        <v>115</v>
      </c>
      <c r="E227" s="2">
        <v>4</v>
      </c>
      <c r="F227" s="2">
        <v>366</v>
      </c>
      <c r="G227" s="2">
        <v>376</v>
      </c>
      <c r="H227" s="2">
        <v>371</v>
      </c>
      <c r="I227" s="2">
        <v>0</v>
      </c>
      <c r="J227" s="2"/>
      <c r="K227" s="2">
        <v>1335</v>
      </c>
      <c r="L227" s="2">
        <v>1186</v>
      </c>
      <c r="M227" s="2">
        <v>1260.5</v>
      </c>
      <c r="N227" s="2">
        <v>1135</v>
      </c>
      <c r="O227" s="2">
        <v>2</v>
      </c>
      <c r="P227" s="2">
        <v>151</v>
      </c>
      <c r="Q227" s="2">
        <v>2</v>
      </c>
      <c r="R227" s="2">
        <v>0</v>
      </c>
      <c r="S227" s="2">
        <v>5</v>
      </c>
      <c r="T227" s="2">
        <v>25</v>
      </c>
      <c r="U227" s="2">
        <v>15</v>
      </c>
      <c r="V227" s="16"/>
      <c r="W227" s="239">
        <f t="shared" si="3"/>
        <v>0.27790262172284647</v>
      </c>
    </row>
    <row r="228" spans="1:23" x14ac:dyDescent="0.25">
      <c r="A228" s="2">
        <v>540148</v>
      </c>
      <c r="B228" s="2" t="s">
        <v>226</v>
      </c>
      <c r="C228" s="238" t="s">
        <v>63</v>
      </c>
      <c r="D228" s="2" t="s">
        <v>115</v>
      </c>
      <c r="E228" s="2">
        <v>4</v>
      </c>
      <c r="F228" s="2">
        <v>52</v>
      </c>
      <c r="G228" s="2">
        <v>61</v>
      </c>
      <c r="H228" s="2">
        <v>56.5</v>
      </c>
      <c r="I228" s="2">
        <v>0</v>
      </c>
      <c r="J228" s="2"/>
      <c r="K228" s="2">
        <v>1910</v>
      </c>
      <c r="L228" s="2">
        <v>1663</v>
      </c>
      <c r="M228" s="2">
        <v>1786.5</v>
      </c>
      <c r="N228" s="2">
        <v>1332</v>
      </c>
      <c r="O228" s="2">
        <v>2</v>
      </c>
      <c r="P228" s="2">
        <v>547</v>
      </c>
      <c r="Q228" s="2">
        <v>0</v>
      </c>
      <c r="R228" s="2">
        <v>0</v>
      </c>
      <c r="S228" s="2">
        <v>2</v>
      </c>
      <c r="T228" s="2">
        <v>5</v>
      </c>
      <c r="U228" s="2">
        <v>22</v>
      </c>
      <c r="V228" s="16"/>
      <c r="W228" s="239">
        <f t="shared" si="3"/>
        <v>2.9581151832460732E-2</v>
      </c>
    </row>
    <row r="229" spans="1:23" x14ac:dyDescent="0.25">
      <c r="A229" s="23"/>
      <c r="B229" s="23"/>
      <c r="C229" s="240" t="s">
        <v>63</v>
      </c>
      <c r="D229" s="23" t="s">
        <v>1360</v>
      </c>
      <c r="E229" s="23"/>
      <c r="F229" s="23">
        <v>1151</v>
      </c>
      <c r="G229" s="23">
        <v>1253</v>
      </c>
      <c r="H229" s="23">
        <v>1202</v>
      </c>
      <c r="I229" s="23">
        <v>0</v>
      </c>
      <c r="J229" s="23"/>
      <c r="K229" s="23">
        <v>17462</v>
      </c>
      <c r="L229" s="23">
        <v>16527</v>
      </c>
      <c r="M229" s="23">
        <v>16994.5</v>
      </c>
      <c r="N229" s="23">
        <v>12696</v>
      </c>
      <c r="O229" s="23">
        <v>3000</v>
      </c>
      <c r="P229" s="23">
        <v>1365</v>
      </c>
      <c r="Q229" s="23">
        <v>68</v>
      </c>
      <c r="R229" s="23">
        <v>0</v>
      </c>
      <c r="S229" s="23">
        <v>27</v>
      </c>
      <c r="T229" s="23">
        <v>56</v>
      </c>
      <c r="U229" s="23">
        <v>250</v>
      </c>
      <c r="V229" s="75"/>
      <c r="W229" s="242">
        <f t="shared" si="3"/>
        <v>6.8835184973084412E-2</v>
      </c>
    </row>
    <row r="230" spans="1:23" x14ac:dyDescent="0.25">
      <c r="A230" s="2">
        <v>540149</v>
      </c>
      <c r="B230" s="2" t="s">
        <v>64</v>
      </c>
      <c r="C230" s="238" t="s">
        <v>65</v>
      </c>
      <c r="D230" s="2" t="s">
        <v>5</v>
      </c>
      <c r="E230" s="2">
        <v>10</v>
      </c>
      <c r="F230" s="2">
        <v>305</v>
      </c>
      <c r="G230" s="2">
        <v>439</v>
      </c>
      <c r="H230" s="2">
        <v>372</v>
      </c>
      <c r="I230" s="2">
        <v>0</v>
      </c>
      <c r="J230" s="2"/>
      <c r="K230" s="2">
        <v>5038</v>
      </c>
      <c r="L230" s="2">
        <v>6270</v>
      </c>
      <c r="M230" s="2">
        <v>5654</v>
      </c>
      <c r="N230" s="2">
        <v>3685</v>
      </c>
      <c r="O230" s="2">
        <v>504</v>
      </c>
      <c r="P230" s="2">
        <v>545</v>
      </c>
      <c r="Q230" s="2">
        <v>15</v>
      </c>
      <c r="R230" s="2">
        <v>20</v>
      </c>
      <c r="S230" s="2">
        <v>6</v>
      </c>
      <c r="T230" s="2">
        <v>208</v>
      </c>
      <c r="U230" s="2">
        <v>55</v>
      </c>
      <c r="V230" s="16"/>
      <c r="W230" s="239">
        <f t="shared" si="3"/>
        <v>7.3838824930527985E-2</v>
      </c>
    </row>
    <row r="231" spans="1:23" x14ac:dyDescent="0.25">
      <c r="A231" s="2">
        <v>540275</v>
      </c>
      <c r="B231" s="2" t="s">
        <v>318</v>
      </c>
      <c r="C231" s="238" t="s">
        <v>65</v>
      </c>
      <c r="D231" s="2" t="s">
        <v>115</v>
      </c>
      <c r="E231" s="2">
        <v>10</v>
      </c>
      <c r="F231" s="2">
        <v>0</v>
      </c>
      <c r="G231" s="2">
        <v>0</v>
      </c>
      <c r="H231" s="2">
        <v>0</v>
      </c>
      <c r="I231" s="2">
        <v>0</v>
      </c>
      <c r="J231" s="2"/>
      <c r="K231" s="2">
        <v>1122</v>
      </c>
      <c r="L231" s="2">
        <v>1176</v>
      </c>
      <c r="M231" s="2">
        <v>1149</v>
      </c>
      <c r="N231" s="2">
        <v>1075</v>
      </c>
      <c r="O231" s="2">
        <v>0</v>
      </c>
      <c r="P231" s="2">
        <v>25</v>
      </c>
      <c r="Q231" s="2">
        <v>0</v>
      </c>
      <c r="R231" s="2">
        <v>7</v>
      </c>
      <c r="S231" s="2">
        <v>0</v>
      </c>
      <c r="T231" s="2">
        <v>9</v>
      </c>
      <c r="U231" s="2">
        <v>6</v>
      </c>
      <c r="V231" s="16"/>
      <c r="W231" s="239">
        <f t="shared" si="3"/>
        <v>0</v>
      </c>
    </row>
    <row r="232" spans="1:23" x14ac:dyDescent="0.25">
      <c r="A232" s="2">
        <v>540080</v>
      </c>
      <c r="B232" s="2" t="s">
        <v>175</v>
      </c>
      <c r="C232" s="238" t="s">
        <v>65</v>
      </c>
      <c r="D232" s="2" t="s">
        <v>115</v>
      </c>
      <c r="E232" s="2">
        <v>10</v>
      </c>
      <c r="F232" s="2">
        <v>0</v>
      </c>
      <c r="G232" s="2">
        <v>0</v>
      </c>
      <c r="H232" s="2">
        <v>0</v>
      </c>
      <c r="I232" s="2">
        <v>0</v>
      </c>
      <c r="J232" s="2"/>
      <c r="K232" s="2">
        <v>206</v>
      </c>
      <c r="L232" s="2">
        <v>265</v>
      </c>
      <c r="M232" s="2">
        <v>235.5</v>
      </c>
      <c r="N232" s="2">
        <v>202</v>
      </c>
      <c r="O232" s="2">
        <v>1</v>
      </c>
      <c r="P232" s="2">
        <v>1</v>
      </c>
      <c r="Q232" s="2">
        <v>0</v>
      </c>
      <c r="R232" s="2">
        <v>0</v>
      </c>
      <c r="S232" s="2">
        <v>0</v>
      </c>
      <c r="T232" s="2">
        <v>1</v>
      </c>
      <c r="U232" s="2">
        <v>1</v>
      </c>
      <c r="V232" s="16"/>
      <c r="W232" s="239">
        <f t="shared" si="3"/>
        <v>0</v>
      </c>
    </row>
    <row r="233" spans="1:23" x14ac:dyDescent="0.25">
      <c r="A233" s="2">
        <v>540150</v>
      </c>
      <c r="B233" s="2" t="s">
        <v>227</v>
      </c>
      <c r="C233" s="238" t="s">
        <v>65</v>
      </c>
      <c r="D233" s="2" t="s">
        <v>115</v>
      </c>
      <c r="E233" s="2">
        <v>10</v>
      </c>
      <c r="F233" s="2">
        <v>97</v>
      </c>
      <c r="G233" s="2">
        <v>152</v>
      </c>
      <c r="H233" s="2">
        <v>124.5</v>
      </c>
      <c r="I233" s="2">
        <v>0</v>
      </c>
      <c r="J233" s="2"/>
      <c r="K233" s="2">
        <v>431</v>
      </c>
      <c r="L233" s="2">
        <v>510</v>
      </c>
      <c r="M233" s="2">
        <v>470.5</v>
      </c>
      <c r="N233" s="2">
        <v>334</v>
      </c>
      <c r="O233" s="2">
        <v>0</v>
      </c>
      <c r="P233" s="2">
        <v>69</v>
      </c>
      <c r="Q233" s="2">
        <v>0</v>
      </c>
      <c r="R233" s="2">
        <v>9</v>
      </c>
      <c r="S233" s="2">
        <v>0</v>
      </c>
      <c r="T233" s="2">
        <v>15</v>
      </c>
      <c r="U233" s="2">
        <v>4</v>
      </c>
      <c r="V233" s="16"/>
      <c r="W233" s="239">
        <f t="shared" si="3"/>
        <v>0.28886310904872392</v>
      </c>
    </row>
    <row r="234" spans="1:23" x14ac:dyDescent="0.25">
      <c r="A234" s="2">
        <v>540151</v>
      </c>
      <c r="B234" s="2" t="s">
        <v>228</v>
      </c>
      <c r="C234" s="238" t="s">
        <v>65</v>
      </c>
      <c r="D234" s="2" t="s">
        <v>115</v>
      </c>
      <c r="E234" s="2">
        <v>10</v>
      </c>
      <c r="F234" s="2">
        <v>53</v>
      </c>
      <c r="G234" s="2">
        <v>82</v>
      </c>
      <c r="H234" s="2">
        <v>67.5</v>
      </c>
      <c r="I234" s="2">
        <v>0</v>
      </c>
      <c r="J234" s="2"/>
      <c r="K234" s="2">
        <v>182</v>
      </c>
      <c r="L234" s="2">
        <v>196</v>
      </c>
      <c r="M234" s="2">
        <v>189</v>
      </c>
      <c r="N234" s="2">
        <v>146</v>
      </c>
      <c r="O234" s="2">
        <v>2</v>
      </c>
      <c r="P234" s="2">
        <v>23</v>
      </c>
      <c r="Q234" s="2">
        <v>0</v>
      </c>
      <c r="R234" s="2">
        <v>3</v>
      </c>
      <c r="S234" s="2">
        <v>0</v>
      </c>
      <c r="T234" s="2">
        <v>6</v>
      </c>
      <c r="U234" s="2">
        <v>2</v>
      </c>
      <c r="V234" s="16"/>
      <c r="W234" s="239">
        <f t="shared" si="3"/>
        <v>0.37087912087912089</v>
      </c>
    </row>
    <row r="235" spans="1:23" x14ac:dyDescent="0.25">
      <c r="A235" s="2">
        <v>540094</v>
      </c>
      <c r="B235" s="2" t="s">
        <v>185</v>
      </c>
      <c r="C235" s="238" t="s">
        <v>65</v>
      </c>
      <c r="D235" s="2" t="s">
        <v>115</v>
      </c>
      <c r="E235" s="2">
        <v>10</v>
      </c>
      <c r="F235" s="2">
        <v>11</v>
      </c>
      <c r="G235" s="2">
        <v>21</v>
      </c>
      <c r="H235" s="2">
        <v>16</v>
      </c>
      <c r="I235" s="2">
        <v>0</v>
      </c>
      <c r="J235" s="2"/>
      <c r="K235" s="2">
        <v>279</v>
      </c>
      <c r="L235" s="2">
        <v>309</v>
      </c>
      <c r="M235" s="2">
        <v>294</v>
      </c>
      <c r="N235" s="2">
        <v>173</v>
      </c>
      <c r="O235" s="2">
        <v>7</v>
      </c>
      <c r="P235" s="2">
        <v>12</v>
      </c>
      <c r="Q235" s="2">
        <v>0</v>
      </c>
      <c r="R235" s="2">
        <v>14</v>
      </c>
      <c r="S235" s="2">
        <v>1</v>
      </c>
      <c r="T235" s="2">
        <v>72</v>
      </c>
      <c r="U235" s="2">
        <v>0</v>
      </c>
      <c r="V235" s="16"/>
      <c r="W235" s="239">
        <f t="shared" si="3"/>
        <v>5.7347670250896057E-2</v>
      </c>
    </row>
    <row r="236" spans="1:23" x14ac:dyDescent="0.25">
      <c r="A236" s="2">
        <v>540152</v>
      </c>
      <c r="B236" s="2" t="s">
        <v>229</v>
      </c>
      <c r="C236" s="238" t="s">
        <v>65</v>
      </c>
      <c r="D236" s="2" t="s">
        <v>115</v>
      </c>
      <c r="E236" s="2">
        <v>10</v>
      </c>
      <c r="F236" s="2">
        <v>2658</v>
      </c>
      <c r="G236" s="2">
        <v>2355</v>
      </c>
      <c r="H236" s="2">
        <v>2506.5</v>
      </c>
      <c r="I236" s="2">
        <v>0</v>
      </c>
      <c r="J236" s="2"/>
      <c r="K236" s="2">
        <v>12014</v>
      </c>
      <c r="L236" s="2">
        <v>10870</v>
      </c>
      <c r="M236" s="2">
        <v>11442</v>
      </c>
      <c r="N236" s="2">
        <v>9881</v>
      </c>
      <c r="O236" s="2">
        <v>2</v>
      </c>
      <c r="P236" s="2">
        <v>1191</v>
      </c>
      <c r="Q236" s="2">
        <v>22</v>
      </c>
      <c r="R236" s="2">
        <v>128</v>
      </c>
      <c r="S236" s="2">
        <v>12</v>
      </c>
      <c r="T236" s="2">
        <v>645</v>
      </c>
      <c r="U236" s="2">
        <v>133</v>
      </c>
      <c r="V236" s="16"/>
      <c r="W236" s="239">
        <f t="shared" si="3"/>
        <v>0.20863159647078408</v>
      </c>
    </row>
    <row r="237" spans="1:23" x14ac:dyDescent="0.25">
      <c r="A237" s="23"/>
      <c r="B237" s="23"/>
      <c r="C237" s="240" t="s">
        <v>65</v>
      </c>
      <c r="D237" s="23" t="s">
        <v>1360</v>
      </c>
      <c r="E237" s="23"/>
      <c r="F237" s="23">
        <v>3124</v>
      </c>
      <c r="G237" s="23">
        <v>3049</v>
      </c>
      <c r="H237" s="23">
        <v>3086.5</v>
      </c>
      <c r="I237" s="23">
        <v>0</v>
      </c>
      <c r="J237" s="23"/>
      <c r="K237" s="23">
        <v>19272</v>
      </c>
      <c r="L237" s="23">
        <v>19596</v>
      </c>
      <c r="M237" s="23">
        <v>19434</v>
      </c>
      <c r="N237" s="23">
        <v>15496</v>
      </c>
      <c r="O237" s="23">
        <v>516</v>
      </c>
      <c r="P237" s="23">
        <v>1866</v>
      </c>
      <c r="Q237" s="23">
        <v>37</v>
      </c>
      <c r="R237" s="23">
        <v>181</v>
      </c>
      <c r="S237" s="23">
        <v>19</v>
      </c>
      <c r="T237" s="23">
        <v>956</v>
      </c>
      <c r="U237" s="23">
        <v>201</v>
      </c>
      <c r="V237" s="75"/>
      <c r="W237" s="242">
        <f t="shared" si="3"/>
        <v>0.1601546284765463</v>
      </c>
    </row>
    <row r="238" spans="1:23" x14ac:dyDescent="0.25">
      <c r="A238" s="2">
        <v>540153</v>
      </c>
      <c r="B238" s="2" t="s">
        <v>66</v>
      </c>
      <c r="C238" s="238" t="s">
        <v>67</v>
      </c>
      <c r="D238" s="2" t="s">
        <v>5</v>
      </c>
      <c r="E238" s="2">
        <v>8</v>
      </c>
      <c r="F238" s="2">
        <v>639</v>
      </c>
      <c r="G238" s="2">
        <v>1194</v>
      </c>
      <c r="H238" s="2">
        <v>916.5</v>
      </c>
      <c r="I238" s="2">
        <v>0</v>
      </c>
      <c r="J238" s="2"/>
      <c r="K238" s="2">
        <v>6285</v>
      </c>
      <c r="L238" s="2">
        <v>8873</v>
      </c>
      <c r="M238" s="2">
        <v>7579</v>
      </c>
      <c r="N238" s="2">
        <v>3803</v>
      </c>
      <c r="O238" s="2">
        <v>1674</v>
      </c>
      <c r="P238" s="2">
        <v>475</v>
      </c>
      <c r="Q238" s="2">
        <v>12</v>
      </c>
      <c r="R238" s="2">
        <v>0</v>
      </c>
      <c r="S238" s="2">
        <v>12</v>
      </c>
      <c r="T238" s="2">
        <v>279</v>
      </c>
      <c r="U238" s="2">
        <v>30</v>
      </c>
      <c r="V238" s="16"/>
      <c r="W238" s="239">
        <f t="shared" si="3"/>
        <v>0.1458233890214797</v>
      </c>
    </row>
    <row r="239" spans="1:23" x14ac:dyDescent="0.25">
      <c r="A239" s="2">
        <v>540154</v>
      </c>
      <c r="B239" s="2" t="s">
        <v>230</v>
      </c>
      <c r="C239" s="238" t="s">
        <v>67</v>
      </c>
      <c r="D239" s="2" t="s">
        <v>115</v>
      </c>
      <c r="E239" s="2">
        <v>8</v>
      </c>
      <c r="F239" s="2">
        <v>20</v>
      </c>
      <c r="G239" s="2">
        <v>24</v>
      </c>
      <c r="H239" s="2">
        <v>22</v>
      </c>
      <c r="I239" s="2">
        <v>0</v>
      </c>
      <c r="J239" s="2"/>
      <c r="K239" s="2">
        <v>532</v>
      </c>
      <c r="L239" s="2">
        <v>460</v>
      </c>
      <c r="M239" s="2">
        <v>496</v>
      </c>
      <c r="N239" s="2">
        <v>289</v>
      </c>
      <c r="O239" s="2">
        <v>1</v>
      </c>
      <c r="P239" s="2">
        <v>148</v>
      </c>
      <c r="Q239" s="2">
        <v>2</v>
      </c>
      <c r="R239" s="2">
        <v>0</v>
      </c>
      <c r="S239" s="2">
        <v>2</v>
      </c>
      <c r="T239" s="2">
        <v>88</v>
      </c>
      <c r="U239" s="2">
        <v>2</v>
      </c>
      <c r="V239" s="16"/>
      <c r="W239" s="239">
        <f t="shared" si="3"/>
        <v>4.1353383458646614E-2</v>
      </c>
    </row>
    <row r="240" spans="1:23" x14ac:dyDescent="0.25">
      <c r="A240" s="23"/>
      <c r="B240" s="23"/>
      <c r="C240" s="240" t="s">
        <v>67</v>
      </c>
      <c r="D240" s="23" t="s">
        <v>1360</v>
      </c>
      <c r="E240" s="23"/>
      <c r="F240" s="23">
        <v>659</v>
      </c>
      <c r="G240" s="23">
        <v>1218</v>
      </c>
      <c r="H240" s="23">
        <v>938.5</v>
      </c>
      <c r="I240" s="23">
        <v>0</v>
      </c>
      <c r="J240" s="23"/>
      <c r="K240" s="23">
        <v>6817</v>
      </c>
      <c r="L240" s="23">
        <v>9333</v>
      </c>
      <c r="M240" s="23">
        <v>8075</v>
      </c>
      <c r="N240" s="23">
        <v>4092</v>
      </c>
      <c r="O240" s="23">
        <v>1675</v>
      </c>
      <c r="P240" s="23">
        <v>623</v>
      </c>
      <c r="Q240" s="23">
        <v>14</v>
      </c>
      <c r="R240" s="23">
        <v>0</v>
      </c>
      <c r="S240" s="23">
        <v>14</v>
      </c>
      <c r="T240" s="23">
        <v>367</v>
      </c>
      <c r="U240" s="23">
        <v>32</v>
      </c>
      <c r="V240" s="75"/>
      <c r="W240" s="242">
        <f t="shared" si="3"/>
        <v>0.13767052955845679</v>
      </c>
    </row>
    <row r="241" spans="1:23" x14ac:dyDescent="0.25">
      <c r="A241" s="2">
        <v>540225</v>
      </c>
      <c r="B241" s="2" t="s">
        <v>98</v>
      </c>
      <c r="C241" s="238" t="s">
        <v>99</v>
      </c>
      <c r="D241" s="2" t="s">
        <v>5</v>
      </c>
      <c r="E241" s="2">
        <v>5</v>
      </c>
      <c r="F241" s="2">
        <v>482</v>
      </c>
      <c r="G241" s="2">
        <v>330</v>
      </c>
      <c r="H241" s="2">
        <v>406</v>
      </c>
      <c r="I241" s="2">
        <v>0</v>
      </c>
      <c r="J241" s="2"/>
      <c r="K241" s="2">
        <v>4693</v>
      </c>
      <c r="L241" s="2">
        <v>3570</v>
      </c>
      <c r="M241" s="2">
        <v>4131.5</v>
      </c>
      <c r="N241" s="2">
        <v>2890</v>
      </c>
      <c r="O241" s="2">
        <v>1312</v>
      </c>
      <c r="P241" s="2">
        <v>205</v>
      </c>
      <c r="Q241" s="2">
        <v>69</v>
      </c>
      <c r="R241" s="2">
        <v>0</v>
      </c>
      <c r="S241" s="2">
        <v>67</v>
      </c>
      <c r="T241" s="2">
        <v>110</v>
      </c>
      <c r="U241" s="2">
        <v>40</v>
      </c>
      <c r="V241" s="16"/>
      <c r="W241" s="239">
        <f t="shared" si="3"/>
        <v>8.6511826124014493E-2</v>
      </c>
    </row>
    <row r="242" spans="1:23" x14ac:dyDescent="0.25">
      <c r="A242" s="2">
        <v>540253</v>
      </c>
      <c r="B242" s="2" t="s">
        <v>299</v>
      </c>
      <c r="C242" s="238" t="s">
        <v>99</v>
      </c>
      <c r="D242" s="2" t="s">
        <v>115</v>
      </c>
      <c r="E242" s="2">
        <v>5</v>
      </c>
      <c r="F242" s="2">
        <v>16</v>
      </c>
      <c r="G242" s="2">
        <v>17</v>
      </c>
      <c r="H242" s="2">
        <v>16.5</v>
      </c>
      <c r="I242" s="2">
        <v>0</v>
      </c>
      <c r="J242" s="2"/>
      <c r="K242" s="2">
        <v>501</v>
      </c>
      <c r="L242" s="2">
        <v>442</v>
      </c>
      <c r="M242" s="2">
        <v>471.5</v>
      </c>
      <c r="N242" s="2">
        <v>408</v>
      </c>
      <c r="O242" s="2">
        <v>1</v>
      </c>
      <c r="P242" s="2">
        <v>58</v>
      </c>
      <c r="Q242" s="2">
        <v>0</v>
      </c>
      <c r="R242" s="2">
        <v>10</v>
      </c>
      <c r="S242" s="2">
        <v>1</v>
      </c>
      <c r="T242" s="2">
        <v>21</v>
      </c>
      <c r="U242" s="2">
        <v>2</v>
      </c>
      <c r="V242" s="16"/>
      <c r="W242" s="239">
        <f t="shared" si="3"/>
        <v>3.2934131736526949E-2</v>
      </c>
    </row>
    <row r="243" spans="1:23" x14ac:dyDescent="0.25">
      <c r="A243" s="2">
        <v>540156</v>
      </c>
      <c r="B243" s="2" t="s">
        <v>232</v>
      </c>
      <c r="C243" s="238" t="s">
        <v>99</v>
      </c>
      <c r="D243" s="2" t="s">
        <v>115</v>
      </c>
      <c r="E243" s="2">
        <v>5</v>
      </c>
      <c r="F243" s="2">
        <v>149</v>
      </c>
      <c r="G243" s="2">
        <v>116</v>
      </c>
      <c r="H243" s="2">
        <v>132.5</v>
      </c>
      <c r="I243" s="2">
        <v>0</v>
      </c>
      <c r="J243" s="2"/>
      <c r="K243" s="2">
        <v>1298</v>
      </c>
      <c r="L243" s="2">
        <v>1030</v>
      </c>
      <c r="M243" s="2">
        <v>1164</v>
      </c>
      <c r="N243" s="2">
        <v>986</v>
      </c>
      <c r="O243" s="2">
        <v>0</v>
      </c>
      <c r="P243" s="2">
        <v>168</v>
      </c>
      <c r="Q243" s="2">
        <v>1</v>
      </c>
      <c r="R243" s="2">
        <v>13</v>
      </c>
      <c r="S243" s="2">
        <v>3</v>
      </c>
      <c r="T243" s="2">
        <v>100</v>
      </c>
      <c r="U243" s="2">
        <v>27</v>
      </c>
      <c r="V243" s="16"/>
      <c r="W243" s="239">
        <f t="shared" si="3"/>
        <v>0.10208012326656395</v>
      </c>
    </row>
    <row r="244" spans="1:23" x14ac:dyDescent="0.25">
      <c r="A244" s="23"/>
      <c r="B244" s="23"/>
      <c r="C244" s="240" t="s">
        <v>99</v>
      </c>
      <c r="D244" s="23" t="s">
        <v>1360</v>
      </c>
      <c r="E244" s="23"/>
      <c r="F244" s="23">
        <v>647</v>
      </c>
      <c r="G244" s="23">
        <v>463</v>
      </c>
      <c r="H244" s="23">
        <v>555</v>
      </c>
      <c r="I244" s="23">
        <v>0</v>
      </c>
      <c r="J244" s="23"/>
      <c r="K244" s="23">
        <v>6492</v>
      </c>
      <c r="L244" s="23">
        <v>5042</v>
      </c>
      <c r="M244" s="23">
        <v>5767</v>
      </c>
      <c r="N244" s="23">
        <v>4284</v>
      </c>
      <c r="O244" s="23">
        <v>1313</v>
      </c>
      <c r="P244" s="23">
        <v>431</v>
      </c>
      <c r="Q244" s="23">
        <v>70</v>
      </c>
      <c r="R244" s="23">
        <v>23</v>
      </c>
      <c r="S244" s="23">
        <v>71</v>
      </c>
      <c r="T244" s="23">
        <v>231</v>
      </c>
      <c r="U244" s="23">
        <v>69</v>
      </c>
      <c r="V244" s="75"/>
      <c r="W244" s="242">
        <f t="shared" si="3"/>
        <v>8.5489833641404805E-2</v>
      </c>
    </row>
    <row r="245" spans="1:23" x14ac:dyDescent="0.25">
      <c r="A245" s="2">
        <v>540283</v>
      </c>
      <c r="B245" s="2" t="s">
        <v>108</v>
      </c>
      <c r="C245" s="238" t="s">
        <v>109</v>
      </c>
      <c r="D245" s="2" t="s">
        <v>5</v>
      </c>
      <c r="E245" s="2">
        <v>4</v>
      </c>
      <c r="F245" s="2">
        <v>376</v>
      </c>
      <c r="G245" s="2">
        <v>505</v>
      </c>
      <c r="H245" s="2">
        <v>440.5</v>
      </c>
      <c r="I245" s="2">
        <v>0</v>
      </c>
      <c r="J245" s="2"/>
      <c r="K245" s="2">
        <v>7494</v>
      </c>
      <c r="L245" s="2">
        <v>8474</v>
      </c>
      <c r="M245" s="2">
        <v>7984</v>
      </c>
      <c r="N245" s="2">
        <v>5124</v>
      </c>
      <c r="O245" s="2">
        <v>1603</v>
      </c>
      <c r="P245" s="2">
        <v>207</v>
      </c>
      <c r="Q245" s="2">
        <v>7</v>
      </c>
      <c r="R245" s="2">
        <v>0</v>
      </c>
      <c r="S245" s="2">
        <v>8</v>
      </c>
      <c r="T245" s="2">
        <v>325</v>
      </c>
      <c r="U245" s="2">
        <v>220</v>
      </c>
      <c r="V245" s="75"/>
      <c r="W245" s="239">
        <f t="shared" si="3"/>
        <v>5.8780357619428875E-2</v>
      </c>
    </row>
    <row r="246" spans="1:23" x14ac:dyDescent="0.25">
      <c r="A246" s="2">
        <v>540158</v>
      </c>
      <c r="B246" s="2" t="s">
        <v>233</v>
      </c>
      <c r="C246" s="238" t="s">
        <v>109</v>
      </c>
      <c r="D246" s="2" t="s">
        <v>115</v>
      </c>
      <c r="E246" s="2">
        <v>4</v>
      </c>
      <c r="F246" s="2">
        <v>4</v>
      </c>
      <c r="G246" s="2">
        <v>9</v>
      </c>
      <c r="H246" s="2">
        <v>6.5</v>
      </c>
      <c r="I246" s="2">
        <v>0</v>
      </c>
      <c r="J246" s="2"/>
      <c r="K246" s="2">
        <v>252</v>
      </c>
      <c r="L246" s="2">
        <v>191</v>
      </c>
      <c r="M246" s="2">
        <v>221.5</v>
      </c>
      <c r="N246" s="2">
        <v>199</v>
      </c>
      <c r="O246" s="2">
        <v>1</v>
      </c>
      <c r="P246" s="2">
        <v>28</v>
      </c>
      <c r="Q246" s="2">
        <v>0</v>
      </c>
      <c r="R246" s="2">
        <v>0</v>
      </c>
      <c r="S246" s="2">
        <v>0</v>
      </c>
      <c r="T246" s="2">
        <v>20</v>
      </c>
      <c r="U246" s="2">
        <v>4</v>
      </c>
      <c r="V246" s="75"/>
      <c r="W246" s="239">
        <f t="shared" si="3"/>
        <v>2.5793650793650792E-2</v>
      </c>
    </row>
    <row r="247" spans="1:23" x14ac:dyDescent="0.25">
      <c r="A247" s="2">
        <v>540288</v>
      </c>
      <c r="B247" s="2" t="s">
        <v>340</v>
      </c>
      <c r="C247" s="238" t="s">
        <v>109</v>
      </c>
      <c r="D247" s="2" t="s">
        <v>115</v>
      </c>
      <c r="E247" s="2">
        <v>4</v>
      </c>
      <c r="F247" s="2">
        <v>0</v>
      </c>
      <c r="G247" s="2">
        <v>0</v>
      </c>
      <c r="H247" s="2">
        <v>0</v>
      </c>
      <c r="I247" s="2">
        <v>0</v>
      </c>
      <c r="J247" s="2"/>
      <c r="K247" s="2">
        <v>155</v>
      </c>
      <c r="L247" s="2">
        <v>178</v>
      </c>
      <c r="M247" s="2">
        <v>166.5</v>
      </c>
      <c r="N247" s="2">
        <v>99</v>
      </c>
      <c r="O247" s="2">
        <v>5</v>
      </c>
      <c r="P247" s="2">
        <v>36</v>
      </c>
      <c r="Q247" s="2">
        <v>0</v>
      </c>
      <c r="R247" s="2">
        <v>0</v>
      </c>
      <c r="S247" s="2">
        <v>1</v>
      </c>
      <c r="T247" s="2">
        <v>12</v>
      </c>
      <c r="U247" s="2">
        <v>2</v>
      </c>
      <c r="V247" s="75"/>
      <c r="W247" s="239">
        <f t="shared" si="3"/>
        <v>0</v>
      </c>
    </row>
    <row r="248" spans="1:23" x14ac:dyDescent="0.25">
      <c r="A248" s="2">
        <v>540159</v>
      </c>
      <c r="B248" s="2" t="s">
        <v>234</v>
      </c>
      <c r="C248" s="238" t="s">
        <v>109</v>
      </c>
      <c r="D248" s="2" t="s">
        <v>115</v>
      </c>
      <c r="E248" s="2">
        <v>4</v>
      </c>
      <c r="F248" s="2">
        <v>449</v>
      </c>
      <c r="G248" s="2">
        <v>394</v>
      </c>
      <c r="H248" s="2">
        <v>421.5</v>
      </c>
      <c r="I248" s="2">
        <v>0</v>
      </c>
      <c r="J248" s="2"/>
      <c r="K248" s="2">
        <v>825</v>
      </c>
      <c r="L248" s="2">
        <v>722</v>
      </c>
      <c r="M248" s="2">
        <v>773.5</v>
      </c>
      <c r="N248" s="2">
        <v>537</v>
      </c>
      <c r="O248" s="2">
        <v>5</v>
      </c>
      <c r="P248" s="2">
        <v>143</v>
      </c>
      <c r="Q248" s="2">
        <v>0</v>
      </c>
      <c r="R248" s="2">
        <v>38</v>
      </c>
      <c r="S248" s="2">
        <v>3</v>
      </c>
      <c r="T248" s="2">
        <v>58</v>
      </c>
      <c r="U248" s="2">
        <v>41</v>
      </c>
      <c r="V248" s="75"/>
      <c r="W248" s="239">
        <f t="shared" si="3"/>
        <v>0.51090909090909087</v>
      </c>
    </row>
    <row r="249" spans="1:23" x14ac:dyDescent="0.25">
      <c r="A249" s="23"/>
      <c r="B249" s="23"/>
      <c r="C249" s="240" t="s">
        <v>109</v>
      </c>
      <c r="D249" s="23" t="s">
        <v>1360</v>
      </c>
      <c r="E249" s="23"/>
      <c r="F249" s="23">
        <v>829</v>
      </c>
      <c r="G249" s="23">
        <v>908</v>
      </c>
      <c r="H249" s="23">
        <v>868.5</v>
      </c>
      <c r="I249" s="23">
        <v>0</v>
      </c>
      <c r="J249" s="23"/>
      <c r="K249" s="23">
        <v>8726</v>
      </c>
      <c r="L249" s="23">
        <v>9565</v>
      </c>
      <c r="M249" s="23">
        <v>9145.5</v>
      </c>
      <c r="N249" s="23">
        <v>5959</v>
      </c>
      <c r="O249" s="23">
        <v>1614</v>
      </c>
      <c r="P249" s="23">
        <v>414</v>
      </c>
      <c r="Q249" s="23">
        <v>7</v>
      </c>
      <c r="R249" s="23">
        <v>38</v>
      </c>
      <c r="S249" s="23">
        <v>12</v>
      </c>
      <c r="T249" s="23">
        <v>415</v>
      </c>
      <c r="U249" s="23">
        <v>267</v>
      </c>
      <c r="V249" s="75"/>
      <c r="W249" s="242">
        <f t="shared" si="3"/>
        <v>9.9530139812055926E-2</v>
      </c>
    </row>
    <row r="250" spans="1:23" x14ac:dyDescent="0.25">
      <c r="A250" s="2">
        <v>540160</v>
      </c>
      <c r="B250" s="2" t="s">
        <v>68</v>
      </c>
      <c r="C250" s="238" t="s">
        <v>69</v>
      </c>
      <c r="D250" s="2" t="s">
        <v>5</v>
      </c>
      <c r="E250" s="2">
        <v>6</v>
      </c>
      <c r="F250" s="2">
        <v>410</v>
      </c>
      <c r="G250" s="2">
        <v>664</v>
      </c>
      <c r="H250" s="2">
        <v>537</v>
      </c>
      <c r="I250" s="2">
        <v>436</v>
      </c>
      <c r="J250" s="2"/>
      <c r="K250" s="2">
        <v>13770</v>
      </c>
      <c r="L250" s="2">
        <v>18641</v>
      </c>
      <c r="M250" s="2">
        <v>16205.5</v>
      </c>
      <c r="N250" s="2">
        <v>10089</v>
      </c>
      <c r="O250" s="2">
        <v>2476</v>
      </c>
      <c r="P250" s="2">
        <v>683</v>
      </c>
      <c r="Q250" s="2">
        <v>21</v>
      </c>
      <c r="R250" s="2">
        <v>0</v>
      </c>
      <c r="S250" s="2">
        <v>20</v>
      </c>
      <c r="T250" s="2">
        <v>433</v>
      </c>
      <c r="U250" s="2">
        <v>48</v>
      </c>
      <c r="V250" s="16"/>
      <c r="W250" s="239">
        <f t="shared" si="3"/>
        <v>3.8997821350762525E-2</v>
      </c>
    </row>
    <row r="251" spans="1:23" x14ac:dyDescent="0.25">
      <c r="A251" s="2">
        <v>540161</v>
      </c>
      <c r="B251" s="2" t="s">
        <v>235</v>
      </c>
      <c r="C251" s="238" t="s">
        <v>69</v>
      </c>
      <c r="D251" s="2" t="s">
        <v>115</v>
      </c>
      <c r="E251" s="2">
        <v>6</v>
      </c>
      <c r="F251" s="2">
        <v>50</v>
      </c>
      <c r="G251" s="2">
        <v>60</v>
      </c>
      <c r="H251" s="2">
        <v>55</v>
      </c>
      <c r="I251" s="2">
        <v>52</v>
      </c>
      <c r="J251" s="2"/>
      <c r="K251" s="2">
        <v>123</v>
      </c>
      <c r="L251" s="2">
        <v>138</v>
      </c>
      <c r="M251" s="2">
        <v>130.5</v>
      </c>
      <c r="N251" s="2">
        <v>101</v>
      </c>
      <c r="O251" s="2">
        <v>0</v>
      </c>
      <c r="P251" s="2">
        <v>9</v>
      </c>
      <c r="Q251" s="2">
        <v>0</v>
      </c>
      <c r="R251" s="2">
        <v>0</v>
      </c>
      <c r="S251" s="2">
        <v>2</v>
      </c>
      <c r="T251" s="2">
        <v>11</v>
      </c>
      <c r="U251" s="2">
        <v>0</v>
      </c>
      <c r="V251" s="16"/>
      <c r="W251" s="239">
        <f t="shared" si="3"/>
        <v>0.44715447154471544</v>
      </c>
    </row>
    <row r="252" spans="1:23" x14ac:dyDescent="0.25">
      <c r="A252" s="2">
        <v>540284</v>
      </c>
      <c r="B252" s="2" t="s">
        <v>323</v>
      </c>
      <c r="C252" s="238" t="s">
        <v>69</v>
      </c>
      <c r="D252" s="2" t="s">
        <v>115</v>
      </c>
      <c r="E252" s="2">
        <v>6</v>
      </c>
      <c r="F252" s="2">
        <v>0</v>
      </c>
      <c r="G252" s="2">
        <v>0</v>
      </c>
      <c r="H252" s="2">
        <v>0</v>
      </c>
      <c r="I252" s="2">
        <v>0</v>
      </c>
      <c r="J252" s="2"/>
      <c r="K252" s="2">
        <v>63</v>
      </c>
      <c r="L252" s="2">
        <v>90</v>
      </c>
      <c r="M252" s="2">
        <v>76.5</v>
      </c>
      <c r="N252" s="2">
        <v>53</v>
      </c>
      <c r="O252" s="2">
        <v>2</v>
      </c>
      <c r="P252" s="2">
        <v>3</v>
      </c>
      <c r="Q252" s="2">
        <v>0</v>
      </c>
      <c r="R252" s="2">
        <v>0</v>
      </c>
      <c r="S252" s="2">
        <v>0</v>
      </c>
      <c r="T252" s="2">
        <v>5</v>
      </c>
      <c r="U252" s="2">
        <v>0</v>
      </c>
      <c r="V252" s="16"/>
      <c r="W252" s="239">
        <f t="shared" si="3"/>
        <v>0</v>
      </c>
    </row>
    <row r="253" spans="1:23" x14ac:dyDescent="0.25">
      <c r="A253" s="2">
        <v>540162</v>
      </c>
      <c r="B253" s="2" t="s">
        <v>236</v>
      </c>
      <c r="C253" s="238" t="s">
        <v>69</v>
      </c>
      <c r="D253" s="2" t="s">
        <v>115</v>
      </c>
      <c r="E253" s="2">
        <v>6</v>
      </c>
      <c r="F253" s="2">
        <v>35</v>
      </c>
      <c r="G253" s="2">
        <v>34</v>
      </c>
      <c r="H253" s="2">
        <v>34.5</v>
      </c>
      <c r="I253" s="2">
        <v>29</v>
      </c>
      <c r="J253" s="2"/>
      <c r="K253" s="2">
        <v>78</v>
      </c>
      <c r="L253" s="2">
        <v>75</v>
      </c>
      <c r="M253" s="2">
        <v>76.5</v>
      </c>
      <c r="N253" s="2">
        <v>38</v>
      </c>
      <c r="O253" s="2">
        <v>0</v>
      </c>
      <c r="P253" s="2">
        <v>31</v>
      </c>
      <c r="Q253" s="2">
        <v>0</v>
      </c>
      <c r="R253" s="2">
        <v>0</v>
      </c>
      <c r="S253" s="2">
        <v>0</v>
      </c>
      <c r="T253" s="2">
        <v>7</v>
      </c>
      <c r="U253" s="2">
        <v>2</v>
      </c>
      <c r="V253" s="16"/>
      <c r="W253" s="239">
        <f t="shared" si="3"/>
        <v>0.44230769230769229</v>
      </c>
    </row>
    <row r="254" spans="1:23" x14ac:dyDescent="0.25">
      <c r="A254" s="2">
        <v>540254</v>
      </c>
      <c r="B254" s="2" t="s">
        <v>300</v>
      </c>
      <c r="C254" s="238" t="s">
        <v>69</v>
      </c>
      <c r="D254" s="2" t="s">
        <v>115</v>
      </c>
      <c r="E254" s="2">
        <v>6</v>
      </c>
      <c r="F254" s="2">
        <v>0</v>
      </c>
      <c r="G254" s="2">
        <v>1</v>
      </c>
      <c r="H254" s="2">
        <v>0.5</v>
      </c>
      <c r="I254" s="2">
        <v>0</v>
      </c>
      <c r="J254" s="2"/>
      <c r="K254" s="2">
        <v>1443</v>
      </c>
      <c r="L254" s="2">
        <v>1462</v>
      </c>
      <c r="M254" s="2">
        <v>1452.5</v>
      </c>
      <c r="N254" s="2">
        <v>1103</v>
      </c>
      <c r="O254" s="2">
        <v>3</v>
      </c>
      <c r="P254" s="2">
        <v>256</v>
      </c>
      <c r="Q254" s="2">
        <v>1</v>
      </c>
      <c r="R254" s="2">
        <v>16</v>
      </c>
      <c r="S254" s="2">
        <v>2</v>
      </c>
      <c r="T254" s="2">
        <v>59</v>
      </c>
      <c r="U254" s="2">
        <v>3</v>
      </c>
      <c r="V254" s="16"/>
      <c r="W254" s="239">
        <f t="shared" si="3"/>
        <v>3.465003465003465E-4</v>
      </c>
    </row>
    <row r="255" spans="1:23" x14ac:dyDescent="0.25">
      <c r="A255" s="2">
        <v>540270</v>
      </c>
      <c r="B255" s="2" t="s">
        <v>313</v>
      </c>
      <c r="C255" s="238" t="s">
        <v>69</v>
      </c>
      <c r="D255" s="2" t="s">
        <v>115</v>
      </c>
      <c r="E255" s="2">
        <v>6</v>
      </c>
      <c r="F255" s="2">
        <v>0</v>
      </c>
      <c r="G255" s="2">
        <v>0</v>
      </c>
      <c r="H255" s="2">
        <v>0</v>
      </c>
      <c r="I255" s="2">
        <v>0</v>
      </c>
      <c r="J255" s="2"/>
      <c r="K255" s="2">
        <v>339</v>
      </c>
      <c r="L255" s="2">
        <v>345</v>
      </c>
      <c r="M255" s="2">
        <v>342</v>
      </c>
      <c r="N255" s="2">
        <v>267</v>
      </c>
      <c r="O255" s="2">
        <v>1</v>
      </c>
      <c r="P255" s="2">
        <v>45</v>
      </c>
      <c r="Q255" s="2">
        <v>1</v>
      </c>
      <c r="R255" s="2">
        <v>0</v>
      </c>
      <c r="S255" s="2">
        <v>0</v>
      </c>
      <c r="T255" s="2">
        <v>24</v>
      </c>
      <c r="U255" s="2">
        <v>1</v>
      </c>
      <c r="V255" s="16"/>
      <c r="W255" s="239">
        <f t="shared" si="3"/>
        <v>0</v>
      </c>
    </row>
    <row r="256" spans="1:23" x14ac:dyDescent="0.25">
      <c r="A256" s="2">
        <v>540268</v>
      </c>
      <c r="B256" s="2" t="s">
        <v>311</v>
      </c>
      <c r="C256" s="238" t="s">
        <v>69</v>
      </c>
      <c r="D256" s="2" t="s">
        <v>115</v>
      </c>
      <c r="E256" s="2">
        <v>6</v>
      </c>
      <c r="F256" s="2">
        <v>15</v>
      </c>
      <c r="G256" s="2">
        <v>25</v>
      </c>
      <c r="H256" s="2">
        <v>20</v>
      </c>
      <c r="I256" s="2">
        <v>16</v>
      </c>
      <c r="J256" s="2"/>
      <c r="K256" s="2">
        <v>185</v>
      </c>
      <c r="L256" s="2">
        <v>213</v>
      </c>
      <c r="M256" s="2">
        <v>199</v>
      </c>
      <c r="N256" s="2">
        <v>163</v>
      </c>
      <c r="O256" s="2">
        <v>1</v>
      </c>
      <c r="P256" s="2">
        <v>6</v>
      </c>
      <c r="Q256" s="2">
        <v>0</v>
      </c>
      <c r="R256" s="2">
        <v>0</v>
      </c>
      <c r="S256" s="2">
        <v>1</v>
      </c>
      <c r="T256" s="2">
        <v>11</v>
      </c>
      <c r="U256" s="2">
        <v>3</v>
      </c>
      <c r="V256" s="16"/>
      <c r="W256" s="239">
        <f t="shared" si="3"/>
        <v>0.10810810810810811</v>
      </c>
    </row>
    <row r="257" spans="1:23" x14ac:dyDescent="0.25">
      <c r="A257" s="2">
        <v>540269</v>
      </c>
      <c r="B257" s="2" t="s">
        <v>312</v>
      </c>
      <c r="C257" s="238" t="s">
        <v>69</v>
      </c>
      <c r="D257" s="2" t="s">
        <v>115</v>
      </c>
      <c r="E257" s="2">
        <v>6</v>
      </c>
      <c r="F257" s="2">
        <v>0</v>
      </c>
      <c r="G257" s="2">
        <v>1</v>
      </c>
      <c r="H257" s="2">
        <v>0.5</v>
      </c>
      <c r="I257" s="2">
        <v>0</v>
      </c>
      <c r="J257" s="2"/>
      <c r="K257" s="2">
        <v>275</v>
      </c>
      <c r="L257" s="2">
        <v>291</v>
      </c>
      <c r="M257" s="2">
        <v>283</v>
      </c>
      <c r="N257" s="2">
        <v>202</v>
      </c>
      <c r="O257" s="2">
        <v>4</v>
      </c>
      <c r="P257" s="2">
        <v>59</v>
      </c>
      <c r="Q257" s="2">
        <v>1</v>
      </c>
      <c r="R257" s="2">
        <v>0</v>
      </c>
      <c r="S257" s="2">
        <v>0</v>
      </c>
      <c r="T257" s="2">
        <v>8</v>
      </c>
      <c r="U257" s="2">
        <v>1</v>
      </c>
      <c r="V257" s="16"/>
      <c r="W257" s="239">
        <f t="shared" si="3"/>
        <v>1.8181818181818182E-3</v>
      </c>
    </row>
    <row r="258" spans="1:23" x14ac:dyDescent="0.25">
      <c r="A258" s="2">
        <v>540163</v>
      </c>
      <c r="B258" s="2" t="s">
        <v>237</v>
      </c>
      <c r="C258" s="238" t="s">
        <v>69</v>
      </c>
      <c r="D258" s="2" t="s">
        <v>115</v>
      </c>
      <c r="E258" s="2">
        <v>6</v>
      </c>
      <c r="F258" s="2">
        <v>144</v>
      </c>
      <c r="G258" s="2">
        <v>151</v>
      </c>
      <c r="H258" s="2">
        <v>147.5</v>
      </c>
      <c r="I258" s="2">
        <v>128</v>
      </c>
      <c r="J258" s="2"/>
      <c r="K258" s="2">
        <v>329</v>
      </c>
      <c r="L258" s="2">
        <v>317</v>
      </c>
      <c r="M258" s="2">
        <v>323</v>
      </c>
      <c r="N258" s="2">
        <v>273</v>
      </c>
      <c r="O258" s="2">
        <v>0</v>
      </c>
      <c r="P258" s="2">
        <v>24</v>
      </c>
      <c r="Q258" s="2">
        <v>1</v>
      </c>
      <c r="R258" s="2">
        <v>0</v>
      </c>
      <c r="S258" s="2">
        <v>1</v>
      </c>
      <c r="T258" s="2">
        <v>25</v>
      </c>
      <c r="U258" s="2">
        <v>5</v>
      </c>
      <c r="V258" s="16"/>
      <c r="W258" s="239">
        <f t="shared" si="3"/>
        <v>0.44832826747720367</v>
      </c>
    </row>
    <row r="259" spans="1:23" x14ac:dyDescent="0.25">
      <c r="A259" s="2">
        <v>540257</v>
      </c>
      <c r="B259" s="2" t="s">
        <v>302</v>
      </c>
      <c r="C259" s="238" t="s">
        <v>69</v>
      </c>
      <c r="D259" s="2" t="s">
        <v>115</v>
      </c>
      <c r="E259" s="2">
        <v>6</v>
      </c>
      <c r="F259" s="2">
        <v>23</v>
      </c>
      <c r="G259" s="2">
        <v>37</v>
      </c>
      <c r="H259" s="2">
        <v>30</v>
      </c>
      <c r="I259" s="2">
        <v>24</v>
      </c>
      <c r="J259" s="2"/>
      <c r="K259" s="2">
        <v>746</v>
      </c>
      <c r="L259" s="2">
        <v>817</v>
      </c>
      <c r="M259" s="2">
        <v>781.5</v>
      </c>
      <c r="N259" s="2">
        <v>602</v>
      </c>
      <c r="O259" s="2">
        <v>10</v>
      </c>
      <c r="P259" s="2">
        <v>95</v>
      </c>
      <c r="Q259" s="2">
        <v>0</v>
      </c>
      <c r="R259" s="2">
        <v>0</v>
      </c>
      <c r="S259" s="2">
        <v>1</v>
      </c>
      <c r="T259" s="2">
        <v>25</v>
      </c>
      <c r="U259" s="2">
        <v>13</v>
      </c>
      <c r="V259" s="16"/>
      <c r="W259" s="239">
        <f t="shared" si="3"/>
        <v>4.0214477211796246E-2</v>
      </c>
    </row>
    <row r="260" spans="1:23" x14ac:dyDescent="0.25">
      <c r="A260" s="2">
        <v>540137</v>
      </c>
      <c r="B260" s="2" t="s">
        <v>220</v>
      </c>
      <c r="C260" s="238" t="s">
        <v>69</v>
      </c>
      <c r="D260" s="2" t="s">
        <v>115</v>
      </c>
      <c r="E260" s="2">
        <v>6</v>
      </c>
      <c r="F260" s="2">
        <v>0</v>
      </c>
      <c r="G260" s="2">
        <v>0</v>
      </c>
      <c r="H260" s="2">
        <v>0</v>
      </c>
      <c r="I260" s="2">
        <v>0</v>
      </c>
      <c r="J260" s="2"/>
      <c r="K260" s="2">
        <v>151</v>
      </c>
      <c r="L260" s="2">
        <v>142</v>
      </c>
      <c r="M260" s="2">
        <v>146.5</v>
      </c>
      <c r="N260" s="2">
        <v>124</v>
      </c>
      <c r="O260" s="2">
        <v>1</v>
      </c>
      <c r="P260" s="2">
        <v>6</v>
      </c>
      <c r="Q260" s="2">
        <v>0</v>
      </c>
      <c r="R260" s="2">
        <v>0</v>
      </c>
      <c r="S260" s="2">
        <v>1</v>
      </c>
      <c r="T260" s="2">
        <v>14</v>
      </c>
      <c r="U260" s="2">
        <v>5</v>
      </c>
      <c r="V260" s="16"/>
      <c r="W260" s="239">
        <f t="shared" si="3"/>
        <v>0</v>
      </c>
    </row>
    <row r="261" spans="1:23" x14ac:dyDescent="0.25">
      <c r="A261" s="23"/>
      <c r="B261" s="23"/>
      <c r="C261" s="240" t="s">
        <v>69</v>
      </c>
      <c r="D261" s="23" t="s">
        <v>1360</v>
      </c>
      <c r="E261" s="23"/>
      <c r="F261" s="23">
        <v>677</v>
      </c>
      <c r="G261" s="23">
        <v>973</v>
      </c>
      <c r="H261" s="23">
        <v>825</v>
      </c>
      <c r="I261" s="23">
        <v>685</v>
      </c>
      <c r="J261" s="23"/>
      <c r="K261" s="23">
        <v>17502</v>
      </c>
      <c r="L261" s="23">
        <v>22531</v>
      </c>
      <c r="M261" s="23">
        <v>20016.5</v>
      </c>
      <c r="N261" s="23">
        <v>13015</v>
      </c>
      <c r="O261" s="23">
        <v>2498</v>
      </c>
      <c r="P261" s="23">
        <v>1217</v>
      </c>
      <c r="Q261" s="23">
        <v>25</v>
      </c>
      <c r="R261" s="23">
        <v>16</v>
      </c>
      <c r="S261" s="23">
        <v>28</v>
      </c>
      <c r="T261" s="23">
        <v>622</v>
      </c>
      <c r="U261" s="23">
        <v>81</v>
      </c>
      <c r="V261" s="75"/>
      <c r="W261" s="242">
        <f t="shared" ref="W261:W324" si="4" xml:space="preserve"> H261 / K261</f>
        <v>4.7137470003428182E-2</v>
      </c>
    </row>
    <row r="262" spans="1:23" x14ac:dyDescent="0.25">
      <c r="A262" s="2">
        <v>540164</v>
      </c>
      <c r="B262" s="2" t="s">
        <v>70</v>
      </c>
      <c r="C262" s="238" t="s">
        <v>71</v>
      </c>
      <c r="D262" s="2" t="s">
        <v>5</v>
      </c>
      <c r="E262" s="2">
        <v>3</v>
      </c>
      <c r="F262" s="2">
        <v>1761</v>
      </c>
      <c r="G262" s="2">
        <v>2176</v>
      </c>
      <c r="H262" s="2">
        <v>1968.5</v>
      </c>
      <c r="I262" s="2">
        <v>0</v>
      </c>
      <c r="J262" s="2"/>
      <c r="K262" s="2">
        <v>24885</v>
      </c>
      <c r="L262" s="2">
        <v>23467</v>
      </c>
      <c r="M262" s="2">
        <v>24176</v>
      </c>
      <c r="N262" s="2">
        <v>17610</v>
      </c>
      <c r="O262" s="2">
        <v>4240</v>
      </c>
      <c r="P262" s="2">
        <v>2504</v>
      </c>
      <c r="Q262" s="2">
        <v>81</v>
      </c>
      <c r="R262" s="2">
        <v>0</v>
      </c>
      <c r="S262" s="2">
        <v>20</v>
      </c>
      <c r="T262" s="2">
        <v>355</v>
      </c>
      <c r="U262" s="2">
        <v>75</v>
      </c>
      <c r="V262" s="16"/>
      <c r="W262" s="239">
        <f t="shared" si="4"/>
        <v>7.9103877838055059E-2</v>
      </c>
    </row>
    <row r="263" spans="1:23" x14ac:dyDescent="0.25">
      <c r="A263" s="2">
        <v>540165</v>
      </c>
      <c r="B263" s="2" t="s">
        <v>238</v>
      </c>
      <c r="C263" s="238" t="s">
        <v>71</v>
      </c>
      <c r="D263" s="2" t="s">
        <v>115</v>
      </c>
      <c r="E263" s="2">
        <v>3</v>
      </c>
      <c r="F263" s="2">
        <v>72</v>
      </c>
      <c r="G263" s="2">
        <v>86</v>
      </c>
      <c r="H263" s="2">
        <v>79</v>
      </c>
      <c r="I263" s="2">
        <v>0</v>
      </c>
      <c r="J263" s="2"/>
      <c r="K263" s="2">
        <v>199</v>
      </c>
      <c r="L263" s="2">
        <v>205</v>
      </c>
      <c r="M263" s="2">
        <v>202</v>
      </c>
      <c r="N263" s="2">
        <v>173</v>
      </c>
      <c r="O263" s="2">
        <v>0</v>
      </c>
      <c r="P263" s="2">
        <v>11</v>
      </c>
      <c r="Q263" s="2">
        <v>0</v>
      </c>
      <c r="R263" s="2">
        <v>0</v>
      </c>
      <c r="S263" s="2">
        <v>0</v>
      </c>
      <c r="T263" s="2">
        <v>14</v>
      </c>
      <c r="U263" s="2">
        <v>1</v>
      </c>
      <c r="V263" s="16"/>
      <c r="W263" s="239">
        <f t="shared" si="4"/>
        <v>0.39698492462311558</v>
      </c>
    </row>
    <row r="264" spans="1:23" x14ac:dyDescent="0.25">
      <c r="A264" s="2">
        <v>540166</v>
      </c>
      <c r="B264" s="2" t="s">
        <v>239</v>
      </c>
      <c r="C264" s="238" t="s">
        <v>71</v>
      </c>
      <c r="D264" s="2" t="s">
        <v>115</v>
      </c>
      <c r="E264" s="2">
        <v>3</v>
      </c>
      <c r="F264" s="2">
        <v>369</v>
      </c>
      <c r="G264" s="2">
        <v>370</v>
      </c>
      <c r="H264" s="2">
        <v>369.5</v>
      </c>
      <c r="I264" s="2">
        <v>0</v>
      </c>
      <c r="J264" s="2"/>
      <c r="K264" s="2">
        <v>767</v>
      </c>
      <c r="L264" s="2">
        <v>712</v>
      </c>
      <c r="M264" s="2">
        <v>739.5</v>
      </c>
      <c r="N264" s="2">
        <v>598</v>
      </c>
      <c r="O264" s="2">
        <v>20</v>
      </c>
      <c r="P264" s="2">
        <v>95</v>
      </c>
      <c r="Q264" s="2">
        <v>0</v>
      </c>
      <c r="R264" s="2">
        <v>0</v>
      </c>
      <c r="S264" s="2">
        <v>1</v>
      </c>
      <c r="T264" s="2">
        <v>52</v>
      </c>
      <c r="U264" s="2">
        <v>1</v>
      </c>
      <c r="V264" s="16"/>
      <c r="W264" s="239">
        <f t="shared" si="4"/>
        <v>0.48174706649282922</v>
      </c>
    </row>
    <row r="265" spans="1:23" x14ac:dyDescent="0.25">
      <c r="A265" s="2">
        <v>540222</v>
      </c>
      <c r="B265" s="2" t="s">
        <v>276</v>
      </c>
      <c r="C265" s="238" t="s">
        <v>71</v>
      </c>
      <c r="D265" s="2" t="s">
        <v>115</v>
      </c>
      <c r="E265" s="2">
        <v>3</v>
      </c>
      <c r="F265" s="2">
        <v>14</v>
      </c>
      <c r="G265" s="2">
        <v>27</v>
      </c>
      <c r="H265" s="2">
        <v>20.5</v>
      </c>
      <c r="I265" s="2">
        <v>0</v>
      </c>
      <c r="J265" s="2"/>
      <c r="K265" s="2">
        <v>696</v>
      </c>
      <c r="L265" s="2">
        <v>820</v>
      </c>
      <c r="M265" s="2">
        <v>758</v>
      </c>
      <c r="N265" s="2">
        <v>601</v>
      </c>
      <c r="O265" s="2">
        <v>0</v>
      </c>
      <c r="P265" s="2">
        <v>58</v>
      </c>
      <c r="Q265" s="2">
        <v>0</v>
      </c>
      <c r="R265" s="2">
        <v>0</v>
      </c>
      <c r="S265" s="2">
        <v>0</v>
      </c>
      <c r="T265" s="2">
        <v>35</v>
      </c>
      <c r="U265" s="2">
        <v>2</v>
      </c>
      <c r="V265" s="16"/>
      <c r="W265" s="239">
        <f t="shared" si="4"/>
        <v>2.9454022988505746E-2</v>
      </c>
    </row>
    <row r="266" spans="1:23" x14ac:dyDescent="0.25">
      <c r="A266" s="2">
        <v>540167</v>
      </c>
      <c r="B266" s="2" t="s">
        <v>240</v>
      </c>
      <c r="C266" s="238" t="s">
        <v>71</v>
      </c>
      <c r="D266" s="2" t="s">
        <v>115</v>
      </c>
      <c r="E266" s="2">
        <v>3</v>
      </c>
      <c r="F266" s="2">
        <v>19</v>
      </c>
      <c r="G266" s="2">
        <v>26</v>
      </c>
      <c r="H266" s="2">
        <v>22.5</v>
      </c>
      <c r="I266" s="2">
        <v>0</v>
      </c>
      <c r="J266" s="2"/>
      <c r="K266" s="2">
        <v>2981</v>
      </c>
      <c r="L266" s="2">
        <v>2874</v>
      </c>
      <c r="M266" s="2">
        <v>2927.5</v>
      </c>
      <c r="N266" s="2">
        <v>2538</v>
      </c>
      <c r="O266" s="2">
        <v>16</v>
      </c>
      <c r="P266" s="2">
        <v>297</v>
      </c>
      <c r="Q266" s="2">
        <v>0</v>
      </c>
      <c r="R266" s="2">
        <v>0</v>
      </c>
      <c r="S266" s="2">
        <v>5</v>
      </c>
      <c r="T266" s="2">
        <v>118</v>
      </c>
      <c r="U266" s="2">
        <v>7</v>
      </c>
      <c r="V266" s="16"/>
      <c r="W266" s="239">
        <f t="shared" si="4"/>
        <v>7.5478027507547805E-3</v>
      </c>
    </row>
    <row r="267" spans="1:23" x14ac:dyDescent="0.25">
      <c r="A267" s="2">
        <v>540081</v>
      </c>
      <c r="B267" s="2" t="s">
        <v>176</v>
      </c>
      <c r="C267" s="238" t="s">
        <v>71</v>
      </c>
      <c r="D267" s="2" t="s">
        <v>115</v>
      </c>
      <c r="E267" s="2">
        <v>3</v>
      </c>
      <c r="F267" s="2">
        <v>124</v>
      </c>
      <c r="G267" s="2">
        <v>96</v>
      </c>
      <c r="H267" s="2">
        <v>110</v>
      </c>
      <c r="I267" s="2">
        <v>0</v>
      </c>
      <c r="J267" s="2"/>
      <c r="K267" s="2">
        <v>1195</v>
      </c>
      <c r="L267" s="2">
        <v>617</v>
      </c>
      <c r="M267" s="2">
        <v>906</v>
      </c>
      <c r="N267" s="2">
        <v>950</v>
      </c>
      <c r="O267" s="2">
        <v>5</v>
      </c>
      <c r="P267" s="2">
        <v>176</v>
      </c>
      <c r="Q267" s="2">
        <v>38</v>
      </c>
      <c r="R267" s="2">
        <v>0</v>
      </c>
      <c r="S267" s="2">
        <v>4</v>
      </c>
      <c r="T267" s="2">
        <v>17</v>
      </c>
      <c r="U267" s="2">
        <v>5</v>
      </c>
      <c r="V267" s="16"/>
      <c r="W267" s="239">
        <f t="shared" si="4"/>
        <v>9.2050209205020925E-2</v>
      </c>
    </row>
    <row r="268" spans="1:23" x14ac:dyDescent="0.25">
      <c r="A268" s="2">
        <v>540168</v>
      </c>
      <c r="B268" s="2" t="s">
        <v>241</v>
      </c>
      <c r="C268" s="238" t="s">
        <v>71</v>
      </c>
      <c r="D268" s="2" t="s">
        <v>115</v>
      </c>
      <c r="E268" s="2">
        <v>3</v>
      </c>
      <c r="F268" s="2">
        <v>34</v>
      </c>
      <c r="G268" s="2">
        <v>63</v>
      </c>
      <c r="H268" s="2">
        <v>48.5</v>
      </c>
      <c r="I268" s="2">
        <v>0</v>
      </c>
      <c r="J268" s="2"/>
      <c r="K268" s="2">
        <v>464</v>
      </c>
      <c r="L268" s="2">
        <v>534</v>
      </c>
      <c r="M268" s="2">
        <v>499</v>
      </c>
      <c r="N268" s="2">
        <v>386</v>
      </c>
      <c r="O268" s="2">
        <v>5</v>
      </c>
      <c r="P268" s="2">
        <v>50</v>
      </c>
      <c r="Q268" s="2">
        <v>0</v>
      </c>
      <c r="R268" s="2">
        <v>0</v>
      </c>
      <c r="S268" s="2">
        <v>1</v>
      </c>
      <c r="T268" s="2">
        <v>18</v>
      </c>
      <c r="U268" s="2">
        <v>4</v>
      </c>
      <c r="V268" s="16"/>
      <c r="W268" s="239">
        <f t="shared" si="4"/>
        <v>0.10452586206896551</v>
      </c>
    </row>
    <row r="269" spans="1:23" x14ac:dyDescent="0.25">
      <c r="A269" s="2">
        <v>540271</v>
      </c>
      <c r="B269" s="2" t="s">
        <v>314</v>
      </c>
      <c r="C269" s="238" t="s">
        <v>71</v>
      </c>
      <c r="D269" s="2" t="s">
        <v>115</v>
      </c>
      <c r="E269" s="2">
        <v>3</v>
      </c>
      <c r="F269" s="2">
        <v>99</v>
      </c>
      <c r="G269" s="2">
        <v>133</v>
      </c>
      <c r="H269" s="2">
        <v>116</v>
      </c>
      <c r="I269" s="2">
        <v>0</v>
      </c>
      <c r="J269" s="2"/>
      <c r="K269" s="2">
        <v>984</v>
      </c>
      <c r="L269" s="2">
        <v>993</v>
      </c>
      <c r="M269" s="2">
        <v>988.5</v>
      </c>
      <c r="N269" s="2">
        <v>806</v>
      </c>
      <c r="O269" s="2">
        <v>2</v>
      </c>
      <c r="P269" s="2">
        <v>134</v>
      </c>
      <c r="Q269" s="2">
        <v>0</v>
      </c>
      <c r="R269" s="2">
        <v>0</v>
      </c>
      <c r="S269" s="2">
        <v>1</v>
      </c>
      <c r="T269" s="2">
        <v>40</v>
      </c>
      <c r="U269" s="2">
        <v>1</v>
      </c>
      <c r="V269" s="16"/>
      <c r="W269" s="239">
        <f t="shared" si="4"/>
        <v>0.11788617886178862</v>
      </c>
    </row>
    <row r="270" spans="1:23" x14ac:dyDescent="0.25">
      <c r="A270" s="23"/>
      <c r="B270" s="23"/>
      <c r="C270" s="240" t="s">
        <v>71</v>
      </c>
      <c r="D270" s="23" t="s">
        <v>1360</v>
      </c>
      <c r="E270" s="23"/>
      <c r="F270" s="23">
        <v>2492</v>
      </c>
      <c r="G270" s="23">
        <v>2977</v>
      </c>
      <c r="H270" s="23">
        <v>2734.5</v>
      </c>
      <c r="I270" s="23">
        <v>0</v>
      </c>
      <c r="J270" s="23"/>
      <c r="K270" s="23">
        <v>32171</v>
      </c>
      <c r="L270" s="23">
        <v>30222</v>
      </c>
      <c r="M270" s="23">
        <v>31196.5</v>
      </c>
      <c r="N270" s="23">
        <v>23662</v>
      </c>
      <c r="O270" s="23">
        <v>4288</v>
      </c>
      <c r="P270" s="23">
        <v>3325</v>
      </c>
      <c r="Q270" s="23">
        <v>119</v>
      </c>
      <c r="R270" s="23">
        <v>0</v>
      </c>
      <c r="S270" s="23">
        <v>32</v>
      </c>
      <c r="T270" s="23">
        <v>649</v>
      </c>
      <c r="U270" s="23">
        <v>96</v>
      </c>
      <c r="V270" s="75"/>
      <c r="W270" s="242">
        <f t="shared" si="4"/>
        <v>8.4998912063659823E-2</v>
      </c>
    </row>
    <row r="271" spans="1:23" x14ac:dyDescent="0.25">
      <c r="A271" s="2">
        <v>540169</v>
      </c>
      <c r="B271" s="2" t="s">
        <v>72</v>
      </c>
      <c r="C271" s="238" t="s">
        <v>73</v>
      </c>
      <c r="D271" s="2" t="s">
        <v>5</v>
      </c>
      <c r="E271" s="2">
        <v>1</v>
      </c>
      <c r="F271" s="2">
        <v>2150</v>
      </c>
      <c r="G271" s="2">
        <v>2478</v>
      </c>
      <c r="H271" s="2">
        <v>2314</v>
      </c>
      <c r="I271" s="2">
        <v>0</v>
      </c>
      <c r="J271" s="2"/>
      <c r="K271" s="2">
        <v>34277</v>
      </c>
      <c r="L271" s="2">
        <v>32521</v>
      </c>
      <c r="M271" s="2">
        <v>33399</v>
      </c>
      <c r="N271" s="2">
        <v>26614</v>
      </c>
      <c r="O271" s="2">
        <v>2368</v>
      </c>
      <c r="P271" s="2">
        <v>3978</v>
      </c>
      <c r="Q271" s="2">
        <v>106</v>
      </c>
      <c r="R271" s="2">
        <v>0</v>
      </c>
      <c r="S271" s="2">
        <v>38</v>
      </c>
      <c r="T271" s="2">
        <v>829</v>
      </c>
      <c r="U271" s="2">
        <v>344</v>
      </c>
      <c r="V271" s="16"/>
      <c r="W271" s="239">
        <f t="shared" si="4"/>
        <v>6.75088251597281E-2</v>
      </c>
    </row>
    <row r="272" spans="1:23" x14ac:dyDescent="0.25">
      <c r="A272" s="2">
        <v>540170</v>
      </c>
      <c r="B272" s="2" t="s">
        <v>242</v>
      </c>
      <c r="C272" s="238" t="s">
        <v>73</v>
      </c>
      <c r="D272" s="2" t="s">
        <v>115</v>
      </c>
      <c r="E272" s="2">
        <v>1</v>
      </c>
      <c r="F272" s="2">
        <v>19</v>
      </c>
      <c r="G272" s="2">
        <v>22</v>
      </c>
      <c r="H272" s="2">
        <v>20.5</v>
      </c>
      <c r="I272" s="2">
        <v>0</v>
      </c>
      <c r="J272" s="2"/>
      <c r="K272" s="2">
        <v>9098</v>
      </c>
      <c r="L272" s="2">
        <v>8073</v>
      </c>
      <c r="M272" s="2">
        <v>8585.5</v>
      </c>
      <c r="N272" s="2">
        <v>6976</v>
      </c>
      <c r="O272" s="2">
        <v>0</v>
      </c>
      <c r="P272" s="2">
        <v>1323</v>
      </c>
      <c r="Q272" s="2">
        <v>8</v>
      </c>
      <c r="R272" s="2">
        <v>0</v>
      </c>
      <c r="S272" s="2">
        <v>6</v>
      </c>
      <c r="T272" s="2">
        <v>594</v>
      </c>
      <c r="U272" s="2">
        <v>191</v>
      </c>
      <c r="V272" s="16"/>
      <c r="W272" s="239">
        <f t="shared" si="4"/>
        <v>2.2532424708727192E-3</v>
      </c>
    </row>
    <row r="273" spans="1:23" x14ac:dyDescent="0.25">
      <c r="A273" s="2">
        <v>540171</v>
      </c>
      <c r="B273" s="2" t="s">
        <v>243</v>
      </c>
      <c r="C273" s="238" t="s">
        <v>73</v>
      </c>
      <c r="D273" s="2" t="s">
        <v>115</v>
      </c>
      <c r="E273" s="2">
        <v>1</v>
      </c>
      <c r="F273" s="2">
        <v>22</v>
      </c>
      <c r="G273" s="2">
        <v>32</v>
      </c>
      <c r="H273" s="2">
        <v>27</v>
      </c>
      <c r="I273" s="2">
        <v>0</v>
      </c>
      <c r="J273" s="2"/>
      <c r="K273" s="2">
        <v>224</v>
      </c>
      <c r="L273" s="2">
        <v>231</v>
      </c>
      <c r="M273" s="2">
        <v>227.5</v>
      </c>
      <c r="N273" s="2">
        <v>187</v>
      </c>
      <c r="O273" s="2">
        <v>3</v>
      </c>
      <c r="P273" s="2">
        <v>7</v>
      </c>
      <c r="Q273" s="2">
        <v>0</v>
      </c>
      <c r="R273" s="2">
        <v>0</v>
      </c>
      <c r="S273" s="2">
        <v>0</v>
      </c>
      <c r="T273" s="2">
        <v>21</v>
      </c>
      <c r="U273" s="2">
        <v>6</v>
      </c>
      <c r="V273" s="16"/>
      <c r="W273" s="239">
        <f t="shared" si="4"/>
        <v>0.12053571428571429</v>
      </c>
    </row>
    <row r="274" spans="1:23" x14ac:dyDescent="0.25">
      <c r="A274" s="2">
        <v>540286</v>
      </c>
      <c r="B274" s="2" t="s">
        <v>325</v>
      </c>
      <c r="C274" s="238" t="s">
        <v>73</v>
      </c>
      <c r="D274" s="2" t="s">
        <v>115</v>
      </c>
      <c r="E274" s="2">
        <v>1</v>
      </c>
      <c r="F274" s="2">
        <v>58</v>
      </c>
      <c r="G274" s="2">
        <v>69</v>
      </c>
      <c r="H274" s="2">
        <v>63.5</v>
      </c>
      <c r="I274" s="2">
        <v>0</v>
      </c>
      <c r="J274" s="2"/>
      <c r="K274" s="2">
        <v>726</v>
      </c>
      <c r="L274" s="2">
        <v>694</v>
      </c>
      <c r="M274" s="2">
        <v>710</v>
      </c>
      <c r="N274" s="2">
        <v>629</v>
      </c>
      <c r="O274" s="2">
        <v>1</v>
      </c>
      <c r="P274" s="2">
        <v>35</v>
      </c>
      <c r="Q274" s="2">
        <v>7</v>
      </c>
      <c r="R274" s="2">
        <v>0</v>
      </c>
      <c r="S274" s="2">
        <v>2</v>
      </c>
      <c r="T274" s="2">
        <v>48</v>
      </c>
      <c r="U274" s="2">
        <v>4</v>
      </c>
      <c r="V274" s="16"/>
      <c r="W274" s="239">
        <f t="shared" si="4"/>
        <v>8.7465564738292007E-2</v>
      </c>
    </row>
    <row r="275" spans="1:23" x14ac:dyDescent="0.25">
      <c r="A275" s="2">
        <v>540173</v>
      </c>
      <c r="B275" s="2" t="s">
        <v>245</v>
      </c>
      <c r="C275" s="238" t="s">
        <v>73</v>
      </c>
      <c r="D275" s="2" t="s">
        <v>115</v>
      </c>
      <c r="E275" s="2">
        <v>1</v>
      </c>
      <c r="F275" s="2">
        <v>114</v>
      </c>
      <c r="G275" s="2">
        <v>112</v>
      </c>
      <c r="H275" s="2">
        <v>113</v>
      </c>
      <c r="I275" s="2">
        <v>0</v>
      </c>
      <c r="J275" s="2"/>
      <c r="K275" s="2">
        <v>133</v>
      </c>
      <c r="L275" s="2">
        <v>118</v>
      </c>
      <c r="M275" s="2">
        <v>125.5</v>
      </c>
      <c r="N275" s="2">
        <v>108</v>
      </c>
      <c r="O275" s="2">
        <v>5</v>
      </c>
      <c r="P275" s="2">
        <v>6</v>
      </c>
      <c r="Q275" s="2">
        <v>0</v>
      </c>
      <c r="R275" s="2">
        <v>0</v>
      </c>
      <c r="S275" s="2">
        <v>0</v>
      </c>
      <c r="T275" s="2">
        <v>13</v>
      </c>
      <c r="U275" s="2">
        <v>1</v>
      </c>
      <c r="V275" s="16"/>
      <c r="W275" s="239">
        <f t="shared" si="4"/>
        <v>0.84962406015037595</v>
      </c>
    </row>
    <row r="276" spans="1:23" x14ac:dyDescent="0.25">
      <c r="A276" s="2">
        <v>540174</v>
      </c>
      <c r="B276" s="2" t="s">
        <v>246</v>
      </c>
      <c r="C276" s="238" t="s">
        <v>73</v>
      </c>
      <c r="D276" s="2" t="s">
        <v>115</v>
      </c>
      <c r="E276" s="2">
        <v>1</v>
      </c>
      <c r="F276" s="2">
        <v>12</v>
      </c>
      <c r="G276" s="2">
        <v>14</v>
      </c>
      <c r="H276" s="2">
        <v>13</v>
      </c>
      <c r="I276" s="2">
        <v>0</v>
      </c>
      <c r="J276" s="2"/>
      <c r="K276" s="2">
        <v>651</v>
      </c>
      <c r="L276" s="2">
        <v>675</v>
      </c>
      <c r="M276" s="2">
        <v>663</v>
      </c>
      <c r="N276" s="2">
        <v>543</v>
      </c>
      <c r="O276" s="2">
        <v>1</v>
      </c>
      <c r="P276" s="2">
        <v>72</v>
      </c>
      <c r="Q276" s="2">
        <v>2</v>
      </c>
      <c r="R276" s="2">
        <v>0</v>
      </c>
      <c r="S276" s="2">
        <v>0</v>
      </c>
      <c r="T276" s="2">
        <v>31</v>
      </c>
      <c r="U276" s="2">
        <v>2</v>
      </c>
      <c r="V276" s="16"/>
      <c r="W276" s="239">
        <f t="shared" si="4"/>
        <v>1.9969278033794162E-2</v>
      </c>
    </row>
    <row r="277" spans="1:23" x14ac:dyDescent="0.25">
      <c r="A277" s="23"/>
      <c r="B277" s="23"/>
      <c r="C277" s="240" t="s">
        <v>73</v>
      </c>
      <c r="D277" s="23" t="s">
        <v>1360</v>
      </c>
      <c r="E277" s="23"/>
      <c r="F277" s="23">
        <v>2375</v>
      </c>
      <c r="G277" s="23">
        <v>2727</v>
      </c>
      <c r="H277" s="23">
        <v>2551</v>
      </c>
      <c r="I277" s="23">
        <v>0</v>
      </c>
      <c r="J277" s="23"/>
      <c r="K277" s="23">
        <v>45109</v>
      </c>
      <c r="L277" s="23">
        <v>42312</v>
      </c>
      <c r="M277" s="23">
        <v>43710.5</v>
      </c>
      <c r="N277" s="23">
        <v>35057</v>
      </c>
      <c r="O277" s="23">
        <v>2378</v>
      </c>
      <c r="P277" s="23">
        <v>5421</v>
      </c>
      <c r="Q277" s="23">
        <v>123</v>
      </c>
      <c r="R277" s="23">
        <v>0</v>
      </c>
      <c r="S277" s="23">
        <v>46</v>
      </c>
      <c r="T277" s="23">
        <v>1536</v>
      </c>
      <c r="U277" s="23">
        <v>548</v>
      </c>
      <c r="V277" s="75"/>
      <c r="W277" s="242">
        <f t="shared" si="4"/>
        <v>5.6551907601587265E-2</v>
      </c>
    </row>
    <row r="278" spans="1:23" x14ac:dyDescent="0.25">
      <c r="A278" s="2">
        <v>540175</v>
      </c>
      <c r="B278" s="2" t="s">
        <v>74</v>
      </c>
      <c r="C278" s="238" t="s">
        <v>75</v>
      </c>
      <c r="D278" s="2" t="s">
        <v>5</v>
      </c>
      <c r="E278" s="2">
        <v>7</v>
      </c>
      <c r="F278" s="2">
        <v>1331</v>
      </c>
      <c r="G278" s="2">
        <v>1603</v>
      </c>
      <c r="H278" s="2">
        <v>1467</v>
      </c>
      <c r="I278" s="2">
        <v>0</v>
      </c>
      <c r="J278" s="2"/>
      <c r="K278" s="2">
        <v>11924</v>
      </c>
      <c r="L278" s="2">
        <v>13095</v>
      </c>
      <c r="M278" s="2">
        <v>12509.5</v>
      </c>
      <c r="N278" s="2">
        <v>8539</v>
      </c>
      <c r="O278" s="2">
        <v>1416</v>
      </c>
      <c r="P278" s="2">
        <v>1084</v>
      </c>
      <c r="Q278" s="2">
        <v>17</v>
      </c>
      <c r="R278" s="2">
        <v>159</v>
      </c>
      <c r="S278" s="2">
        <v>0</v>
      </c>
      <c r="T278" s="2">
        <v>356</v>
      </c>
      <c r="U278" s="2">
        <v>353</v>
      </c>
      <c r="V278" s="75"/>
      <c r="W278" s="239">
        <f t="shared" si="4"/>
        <v>0.12302918483730292</v>
      </c>
    </row>
    <row r="279" spans="1:23" x14ac:dyDescent="0.25">
      <c r="A279" s="2">
        <v>540267</v>
      </c>
      <c r="B279" s="2" t="s">
        <v>310</v>
      </c>
      <c r="C279" s="238" t="s">
        <v>75</v>
      </c>
      <c r="D279" s="2" t="s">
        <v>115</v>
      </c>
      <c r="E279" s="2">
        <v>7</v>
      </c>
      <c r="F279" s="2">
        <v>28</v>
      </c>
      <c r="G279" s="2">
        <v>18</v>
      </c>
      <c r="H279" s="2">
        <v>23</v>
      </c>
      <c r="I279" s="2">
        <v>0</v>
      </c>
      <c r="J279" s="2"/>
      <c r="K279" s="2">
        <v>329</v>
      </c>
      <c r="L279" s="2">
        <v>302</v>
      </c>
      <c r="M279" s="2">
        <v>315.5</v>
      </c>
      <c r="N279" s="2">
        <v>214</v>
      </c>
      <c r="O279" s="2">
        <v>0</v>
      </c>
      <c r="P279" s="2">
        <v>43</v>
      </c>
      <c r="Q279" s="2">
        <v>1</v>
      </c>
      <c r="R279" s="2">
        <v>36</v>
      </c>
      <c r="S279" s="2">
        <v>0</v>
      </c>
      <c r="T279" s="2">
        <v>24</v>
      </c>
      <c r="U279" s="2">
        <v>11</v>
      </c>
      <c r="V279" s="75"/>
      <c r="W279" s="239">
        <f t="shared" si="4"/>
        <v>6.9908814589665649E-2</v>
      </c>
    </row>
    <row r="280" spans="1:23" x14ac:dyDescent="0.25">
      <c r="A280" s="2">
        <v>540177</v>
      </c>
      <c r="B280" s="2" t="s">
        <v>248</v>
      </c>
      <c r="C280" s="238" t="s">
        <v>75</v>
      </c>
      <c r="D280" s="2" t="s">
        <v>115</v>
      </c>
      <c r="E280" s="2">
        <v>7</v>
      </c>
      <c r="F280" s="2">
        <v>216</v>
      </c>
      <c r="G280" s="2">
        <v>226</v>
      </c>
      <c r="H280" s="2">
        <v>221</v>
      </c>
      <c r="I280" s="2">
        <v>0</v>
      </c>
      <c r="J280" s="2"/>
      <c r="K280" s="2">
        <v>3848</v>
      </c>
      <c r="L280" s="2">
        <v>3162</v>
      </c>
      <c r="M280" s="2">
        <v>3505</v>
      </c>
      <c r="N280" s="2">
        <v>2578</v>
      </c>
      <c r="O280" s="2">
        <v>0</v>
      </c>
      <c r="P280" s="2">
        <v>550</v>
      </c>
      <c r="Q280" s="2">
        <v>6</v>
      </c>
      <c r="R280" s="2">
        <v>269</v>
      </c>
      <c r="S280" s="2">
        <v>0</v>
      </c>
      <c r="T280" s="2">
        <v>250</v>
      </c>
      <c r="U280" s="2">
        <v>195</v>
      </c>
      <c r="V280" s="75"/>
      <c r="W280" s="239">
        <f t="shared" si="4"/>
        <v>5.7432432432432436E-2</v>
      </c>
    </row>
    <row r="281" spans="1:23" x14ac:dyDescent="0.25">
      <c r="A281" s="2">
        <v>540178</v>
      </c>
      <c r="B281" s="2" t="s">
        <v>249</v>
      </c>
      <c r="C281" s="238" t="s">
        <v>75</v>
      </c>
      <c r="D281" s="2" t="s">
        <v>115</v>
      </c>
      <c r="E281" s="2">
        <v>7</v>
      </c>
      <c r="F281" s="2">
        <v>37</v>
      </c>
      <c r="G281" s="2">
        <v>50</v>
      </c>
      <c r="H281" s="2">
        <v>43.5</v>
      </c>
      <c r="I281" s="2">
        <v>0</v>
      </c>
      <c r="J281" s="2"/>
      <c r="K281" s="2">
        <v>117</v>
      </c>
      <c r="L281" s="2">
        <v>115</v>
      </c>
      <c r="M281" s="2">
        <v>116</v>
      </c>
      <c r="N281" s="2">
        <v>77</v>
      </c>
      <c r="O281" s="2">
        <v>7</v>
      </c>
      <c r="P281" s="2">
        <v>14</v>
      </c>
      <c r="Q281" s="2">
        <v>0</v>
      </c>
      <c r="R281" s="2">
        <v>0</v>
      </c>
      <c r="S281" s="2">
        <v>0</v>
      </c>
      <c r="T281" s="2">
        <v>9</v>
      </c>
      <c r="U281" s="2">
        <v>10</v>
      </c>
      <c r="V281" s="75"/>
      <c r="W281" s="239">
        <f t="shared" si="4"/>
        <v>0.37179487179487181</v>
      </c>
    </row>
    <row r="282" spans="1:23" x14ac:dyDescent="0.25">
      <c r="A282" s="2">
        <v>540264</v>
      </c>
      <c r="B282" s="2" t="s">
        <v>307</v>
      </c>
      <c r="C282" s="238" t="s">
        <v>75</v>
      </c>
      <c r="D282" s="2" t="s">
        <v>115</v>
      </c>
      <c r="E282" s="2">
        <v>7</v>
      </c>
      <c r="F282" s="2">
        <v>1</v>
      </c>
      <c r="G282" s="2">
        <v>0</v>
      </c>
      <c r="H282" s="2">
        <v>0.5</v>
      </c>
      <c r="I282" s="2">
        <v>0</v>
      </c>
      <c r="J282" s="2"/>
      <c r="K282" s="2">
        <v>118</v>
      </c>
      <c r="L282" s="2">
        <v>122</v>
      </c>
      <c r="M282" s="2">
        <v>120</v>
      </c>
      <c r="N282" s="2">
        <v>84</v>
      </c>
      <c r="O282" s="2">
        <v>3</v>
      </c>
      <c r="P282" s="2">
        <v>7</v>
      </c>
      <c r="Q282" s="2">
        <v>0</v>
      </c>
      <c r="R282" s="2">
        <v>3</v>
      </c>
      <c r="S282" s="2">
        <v>0</v>
      </c>
      <c r="T282" s="2">
        <v>14</v>
      </c>
      <c r="U282" s="2">
        <v>7</v>
      </c>
      <c r="V282" s="75"/>
      <c r="W282" s="239">
        <f t="shared" si="4"/>
        <v>4.2372881355932203E-3</v>
      </c>
    </row>
    <row r="283" spans="1:23" x14ac:dyDescent="0.25">
      <c r="A283" s="2">
        <v>540266</v>
      </c>
      <c r="B283" s="2" t="s">
        <v>309</v>
      </c>
      <c r="C283" s="238" t="s">
        <v>75</v>
      </c>
      <c r="D283" s="2" t="s">
        <v>115</v>
      </c>
      <c r="E283" s="2">
        <v>7</v>
      </c>
      <c r="F283" s="2">
        <v>13</v>
      </c>
      <c r="G283" s="2">
        <v>22</v>
      </c>
      <c r="H283" s="2">
        <v>17.5</v>
      </c>
      <c r="I283" s="2">
        <v>0</v>
      </c>
      <c r="J283" s="2"/>
      <c r="K283" s="2">
        <v>371</v>
      </c>
      <c r="L283" s="2">
        <v>396</v>
      </c>
      <c r="M283" s="2">
        <v>383.5</v>
      </c>
      <c r="N283" s="2">
        <v>288</v>
      </c>
      <c r="O283" s="2">
        <v>1</v>
      </c>
      <c r="P283" s="2">
        <v>38</v>
      </c>
      <c r="Q283" s="2">
        <v>0</v>
      </c>
      <c r="R283" s="2">
        <v>1</v>
      </c>
      <c r="S283" s="2">
        <v>0</v>
      </c>
      <c r="T283" s="2">
        <v>35</v>
      </c>
      <c r="U283" s="2">
        <v>8</v>
      </c>
      <c r="V283" s="75"/>
      <c r="W283" s="239">
        <f t="shared" si="4"/>
        <v>4.716981132075472E-2</v>
      </c>
    </row>
    <row r="284" spans="1:23" x14ac:dyDescent="0.25">
      <c r="A284" s="2">
        <v>540265</v>
      </c>
      <c r="B284" s="2" t="s">
        <v>308</v>
      </c>
      <c r="C284" s="238" t="s">
        <v>75</v>
      </c>
      <c r="D284" s="2" t="s">
        <v>115</v>
      </c>
      <c r="E284" s="2">
        <v>7</v>
      </c>
      <c r="F284" s="2">
        <v>22</v>
      </c>
      <c r="G284" s="2">
        <v>42</v>
      </c>
      <c r="H284" s="2">
        <v>32</v>
      </c>
      <c r="I284" s="2">
        <v>0</v>
      </c>
      <c r="J284" s="2"/>
      <c r="K284" s="2">
        <v>77</v>
      </c>
      <c r="L284" s="2">
        <v>98</v>
      </c>
      <c r="M284" s="2">
        <v>87.5</v>
      </c>
      <c r="N284" s="2">
        <v>58</v>
      </c>
      <c r="O284" s="2">
        <v>8</v>
      </c>
      <c r="P284" s="2">
        <v>2</v>
      </c>
      <c r="Q284" s="2">
        <v>0</v>
      </c>
      <c r="R284" s="2">
        <v>0</v>
      </c>
      <c r="S284" s="2">
        <v>0</v>
      </c>
      <c r="T284" s="2">
        <v>6</v>
      </c>
      <c r="U284" s="2">
        <v>3</v>
      </c>
      <c r="V284" s="75"/>
      <c r="W284" s="239">
        <f t="shared" si="4"/>
        <v>0.41558441558441561</v>
      </c>
    </row>
    <row r="285" spans="1:23" x14ac:dyDescent="0.25">
      <c r="A285" s="2">
        <v>540176</v>
      </c>
      <c r="B285" s="2" t="s">
        <v>247</v>
      </c>
      <c r="C285" s="238" t="s">
        <v>75</v>
      </c>
      <c r="D285" s="2" t="s">
        <v>115</v>
      </c>
      <c r="E285" s="2">
        <v>7</v>
      </c>
      <c r="F285" s="2">
        <v>46</v>
      </c>
      <c r="G285" s="2">
        <v>50</v>
      </c>
      <c r="H285" s="2">
        <v>48</v>
      </c>
      <c r="I285" s="2">
        <v>0</v>
      </c>
      <c r="J285" s="2"/>
      <c r="K285" s="2">
        <v>145</v>
      </c>
      <c r="L285" s="2">
        <v>143</v>
      </c>
      <c r="M285" s="2">
        <v>144</v>
      </c>
      <c r="N285" s="2">
        <v>118</v>
      </c>
      <c r="O285" s="2">
        <v>0</v>
      </c>
      <c r="P285" s="2">
        <v>3</v>
      </c>
      <c r="Q285" s="2">
        <v>0</v>
      </c>
      <c r="R285" s="2">
        <v>0</v>
      </c>
      <c r="S285" s="2">
        <v>0</v>
      </c>
      <c r="T285" s="2">
        <v>5</v>
      </c>
      <c r="U285" s="2">
        <v>19</v>
      </c>
      <c r="V285" s="75"/>
      <c r="W285" s="239">
        <f t="shared" si="4"/>
        <v>0.33103448275862069</v>
      </c>
    </row>
    <row r="286" spans="1:23" x14ac:dyDescent="0.25">
      <c r="A286" s="23"/>
      <c r="B286" s="23"/>
      <c r="C286" s="240" t="s">
        <v>75</v>
      </c>
      <c r="D286" s="23" t="s">
        <v>1360</v>
      </c>
      <c r="E286" s="23"/>
      <c r="F286" s="23">
        <v>1694</v>
      </c>
      <c r="G286" s="23">
        <v>2011</v>
      </c>
      <c r="H286" s="23">
        <v>1852.5</v>
      </c>
      <c r="I286" s="23">
        <v>0</v>
      </c>
      <c r="J286" s="23"/>
      <c r="K286" s="23">
        <v>16929</v>
      </c>
      <c r="L286" s="23">
        <v>17433</v>
      </c>
      <c r="M286" s="23">
        <v>17181</v>
      </c>
      <c r="N286" s="23">
        <v>11956</v>
      </c>
      <c r="O286" s="23">
        <v>1435</v>
      </c>
      <c r="P286" s="23">
        <v>1741</v>
      </c>
      <c r="Q286" s="23">
        <v>24</v>
      </c>
      <c r="R286" s="23">
        <v>468</v>
      </c>
      <c r="S286" s="23">
        <v>0</v>
      </c>
      <c r="T286" s="23">
        <v>699</v>
      </c>
      <c r="U286" s="23">
        <v>606</v>
      </c>
      <c r="V286" s="75"/>
      <c r="W286" s="242">
        <f t="shared" si="4"/>
        <v>0.10942760942760943</v>
      </c>
    </row>
    <row r="287" spans="1:23" x14ac:dyDescent="0.25">
      <c r="A287" s="2">
        <v>540224</v>
      </c>
      <c r="B287" s="2" t="s">
        <v>96</v>
      </c>
      <c r="C287" s="238" t="s">
        <v>97</v>
      </c>
      <c r="D287" s="2" t="s">
        <v>5</v>
      </c>
      <c r="E287" s="2">
        <v>5</v>
      </c>
      <c r="F287" s="2">
        <v>567</v>
      </c>
      <c r="G287" s="2">
        <v>410</v>
      </c>
      <c r="H287" s="2">
        <v>488.5</v>
      </c>
      <c r="I287" s="2">
        <v>0</v>
      </c>
      <c r="J287" s="2"/>
      <c r="K287" s="2">
        <v>9565</v>
      </c>
      <c r="L287" s="2">
        <v>6484</v>
      </c>
      <c r="M287" s="2">
        <v>8024.5</v>
      </c>
      <c r="N287" s="2">
        <v>3901</v>
      </c>
      <c r="O287" s="2">
        <v>4939</v>
      </c>
      <c r="P287" s="2">
        <v>215</v>
      </c>
      <c r="Q287" s="2">
        <v>10</v>
      </c>
      <c r="R287" s="2">
        <v>8</v>
      </c>
      <c r="S287" s="2">
        <v>21</v>
      </c>
      <c r="T287" s="2">
        <v>178</v>
      </c>
      <c r="U287" s="2">
        <v>293</v>
      </c>
      <c r="V287" s="16"/>
      <c r="W287" s="239">
        <f t="shared" si="4"/>
        <v>5.1071615263983274E-2</v>
      </c>
    </row>
    <row r="288" spans="1:23" x14ac:dyDescent="0.25">
      <c r="A288" s="2">
        <v>540262</v>
      </c>
      <c r="B288" s="2" t="s">
        <v>305</v>
      </c>
      <c r="C288" s="238" t="s">
        <v>97</v>
      </c>
      <c r="D288" s="2" t="s">
        <v>115</v>
      </c>
      <c r="E288" s="2">
        <v>5</v>
      </c>
      <c r="F288" s="2">
        <v>21</v>
      </c>
      <c r="G288" s="2">
        <v>15</v>
      </c>
      <c r="H288" s="2">
        <v>18</v>
      </c>
      <c r="I288" s="2">
        <v>0</v>
      </c>
      <c r="J288" s="2"/>
      <c r="K288" s="2">
        <v>112</v>
      </c>
      <c r="L288" s="2">
        <v>63</v>
      </c>
      <c r="M288" s="2">
        <v>87.5</v>
      </c>
      <c r="N288" s="2">
        <v>82</v>
      </c>
      <c r="O288" s="2">
        <v>17</v>
      </c>
      <c r="P288" s="2">
        <v>1</v>
      </c>
      <c r="Q288" s="2">
        <v>0</v>
      </c>
      <c r="R288" s="2">
        <v>0</v>
      </c>
      <c r="S288" s="2">
        <v>0</v>
      </c>
      <c r="T288" s="2">
        <v>8</v>
      </c>
      <c r="U288" s="2">
        <v>4</v>
      </c>
      <c r="V288" s="16"/>
      <c r="W288" s="239">
        <f t="shared" si="4"/>
        <v>0.16071428571428573</v>
      </c>
    </row>
    <row r="289" spans="1:23" x14ac:dyDescent="0.25">
      <c r="A289" s="2">
        <v>540179</v>
      </c>
      <c r="B289" s="2" t="s">
        <v>250</v>
      </c>
      <c r="C289" s="238" t="s">
        <v>97</v>
      </c>
      <c r="D289" s="2" t="s">
        <v>115</v>
      </c>
      <c r="E289" s="2">
        <v>5</v>
      </c>
      <c r="F289" s="2">
        <v>25</v>
      </c>
      <c r="G289" s="2">
        <v>29</v>
      </c>
      <c r="H289" s="2">
        <v>27</v>
      </c>
      <c r="I289" s="2">
        <v>0</v>
      </c>
      <c r="J289" s="2"/>
      <c r="K289" s="2">
        <v>249</v>
      </c>
      <c r="L289" s="2">
        <v>189</v>
      </c>
      <c r="M289" s="2">
        <v>219</v>
      </c>
      <c r="N289" s="2">
        <v>200</v>
      </c>
      <c r="O289" s="2">
        <v>9</v>
      </c>
      <c r="P289" s="2">
        <v>21</v>
      </c>
      <c r="Q289" s="2">
        <v>0</v>
      </c>
      <c r="R289" s="2">
        <v>0</v>
      </c>
      <c r="S289" s="2">
        <v>2</v>
      </c>
      <c r="T289" s="2">
        <v>9</v>
      </c>
      <c r="U289" s="2">
        <v>8</v>
      </c>
      <c r="V289" s="16"/>
      <c r="W289" s="239">
        <f t="shared" si="4"/>
        <v>0.10843373493975904</v>
      </c>
    </row>
    <row r="290" spans="1:23" x14ac:dyDescent="0.25">
      <c r="A290" s="2">
        <v>540180</v>
      </c>
      <c r="B290" s="2" t="s">
        <v>251</v>
      </c>
      <c r="C290" s="238" t="s">
        <v>97</v>
      </c>
      <c r="D290" s="2" t="s">
        <v>115</v>
      </c>
      <c r="E290" s="2">
        <v>5</v>
      </c>
      <c r="F290" s="2">
        <v>19</v>
      </c>
      <c r="G290" s="2">
        <v>14</v>
      </c>
      <c r="H290" s="2">
        <v>16.5</v>
      </c>
      <c r="I290" s="2">
        <v>0</v>
      </c>
      <c r="J290" s="2"/>
      <c r="K290" s="2">
        <v>317</v>
      </c>
      <c r="L290" s="2">
        <v>277</v>
      </c>
      <c r="M290" s="2">
        <v>297</v>
      </c>
      <c r="N290" s="2">
        <v>186</v>
      </c>
      <c r="O290" s="2">
        <v>9</v>
      </c>
      <c r="P290" s="2">
        <v>80</v>
      </c>
      <c r="Q290" s="2">
        <v>1</v>
      </c>
      <c r="R290" s="2">
        <v>0</v>
      </c>
      <c r="S290" s="2">
        <v>2</v>
      </c>
      <c r="T290" s="2">
        <v>23</v>
      </c>
      <c r="U290" s="2">
        <v>16</v>
      </c>
      <c r="V290" s="16"/>
      <c r="W290" s="239">
        <f t="shared" si="4"/>
        <v>5.2050473186119876E-2</v>
      </c>
    </row>
    <row r="291" spans="1:23" x14ac:dyDescent="0.25">
      <c r="A291" s="2">
        <v>540132</v>
      </c>
      <c r="B291" s="2" t="s">
        <v>216</v>
      </c>
      <c r="C291" s="238" t="s">
        <v>97</v>
      </c>
      <c r="D291" s="2" t="s">
        <v>115</v>
      </c>
      <c r="E291" s="2">
        <v>5</v>
      </c>
      <c r="F291" s="2">
        <v>0</v>
      </c>
      <c r="G291" s="2">
        <v>0</v>
      </c>
      <c r="H291" s="2">
        <v>0</v>
      </c>
      <c r="I291" s="2">
        <v>0</v>
      </c>
      <c r="J291" s="2"/>
      <c r="K291" s="2">
        <v>1176</v>
      </c>
      <c r="L291" s="2">
        <v>1006</v>
      </c>
      <c r="M291" s="2">
        <v>1091</v>
      </c>
      <c r="N291" s="2">
        <v>901</v>
      </c>
      <c r="O291" s="2">
        <v>20</v>
      </c>
      <c r="P291" s="2">
        <v>144</v>
      </c>
      <c r="Q291" s="2">
        <v>0</v>
      </c>
      <c r="R291" s="2">
        <v>8</v>
      </c>
      <c r="S291" s="2">
        <v>5</v>
      </c>
      <c r="T291" s="2">
        <v>61</v>
      </c>
      <c r="U291" s="2">
        <v>37</v>
      </c>
      <c r="V291" s="16"/>
      <c r="W291" s="239">
        <f t="shared" si="4"/>
        <v>0</v>
      </c>
    </row>
    <row r="292" spans="1:23" x14ac:dyDescent="0.25">
      <c r="A292" s="2">
        <v>540182</v>
      </c>
      <c r="B292" s="2" t="s">
        <v>252</v>
      </c>
      <c r="C292" s="238" t="s">
        <v>97</v>
      </c>
      <c r="D292" s="2" t="s">
        <v>115</v>
      </c>
      <c r="E292" s="2">
        <v>5</v>
      </c>
      <c r="F292" s="2">
        <v>38</v>
      </c>
      <c r="G292" s="2">
        <v>26</v>
      </c>
      <c r="H292" s="2">
        <v>32</v>
      </c>
      <c r="I292" s="2">
        <v>0</v>
      </c>
      <c r="J292" s="2"/>
      <c r="K292" s="2">
        <v>930</v>
      </c>
      <c r="L292" s="2">
        <v>511</v>
      </c>
      <c r="M292" s="2">
        <v>720.5</v>
      </c>
      <c r="N292" s="2">
        <v>704</v>
      </c>
      <c r="O292" s="2">
        <v>14</v>
      </c>
      <c r="P292" s="2">
        <v>93</v>
      </c>
      <c r="Q292" s="2">
        <v>3</v>
      </c>
      <c r="R292" s="2">
        <v>21</v>
      </c>
      <c r="S292" s="2">
        <v>6</v>
      </c>
      <c r="T292" s="2">
        <v>59</v>
      </c>
      <c r="U292" s="2">
        <v>30</v>
      </c>
      <c r="V292" s="16"/>
      <c r="W292" s="239">
        <f t="shared" si="4"/>
        <v>3.4408602150537634E-2</v>
      </c>
    </row>
    <row r="293" spans="1:23" x14ac:dyDescent="0.25">
      <c r="A293" s="2">
        <v>540263</v>
      </c>
      <c r="B293" s="2" t="s">
        <v>306</v>
      </c>
      <c r="C293" s="238" t="s">
        <v>97</v>
      </c>
      <c r="D293" s="2" t="s">
        <v>115</v>
      </c>
      <c r="E293" s="2">
        <v>5</v>
      </c>
      <c r="F293" s="2">
        <v>17</v>
      </c>
      <c r="G293" s="2">
        <v>13</v>
      </c>
      <c r="H293" s="2">
        <v>15</v>
      </c>
      <c r="I293" s="2">
        <v>0</v>
      </c>
      <c r="J293" s="2"/>
      <c r="K293" s="2">
        <v>137</v>
      </c>
      <c r="L293" s="2">
        <v>75</v>
      </c>
      <c r="M293" s="2">
        <v>106</v>
      </c>
      <c r="N293" s="2">
        <v>99</v>
      </c>
      <c r="O293" s="2">
        <v>19</v>
      </c>
      <c r="P293" s="2">
        <v>6</v>
      </c>
      <c r="Q293" s="2">
        <v>0</v>
      </c>
      <c r="R293" s="2">
        <v>0</v>
      </c>
      <c r="S293" s="2">
        <v>0</v>
      </c>
      <c r="T293" s="2">
        <v>4</v>
      </c>
      <c r="U293" s="2">
        <v>9</v>
      </c>
      <c r="V293" s="16"/>
      <c r="W293" s="239">
        <f t="shared" si="4"/>
        <v>0.10948905109489052</v>
      </c>
    </row>
    <row r="294" spans="1:23" x14ac:dyDescent="0.25">
      <c r="A294" s="23"/>
      <c r="B294" s="23"/>
      <c r="C294" s="240" t="s">
        <v>97</v>
      </c>
      <c r="D294" s="23" t="s">
        <v>1360</v>
      </c>
      <c r="E294" s="23"/>
      <c r="F294" s="23">
        <v>687</v>
      </c>
      <c r="G294" s="23">
        <v>507</v>
      </c>
      <c r="H294" s="23">
        <v>597</v>
      </c>
      <c r="I294" s="23">
        <v>0</v>
      </c>
      <c r="J294" s="23"/>
      <c r="K294" s="23">
        <v>12486</v>
      </c>
      <c r="L294" s="23">
        <v>8605</v>
      </c>
      <c r="M294" s="23">
        <v>10545.5</v>
      </c>
      <c r="N294" s="23">
        <v>6073</v>
      </c>
      <c r="O294" s="23">
        <v>5027</v>
      </c>
      <c r="P294" s="23">
        <v>560</v>
      </c>
      <c r="Q294" s="23">
        <v>14</v>
      </c>
      <c r="R294" s="23">
        <v>37</v>
      </c>
      <c r="S294" s="23">
        <v>36</v>
      </c>
      <c r="T294" s="23">
        <v>342</v>
      </c>
      <c r="U294" s="23">
        <v>397</v>
      </c>
      <c r="V294" s="75"/>
      <c r="W294" s="242">
        <f t="shared" si="4"/>
        <v>4.78135511773186E-2</v>
      </c>
    </row>
    <row r="295" spans="1:23" x14ac:dyDescent="0.25">
      <c r="A295" s="2">
        <v>540183</v>
      </c>
      <c r="B295" s="2" t="s">
        <v>76</v>
      </c>
      <c r="C295" s="238" t="s">
        <v>77</v>
      </c>
      <c r="D295" s="2" t="s">
        <v>5</v>
      </c>
      <c r="E295" s="2">
        <v>5</v>
      </c>
      <c r="F295" s="2">
        <v>1272</v>
      </c>
      <c r="G295" s="2">
        <v>904</v>
      </c>
      <c r="H295" s="2">
        <v>1088</v>
      </c>
      <c r="I295" s="2">
        <v>0</v>
      </c>
      <c r="J295" s="2"/>
      <c r="K295" s="2">
        <v>15335</v>
      </c>
      <c r="L295" s="2">
        <v>9117</v>
      </c>
      <c r="M295" s="2">
        <v>12226</v>
      </c>
      <c r="N295" s="2">
        <v>6301</v>
      </c>
      <c r="O295" s="2">
        <v>7530</v>
      </c>
      <c r="P295" s="2">
        <v>281</v>
      </c>
      <c r="Q295" s="2">
        <v>8</v>
      </c>
      <c r="R295" s="2">
        <v>0</v>
      </c>
      <c r="S295" s="2">
        <v>3</v>
      </c>
      <c r="T295" s="2">
        <v>300</v>
      </c>
      <c r="U295" s="2">
        <v>912</v>
      </c>
      <c r="V295" s="16"/>
      <c r="W295" s="239">
        <f t="shared" si="4"/>
        <v>7.0948809911966088E-2</v>
      </c>
    </row>
    <row r="296" spans="1:23" x14ac:dyDescent="0.25">
      <c r="A296" s="2">
        <v>540184</v>
      </c>
      <c r="B296" s="2" t="s">
        <v>253</v>
      </c>
      <c r="C296" s="238" t="s">
        <v>77</v>
      </c>
      <c r="D296" s="2" t="s">
        <v>115</v>
      </c>
      <c r="E296" s="2">
        <v>5</v>
      </c>
      <c r="F296" s="2">
        <v>52</v>
      </c>
      <c r="G296" s="2">
        <v>41</v>
      </c>
      <c r="H296" s="2">
        <v>46.5</v>
      </c>
      <c r="I296" s="2">
        <v>0</v>
      </c>
      <c r="J296" s="2"/>
      <c r="K296" s="2">
        <v>140</v>
      </c>
      <c r="L296" s="2">
        <v>119</v>
      </c>
      <c r="M296" s="2">
        <v>129.5</v>
      </c>
      <c r="N296" s="2">
        <v>107</v>
      </c>
      <c r="O296" s="2">
        <v>8</v>
      </c>
      <c r="P296" s="2">
        <v>3</v>
      </c>
      <c r="Q296" s="2">
        <v>0</v>
      </c>
      <c r="R296" s="2">
        <v>0</v>
      </c>
      <c r="S296" s="2">
        <v>0</v>
      </c>
      <c r="T296" s="2">
        <v>19</v>
      </c>
      <c r="U296" s="2">
        <v>3</v>
      </c>
      <c r="V296" s="16"/>
      <c r="W296" s="239">
        <f t="shared" si="4"/>
        <v>0.33214285714285713</v>
      </c>
    </row>
    <row r="297" spans="1:23" x14ac:dyDescent="0.25">
      <c r="A297" s="2">
        <v>540185</v>
      </c>
      <c r="B297" s="2" t="s">
        <v>254</v>
      </c>
      <c r="C297" s="238" t="s">
        <v>77</v>
      </c>
      <c r="D297" s="2" t="s">
        <v>115</v>
      </c>
      <c r="E297" s="2">
        <v>5</v>
      </c>
      <c r="F297" s="2">
        <v>237</v>
      </c>
      <c r="G297" s="2">
        <v>233</v>
      </c>
      <c r="H297" s="2">
        <v>235</v>
      </c>
      <c r="I297" s="2">
        <v>0</v>
      </c>
      <c r="J297" s="2"/>
      <c r="K297" s="2">
        <v>1150</v>
      </c>
      <c r="L297" s="2">
        <v>1034</v>
      </c>
      <c r="M297" s="2">
        <v>1092</v>
      </c>
      <c r="N297" s="2">
        <v>897</v>
      </c>
      <c r="O297" s="2">
        <v>0</v>
      </c>
      <c r="P297" s="2">
        <v>115</v>
      </c>
      <c r="Q297" s="2">
        <v>5</v>
      </c>
      <c r="R297" s="2">
        <v>0</v>
      </c>
      <c r="S297" s="2">
        <v>1</v>
      </c>
      <c r="T297" s="2">
        <v>89</v>
      </c>
      <c r="U297" s="2">
        <v>43</v>
      </c>
      <c r="V297" s="16"/>
      <c r="W297" s="239">
        <f t="shared" si="4"/>
        <v>0.20434782608695654</v>
      </c>
    </row>
    <row r="298" spans="1:23" x14ac:dyDescent="0.25">
      <c r="A298" s="2"/>
      <c r="B298" s="2"/>
      <c r="C298" s="238" t="s">
        <v>77</v>
      </c>
      <c r="D298" s="2" t="s">
        <v>1360</v>
      </c>
      <c r="E298" s="2"/>
      <c r="F298" s="2">
        <v>1561</v>
      </c>
      <c r="G298" s="2">
        <v>1178</v>
      </c>
      <c r="H298" s="2">
        <v>1369.5</v>
      </c>
      <c r="I298" s="2">
        <v>0</v>
      </c>
      <c r="J298" s="2"/>
      <c r="K298" s="2">
        <v>16625</v>
      </c>
      <c r="L298" s="2">
        <v>10270</v>
      </c>
      <c r="M298" s="2">
        <v>13447.5</v>
      </c>
      <c r="N298" s="2">
        <v>7305</v>
      </c>
      <c r="O298" s="2">
        <v>7538</v>
      </c>
      <c r="P298" s="2">
        <v>399</v>
      </c>
      <c r="Q298" s="2">
        <v>13</v>
      </c>
      <c r="R298" s="2">
        <v>0</v>
      </c>
      <c r="S298" s="2">
        <v>4</v>
      </c>
      <c r="T298" s="2">
        <v>408</v>
      </c>
      <c r="U298" s="2">
        <v>958</v>
      </c>
      <c r="V298" s="16"/>
      <c r="W298" s="239">
        <f t="shared" si="4"/>
        <v>8.2375939849624061E-2</v>
      </c>
    </row>
    <row r="299" spans="1:23" x14ac:dyDescent="0.25">
      <c r="A299" s="2">
        <v>540186</v>
      </c>
      <c r="B299" s="2" t="s">
        <v>78</v>
      </c>
      <c r="C299" s="238" t="s">
        <v>79</v>
      </c>
      <c r="D299" s="2" t="s">
        <v>5</v>
      </c>
      <c r="E299" s="2">
        <v>1</v>
      </c>
      <c r="F299" s="2">
        <v>1168</v>
      </c>
      <c r="G299" s="2">
        <v>837</v>
      </c>
      <c r="H299" s="2">
        <v>1002.5</v>
      </c>
      <c r="I299" s="2">
        <v>0</v>
      </c>
      <c r="J299" s="2"/>
      <c r="K299" s="2">
        <v>8617</v>
      </c>
      <c r="L299" s="2">
        <v>10288</v>
      </c>
      <c r="M299" s="2">
        <v>9452.5</v>
      </c>
      <c r="N299" s="2">
        <v>6756</v>
      </c>
      <c r="O299" s="2">
        <v>851</v>
      </c>
      <c r="P299" s="2">
        <v>180</v>
      </c>
      <c r="Q299" s="2">
        <v>1</v>
      </c>
      <c r="R299" s="2">
        <v>7</v>
      </c>
      <c r="S299" s="2">
        <v>12</v>
      </c>
      <c r="T299" s="2">
        <v>266</v>
      </c>
      <c r="U299" s="2">
        <v>544</v>
      </c>
      <c r="V299" s="16"/>
      <c r="W299" s="239">
        <f t="shared" si="4"/>
        <v>0.11633979343158872</v>
      </c>
    </row>
    <row r="300" spans="1:23" s="75" customFormat="1" x14ac:dyDescent="0.25">
      <c r="A300" s="2">
        <v>540187</v>
      </c>
      <c r="B300" s="2" t="s">
        <v>255</v>
      </c>
      <c r="C300" s="238" t="s">
        <v>79</v>
      </c>
      <c r="D300" s="2" t="s">
        <v>115</v>
      </c>
      <c r="E300" s="2">
        <v>1</v>
      </c>
      <c r="F300" s="2">
        <v>70</v>
      </c>
      <c r="G300" s="2">
        <v>97</v>
      </c>
      <c r="H300" s="2">
        <v>83.5</v>
      </c>
      <c r="I300" s="2">
        <v>0</v>
      </c>
      <c r="J300" s="2"/>
      <c r="K300" s="2">
        <v>1618</v>
      </c>
      <c r="L300" s="2">
        <v>1345</v>
      </c>
      <c r="M300" s="2">
        <v>1481.5</v>
      </c>
      <c r="N300" s="2">
        <v>1236</v>
      </c>
      <c r="O300" s="2">
        <v>0</v>
      </c>
      <c r="P300" s="2">
        <v>155</v>
      </c>
      <c r="Q300" s="2">
        <v>1</v>
      </c>
      <c r="R300" s="2">
        <v>1</v>
      </c>
      <c r="S300" s="2">
        <v>0</v>
      </c>
      <c r="T300" s="2">
        <v>85</v>
      </c>
      <c r="U300" s="2">
        <v>140</v>
      </c>
      <c r="V300" s="16"/>
      <c r="W300" s="239">
        <f t="shared" si="4"/>
        <v>5.1606922126081582E-2</v>
      </c>
    </row>
    <row r="301" spans="1:23" s="75" customFormat="1" x14ac:dyDescent="0.25">
      <c r="A301" s="23"/>
      <c r="B301" s="23"/>
      <c r="C301" s="240" t="s">
        <v>79</v>
      </c>
      <c r="D301" s="23" t="s">
        <v>1360</v>
      </c>
      <c r="E301" s="23"/>
      <c r="F301" s="23">
        <v>1238</v>
      </c>
      <c r="G301" s="23">
        <v>934</v>
      </c>
      <c r="H301" s="23">
        <v>1086</v>
      </c>
      <c r="I301" s="23">
        <v>0</v>
      </c>
      <c r="J301" s="23"/>
      <c r="K301" s="23">
        <v>10235</v>
      </c>
      <c r="L301" s="23">
        <v>11633</v>
      </c>
      <c r="M301" s="23">
        <v>10934</v>
      </c>
      <c r="N301" s="23">
        <v>7992</v>
      </c>
      <c r="O301" s="23">
        <v>851</v>
      </c>
      <c r="P301" s="23">
        <v>335</v>
      </c>
      <c r="Q301" s="23">
        <v>2</v>
      </c>
      <c r="R301" s="23">
        <v>8</v>
      </c>
      <c r="S301" s="23">
        <v>12</v>
      </c>
      <c r="T301" s="23">
        <v>351</v>
      </c>
      <c r="U301" s="23">
        <v>684</v>
      </c>
      <c r="W301" s="242">
        <f t="shared" si="4"/>
        <v>0.10610649731314119</v>
      </c>
    </row>
    <row r="302" spans="1:23" s="75" customFormat="1" x14ac:dyDescent="0.25">
      <c r="A302" s="2">
        <v>540188</v>
      </c>
      <c r="B302" s="2" t="s">
        <v>80</v>
      </c>
      <c r="C302" s="238" t="s">
        <v>81</v>
      </c>
      <c r="D302" s="2" t="s">
        <v>5</v>
      </c>
      <c r="E302" s="2">
        <v>6</v>
      </c>
      <c r="F302" s="2">
        <v>130</v>
      </c>
      <c r="G302" s="2">
        <v>211</v>
      </c>
      <c r="H302" s="2">
        <v>170.5</v>
      </c>
      <c r="I302" s="2">
        <v>0</v>
      </c>
      <c r="J302" s="2"/>
      <c r="K302" s="2">
        <v>5703</v>
      </c>
      <c r="L302" s="2">
        <v>7402</v>
      </c>
      <c r="M302" s="2">
        <v>6552.5</v>
      </c>
      <c r="N302" s="2">
        <v>3853</v>
      </c>
      <c r="O302" s="2">
        <v>1304</v>
      </c>
      <c r="P302" s="2">
        <v>325</v>
      </c>
      <c r="Q302" s="2">
        <v>7</v>
      </c>
      <c r="R302" s="2">
        <v>23</v>
      </c>
      <c r="S302" s="2">
        <v>2</v>
      </c>
      <c r="T302" s="2">
        <v>159</v>
      </c>
      <c r="U302" s="2">
        <v>30</v>
      </c>
      <c r="V302" s="16"/>
      <c r="W302" s="239">
        <f t="shared" si="4"/>
        <v>2.9896545677713483E-2</v>
      </c>
    </row>
    <row r="303" spans="1:23" s="75" customFormat="1" x14ac:dyDescent="0.25">
      <c r="A303" s="2">
        <v>540189</v>
      </c>
      <c r="B303" s="2" t="s">
        <v>256</v>
      </c>
      <c r="C303" s="238" t="s">
        <v>81</v>
      </c>
      <c r="D303" s="2" t="s">
        <v>115</v>
      </c>
      <c r="E303" s="2">
        <v>6</v>
      </c>
      <c r="F303" s="2">
        <v>10</v>
      </c>
      <c r="G303" s="2">
        <v>12</v>
      </c>
      <c r="H303" s="2">
        <v>11</v>
      </c>
      <c r="I303" s="2">
        <v>0</v>
      </c>
      <c r="J303" s="2"/>
      <c r="K303" s="2">
        <v>151</v>
      </c>
      <c r="L303" s="2">
        <v>159</v>
      </c>
      <c r="M303" s="2">
        <v>155</v>
      </c>
      <c r="N303" s="2">
        <v>131</v>
      </c>
      <c r="O303" s="2">
        <v>0</v>
      </c>
      <c r="P303" s="2">
        <v>9</v>
      </c>
      <c r="Q303" s="2">
        <v>0</v>
      </c>
      <c r="R303" s="2">
        <v>0</v>
      </c>
      <c r="S303" s="2">
        <v>1</v>
      </c>
      <c r="T303" s="2">
        <v>10</v>
      </c>
      <c r="U303" s="2">
        <v>0</v>
      </c>
      <c r="V303" s="16"/>
      <c r="W303" s="239">
        <f t="shared" si="4"/>
        <v>7.2847682119205295E-2</v>
      </c>
    </row>
    <row r="304" spans="1:23" s="75" customFormat="1" x14ac:dyDescent="0.25">
      <c r="A304" s="2">
        <v>540190</v>
      </c>
      <c r="B304" s="2" t="s">
        <v>257</v>
      </c>
      <c r="C304" s="238" t="s">
        <v>81</v>
      </c>
      <c r="D304" s="2" t="s">
        <v>115</v>
      </c>
      <c r="E304" s="2">
        <v>6</v>
      </c>
      <c r="F304" s="2">
        <v>61</v>
      </c>
      <c r="G304" s="2">
        <v>123</v>
      </c>
      <c r="H304" s="2">
        <v>92</v>
      </c>
      <c r="I304" s="2">
        <v>0</v>
      </c>
      <c r="J304" s="2"/>
      <c r="K304" s="2">
        <v>2383</v>
      </c>
      <c r="L304" s="2">
        <v>2454</v>
      </c>
      <c r="M304" s="2">
        <v>2418.5</v>
      </c>
      <c r="N304" s="2">
        <v>1981</v>
      </c>
      <c r="O304" s="2">
        <v>10</v>
      </c>
      <c r="P304" s="2">
        <v>161</v>
      </c>
      <c r="Q304" s="2">
        <v>1</v>
      </c>
      <c r="R304" s="2">
        <v>15</v>
      </c>
      <c r="S304" s="2">
        <v>3</v>
      </c>
      <c r="T304" s="2">
        <v>196</v>
      </c>
      <c r="U304" s="2">
        <v>16</v>
      </c>
      <c r="V304" s="16"/>
      <c r="W304" s="239">
        <f t="shared" si="4"/>
        <v>3.8606798153587911E-2</v>
      </c>
    </row>
    <row r="305" spans="1:23" s="75" customFormat="1" x14ac:dyDescent="0.25">
      <c r="A305" s="23"/>
      <c r="B305" s="23"/>
      <c r="C305" s="240" t="s">
        <v>81</v>
      </c>
      <c r="D305" s="23" t="s">
        <v>1360</v>
      </c>
      <c r="E305" s="23"/>
      <c r="F305" s="23">
        <v>201</v>
      </c>
      <c r="G305" s="23">
        <v>346</v>
      </c>
      <c r="H305" s="23">
        <v>273.5</v>
      </c>
      <c r="I305" s="23">
        <v>0</v>
      </c>
      <c r="J305" s="23"/>
      <c r="K305" s="23">
        <v>8237</v>
      </c>
      <c r="L305" s="23">
        <v>10015</v>
      </c>
      <c r="M305" s="23">
        <v>9126</v>
      </c>
      <c r="N305" s="23">
        <v>5965</v>
      </c>
      <c r="O305" s="23">
        <v>1314</v>
      </c>
      <c r="P305" s="23">
        <v>495</v>
      </c>
      <c r="Q305" s="23">
        <v>8</v>
      </c>
      <c r="R305" s="23">
        <v>38</v>
      </c>
      <c r="S305" s="23">
        <v>6</v>
      </c>
      <c r="T305" s="23">
        <v>365</v>
      </c>
      <c r="U305" s="23">
        <v>46</v>
      </c>
      <c r="W305" s="242">
        <f t="shared" si="4"/>
        <v>3.3203836348185016E-2</v>
      </c>
    </row>
    <row r="306" spans="1:23" s="75" customFormat="1" x14ac:dyDescent="0.25">
      <c r="A306" s="2">
        <v>540191</v>
      </c>
      <c r="B306" s="2" t="s">
        <v>112</v>
      </c>
      <c r="C306" s="238" t="s">
        <v>113</v>
      </c>
      <c r="D306" s="2" t="s">
        <v>5</v>
      </c>
      <c r="E306" s="2">
        <v>7</v>
      </c>
      <c r="F306" s="2">
        <v>466</v>
      </c>
      <c r="G306" s="2">
        <v>384</v>
      </c>
      <c r="H306" s="2">
        <v>425</v>
      </c>
      <c r="I306" s="2">
        <v>0</v>
      </c>
      <c r="J306" s="2"/>
      <c r="K306" s="2">
        <v>6232</v>
      </c>
      <c r="L306" s="2">
        <v>4446</v>
      </c>
      <c r="M306" s="2">
        <v>5339</v>
      </c>
      <c r="N306" s="2">
        <v>3725</v>
      </c>
      <c r="O306" s="2">
        <v>1459</v>
      </c>
      <c r="P306" s="2">
        <v>181</v>
      </c>
      <c r="Q306" s="2">
        <v>33</v>
      </c>
      <c r="R306" s="2">
        <v>6</v>
      </c>
      <c r="S306" s="2">
        <v>6</v>
      </c>
      <c r="T306" s="2">
        <v>308</v>
      </c>
      <c r="U306" s="2">
        <v>514</v>
      </c>
      <c r="W306" s="239">
        <f t="shared" si="4"/>
        <v>6.8196405648267011E-2</v>
      </c>
    </row>
    <row r="307" spans="1:23" s="75" customFormat="1" x14ac:dyDescent="0.25">
      <c r="A307" s="2">
        <v>540260</v>
      </c>
      <c r="B307" s="2" t="s">
        <v>346</v>
      </c>
      <c r="C307" s="238" t="s">
        <v>113</v>
      </c>
      <c r="D307" s="2" t="s">
        <v>115</v>
      </c>
      <c r="E307" s="2">
        <v>7</v>
      </c>
      <c r="F307" s="2">
        <v>1</v>
      </c>
      <c r="G307" s="2">
        <v>4</v>
      </c>
      <c r="H307" s="2">
        <v>2.5</v>
      </c>
      <c r="I307" s="2">
        <v>0</v>
      </c>
      <c r="J307" s="2"/>
      <c r="K307" s="2">
        <v>492</v>
      </c>
      <c r="L307" s="2">
        <v>478</v>
      </c>
      <c r="M307" s="2">
        <v>485</v>
      </c>
      <c r="N307" s="2">
        <v>388</v>
      </c>
      <c r="O307" s="2">
        <v>0</v>
      </c>
      <c r="P307" s="2">
        <v>65</v>
      </c>
      <c r="Q307" s="2">
        <v>0</v>
      </c>
      <c r="R307" s="2">
        <v>0</v>
      </c>
      <c r="S307" s="2">
        <v>2</v>
      </c>
      <c r="T307" s="2">
        <v>20</v>
      </c>
      <c r="U307" s="2">
        <v>17</v>
      </c>
      <c r="W307" s="239">
        <f t="shared" si="4"/>
        <v>5.08130081300813E-3</v>
      </c>
    </row>
    <row r="308" spans="1:23" s="75" customFormat="1" x14ac:dyDescent="0.25">
      <c r="A308" s="2">
        <v>540192</v>
      </c>
      <c r="B308" s="2" t="s">
        <v>343</v>
      </c>
      <c r="C308" s="238" t="s">
        <v>113</v>
      </c>
      <c r="D308" s="2" t="s">
        <v>115</v>
      </c>
      <c r="E308" s="2">
        <v>7</v>
      </c>
      <c r="F308" s="2">
        <v>14</v>
      </c>
      <c r="G308" s="2">
        <v>14</v>
      </c>
      <c r="H308" s="2">
        <v>14</v>
      </c>
      <c r="I308" s="2">
        <v>0</v>
      </c>
      <c r="J308" s="2"/>
      <c r="K308" s="2">
        <v>202</v>
      </c>
      <c r="L308" s="2">
        <v>171</v>
      </c>
      <c r="M308" s="2">
        <v>186.5</v>
      </c>
      <c r="N308" s="2">
        <v>170</v>
      </c>
      <c r="O308" s="2">
        <v>0</v>
      </c>
      <c r="P308" s="2">
        <v>3</v>
      </c>
      <c r="Q308" s="2">
        <v>0</v>
      </c>
      <c r="R308" s="2">
        <v>0</v>
      </c>
      <c r="S308" s="2">
        <v>0</v>
      </c>
      <c r="T308" s="2">
        <v>20</v>
      </c>
      <c r="U308" s="2">
        <v>9</v>
      </c>
      <c r="W308" s="239">
        <f t="shared" si="4"/>
        <v>6.9306930693069313E-2</v>
      </c>
    </row>
    <row r="309" spans="1:23" s="75" customFormat="1" x14ac:dyDescent="0.25">
      <c r="A309" s="2">
        <v>540193</v>
      </c>
      <c r="B309" s="2" t="s">
        <v>342</v>
      </c>
      <c r="C309" s="238" t="s">
        <v>113</v>
      </c>
      <c r="D309" s="2" t="s">
        <v>115</v>
      </c>
      <c r="E309" s="2">
        <v>7</v>
      </c>
      <c r="F309" s="2">
        <v>17</v>
      </c>
      <c r="G309" s="2">
        <v>21</v>
      </c>
      <c r="H309" s="2">
        <v>19</v>
      </c>
      <c r="I309" s="2">
        <v>0</v>
      </c>
      <c r="J309" s="2"/>
      <c r="K309" s="2">
        <v>226</v>
      </c>
      <c r="L309" s="2">
        <v>198</v>
      </c>
      <c r="M309" s="2">
        <v>212</v>
      </c>
      <c r="N309" s="2">
        <v>193</v>
      </c>
      <c r="O309" s="2">
        <v>0</v>
      </c>
      <c r="P309" s="2">
        <v>8</v>
      </c>
      <c r="Q309" s="2">
        <v>8</v>
      </c>
      <c r="R309" s="2">
        <v>0</v>
      </c>
      <c r="S309" s="2">
        <v>0</v>
      </c>
      <c r="T309" s="2">
        <v>14</v>
      </c>
      <c r="U309" s="2">
        <v>3</v>
      </c>
      <c r="W309" s="239">
        <f t="shared" si="4"/>
        <v>8.4070796460176997E-2</v>
      </c>
    </row>
    <row r="310" spans="1:23" s="75" customFormat="1" x14ac:dyDescent="0.25">
      <c r="A310" s="2">
        <v>540194</v>
      </c>
      <c r="B310" s="2" t="s">
        <v>344</v>
      </c>
      <c r="C310" s="238" t="s">
        <v>113</v>
      </c>
      <c r="D310" s="2" t="s">
        <v>115</v>
      </c>
      <c r="E310" s="2">
        <v>7</v>
      </c>
      <c r="F310" s="2">
        <v>356</v>
      </c>
      <c r="G310" s="2">
        <v>231</v>
      </c>
      <c r="H310" s="2">
        <v>293.5</v>
      </c>
      <c r="I310" s="2">
        <v>0</v>
      </c>
      <c r="J310" s="2"/>
      <c r="K310" s="2">
        <v>933</v>
      </c>
      <c r="L310" s="2">
        <v>661</v>
      </c>
      <c r="M310" s="2">
        <v>797</v>
      </c>
      <c r="N310" s="2">
        <v>689</v>
      </c>
      <c r="O310" s="2">
        <v>0</v>
      </c>
      <c r="P310" s="2">
        <v>110</v>
      </c>
      <c r="Q310" s="2">
        <v>1</v>
      </c>
      <c r="R310" s="2">
        <v>13</v>
      </c>
      <c r="S310" s="2">
        <v>3</v>
      </c>
      <c r="T310" s="2">
        <v>69</v>
      </c>
      <c r="U310" s="2">
        <v>48</v>
      </c>
      <c r="W310" s="239">
        <f t="shared" si="4"/>
        <v>0.31457663451232581</v>
      </c>
    </row>
    <row r="311" spans="1:23" s="75" customFormat="1" x14ac:dyDescent="0.25">
      <c r="A311" s="2">
        <v>540261</v>
      </c>
      <c r="B311" s="2" t="s">
        <v>345</v>
      </c>
      <c r="C311" s="238" t="s">
        <v>113</v>
      </c>
      <c r="D311" s="2" t="s">
        <v>115</v>
      </c>
      <c r="E311" s="2">
        <v>7</v>
      </c>
      <c r="F311" s="2">
        <v>0</v>
      </c>
      <c r="G311" s="2">
        <v>0</v>
      </c>
      <c r="H311" s="2">
        <v>0</v>
      </c>
      <c r="I311" s="2">
        <v>0</v>
      </c>
      <c r="J311" s="2"/>
      <c r="K311" s="2">
        <v>507</v>
      </c>
      <c r="L311" s="2">
        <v>382</v>
      </c>
      <c r="M311" s="2">
        <v>444.5</v>
      </c>
      <c r="N311" s="2">
        <v>336</v>
      </c>
      <c r="O311" s="2">
        <v>0</v>
      </c>
      <c r="P311" s="2">
        <v>74</v>
      </c>
      <c r="Q311" s="2">
        <v>1</v>
      </c>
      <c r="R311" s="2">
        <v>0</v>
      </c>
      <c r="S311" s="2">
        <v>1</v>
      </c>
      <c r="T311" s="2">
        <v>29</v>
      </c>
      <c r="U311" s="2">
        <v>66</v>
      </c>
      <c r="W311" s="239">
        <f t="shared" si="4"/>
        <v>0</v>
      </c>
    </row>
    <row r="312" spans="1:23" s="75" customFormat="1" x14ac:dyDescent="0.25">
      <c r="A312" s="23"/>
      <c r="B312" s="23"/>
      <c r="C312" s="240" t="s">
        <v>113</v>
      </c>
      <c r="D312" s="23" t="s">
        <v>1360</v>
      </c>
      <c r="E312" s="23"/>
      <c r="F312" s="23">
        <v>854</v>
      </c>
      <c r="G312" s="23">
        <v>654</v>
      </c>
      <c r="H312" s="23">
        <v>754</v>
      </c>
      <c r="I312" s="23">
        <v>0</v>
      </c>
      <c r="J312" s="23"/>
      <c r="K312" s="23">
        <v>8592</v>
      </c>
      <c r="L312" s="23">
        <v>6336</v>
      </c>
      <c r="M312" s="23">
        <v>7464</v>
      </c>
      <c r="N312" s="23">
        <v>5501</v>
      </c>
      <c r="O312" s="23">
        <v>1459</v>
      </c>
      <c r="P312" s="23">
        <v>441</v>
      </c>
      <c r="Q312" s="23">
        <v>43</v>
      </c>
      <c r="R312" s="23">
        <v>19</v>
      </c>
      <c r="S312" s="23">
        <v>12</v>
      </c>
      <c r="T312" s="23">
        <v>460</v>
      </c>
      <c r="U312" s="23">
        <v>657</v>
      </c>
      <c r="W312" s="242">
        <f t="shared" si="4"/>
        <v>8.7756052141527E-2</v>
      </c>
    </row>
    <row r="313" spans="1:23" s="75" customFormat="1" x14ac:dyDescent="0.25">
      <c r="A313" s="2">
        <v>540277</v>
      </c>
      <c r="B313" s="2" t="s">
        <v>102</v>
      </c>
      <c r="C313" s="238" t="s">
        <v>103</v>
      </c>
      <c r="D313" s="2" t="s">
        <v>5</v>
      </c>
      <c r="E313" s="2">
        <v>5</v>
      </c>
      <c r="F313" s="2">
        <v>677</v>
      </c>
      <c r="G313" s="2">
        <v>921</v>
      </c>
      <c r="H313" s="2">
        <v>799</v>
      </c>
      <c r="I313" s="2">
        <v>0</v>
      </c>
      <c r="J313" s="2"/>
      <c r="K313" s="2">
        <v>4009</v>
      </c>
      <c r="L313" s="2">
        <v>5501</v>
      </c>
      <c r="M313" s="2">
        <v>4755</v>
      </c>
      <c r="N313" s="2">
        <v>1753</v>
      </c>
      <c r="O313" s="2">
        <v>2010</v>
      </c>
      <c r="P313" s="2">
        <v>93</v>
      </c>
      <c r="Q313" s="2">
        <v>11</v>
      </c>
      <c r="R313" s="2">
        <v>0</v>
      </c>
      <c r="S313" s="2">
        <v>0</v>
      </c>
      <c r="T313" s="2">
        <v>98</v>
      </c>
      <c r="U313" s="2">
        <v>44</v>
      </c>
      <c r="V313" s="16"/>
      <c r="W313" s="239">
        <f t="shared" si="4"/>
        <v>0.19930157146420555</v>
      </c>
    </row>
    <row r="314" spans="1:23" s="75" customFormat="1" x14ac:dyDescent="0.25">
      <c r="A314" s="2">
        <v>540259</v>
      </c>
      <c r="B314" s="2" t="s">
        <v>304</v>
      </c>
      <c r="C314" s="238" t="s">
        <v>103</v>
      </c>
      <c r="D314" s="2" t="s">
        <v>115</v>
      </c>
      <c r="E314" s="2">
        <v>5</v>
      </c>
      <c r="F314" s="2">
        <v>68</v>
      </c>
      <c r="G314" s="2">
        <v>73</v>
      </c>
      <c r="H314" s="2">
        <v>70.5</v>
      </c>
      <c r="I314" s="2">
        <v>0</v>
      </c>
      <c r="J314" s="2"/>
      <c r="K314" s="2">
        <v>97</v>
      </c>
      <c r="L314" s="2">
        <v>98</v>
      </c>
      <c r="M314" s="2">
        <v>97.5</v>
      </c>
      <c r="N314" s="2">
        <v>79</v>
      </c>
      <c r="O314" s="2">
        <v>1</v>
      </c>
      <c r="P314" s="2">
        <v>9</v>
      </c>
      <c r="Q314" s="2">
        <v>0</v>
      </c>
      <c r="R314" s="2">
        <v>0</v>
      </c>
      <c r="S314" s="2">
        <v>0</v>
      </c>
      <c r="T314" s="2">
        <v>6</v>
      </c>
      <c r="U314" s="2">
        <v>2</v>
      </c>
      <c r="W314" s="239">
        <f t="shared" si="4"/>
        <v>0.72680412371134018</v>
      </c>
    </row>
    <row r="315" spans="1:23" s="75" customFormat="1" x14ac:dyDescent="0.25">
      <c r="A315" s="2">
        <v>540195</v>
      </c>
      <c r="B315" s="2" t="s">
        <v>258</v>
      </c>
      <c r="C315" s="238" t="s">
        <v>103</v>
      </c>
      <c r="D315" s="2" t="s">
        <v>115</v>
      </c>
      <c r="E315" s="2">
        <v>5</v>
      </c>
      <c r="F315" s="2">
        <v>1</v>
      </c>
      <c r="G315" s="2">
        <v>6</v>
      </c>
      <c r="H315" s="2">
        <v>3.5</v>
      </c>
      <c r="I315" s="2">
        <v>0</v>
      </c>
      <c r="J315" s="2"/>
      <c r="K315" s="2">
        <v>390</v>
      </c>
      <c r="L315" s="2">
        <v>432</v>
      </c>
      <c r="M315" s="2">
        <v>411</v>
      </c>
      <c r="N315" s="2">
        <v>307</v>
      </c>
      <c r="O315" s="2">
        <v>0</v>
      </c>
      <c r="P315" s="2">
        <v>48</v>
      </c>
      <c r="Q315" s="2">
        <v>0</v>
      </c>
      <c r="R315" s="2">
        <v>0</v>
      </c>
      <c r="S315" s="2">
        <v>1</v>
      </c>
      <c r="T315" s="2">
        <v>30</v>
      </c>
      <c r="U315" s="2">
        <v>4</v>
      </c>
      <c r="W315" s="239">
        <f t="shared" si="4"/>
        <v>8.9743589743589737E-3</v>
      </c>
    </row>
    <row r="316" spans="1:23" s="75" customFormat="1" x14ac:dyDescent="0.25">
      <c r="A316" s="2">
        <v>540196</v>
      </c>
      <c r="B316" s="2" t="s">
        <v>259</v>
      </c>
      <c r="C316" s="238" t="s">
        <v>103</v>
      </c>
      <c r="D316" s="2" t="s">
        <v>115</v>
      </c>
      <c r="E316" s="2">
        <v>5</v>
      </c>
      <c r="F316" s="2">
        <v>1</v>
      </c>
      <c r="G316" s="2">
        <v>8</v>
      </c>
      <c r="H316" s="2">
        <v>4.5</v>
      </c>
      <c r="I316" s="2">
        <v>0</v>
      </c>
      <c r="J316" s="2"/>
      <c r="K316" s="2">
        <v>813</v>
      </c>
      <c r="L316" s="2">
        <v>485</v>
      </c>
      <c r="M316" s="2">
        <v>649</v>
      </c>
      <c r="N316" s="2">
        <v>764</v>
      </c>
      <c r="O316" s="2">
        <v>2</v>
      </c>
      <c r="P316" s="2">
        <v>27</v>
      </c>
      <c r="Q316" s="2">
        <v>0</v>
      </c>
      <c r="R316" s="2">
        <v>0</v>
      </c>
      <c r="S316" s="2">
        <v>0</v>
      </c>
      <c r="T316" s="2">
        <v>18</v>
      </c>
      <c r="U316" s="2">
        <v>2</v>
      </c>
      <c r="W316" s="239">
        <f t="shared" si="4"/>
        <v>5.5350553505535052E-3</v>
      </c>
    </row>
    <row r="317" spans="1:23" s="75" customFormat="1" x14ac:dyDescent="0.25">
      <c r="A317" s="2">
        <v>540197</v>
      </c>
      <c r="B317" s="2" t="s">
        <v>260</v>
      </c>
      <c r="C317" s="238" t="s">
        <v>103</v>
      </c>
      <c r="D317" s="2" t="s">
        <v>115</v>
      </c>
      <c r="E317" s="2">
        <v>5</v>
      </c>
      <c r="F317" s="2">
        <v>76</v>
      </c>
      <c r="G317" s="2">
        <v>102</v>
      </c>
      <c r="H317" s="2">
        <v>89</v>
      </c>
      <c r="I317" s="2">
        <v>0</v>
      </c>
      <c r="J317" s="2"/>
      <c r="K317" s="2">
        <v>772</v>
      </c>
      <c r="L317" s="2">
        <v>762</v>
      </c>
      <c r="M317" s="2">
        <v>767</v>
      </c>
      <c r="N317" s="2">
        <v>631</v>
      </c>
      <c r="O317" s="2">
        <v>4</v>
      </c>
      <c r="P317" s="2">
        <v>58</v>
      </c>
      <c r="Q317" s="2">
        <v>2</v>
      </c>
      <c r="R317" s="2">
        <v>0</v>
      </c>
      <c r="S317" s="2">
        <v>2</v>
      </c>
      <c r="T317" s="2">
        <v>59</v>
      </c>
      <c r="U317" s="2">
        <v>16</v>
      </c>
      <c r="W317" s="239">
        <f t="shared" si="4"/>
        <v>0.11528497409326424</v>
      </c>
    </row>
    <row r="318" spans="1:23" s="75" customFormat="1" x14ac:dyDescent="0.25">
      <c r="A318" s="23"/>
      <c r="B318" s="23"/>
      <c r="C318" s="240" t="s">
        <v>103</v>
      </c>
      <c r="D318" s="23" t="s">
        <v>1360</v>
      </c>
      <c r="E318" s="23"/>
      <c r="F318" s="23">
        <v>823</v>
      </c>
      <c r="G318" s="23">
        <v>1110</v>
      </c>
      <c r="H318" s="23">
        <v>966.5</v>
      </c>
      <c r="I318" s="23">
        <v>0</v>
      </c>
      <c r="J318" s="23"/>
      <c r="K318" s="23">
        <v>6081</v>
      </c>
      <c r="L318" s="23">
        <v>7278</v>
      </c>
      <c r="M318" s="23">
        <v>6679.5</v>
      </c>
      <c r="N318" s="23">
        <v>3534</v>
      </c>
      <c r="O318" s="23">
        <v>2017</v>
      </c>
      <c r="P318" s="23">
        <v>235</v>
      </c>
      <c r="Q318" s="23">
        <v>13</v>
      </c>
      <c r="R318" s="23">
        <v>0</v>
      </c>
      <c r="S318" s="23">
        <v>3</v>
      </c>
      <c r="T318" s="23">
        <v>211</v>
      </c>
      <c r="U318" s="23">
        <v>68</v>
      </c>
      <c r="W318" s="242">
        <f t="shared" si="4"/>
        <v>0.15893767472455189</v>
      </c>
    </row>
    <row r="319" spans="1:23" s="75" customFormat="1" x14ac:dyDescent="0.25">
      <c r="A319" s="2">
        <v>540198</v>
      </c>
      <c r="B319" s="2" t="s">
        <v>82</v>
      </c>
      <c r="C319" s="238" t="s">
        <v>83</v>
      </c>
      <c r="D319" s="2" t="s">
        <v>5</v>
      </c>
      <c r="E319" s="2">
        <v>7</v>
      </c>
      <c r="F319" s="2">
        <v>671</v>
      </c>
      <c r="G319" s="2">
        <v>669</v>
      </c>
      <c r="H319" s="2">
        <v>670</v>
      </c>
      <c r="I319" s="2">
        <v>0</v>
      </c>
      <c r="J319" s="2"/>
      <c r="K319" s="2">
        <v>11484</v>
      </c>
      <c r="L319" s="2">
        <v>10238</v>
      </c>
      <c r="M319" s="2">
        <v>10861</v>
      </c>
      <c r="N319" s="2">
        <v>7078</v>
      </c>
      <c r="O319" s="2">
        <v>2731</v>
      </c>
      <c r="P319" s="2">
        <v>1052</v>
      </c>
      <c r="Q319" s="2">
        <v>18</v>
      </c>
      <c r="R319" s="2">
        <v>0</v>
      </c>
      <c r="S319" s="2">
        <v>21</v>
      </c>
      <c r="T319" s="2">
        <v>321</v>
      </c>
      <c r="U319" s="2">
        <v>263</v>
      </c>
      <c r="V319" s="16"/>
      <c r="W319" s="239">
        <f t="shared" si="4"/>
        <v>5.8342041100661789E-2</v>
      </c>
    </row>
    <row r="320" spans="1:23" s="75" customFormat="1" x14ac:dyDescent="0.25">
      <c r="A320" s="2">
        <v>540199</v>
      </c>
      <c r="B320" s="2" t="s">
        <v>261</v>
      </c>
      <c r="C320" s="238" t="s">
        <v>83</v>
      </c>
      <c r="D320" s="2" t="s">
        <v>115</v>
      </c>
      <c r="E320" s="2">
        <v>7</v>
      </c>
      <c r="F320" s="2">
        <v>594</v>
      </c>
      <c r="G320" s="2">
        <v>591</v>
      </c>
      <c r="H320" s="2">
        <v>592.5</v>
      </c>
      <c r="I320" s="2">
        <v>0</v>
      </c>
      <c r="J320" s="2"/>
      <c r="K320" s="2">
        <v>2528</v>
      </c>
      <c r="L320" s="2">
        <v>2216</v>
      </c>
      <c r="M320" s="2">
        <v>2372</v>
      </c>
      <c r="N320" s="2">
        <v>1797</v>
      </c>
      <c r="O320" s="2">
        <v>3</v>
      </c>
      <c r="P320" s="2">
        <v>418</v>
      </c>
      <c r="Q320" s="2">
        <v>4</v>
      </c>
      <c r="R320" s="2">
        <v>0</v>
      </c>
      <c r="S320" s="2">
        <v>3</v>
      </c>
      <c r="T320" s="2">
        <v>276</v>
      </c>
      <c r="U320" s="2">
        <v>27</v>
      </c>
      <c r="V320" s="16"/>
      <c r="W320" s="239">
        <f t="shared" si="4"/>
        <v>0.234375</v>
      </c>
    </row>
    <row r="321" spans="1:23" s="75" customFormat="1" x14ac:dyDescent="0.25">
      <c r="A321" s="23"/>
      <c r="B321" s="23"/>
      <c r="C321" s="240" t="s">
        <v>83</v>
      </c>
      <c r="D321" s="23" t="s">
        <v>1360</v>
      </c>
      <c r="E321" s="23"/>
      <c r="F321" s="23">
        <v>1265</v>
      </c>
      <c r="G321" s="23">
        <v>1260</v>
      </c>
      <c r="H321" s="23">
        <v>1262.5</v>
      </c>
      <c r="I321" s="23">
        <v>0</v>
      </c>
      <c r="J321" s="23"/>
      <c r="K321" s="23">
        <v>14012</v>
      </c>
      <c r="L321" s="23">
        <v>12454</v>
      </c>
      <c r="M321" s="23">
        <v>13233</v>
      </c>
      <c r="N321" s="23">
        <v>8875</v>
      </c>
      <c r="O321" s="23">
        <v>2734</v>
      </c>
      <c r="P321" s="23">
        <v>1470</v>
      </c>
      <c r="Q321" s="23">
        <v>22</v>
      </c>
      <c r="R321" s="23">
        <v>0</v>
      </c>
      <c r="S321" s="23">
        <v>24</v>
      </c>
      <c r="T321" s="23">
        <v>597</v>
      </c>
      <c r="U321" s="23">
        <v>290</v>
      </c>
      <c r="W321" s="242">
        <f t="shared" si="4"/>
        <v>9.0101341707108193E-2</v>
      </c>
    </row>
    <row r="322" spans="1:23" s="75" customFormat="1" x14ac:dyDescent="0.25">
      <c r="A322" s="2">
        <v>540200</v>
      </c>
      <c r="B322" s="2" t="s">
        <v>84</v>
      </c>
      <c r="C322" s="238" t="s">
        <v>85</v>
      </c>
      <c r="D322" s="2" t="s">
        <v>5</v>
      </c>
      <c r="E322" s="2">
        <v>2</v>
      </c>
      <c r="F322" s="2">
        <v>3107</v>
      </c>
      <c r="G322" s="2">
        <v>2565</v>
      </c>
      <c r="H322" s="2">
        <v>2836</v>
      </c>
      <c r="I322" s="2">
        <v>0</v>
      </c>
      <c r="J322" s="2"/>
      <c r="K322" s="2">
        <v>25626</v>
      </c>
      <c r="L322" s="2">
        <v>18473</v>
      </c>
      <c r="M322" s="2">
        <v>22049.5</v>
      </c>
      <c r="N322" s="2">
        <v>21439</v>
      </c>
      <c r="O322" s="2">
        <v>1130</v>
      </c>
      <c r="P322" s="2">
        <v>982</v>
      </c>
      <c r="Q322" s="2">
        <v>35</v>
      </c>
      <c r="R322" s="2">
        <v>0</v>
      </c>
      <c r="S322" s="2">
        <v>31</v>
      </c>
      <c r="T322" s="2">
        <v>990</v>
      </c>
      <c r="U322" s="2">
        <v>1019</v>
      </c>
      <c r="V322" s="16"/>
      <c r="W322" s="239">
        <f t="shared" si="4"/>
        <v>0.11066885194724109</v>
      </c>
    </row>
    <row r="323" spans="1:23" s="75" customFormat="1" x14ac:dyDescent="0.25">
      <c r="A323" s="2">
        <v>540232</v>
      </c>
      <c r="B323" s="2" t="s">
        <v>282</v>
      </c>
      <c r="C323" s="238" t="s">
        <v>85</v>
      </c>
      <c r="D323" s="2" t="s">
        <v>115</v>
      </c>
      <c r="E323" s="2">
        <v>2</v>
      </c>
      <c r="F323" s="2">
        <v>79</v>
      </c>
      <c r="G323" s="2">
        <v>109</v>
      </c>
      <c r="H323" s="2">
        <v>94</v>
      </c>
      <c r="I323" s="2">
        <v>0</v>
      </c>
      <c r="J323" s="2"/>
      <c r="K323" s="2">
        <v>855</v>
      </c>
      <c r="L323" s="2">
        <v>720</v>
      </c>
      <c r="M323" s="2">
        <v>787.5</v>
      </c>
      <c r="N323" s="2">
        <v>661</v>
      </c>
      <c r="O323" s="2">
        <v>0</v>
      </c>
      <c r="P323" s="2">
        <v>89</v>
      </c>
      <c r="Q323" s="2">
        <v>13</v>
      </c>
      <c r="R323" s="2">
        <v>0</v>
      </c>
      <c r="S323" s="2">
        <v>1</v>
      </c>
      <c r="T323" s="2">
        <v>54</v>
      </c>
      <c r="U323" s="2">
        <v>37</v>
      </c>
      <c r="V323" s="16"/>
      <c r="W323" s="239">
        <f t="shared" si="4"/>
        <v>0.10994152046783626</v>
      </c>
    </row>
    <row r="324" spans="1:23" s="75" customFormat="1" x14ac:dyDescent="0.25">
      <c r="A324" s="2">
        <v>540202</v>
      </c>
      <c r="B324" s="2" t="s">
        <v>262</v>
      </c>
      <c r="C324" s="238" t="s">
        <v>85</v>
      </c>
      <c r="D324" s="2" t="s">
        <v>115</v>
      </c>
      <c r="E324" s="2">
        <v>2</v>
      </c>
      <c r="F324" s="2">
        <v>127</v>
      </c>
      <c r="G324" s="2">
        <v>89</v>
      </c>
      <c r="H324" s="2">
        <v>108</v>
      </c>
      <c r="I324" s="2">
        <v>0</v>
      </c>
      <c r="J324" s="2"/>
      <c r="K324" s="2">
        <v>546</v>
      </c>
      <c r="L324" s="2">
        <v>366</v>
      </c>
      <c r="M324" s="2">
        <v>456</v>
      </c>
      <c r="N324" s="2">
        <v>416</v>
      </c>
      <c r="O324" s="2">
        <v>0</v>
      </c>
      <c r="P324" s="2">
        <v>56</v>
      </c>
      <c r="Q324" s="2">
        <v>0</v>
      </c>
      <c r="R324" s="2">
        <v>0</v>
      </c>
      <c r="S324" s="2">
        <v>1</v>
      </c>
      <c r="T324" s="2">
        <v>48</v>
      </c>
      <c r="U324" s="2">
        <v>25</v>
      </c>
      <c r="V324" s="16"/>
      <c r="W324" s="239">
        <f t="shared" si="4"/>
        <v>0.19780219780219779</v>
      </c>
    </row>
    <row r="325" spans="1:23" s="75" customFormat="1" x14ac:dyDescent="0.25">
      <c r="A325" s="2">
        <v>540018</v>
      </c>
      <c r="B325" s="2" t="s">
        <v>127</v>
      </c>
      <c r="C325" s="238" t="s">
        <v>85</v>
      </c>
      <c r="D325" s="2" t="s">
        <v>115</v>
      </c>
      <c r="E325" s="2">
        <v>2</v>
      </c>
      <c r="F325" s="2">
        <v>202</v>
      </c>
      <c r="G325" s="2">
        <v>233</v>
      </c>
      <c r="H325" s="2">
        <v>217.5</v>
      </c>
      <c r="I325" s="2">
        <v>0</v>
      </c>
      <c r="J325" s="2"/>
      <c r="K325" s="2">
        <v>1901</v>
      </c>
      <c r="L325" s="2">
        <v>1982</v>
      </c>
      <c r="M325" s="2">
        <v>1941.5</v>
      </c>
      <c r="N325" s="2">
        <v>1749</v>
      </c>
      <c r="O325" s="2">
        <v>0</v>
      </c>
      <c r="P325" s="2">
        <v>103</v>
      </c>
      <c r="Q325" s="2">
        <v>0</v>
      </c>
      <c r="R325" s="2">
        <v>0</v>
      </c>
      <c r="S325" s="2">
        <v>1</v>
      </c>
      <c r="T325" s="2">
        <v>31</v>
      </c>
      <c r="U325" s="2">
        <v>17</v>
      </c>
      <c r="V325" s="16"/>
      <c r="W325" s="239">
        <f t="shared" ref="W325:W354" si="5" xml:space="preserve"> H325 / K325</f>
        <v>0.11441346659652814</v>
      </c>
    </row>
    <row r="326" spans="1:23" s="75" customFormat="1" x14ac:dyDescent="0.25">
      <c r="A326" s="2">
        <v>540221</v>
      </c>
      <c r="B326" s="2" t="s">
        <v>275</v>
      </c>
      <c r="C326" s="238" t="s">
        <v>85</v>
      </c>
      <c r="D326" s="2" t="s">
        <v>115</v>
      </c>
      <c r="E326" s="2">
        <v>2</v>
      </c>
      <c r="F326" s="2">
        <v>106</v>
      </c>
      <c r="G326" s="2">
        <v>106</v>
      </c>
      <c r="H326" s="2">
        <v>106</v>
      </c>
      <c r="I326" s="2">
        <v>0</v>
      </c>
      <c r="J326" s="2"/>
      <c r="K326" s="2">
        <v>2116</v>
      </c>
      <c r="L326" s="2">
        <v>1470</v>
      </c>
      <c r="M326" s="2">
        <v>1793</v>
      </c>
      <c r="N326" s="2">
        <v>1727</v>
      </c>
      <c r="O326" s="2">
        <v>0</v>
      </c>
      <c r="P326" s="2">
        <v>251</v>
      </c>
      <c r="Q326" s="2">
        <v>3</v>
      </c>
      <c r="R326" s="2">
        <v>0</v>
      </c>
      <c r="S326" s="2">
        <v>15</v>
      </c>
      <c r="T326" s="2">
        <v>99</v>
      </c>
      <c r="U326" s="2">
        <v>21</v>
      </c>
      <c r="V326" s="16"/>
      <c r="W326" s="239">
        <f t="shared" si="5"/>
        <v>5.0094517958412098E-2</v>
      </c>
    </row>
    <row r="327" spans="1:23" s="75" customFormat="1" x14ac:dyDescent="0.25">
      <c r="A327" s="2">
        <v>540231</v>
      </c>
      <c r="B327" s="2" t="s">
        <v>281</v>
      </c>
      <c r="C327" s="238" t="s">
        <v>85</v>
      </c>
      <c r="D327" s="2" t="s">
        <v>115</v>
      </c>
      <c r="E327" s="2">
        <v>2</v>
      </c>
      <c r="F327" s="2">
        <v>227</v>
      </c>
      <c r="G327" s="2">
        <v>198</v>
      </c>
      <c r="H327" s="2">
        <v>212.5</v>
      </c>
      <c r="I327" s="2">
        <v>0</v>
      </c>
      <c r="J327" s="2"/>
      <c r="K327" s="2">
        <v>851</v>
      </c>
      <c r="L327" s="2">
        <v>667</v>
      </c>
      <c r="M327" s="2">
        <v>759</v>
      </c>
      <c r="N327" s="2">
        <v>591</v>
      </c>
      <c r="O327" s="2">
        <v>0</v>
      </c>
      <c r="P327" s="2">
        <v>138</v>
      </c>
      <c r="Q327" s="2">
        <v>0</v>
      </c>
      <c r="R327" s="2">
        <v>0</v>
      </c>
      <c r="S327" s="2">
        <v>3</v>
      </c>
      <c r="T327" s="2">
        <v>81</v>
      </c>
      <c r="U327" s="2">
        <v>38</v>
      </c>
      <c r="V327" s="16"/>
      <c r="W327" s="239">
        <f t="shared" si="5"/>
        <v>0.24970622796709754</v>
      </c>
    </row>
    <row r="328" spans="1:23" s="75" customFormat="1" x14ac:dyDescent="0.25">
      <c r="A328" s="23"/>
      <c r="B328" s="23"/>
      <c r="C328" s="240" t="s">
        <v>85</v>
      </c>
      <c r="D328" s="23" t="s">
        <v>1360</v>
      </c>
      <c r="E328" s="23"/>
      <c r="F328" s="23">
        <v>3848</v>
      </c>
      <c r="G328" s="23">
        <v>3300</v>
      </c>
      <c r="H328" s="23">
        <v>3574</v>
      </c>
      <c r="I328" s="23">
        <v>0</v>
      </c>
      <c r="J328" s="23"/>
      <c r="K328" s="23">
        <v>31895</v>
      </c>
      <c r="L328" s="23">
        <v>23678</v>
      </c>
      <c r="M328" s="23">
        <v>27786.5</v>
      </c>
      <c r="N328" s="23">
        <v>26583</v>
      </c>
      <c r="O328" s="23">
        <v>1130</v>
      </c>
      <c r="P328" s="23">
        <v>1619</v>
      </c>
      <c r="Q328" s="23">
        <v>51</v>
      </c>
      <c r="R328" s="23">
        <v>0</v>
      </c>
      <c r="S328" s="23">
        <v>52</v>
      </c>
      <c r="T328" s="23">
        <v>1303</v>
      </c>
      <c r="U328" s="23">
        <v>1157</v>
      </c>
      <c r="W328" s="242">
        <f t="shared" si="5"/>
        <v>0.11205518106286252</v>
      </c>
    </row>
    <row r="329" spans="1:23" s="75" customFormat="1" x14ac:dyDescent="0.25">
      <c r="A329" s="2">
        <v>540203</v>
      </c>
      <c r="B329" s="2" t="s">
        <v>86</v>
      </c>
      <c r="C329" s="238" t="s">
        <v>87</v>
      </c>
      <c r="D329" s="2" t="s">
        <v>5</v>
      </c>
      <c r="E329" s="2">
        <v>4</v>
      </c>
      <c r="F329" s="2">
        <v>644</v>
      </c>
      <c r="G329" s="2">
        <v>1002</v>
      </c>
      <c r="H329" s="2">
        <v>823</v>
      </c>
      <c r="I329" s="2">
        <v>0</v>
      </c>
      <c r="J329" s="2"/>
      <c r="K329" s="2">
        <v>3539</v>
      </c>
      <c r="L329" s="2">
        <v>4958</v>
      </c>
      <c r="M329" s="2">
        <v>4248.5</v>
      </c>
      <c r="N329" s="2">
        <v>2845</v>
      </c>
      <c r="O329" s="2">
        <v>299</v>
      </c>
      <c r="P329" s="2">
        <v>151</v>
      </c>
      <c r="Q329" s="2">
        <v>6</v>
      </c>
      <c r="R329" s="2">
        <v>2</v>
      </c>
      <c r="S329" s="2">
        <v>0</v>
      </c>
      <c r="T329" s="2">
        <v>131</v>
      </c>
      <c r="U329" s="2">
        <v>105</v>
      </c>
      <c r="V329" s="16"/>
      <c r="W329" s="239">
        <f t="shared" si="5"/>
        <v>0.2325515682396157</v>
      </c>
    </row>
    <row r="330" spans="1:23" s="75" customFormat="1" x14ac:dyDescent="0.25">
      <c r="A330" s="2">
        <v>540204</v>
      </c>
      <c r="B330" s="2" t="s">
        <v>263</v>
      </c>
      <c r="C330" s="238" t="s">
        <v>87</v>
      </c>
      <c r="D330" s="2" t="s">
        <v>115</v>
      </c>
      <c r="E330" s="2">
        <v>4</v>
      </c>
      <c r="F330" s="2">
        <v>116</v>
      </c>
      <c r="G330" s="2">
        <v>143</v>
      </c>
      <c r="H330" s="2">
        <v>129.5</v>
      </c>
      <c r="I330" s="2">
        <v>0</v>
      </c>
      <c r="J330" s="2"/>
      <c r="K330" s="2">
        <v>539</v>
      </c>
      <c r="L330" s="2">
        <v>418</v>
      </c>
      <c r="M330" s="2">
        <v>478.5</v>
      </c>
      <c r="N330" s="2">
        <v>238</v>
      </c>
      <c r="O330" s="2">
        <v>0</v>
      </c>
      <c r="P330" s="2">
        <v>101</v>
      </c>
      <c r="Q330" s="2">
        <v>0</v>
      </c>
      <c r="R330" s="2">
        <v>13</v>
      </c>
      <c r="S330" s="2">
        <v>54</v>
      </c>
      <c r="T330" s="2">
        <v>113</v>
      </c>
      <c r="U330" s="2">
        <v>20</v>
      </c>
      <c r="V330" s="16"/>
      <c r="W330" s="239">
        <f t="shared" si="5"/>
        <v>0.24025974025974026</v>
      </c>
    </row>
    <row r="331" spans="1:23" s="75" customFormat="1" x14ac:dyDescent="0.25">
      <c r="A331" s="2">
        <v>540205</v>
      </c>
      <c r="B331" s="2" t="s">
        <v>264</v>
      </c>
      <c r="C331" s="238" t="s">
        <v>87</v>
      </c>
      <c r="D331" s="2" t="s">
        <v>115</v>
      </c>
      <c r="E331" s="2">
        <v>4</v>
      </c>
      <c r="F331" s="2">
        <v>20</v>
      </c>
      <c r="G331" s="2">
        <v>27</v>
      </c>
      <c r="H331" s="2">
        <v>23.5</v>
      </c>
      <c r="I331" s="2">
        <v>0</v>
      </c>
      <c r="J331" s="2"/>
      <c r="K331" s="2">
        <v>70</v>
      </c>
      <c r="L331" s="2">
        <v>99</v>
      </c>
      <c r="M331" s="2">
        <v>84.5</v>
      </c>
      <c r="N331" s="2">
        <v>60</v>
      </c>
      <c r="O331" s="2">
        <v>3</v>
      </c>
      <c r="P331" s="2">
        <v>4</v>
      </c>
      <c r="Q331" s="2">
        <v>0</v>
      </c>
      <c r="R331" s="2">
        <v>0</v>
      </c>
      <c r="S331" s="2">
        <v>0</v>
      </c>
      <c r="T331" s="2">
        <v>0</v>
      </c>
      <c r="U331" s="2">
        <v>3</v>
      </c>
      <c r="V331" s="16"/>
      <c r="W331" s="239">
        <f t="shared" si="5"/>
        <v>0.33571428571428569</v>
      </c>
    </row>
    <row r="332" spans="1:23" s="75" customFormat="1" x14ac:dyDescent="0.25">
      <c r="A332" s="2">
        <v>540206</v>
      </c>
      <c r="B332" s="2" t="s">
        <v>265</v>
      </c>
      <c r="C332" s="238" t="s">
        <v>87</v>
      </c>
      <c r="D332" s="2" t="s">
        <v>115</v>
      </c>
      <c r="E332" s="2">
        <v>4</v>
      </c>
      <c r="F332" s="2">
        <v>39</v>
      </c>
      <c r="G332" s="2">
        <v>44</v>
      </c>
      <c r="H332" s="2">
        <v>41.5</v>
      </c>
      <c r="I332" s="2">
        <v>0</v>
      </c>
      <c r="J332" s="2"/>
      <c r="K332" s="2">
        <v>318</v>
      </c>
      <c r="L332" s="2">
        <v>320</v>
      </c>
      <c r="M332" s="2">
        <v>319</v>
      </c>
      <c r="N332" s="2">
        <v>252</v>
      </c>
      <c r="O332" s="2">
        <v>2</v>
      </c>
      <c r="P332" s="2">
        <v>35</v>
      </c>
      <c r="Q332" s="2">
        <v>0</v>
      </c>
      <c r="R332" s="2">
        <v>9</v>
      </c>
      <c r="S332" s="2">
        <v>0</v>
      </c>
      <c r="T332" s="2">
        <v>16</v>
      </c>
      <c r="U332" s="2">
        <v>4</v>
      </c>
      <c r="V332" s="16"/>
      <c r="W332" s="239">
        <f t="shared" si="5"/>
        <v>0.13050314465408805</v>
      </c>
    </row>
    <row r="333" spans="1:23" s="75" customFormat="1" x14ac:dyDescent="0.25">
      <c r="A333" s="23"/>
      <c r="B333" s="23"/>
      <c r="C333" s="240" t="s">
        <v>87</v>
      </c>
      <c r="D333" s="23" t="s">
        <v>1360</v>
      </c>
      <c r="E333" s="23"/>
      <c r="F333" s="23">
        <v>819</v>
      </c>
      <c r="G333" s="23">
        <v>1216</v>
      </c>
      <c r="H333" s="23">
        <v>1017.5</v>
      </c>
      <c r="I333" s="23">
        <v>0</v>
      </c>
      <c r="J333" s="23"/>
      <c r="K333" s="23">
        <v>4466</v>
      </c>
      <c r="L333" s="23">
        <v>5795</v>
      </c>
      <c r="M333" s="23">
        <v>5130.5</v>
      </c>
      <c r="N333" s="23">
        <v>3395</v>
      </c>
      <c r="O333" s="23">
        <v>304</v>
      </c>
      <c r="P333" s="23">
        <v>291</v>
      </c>
      <c r="Q333" s="23">
        <v>6</v>
      </c>
      <c r="R333" s="23">
        <v>24</v>
      </c>
      <c r="S333" s="23">
        <v>54</v>
      </c>
      <c r="T333" s="23">
        <v>260</v>
      </c>
      <c r="U333" s="23">
        <v>132</v>
      </c>
      <c r="W333" s="242">
        <f t="shared" si="5"/>
        <v>0.22783251231527094</v>
      </c>
    </row>
    <row r="334" spans="1:23" s="75" customFormat="1" x14ac:dyDescent="0.25">
      <c r="A334" s="2">
        <v>540207</v>
      </c>
      <c r="B334" s="2" t="s">
        <v>88</v>
      </c>
      <c r="C334" s="238" t="s">
        <v>89</v>
      </c>
      <c r="D334" s="2" t="s">
        <v>5</v>
      </c>
      <c r="E334" s="2">
        <v>10</v>
      </c>
      <c r="F334" s="2">
        <v>883</v>
      </c>
      <c r="G334" s="2">
        <v>1333</v>
      </c>
      <c r="H334" s="2">
        <v>1108</v>
      </c>
      <c r="I334" s="2">
        <v>0</v>
      </c>
      <c r="J334" s="2"/>
      <c r="K334" s="2">
        <v>5050</v>
      </c>
      <c r="L334" s="2">
        <v>6712</v>
      </c>
      <c r="M334" s="2">
        <v>5881</v>
      </c>
      <c r="N334" s="2">
        <v>2841</v>
      </c>
      <c r="O334" s="2">
        <v>1822</v>
      </c>
      <c r="P334" s="2">
        <v>173</v>
      </c>
      <c r="Q334" s="2">
        <v>12</v>
      </c>
      <c r="R334" s="2">
        <v>0</v>
      </c>
      <c r="S334" s="2">
        <v>12</v>
      </c>
      <c r="T334" s="2">
        <v>145</v>
      </c>
      <c r="U334" s="2">
        <v>45</v>
      </c>
      <c r="V334" s="16"/>
      <c r="W334" s="239">
        <f t="shared" si="5"/>
        <v>0.21940594059405941</v>
      </c>
    </row>
    <row r="335" spans="1:23" s="75" customFormat="1" x14ac:dyDescent="0.25">
      <c r="A335" s="2">
        <v>540256</v>
      </c>
      <c r="B335" s="2" t="s">
        <v>301</v>
      </c>
      <c r="C335" s="238" t="s">
        <v>89</v>
      </c>
      <c r="D335" s="2" t="s">
        <v>115</v>
      </c>
      <c r="E335" s="2">
        <v>10</v>
      </c>
      <c r="F335" s="2">
        <v>96</v>
      </c>
      <c r="G335" s="2">
        <v>66</v>
      </c>
      <c r="H335" s="2">
        <v>81</v>
      </c>
      <c r="I335" s="2">
        <v>0</v>
      </c>
      <c r="J335" s="2"/>
      <c r="K335" s="2">
        <v>237</v>
      </c>
      <c r="L335" s="2">
        <v>189</v>
      </c>
      <c r="M335" s="2">
        <v>213</v>
      </c>
      <c r="N335" s="2">
        <v>155</v>
      </c>
      <c r="O335" s="2">
        <v>1</v>
      </c>
      <c r="P335" s="2">
        <v>59</v>
      </c>
      <c r="Q335" s="2">
        <v>0</v>
      </c>
      <c r="R335" s="2">
        <v>0</v>
      </c>
      <c r="S335" s="2">
        <v>2</v>
      </c>
      <c r="T335" s="2">
        <v>17</v>
      </c>
      <c r="U335" s="2">
        <v>3</v>
      </c>
      <c r="V335" s="16"/>
      <c r="W335" s="239">
        <f t="shared" si="5"/>
        <v>0.34177215189873417</v>
      </c>
    </row>
    <row r="336" spans="1:23" s="75" customFormat="1" x14ac:dyDescent="0.25">
      <c r="A336" s="2">
        <v>540208</v>
      </c>
      <c r="B336" s="2" t="s">
        <v>266</v>
      </c>
      <c r="C336" s="238" t="s">
        <v>89</v>
      </c>
      <c r="D336" s="2" t="s">
        <v>115</v>
      </c>
      <c r="E336" s="2">
        <v>10</v>
      </c>
      <c r="F336" s="2">
        <v>905</v>
      </c>
      <c r="G336" s="2">
        <v>891</v>
      </c>
      <c r="H336" s="2">
        <v>898</v>
      </c>
      <c r="I336" s="2">
        <v>0</v>
      </c>
      <c r="J336" s="2"/>
      <c r="K336" s="2">
        <v>3200</v>
      </c>
      <c r="L336" s="2">
        <v>2864</v>
      </c>
      <c r="M336" s="2">
        <v>3032</v>
      </c>
      <c r="N336" s="2">
        <v>2068</v>
      </c>
      <c r="O336" s="2">
        <v>9</v>
      </c>
      <c r="P336" s="2">
        <v>960</v>
      </c>
      <c r="Q336" s="2">
        <v>1</v>
      </c>
      <c r="R336" s="2">
        <v>0</v>
      </c>
      <c r="S336" s="2">
        <v>3</v>
      </c>
      <c r="T336" s="2">
        <v>144</v>
      </c>
      <c r="U336" s="2">
        <v>15</v>
      </c>
      <c r="V336" s="16"/>
      <c r="W336" s="239">
        <f t="shared" si="5"/>
        <v>0.28062500000000001</v>
      </c>
    </row>
    <row r="337" spans="1:23" s="75" customFormat="1" x14ac:dyDescent="0.25">
      <c r="A337" s="2">
        <v>540196</v>
      </c>
      <c r="B337" s="2" t="s">
        <v>259</v>
      </c>
      <c r="C337" s="238" t="s">
        <v>89</v>
      </c>
      <c r="D337" s="2" t="s">
        <v>115</v>
      </c>
      <c r="E337" s="2">
        <v>5</v>
      </c>
      <c r="F337" s="2">
        <v>7</v>
      </c>
      <c r="G337" s="2">
        <v>18</v>
      </c>
      <c r="H337" s="2">
        <v>12.5</v>
      </c>
      <c r="I337" s="2">
        <v>0</v>
      </c>
      <c r="J337" s="2"/>
      <c r="K337" s="2">
        <v>1017</v>
      </c>
      <c r="L337" s="2">
        <v>978</v>
      </c>
      <c r="M337" s="2">
        <v>997.5</v>
      </c>
      <c r="N337" s="2">
        <v>887</v>
      </c>
      <c r="O337" s="2">
        <v>0</v>
      </c>
      <c r="P337" s="2">
        <v>86</v>
      </c>
      <c r="Q337" s="2">
        <v>4</v>
      </c>
      <c r="R337" s="2">
        <v>0</v>
      </c>
      <c r="S337" s="2">
        <v>2</v>
      </c>
      <c r="T337" s="2">
        <v>34</v>
      </c>
      <c r="U337" s="2">
        <v>4</v>
      </c>
      <c r="V337" s="16"/>
      <c r="W337" s="239">
        <f t="shared" si="5"/>
        <v>1.2291052114060964E-2</v>
      </c>
    </row>
    <row r="338" spans="1:23" s="75" customFormat="1" x14ac:dyDescent="0.25">
      <c r="A338" s="2">
        <v>540210</v>
      </c>
      <c r="B338" s="2" t="s">
        <v>267</v>
      </c>
      <c r="C338" s="238" t="s">
        <v>89</v>
      </c>
      <c r="D338" s="2" t="s">
        <v>115</v>
      </c>
      <c r="E338" s="2">
        <v>10</v>
      </c>
      <c r="F338" s="2">
        <v>90</v>
      </c>
      <c r="G338" s="2">
        <v>116</v>
      </c>
      <c r="H338" s="2">
        <v>103</v>
      </c>
      <c r="I338" s="2">
        <v>0</v>
      </c>
      <c r="J338" s="2"/>
      <c r="K338" s="2">
        <v>286</v>
      </c>
      <c r="L338" s="2">
        <v>294</v>
      </c>
      <c r="M338" s="2">
        <v>290</v>
      </c>
      <c r="N338" s="2">
        <v>199</v>
      </c>
      <c r="O338" s="2">
        <v>4</v>
      </c>
      <c r="P338" s="2">
        <v>54</v>
      </c>
      <c r="Q338" s="2">
        <v>0</v>
      </c>
      <c r="R338" s="2">
        <v>7</v>
      </c>
      <c r="S338" s="2">
        <v>1</v>
      </c>
      <c r="T338" s="2">
        <v>20</v>
      </c>
      <c r="U338" s="2">
        <v>1</v>
      </c>
      <c r="V338" s="16"/>
      <c r="W338" s="239">
        <f t="shared" si="5"/>
        <v>0.36013986013986016</v>
      </c>
    </row>
    <row r="339" spans="1:23" s="75" customFormat="1" x14ac:dyDescent="0.25">
      <c r="A339" s="2">
        <v>540258</v>
      </c>
      <c r="B339" s="2" t="s">
        <v>303</v>
      </c>
      <c r="C339" s="238" t="s">
        <v>89</v>
      </c>
      <c r="D339" s="2" t="s">
        <v>115</v>
      </c>
      <c r="E339" s="2">
        <v>10</v>
      </c>
      <c r="F339" s="2">
        <v>29</v>
      </c>
      <c r="G339" s="2">
        <v>24</v>
      </c>
      <c r="H339" s="2">
        <v>26.5</v>
      </c>
      <c r="I339" s="2">
        <v>0</v>
      </c>
      <c r="J339" s="2"/>
      <c r="K339" s="2">
        <v>111</v>
      </c>
      <c r="L339" s="2">
        <v>102</v>
      </c>
      <c r="M339" s="2">
        <v>106.5</v>
      </c>
      <c r="N339" s="2">
        <v>77</v>
      </c>
      <c r="O339" s="2">
        <v>2</v>
      </c>
      <c r="P339" s="2">
        <v>25</v>
      </c>
      <c r="Q339" s="2">
        <v>0</v>
      </c>
      <c r="R339" s="2">
        <v>0</v>
      </c>
      <c r="S339" s="2">
        <v>2</v>
      </c>
      <c r="T339" s="2">
        <v>4</v>
      </c>
      <c r="U339" s="2">
        <v>1</v>
      </c>
      <c r="V339" s="16"/>
      <c r="W339" s="239">
        <f t="shared" si="5"/>
        <v>0.23873873873873874</v>
      </c>
    </row>
    <row r="340" spans="1:23" s="75" customFormat="1" x14ac:dyDescent="0.25">
      <c r="A340" s="23"/>
      <c r="B340" s="23"/>
      <c r="C340" s="240" t="s">
        <v>89</v>
      </c>
      <c r="D340" s="23" t="s">
        <v>1360</v>
      </c>
      <c r="E340" s="23"/>
      <c r="F340" s="23">
        <v>2010</v>
      </c>
      <c r="G340" s="23">
        <v>2448</v>
      </c>
      <c r="H340" s="23">
        <v>2229</v>
      </c>
      <c r="I340" s="23">
        <v>0</v>
      </c>
      <c r="J340" s="23"/>
      <c r="K340" s="23">
        <v>9901</v>
      </c>
      <c r="L340" s="23">
        <v>11139</v>
      </c>
      <c r="M340" s="23">
        <v>10520</v>
      </c>
      <c r="N340" s="23">
        <v>6227</v>
      </c>
      <c r="O340" s="23">
        <v>1838</v>
      </c>
      <c r="P340" s="23">
        <v>1357</v>
      </c>
      <c r="Q340" s="23">
        <v>17</v>
      </c>
      <c r="R340" s="23">
        <v>7</v>
      </c>
      <c r="S340" s="23">
        <v>22</v>
      </c>
      <c r="T340" s="23">
        <v>364</v>
      </c>
      <c r="U340" s="23">
        <v>69</v>
      </c>
      <c r="W340" s="242">
        <f t="shared" si="5"/>
        <v>0.22512877487122512</v>
      </c>
    </row>
    <row r="341" spans="1:23" s="75" customFormat="1" x14ac:dyDescent="0.25">
      <c r="A341" s="2">
        <v>540211</v>
      </c>
      <c r="B341" s="2" t="s">
        <v>90</v>
      </c>
      <c r="C341" s="238" t="s">
        <v>91</v>
      </c>
      <c r="D341" s="2" t="s">
        <v>5</v>
      </c>
      <c r="E341" s="2">
        <v>5</v>
      </c>
      <c r="F341" s="2">
        <v>797</v>
      </c>
      <c r="G341" s="2">
        <v>554</v>
      </c>
      <c r="H341" s="2">
        <v>675.5</v>
      </c>
      <c r="I341" s="2">
        <v>0</v>
      </c>
      <c r="J341" s="2"/>
      <c r="K341" s="2">
        <v>5960</v>
      </c>
      <c r="L341" s="2">
        <v>4320</v>
      </c>
      <c r="M341" s="2">
        <v>5140</v>
      </c>
      <c r="N341" s="2">
        <v>2062</v>
      </c>
      <c r="O341" s="2">
        <v>2194</v>
      </c>
      <c r="P341" s="2">
        <v>43</v>
      </c>
      <c r="Q341" s="2">
        <v>0</v>
      </c>
      <c r="R341" s="2">
        <v>0</v>
      </c>
      <c r="S341" s="2">
        <v>0</v>
      </c>
      <c r="T341" s="2">
        <v>128</v>
      </c>
      <c r="U341" s="2">
        <v>1533</v>
      </c>
      <c r="V341" s="16"/>
      <c r="W341" s="239">
        <f t="shared" si="5"/>
        <v>0.11333892617449665</v>
      </c>
    </row>
    <row r="342" spans="1:23" s="75" customFormat="1" x14ac:dyDescent="0.25">
      <c r="A342" s="2">
        <v>540212</v>
      </c>
      <c r="B342" s="2" t="s">
        <v>268</v>
      </c>
      <c r="C342" s="238" t="s">
        <v>91</v>
      </c>
      <c r="D342" s="2" t="s">
        <v>115</v>
      </c>
      <c r="E342" s="2">
        <v>5</v>
      </c>
      <c r="F342" s="2">
        <v>87</v>
      </c>
      <c r="G342" s="2">
        <v>81</v>
      </c>
      <c r="H342" s="2">
        <v>84</v>
      </c>
      <c r="I342" s="2">
        <v>0</v>
      </c>
      <c r="J342" s="2"/>
      <c r="K342" s="2">
        <v>635</v>
      </c>
      <c r="L342" s="2">
        <v>504</v>
      </c>
      <c r="M342" s="2">
        <v>569.5</v>
      </c>
      <c r="N342" s="2">
        <v>346</v>
      </c>
      <c r="O342" s="2">
        <v>4</v>
      </c>
      <c r="P342" s="2">
        <v>122</v>
      </c>
      <c r="Q342" s="2">
        <v>0</v>
      </c>
      <c r="R342" s="2">
        <v>7</v>
      </c>
      <c r="S342" s="2">
        <v>1</v>
      </c>
      <c r="T342" s="2">
        <v>46</v>
      </c>
      <c r="U342" s="2">
        <v>109</v>
      </c>
      <c r="V342" s="16"/>
      <c r="W342" s="239">
        <f t="shared" si="5"/>
        <v>0.13228346456692913</v>
      </c>
    </row>
    <row r="343" spans="1:23" s="75" customFormat="1" x14ac:dyDescent="0.25">
      <c r="A343" s="23"/>
      <c r="B343" s="23"/>
      <c r="C343" s="240" t="s">
        <v>91</v>
      </c>
      <c r="D343" s="23" t="s">
        <v>1360</v>
      </c>
      <c r="E343" s="23"/>
      <c r="F343" s="23">
        <v>884</v>
      </c>
      <c r="G343" s="23">
        <v>635</v>
      </c>
      <c r="H343" s="23">
        <v>759.5</v>
      </c>
      <c r="I343" s="23">
        <v>0</v>
      </c>
      <c r="J343" s="23"/>
      <c r="K343" s="23">
        <v>6595</v>
      </c>
      <c r="L343" s="23">
        <v>4824</v>
      </c>
      <c r="M343" s="23">
        <v>5709.5</v>
      </c>
      <c r="N343" s="23">
        <v>2408</v>
      </c>
      <c r="O343" s="23">
        <v>2198</v>
      </c>
      <c r="P343" s="23">
        <v>165</v>
      </c>
      <c r="Q343" s="23">
        <v>0</v>
      </c>
      <c r="R343" s="23">
        <v>7</v>
      </c>
      <c r="S343" s="23">
        <v>1</v>
      </c>
      <c r="T343" s="23">
        <v>174</v>
      </c>
      <c r="U343" s="23">
        <v>1642</v>
      </c>
      <c r="W343" s="242">
        <f t="shared" si="5"/>
        <v>0.11516300227445034</v>
      </c>
    </row>
    <row r="344" spans="1:23" s="75" customFormat="1" x14ac:dyDescent="0.25">
      <c r="A344" s="2">
        <v>540213</v>
      </c>
      <c r="B344" s="2" t="s">
        <v>92</v>
      </c>
      <c r="C344" s="238" t="s">
        <v>93</v>
      </c>
      <c r="D344" s="2" t="s">
        <v>5</v>
      </c>
      <c r="E344" s="2">
        <v>5</v>
      </c>
      <c r="F344" s="2">
        <v>1685</v>
      </c>
      <c r="G344" s="2">
        <v>2492</v>
      </c>
      <c r="H344" s="2">
        <v>2088.5</v>
      </c>
      <c r="I344" s="2">
        <v>0</v>
      </c>
      <c r="J344" s="2"/>
      <c r="K344" s="2">
        <v>20952</v>
      </c>
      <c r="L344" s="2">
        <v>24982</v>
      </c>
      <c r="M344" s="2">
        <v>22967</v>
      </c>
      <c r="N344" s="2">
        <v>14519</v>
      </c>
      <c r="O344" s="2">
        <v>2241</v>
      </c>
      <c r="P344" s="2">
        <v>2440</v>
      </c>
      <c r="Q344" s="2">
        <v>39</v>
      </c>
      <c r="R344" s="2">
        <v>1220</v>
      </c>
      <c r="S344" s="2">
        <v>38</v>
      </c>
      <c r="T344" s="2">
        <v>396</v>
      </c>
      <c r="U344" s="2">
        <v>59</v>
      </c>
      <c r="V344" s="16"/>
      <c r="W344" s="239">
        <f t="shared" si="5"/>
        <v>9.9680221458571971E-2</v>
      </c>
    </row>
    <row r="345" spans="1:23" s="75" customFormat="1" x14ac:dyDescent="0.25">
      <c r="A345" s="2">
        <v>540042</v>
      </c>
      <c r="B345" s="2" t="s">
        <v>143</v>
      </c>
      <c r="C345" s="238" t="s">
        <v>93</v>
      </c>
      <c r="D345" s="2" t="s">
        <v>115</v>
      </c>
      <c r="E345" s="2">
        <v>5</v>
      </c>
      <c r="F345" s="2">
        <v>0</v>
      </c>
      <c r="G345" s="2">
        <v>0</v>
      </c>
      <c r="H345" s="2">
        <v>0</v>
      </c>
      <c r="I345" s="2">
        <v>0</v>
      </c>
      <c r="J345" s="2"/>
      <c r="K345" s="2">
        <v>309</v>
      </c>
      <c r="L345" s="2">
        <v>265</v>
      </c>
      <c r="M345" s="2">
        <v>287</v>
      </c>
      <c r="N345" s="2">
        <v>303</v>
      </c>
      <c r="O345" s="2">
        <v>0</v>
      </c>
      <c r="P345" s="2">
        <v>6</v>
      </c>
      <c r="Q345" s="2">
        <v>0</v>
      </c>
      <c r="R345" s="2">
        <v>0</v>
      </c>
      <c r="S345" s="2">
        <v>0</v>
      </c>
      <c r="T345" s="2">
        <v>0</v>
      </c>
      <c r="U345" s="2">
        <v>0</v>
      </c>
      <c r="V345" s="16"/>
      <c r="W345" s="239">
        <f t="shared" si="5"/>
        <v>0</v>
      </c>
    </row>
    <row r="346" spans="1:23" s="75" customFormat="1" x14ac:dyDescent="0.25">
      <c r="A346" s="2">
        <v>540214</v>
      </c>
      <c r="B346" s="2" t="s">
        <v>269</v>
      </c>
      <c r="C346" s="238" t="s">
        <v>93</v>
      </c>
      <c r="D346" s="2" t="s">
        <v>115</v>
      </c>
      <c r="E346" s="2">
        <v>5</v>
      </c>
      <c r="F346" s="2">
        <v>226</v>
      </c>
      <c r="G346" s="2">
        <v>345</v>
      </c>
      <c r="H346" s="2">
        <v>285.5</v>
      </c>
      <c r="I346" s="2">
        <v>0</v>
      </c>
      <c r="J346" s="2"/>
      <c r="K346" s="2">
        <v>15269</v>
      </c>
      <c r="L346" s="2">
        <v>14675</v>
      </c>
      <c r="M346" s="2">
        <v>14972</v>
      </c>
      <c r="N346" s="2">
        <v>12400</v>
      </c>
      <c r="O346" s="2">
        <v>1</v>
      </c>
      <c r="P346" s="2">
        <v>1493</v>
      </c>
      <c r="Q346" s="2">
        <v>15</v>
      </c>
      <c r="R346" s="2">
        <v>615</v>
      </c>
      <c r="S346" s="2">
        <v>8</v>
      </c>
      <c r="T346" s="2">
        <v>716</v>
      </c>
      <c r="U346" s="2">
        <v>21</v>
      </c>
      <c r="V346" s="16"/>
      <c r="W346" s="239">
        <f t="shared" si="5"/>
        <v>1.8698015587137337E-2</v>
      </c>
    </row>
    <row r="347" spans="1:23" s="75" customFormat="1" x14ac:dyDescent="0.25">
      <c r="A347" s="2">
        <v>540215</v>
      </c>
      <c r="B347" s="2" t="s">
        <v>270</v>
      </c>
      <c r="C347" s="238" t="s">
        <v>93</v>
      </c>
      <c r="D347" s="2" t="s">
        <v>115</v>
      </c>
      <c r="E347" s="2">
        <v>5</v>
      </c>
      <c r="F347" s="2">
        <v>324</v>
      </c>
      <c r="G347" s="2">
        <v>348</v>
      </c>
      <c r="H347" s="2">
        <v>336</v>
      </c>
      <c r="I347" s="2">
        <v>0</v>
      </c>
      <c r="J347" s="2"/>
      <c r="K347" s="2">
        <v>4923</v>
      </c>
      <c r="L347" s="2">
        <v>5073</v>
      </c>
      <c r="M347" s="2">
        <v>4998</v>
      </c>
      <c r="N347" s="2">
        <v>4312</v>
      </c>
      <c r="O347" s="2">
        <v>0</v>
      </c>
      <c r="P347" s="2">
        <v>345</v>
      </c>
      <c r="Q347" s="2">
        <v>0</v>
      </c>
      <c r="R347" s="2">
        <v>169</v>
      </c>
      <c r="S347" s="2">
        <v>2</v>
      </c>
      <c r="T347" s="2">
        <v>61</v>
      </c>
      <c r="U347" s="2">
        <v>34</v>
      </c>
      <c r="V347" s="16"/>
      <c r="W347" s="239">
        <f t="shared" si="5"/>
        <v>6.8251066422912857E-2</v>
      </c>
    </row>
    <row r="348" spans="1:23" s="75" customFormat="1" x14ac:dyDescent="0.25">
      <c r="A348" s="2">
        <v>540216</v>
      </c>
      <c r="B348" s="2" t="s">
        <v>271</v>
      </c>
      <c r="C348" s="238" t="s">
        <v>93</v>
      </c>
      <c r="D348" s="2" t="s">
        <v>115</v>
      </c>
      <c r="E348" s="2">
        <v>5</v>
      </c>
      <c r="F348" s="2">
        <v>96</v>
      </c>
      <c r="G348" s="2">
        <v>137</v>
      </c>
      <c r="H348" s="2">
        <v>116.5</v>
      </c>
      <c r="I348" s="2">
        <v>0</v>
      </c>
      <c r="J348" s="2"/>
      <c r="K348" s="2">
        <v>1465</v>
      </c>
      <c r="L348" s="2">
        <v>1551</v>
      </c>
      <c r="M348" s="2">
        <v>1508</v>
      </c>
      <c r="N348" s="2">
        <v>1282</v>
      </c>
      <c r="O348" s="2">
        <v>0</v>
      </c>
      <c r="P348" s="2">
        <v>85</v>
      </c>
      <c r="Q348" s="2">
        <v>2</v>
      </c>
      <c r="R348" s="2">
        <v>57</v>
      </c>
      <c r="S348" s="2">
        <v>1</v>
      </c>
      <c r="T348" s="2">
        <v>35</v>
      </c>
      <c r="U348" s="2">
        <v>3</v>
      </c>
      <c r="V348" s="16"/>
      <c r="W348" s="239">
        <f t="shared" si="5"/>
        <v>7.9522184300341303E-2</v>
      </c>
    </row>
    <row r="349" spans="1:23" s="75" customFormat="1" x14ac:dyDescent="0.25">
      <c r="A349" s="23"/>
      <c r="B349" s="23"/>
      <c r="C349" s="240" t="s">
        <v>93</v>
      </c>
      <c r="D349" s="23" t="s">
        <v>1360</v>
      </c>
      <c r="E349" s="23"/>
      <c r="F349" s="23">
        <v>2331</v>
      </c>
      <c r="G349" s="23">
        <v>3322</v>
      </c>
      <c r="H349" s="23">
        <v>2826.5</v>
      </c>
      <c r="I349" s="23">
        <v>0</v>
      </c>
      <c r="J349" s="23"/>
      <c r="K349" s="23">
        <v>42918</v>
      </c>
      <c r="L349" s="23">
        <v>46546</v>
      </c>
      <c r="M349" s="23">
        <v>44732</v>
      </c>
      <c r="N349" s="23">
        <v>32816</v>
      </c>
      <c r="O349" s="23">
        <v>2242</v>
      </c>
      <c r="P349" s="23">
        <v>4369</v>
      </c>
      <c r="Q349" s="23">
        <v>56</v>
      </c>
      <c r="R349" s="23">
        <v>2061</v>
      </c>
      <c r="S349" s="23">
        <v>49</v>
      </c>
      <c r="T349" s="23">
        <v>1208</v>
      </c>
      <c r="U349" s="23">
        <v>117</v>
      </c>
      <c r="W349" s="242">
        <f t="shared" si="5"/>
        <v>6.585814809636982E-2</v>
      </c>
    </row>
    <row r="350" spans="1:23" s="75" customFormat="1" x14ac:dyDescent="0.25">
      <c r="A350" s="2">
        <v>540217</v>
      </c>
      <c r="B350" s="2" t="s">
        <v>94</v>
      </c>
      <c r="C350" s="238" t="s">
        <v>95</v>
      </c>
      <c r="D350" s="2" t="s">
        <v>5</v>
      </c>
      <c r="E350" s="2">
        <v>1</v>
      </c>
      <c r="F350" s="2">
        <v>2421</v>
      </c>
      <c r="G350" s="2">
        <v>2044</v>
      </c>
      <c r="H350" s="2">
        <v>2232.5</v>
      </c>
      <c r="I350" s="2">
        <v>0</v>
      </c>
      <c r="J350" s="2"/>
      <c r="K350" s="2">
        <v>17304</v>
      </c>
      <c r="L350" s="2">
        <v>12049</v>
      </c>
      <c r="M350" s="2">
        <v>14676.5</v>
      </c>
      <c r="N350" s="2">
        <v>15659</v>
      </c>
      <c r="O350" s="2">
        <v>173</v>
      </c>
      <c r="P350" s="2">
        <v>640</v>
      </c>
      <c r="Q350" s="2">
        <v>29</v>
      </c>
      <c r="R350" s="2">
        <v>0</v>
      </c>
      <c r="S350" s="2">
        <v>33</v>
      </c>
      <c r="T350" s="2">
        <v>596</v>
      </c>
      <c r="U350" s="2">
        <v>174</v>
      </c>
      <c r="W350" s="239">
        <f t="shared" si="5"/>
        <v>0.12901641239019879</v>
      </c>
    </row>
    <row r="351" spans="1:23" s="75" customFormat="1" x14ac:dyDescent="0.25">
      <c r="A351" s="2">
        <v>540218</v>
      </c>
      <c r="B351" s="2" t="s">
        <v>272</v>
      </c>
      <c r="C351" s="238" t="s">
        <v>95</v>
      </c>
      <c r="D351" s="2" t="s">
        <v>115</v>
      </c>
      <c r="E351" s="2">
        <v>1</v>
      </c>
      <c r="F351" s="2">
        <v>97</v>
      </c>
      <c r="G351" s="2">
        <v>114</v>
      </c>
      <c r="H351" s="2">
        <v>105.5</v>
      </c>
      <c r="I351" s="2">
        <v>0</v>
      </c>
      <c r="J351" s="2"/>
      <c r="K351" s="2">
        <v>1014</v>
      </c>
      <c r="L351" s="2">
        <v>833</v>
      </c>
      <c r="M351" s="2">
        <v>923.5</v>
      </c>
      <c r="N351" s="2">
        <v>864</v>
      </c>
      <c r="O351" s="2">
        <v>0</v>
      </c>
      <c r="P351" s="2">
        <v>77</v>
      </c>
      <c r="Q351" s="2">
        <v>0</v>
      </c>
      <c r="R351" s="2">
        <v>0</v>
      </c>
      <c r="S351" s="2">
        <v>1</v>
      </c>
      <c r="T351" s="2">
        <v>61</v>
      </c>
      <c r="U351" s="2">
        <v>11</v>
      </c>
      <c r="W351" s="239">
        <f t="shared" si="5"/>
        <v>0.10404339250493097</v>
      </c>
    </row>
    <row r="352" spans="1:23" s="75" customFormat="1" x14ac:dyDescent="0.25">
      <c r="A352" s="2">
        <v>540219</v>
      </c>
      <c r="B352" s="2" t="s">
        <v>273</v>
      </c>
      <c r="C352" s="238" t="s">
        <v>95</v>
      </c>
      <c r="D352" s="2" t="s">
        <v>115</v>
      </c>
      <c r="E352" s="2">
        <v>1</v>
      </c>
      <c r="F352" s="2">
        <v>275</v>
      </c>
      <c r="G352" s="2">
        <v>212</v>
      </c>
      <c r="H352" s="2">
        <v>243.5</v>
      </c>
      <c r="I352" s="2">
        <v>0</v>
      </c>
      <c r="J352" s="2"/>
      <c r="K352" s="2">
        <v>910</v>
      </c>
      <c r="L352" s="2">
        <v>746</v>
      </c>
      <c r="M352" s="2">
        <v>828</v>
      </c>
      <c r="N352" s="2">
        <v>631</v>
      </c>
      <c r="O352" s="2">
        <v>5</v>
      </c>
      <c r="P352" s="2">
        <v>174</v>
      </c>
      <c r="Q352" s="2">
        <v>0</v>
      </c>
      <c r="R352" s="2">
        <v>0</v>
      </c>
      <c r="S352" s="2">
        <v>2</v>
      </c>
      <c r="T352" s="2">
        <v>85</v>
      </c>
      <c r="U352" s="2">
        <v>13</v>
      </c>
      <c r="W352" s="239">
        <f t="shared" si="5"/>
        <v>0.26758241758241758</v>
      </c>
    </row>
    <row r="353" spans="1:23" s="75" customFormat="1" x14ac:dyDescent="0.25">
      <c r="A353" s="2">
        <v>540220</v>
      </c>
      <c r="B353" s="2" t="s">
        <v>274</v>
      </c>
      <c r="C353" s="238" t="s">
        <v>95</v>
      </c>
      <c r="D353" s="2" t="s">
        <v>115</v>
      </c>
      <c r="E353" s="2">
        <v>1</v>
      </c>
      <c r="F353" s="2">
        <v>125</v>
      </c>
      <c r="G353" s="2">
        <v>121</v>
      </c>
      <c r="H353" s="2">
        <v>123</v>
      </c>
      <c r="I353" s="2">
        <v>0</v>
      </c>
      <c r="J353" s="2"/>
      <c r="K353" s="2">
        <v>564</v>
      </c>
      <c r="L353" s="2">
        <v>436</v>
      </c>
      <c r="M353" s="2">
        <v>500</v>
      </c>
      <c r="N353" s="2">
        <v>400</v>
      </c>
      <c r="O353" s="2">
        <v>4</v>
      </c>
      <c r="P353" s="2">
        <v>92</v>
      </c>
      <c r="Q353" s="2">
        <v>1</v>
      </c>
      <c r="R353" s="2">
        <v>1</v>
      </c>
      <c r="S353" s="2">
        <v>8</v>
      </c>
      <c r="T353" s="2">
        <v>46</v>
      </c>
      <c r="U353" s="2">
        <v>12</v>
      </c>
      <c r="W353" s="239">
        <f t="shared" si="5"/>
        <v>0.21808510638297873</v>
      </c>
    </row>
    <row r="354" spans="1:23" s="75" customFormat="1" x14ac:dyDescent="0.25">
      <c r="A354" s="23"/>
      <c r="B354" s="23"/>
      <c r="C354" s="240" t="s">
        <v>95</v>
      </c>
      <c r="D354" s="23" t="s">
        <v>1360</v>
      </c>
      <c r="E354" s="23"/>
      <c r="F354" s="23">
        <v>2918</v>
      </c>
      <c r="G354" s="23">
        <v>2491</v>
      </c>
      <c r="H354" s="23">
        <v>2704.5</v>
      </c>
      <c r="I354" s="23">
        <v>0</v>
      </c>
      <c r="J354" s="23"/>
      <c r="K354" s="23">
        <v>19792</v>
      </c>
      <c r="L354" s="23">
        <v>14064</v>
      </c>
      <c r="M354" s="23">
        <v>16928</v>
      </c>
      <c r="N354" s="23">
        <v>17554</v>
      </c>
      <c r="O354" s="23">
        <v>182</v>
      </c>
      <c r="P354" s="23">
        <v>983</v>
      </c>
      <c r="Q354" s="23">
        <v>30</v>
      </c>
      <c r="R354" s="23">
        <v>1</v>
      </c>
      <c r="S354" s="23">
        <v>44</v>
      </c>
      <c r="T354" s="23">
        <v>788</v>
      </c>
      <c r="U354" s="23">
        <v>210</v>
      </c>
      <c r="W354" s="242">
        <f t="shared" si="5"/>
        <v>0.13664611964430073</v>
      </c>
    </row>
    <row r="355" spans="1:23" x14ac:dyDescent="0.25">
      <c r="A355" s="2" t="s">
        <v>535</v>
      </c>
      <c r="B355" s="2"/>
      <c r="C355" s="2"/>
      <c r="D355" s="2"/>
      <c r="E355" s="2"/>
      <c r="F355" s="6"/>
      <c r="G355" s="6"/>
      <c r="H355" s="6"/>
      <c r="I355" s="6"/>
      <c r="J355" s="6"/>
      <c r="K355" s="6"/>
      <c r="L355" s="6"/>
      <c r="M355" s="6"/>
      <c r="N355" s="6"/>
      <c r="O355" s="6"/>
      <c r="P355" s="6"/>
      <c r="Q355" s="6"/>
      <c r="R355" s="6"/>
      <c r="S355" s="6"/>
      <c r="T355" s="6"/>
      <c r="U355" s="6"/>
      <c r="W355" s="73"/>
    </row>
    <row r="356" spans="1:23" x14ac:dyDescent="0.25">
      <c r="A356" s="2">
        <v>540152</v>
      </c>
      <c r="B356" s="196" t="s">
        <v>229</v>
      </c>
      <c r="C356" s="197" t="s">
        <v>544</v>
      </c>
      <c r="D356" s="197" t="s">
        <v>115</v>
      </c>
      <c r="E356" s="197" t="s">
        <v>545</v>
      </c>
      <c r="F356" s="197">
        <v>2664</v>
      </c>
      <c r="G356" s="197">
        <v>2362</v>
      </c>
      <c r="H356" s="197">
        <v>2513</v>
      </c>
      <c r="I356" s="197">
        <v>0</v>
      </c>
      <c r="J356" s="197"/>
      <c r="K356" s="197">
        <v>12385</v>
      </c>
      <c r="L356" s="197">
        <v>11011</v>
      </c>
      <c r="M356" s="197">
        <v>11698</v>
      </c>
      <c r="N356" s="197">
        <v>10124</v>
      </c>
      <c r="O356" s="197">
        <v>2</v>
      </c>
      <c r="P356" s="197">
        <v>1257</v>
      </c>
      <c r="Q356" s="197">
        <v>22</v>
      </c>
      <c r="R356" s="197">
        <v>179</v>
      </c>
      <c r="S356" s="197">
        <v>12</v>
      </c>
      <c r="T356" s="197">
        <v>652</v>
      </c>
      <c r="U356" s="197">
        <v>137</v>
      </c>
    </row>
    <row r="357" spans="1:23" x14ac:dyDescent="0.25">
      <c r="A357" s="2">
        <v>540196</v>
      </c>
      <c r="B357" s="196" t="s">
        <v>259</v>
      </c>
      <c r="C357" s="197" t="s">
        <v>546</v>
      </c>
      <c r="D357" s="197" t="s">
        <v>115</v>
      </c>
      <c r="E357" s="197" t="s">
        <v>547</v>
      </c>
      <c r="F357" s="197">
        <v>8</v>
      </c>
      <c r="G357" s="197">
        <v>26</v>
      </c>
      <c r="H357" s="197">
        <v>17</v>
      </c>
      <c r="I357" s="197">
        <v>0</v>
      </c>
      <c r="J357" s="197"/>
      <c r="K357" s="197">
        <v>1830</v>
      </c>
      <c r="L357" s="197">
        <v>1463</v>
      </c>
      <c r="M357" s="197">
        <v>1646.5</v>
      </c>
      <c r="N357" s="197">
        <v>1651</v>
      </c>
      <c r="O357" s="197">
        <v>2</v>
      </c>
      <c r="P357" s="197">
        <v>113</v>
      </c>
      <c r="Q357" s="197">
        <v>4</v>
      </c>
      <c r="R357" s="197">
        <v>0</v>
      </c>
      <c r="S357" s="197">
        <v>2</v>
      </c>
      <c r="T357" s="197">
        <v>52</v>
      </c>
      <c r="U357" s="197">
        <v>6</v>
      </c>
    </row>
    <row r="358" spans="1:23" x14ac:dyDescent="0.25">
      <c r="A358" s="2">
        <v>540041</v>
      </c>
      <c r="B358" s="196" t="s">
        <v>142</v>
      </c>
      <c r="C358" s="197" t="s">
        <v>540</v>
      </c>
      <c r="D358" s="197" t="s">
        <v>115</v>
      </c>
      <c r="E358" s="197" t="s">
        <v>541</v>
      </c>
      <c r="F358" s="197">
        <v>215</v>
      </c>
      <c r="G358" s="197">
        <v>222</v>
      </c>
      <c r="H358" s="197">
        <v>218.5</v>
      </c>
      <c r="I358" s="197">
        <v>0</v>
      </c>
      <c r="J358" s="197"/>
      <c r="K358" s="197">
        <v>726</v>
      </c>
      <c r="L358" s="197">
        <v>651</v>
      </c>
      <c r="M358" s="197">
        <v>688.5</v>
      </c>
      <c r="N358" s="197">
        <v>561</v>
      </c>
      <c r="O358" s="197">
        <v>5</v>
      </c>
      <c r="P358" s="197">
        <v>62</v>
      </c>
      <c r="Q358" s="197">
        <v>0</v>
      </c>
      <c r="R358" s="197">
        <v>58</v>
      </c>
      <c r="S358" s="197">
        <v>0</v>
      </c>
      <c r="T358" s="197">
        <v>32</v>
      </c>
      <c r="U358" s="197">
        <v>8</v>
      </c>
    </row>
    <row r="359" spans="1:23" x14ac:dyDescent="0.25">
      <c r="A359" s="2">
        <v>540018</v>
      </c>
      <c r="B359" s="196" t="s">
        <v>127</v>
      </c>
      <c r="C359" s="197" t="s">
        <v>538</v>
      </c>
      <c r="D359" s="197" t="s">
        <v>115</v>
      </c>
      <c r="E359" s="197" t="s">
        <v>539</v>
      </c>
      <c r="F359" s="197">
        <v>660</v>
      </c>
      <c r="G359" s="197">
        <v>797</v>
      </c>
      <c r="H359" s="197">
        <v>728.5</v>
      </c>
      <c r="I359" s="197">
        <v>0</v>
      </c>
      <c r="J359" s="197"/>
      <c r="K359" s="197">
        <v>20716</v>
      </c>
      <c r="L359" s="197">
        <v>19000</v>
      </c>
      <c r="M359" s="197">
        <v>19858</v>
      </c>
      <c r="N359" s="197">
        <v>17090</v>
      </c>
      <c r="O359" s="197">
        <v>2</v>
      </c>
      <c r="P359" s="197">
        <v>1881</v>
      </c>
      <c r="Q359" s="197">
        <v>50</v>
      </c>
      <c r="R359" s="197">
        <v>258</v>
      </c>
      <c r="S359" s="197">
        <v>32</v>
      </c>
      <c r="T359" s="197">
        <v>1193</v>
      </c>
      <c r="U359" s="197">
        <v>210</v>
      </c>
    </row>
    <row r="360" spans="1:23" x14ac:dyDescent="0.25">
      <c r="A360" s="2">
        <v>540014</v>
      </c>
      <c r="B360" s="196" t="s">
        <v>124</v>
      </c>
      <c r="C360" s="197" t="s">
        <v>536</v>
      </c>
      <c r="D360" s="197" t="s">
        <v>115</v>
      </c>
      <c r="E360" s="197" t="s">
        <v>537</v>
      </c>
      <c r="F360" s="197">
        <v>209</v>
      </c>
      <c r="G360" s="197">
        <v>216</v>
      </c>
      <c r="H360" s="197">
        <v>212.5</v>
      </c>
      <c r="I360" s="197">
        <v>120</v>
      </c>
      <c r="J360" s="197"/>
      <c r="K360" s="197">
        <v>11881</v>
      </c>
      <c r="L360" s="197">
        <v>9424</v>
      </c>
      <c r="M360" s="197">
        <v>10652.5</v>
      </c>
      <c r="N360" s="197">
        <v>9858</v>
      </c>
      <c r="O360" s="197">
        <v>22</v>
      </c>
      <c r="P360" s="197">
        <v>1302</v>
      </c>
      <c r="Q360" s="197">
        <v>93</v>
      </c>
      <c r="R360" s="197">
        <v>252</v>
      </c>
      <c r="S360" s="197">
        <v>6</v>
      </c>
      <c r="T360" s="197">
        <v>318</v>
      </c>
      <c r="U360" s="197">
        <v>30</v>
      </c>
    </row>
    <row r="361" spans="1:23" x14ac:dyDescent="0.25">
      <c r="A361" s="2">
        <v>540081</v>
      </c>
      <c r="B361" s="196" t="s">
        <v>176</v>
      </c>
      <c r="C361" s="197" t="s">
        <v>542</v>
      </c>
      <c r="D361" s="197" t="s">
        <v>115</v>
      </c>
      <c r="E361" s="197" t="s">
        <v>543</v>
      </c>
      <c r="F361" s="197">
        <v>592</v>
      </c>
      <c r="G361" s="197">
        <v>644</v>
      </c>
      <c r="H361" s="197">
        <v>618</v>
      </c>
      <c r="I361" s="197">
        <v>0</v>
      </c>
      <c r="J361" s="197"/>
      <c r="K361" s="197">
        <v>4037</v>
      </c>
      <c r="L361" s="197">
        <v>3461</v>
      </c>
      <c r="M361" s="197">
        <v>3749</v>
      </c>
      <c r="N361" s="197">
        <v>3180</v>
      </c>
      <c r="O361" s="197">
        <v>5</v>
      </c>
      <c r="P361" s="197">
        <v>406</v>
      </c>
      <c r="Q361" s="197">
        <v>44</v>
      </c>
      <c r="R361" s="197">
        <v>222</v>
      </c>
      <c r="S361" s="197">
        <v>12</v>
      </c>
      <c r="T361" s="197">
        <v>140</v>
      </c>
      <c r="U361" s="197">
        <v>28</v>
      </c>
    </row>
    <row r="362" spans="1:23" x14ac:dyDescent="0.25">
      <c r="A362" s="2">
        <v>540033</v>
      </c>
      <c r="B362" s="196" t="s">
        <v>138</v>
      </c>
      <c r="C362" s="197" t="s">
        <v>1299</v>
      </c>
      <c r="D362" s="197" t="s">
        <v>115</v>
      </c>
      <c r="E362" s="197" t="s">
        <v>1298</v>
      </c>
      <c r="F362" s="197">
        <v>51</v>
      </c>
      <c r="G362" s="197">
        <v>64</v>
      </c>
      <c r="H362" s="197">
        <v>57.5</v>
      </c>
      <c r="I362" s="197">
        <v>57</v>
      </c>
      <c r="J362" s="197"/>
      <c r="K362" s="197">
        <v>536</v>
      </c>
      <c r="L362" s="197">
        <v>451</v>
      </c>
      <c r="M362" s="197">
        <v>493.5</v>
      </c>
      <c r="N362" s="197">
        <v>397</v>
      </c>
      <c r="O362" s="197">
        <v>0</v>
      </c>
      <c r="P362" s="197">
        <v>84</v>
      </c>
      <c r="Q362" s="197">
        <v>4</v>
      </c>
      <c r="R362" s="197">
        <v>0</v>
      </c>
      <c r="S362" s="197">
        <v>0</v>
      </c>
      <c r="T362" s="197">
        <v>33</v>
      </c>
      <c r="U362" s="197">
        <v>18</v>
      </c>
    </row>
    <row r="363" spans="1:23" x14ac:dyDescent="0.25">
      <c r="A363" s="2">
        <v>540029</v>
      </c>
      <c r="B363" s="196" t="s">
        <v>134</v>
      </c>
      <c r="C363" s="197" t="s">
        <v>1299</v>
      </c>
      <c r="D363" s="197" t="s">
        <v>115</v>
      </c>
      <c r="E363" s="197" t="s">
        <v>1298</v>
      </c>
      <c r="F363" s="197">
        <v>32</v>
      </c>
      <c r="G363" s="197">
        <v>53</v>
      </c>
      <c r="H363" s="197">
        <v>42.5</v>
      </c>
      <c r="I363" s="197">
        <v>12</v>
      </c>
      <c r="J363" s="197"/>
      <c r="K363" s="197">
        <v>669</v>
      </c>
      <c r="L363" s="197">
        <v>608</v>
      </c>
      <c r="M363" s="197">
        <v>638.5</v>
      </c>
      <c r="N363" s="197">
        <v>490</v>
      </c>
      <c r="O363" s="197">
        <v>0</v>
      </c>
      <c r="P363" s="197">
        <v>55</v>
      </c>
      <c r="Q363" s="197">
        <v>0</v>
      </c>
      <c r="R363" s="197">
        <v>4</v>
      </c>
      <c r="S363" s="197">
        <v>2</v>
      </c>
      <c r="T363" s="197">
        <v>116</v>
      </c>
      <c r="U363" s="197">
        <v>2</v>
      </c>
    </row>
    <row r="364" spans="1:23" x14ac:dyDescent="0.25">
      <c r="A364"/>
    </row>
    <row r="365" spans="1:23" x14ac:dyDescent="0.25">
      <c r="A365"/>
      <c r="E365"/>
      <c r="I365"/>
    </row>
    <row r="366" spans="1:23" x14ac:dyDescent="0.25">
      <c r="A366"/>
      <c r="E366"/>
      <c r="I366"/>
    </row>
    <row r="367" spans="1:23" x14ac:dyDescent="0.25">
      <c r="A367"/>
      <c r="E367"/>
      <c r="I367"/>
    </row>
    <row r="368" spans="1:23" x14ac:dyDescent="0.25">
      <c r="A368"/>
      <c r="E368"/>
      <c r="I368"/>
    </row>
    <row r="369" spans="1:9" x14ac:dyDescent="0.25">
      <c r="A369"/>
      <c r="E369"/>
      <c r="I369"/>
    </row>
    <row r="370" spans="1:9" x14ac:dyDescent="0.25">
      <c r="A370"/>
      <c r="E370"/>
      <c r="I370"/>
    </row>
    <row r="371" spans="1:9" x14ac:dyDescent="0.25">
      <c r="A371"/>
      <c r="E371"/>
      <c r="I371"/>
    </row>
    <row r="372" spans="1:9" x14ac:dyDescent="0.25">
      <c r="A372"/>
      <c r="E372"/>
      <c r="I372"/>
    </row>
    <row r="373" spans="1:9" x14ac:dyDescent="0.25">
      <c r="A373"/>
      <c r="E373"/>
      <c r="I373"/>
    </row>
    <row r="374" spans="1:9" x14ac:dyDescent="0.25">
      <c r="A374"/>
      <c r="E374"/>
      <c r="I374"/>
    </row>
    <row r="375" spans="1:9" x14ac:dyDescent="0.25">
      <c r="A375"/>
      <c r="E375"/>
      <c r="I375"/>
    </row>
    <row r="376" spans="1:9" x14ac:dyDescent="0.25">
      <c r="A376"/>
      <c r="E376"/>
      <c r="I376"/>
    </row>
    <row r="377" spans="1:9" x14ac:dyDescent="0.25">
      <c r="A377"/>
      <c r="E377"/>
      <c r="I377"/>
    </row>
    <row r="378" spans="1:9" x14ac:dyDescent="0.25">
      <c r="A378"/>
      <c r="E378"/>
      <c r="I378"/>
    </row>
    <row r="379" spans="1:9" x14ac:dyDescent="0.25">
      <c r="A379"/>
      <c r="E379"/>
      <c r="I379"/>
    </row>
    <row r="380" spans="1:9" x14ac:dyDescent="0.25">
      <c r="A380"/>
      <c r="E380"/>
      <c r="I380"/>
    </row>
  </sheetData>
  <mergeCells count="3">
    <mergeCell ref="A1:D1"/>
    <mergeCell ref="F3:H3"/>
    <mergeCell ref="K3:U3"/>
  </mergeCells>
  <hyperlinks>
    <hyperlink ref="Y3" r:id="rI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4"/>
  <sheetViews>
    <sheetView topLeftCell="J1" workbookViewId="0">
      <selection activeCell="Q22" sqref="Q22"/>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15" bestFit="1" customWidth="1"/>
    <col min="7" max="7" width="20.28515625" bestFit="1" customWidth="1"/>
    <col min="8" max="8" width="20.42578125" bestFit="1" customWidth="1"/>
    <col min="9" max="9" width="16.42578125" bestFit="1" customWidth="1"/>
    <col min="10" max="10" width="25.7109375" bestFit="1" customWidth="1"/>
    <col min="11" max="11" width="26.28515625" bestFit="1" customWidth="1"/>
    <col min="12" max="12" width="18.42578125" bestFit="1" customWidth="1"/>
    <col min="13" max="13" width="23" bestFit="1" customWidth="1"/>
    <col min="14" max="14" width="23.5703125" bestFit="1" customWidth="1"/>
    <col min="17" max="17" width="112.85546875" bestFit="1" customWidth="1"/>
  </cols>
  <sheetData>
    <row r="1" spans="1:17" s="119" customFormat="1" x14ac:dyDescent="0.25">
      <c r="A1" s="280" t="s">
        <v>0</v>
      </c>
      <c r="B1" s="280" t="s">
        <v>1</v>
      </c>
      <c r="C1" s="280" t="s">
        <v>2</v>
      </c>
      <c r="D1" s="280" t="s">
        <v>512</v>
      </c>
      <c r="E1" s="280" t="s">
        <v>403</v>
      </c>
      <c r="F1" s="280" t="s">
        <v>2290</v>
      </c>
      <c r="G1" s="280" t="s">
        <v>2291</v>
      </c>
      <c r="H1" s="280" t="s">
        <v>2292</v>
      </c>
      <c r="I1" s="280" t="s">
        <v>2293</v>
      </c>
      <c r="J1" s="280" t="s">
        <v>2294</v>
      </c>
      <c r="K1" s="280" t="s">
        <v>2295</v>
      </c>
      <c r="L1" s="280" t="s">
        <v>2296</v>
      </c>
      <c r="M1" s="280" t="s">
        <v>2297</v>
      </c>
      <c r="N1" s="280" t="s">
        <v>2298</v>
      </c>
    </row>
    <row r="2" spans="1:17" x14ac:dyDescent="0.25">
      <c r="A2" s="117">
        <v>540001</v>
      </c>
      <c r="B2" s="2" t="s">
        <v>3</v>
      </c>
      <c r="C2" s="2" t="s">
        <v>4</v>
      </c>
      <c r="D2" s="2" t="s">
        <v>5</v>
      </c>
      <c r="E2" s="2" t="s">
        <v>2250</v>
      </c>
      <c r="F2" s="2" t="s">
        <v>2299</v>
      </c>
      <c r="G2" s="2" t="s">
        <v>2300</v>
      </c>
      <c r="H2" s="2" t="s">
        <v>2301</v>
      </c>
      <c r="I2" s="2" t="s">
        <v>2302</v>
      </c>
      <c r="J2" s="2" t="s">
        <v>2303</v>
      </c>
      <c r="K2" s="2" t="s">
        <v>2304</v>
      </c>
      <c r="L2" s="278">
        <v>0.486846153846</v>
      </c>
      <c r="M2" s="2" t="s">
        <v>2305</v>
      </c>
      <c r="N2" s="278">
        <v>0.99669551534199996</v>
      </c>
      <c r="P2" s="199" t="s">
        <v>1325</v>
      </c>
      <c r="Q2" s="62" t="s">
        <v>2306</v>
      </c>
    </row>
    <row r="3" spans="1:17" x14ac:dyDescent="0.25">
      <c r="A3" s="117">
        <v>540002</v>
      </c>
      <c r="B3" s="2" t="s">
        <v>114</v>
      </c>
      <c r="C3" s="2" t="s">
        <v>4</v>
      </c>
      <c r="D3" s="2" t="s">
        <v>115</v>
      </c>
      <c r="E3" s="2" t="s">
        <v>2250</v>
      </c>
      <c r="F3" s="2" t="s">
        <v>2307</v>
      </c>
      <c r="G3" s="2" t="s">
        <v>2307</v>
      </c>
      <c r="H3" s="2" t="s">
        <v>2303</v>
      </c>
      <c r="I3" s="2" t="s">
        <v>2303</v>
      </c>
      <c r="J3" s="2" t="s">
        <v>2303</v>
      </c>
      <c r="K3" s="2" t="s">
        <v>2303</v>
      </c>
      <c r="L3" s="278">
        <v>0</v>
      </c>
      <c r="M3" s="2" t="s">
        <v>2305</v>
      </c>
      <c r="N3" s="278" t="s">
        <v>488</v>
      </c>
      <c r="P3" s="199" t="s">
        <v>1326</v>
      </c>
      <c r="Q3" s="393" t="s">
        <v>5622</v>
      </c>
    </row>
    <row r="4" spans="1:17" x14ac:dyDescent="0.25">
      <c r="A4" s="117">
        <v>540003</v>
      </c>
      <c r="B4" s="2" t="s">
        <v>116</v>
      </c>
      <c r="C4" s="2" t="s">
        <v>4</v>
      </c>
      <c r="D4" s="2" t="s">
        <v>115</v>
      </c>
      <c r="E4" s="2" t="s">
        <v>2250</v>
      </c>
      <c r="F4" s="2" t="s">
        <v>2308</v>
      </c>
      <c r="G4" s="2" t="s">
        <v>2303</v>
      </c>
      <c r="H4" s="2" t="s">
        <v>2309</v>
      </c>
      <c r="I4" s="2" t="s">
        <v>2309</v>
      </c>
      <c r="J4" s="2" t="s">
        <v>2303</v>
      </c>
      <c r="K4" s="2" t="s">
        <v>2309</v>
      </c>
      <c r="L4" s="278">
        <v>0.52173913043499998</v>
      </c>
      <c r="M4" s="2" t="s">
        <v>488</v>
      </c>
      <c r="N4" s="278">
        <v>1</v>
      </c>
    </row>
    <row r="5" spans="1:17" x14ac:dyDescent="0.25">
      <c r="A5" s="117">
        <v>540004</v>
      </c>
      <c r="B5" s="2" t="s">
        <v>117</v>
      </c>
      <c r="C5" s="2" t="s">
        <v>4</v>
      </c>
      <c r="D5" s="2" t="s">
        <v>115</v>
      </c>
      <c r="E5" s="2" t="s">
        <v>2250</v>
      </c>
      <c r="F5" s="2" t="s">
        <v>2310</v>
      </c>
      <c r="G5" s="2" t="s">
        <v>2311</v>
      </c>
      <c r="H5" s="2" t="s">
        <v>2312</v>
      </c>
      <c r="I5" s="2" t="s">
        <v>2312</v>
      </c>
      <c r="J5" s="2" t="s">
        <v>2303</v>
      </c>
      <c r="K5" s="2" t="s">
        <v>2312</v>
      </c>
      <c r="L5" s="278">
        <v>0.198198198198</v>
      </c>
      <c r="M5" s="2" t="s">
        <v>2305</v>
      </c>
      <c r="N5" s="278">
        <v>1</v>
      </c>
    </row>
    <row r="6" spans="1:17" x14ac:dyDescent="0.25">
      <c r="A6" s="269"/>
      <c r="B6" s="269"/>
      <c r="C6" s="269" t="s">
        <v>4</v>
      </c>
      <c r="D6" s="269"/>
      <c r="E6" s="269"/>
      <c r="F6" s="269" t="s">
        <v>2313</v>
      </c>
      <c r="G6" s="269" t="s">
        <v>2314</v>
      </c>
      <c r="H6" s="269" t="s">
        <v>2315</v>
      </c>
      <c r="I6" s="269" t="s">
        <v>2316</v>
      </c>
      <c r="J6" s="269" t="s">
        <v>2303</v>
      </c>
      <c r="K6" s="269" t="s">
        <v>2317</v>
      </c>
      <c r="L6" s="279">
        <v>0.47291544333500002</v>
      </c>
      <c r="M6" s="269" t="s">
        <v>2305</v>
      </c>
      <c r="N6" s="279">
        <v>0.99675374864699995</v>
      </c>
    </row>
    <row r="7" spans="1:17" x14ac:dyDescent="0.25">
      <c r="A7" s="117">
        <v>540007</v>
      </c>
      <c r="B7" s="2" t="s">
        <v>6</v>
      </c>
      <c r="C7" s="2" t="s">
        <v>7</v>
      </c>
      <c r="D7" s="2" t="s">
        <v>5</v>
      </c>
      <c r="E7" s="2" t="s">
        <v>2248</v>
      </c>
      <c r="F7" s="2" t="s">
        <v>2318</v>
      </c>
      <c r="G7" s="2" t="s">
        <v>2319</v>
      </c>
      <c r="H7" s="2" t="s">
        <v>2320</v>
      </c>
      <c r="I7" s="2" t="s">
        <v>2321</v>
      </c>
      <c r="J7" s="2" t="s">
        <v>2303</v>
      </c>
      <c r="K7" s="2" t="s">
        <v>2322</v>
      </c>
      <c r="L7" s="278">
        <v>0.29265799256500002</v>
      </c>
      <c r="M7" s="2" t="s">
        <v>2305</v>
      </c>
      <c r="N7" s="278">
        <v>0.99186228482000005</v>
      </c>
    </row>
    <row r="8" spans="1:17" x14ac:dyDescent="0.25">
      <c r="A8" s="117">
        <v>540008</v>
      </c>
      <c r="B8" s="2" t="s">
        <v>120</v>
      </c>
      <c r="C8" s="2" t="s">
        <v>7</v>
      </c>
      <c r="D8" s="2" t="s">
        <v>115</v>
      </c>
      <c r="E8" s="2" t="s">
        <v>2248</v>
      </c>
      <c r="F8" s="2" t="s">
        <v>2323</v>
      </c>
      <c r="G8" s="2" t="s">
        <v>2323</v>
      </c>
      <c r="H8" s="2" t="s">
        <v>2303</v>
      </c>
      <c r="I8" s="2" t="s">
        <v>2303</v>
      </c>
      <c r="J8" s="2" t="s">
        <v>2303</v>
      </c>
      <c r="K8" s="2" t="s">
        <v>2303</v>
      </c>
      <c r="L8" s="278">
        <v>0</v>
      </c>
      <c r="M8" s="2" t="s">
        <v>2305</v>
      </c>
      <c r="N8" s="278" t="s">
        <v>488</v>
      </c>
    </row>
    <row r="9" spans="1:17" x14ac:dyDescent="0.25">
      <c r="A9" s="117">
        <v>540229</v>
      </c>
      <c r="B9" s="2" t="s">
        <v>279</v>
      </c>
      <c r="C9" s="2" t="s">
        <v>7</v>
      </c>
      <c r="D9" s="2" t="s">
        <v>115</v>
      </c>
      <c r="E9" s="2" t="s">
        <v>2248</v>
      </c>
      <c r="F9" s="2" t="s">
        <v>2324</v>
      </c>
      <c r="G9" s="2" t="s">
        <v>2325</v>
      </c>
      <c r="H9" s="2" t="s">
        <v>2326</v>
      </c>
      <c r="I9" s="2" t="s">
        <v>2326</v>
      </c>
      <c r="J9" s="2" t="s">
        <v>2303</v>
      </c>
      <c r="K9" s="2" t="s">
        <v>2326</v>
      </c>
      <c r="L9" s="278">
        <v>0.04</v>
      </c>
      <c r="M9" s="2" t="s">
        <v>2305</v>
      </c>
      <c r="N9" s="278">
        <v>1</v>
      </c>
    </row>
    <row r="10" spans="1:17" x14ac:dyDescent="0.25">
      <c r="A10" s="117">
        <v>540230</v>
      </c>
      <c r="B10" s="2" t="s">
        <v>280</v>
      </c>
      <c r="C10" s="2" t="s">
        <v>7</v>
      </c>
      <c r="D10" s="2" t="s">
        <v>115</v>
      </c>
      <c r="E10" s="2" t="s">
        <v>2248</v>
      </c>
      <c r="F10" s="2" t="s">
        <v>2327</v>
      </c>
      <c r="G10" s="2" t="s">
        <v>2328</v>
      </c>
      <c r="H10" s="2" t="s">
        <v>2329</v>
      </c>
      <c r="I10" s="2" t="s">
        <v>2329</v>
      </c>
      <c r="J10" s="2" t="s">
        <v>2303</v>
      </c>
      <c r="K10" s="2" t="s">
        <v>2329</v>
      </c>
      <c r="L10" s="278">
        <v>0.16233766233800001</v>
      </c>
      <c r="M10" s="2" t="s">
        <v>2305</v>
      </c>
      <c r="N10" s="278">
        <v>1</v>
      </c>
    </row>
    <row r="11" spans="1:17" x14ac:dyDescent="0.25">
      <c r="A11" s="117">
        <v>540238</v>
      </c>
      <c r="B11" s="2" t="s">
        <v>286</v>
      </c>
      <c r="C11" s="2" t="s">
        <v>7</v>
      </c>
      <c r="D11" s="2" t="s">
        <v>115</v>
      </c>
      <c r="E11" s="2" t="s">
        <v>2248</v>
      </c>
      <c r="F11" s="2" t="s">
        <v>2330</v>
      </c>
      <c r="G11" s="2" t="s">
        <v>2330</v>
      </c>
      <c r="H11" s="2" t="s">
        <v>2303</v>
      </c>
      <c r="I11" s="2" t="s">
        <v>2303</v>
      </c>
      <c r="J11" s="2" t="s">
        <v>2303</v>
      </c>
      <c r="K11" s="2" t="s">
        <v>2303</v>
      </c>
      <c r="L11" s="278">
        <v>0</v>
      </c>
      <c r="M11" s="2" t="s">
        <v>2305</v>
      </c>
      <c r="N11" s="278" t="s">
        <v>488</v>
      </c>
    </row>
    <row r="12" spans="1:17" x14ac:dyDescent="0.25">
      <c r="A12" s="269"/>
      <c r="B12" s="269"/>
      <c r="C12" s="269" t="s">
        <v>7</v>
      </c>
      <c r="D12" s="269"/>
      <c r="E12" s="269"/>
      <c r="F12" s="269" t="s">
        <v>2331</v>
      </c>
      <c r="G12" s="269" t="s">
        <v>2332</v>
      </c>
      <c r="H12" s="269" t="s">
        <v>2333</v>
      </c>
      <c r="I12" s="269" t="s">
        <v>2334</v>
      </c>
      <c r="J12" s="269" t="s">
        <v>2303</v>
      </c>
      <c r="K12" s="269" t="s">
        <v>2335</v>
      </c>
      <c r="L12" s="279">
        <v>0.28127490039800002</v>
      </c>
      <c r="M12" s="269" t="s">
        <v>2305</v>
      </c>
      <c r="N12" s="279">
        <v>0.99193298169400002</v>
      </c>
    </row>
    <row r="13" spans="1:17" x14ac:dyDescent="0.25">
      <c r="A13" s="117">
        <v>540009</v>
      </c>
      <c r="B13" s="2" t="s">
        <v>8</v>
      </c>
      <c r="C13" s="2" t="s">
        <v>9</v>
      </c>
      <c r="D13" s="2" t="s">
        <v>5</v>
      </c>
      <c r="E13" s="2" t="s">
        <v>2250</v>
      </c>
      <c r="F13" s="2" t="s">
        <v>2336</v>
      </c>
      <c r="G13" s="2" t="s">
        <v>2337</v>
      </c>
      <c r="H13" s="2" t="s">
        <v>2303</v>
      </c>
      <c r="I13" s="2" t="s">
        <v>2303</v>
      </c>
      <c r="J13" s="2" t="s">
        <v>2303</v>
      </c>
      <c r="K13" s="2" t="s">
        <v>2303</v>
      </c>
      <c r="L13" s="278">
        <v>0</v>
      </c>
      <c r="M13" s="2" t="s">
        <v>2305</v>
      </c>
      <c r="N13" s="278" t="s">
        <v>488</v>
      </c>
    </row>
    <row r="14" spans="1:17" x14ac:dyDescent="0.25">
      <c r="A14" s="117">
        <v>540010</v>
      </c>
      <c r="B14" s="2" t="s">
        <v>121</v>
      </c>
      <c r="C14" s="2" t="s">
        <v>9</v>
      </c>
      <c r="D14" s="2" t="s">
        <v>115</v>
      </c>
      <c r="E14" s="2" t="s">
        <v>2250</v>
      </c>
      <c r="F14" s="2" t="s">
        <v>2338</v>
      </c>
      <c r="G14" s="2" t="s">
        <v>2338</v>
      </c>
      <c r="H14" s="2" t="s">
        <v>2303</v>
      </c>
      <c r="I14" s="2" t="s">
        <v>2303</v>
      </c>
      <c r="J14" s="2" t="s">
        <v>2303</v>
      </c>
      <c r="K14" s="2" t="s">
        <v>2303</v>
      </c>
      <c r="L14" s="278">
        <v>0</v>
      </c>
      <c r="M14" s="2" t="s">
        <v>2305</v>
      </c>
      <c r="N14" s="278" t="s">
        <v>488</v>
      </c>
    </row>
    <row r="15" spans="1:17" x14ac:dyDescent="0.25">
      <c r="A15" s="117">
        <v>540235</v>
      </c>
      <c r="B15" s="2" t="s">
        <v>283</v>
      </c>
      <c r="C15" s="2" t="s">
        <v>9</v>
      </c>
      <c r="D15" s="2" t="s">
        <v>115</v>
      </c>
      <c r="E15" s="2" t="s">
        <v>2250</v>
      </c>
      <c r="F15" s="2" t="s">
        <v>2303</v>
      </c>
      <c r="G15" s="2" t="s">
        <v>2303</v>
      </c>
      <c r="H15" s="2" t="s">
        <v>2303</v>
      </c>
      <c r="I15" s="2" t="s">
        <v>2303</v>
      </c>
      <c r="J15" s="2" t="s">
        <v>2303</v>
      </c>
      <c r="K15" s="2" t="s">
        <v>2303</v>
      </c>
      <c r="L15" s="278" t="s">
        <v>488</v>
      </c>
      <c r="M15" s="2" t="s">
        <v>488</v>
      </c>
      <c r="N15" s="278" t="s">
        <v>488</v>
      </c>
    </row>
    <row r="16" spans="1:17" x14ac:dyDescent="0.25">
      <c r="A16" s="117">
        <v>540236</v>
      </c>
      <c r="B16" s="2" t="s">
        <v>284</v>
      </c>
      <c r="C16" s="2" t="s">
        <v>9</v>
      </c>
      <c r="D16" s="2" t="s">
        <v>115</v>
      </c>
      <c r="E16" s="2" t="s">
        <v>2250</v>
      </c>
      <c r="F16" s="2" t="s">
        <v>2339</v>
      </c>
      <c r="G16" s="2" t="s">
        <v>2339</v>
      </c>
      <c r="H16" s="2" t="s">
        <v>2303</v>
      </c>
      <c r="I16" s="2" t="s">
        <v>2303</v>
      </c>
      <c r="J16" s="2" t="s">
        <v>2303</v>
      </c>
      <c r="K16" s="2" t="s">
        <v>2303</v>
      </c>
      <c r="L16" s="278">
        <v>0</v>
      </c>
      <c r="M16" s="2" t="s">
        <v>2305</v>
      </c>
      <c r="N16" s="278" t="s">
        <v>488</v>
      </c>
    </row>
    <row r="17" spans="1:14" x14ac:dyDescent="0.25">
      <c r="A17" s="117">
        <v>540237</v>
      </c>
      <c r="B17" s="2" t="s">
        <v>285</v>
      </c>
      <c r="C17" s="2" t="s">
        <v>9</v>
      </c>
      <c r="D17" s="2" t="s">
        <v>115</v>
      </c>
      <c r="E17" s="2" t="s">
        <v>2250</v>
      </c>
      <c r="F17" s="2" t="s">
        <v>2340</v>
      </c>
      <c r="G17" s="2" t="s">
        <v>2341</v>
      </c>
      <c r="H17" s="2" t="s">
        <v>2303</v>
      </c>
      <c r="I17" s="2" t="s">
        <v>2303</v>
      </c>
      <c r="J17" s="2" t="s">
        <v>2303</v>
      </c>
      <c r="K17" s="2" t="s">
        <v>2303</v>
      </c>
      <c r="L17" s="278">
        <v>0</v>
      </c>
      <c r="M17" s="2" t="s">
        <v>2305</v>
      </c>
      <c r="N17" s="278" t="s">
        <v>488</v>
      </c>
    </row>
    <row r="18" spans="1:14" x14ac:dyDescent="0.25">
      <c r="A18" s="269"/>
      <c r="B18" s="269"/>
      <c r="C18" s="269" t="s">
        <v>9</v>
      </c>
      <c r="D18" s="269"/>
      <c r="E18" s="269"/>
      <c r="F18" s="269" t="s">
        <v>2342</v>
      </c>
      <c r="G18" s="269" t="s">
        <v>2343</v>
      </c>
      <c r="H18" s="269" t="s">
        <v>2303</v>
      </c>
      <c r="I18" s="269" t="s">
        <v>2303</v>
      </c>
      <c r="J18" s="269" t="s">
        <v>2303</v>
      </c>
      <c r="K18" s="269" t="s">
        <v>2303</v>
      </c>
      <c r="L18" s="279">
        <v>0</v>
      </c>
      <c r="M18" s="269" t="s">
        <v>2305</v>
      </c>
      <c r="N18" s="279" t="s">
        <v>488</v>
      </c>
    </row>
    <row r="19" spans="1:14" x14ac:dyDescent="0.25">
      <c r="A19" s="117">
        <v>540011</v>
      </c>
      <c r="B19" s="2" t="s">
        <v>10</v>
      </c>
      <c r="C19" s="2" t="s">
        <v>11</v>
      </c>
      <c r="D19" s="2" t="s">
        <v>5</v>
      </c>
      <c r="E19" s="2" t="s">
        <v>2249</v>
      </c>
      <c r="F19" s="2" t="s">
        <v>2344</v>
      </c>
      <c r="G19" s="2" t="s">
        <v>2345</v>
      </c>
      <c r="H19" s="2" t="s">
        <v>2346</v>
      </c>
      <c r="I19" s="2" t="s">
        <v>2347</v>
      </c>
      <c r="J19" s="2" t="s">
        <v>2303</v>
      </c>
      <c r="K19" s="2" t="s">
        <v>2348</v>
      </c>
      <c r="L19" s="278">
        <v>0.34115080447200002</v>
      </c>
      <c r="M19" s="2" t="s">
        <v>2305</v>
      </c>
      <c r="N19" s="278">
        <v>0.99603489294199998</v>
      </c>
    </row>
    <row r="20" spans="1:14" x14ac:dyDescent="0.25">
      <c r="A20" s="117">
        <v>540012</v>
      </c>
      <c r="B20" s="2" t="s">
        <v>122</v>
      </c>
      <c r="C20" s="2" t="s">
        <v>11</v>
      </c>
      <c r="D20" s="2" t="s">
        <v>115</v>
      </c>
      <c r="E20" s="2" t="s">
        <v>2249</v>
      </c>
      <c r="F20" s="2" t="s">
        <v>2349</v>
      </c>
      <c r="G20" s="2" t="s">
        <v>2303</v>
      </c>
      <c r="H20" s="2" t="s">
        <v>2350</v>
      </c>
      <c r="I20" s="2" t="s">
        <v>2351</v>
      </c>
      <c r="J20" s="2" t="s">
        <v>2303</v>
      </c>
      <c r="K20" s="2" t="s">
        <v>2351</v>
      </c>
      <c r="L20" s="278">
        <v>0.50757575757600004</v>
      </c>
      <c r="M20" s="2" t="s">
        <v>488</v>
      </c>
      <c r="N20" s="278">
        <v>0.98529411764700003</v>
      </c>
    </row>
    <row r="21" spans="1:14" x14ac:dyDescent="0.25">
      <c r="A21" s="117">
        <v>540013</v>
      </c>
      <c r="B21" s="2" t="s">
        <v>123</v>
      </c>
      <c r="C21" s="2" t="s">
        <v>11</v>
      </c>
      <c r="D21" s="2" t="s">
        <v>115</v>
      </c>
      <c r="E21" s="2" t="s">
        <v>2249</v>
      </c>
      <c r="F21" s="2" t="s">
        <v>2352</v>
      </c>
      <c r="G21" s="2" t="s">
        <v>2353</v>
      </c>
      <c r="H21" s="2" t="s">
        <v>2354</v>
      </c>
      <c r="I21" s="2" t="s">
        <v>2354</v>
      </c>
      <c r="J21" s="2" t="s">
        <v>2303</v>
      </c>
      <c r="K21" s="2" t="s">
        <v>2354</v>
      </c>
      <c r="L21" s="278">
        <v>1.0416666666700001E-2</v>
      </c>
      <c r="M21" s="2" t="s">
        <v>2305</v>
      </c>
      <c r="N21" s="278">
        <v>1</v>
      </c>
    </row>
    <row r="22" spans="1:14" x14ac:dyDescent="0.25">
      <c r="A22" s="117">
        <v>540014</v>
      </c>
      <c r="B22" s="2" t="s">
        <v>124</v>
      </c>
      <c r="C22" s="2" t="s">
        <v>11</v>
      </c>
      <c r="D22" s="2" t="s">
        <v>115</v>
      </c>
      <c r="E22" s="2" t="s">
        <v>2249</v>
      </c>
      <c r="F22" s="2" t="s">
        <v>2355</v>
      </c>
      <c r="G22" s="2" t="s">
        <v>2356</v>
      </c>
      <c r="H22" s="2" t="s">
        <v>2357</v>
      </c>
      <c r="I22" s="2" t="s">
        <v>2358</v>
      </c>
      <c r="J22" s="2" t="s">
        <v>2303</v>
      </c>
      <c r="K22" s="2" t="s">
        <v>2357</v>
      </c>
      <c r="L22" s="278">
        <v>0.117948717949</v>
      </c>
      <c r="M22" s="2" t="s">
        <v>2305</v>
      </c>
      <c r="N22" s="278">
        <v>1</v>
      </c>
    </row>
    <row r="23" spans="1:14" x14ac:dyDescent="0.25">
      <c r="A23" s="117">
        <v>540015</v>
      </c>
      <c r="B23" s="2" t="s">
        <v>125</v>
      </c>
      <c r="C23" s="2" t="s">
        <v>11</v>
      </c>
      <c r="D23" s="2" t="s">
        <v>115</v>
      </c>
      <c r="E23" s="2" t="s">
        <v>2249</v>
      </c>
      <c r="F23" s="2" t="s">
        <v>2359</v>
      </c>
      <c r="G23" s="2" t="s">
        <v>2359</v>
      </c>
      <c r="H23" s="2" t="s">
        <v>2303</v>
      </c>
      <c r="I23" s="2" t="s">
        <v>2303</v>
      </c>
      <c r="J23" s="2" t="s">
        <v>2303</v>
      </c>
      <c r="K23" s="2" t="s">
        <v>2303</v>
      </c>
      <c r="L23" s="278">
        <v>0</v>
      </c>
      <c r="M23" s="2" t="s">
        <v>2305</v>
      </c>
      <c r="N23" s="278" t="s">
        <v>488</v>
      </c>
    </row>
    <row r="24" spans="1:14" x14ac:dyDescent="0.25">
      <c r="A24" s="117">
        <v>540093</v>
      </c>
      <c r="B24" s="2" t="s">
        <v>184</v>
      </c>
      <c r="C24" s="2" t="s">
        <v>11</v>
      </c>
      <c r="D24" s="2" t="s">
        <v>115</v>
      </c>
      <c r="E24" s="2" t="s">
        <v>2249</v>
      </c>
      <c r="F24" s="2" t="s">
        <v>2360</v>
      </c>
      <c r="G24" s="2" t="s">
        <v>2360</v>
      </c>
      <c r="H24" s="2" t="s">
        <v>2303</v>
      </c>
      <c r="I24" s="2" t="s">
        <v>2303</v>
      </c>
      <c r="J24" s="2" t="s">
        <v>2303</v>
      </c>
      <c r="K24" s="2" t="s">
        <v>2303</v>
      </c>
      <c r="L24" s="278">
        <v>0</v>
      </c>
      <c r="M24" s="2" t="s">
        <v>2305</v>
      </c>
      <c r="N24" s="278" t="s">
        <v>488</v>
      </c>
    </row>
    <row r="25" spans="1:14" x14ac:dyDescent="0.25">
      <c r="A25" s="117">
        <v>540084</v>
      </c>
      <c r="B25" s="2" t="s">
        <v>341</v>
      </c>
      <c r="C25" s="2" t="s">
        <v>11</v>
      </c>
      <c r="D25" s="2" t="s">
        <v>115</v>
      </c>
      <c r="E25" s="2" t="s">
        <v>2249</v>
      </c>
      <c r="F25" s="2" t="s">
        <v>2303</v>
      </c>
      <c r="G25" s="2" t="s">
        <v>2303</v>
      </c>
      <c r="H25" s="2" t="s">
        <v>2303</v>
      </c>
      <c r="I25" s="2" t="s">
        <v>2303</v>
      </c>
      <c r="J25" s="2" t="s">
        <v>2303</v>
      </c>
      <c r="K25" s="2" t="s">
        <v>2303</v>
      </c>
      <c r="L25" s="278" t="s">
        <v>488</v>
      </c>
      <c r="M25" s="2" t="s">
        <v>488</v>
      </c>
      <c r="N25" s="278" t="s">
        <v>488</v>
      </c>
    </row>
    <row r="26" spans="1:14" x14ac:dyDescent="0.25">
      <c r="A26" s="269"/>
      <c r="B26" s="269"/>
      <c r="C26" s="269" t="s">
        <v>11</v>
      </c>
      <c r="D26" s="269"/>
      <c r="E26" s="269"/>
      <c r="F26" s="269" t="s">
        <v>2361</v>
      </c>
      <c r="G26" s="269" t="s">
        <v>2362</v>
      </c>
      <c r="H26" s="269" t="s">
        <v>2363</v>
      </c>
      <c r="I26" s="269" t="s">
        <v>2364</v>
      </c>
      <c r="J26" s="269" t="s">
        <v>2303</v>
      </c>
      <c r="K26" s="269" t="s">
        <v>2365</v>
      </c>
      <c r="L26" s="279">
        <v>0.24777797932199999</v>
      </c>
      <c r="M26" s="269" t="s">
        <v>2305</v>
      </c>
      <c r="N26" s="279">
        <v>0.99564586356999996</v>
      </c>
    </row>
    <row r="27" spans="1:14" x14ac:dyDescent="0.25">
      <c r="A27" s="117">
        <v>540016</v>
      </c>
      <c r="B27" s="2" t="s">
        <v>12</v>
      </c>
      <c r="C27" s="2" t="s">
        <v>13</v>
      </c>
      <c r="D27" s="2" t="s">
        <v>5</v>
      </c>
      <c r="E27" s="2" t="s">
        <v>2251</v>
      </c>
      <c r="F27" s="2" t="s">
        <v>2366</v>
      </c>
      <c r="G27" s="2" t="s">
        <v>2367</v>
      </c>
      <c r="H27" s="2" t="s">
        <v>2368</v>
      </c>
      <c r="I27" s="2" t="s">
        <v>2369</v>
      </c>
      <c r="J27" s="2" t="s">
        <v>2303</v>
      </c>
      <c r="K27" s="2" t="s">
        <v>2370</v>
      </c>
      <c r="L27" s="278">
        <v>0.12452359503800001</v>
      </c>
      <c r="M27" s="2" t="s">
        <v>2305</v>
      </c>
      <c r="N27" s="278">
        <v>0.99612617598200004</v>
      </c>
    </row>
    <row r="28" spans="1:14" x14ac:dyDescent="0.25">
      <c r="A28" s="117">
        <v>540017</v>
      </c>
      <c r="B28" s="2" t="s">
        <v>126</v>
      </c>
      <c r="C28" s="2" t="s">
        <v>13</v>
      </c>
      <c r="D28" s="2" t="s">
        <v>115</v>
      </c>
      <c r="E28" s="2" t="s">
        <v>2251</v>
      </c>
      <c r="F28" s="2" t="s">
        <v>2371</v>
      </c>
      <c r="G28" s="2" t="s">
        <v>2372</v>
      </c>
      <c r="H28" s="2" t="s">
        <v>2373</v>
      </c>
      <c r="I28" s="2" t="s">
        <v>2373</v>
      </c>
      <c r="J28" s="2" t="s">
        <v>2303</v>
      </c>
      <c r="K28" s="2" t="s">
        <v>2373</v>
      </c>
      <c r="L28" s="278">
        <v>3.07692307692E-3</v>
      </c>
      <c r="M28" s="2" t="s">
        <v>2305</v>
      </c>
      <c r="N28" s="278">
        <v>1</v>
      </c>
    </row>
    <row r="29" spans="1:14" x14ac:dyDescent="0.25">
      <c r="A29" s="117">
        <v>540018</v>
      </c>
      <c r="B29" s="2" t="s">
        <v>127</v>
      </c>
      <c r="C29" s="2" t="s">
        <v>13</v>
      </c>
      <c r="D29" s="2" t="s">
        <v>115</v>
      </c>
      <c r="E29" s="2" t="s">
        <v>2251</v>
      </c>
      <c r="F29" s="2" t="s">
        <v>2374</v>
      </c>
      <c r="G29" s="2" t="s">
        <v>2375</v>
      </c>
      <c r="H29" s="2" t="s">
        <v>2376</v>
      </c>
      <c r="I29" s="2" t="s">
        <v>2376</v>
      </c>
      <c r="J29" s="2" t="s">
        <v>2303</v>
      </c>
      <c r="K29" s="2" t="s">
        <v>2376</v>
      </c>
      <c r="L29" s="278">
        <v>3.6119711042299999E-3</v>
      </c>
      <c r="M29" s="2" t="s">
        <v>2305</v>
      </c>
      <c r="N29" s="278">
        <v>1</v>
      </c>
    </row>
    <row r="30" spans="1:14" x14ac:dyDescent="0.25">
      <c r="A30" s="117">
        <v>540019</v>
      </c>
      <c r="B30" s="2" t="s">
        <v>128</v>
      </c>
      <c r="C30" s="2" t="s">
        <v>13</v>
      </c>
      <c r="D30" s="2" t="s">
        <v>115</v>
      </c>
      <c r="E30" s="2" t="s">
        <v>2251</v>
      </c>
      <c r="F30" s="2" t="s">
        <v>2377</v>
      </c>
      <c r="G30" s="2" t="s">
        <v>2377</v>
      </c>
      <c r="H30" s="2" t="s">
        <v>2303</v>
      </c>
      <c r="I30" s="2" t="s">
        <v>2303</v>
      </c>
      <c r="J30" s="2" t="s">
        <v>2303</v>
      </c>
      <c r="K30" s="2" t="s">
        <v>2303</v>
      </c>
      <c r="L30" s="278">
        <v>0</v>
      </c>
      <c r="M30" s="2" t="s">
        <v>2305</v>
      </c>
      <c r="N30" s="278" t="s">
        <v>488</v>
      </c>
    </row>
    <row r="31" spans="1:14" x14ac:dyDescent="0.25">
      <c r="A31" s="269"/>
      <c r="B31" s="269"/>
      <c r="C31" s="269" t="s">
        <v>13</v>
      </c>
      <c r="D31" s="269"/>
      <c r="E31" s="269"/>
      <c r="F31" s="269" t="s">
        <v>2378</v>
      </c>
      <c r="G31" s="269" t="s">
        <v>2379</v>
      </c>
      <c r="H31" s="269" t="s">
        <v>2380</v>
      </c>
      <c r="I31" s="269" t="s">
        <v>2381</v>
      </c>
      <c r="J31" s="269" t="s">
        <v>2303</v>
      </c>
      <c r="K31" s="269" t="s">
        <v>2382</v>
      </c>
      <c r="L31" s="279">
        <v>0.10573487200499999</v>
      </c>
      <c r="M31" s="269" t="s">
        <v>2305</v>
      </c>
      <c r="N31" s="279">
        <v>0.996143250689</v>
      </c>
    </row>
    <row r="32" spans="1:14" x14ac:dyDescent="0.25">
      <c r="A32" s="117">
        <v>540020</v>
      </c>
      <c r="B32" s="2" t="s">
        <v>14</v>
      </c>
      <c r="C32" s="2" t="s">
        <v>15</v>
      </c>
      <c r="D32" s="2" t="s">
        <v>5</v>
      </c>
      <c r="E32" s="2" t="s">
        <v>2254</v>
      </c>
      <c r="F32" s="2" t="s">
        <v>2383</v>
      </c>
      <c r="G32" s="2" t="s">
        <v>2384</v>
      </c>
      <c r="H32" s="2" t="s">
        <v>2385</v>
      </c>
      <c r="I32" s="2" t="s">
        <v>2386</v>
      </c>
      <c r="J32" s="2" t="s">
        <v>2303</v>
      </c>
      <c r="K32" s="2" t="s">
        <v>2387</v>
      </c>
      <c r="L32" s="278">
        <v>3.11769290725E-3</v>
      </c>
      <c r="M32" s="2" t="s">
        <v>2305</v>
      </c>
      <c r="N32" s="278">
        <v>0.94736842105300001</v>
      </c>
    </row>
    <row r="33" spans="1:14" x14ac:dyDescent="0.25">
      <c r="A33" s="117">
        <v>540021</v>
      </c>
      <c r="B33" s="2" t="s">
        <v>129</v>
      </c>
      <c r="C33" s="2" t="s">
        <v>15</v>
      </c>
      <c r="D33" s="2" t="s">
        <v>115</v>
      </c>
      <c r="E33" s="2" t="s">
        <v>2254</v>
      </c>
      <c r="F33" s="2" t="s">
        <v>2388</v>
      </c>
      <c r="G33" s="2" t="s">
        <v>2388</v>
      </c>
      <c r="H33" s="2" t="s">
        <v>2303</v>
      </c>
      <c r="I33" s="2" t="s">
        <v>2303</v>
      </c>
      <c r="J33" s="2" t="s">
        <v>2303</v>
      </c>
      <c r="K33" s="2" t="s">
        <v>2303</v>
      </c>
      <c r="L33" s="278">
        <v>0</v>
      </c>
      <c r="M33" s="2" t="s">
        <v>2305</v>
      </c>
      <c r="N33" s="278" t="s">
        <v>488</v>
      </c>
    </row>
    <row r="34" spans="1:14" x14ac:dyDescent="0.25">
      <c r="A34" s="269"/>
      <c r="B34" s="269"/>
      <c r="C34" s="269" t="s">
        <v>15</v>
      </c>
      <c r="D34" s="269"/>
      <c r="E34" s="269"/>
      <c r="F34" s="269" t="s">
        <v>2389</v>
      </c>
      <c r="G34" s="269" t="s">
        <v>2390</v>
      </c>
      <c r="H34" s="269" t="s">
        <v>2385</v>
      </c>
      <c r="I34" s="269" t="s">
        <v>2386</v>
      </c>
      <c r="J34" s="269" t="s">
        <v>2303</v>
      </c>
      <c r="K34" s="269" t="s">
        <v>2387</v>
      </c>
      <c r="L34" s="279">
        <v>3.07550361372E-3</v>
      </c>
      <c r="M34" s="269" t="s">
        <v>2305</v>
      </c>
      <c r="N34" s="279">
        <v>0.94736842105300001</v>
      </c>
    </row>
    <row r="35" spans="1:14" x14ac:dyDescent="0.25">
      <c r="A35" s="117">
        <v>540022</v>
      </c>
      <c r="B35" s="2" t="s">
        <v>16</v>
      </c>
      <c r="C35" s="2" t="s">
        <v>17</v>
      </c>
      <c r="D35" s="2" t="s">
        <v>5</v>
      </c>
      <c r="E35" s="2" t="s">
        <v>2248</v>
      </c>
      <c r="F35" s="2" t="s">
        <v>2391</v>
      </c>
      <c r="G35" s="2" t="s">
        <v>2392</v>
      </c>
      <c r="H35" s="2" t="s">
        <v>2354</v>
      </c>
      <c r="I35" s="2" t="s">
        <v>2354</v>
      </c>
      <c r="J35" s="2" t="s">
        <v>2303</v>
      </c>
      <c r="K35" s="2" t="s">
        <v>2354</v>
      </c>
      <c r="L35" s="278">
        <v>3.5069261791999999E-4</v>
      </c>
      <c r="M35" s="2" t="s">
        <v>2305</v>
      </c>
      <c r="N35" s="278">
        <v>1</v>
      </c>
    </row>
    <row r="36" spans="1:14" x14ac:dyDescent="0.25">
      <c r="A36" s="117">
        <v>540023</v>
      </c>
      <c r="B36" s="2" t="s">
        <v>130</v>
      </c>
      <c r="C36" s="2" t="s">
        <v>17</v>
      </c>
      <c r="D36" s="2" t="s">
        <v>115</v>
      </c>
      <c r="E36" s="2" t="s">
        <v>2248</v>
      </c>
      <c r="F36" s="2" t="s">
        <v>2393</v>
      </c>
      <c r="G36" s="2" t="s">
        <v>2393</v>
      </c>
      <c r="H36" s="2" t="s">
        <v>2303</v>
      </c>
      <c r="I36" s="2" t="s">
        <v>2303</v>
      </c>
      <c r="J36" s="2" t="s">
        <v>2303</v>
      </c>
      <c r="K36" s="2" t="s">
        <v>2303</v>
      </c>
      <c r="L36" s="278">
        <v>0</v>
      </c>
      <c r="M36" s="2" t="s">
        <v>2305</v>
      </c>
      <c r="N36" s="278" t="s">
        <v>488</v>
      </c>
    </row>
    <row r="37" spans="1:14" x14ac:dyDescent="0.25">
      <c r="A37" s="269"/>
      <c r="B37" s="269"/>
      <c r="C37" s="269" t="s">
        <v>17</v>
      </c>
      <c r="D37" s="269"/>
      <c r="E37" s="269"/>
      <c r="F37" s="269" t="s">
        <v>2394</v>
      </c>
      <c r="G37" s="269" t="s">
        <v>2395</v>
      </c>
      <c r="H37" s="269" t="s">
        <v>2354</v>
      </c>
      <c r="I37" s="269" t="s">
        <v>2354</v>
      </c>
      <c r="J37" s="269" t="s">
        <v>2303</v>
      </c>
      <c r="K37" s="269" t="s">
        <v>2354</v>
      </c>
      <c r="L37" s="279">
        <v>3.4381983840499998E-4</v>
      </c>
      <c r="M37" s="269" t="s">
        <v>2305</v>
      </c>
      <c r="N37" s="279">
        <v>1</v>
      </c>
    </row>
    <row r="38" spans="1:14" x14ac:dyDescent="0.25">
      <c r="A38" s="117">
        <v>540024</v>
      </c>
      <c r="B38" s="2" t="s">
        <v>18</v>
      </c>
      <c r="C38" s="2" t="s">
        <v>19</v>
      </c>
      <c r="D38" s="2" t="s">
        <v>5</v>
      </c>
      <c r="E38" s="2" t="s">
        <v>2271</v>
      </c>
      <c r="F38" s="2" t="s">
        <v>2396</v>
      </c>
      <c r="G38" s="2" t="s">
        <v>2397</v>
      </c>
      <c r="H38" s="2" t="s">
        <v>2398</v>
      </c>
      <c r="I38" s="2" t="s">
        <v>2399</v>
      </c>
      <c r="J38" s="2" t="s">
        <v>2303</v>
      </c>
      <c r="K38" s="2" t="s">
        <v>2400</v>
      </c>
      <c r="L38" s="278">
        <v>0.27262210796899999</v>
      </c>
      <c r="M38" s="2" t="s">
        <v>2305</v>
      </c>
      <c r="N38" s="278">
        <v>0.99483568075100004</v>
      </c>
    </row>
    <row r="39" spans="1:14" x14ac:dyDescent="0.25">
      <c r="A39" s="117">
        <v>540025</v>
      </c>
      <c r="B39" s="2" t="s">
        <v>131</v>
      </c>
      <c r="C39" s="2" t="s">
        <v>19</v>
      </c>
      <c r="D39" s="2" t="s">
        <v>115</v>
      </c>
      <c r="E39" s="2" t="s">
        <v>2271</v>
      </c>
      <c r="F39" s="2" t="s">
        <v>2401</v>
      </c>
      <c r="G39" s="2" t="s">
        <v>2401</v>
      </c>
      <c r="H39" s="2" t="s">
        <v>2303</v>
      </c>
      <c r="I39" s="2" t="s">
        <v>2303</v>
      </c>
      <c r="J39" s="2" t="s">
        <v>2303</v>
      </c>
      <c r="K39" s="2" t="s">
        <v>2303</v>
      </c>
      <c r="L39" s="278">
        <v>0</v>
      </c>
      <c r="M39" s="2" t="s">
        <v>2305</v>
      </c>
      <c r="N39" s="278" t="s">
        <v>488</v>
      </c>
    </row>
    <row r="40" spans="1:14" x14ac:dyDescent="0.25">
      <c r="A40" s="269"/>
      <c r="B40" s="269"/>
      <c r="C40" s="269" t="s">
        <v>19</v>
      </c>
      <c r="D40" s="269"/>
      <c r="E40" s="269"/>
      <c r="F40" s="269" t="s">
        <v>2402</v>
      </c>
      <c r="G40" s="269" t="s">
        <v>2403</v>
      </c>
      <c r="H40" s="269" t="s">
        <v>2398</v>
      </c>
      <c r="I40" s="269" t="s">
        <v>2399</v>
      </c>
      <c r="J40" s="269" t="s">
        <v>2303</v>
      </c>
      <c r="K40" s="269" t="s">
        <v>2400</v>
      </c>
      <c r="L40" s="279">
        <v>0.27160968113700001</v>
      </c>
      <c r="M40" s="269" t="s">
        <v>2305</v>
      </c>
      <c r="N40" s="279">
        <v>0.99483568075100004</v>
      </c>
    </row>
    <row r="41" spans="1:14" x14ac:dyDescent="0.25">
      <c r="A41" s="117">
        <v>540035</v>
      </c>
      <c r="B41" s="2" t="s">
        <v>22</v>
      </c>
      <c r="C41" s="2" t="s">
        <v>23</v>
      </c>
      <c r="D41" s="2" t="s">
        <v>5</v>
      </c>
      <c r="E41" s="2" t="s">
        <v>2250</v>
      </c>
      <c r="F41" s="2" t="s">
        <v>2404</v>
      </c>
      <c r="G41" s="2" t="s">
        <v>2405</v>
      </c>
      <c r="H41" s="2" t="s">
        <v>2373</v>
      </c>
      <c r="I41" s="2" t="s">
        <v>2373</v>
      </c>
      <c r="J41" s="2" t="s">
        <v>2303</v>
      </c>
      <c r="K41" s="2" t="s">
        <v>2373</v>
      </c>
      <c r="L41" s="278">
        <v>1.45074713477E-4</v>
      </c>
      <c r="M41" s="2" t="s">
        <v>2305</v>
      </c>
      <c r="N41" s="278">
        <v>1</v>
      </c>
    </row>
    <row r="42" spans="1:14" x14ac:dyDescent="0.25">
      <c r="A42" s="117">
        <v>540036</v>
      </c>
      <c r="B42" s="2" t="s">
        <v>139</v>
      </c>
      <c r="C42" s="2" t="s">
        <v>23</v>
      </c>
      <c r="D42" s="2" t="s">
        <v>115</v>
      </c>
      <c r="E42" s="2" t="s">
        <v>2250</v>
      </c>
      <c r="F42" s="2" t="s">
        <v>2406</v>
      </c>
      <c r="G42" s="2" t="s">
        <v>2406</v>
      </c>
      <c r="H42" s="2" t="s">
        <v>2303</v>
      </c>
      <c r="I42" s="2" t="s">
        <v>2303</v>
      </c>
      <c r="J42" s="2" t="s">
        <v>2303</v>
      </c>
      <c r="K42" s="2" t="s">
        <v>2303</v>
      </c>
      <c r="L42" s="278">
        <v>0</v>
      </c>
      <c r="M42" s="2" t="s">
        <v>2305</v>
      </c>
      <c r="N42" s="278" t="s">
        <v>488</v>
      </c>
    </row>
    <row r="43" spans="1:14" x14ac:dyDescent="0.25">
      <c r="A43" s="117">
        <v>540037</v>
      </c>
      <c r="B43" s="2" t="s">
        <v>140</v>
      </c>
      <c r="C43" s="2" t="s">
        <v>23</v>
      </c>
      <c r="D43" s="2" t="s">
        <v>115</v>
      </c>
      <c r="E43" s="2" t="s">
        <v>2250</v>
      </c>
      <c r="F43" s="2" t="s">
        <v>2407</v>
      </c>
      <c r="G43" s="2" t="s">
        <v>2407</v>
      </c>
      <c r="H43" s="2" t="s">
        <v>2303</v>
      </c>
      <c r="I43" s="2" t="s">
        <v>2303</v>
      </c>
      <c r="J43" s="2" t="s">
        <v>2303</v>
      </c>
      <c r="K43" s="2" t="s">
        <v>2303</v>
      </c>
      <c r="L43" s="278">
        <v>0</v>
      </c>
      <c r="M43" s="2" t="s">
        <v>2305</v>
      </c>
      <c r="N43" s="278" t="s">
        <v>488</v>
      </c>
    </row>
    <row r="44" spans="1:14" x14ac:dyDescent="0.25">
      <c r="A44" s="269"/>
      <c r="B44" s="269"/>
      <c r="C44" s="269" t="s">
        <v>23</v>
      </c>
      <c r="D44" s="269"/>
      <c r="E44" s="269"/>
      <c r="F44" s="269" t="s">
        <v>2408</v>
      </c>
      <c r="G44" s="269" t="s">
        <v>2409</v>
      </c>
      <c r="H44" s="269" t="s">
        <v>2373</v>
      </c>
      <c r="I44" s="269" t="s">
        <v>2373</v>
      </c>
      <c r="J44" s="269" t="s">
        <v>2303</v>
      </c>
      <c r="K44" s="269" t="s">
        <v>2373</v>
      </c>
      <c r="L44" s="279">
        <v>1.40291806958E-4</v>
      </c>
      <c r="M44" s="269" t="s">
        <v>2305</v>
      </c>
      <c r="N44" s="279">
        <v>1</v>
      </c>
    </row>
    <row r="45" spans="1:14" x14ac:dyDescent="0.25">
      <c r="A45" s="117">
        <v>540038</v>
      </c>
      <c r="B45" s="2" t="s">
        <v>24</v>
      </c>
      <c r="C45" s="2" t="s">
        <v>25</v>
      </c>
      <c r="D45" s="2" t="s">
        <v>5</v>
      </c>
      <c r="E45" s="2" t="s">
        <v>2272</v>
      </c>
      <c r="F45" s="2" t="s">
        <v>2410</v>
      </c>
      <c r="G45" s="2" t="s">
        <v>2411</v>
      </c>
      <c r="H45" s="2" t="s">
        <v>2412</v>
      </c>
      <c r="I45" s="2" t="s">
        <v>2412</v>
      </c>
      <c r="J45" s="2" t="s">
        <v>2303</v>
      </c>
      <c r="K45" s="2" t="s">
        <v>2412</v>
      </c>
      <c r="L45" s="278">
        <v>7.7891730494600005E-4</v>
      </c>
      <c r="M45" s="2" t="s">
        <v>2305</v>
      </c>
      <c r="N45" s="278">
        <v>1</v>
      </c>
    </row>
    <row r="46" spans="1:14" x14ac:dyDescent="0.25">
      <c r="A46" s="117">
        <v>540039</v>
      </c>
      <c r="B46" s="2" t="s">
        <v>141</v>
      </c>
      <c r="C46" s="2" t="s">
        <v>25</v>
      </c>
      <c r="D46" s="2" t="s">
        <v>115</v>
      </c>
      <c r="E46" s="2" t="s">
        <v>2272</v>
      </c>
      <c r="F46" s="2" t="s">
        <v>2413</v>
      </c>
      <c r="G46" s="2" t="s">
        <v>2414</v>
      </c>
      <c r="H46" s="2" t="s">
        <v>2303</v>
      </c>
      <c r="I46" s="2" t="s">
        <v>2303</v>
      </c>
      <c r="J46" s="2" t="s">
        <v>2303</v>
      </c>
      <c r="K46" s="2" t="s">
        <v>2303</v>
      </c>
      <c r="L46" s="278">
        <v>0</v>
      </c>
      <c r="M46" s="2" t="s">
        <v>2305</v>
      </c>
      <c r="N46" s="278" t="s">
        <v>488</v>
      </c>
    </row>
    <row r="47" spans="1:14" x14ac:dyDescent="0.25">
      <c r="A47" s="117">
        <v>540240</v>
      </c>
      <c r="B47" s="2" t="s">
        <v>287</v>
      </c>
      <c r="C47" s="2" t="s">
        <v>25</v>
      </c>
      <c r="D47" s="2" t="s">
        <v>115</v>
      </c>
      <c r="E47" s="2" t="s">
        <v>2272</v>
      </c>
      <c r="F47" s="2" t="s">
        <v>2415</v>
      </c>
      <c r="G47" s="2" t="s">
        <v>2416</v>
      </c>
      <c r="H47" s="2" t="s">
        <v>2303</v>
      </c>
      <c r="I47" s="2" t="s">
        <v>2303</v>
      </c>
      <c r="J47" s="2" t="s">
        <v>2303</v>
      </c>
      <c r="K47" s="2" t="s">
        <v>2303</v>
      </c>
      <c r="L47" s="278">
        <v>0</v>
      </c>
      <c r="M47" s="2" t="s">
        <v>2305</v>
      </c>
      <c r="N47" s="278" t="s">
        <v>488</v>
      </c>
    </row>
    <row r="48" spans="1:14" x14ac:dyDescent="0.25">
      <c r="A48" s="269"/>
      <c r="B48" s="269"/>
      <c r="C48" s="269" t="s">
        <v>25</v>
      </c>
      <c r="D48" s="269"/>
      <c r="E48" s="269"/>
      <c r="F48" s="269" t="s">
        <v>2417</v>
      </c>
      <c r="G48" s="269" t="s">
        <v>2418</v>
      </c>
      <c r="H48" s="269" t="s">
        <v>2412</v>
      </c>
      <c r="I48" s="269" t="s">
        <v>2412</v>
      </c>
      <c r="J48" s="269" t="s">
        <v>2303</v>
      </c>
      <c r="K48" s="269" t="s">
        <v>2412</v>
      </c>
      <c r="L48" s="279">
        <v>7.5786282682800004E-4</v>
      </c>
      <c r="M48" s="269" t="s">
        <v>2305</v>
      </c>
      <c r="N48" s="279">
        <v>1</v>
      </c>
    </row>
    <row r="49" spans="1:14" x14ac:dyDescent="0.25">
      <c r="A49" s="117">
        <v>540040</v>
      </c>
      <c r="B49" s="2" t="s">
        <v>26</v>
      </c>
      <c r="C49" s="2" t="s">
        <v>27</v>
      </c>
      <c r="D49" s="2" t="s">
        <v>5</v>
      </c>
      <c r="E49" s="2" t="s">
        <v>2252</v>
      </c>
      <c r="F49" s="2" t="s">
        <v>2419</v>
      </c>
      <c r="G49" s="2" t="s">
        <v>2420</v>
      </c>
      <c r="H49" s="2" t="s">
        <v>2421</v>
      </c>
      <c r="I49" s="2" t="s">
        <v>2422</v>
      </c>
      <c r="J49" s="2" t="s">
        <v>2423</v>
      </c>
      <c r="K49" s="2" t="s">
        <v>2424</v>
      </c>
      <c r="L49" s="278">
        <v>0.45517898020800002</v>
      </c>
      <c r="M49" s="2" t="s">
        <v>2425</v>
      </c>
      <c r="N49" s="278">
        <v>0.76475623849700003</v>
      </c>
    </row>
    <row r="50" spans="1:14" x14ac:dyDescent="0.25">
      <c r="A50" s="117">
        <v>540041</v>
      </c>
      <c r="B50" s="2" t="s">
        <v>142</v>
      </c>
      <c r="C50" s="2" t="s">
        <v>27</v>
      </c>
      <c r="D50" s="2" t="s">
        <v>115</v>
      </c>
      <c r="E50" s="2" t="s">
        <v>2252</v>
      </c>
      <c r="F50" s="2" t="s">
        <v>2426</v>
      </c>
      <c r="G50" s="2" t="s">
        <v>2427</v>
      </c>
      <c r="H50" s="2" t="s">
        <v>2303</v>
      </c>
      <c r="I50" s="2" t="s">
        <v>2428</v>
      </c>
      <c r="J50" s="2" t="s">
        <v>2303</v>
      </c>
      <c r="K50" s="2" t="s">
        <v>2303</v>
      </c>
      <c r="L50" s="278">
        <v>0.51965065502200003</v>
      </c>
      <c r="M50" s="2" t="s">
        <v>2305</v>
      </c>
      <c r="N50" s="278" t="s">
        <v>488</v>
      </c>
    </row>
    <row r="51" spans="1:14" x14ac:dyDescent="0.25">
      <c r="A51" s="117">
        <v>540043</v>
      </c>
      <c r="B51" s="2" t="s">
        <v>144</v>
      </c>
      <c r="C51" s="2" t="s">
        <v>27</v>
      </c>
      <c r="D51" s="2" t="s">
        <v>115</v>
      </c>
      <c r="E51" s="2" t="s">
        <v>2252</v>
      </c>
      <c r="F51" s="2" t="s">
        <v>2429</v>
      </c>
      <c r="G51" s="2" t="s">
        <v>2349</v>
      </c>
      <c r="H51" s="2" t="s">
        <v>2430</v>
      </c>
      <c r="I51" s="2" t="s">
        <v>2431</v>
      </c>
      <c r="J51" s="2" t="s">
        <v>2354</v>
      </c>
      <c r="K51" s="2" t="s">
        <v>2432</v>
      </c>
      <c r="L51" s="278">
        <v>0.478873239437</v>
      </c>
      <c r="M51" s="2" t="s">
        <v>2433</v>
      </c>
      <c r="N51" s="278">
        <v>0.384615384615</v>
      </c>
    </row>
    <row r="52" spans="1:14" x14ac:dyDescent="0.25">
      <c r="A52" s="117">
        <v>540044</v>
      </c>
      <c r="B52" s="2" t="s">
        <v>145</v>
      </c>
      <c r="C52" s="2" t="s">
        <v>27</v>
      </c>
      <c r="D52" s="2" t="s">
        <v>115</v>
      </c>
      <c r="E52" s="2" t="s">
        <v>2252</v>
      </c>
      <c r="F52" s="2" t="s">
        <v>2434</v>
      </c>
      <c r="G52" s="2" t="s">
        <v>2373</v>
      </c>
      <c r="H52" s="2" t="s">
        <v>2393</v>
      </c>
      <c r="I52" s="2" t="s">
        <v>2435</v>
      </c>
      <c r="J52" s="2" t="s">
        <v>2373</v>
      </c>
      <c r="K52" s="2" t="s">
        <v>2393</v>
      </c>
      <c r="L52" s="278">
        <v>0.45564516128999999</v>
      </c>
      <c r="M52" s="2" t="s">
        <v>2436</v>
      </c>
      <c r="N52" s="278">
        <v>1</v>
      </c>
    </row>
    <row r="53" spans="1:14" x14ac:dyDescent="0.25">
      <c r="A53" s="117">
        <v>540045</v>
      </c>
      <c r="B53" s="2" t="s">
        <v>146</v>
      </c>
      <c r="C53" s="2" t="s">
        <v>27</v>
      </c>
      <c r="D53" s="2" t="s">
        <v>115</v>
      </c>
      <c r="E53" s="2" t="s">
        <v>2252</v>
      </c>
      <c r="F53" s="2" t="s">
        <v>2437</v>
      </c>
      <c r="G53" s="2" t="s">
        <v>2438</v>
      </c>
      <c r="H53" s="2" t="s">
        <v>2439</v>
      </c>
      <c r="I53" s="2" t="s">
        <v>2438</v>
      </c>
      <c r="J53" s="2" t="s">
        <v>2440</v>
      </c>
      <c r="K53" s="2" t="s">
        <v>2412</v>
      </c>
      <c r="L53" s="278">
        <v>0.35351089588399998</v>
      </c>
      <c r="M53" s="2" t="s">
        <v>2441</v>
      </c>
      <c r="N53" s="278">
        <v>2.6666666666699999E-2</v>
      </c>
    </row>
    <row r="54" spans="1:14" x14ac:dyDescent="0.25">
      <c r="A54" s="117">
        <v>540228</v>
      </c>
      <c r="B54" s="2" t="s">
        <v>278</v>
      </c>
      <c r="C54" s="2" t="s">
        <v>27</v>
      </c>
      <c r="D54" s="2" t="s">
        <v>115</v>
      </c>
      <c r="E54" s="2" t="s">
        <v>2252</v>
      </c>
      <c r="F54" s="2" t="s">
        <v>2442</v>
      </c>
      <c r="G54" s="2" t="s">
        <v>2443</v>
      </c>
      <c r="H54" s="2" t="s">
        <v>2351</v>
      </c>
      <c r="I54" s="2" t="s">
        <v>2444</v>
      </c>
      <c r="J54" s="2" t="s">
        <v>2303</v>
      </c>
      <c r="K54" s="2" t="s">
        <v>2312</v>
      </c>
      <c r="L54" s="278">
        <v>0.60752688172000002</v>
      </c>
      <c r="M54" s="2" t="s">
        <v>2305</v>
      </c>
      <c r="N54" s="278">
        <v>0.985074626866</v>
      </c>
    </row>
    <row r="55" spans="1:14" x14ac:dyDescent="0.25">
      <c r="A55" s="117">
        <v>540243</v>
      </c>
      <c r="B55" s="2" t="s">
        <v>290</v>
      </c>
      <c r="C55" s="2" t="s">
        <v>27</v>
      </c>
      <c r="D55" s="2" t="s">
        <v>115</v>
      </c>
      <c r="E55" s="2" t="s">
        <v>2252</v>
      </c>
      <c r="F55" s="2" t="s">
        <v>2445</v>
      </c>
      <c r="G55" s="2" t="s">
        <v>2303</v>
      </c>
      <c r="H55" s="2" t="s">
        <v>2446</v>
      </c>
      <c r="I55" s="2" t="s">
        <v>2300</v>
      </c>
      <c r="J55" s="2" t="s">
        <v>2303</v>
      </c>
      <c r="K55" s="2" t="s">
        <v>2446</v>
      </c>
      <c r="L55" s="278">
        <v>0.49295774647899998</v>
      </c>
      <c r="M55" s="2" t="s">
        <v>488</v>
      </c>
      <c r="N55" s="278">
        <v>1</v>
      </c>
    </row>
    <row r="56" spans="1:14" x14ac:dyDescent="0.25">
      <c r="A56" s="117">
        <v>540244</v>
      </c>
      <c r="B56" s="2" t="s">
        <v>291</v>
      </c>
      <c r="C56" s="2" t="s">
        <v>27</v>
      </c>
      <c r="D56" s="2" t="s">
        <v>115</v>
      </c>
      <c r="E56" s="2" t="s">
        <v>2252</v>
      </c>
      <c r="F56" s="2" t="s">
        <v>2373</v>
      </c>
      <c r="G56" s="2" t="s">
        <v>2303</v>
      </c>
      <c r="H56" s="2" t="s">
        <v>2373</v>
      </c>
      <c r="I56" s="2" t="s">
        <v>2373</v>
      </c>
      <c r="J56" s="2" t="s">
        <v>2303</v>
      </c>
      <c r="K56" s="2" t="s">
        <v>2373</v>
      </c>
      <c r="L56" s="278">
        <v>1</v>
      </c>
      <c r="M56" s="2" t="s">
        <v>488</v>
      </c>
      <c r="N56" s="278">
        <v>1</v>
      </c>
    </row>
    <row r="57" spans="1:14" x14ac:dyDescent="0.25">
      <c r="A57" s="117">
        <v>540281</v>
      </c>
      <c r="B57" s="2" t="s">
        <v>322</v>
      </c>
      <c r="C57" s="2" t="s">
        <v>27</v>
      </c>
      <c r="D57" s="2" t="s">
        <v>115</v>
      </c>
      <c r="E57" s="2" t="s">
        <v>2252</v>
      </c>
      <c r="F57" s="2" t="s">
        <v>2303</v>
      </c>
      <c r="G57" s="2" t="s">
        <v>2303</v>
      </c>
      <c r="H57" s="2" t="s">
        <v>2303</v>
      </c>
      <c r="I57" s="2" t="s">
        <v>2303</v>
      </c>
      <c r="J57" s="2" t="s">
        <v>2303</v>
      </c>
      <c r="K57" s="2" t="s">
        <v>2303</v>
      </c>
      <c r="L57" s="278" t="s">
        <v>488</v>
      </c>
      <c r="M57" s="2" t="s">
        <v>488</v>
      </c>
      <c r="N57" s="278" t="s">
        <v>488</v>
      </c>
    </row>
    <row r="58" spans="1:14" x14ac:dyDescent="0.25">
      <c r="A58" s="269"/>
      <c r="B58" s="269"/>
      <c r="C58" s="269" t="s">
        <v>27</v>
      </c>
      <c r="D58" s="269"/>
      <c r="E58" s="269"/>
      <c r="F58" s="269" t="s">
        <v>2447</v>
      </c>
      <c r="G58" s="269" t="s">
        <v>2448</v>
      </c>
      <c r="H58" s="269" t="s">
        <v>2449</v>
      </c>
      <c r="I58" s="269" t="s">
        <v>2450</v>
      </c>
      <c r="J58" s="269" t="s">
        <v>2451</v>
      </c>
      <c r="K58" s="269" t="s">
        <v>2452</v>
      </c>
      <c r="L58" s="279">
        <v>0.45513094913800001</v>
      </c>
      <c r="M58" s="269" t="s">
        <v>2453</v>
      </c>
      <c r="N58" s="279">
        <v>0.75968764431799995</v>
      </c>
    </row>
    <row r="59" spans="1:14" x14ac:dyDescent="0.25">
      <c r="A59" s="117">
        <v>540047</v>
      </c>
      <c r="B59" s="2" t="s">
        <v>28</v>
      </c>
      <c r="C59" s="2" t="s">
        <v>29</v>
      </c>
      <c r="D59" s="2" t="s">
        <v>5</v>
      </c>
      <c r="E59" s="2" t="s">
        <v>2249</v>
      </c>
      <c r="F59" s="2" t="s">
        <v>2454</v>
      </c>
      <c r="G59" s="2" t="s">
        <v>2455</v>
      </c>
      <c r="H59" s="2" t="s">
        <v>2456</v>
      </c>
      <c r="I59" s="2" t="s">
        <v>2457</v>
      </c>
      <c r="J59" s="2" t="s">
        <v>2303</v>
      </c>
      <c r="K59" s="2" t="s">
        <v>2458</v>
      </c>
      <c r="L59" s="278">
        <v>0.14222222222200001</v>
      </c>
      <c r="M59" s="2" t="s">
        <v>2305</v>
      </c>
      <c r="N59" s="278">
        <v>0.99615384615400004</v>
      </c>
    </row>
    <row r="60" spans="1:14" x14ac:dyDescent="0.25">
      <c r="A60" s="117">
        <v>540014</v>
      </c>
      <c r="B60" s="2" t="s">
        <v>124</v>
      </c>
      <c r="C60" s="2" t="s">
        <v>29</v>
      </c>
      <c r="D60" s="2" t="s">
        <v>115</v>
      </c>
      <c r="E60" s="2" t="s">
        <v>2249</v>
      </c>
      <c r="F60" s="2" t="s">
        <v>2459</v>
      </c>
      <c r="G60" s="2" t="s">
        <v>2459</v>
      </c>
      <c r="H60" s="2" t="s">
        <v>2303</v>
      </c>
      <c r="I60" s="2" t="s">
        <v>2303</v>
      </c>
      <c r="J60" s="2" t="s">
        <v>2303</v>
      </c>
      <c r="K60" s="2" t="s">
        <v>2303</v>
      </c>
      <c r="L60" s="278">
        <v>0</v>
      </c>
      <c r="M60" s="2" t="s">
        <v>2305</v>
      </c>
      <c r="N60" s="278" t="s">
        <v>488</v>
      </c>
    </row>
    <row r="61" spans="1:14" x14ac:dyDescent="0.25">
      <c r="A61" s="117">
        <v>540048</v>
      </c>
      <c r="B61" s="2" t="s">
        <v>148</v>
      </c>
      <c r="C61" s="2" t="s">
        <v>29</v>
      </c>
      <c r="D61" s="2" t="s">
        <v>115</v>
      </c>
      <c r="E61" s="2" t="s">
        <v>2249</v>
      </c>
      <c r="F61" s="2" t="s">
        <v>2460</v>
      </c>
      <c r="G61" s="2" t="s">
        <v>2460</v>
      </c>
      <c r="H61" s="2" t="s">
        <v>2303</v>
      </c>
      <c r="I61" s="2" t="s">
        <v>2303</v>
      </c>
      <c r="J61" s="2" t="s">
        <v>2303</v>
      </c>
      <c r="K61" s="2" t="s">
        <v>2303</v>
      </c>
      <c r="L61" s="278">
        <v>0</v>
      </c>
      <c r="M61" s="2" t="s">
        <v>2305</v>
      </c>
      <c r="N61" s="278" t="s">
        <v>488</v>
      </c>
    </row>
    <row r="62" spans="1:14" x14ac:dyDescent="0.25">
      <c r="A62" s="117">
        <v>540049</v>
      </c>
      <c r="B62" s="2" t="s">
        <v>149</v>
      </c>
      <c r="C62" s="2" t="s">
        <v>29</v>
      </c>
      <c r="D62" s="2" t="s">
        <v>115</v>
      </c>
      <c r="E62" s="2" t="s">
        <v>2249</v>
      </c>
      <c r="F62" s="2" t="s">
        <v>2461</v>
      </c>
      <c r="G62" s="2" t="s">
        <v>2461</v>
      </c>
      <c r="H62" s="2" t="s">
        <v>2303</v>
      </c>
      <c r="I62" s="2" t="s">
        <v>2303</v>
      </c>
      <c r="J62" s="2" t="s">
        <v>2303</v>
      </c>
      <c r="K62" s="2" t="s">
        <v>2303</v>
      </c>
      <c r="L62" s="278">
        <v>0</v>
      </c>
      <c r="M62" s="2" t="s">
        <v>2305</v>
      </c>
      <c r="N62" s="278" t="s">
        <v>488</v>
      </c>
    </row>
    <row r="63" spans="1:14" x14ac:dyDescent="0.25">
      <c r="A63" s="269"/>
      <c r="B63" s="269"/>
      <c r="C63" s="269" t="s">
        <v>29</v>
      </c>
      <c r="D63" s="269"/>
      <c r="E63" s="269"/>
      <c r="F63" s="269" t="s">
        <v>2462</v>
      </c>
      <c r="G63" s="269" t="s">
        <v>2463</v>
      </c>
      <c r="H63" s="269" t="s">
        <v>2456</v>
      </c>
      <c r="I63" s="269" t="s">
        <v>2457</v>
      </c>
      <c r="J63" s="269" t="s">
        <v>2303</v>
      </c>
      <c r="K63" s="269" t="s">
        <v>2458</v>
      </c>
      <c r="L63" s="279">
        <v>9.8918083462100001E-2</v>
      </c>
      <c r="M63" s="269" t="s">
        <v>2305</v>
      </c>
      <c r="N63" s="279">
        <v>0.99615384615400004</v>
      </c>
    </row>
    <row r="64" spans="1:14" x14ac:dyDescent="0.25">
      <c r="A64" s="117">
        <v>540051</v>
      </c>
      <c r="B64" s="2" t="s">
        <v>30</v>
      </c>
      <c r="C64" s="2" t="s">
        <v>31</v>
      </c>
      <c r="D64" s="2" t="s">
        <v>5</v>
      </c>
      <c r="E64" s="2" t="s">
        <v>2272</v>
      </c>
      <c r="F64" s="2" t="s">
        <v>2464</v>
      </c>
      <c r="G64" s="2" t="s">
        <v>2465</v>
      </c>
      <c r="H64" s="2" t="s">
        <v>2466</v>
      </c>
      <c r="I64" s="2" t="s">
        <v>2467</v>
      </c>
      <c r="J64" s="2" t="s">
        <v>2303</v>
      </c>
      <c r="K64" s="2" t="s">
        <v>2468</v>
      </c>
      <c r="L64" s="278">
        <v>0.49957653105900002</v>
      </c>
      <c r="M64" s="2" t="s">
        <v>2305</v>
      </c>
      <c r="N64" s="278">
        <v>0.99610102420900004</v>
      </c>
    </row>
    <row r="65" spans="1:14" x14ac:dyDescent="0.25">
      <c r="A65" s="117">
        <v>540052</v>
      </c>
      <c r="B65" s="2" t="s">
        <v>151</v>
      </c>
      <c r="C65" s="2" t="s">
        <v>31</v>
      </c>
      <c r="D65" s="2" t="s">
        <v>115</v>
      </c>
      <c r="E65" s="2" t="s">
        <v>2272</v>
      </c>
      <c r="F65" s="2" t="s">
        <v>2469</v>
      </c>
      <c r="G65" s="2" t="s">
        <v>2470</v>
      </c>
      <c r="H65" s="2" t="s">
        <v>2471</v>
      </c>
      <c r="I65" s="2" t="s">
        <v>2471</v>
      </c>
      <c r="J65" s="2" t="s">
        <v>2303</v>
      </c>
      <c r="K65" s="2" t="s">
        <v>2471</v>
      </c>
      <c r="L65" s="278">
        <v>2.0618556701000001E-2</v>
      </c>
      <c r="M65" s="2" t="s">
        <v>2305</v>
      </c>
      <c r="N65" s="278">
        <v>1</v>
      </c>
    </row>
    <row r="66" spans="1:14" x14ac:dyDescent="0.25">
      <c r="A66" s="117">
        <v>540245</v>
      </c>
      <c r="B66" s="2" t="s">
        <v>292</v>
      </c>
      <c r="C66" s="2" t="s">
        <v>31</v>
      </c>
      <c r="D66" s="2" t="s">
        <v>115</v>
      </c>
      <c r="E66" s="2" t="s">
        <v>2272</v>
      </c>
      <c r="F66" s="2" t="s">
        <v>2472</v>
      </c>
      <c r="G66" s="2" t="s">
        <v>2303</v>
      </c>
      <c r="H66" s="2" t="s">
        <v>2473</v>
      </c>
      <c r="I66" s="2" t="s">
        <v>2473</v>
      </c>
      <c r="J66" s="2" t="s">
        <v>2303</v>
      </c>
      <c r="K66" s="2" t="s">
        <v>2473</v>
      </c>
      <c r="L66" s="278">
        <v>0.47826086956500002</v>
      </c>
      <c r="M66" s="2" t="s">
        <v>488</v>
      </c>
      <c r="N66" s="278">
        <v>1</v>
      </c>
    </row>
    <row r="67" spans="1:14" x14ac:dyDescent="0.25">
      <c r="A67" s="269"/>
      <c r="B67" s="269"/>
      <c r="C67" s="269" t="s">
        <v>31</v>
      </c>
      <c r="D67" s="269"/>
      <c r="E67" s="269"/>
      <c r="F67" s="269" t="s">
        <v>2474</v>
      </c>
      <c r="G67" s="269" t="s">
        <v>2475</v>
      </c>
      <c r="H67" s="269" t="s">
        <v>2476</v>
      </c>
      <c r="I67" s="269" t="s">
        <v>2477</v>
      </c>
      <c r="J67" s="269" t="s">
        <v>2303</v>
      </c>
      <c r="K67" s="269" t="s">
        <v>2478</v>
      </c>
      <c r="L67" s="279">
        <v>0.492877492877</v>
      </c>
      <c r="M67" s="269" t="s">
        <v>2305</v>
      </c>
      <c r="N67" s="279">
        <v>0.99610578320300003</v>
      </c>
    </row>
    <row r="68" spans="1:14" x14ac:dyDescent="0.25">
      <c r="A68" s="117">
        <v>540053</v>
      </c>
      <c r="B68" s="2" t="s">
        <v>32</v>
      </c>
      <c r="C68" s="2" t="s">
        <v>33</v>
      </c>
      <c r="D68" s="2" t="s">
        <v>5</v>
      </c>
      <c r="E68" s="2" t="s">
        <v>2271</v>
      </c>
      <c r="F68" s="2" t="s">
        <v>2479</v>
      </c>
      <c r="G68" s="2" t="s">
        <v>2480</v>
      </c>
      <c r="H68" s="2" t="s">
        <v>2481</v>
      </c>
      <c r="I68" s="2" t="s">
        <v>2482</v>
      </c>
      <c r="J68" s="2" t="s">
        <v>2303</v>
      </c>
      <c r="K68" s="2" t="s">
        <v>2483</v>
      </c>
      <c r="L68" s="278">
        <v>0.373077211676</v>
      </c>
      <c r="M68" s="2" t="s">
        <v>2305</v>
      </c>
      <c r="N68" s="278">
        <v>0.92644726407599998</v>
      </c>
    </row>
    <row r="69" spans="1:14" x14ac:dyDescent="0.25">
      <c r="A69" s="117">
        <v>540054</v>
      </c>
      <c r="B69" s="2" t="s">
        <v>152</v>
      </c>
      <c r="C69" s="2" t="s">
        <v>33</v>
      </c>
      <c r="D69" s="2" t="s">
        <v>115</v>
      </c>
      <c r="E69" s="2" t="s">
        <v>2271</v>
      </c>
      <c r="F69" s="2" t="s">
        <v>2300</v>
      </c>
      <c r="G69" s="2" t="s">
        <v>2401</v>
      </c>
      <c r="H69" s="2" t="s">
        <v>2412</v>
      </c>
      <c r="I69" s="2" t="s">
        <v>2412</v>
      </c>
      <c r="J69" s="2" t="s">
        <v>2303</v>
      </c>
      <c r="K69" s="2" t="s">
        <v>2484</v>
      </c>
      <c r="L69" s="278">
        <v>0.171428571429</v>
      </c>
      <c r="M69" s="2" t="s">
        <v>2305</v>
      </c>
      <c r="N69" s="278">
        <v>0.66666666666700003</v>
      </c>
    </row>
    <row r="70" spans="1:14" x14ac:dyDescent="0.25">
      <c r="A70" s="117">
        <v>540055</v>
      </c>
      <c r="B70" s="2" t="s">
        <v>153</v>
      </c>
      <c r="C70" s="2" t="s">
        <v>33</v>
      </c>
      <c r="D70" s="2" t="s">
        <v>115</v>
      </c>
      <c r="E70" s="2" t="s">
        <v>2271</v>
      </c>
      <c r="F70" s="2" t="s">
        <v>2485</v>
      </c>
      <c r="G70" s="2" t="s">
        <v>2486</v>
      </c>
      <c r="H70" s="2" t="s">
        <v>2487</v>
      </c>
      <c r="I70" s="2" t="s">
        <v>2341</v>
      </c>
      <c r="J70" s="2" t="s">
        <v>2303</v>
      </c>
      <c r="K70" s="2" t="s">
        <v>2488</v>
      </c>
      <c r="L70" s="278">
        <v>0.26470588235300002</v>
      </c>
      <c r="M70" s="2" t="s">
        <v>2305</v>
      </c>
      <c r="N70" s="278">
        <v>0.90090090090099995</v>
      </c>
    </row>
    <row r="71" spans="1:14" x14ac:dyDescent="0.25">
      <c r="A71" s="117">
        <v>540056</v>
      </c>
      <c r="B71" s="2" t="s">
        <v>154</v>
      </c>
      <c r="C71" s="2" t="s">
        <v>33</v>
      </c>
      <c r="D71" s="2" t="s">
        <v>115</v>
      </c>
      <c r="E71" s="2" t="s">
        <v>2271</v>
      </c>
      <c r="F71" s="2" t="s">
        <v>2314</v>
      </c>
      <c r="G71" s="2" t="s">
        <v>2489</v>
      </c>
      <c r="H71" s="2" t="s">
        <v>2490</v>
      </c>
      <c r="I71" s="2" t="s">
        <v>2490</v>
      </c>
      <c r="J71" s="2" t="s">
        <v>2303</v>
      </c>
      <c r="K71" s="2" t="s">
        <v>2490</v>
      </c>
      <c r="L71" s="278">
        <v>2.5862068965500001E-2</v>
      </c>
      <c r="M71" s="2" t="s">
        <v>2305</v>
      </c>
      <c r="N71" s="278">
        <v>1</v>
      </c>
    </row>
    <row r="72" spans="1:14" x14ac:dyDescent="0.25">
      <c r="A72" s="117">
        <v>540057</v>
      </c>
      <c r="B72" s="2" t="s">
        <v>155</v>
      </c>
      <c r="C72" s="2" t="s">
        <v>33</v>
      </c>
      <c r="D72" s="2" t="s">
        <v>115</v>
      </c>
      <c r="E72" s="2" t="s">
        <v>2271</v>
      </c>
      <c r="F72" s="2" t="s">
        <v>2491</v>
      </c>
      <c r="G72" s="2" t="s">
        <v>2487</v>
      </c>
      <c r="H72" s="2" t="s">
        <v>2492</v>
      </c>
      <c r="I72" s="2" t="s">
        <v>2493</v>
      </c>
      <c r="J72" s="2" t="s">
        <v>2303</v>
      </c>
      <c r="K72" s="2" t="s">
        <v>2494</v>
      </c>
      <c r="L72" s="278">
        <v>0.258064516129</v>
      </c>
      <c r="M72" s="2" t="s">
        <v>2305</v>
      </c>
      <c r="N72" s="278">
        <v>0.36585365853700003</v>
      </c>
    </row>
    <row r="73" spans="1:14" x14ac:dyDescent="0.25">
      <c r="A73" s="117">
        <v>540058</v>
      </c>
      <c r="B73" s="2" t="s">
        <v>156</v>
      </c>
      <c r="C73" s="2" t="s">
        <v>33</v>
      </c>
      <c r="D73" s="2" t="s">
        <v>115</v>
      </c>
      <c r="E73" s="2" t="s">
        <v>2271</v>
      </c>
      <c r="F73" s="2" t="s">
        <v>2351</v>
      </c>
      <c r="G73" s="2" t="s">
        <v>2495</v>
      </c>
      <c r="H73" s="2" t="s">
        <v>2432</v>
      </c>
      <c r="I73" s="2" t="s">
        <v>2432</v>
      </c>
      <c r="J73" s="2" t="s">
        <v>2303</v>
      </c>
      <c r="K73" s="2" t="s">
        <v>2432</v>
      </c>
      <c r="L73" s="278">
        <v>7.4626865671599998E-2</v>
      </c>
      <c r="M73" s="2" t="s">
        <v>2305</v>
      </c>
      <c r="N73" s="278">
        <v>1</v>
      </c>
    </row>
    <row r="74" spans="1:14" x14ac:dyDescent="0.25">
      <c r="A74" s="117">
        <v>540059</v>
      </c>
      <c r="B74" s="2" t="s">
        <v>157</v>
      </c>
      <c r="C74" s="2" t="s">
        <v>33</v>
      </c>
      <c r="D74" s="2" t="s">
        <v>115</v>
      </c>
      <c r="E74" s="2" t="s">
        <v>2271</v>
      </c>
      <c r="F74" s="2" t="s">
        <v>2496</v>
      </c>
      <c r="G74" s="2" t="s">
        <v>2496</v>
      </c>
      <c r="H74" s="2" t="s">
        <v>2303</v>
      </c>
      <c r="I74" s="2" t="s">
        <v>2303</v>
      </c>
      <c r="J74" s="2" t="s">
        <v>2303</v>
      </c>
      <c r="K74" s="2" t="s">
        <v>2303</v>
      </c>
      <c r="L74" s="278">
        <v>0</v>
      </c>
      <c r="M74" s="2" t="s">
        <v>2305</v>
      </c>
      <c r="N74" s="278" t="s">
        <v>488</v>
      </c>
    </row>
    <row r="75" spans="1:14" x14ac:dyDescent="0.25">
      <c r="A75" s="117">
        <v>540060</v>
      </c>
      <c r="B75" s="2" t="s">
        <v>158</v>
      </c>
      <c r="C75" s="2" t="s">
        <v>33</v>
      </c>
      <c r="D75" s="2" t="s">
        <v>115</v>
      </c>
      <c r="E75" s="2" t="s">
        <v>2271</v>
      </c>
      <c r="F75" s="2" t="s">
        <v>2431</v>
      </c>
      <c r="G75" s="2" t="s">
        <v>2497</v>
      </c>
      <c r="H75" s="2" t="s">
        <v>2498</v>
      </c>
      <c r="I75" s="2" t="s">
        <v>2498</v>
      </c>
      <c r="J75" s="2" t="s">
        <v>2303</v>
      </c>
      <c r="K75" s="2" t="s">
        <v>2432</v>
      </c>
      <c r="L75" s="278">
        <v>6.6176470588200004E-2</v>
      </c>
      <c r="M75" s="2" t="s">
        <v>2305</v>
      </c>
      <c r="N75" s="278">
        <v>0.555555555556</v>
      </c>
    </row>
    <row r="76" spans="1:14" x14ac:dyDescent="0.25">
      <c r="A76" s="117">
        <v>540061</v>
      </c>
      <c r="B76" s="2" t="s">
        <v>159</v>
      </c>
      <c r="C76" s="2" t="s">
        <v>33</v>
      </c>
      <c r="D76" s="2" t="s">
        <v>115</v>
      </c>
      <c r="E76" s="2" t="s">
        <v>2271</v>
      </c>
      <c r="F76" s="2" t="s">
        <v>2499</v>
      </c>
      <c r="G76" s="2" t="s">
        <v>2499</v>
      </c>
      <c r="H76" s="2" t="s">
        <v>2303</v>
      </c>
      <c r="I76" s="2" t="s">
        <v>2303</v>
      </c>
      <c r="J76" s="2" t="s">
        <v>2303</v>
      </c>
      <c r="K76" s="2" t="s">
        <v>2303</v>
      </c>
      <c r="L76" s="278">
        <v>0</v>
      </c>
      <c r="M76" s="2" t="s">
        <v>2305</v>
      </c>
      <c r="N76" s="278" t="s">
        <v>488</v>
      </c>
    </row>
    <row r="77" spans="1:14" x14ac:dyDescent="0.25">
      <c r="A77" s="117">
        <v>540062</v>
      </c>
      <c r="B77" s="2" t="s">
        <v>160</v>
      </c>
      <c r="C77" s="2" t="s">
        <v>33</v>
      </c>
      <c r="D77" s="2" t="s">
        <v>115</v>
      </c>
      <c r="E77" s="2" t="s">
        <v>2271</v>
      </c>
      <c r="F77" s="2" t="s">
        <v>2471</v>
      </c>
      <c r="G77" s="2" t="s">
        <v>2471</v>
      </c>
      <c r="H77" s="2" t="s">
        <v>2303</v>
      </c>
      <c r="I77" s="2" t="s">
        <v>2303</v>
      </c>
      <c r="J77" s="2" t="s">
        <v>2303</v>
      </c>
      <c r="K77" s="2" t="s">
        <v>2303</v>
      </c>
      <c r="L77" s="278">
        <v>0</v>
      </c>
      <c r="M77" s="2" t="s">
        <v>2305</v>
      </c>
      <c r="N77" s="278" t="s">
        <v>488</v>
      </c>
    </row>
    <row r="78" spans="1:14" x14ac:dyDescent="0.25">
      <c r="A78" s="117">
        <v>540242</v>
      </c>
      <c r="B78" s="2" t="s">
        <v>289</v>
      </c>
      <c r="C78" s="2" t="s">
        <v>33</v>
      </c>
      <c r="D78" s="2" t="s">
        <v>115</v>
      </c>
      <c r="E78" s="2" t="s">
        <v>2271</v>
      </c>
      <c r="F78" s="2" t="s">
        <v>2500</v>
      </c>
      <c r="G78" s="2" t="s">
        <v>2303</v>
      </c>
      <c r="H78" s="2" t="s">
        <v>2388</v>
      </c>
      <c r="I78" s="2" t="s">
        <v>2501</v>
      </c>
      <c r="J78" s="2" t="s">
        <v>2303</v>
      </c>
      <c r="K78" s="2" t="s">
        <v>2501</v>
      </c>
      <c r="L78" s="278">
        <v>0.65413533834600002</v>
      </c>
      <c r="M78" s="2" t="s">
        <v>488</v>
      </c>
      <c r="N78" s="278">
        <v>0.98863636363600005</v>
      </c>
    </row>
    <row r="79" spans="1:14" x14ac:dyDescent="0.25">
      <c r="A79" s="269"/>
      <c r="B79" s="269"/>
      <c r="C79" s="269" t="s">
        <v>33</v>
      </c>
      <c r="D79" s="269"/>
      <c r="E79" s="269"/>
      <c r="F79" s="269" t="s">
        <v>2502</v>
      </c>
      <c r="G79" s="269" t="s">
        <v>2503</v>
      </c>
      <c r="H79" s="269" t="s">
        <v>2504</v>
      </c>
      <c r="I79" s="269" t="s">
        <v>2505</v>
      </c>
      <c r="J79" s="269" t="s">
        <v>2303</v>
      </c>
      <c r="K79" s="269" t="s">
        <v>2506</v>
      </c>
      <c r="L79" s="279">
        <v>0.35353262703299998</v>
      </c>
      <c r="M79" s="269" t="s">
        <v>2305</v>
      </c>
      <c r="N79" s="279">
        <v>0.92193378480099997</v>
      </c>
    </row>
    <row r="80" spans="1:14" x14ac:dyDescent="0.25">
      <c r="A80" s="117">
        <v>540063</v>
      </c>
      <c r="B80" s="2" t="s">
        <v>34</v>
      </c>
      <c r="C80" s="2" t="s">
        <v>35</v>
      </c>
      <c r="D80" s="2" t="s">
        <v>5</v>
      </c>
      <c r="E80" s="2" t="s">
        <v>2254</v>
      </c>
      <c r="F80" s="2" t="s">
        <v>2507</v>
      </c>
      <c r="G80" s="2" t="s">
        <v>2508</v>
      </c>
      <c r="H80" s="2" t="s">
        <v>2373</v>
      </c>
      <c r="I80" s="2" t="s">
        <v>2373</v>
      </c>
      <c r="J80" s="2" t="s">
        <v>2303</v>
      </c>
      <c r="K80" s="2" t="s">
        <v>2373</v>
      </c>
      <c r="L80" s="278">
        <v>5.2328623757200003E-5</v>
      </c>
      <c r="M80" s="2" t="s">
        <v>2305</v>
      </c>
      <c r="N80" s="278">
        <v>1</v>
      </c>
    </row>
    <row r="81" spans="1:14" x14ac:dyDescent="0.25">
      <c r="A81" s="117">
        <v>540064</v>
      </c>
      <c r="B81" s="2" t="s">
        <v>161</v>
      </c>
      <c r="C81" s="2" t="s">
        <v>35</v>
      </c>
      <c r="D81" s="2" t="s">
        <v>115</v>
      </c>
      <c r="E81" s="2" t="s">
        <v>2254</v>
      </c>
      <c r="F81" s="2" t="s">
        <v>2509</v>
      </c>
      <c r="G81" s="2" t="s">
        <v>2510</v>
      </c>
      <c r="H81" s="2" t="s">
        <v>2303</v>
      </c>
      <c r="I81" s="2" t="s">
        <v>2303</v>
      </c>
      <c r="J81" s="2" t="s">
        <v>2303</v>
      </c>
      <c r="K81" s="2" t="s">
        <v>2303</v>
      </c>
      <c r="L81" s="278">
        <v>0</v>
      </c>
      <c r="M81" s="2" t="s">
        <v>2305</v>
      </c>
      <c r="N81" s="278" t="s">
        <v>488</v>
      </c>
    </row>
    <row r="82" spans="1:14" x14ac:dyDescent="0.25">
      <c r="A82" s="117">
        <v>540241</v>
      </c>
      <c r="B82" s="2" t="s">
        <v>288</v>
      </c>
      <c r="C82" s="2" t="s">
        <v>35</v>
      </c>
      <c r="D82" s="2" t="s">
        <v>115</v>
      </c>
      <c r="E82" s="2" t="s">
        <v>2254</v>
      </c>
      <c r="F82" s="2" t="s">
        <v>2511</v>
      </c>
      <c r="G82" s="2" t="s">
        <v>2511</v>
      </c>
      <c r="H82" s="2" t="s">
        <v>2303</v>
      </c>
      <c r="I82" s="2" t="s">
        <v>2303</v>
      </c>
      <c r="J82" s="2" t="s">
        <v>2303</v>
      </c>
      <c r="K82" s="2" t="s">
        <v>2303</v>
      </c>
      <c r="L82" s="278">
        <v>0</v>
      </c>
      <c r="M82" s="2" t="s">
        <v>2305</v>
      </c>
      <c r="N82" s="278" t="s">
        <v>488</v>
      </c>
    </row>
    <row r="83" spans="1:14" x14ac:dyDescent="0.25">
      <c r="A83" s="269"/>
      <c r="B83" s="269"/>
      <c r="C83" s="269" t="s">
        <v>35</v>
      </c>
      <c r="D83" s="269"/>
      <c r="E83" s="269"/>
      <c r="F83" s="269" t="s">
        <v>2512</v>
      </c>
      <c r="G83" s="269" t="s">
        <v>2513</v>
      </c>
      <c r="H83" s="269" t="s">
        <v>2373</v>
      </c>
      <c r="I83" s="269" t="s">
        <v>2373</v>
      </c>
      <c r="J83" s="269" t="s">
        <v>2303</v>
      </c>
      <c r="K83" s="269" t="s">
        <v>2373</v>
      </c>
      <c r="L83" s="279">
        <v>5.1041241323000003E-5</v>
      </c>
      <c r="M83" s="269" t="s">
        <v>2305</v>
      </c>
      <c r="N83" s="279">
        <v>1</v>
      </c>
    </row>
    <row r="84" spans="1:14" x14ac:dyDescent="0.25">
      <c r="A84" s="117">
        <v>540065</v>
      </c>
      <c r="B84" s="2" t="s">
        <v>36</v>
      </c>
      <c r="C84" s="2" t="s">
        <v>37</v>
      </c>
      <c r="D84" s="2" t="s">
        <v>5</v>
      </c>
      <c r="E84" s="2" t="s">
        <v>2246</v>
      </c>
      <c r="F84" s="2" t="s">
        <v>2514</v>
      </c>
      <c r="G84" s="2" t="s">
        <v>2515</v>
      </c>
      <c r="H84" s="2" t="s">
        <v>2516</v>
      </c>
      <c r="I84" s="2" t="s">
        <v>2517</v>
      </c>
      <c r="J84" s="2" t="s">
        <v>2518</v>
      </c>
      <c r="K84" s="2" t="s">
        <v>2519</v>
      </c>
      <c r="L84" s="278">
        <v>0.42260458396299999</v>
      </c>
      <c r="M84" s="2" t="s">
        <v>2520</v>
      </c>
      <c r="N84" s="278">
        <v>0.50215916101199998</v>
      </c>
    </row>
    <row r="85" spans="1:14" x14ac:dyDescent="0.25">
      <c r="A85" s="117">
        <v>540030</v>
      </c>
      <c r="B85" s="2" t="s">
        <v>135</v>
      </c>
      <c r="C85" s="2" t="s">
        <v>37</v>
      </c>
      <c r="D85" s="2" t="s">
        <v>115</v>
      </c>
      <c r="E85" s="2" t="s">
        <v>2246</v>
      </c>
      <c r="F85" s="2" t="s">
        <v>2521</v>
      </c>
      <c r="G85" s="2" t="s">
        <v>2303</v>
      </c>
      <c r="H85" s="2" t="s">
        <v>2387</v>
      </c>
      <c r="I85" s="2" t="s">
        <v>2387</v>
      </c>
      <c r="J85" s="2" t="s">
        <v>2303</v>
      </c>
      <c r="K85" s="2" t="s">
        <v>2387</v>
      </c>
      <c r="L85" s="278">
        <v>0.64285714285700002</v>
      </c>
      <c r="M85" s="2" t="s">
        <v>488</v>
      </c>
      <c r="N85" s="278">
        <v>1</v>
      </c>
    </row>
    <row r="86" spans="1:14" x14ac:dyDescent="0.25">
      <c r="A86" s="117">
        <v>540066</v>
      </c>
      <c r="B86" s="2" t="s">
        <v>162</v>
      </c>
      <c r="C86" s="2" t="s">
        <v>37</v>
      </c>
      <c r="D86" s="2" t="s">
        <v>115</v>
      </c>
      <c r="E86" s="2" t="s">
        <v>2246</v>
      </c>
      <c r="F86" s="2" t="s">
        <v>2522</v>
      </c>
      <c r="G86" s="2" t="s">
        <v>2340</v>
      </c>
      <c r="H86" s="2" t="s">
        <v>2523</v>
      </c>
      <c r="I86" s="2" t="s">
        <v>2524</v>
      </c>
      <c r="J86" s="2" t="s">
        <v>2351</v>
      </c>
      <c r="K86" s="2" t="s">
        <v>2525</v>
      </c>
      <c r="L86" s="278">
        <v>0.38957055214699998</v>
      </c>
      <c r="M86" s="2" t="s">
        <v>2526</v>
      </c>
      <c r="N86" s="278">
        <v>0.4296875</v>
      </c>
    </row>
    <row r="87" spans="1:14" x14ac:dyDescent="0.25">
      <c r="A87" s="117">
        <v>540067</v>
      </c>
      <c r="B87" s="2" t="s">
        <v>163</v>
      </c>
      <c r="C87" s="2" t="s">
        <v>37</v>
      </c>
      <c r="D87" s="2" t="s">
        <v>115</v>
      </c>
      <c r="E87" s="2" t="s">
        <v>2246</v>
      </c>
      <c r="F87" s="2" t="s">
        <v>2527</v>
      </c>
      <c r="G87" s="2" t="s">
        <v>2303</v>
      </c>
      <c r="H87" s="2" t="s">
        <v>2528</v>
      </c>
      <c r="I87" s="2" t="s">
        <v>2529</v>
      </c>
      <c r="J87" s="2" t="s">
        <v>2303</v>
      </c>
      <c r="K87" s="2" t="s">
        <v>2528</v>
      </c>
      <c r="L87" s="278">
        <v>0.48366013071899999</v>
      </c>
      <c r="M87" s="2" t="s">
        <v>488</v>
      </c>
      <c r="N87" s="278">
        <v>1</v>
      </c>
    </row>
    <row r="88" spans="1:14" x14ac:dyDescent="0.25">
      <c r="A88" s="117">
        <v>540068</v>
      </c>
      <c r="B88" s="2" t="s">
        <v>164</v>
      </c>
      <c r="C88" s="2" t="s">
        <v>37</v>
      </c>
      <c r="D88" s="2" t="s">
        <v>115</v>
      </c>
      <c r="E88" s="2" t="s">
        <v>2246</v>
      </c>
      <c r="F88" s="2" t="s">
        <v>2530</v>
      </c>
      <c r="G88" s="2" t="s">
        <v>2531</v>
      </c>
      <c r="H88" s="2" t="s">
        <v>2488</v>
      </c>
      <c r="I88" s="2" t="s">
        <v>2532</v>
      </c>
      <c r="J88" s="2" t="s">
        <v>2533</v>
      </c>
      <c r="K88" s="2" t="s">
        <v>2534</v>
      </c>
      <c r="L88" s="278">
        <v>0.35483870967699999</v>
      </c>
      <c r="M88" s="2" t="s">
        <v>2535</v>
      </c>
      <c r="N88" s="278">
        <v>0.38</v>
      </c>
    </row>
    <row r="89" spans="1:14" x14ac:dyDescent="0.25">
      <c r="A89" s="117">
        <v>540069</v>
      </c>
      <c r="B89" s="2" t="s">
        <v>165</v>
      </c>
      <c r="C89" s="2" t="s">
        <v>37</v>
      </c>
      <c r="D89" s="2" t="s">
        <v>115</v>
      </c>
      <c r="E89" s="2" t="s">
        <v>2246</v>
      </c>
      <c r="F89" s="2" t="s">
        <v>2493</v>
      </c>
      <c r="G89" s="2" t="s">
        <v>2386</v>
      </c>
      <c r="H89" s="2" t="s">
        <v>2386</v>
      </c>
      <c r="I89" s="2" t="s">
        <v>2386</v>
      </c>
      <c r="J89" s="2" t="s">
        <v>2385</v>
      </c>
      <c r="K89" s="2" t="s">
        <v>2373</v>
      </c>
      <c r="L89" s="278">
        <v>0.5</v>
      </c>
      <c r="M89" s="2" t="s">
        <v>2536</v>
      </c>
      <c r="N89" s="278">
        <v>0.05</v>
      </c>
    </row>
    <row r="90" spans="1:14" x14ac:dyDescent="0.25">
      <c r="A90" s="269"/>
      <c r="B90" s="269"/>
      <c r="C90" s="269" t="s">
        <v>37</v>
      </c>
      <c r="D90" s="269"/>
      <c r="E90" s="269"/>
      <c r="F90" s="269" t="s">
        <v>2537</v>
      </c>
      <c r="G90" s="269" t="s">
        <v>2538</v>
      </c>
      <c r="H90" s="269" t="s">
        <v>2539</v>
      </c>
      <c r="I90" s="269" t="s">
        <v>2540</v>
      </c>
      <c r="J90" s="269" t="s">
        <v>2541</v>
      </c>
      <c r="K90" s="269" t="s">
        <v>2542</v>
      </c>
      <c r="L90" s="279">
        <v>0.42249784030600002</v>
      </c>
      <c r="M90" s="269" t="s">
        <v>2543</v>
      </c>
      <c r="N90" s="279">
        <v>0.50964187327800003</v>
      </c>
    </row>
    <row r="91" spans="1:14" x14ac:dyDescent="0.25">
      <c r="A91" s="117">
        <v>540070</v>
      </c>
      <c r="B91" s="2" t="s">
        <v>38</v>
      </c>
      <c r="C91" s="2" t="s">
        <v>39</v>
      </c>
      <c r="D91" s="2" t="s">
        <v>5</v>
      </c>
      <c r="E91" s="2" t="s">
        <v>2248</v>
      </c>
      <c r="F91" s="2" t="s">
        <v>2544</v>
      </c>
      <c r="G91" s="2" t="s">
        <v>2545</v>
      </c>
      <c r="H91" s="2" t="s">
        <v>2546</v>
      </c>
      <c r="I91" s="2" t="s">
        <v>2547</v>
      </c>
      <c r="J91" s="2" t="s">
        <v>2373</v>
      </c>
      <c r="K91" s="2" t="s">
        <v>2548</v>
      </c>
      <c r="L91" s="278">
        <v>0.21402053580399999</v>
      </c>
      <c r="M91" s="2" t="s">
        <v>2549</v>
      </c>
      <c r="N91" s="278">
        <v>0.99485555995300001</v>
      </c>
    </row>
    <row r="92" spans="1:14" x14ac:dyDescent="0.25">
      <c r="A92" s="117">
        <v>540029</v>
      </c>
      <c r="B92" s="2" t="s">
        <v>134</v>
      </c>
      <c r="C92" s="2" t="s">
        <v>39</v>
      </c>
      <c r="D92" s="2" t="s">
        <v>115</v>
      </c>
      <c r="E92" s="2" t="s">
        <v>2248</v>
      </c>
      <c r="F92" s="2" t="s">
        <v>2460</v>
      </c>
      <c r="G92" s="2" t="s">
        <v>2550</v>
      </c>
      <c r="H92" s="2" t="s">
        <v>2494</v>
      </c>
      <c r="I92" s="2" t="s">
        <v>2551</v>
      </c>
      <c r="J92" s="2" t="s">
        <v>2303</v>
      </c>
      <c r="K92" s="2" t="s">
        <v>2473</v>
      </c>
      <c r="L92" s="278">
        <v>0.33333333333300003</v>
      </c>
      <c r="M92" s="2" t="s">
        <v>2305</v>
      </c>
      <c r="N92" s="278">
        <v>0.73333333333299999</v>
      </c>
    </row>
    <row r="93" spans="1:14" x14ac:dyDescent="0.25">
      <c r="A93" s="117">
        <v>540071</v>
      </c>
      <c r="B93" s="2" t="s">
        <v>166</v>
      </c>
      <c r="C93" s="2" t="s">
        <v>39</v>
      </c>
      <c r="D93" s="2" t="s">
        <v>115</v>
      </c>
      <c r="E93" s="2" t="s">
        <v>2248</v>
      </c>
      <c r="F93" s="2" t="s">
        <v>2440</v>
      </c>
      <c r="G93" s="2" t="s">
        <v>2552</v>
      </c>
      <c r="H93" s="2" t="s">
        <v>2354</v>
      </c>
      <c r="I93" s="2" t="s">
        <v>2354</v>
      </c>
      <c r="J93" s="2" t="s">
        <v>2303</v>
      </c>
      <c r="K93" s="2" t="s">
        <v>2354</v>
      </c>
      <c r="L93" s="278">
        <v>2.5000000000000001E-2</v>
      </c>
      <c r="M93" s="2" t="s">
        <v>2305</v>
      </c>
      <c r="N93" s="278">
        <v>1</v>
      </c>
    </row>
    <row r="94" spans="1:14" x14ac:dyDescent="0.25">
      <c r="A94" s="117">
        <v>540072</v>
      </c>
      <c r="B94" s="2" t="s">
        <v>167</v>
      </c>
      <c r="C94" s="2" t="s">
        <v>39</v>
      </c>
      <c r="D94" s="2" t="s">
        <v>115</v>
      </c>
      <c r="E94" s="2" t="s">
        <v>2248</v>
      </c>
      <c r="F94" s="2" t="s">
        <v>2553</v>
      </c>
      <c r="G94" s="2" t="s">
        <v>2357</v>
      </c>
      <c r="H94" s="2" t="s">
        <v>2303</v>
      </c>
      <c r="I94" s="2" t="s">
        <v>2303</v>
      </c>
      <c r="J94" s="2" t="s">
        <v>2303</v>
      </c>
      <c r="K94" s="2" t="s">
        <v>2303</v>
      </c>
      <c r="L94" s="278">
        <v>0</v>
      </c>
      <c r="M94" s="2" t="s">
        <v>2305</v>
      </c>
      <c r="N94" s="278" t="s">
        <v>488</v>
      </c>
    </row>
    <row r="95" spans="1:14" x14ac:dyDescent="0.25">
      <c r="A95" s="117">
        <v>540073</v>
      </c>
      <c r="B95" s="2" t="s">
        <v>168</v>
      </c>
      <c r="C95" s="2" t="s">
        <v>39</v>
      </c>
      <c r="D95" s="2" t="s">
        <v>115</v>
      </c>
      <c r="E95" s="2" t="s">
        <v>2248</v>
      </c>
      <c r="F95" s="2" t="s">
        <v>2554</v>
      </c>
      <c r="G95" s="2" t="s">
        <v>2555</v>
      </c>
      <c r="H95" s="2" t="s">
        <v>2471</v>
      </c>
      <c r="I95" s="2" t="s">
        <v>2498</v>
      </c>
      <c r="J95" s="2" t="s">
        <v>2303</v>
      </c>
      <c r="K95" s="2" t="s">
        <v>2471</v>
      </c>
      <c r="L95" s="278">
        <v>5.51132884262E-3</v>
      </c>
      <c r="M95" s="2" t="s">
        <v>2305</v>
      </c>
      <c r="N95" s="278">
        <v>1</v>
      </c>
    </row>
    <row r="96" spans="1:14" x14ac:dyDescent="0.25">
      <c r="A96" s="117">
        <v>540074</v>
      </c>
      <c r="B96" s="2" t="s">
        <v>169</v>
      </c>
      <c r="C96" s="2" t="s">
        <v>39</v>
      </c>
      <c r="D96" s="2" t="s">
        <v>115</v>
      </c>
      <c r="E96" s="2" t="s">
        <v>2248</v>
      </c>
      <c r="F96" s="2" t="s">
        <v>2556</v>
      </c>
      <c r="G96" s="2" t="s">
        <v>2556</v>
      </c>
      <c r="H96" s="2" t="s">
        <v>2303</v>
      </c>
      <c r="I96" s="2" t="s">
        <v>2303</v>
      </c>
      <c r="J96" s="2" t="s">
        <v>2303</v>
      </c>
      <c r="K96" s="2" t="s">
        <v>2303</v>
      </c>
      <c r="L96" s="278">
        <v>0</v>
      </c>
      <c r="M96" s="2" t="s">
        <v>2305</v>
      </c>
      <c r="N96" s="278" t="s">
        <v>488</v>
      </c>
    </row>
    <row r="97" spans="1:14" x14ac:dyDescent="0.25">
      <c r="A97" s="117">
        <v>540075</v>
      </c>
      <c r="B97" s="2" t="s">
        <v>170</v>
      </c>
      <c r="C97" s="2" t="s">
        <v>39</v>
      </c>
      <c r="D97" s="2" t="s">
        <v>115</v>
      </c>
      <c r="E97" s="2" t="s">
        <v>2248</v>
      </c>
      <c r="F97" s="2" t="s">
        <v>2557</v>
      </c>
      <c r="G97" s="2" t="s">
        <v>2558</v>
      </c>
      <c r="H97" s="2" t="s">
        <v>2303</v>
      </c>
      <c r="I97" s="2" t="s">
        <v>2413</v>
      </c>
      <c r="J97" s="2" t="s">
        <v>2303</v>
      </c>
      <c r="K97" s="2" t="s">
        <v>2303</v>
      </c>
      <c r="L97" s="278">
        <v>0.46798029556699999</v>
      </c>
      <c r="M97" s="2" t="s">
        <v>2305</v>
      </c>
      <c r="N97" s="278" t="s">
        <v>488</v>
      </c>
    </row>
    <row r="98" spans="1:14" x14ac:dyDescent="0.25">
      <c r="A98" s="117">
        <v>540076</v>
      </c>
      <c r="B98" s="2" t="s">
        <v>171</v>
      </c>
      <c r="C98" s="2" t="s">
        <v>39</v>
      </c>
      <c r="D98" s="2" t="s">
        <v>115</v>
      </c>
      <c r="E98" s="2" t="s">
        <v>2248</v>
      </c>
      <c r="F98" s="2" t="s">
        <v>2559</v>
      </c>
      <c r="G98" s="2" t="s">
        <v>2560</v>
      </c>
      <c r="H98" s="2" t="s">
        <v>2303</v>
      </c>
      <c r="I98" s="2" t="s">
        <v>2303</v>
      </c>
      <c r="J98" s="2" t="s">
        <v>2303</v>
      </c>
      <c r="K98" s="2" t="s">
        <v>2303</v>
      </c>
      <c r="L98" s="278">
        <v>0</v>
      </c>
      <c r="M98" s="2" t="s">
        <v>2305</v>
      </c>
      <c r="N98" s="278" t="s">
        <v>488</v>
      </c>
    </row>
    <row r="99" spans="1:14" x14ac:dyDescent="0.25">
      <c r="A99" s="117">
        <v>540077</v>
      </c>
      <c r="B99" s="2" t="s">
        <v>172</v>
      </c>
      <c r="C99" s="2" t="s">
        <v>39</v>
      </c>
      <c r="D99" s="2" t="s">
        <v>115</v>
      </c>
      <c r="E99" s="2" t="s">
        <v>2248</v>
      </c>
      <c r="F99" s="2" t="s">
        <v>2561</v>
      </c>
      <c r="G99" s="2" t="s">
        <v>2561</v>
      </c>
      <c r="H99" s="2" t="s">
        <v>2303</v>
      </c>
      <c r="I99" s="2" t="s">
        <v>2303</v>
      </c>
      <c r="J99" s="2" t="s">
        <v>2303</v>
      </c>
      <c r="K99" s="2" t="s">
        <v>2303</v>
      </c>
      <c r="L99" s="278">
        <v>0</v>
      </c>
      <c r="M99" s="2" t="s">
        <v>2305</v>
      </c>
      <c r="N99" s="278" t="s">
        <v>488</v>
      </c>
    </row>
    <row r="100" spans="1:14" x14ac:dyDescent="0.25">
      <c r="A100" s="117">
        <v>540078</v>
      </c>
      <c r="B100" s="2" t="s">
        <v>173</v>
      </c>
      <c r="C100" s="2" t="s">
        <v>39</v>
      </c>
      <c r="D100" s="2" t="s">
        <v>115</v>
      </c>
      <c r="E100" s="2" t="s">
        <v>2248</v>
      </c>
      <c r="F100" s="2" t="s">
        <v>2562</v>
      </c>
      <c r="G100" s="2" t="s">
        <v>2562</v>
      </c>
      <c r="H100" s="2" t="s">
        <v>2303</v>
      </c>
      <c r="I100" s="2" t="s">
        <v>2303</v>
      </c>
      <c r="J100" s="2" t="s">
        <v>2303</v>
      </c>
      <c r="K100" s="2" t="s">
        <v>2303</v>
      </c>
      <c r="L100" s="278">
        <v>0</v>
      </c>
      <c r="M100" s="2" t="s">
        <v>2305</v>
      </c>
      <c r="N100" s="278" t="s">
        <v>488</v>
      </c>
    </row>
    <row r="101" spans="1:14" x14ac:dyDescent="0.25">
      <c r="A101" s="117">
        <v>540079</v>
      </c>
      <c r="B101" s="2" t="s">
        <v>174</v>
      </c>
      <c r="C101" s="2" t="s">
        <v>39</v>
      </c>
      <c r="D101" s="2" t="s">
        <v>115</v>
      </c>
      <c r="E101" s="2" t="s">
        <v>2248</v>
      </c>
      <c r="F101" s="2" t="s">
        <v>2497</v>
      </c>
      <c r="G101" s="2" t="s">
        <v>2497</v>
      </c>
      <c r="H101" s="2" t="s">
        <v>2303</v>
      </c>
      <c r="I101" s="2" t="s">
        <v>2303</v>
      </c>
      <c r="J101" s="2" t="s">
        <v>2303</v>
      </c>
      <c r="K101" s="2" t="s">
        <v>2303</v>
      </c>
      <c r="L101" s="278">
        <v>0</v>
      </c>
      <c r="M101" s="2" t="s">
        <v>2305</v>
      </c>
      <c r="N101" s="278" t="s">
        <v>488</v>
      </c>
    </row>
    <row r="102" spans="1:14" x14ac:dyDescent="0.25">
      <c r="A102" s="117">
        <v>540081</v>
      </c>
      <c r="B102" s="2" t="s">
        <v>176</v>
      </c>
      <c r="C102" s="2" t="s">
        <v>39</v>
      </c>
      <c r="D102" s="2" t="s">
        <v>115</v>
      </c>
      <c r="E102" s="2" t="s">
        <v>2248</v>
      </c>
      <c r="F102" s="2" t="s">
        <v>2563</v>
      </c>
      <c r="G102" s="2" t="s">
        <v>2564</v>
      </c>
      <c r="H102" s="2" t="s">
        <v>2373</v>
      </c>
      <c r="I102" s="2" t="s">
        <v>2373</v>
      </c>
      <c r="J102" s="2" t="s">
        <v>2303</v>
      </c>
      <c r="K102" s="2" t="s">
        <v>2373</v>
      </c>
      <c r="L102" s="278">
        <v>1.9569471624300001E-3</v>
      </c>
      <c r="M102" s="2" t="s">
        <v>2305</v>
      </c>
      <c r="N102" s="278">
        <v>1</v>
      </c>
    </row>
    <row r="103" spans="1:14" x14ac:dyDescent="0.25">
      <c r="A103" s="117">
        <v>540082</v>
      </c>
      <c r="B103" s="2" t="s">
        <v>177</v>
      </c>
      <c r="C103" s="2" t="s">
        <v>39</v>
      </c>
      <c r="D103" s="2" t="s">
        <v>115</v>
      </c>
      <c r="E103" s="2" t="s">
        <v>2248</v>
      </c>
      <c r="F103" s="2" t="s">
        <v>2565</v>
      </c>
      <c r="G103" s="2" t="s">
        <v>2565</v>
      </c>
      <c r="H103" s="2" t="s">
        <v>2303</v>
      </c>
      <c r="I103" s="2" t="s">
        <v>2303</v>
      </c>
      <c r="J103" s="2" t="s">
        <v>2303</v>
      </c>
      <c r="K103" s="2" t="s">
        <v>2303</v>
      </c>
      <c r="L103" s="278">
        <v>0</v>
      </c>
      <c r="M103" s="2" t="s">
        <v>2305</v>
      </c>
      <c r="N103" s="278" t="s">
        <v>488</v>
      </c>
    </row>
    <row r="104" spans="1:14" x14ac:dyDescent="0.25">
      <c r="A104" s="117">
        <v>540083</v>
      </c>
      <c r="B104" s="2" t="s">
        <v>178</v>
      </c>
      <c r="C104" s="2" t="s">
        <v>39</v>
      </c>
      <c r="D104" s="2" t="s">
        <v>115</v>
      </c>
      <c r="E104" s="2" t="s">
        <v>2248</v>
      </c>
      <c r="F104" s="2" t="s">
        <v>2311</v>
      </c>
      <c r="G104" s="2" t="s">
        <v>2566</v>
      </c>
      <c r="H104" s="2" t="s">
        <v>2303</v>
      </c>
      <c r="I104" s="2" t="s">
        <v>2303</v>
      </c>
      <c r="J104" s="2" t="s">
        <v>2303</v>
      </c>
      <c r="K104" s="2" t="s">
        <v>2303</v>
      </c>
      <c r="L104" s="278">
        <v>0</v>
      </c>
      <c r="M104" s="2" t="s">
        <v>2305</v>
      </c>
      <c r="N104" s="278" t="s">
        <v>488</v>
      </c>
    </row>
    <row r="105" spans="1:14" x14ac:dyDescent="0.25">
      <c r="A105" s="117">
        <v>540223</v>
      </c>
      <c r="B105" s="2" t="s">
        <v>277</v>
      </c>
      <c r="C105" s="2" t="s">
        <v>39</v>
      </c>
      <c r="D105" s="2" t="s">
        <v>115</v>
      </c>
      <c r="E105" s="2" t="s">
        <v>2248</v>
      </c>
      <c r="F105" s="2" t="s">
        <v>2567</v>
      </c>
      <c r="G105" s="2" t="s">
        <v>2568</v>
      </c>
      <c r="H105" s="2" t="s">
        <v>2493</v>
      </c>
      <c r="I105" s="2" t="s">
        <v>2569</v>
      </c>
      <c r="J105" s="2" t="s">
        <v>2303</v>
      </c>
      <c r="K105" s="2" t="s">
        <v>2493</v>
      </c>
      <c r="L105" s="278">
        <v>4.7158403869399998E-2</v>
      </c>
      <c r="M105" s="2" t="s">
        <v>2305</v>
      </c>
      <c r="N105" s="278">
        <v>1</v>
      </c>
    </row>
    <row r="106" spans="1:14" x14ac:dyDescent="0.25">
      <c r="A106" s="117">
        <v>540279</v>
      </c>
      <c r="B106" s="2" t="s">
        <v>320</v>
      </c>
      <c r="C106" s="2" t="s">
        <v>39</v>
      </c>
      <c r="D106" s="2" t="s">
        <v>115</v>
      </c>
      <c r="E106" s="2" t="s">
        <v>2248</v>
      </c>
      <c r="F106" s="2" t="s">
        <v>2570</v>
      </c>
      <c r="G106" s="2" t="s">
        <v>2570</v>
      </c>
      <c r="H106" s="2" t="s">
        <v>2303</v>
      </c>
      <c r="I106" s="2" t="s">
        <v>2303</v>
      </c>
      <c r="J106" s="2" t="s">
        <v>2303</v>
      </c>
      <c r="K106" s="2" t="s">
        <v>2303</v>
      </c>
      <c r="L106" s="278">
        <v>0</v>
      </c>
      <c r="M106" s="2" t="s">
        <v>2305</v>
      </c>
      <c r="N106" s="278" t="s">
        <v>488</v>
      </c>
    </row>
    <row r="107" spans="1:14" x14ac:dyDescent="0.25">
      <c r="A107" s="117">
        <v>540033</v>
      </c>
      <c r="B107" s="2" t="s">
        <v>138</v>
      </c>
      <c r="C107" s="2" t="s">
        <v>39</v>
      </c>
      <c r="D107" s="2" t="s">
        <v>115</v>
      </c>
      <c r="E107" s="2" t="s">
        <v>2248</v>
      </c>
      <c r="F107" s="2" t="s">
        <v>2354</v>
      </c>
      <c r="G107" s="2" t="s">
        <v>2354</v>
      </c>
      <c r="H107" s="2" t="s">
        <v>2373</v>
      </c>
      <c r="I107" s="2" t="s">
        <v>2373</v>
      </c>
      <c r="J107" s="2" t="s">
        <v>2373</v>
      </c>
      <c r="K107" s="2" t="s">
        <v>2303</v>
      </c>
      <c r="L107" s="278">
        <v>0.5</v>
      </c>
      <c r="M107" s="2" t="s">
        <v>2571</v>
      </c>
      <c r="N107" s="278">
        <v>0</v>
      </c>
    </row>
    <row r="108" spans="1:14" x14ac:dyDescent="0.25">
      <c r="A108" s="269"/>
      <c r="B108" s="269"/>
      <c r="C108" s="269" t="s">
        <v>39</v>
      </c>
      <c r="D108" s="269"/>
      <c r="E108" s="269"/>
      <c r="F108" s="269" t="s">
        <v>2572</v>
      </c>
      <c r="G108" s="269" t="s">
        <v>2573</v>
      </c>
      <c r="H108" s="269" t="s">
        <v>2574</v>
      </c>
      <c r="I108" s="269" t="s">
        <v>2575</v>
      </c>
      <c r="J108" s="269" t="s">
        <v>2354</v>
      </c>
      <c r="K108" s="269" t="s">
        <v>2576</v>
      </c>
      <c r="L108" s="279">
        <v>0.19320656118400001</v>
      </c>
      <c r="M108" s="269" t="s">
        <v>2577</v>
      </c>
      <c r="N108" s="279">
        <v>0.99394885809099998</v>
      </c>
    </row>
    <row r="109" spans="1:14" x14ac:dyDescent="0.25">
      <c r="A109" s="117">
        <v>540085</v>
      </c>
      <c r="B109" s="2" t="s">
        <v>40</v>
      </c>
      <c r="C109" s="2" t="s">
        <v>41</v>
      </c>
      <c r="D109" s="2" t="s">
        <v>5</v>
      </c>
      <c r="E109" s="2" t="s">
        <v>2250</v>
      </c>
      <c r="F109" s="2" t="s">
        <v>2578</v>
      </c>
      <c r="G109" s="2" t="s">
        <v>2579</v>
      </c>
      <c r="H109" s="2" t="s">
        <v>2406</v>
      </c>
      <c r="I109" s="2" t="s">
        <v>2556</v>
      </c>
      <c r="J109" s="2" t="s">
        <v>2303</v>
      </c>
      <c r="K109" s="2" t="s">
        <v>2414</v>
      </c>
      <c r="L109" s="278">
        <v>1.6149935200899999E-2</v>
      </c>
      <c r="M109" s="2" t="s">
        <v>2305</v>
      </c>
      <c r="N109" s="278">
        <v>0.97575757575800004</v>
      </c>
    </row>
    <row r="110" spans="1:14" x14ac:dyDescent="0.25">
      <c r="A110" s="117">
        <v>540086</v>
      </c>
      <c r="B110" s="2" t="s">
        <v>179</v>
      </c>
      <c r="C110" s="2" t="s">
        <v>41</v>
      </c>
      <c r="D110" s="2" t="s">
        <v>115</v>
      </c>
      <c r="E110" s="2" t="s">
        <v>2250</v>
      </c>
      <c r="F110" s="2" t="s">
        <v>2553</v>
      </c>
      <c r="G110" s="2" t="s">
        <v>2303</v>
      </c>
      <c r="H110" s="2" t="s">
        <v>2303</v>
      </c>
      <c r="I110" s="2" t="s">
        <v>2303</v>
      </c>
      <c r="J110" s="2" t="s">
        <v>2303</v>
      </c>
      <c r="K110" s="2" t="s">
        <v>2303</v>
      </c>
      <c r="L110" s="278">
        <v>0</v>
      </c>
      <c r="M110" s="2" t="s">
        <v>488</v>
      </c>
      <c r="N110" s="278" t="s">
        <v>488</v>
      </c>
    </row>
    <row r="111" spans="1:14" x14ac:dyDescent="0.25">
      <c r="A111" s="117">
        <v>540087</v>
      </c>
      <c r="B111" s="2" t="s">
        <v>180</v>
      </c>
      <c r="C111" s="2" t="s">
        <v>41</v>
      </c>
      <c r="D111" s="2" t="s">
        <v>115</v>
      </c>
      <c r="E111" s="2" t="s">
        <v>2250</v>
      </c>
      <c r="F111" s="2" t="s">
        <v>2426</v>
      </c>
      <c r="G111" s="2" t="s">
        <v>2580</v>
      </c>
      <c r="H111" s="2" t="s">
        <v>2303</v>
      </c>
      <c r="I111" s="2" t="s">
        <v>2303</v>
      </c>
      <c r="J111" s="2" t="s">
        <v>2303</v>
      </c>
      <c r="K111" s="2" t="s">
        <v>2303</v>
      </c>
      <c r="L111" s="278">
        <v>0</v>
      </c>
      <c r="M111" s="2" t="s">
        <v>2305</v>
      </c>
      <c r="N111" s="278" t="s">
        <v>488</v>
      </c>
    </row>
    <row r="112" spans="1:14" x14ac:dyDescent="0.25">
      <c r="A112" s="269"/>
      <c r="B112" s="269"/>
      <c r="C112" s="269" t="s">
        <v>41</v>
      </c>
      <c r="D112" s="269"/>
      <c r="E112" s="269"/>
      <c r="F112" s="269" t="s">
        <v>2581</v>
      </c>
      <c r="G112" s="269" t="s">
        <v>2582</v>
      </c>
      <c r="H112" s="269" t="s">
        <v>2406</v>
      </c>
      <c r="I112" s="269" t="s">
        <v>2556</v>
      </c>
      <c r="J112" s="269" t="s">
        <v>2303</v>
      </c>
      <c r="K112" s="269" t="s">
        <v>2414</v>
      </c>
      <c r="L112" s="279">
        <v>1.5712900097E-2</v>
      </c>
      <c r="M112" s="269" t="s">
        <v>2305</v>
      </c>
      <c r="N112" s="279">
        <v>0.97575757575800004</v>
      </c>
    </row>
    <row r="113" spans="1:14" x14ac:dyDescent="0.25">
      <c r="A113" s="117">
        <v>540088</v>
      </c>
      <c r="B113" s="2" t="s">
        <v>42</v>
      </c>
      <c r="C113" s="2" t="s">
        <v>43</v>
      </c>
      <c r="D113" s="2" t="s">
        <v>5</v>
      </c>
      <c r="E113" s="2" t="s">
        <v>2251</v>
      </c>
      <c r="F113" s="2" t="s">
        <v>2583</v>
      </c>
      <c r="G113" s="2" t="s">
        <v>2584</v>
      </c>
      <c r="H113" s="2" t="s">
        <v>2385</v>
      </c>
      <c r="I113" s="2" t="s">
        <v>2385</v>
      </c>
      <c r="J113" s="2" t="s">
        <v>2303</v>
      </c>
      <c r="K113" s="2" t="s">
        <v>2385</v>
      </c>
      <c r="L113" s="278">
        <v>1.66681287832E-3</v>
      </c>
      <c r="M113" s="2" t="s">
        <v>2305</v>
      </c>
      <c r="N113" s="278">
        <v>1</v>
      </c>
    </row>
    <row r="114" spans="1:14" x14ac:dyDescent="0.25">
      <c r="A114" s="117">
        <v>540089</v>
      </c>
      <c r="B114" s="2" t="s">
        <v>181</v>
      </c>
      <c r="C114" s="2" t="s">
        <v>43</v>
      </c>
      <c r="D114" s="2" t="s">
        <v>115</v>
      </c>
      <c r="E114" s="2" t="s">
        <v>2251</v>
      </c>
      <c r="F114" s="2" t="s">
        <v>2501</v>
      </c>
      <c r="G114" s="2" t="s">
        <v>2585</v>
      </c>
      <c r="H114" s="2" t="s">
        <v>2303</v>
      </c>
      <c r="I114" s="2" t="s">
        <v>2303</v>
      </c>
      <c r="J114" s="2" t="s">
        <v>2303</v>
      </c>
      <c r="K114" s="2" t="s">
        <v>2303</v>
      </c>
      <c r="L114" s="278">
        <v>0</v>
      </c>
      <c r="M114" s="2" t="s">
        <v>2305</v>
      </c>
      <c r="N114" s="278" t="s">
        <v>488</v>
      </c>
    </row>
    <row r="115" spans="1:14" x14ac:dyDescent="0.25">
      <c r="A115" s="117">
        <v>540090</v>
      </c>
      <c r="B115" s="2" t="s">
        <v>182</v>
      </c>
      <c r="C115" s="2" t="s">
        <v>43</v>
      </c>
      <c r="D115" s="2" t="s">
        <v>115</v>
      </c>
      <c r="E115" s="2" t="s">
        <v>2251</v>
      </c>
      <c r="F115" s="2" t="s">
        <v>2586</v>
      </c>
      <c r="G115" s="2" t="s">
        <v>2358</v>
      </c>
      <c r="H115" s="2" t="s">
        <v>2303</v>
      </c>
      <c r="I115" s="2" t="s">
        <v>2303</v>
      </c>
      <c r="J115" s="2" t="s">
        <v>2303</v>
      </c>
      <c r="K115" s="2" t="s">
        <v>2303</v>
      </c>
      <c r="L115" s="278">
        <v>0</v>
      </c>
      <c r="M115" s="2" t="s">
        <v>2305</v>
      </c>
      <c r="N115" s="278" t="s">
        <v>488</v>
      </c>
    </row>
    <row r="116" spans="1:14" x14ac:dyDescent="0.25">
      <c r="A116" s="269"/>
      <c r="B116" s="269"/>
      <c r="C116" s="269" t="s">
        <v>43</v>
      </c>
      <c r="D116" s="269"/>
      <c r="E116" s="269"/>
      <c r="F116" s="269" t="s">
        <v>2587</v>
      </c>
      <c r="G116" s="269" t="s">
        <v>2588</v>
      </c>
      <c r="H116" s="269" t="s">
        <v>2385</v>
      </c>
      <c r="I116" s="269" t="s">
        <v>2385</v>
      </c>
      <c r="J116" s="269" t="s">
        <v>2303</v>
      </c>
      <c r="K116" s="269" t="s">
        <v>2385</v>
      </c>
      <c r="L116" s="279">
        <v>1.64288802421E-3</v>
      </c>
      <c r="M116" s="269" t="s">
        <v>2305</v>
      </c>
      <c r="N116" s="279">
        <v>1</v>
      </c>
    </row>
    <row r="117" spans="1:14" x14ac:dyDescent="0.25">
      <c r="A117" s="117">
        <v>540097</v>
      </c>
      <c r="B117" s="2" t="s">
        <v>44</v>
      </c>
      <c r="C117" s="2" t="s">
        <v>45</v>
      </c>
      <c r="D117" s="2" t="s">
        <v>5</v>
      </c>
      <c r="E117" s="2" t="s">
        <v>2271</v>
      </c>
      <c r="F117" s="2" t="s">
        <v>2589</v>
      </c>
      <c r="G117" s="2" t="s">
        <v>2590</v>
      </c>
      <c r="H117" s="2" t="s">
        <v>2591</v>
      </c>
      <c r="I117" s="2" t="s">
        <v>2592</v>
      </c>
      <c r="J117" s="2" t="s">
        <v>2593</v>
      </c>
      <c r="K117" s="2" t="s">
        <v>2594</v>
      </c>
      <c r="L117" s="278">
        <v>0.58920879619099997</v>
      </c>
      <c r="M117" s="2" t="s">
        <v>2595</v>
      </c>
      <c r="N117" s="278">
        <v>0.95803066989499996</v>
      </c>
    </row>
    <row r="118" spans="1:14" x14ac:dyDescent="0.25">
      <c r="A118" s="117">
        <v>540098</v>
      </c>
      <c r="B118" s="2" t="s">
        <v>187</v>
      </c>
      <c r="C118" s="2" t="s">
        <v>45</v>
      </c>
      <c r="D118" s="2" t="s">
        <v>115</v>
      </c>
      <c r="E118" s="2" t="s">
        <v>2271</v>
      </c>
      <c r="F118" s="2" t="s">
        <v>2350</v>
      </c>
      <c r="G118" s="2" t="s">
        <v>2460</v>
      </c>
      <c r="H118" s="2" t="s">
        <v>2430</v>
      </c>
      <c r="I118" s="2" t="s">
        <v>2525</v>
      </c>
      <c r="J118" s="2" t="s">
        <v>2460</v>
      </c>
      <c r="K118" s="2" t="s">
        <v>2430</v>
      </c>
      <c r="L118" s="278">
        <v>0.80882352941199998</v>
      </c>
      <c r="M118" s="2" t="s">
        <v>2436</v>
      </c>
      <c r="N118" s="278">
        <v>1</v>
      </c>
    </row>
    <row r="119" spans="1:14" x14ac:dyDescent="0.25">
      <c r="A119" s="117">
        <v>540099</v>
      </c>
      <c r="B119" s="2" t="s">
        <v>188</v>
      </c>
      <c r="C119" s="2" t="s">
        <v>45</v>
      </c>
      <c r="D119" s="2" t="s">
        <v>115</v>
      </c>
      <c r="E119" s="2" t="s">
        <v>2271</v>
      </c>
      <c r="F119" s="2" t="s">
        <v>2596</v>
      </c>
      <c r="G119" s="2" t="s">
        <v>2597</v>
      </c>
      <c r="H119" s="2" t="s">
        <v>2494</v>
      </c>
      <c r="I119" s="2" t="s">
        <v>2598</v>
      </c>
      <c r="J119" s="2" t="s">
        <v>2599</v>
      </c>
      <c r="K119" s="2" t="s">
        <v>2471</v>
      </c>
      <c r="L119" s="278">
        <v>0.71291866028700002</v>
      </c>
      <c r="M119" s="2" t="s">
        <v>2600</v>
      </c>
      <c r="N119" s="278">
        <v>0.66666666666700003</v>
      </c>
    </row>
    <row r="120" spans="1:14" x14ac:dyDescent="0.25">
      <c r="A120" s="117">
        <v>540100</v>
      </c>
      <c r="B120" s="2" t="s">
        <v>189</v>
      </c>
      <c r="C120" s="2" t="s">
        <v>45</v>
      </c>
      <c r="D120" s="2" t="s">
        <v>115</v>
      </c>
      <c r="E120" s="2" t="s">
        <v>2271</v>
      </c>
      <c r="F120" s="2" t="s">
        <v>2329</v>
      </c>
      <c r="G120" s="2" t="s">
        <v>2601</v>
      </c>
      <c r="H120" s="2" t="s">
        <v>2432</v>
      </c>
      <c r="I120" s="2" t="s">
        <v>2386</v>
      </c>
      <c r="J120" s="2" t="s">
        <v>2601</v>
      </c>
      <c r="K120" s="2" t="s">
        <v>2484</v>
      </c>
      <c r="L120" s="278">
        <v>0.8</v>
      </c>
      <c r="M120" s="2" t="s">
        <v>2436</v>
      </c>
      <c r="N120" s="278">
        <v>0.8</v>
      </c>
    </row>
    <row r="121" spans="1:14" x14ac:dyDescent="0.25">
      <c r="A121" s="117">
        <v>540101</v>
      </c>
      <c r="B121" s="2" t="s">
        <v>190</v>
      </c>
      <c r="C121" s="2" t="s">
        <v>45</v>
      </c>
      <c r="D121" s="2" t="s">
        <v>115</v>
      </c>
      <c r="E121" s="2" t="s">
        <v>2271</v>
      </c>
      <c r="F121" s="2" t="s">
        <v>2570</v>
      </c>
      <c r="G121" s="2" t="s">
        <v>2570</v>
      </c>
      <c r="H121" s="2" t="s">
        <v>2303</v>
      </c>
      <c r="I121" s="2" t="s">
        <v>2602</v>
      </c>
      <c r="J121" s="2" t="s">
        <v>2570</v>
      </c>
      <c r="K121" s="2" t="s">
        <v>2303</v>
      </c>
      <c r="L121" s="278">
        <v>0.98076923076900002</v>
      </c>
      <c r="M121" s="2" t="s">
        <v>2436</v>
      </c>
      <c r="N121" s="278" t="s">
        <v>488</v>
      </c>
    </row>
    <row r="122" spans="1:14" x14ac:dyDescent="0.25">
      <c r="A122" s="117">
        <v>540102</v>
      </c>
      <c r="B122" s="2" t="s">
        <v>191</v>
      </c>
      <c r="C122" s="2" t="s">
        <v>45</v>
      </c>
      <c r="D122" s="2" t="s">
        <v>115</v>
      </c>
      <c r="E122" s="2" t="s">
        <v>2271</v>
      </c>
      <c r="F122" s="2" t="s">
        <v>2603</v>
      </c>
      <c r="G122" s="2" t="s">
        <v>2496</v>
      </c>
      <c r="H122" s="2" t="s">
        <v>2432</v>
      </c>
      <c r="I122" s="2" t="s">
        <v>2533</v>
      </c>
      <c r="J122" s="2" t="s">
        <v>2496</v>
      </c>
      <c r="K122" s="2" t="s">
        <v>2484</v>
      </c>
      <c r="L122" s="278">
        <v>0.93333333333299995</v>
      </c>
      <c r="M122" s="2" t="s">
        <v>2436</v>
      </c>
      <c r="N122" s="278">
        <v>0.8</v>
      </c>
    </row>
    <row r="123" spans="1:14" x14ac:dyDescent="0.25">
      <c r="A123" s="117">
        <v>540103</v>
      </c>
      <c r="B123" s="2" t="s">
        <v>192</v>
      </c>
      <c r="C123" s="2" t="s">
        <v>45</v>
      </c>
      <c r="D123" s="2" t="s">
        <v>115</v>
      </c>
      <c r="E123" s="2" t="s">
        <v>2271</v>
      </c>
      <c r="F123" s="2" t="s">
        <v>2604</v>
      </c>
      <c r="G123" s="2" t="s">
        <v>2605</v>
      </c>
      <c r="H123" s="2" t="s">
        <v>2412</v>
      </c>
      <c r="I123" s="2" t="s">
        <v>2528</v>
      </c>
      <c r="J123" s="2" t="s">
        <v>2606</v>
      </c>
      <c r="K123" s="2" t="s">
        <v>2412</v>
      </c>
      <c r="L123" s="278">
        <v>0.93630573248399995</v>
      </c>
      <c r="M123" s="2" t="s">
        <v>2607</v>
      </c>
      <c r="N123" s="278">
        <v>1</v>
      </c>
    </row>
    <row r="124" spans="1:14" x14ac:dyDescent="0.25">
      <c r="A124" s="117">
        <v>540104</v>
      </c>
      <c r="B124" s="2" t="s">
        <v>193</v>
      </c>
      <c r="C124" s="2" t="s">
        <v>45</v>
      </c>
      <c r="D124" s="2" t="s">
        <v>115</v>
      </c>
      <c r="E124" s="2" t="s">
        <v>2271</v>
      </c>
      <c r="F124" s="2" t="s">
        <v>2608</v>
      </c>
      <c r="G124" s="2" t="s">
        <v>2609</v>
      </c>
      <c r="H124" s="2" t="s">
        <v>2473</v>
      </c>
      <c r="I124" s="2" t="s">
        <v>2473</v>
      </c>
      <c r="J124" s="2" t="s">
        <v>2303</v>
      </c>
      <c r="K124" s="2" t="s">
        <v>2373</v>
      </c>
      <c r="L124" s="278">
        <v>0.115789473684</v>
      </c>
      <c r="M124" s="2" t="s">
        <v>2305</v>
      </c>
      <c r="N124" s="278">
        <v>9.0909090909100002E-2</v>
      </c>
    </row>
    <row r="125" spans="1:14" x14ac:dyDescent="0.25">
      <c r="A125" s="117">
        <v>540105</v>
      </c>
      <c r="B125" s="2" t="s">
        <v>194</v>
      </c>
      <c r="C125" s="2" t="s">
        <v>45</v>
      </c>
      <c r="D125" s="2" t="s">
        <v>115</v>
      </c>
      <c r="E125" s="2" t="s">
        <v>2271</v>
      </c>
      <c r="F125" s="2" t="s">
        <v>2610</v>
      </c>
      <c r="G125" s="2" t="s">
        <v>2324</v>
      </c>
      <c r="H125" s="2" t="s">
        <v>2354</v>
      </c>
      <c r="I125" s="2" t="s">
        <v>2611</v>
      </c>
      <c r="J125" s="2" t="s">
        <v>2324</v>
      </c>
      <c r="K125" s="2" t="s">
        <v>2354</v>
      </c>
      <c r="L125" s="278">
        <v>0.97435897435899999</v>
      </c>
      <c r="M125" s="2" t="s">
        <v>2436</v>
      </c>
      <c r="N125" s="278">
        <v>1</v>
      </c>
    </row>
    <row r="126" spans="1:14" x14ac:dyDescent="0.25">
      <c r="A126" s="117">
        <v>540106</v>
      </c>
      <c r="B126" s="2" t="s">
        <v>195</v>
      </c>
      <c r="C126" s="2" t="s">
        <v>45</v>
      </c>
      <c r="D126" s="2" t="s">
        <v>115</v>
      </c>
      <c r="E126" s="2" t="s">
        <v>2271</v>
      </c>
      <c r="F126" s="2" t="s">
        <v>2612</v>
      </c>
      <c r="G126" s="2" t="s">
        <v>2612</v>
      </c>
      <c r="H126" s="2" t="s">
        <v>2303</v>
      </c>
      <c r="I126" s="2" t="s">
        <v>2303</v>
      </c>
      <c r="J126" s="2" t="s">
        <v>2303</v>
      </c>
      <c r="K126" s="2" t="s">
        <v>2303</v>
      </c>
      <c r="L126" s="278">
        <v>0</v>
      </c>
      <c r="M126" s="2" t="s">
        <v>2305</v>
      </c>
      <c r="N126" s="278" t="s">
        <v>488</v>
      </c>
    </row>
    <row r="127" spans="1:14" x14ac:dyDescent="0.25">
      <c r="A127" s="117">
        <v>540292</v>
      </c>
      <c r="B127" s="2" t="s">
        <v>329</v>
      </c>
      <c r="C127" s="2" t="s">
        <v>45</v>
      </c>
      <c r="D127" s="2" t="s">
        <v>115</v>
      </c>
      <c r="E127" s="2" t="s">
        <v>2271</v>
      </c>
      <c r="F127" s="2" t="s">
        <v>2613</v>
      </c>
      <c r="G127" s="2" t="s">
        <v>2388</v>
      </c>
      <c r="H127" s="2" t="s">
        <v>2609</v>
      </c>
      <c r="I127" s="2" t="s">
        <v>2614</v>
      </c>
      <c r="J127" s="2" t="s">
        <v>2565</v>
      </c>
      <c r="K127" s="2" t="s">
        <v>2609</v>
      </c>
      <c r="L127" s="278">
        <v>0.46899224806200002</v>
      </c>
      <c r="M127" s="2" t="s">
        <v>2615</v>
      </c>
      <c r="N127" s="278">
        <v>1</v>
      </c>
    </row>
    <row r="128" spans="1:14" x14ac:dyDescent="0.25">
      <c r="A128" s="117">
        <v>545556</v>
      </c>
      <c r="B128" s="2" t="s">
        <v>337</v>
      </c>
      <c r="C128" s="2" t="s">
        <v>45</v>
      </c>
      <c r="D128" s="2" t="s">
        <v>115</v>
      </c>
      <c r="E128" s="2" t="s">
        <v>2271</v>
      </c>
      <c r="F128" s="2" t="s">
        <v>2401</v>
      </c>
      <c r="G128" s="2" t="s">
        <v>2376</v>
      </c>
      <c r="H128" s="2" t="s">
        <v>2443</v>
      </c>
      <c r="I128" s="2" t="s">
        <v>2443</v>
      </c>
      <c r="J128" s="2" t="s">
        <v>2303</v>
      </c>
      <c r="K128" s="2" t="s">
        <v>2471</v>
      </c>
      <c r="L128" s="278">
        <v>0.55172413793099995</v>
      </c>
      <c r="M128" s="2" t="s">
        <v>2305</v>
      </c>
      <c r="N128" s="278">
        <v>0.625</v>
      </c>
    </row>
    <row r="129" spans="1:14" x14ac:dyDescent="0.25">
      <c r="A129" s="269"/>
      <c r="B129" s="269"/>
      <c r="C129" s="269" t="s">
        <v>45</v>
      </c>
      <c r="D129" s="269"/>
      <c r="E129" s="269"/>
      <c r="F129" s="269" t="s">
        <v>2616</v>
      </c>
      <c r="G129" s="269" t="s">
        <v>2617</v>
      </c>
      <c r="H129" s="269" t="s">
        <v>2618</v>
      </c>
      <c r="I129" s="269" t="s">
        <v>2619</v>
      </c>
      <c r="J129" s="269" t="s">
        <v>2620</v>
      </c>
      <c r="K129" s="269" t="s">
        <v>2621</v>
      </c>
      <c r="L129" s="279">
        <v>0.59855531367500003</v>
      </c>
      <c r="M129" s="269" t="s">
        <v>2622</v>
      </c>
      <c r="N129" s="279">
        <v>0.95379452762000005</v>
      </c>
    </row>
    <row r="130" spans="1:14" x14ac:dyDescent="0.25">
      <c r="A130" s="117">
        <v>540107</v>
      </c>
      <c r="B130" s="2" t="s">
        <v>46</v>
      </c>
      <c r="C130" s="2" t="s">
        <v>47</v>
      </c>
      <c r="D130" s="2" t="s">
        <v>5</v>
      </c>
      <c r="E130" s="2" t="s">
        <v>2253</v>
      </c>
      <c r="F130" s="2" t="s">
        <v>2623</v>
      </c>
      <c r="G130" s="2" t="s">
        <v>2624</v>
      </c>
      <c r="H130" s="2" t="s">
        <v>2303</v>
      </c>
      <c r="I130" s="2" t="s">
        <v>2303</v>
      </c>
      <c r="J130" s="2" t="s">
        <v>2303</v>
      </c>
      <c r="K130" s="2" t="s">
        <v>2303</v>
      </c>
      <c r="L130" s="278">
        <v>0</v>
      </c>
      <c r="M130" s="2" t="s">
        <v>2305</v>
      </c>
      <c r="N130" s="278" t="s">
        <v>488</v>
      </c>
    </row>
    <row r="131" spans="1:14" x14ac:dyDescent="0.25">
      <c r="A131" s="117">
        <v>540108</v>
      </c>
      <c r="B131" s="2" t="s">
        <v>196</v>
      </c>
      <c r="C131" s="2" t="s">
        <v>47</v>
      </c>
      <c r="D131" s="2" t="s">
        <v>115</v>
      </c>
      <c r="E131" s="2" t="s">
        <v>2253</v>
      </c>
      <c r="F131" s="2" t="s">
        <v>2625</v>
      </c>
      <c r="G131" s="2" t="s">
        <v>2626</v>
      </c>
      <c r="H131" s="2" t="s">
        <v>2303</v>
      </c>
      <c r="I131" s="2" t="s">
        <v>2303</v>
      </c>
      <c r="J131" s="2" t="s">
        <v>2303</v>
      </c>
      <c r="K131" s="2" t="s">
        <v>2303</v>
      </c>
      <c r="L131" s="278">
        <v>0</v>
      </c>
      <c r="M131" s="2" t="s">
        <v>2305</v>
      </c>
      <c r="N131" s="278" t="s">
        <v>488</v>
      </c>
    </row>
    <row r="132" spans="1:14" x14ac:dyDescent="0.25">
      <c r="A132" s="117">
        <v>540109</v>
      </c>
      <c r="B132" s="2" t="s">
        <v>197</v>
      </c>
      <c r="C132" s="2" t="s">
        <v>47</v>
      </c>
      <c r="D132" s="2" t="s">
        <v>115</v>
      </c>
      <c r="E132" s="2" t="s">
        <v>2253</v>
      </c>
      <c r="F132" s="2" t="s">
        <v>2627</v>
      </c>
      <c r="G132" s="2" t="s">
        <v>2627</v>
      </c>
      <c r="H132" s="2" t="s">
        <v>2303</v>
      </c>
      <c r="I132" s="2" t="s">
        <v>2303</v>
      </c>
      <c r="J132" s="2" t="s">
        <v>2303</v>
      </c>
      <c r="K132" s="2" t="s">
        <v>2303</v>
      </c>
      <c r="L132" s="278">
        <v>0</v>
      </c>
      <c r="M132" s="2" t="s">
        <v>2305</v>
      </c>
      <c r="N132" s="278" t="s">
        <v>488</v>
      </c>
    </row>
    <row r="133" spans="1:14" x14ac:dyDescent="0.25">
      <c r="A133" s="117">
        <v>540110</v>
      </c>
      <c r="B133" s="2" t="s">
        <v>198</v>
      </c>
      <c r="C133" s="2" t="s">
        <v>47</v>
      </c>
      <c r="D133" s="2" t="s">
        <v>115</v>
      </c>
      <c r="E133" s="2" t="s">
        <v>2253</v>
      </c>
      <c r="F133" s="2" t="s">
        <v>2628</v>
      </c>
      <c r="G133" s="2" t="s">
        <v>2613</v>
      </c>
      <c r="H133" s="2" t="s">
        <v>2303</v>
      </c>
      <c r="I133" s="2" t="s">
        <v>2303</v>
      </c>
      <c r="J133" s="2" t="s">
        <v>2303</v>
      </c>
      <c r="K133" s="2" t="s">
        <v>2303</v>
      </c>
      <c r="L133" s="278">
        <v>0</v>
      </c>
      <c r="M133" s="2" t="s">
        <v>2305</v>
      </c>
      <c r="N133" s="278" t="s">
        <v>488</v>
      </c>
    </row>
    <row r="134" spans="1:14" x14ac:dyDescent="0.25">
      <c r="A134" s="117">
        <v>540111</v>
      </c>
      <c r="B134" s="2" t="s">
        <v>199</v>
      </c>
      <c r="C134" s="2" t="s">
        <v>47</v>
      </c>
      <c r="D134" s="2" t="s">
        <v>115</v>
      </c>
      <c r="E134" s="2" t="s">
        <v>2253</v>
      </c>
      <c r="F134" s="2" t="s">
        <v>2629</v>
      </c>
      <c r="G134" s="2" t="s">
        <v>2630</v>
      </c>
      <c r="H134" s="2" t="s">
        <v>2303</v>
      </c>
      <c r="I134" s="2" t="s">
        <v>2303</v>
      </c>
      <c r="J134" s="2" t="s">
        <v>2303</v>
      </c>
      <c r="K134" s="2" t="s">
        <v>2303</v>
      </c>
      <c r="L134" s="278">
        <v>0</v>
      </c>
      <c r="M134" s="2" t="s">
        <v>2305</v>
      </c>
      <c r="N134" s="278" t="s">
        <v>488</v>
      </c>
    </row>
    <row r="135" spans="1:14" x14ac:dyDescent="0.25">
      <c r="A135" s="117">
        <v>540287</v>
      </c>
      <c r="B135" s="2" t="s">
        <v>326</v>
      </c>
      <c r="C135" s="2" t="s">
        <v>47</v>
      </c>
      <c r="D135" s="2" t="s">
        <v>115</v>
      </c>
      <c r="E135" s="2" t="s">
        <v>2253</v>
      </c>
      <c r="F135" s="2" t="s">
        <v>2631</v>
      </c>
      <c r="G135" s="2" t="s">
        <v>2631</v>
      </c>
      <c r="H135" s="2" t="s">
        <v>2303</v>
      </c>
      <c r="I135" s="2" t="s">
        <v>2303</v>
      </c>
      <c r="J135" s="2" t="s">
        <v>2303</v>
      </c>
      <c r="K135" s="2" t="s">
        <v>2303</v>
      </c>
      <c r="L135" s="278">
        <v>0</v>
      </c>
      <c r="M135" s="2" t="s">
        <v>2305</v>
      </c>
      <c r="N135" s="278" t="s">
        <v>488</v>
      </c>
    </row>
    <row r="136" spans="1:14" x14ac:dyDescent="0.25">
      <c r="A136" s="117">
        <v>540152</v>
      </c>
      <c r="B136" s="2" t="s">
        <v>229</v>
      </c>
      <c r="C136" s="2" t="s">
        <v>47</v>
      </c>
      <c r="D136" s="2" t="s">
        <v>115</v>
      </c>
      <c r="E136" s="2" t="s">
        <v>2253</v>
      </c>
      <c r="F136" s="2" t="s">
        <v>2387</v>
      </c>
      <c r="G136" s="2" t="s">
        <v>2387</v>
      </c>
      <c r="H136" s="2" t="s">
        <v>2303</v>
      </c>
      <c r="I136" s="2" t="s">
        <v>2303</v>
      </c>
      <c r="J136" s="2" t="s">
        <v>2303</v>
      </c>
      <c r="K136" s="2" t="s">
        <v>2303</v>
      </c>
      <c r="L136" s="278">
        <v>0</v>
      </c>
      <c r="M136" s="2" t="s">
        <v>2305</v>
      </c>
      <c r="N136" s="278" t="s">
        <v>488</v>
      </c>
    </row>
    <row r="137" spans="1:14" x14ac:dyDescent="0.25">
      <c r="A137" s="269"/>
      <c r="B137" s="269"/>
      <c r="C137" s="269" t="s">
        <v>47</v>
      </c>
      <c r="D137" s="269"/>
      <c r="E137" s="269"/>
      <c r="F137" s="269" t="s">
        <v>2632</v>
      </c>
      <c r="G137" s="269" t="s">
        <v>2633</v>
      </c>
      <c r="H137" s="269" t="s">
        <v>2303</v>
      </c>
      <c r="I137" s="269" t="s">
        <v>2303</v>
      </c>
      <c r="J137" s="269" t="s">
        <v>2303</v>
      </c>
      <c r="K137" s="269" t="s">
        <v>2303</v>
      </c>
      <c r="L137" s="279">
        <v>0</v>
      </c>
      <c r="M137" s="269" t="s">
        <v>2305</v>
      </c>
      <c r="N137" s="279" t="s">
        <v>488</v>
      </c>
    </row>
    <row r="138" spans="1:14" x14ac:dyDescent="0.25">
      <c r="A138" s="117">
        <v>540112</v>
      </c>
      <c r="B138" s="2" t="s">
        <v>48</v>
      </c>
      <c r="C138" s="2" t="s">
        <v>49</v>
      </c>
      <c r="D138" s="2" t="s">
        <v>5</v>
      </c>
      <c r="E138" s="2" t="s">
        <v>2251</v>
      </c>
      <c r="F138" s="2" t="s">
        <v>2634</v>
      </c>
      <c r="G138" s="2" t="s">
        <v>2635</v>
      </c>
      <c r="H138" s="2" t="s">
        <v>2373</v>
      </c>
      <c r="I138" s="2" t="s">
        <v>2373</v>
      </c>
      <c r="J138" s="2" t="s">
        <v>2303</v>
      </c>
      <c r="K138" s="2" t="s">
        <v>2373</v>
      </c>
      <c r="L138" s="278">
        <v>3.3666632999999997E-5</v>
      </c>
      <c r="M138" s="2" t="s">
        <v>2305</v>
      </c>
      <c r="N138" s="278">
        <v>1</v>
      </c>
    </row>
    <row r="139" spans="1:14" x14ac:dyDescent="0.25">
      <c r="A139" s="117">
        <v>540113</v>
      </c>
      <c r="B139" s="2" t="s">
        <v>200</v>
      </c>
      <c r="C139" s="2" t="s">
        <v>49</v>
      </c>
      <c r="D139" s="2" t="s">
        <v>115</v>
      </c>
      <c r="E139" s="2" t="s">
        <v>2251</v>
      </c>
      <c r="F139" s="2" t="s">
        <v>2445</v>
      </c>
      <c r="G139" s="2" t="s">
        <v>2445</v>
      </c>
      <c r="H139" s="2" t="s">
        <v>2303</v>
      </c>
      <c r="I139" s="2" t="s">
        <v>2303</v>
      </c>
      <c r="J139" s="2" t="s">
        <v>2303</v>
      </c>
      <c r="K139" s="2" t="s">
        <v>2303</v>
      </c>
      <c r="L139" s="278">
        <v>0</v>
      </c>
      <c r="M139" s="2" t="s">
        <v>2305</v>
      </c>
      <c r="N139" s="278" t="s">
        <v>488</v>
      </c>
    </row>
    <row r="140" spans="1:14" x14ac:dyDescent="0.25">
      <c r="A140" s="117">
        <v>540247</v>
      </c>
      <c r="B140" s="2" t="s">
        <v>293</v>
      </c>
      <c r="C140" s="2" t="s">
        <v>49</v>
      </c>
      <c r="D140" s="2" t="s">
        <v>115</v>
      </c>
      <c r="E140" s="2" t="s">
        <v>2251</v>
      </c>
      <c r="F140" s="2" t="s">
        <v>2636</v>
      </c>
      <c r="G140" s="2" t="s">
        <v>2636</v>
      </c>
      <c r="H140" s="2" t="s">
        <v>2303</v>
      </c>
      <c r="I140" s="2" t="s">
        <v>2303</v>
      </c>
      <c r="J140" s="2" t="s">
        <v>2303</v>
      </c>
      <c r="K140" s="2" t="s">
        <v>2303</v>
      </c>
      <c r="L140" s="278">
        <v>0</v>
      </c>
      <c r="M140" s="2" t="s">
        <v>2305</v>
      </c>
      <c r="N140" s="278" t="s">
        <v>488</v>
      </c>
    </row>
    <row r="141" spans="1:14" x14ac:dyDescent="0.25">
      <c r="A141" s="117">
        <v>540248</v>
      </c>
      <c r="B141" s="2" t="s">
        <v>294</v>
      </c>
      <c r="C141" s="2" t="s">
        <v>49</v>
      </c>
      <c r="D141" s="2" t="s">
        <v>115</v>
      </c>
      <c r="E141" s="2" t="s">
        <v>2251</v>
      </c>
      <c r="F141" s="2" t="s">
        <v>2637</v>
      </c>
      <c r="G141" s="2" t="s">
        <v>2637</v>
      </c>
      <c r="H141" s="2" t="s">
        <v>2303</v>
      </c>
      <c r="I141" s="2" t="s">
        <v>2303</v>
      </c>
      <c r="J141" s="2" t="s">
        <v>2303</v>
      </c>
      <c r="K141" s="2" t="s">
        <v>2303</v>
      </c>
      <c r="L141" s="278">
        <v>0</v>
      </c>
      <c r="M141" s="2" t="s">
        <v>2305</v>
      </c>
      <c r="N141" s="278" t="s">
        <v>488</v>
      </c>
    </row>
    <row r="142" spans="1:14" x14ac:dyDescent="0.25">
      <c r="A142" s="117">
        <v>540249</v>
      </c>
      <c r="B142" s="2" t="s">
        <v>295</v>
      </c>
      <c r="C142" s="2" t="s">
        <v>49</v>
      </c>
      <c r="D142" s="2" t="s">
        <v>115</v>
      </c>
      <c r="E142" s="2" t="s">
        <v>2251</v>
      </c>
      <c r="F142" s="2" t="s">
        <v>2638</v>
      </c>
      <c r="G142" s="2" t="s">
        <v>2638</v>
      </c>
      <c r="H142" s="2" t="s">
        <v>2303</v>
      </c>
      <c r="I142" s="2" t="s">
        <v>2303</v>
      </c>
      <c r="J142" s="2" t="s">
        <v>2303</v>
      </c>
      <c r="K142" s="2" t="s">
        <v>2303</v>
      </c>
      <c r="L142" s="278">
        <v>0</v>
      </c>
      <c r="M142" s="2" t="s">
        <v>2305</v>
      </c>
      <c r="N142" s="278" t="s">
        <v>488</v>
      </c>
    </row>
    <row r="143" spans="1:14" x14ac:dyDescent="0.25">
      <c r="A143" s="117">
        <v>540250</v>
      </c>
      <c r="B143" s="2" t="s">
        <v>296</v>
      </c>
      <c r="C143" s="2" t="s">
        <v>49</v>
      </c>
      <c r="D143" s="2" t="s">
        <v>115</v>
      </c>
      <c r="E143" s="2" t="s">
        <v>2251</v>
      </c>
      <c r="F143" s="2" t="s">
        <v>2639</v>
      </c>
      <c r="G143" s="2" t="s">
        <v>2639</v>
      </c>
      <c r="H143" s="2" t="s">
        <v>2303</v>
      </c>
      <c r="I143" s="2" t="s">
        <v>2303</v>
      </c>
      <c r="J143" s="2" t="s">
        <v>2303</v>
      </c>
      <c r="K143" s="2" t="s">
        <v>2303</v>
      </c>
      <c r="L143" s="278">
        <v>0</v>
      </c>
      <c r="M143" s="2" t="s">
        <v>2305</v>
      </c>
      <c r="N143" s="278" t="s">
        <v>488</v>
      </c>
    </row>
    <row r="144" spans="1:14" x14ac:dyDescent="0.25">
      <c r="A144" s="117">
        <v>540251</v>
      </c>
      <c r="B144" s="2" t="s">
        <v>297</v>
      </c>
      <c r="C144" s="2" t="s">
        <v>49</v>
      </c>
      <c r="D144" s="2" t="s">
        <v>115</v>
      </c>
      <c r="E144" s="2" t="s">
        <v>2251</v>
      </c>
      <c r="F144" s="2" t="s">
        <v>2604</v>
      </c>
      <c r="G144" s="2" t="s">
        <v>2604</v>
      </c>
      <c r="H144" s="2" t="s">
        <v>2303</v>
      </c>
      <c r="I144" s="2" t="s">
        <v>2303</v>
      </c>
      <c r="J144" s="2" t="s">
        <v>2303</v>
      </c>
      <c r="K144" s="2" t="s">
        <v>2303</v>
      </c>
      <c r="L144" s="278">
        <v>0</v>
      </c>
      <c r="M144" s="2" t="s">
        <v>2305</v>
      </c>
      <c r="N144" s="278" t="s">
        <v>488</v>
      </c>
    </row>
    <row r="145" spans="1:14" x14ac:dyDescent="0.25">
      <c r="A145" s="269"/>
      <c r="B145" s="269"/>
      <c r="C145" s="269" t="s">
        <v>49</v>
      </c>
      <c r="D145" s="269"/>
      <c r="E145" s="269"/>
      <c r="F145" s="269" t="s">
        <v>2640</v>
      </c>
      <c r="G145" s="269" t="s">
        <v>2641</v>
      </c>
      <c r="H145" s="269" t="s">
        <v>2373</v>
      </c>
      <c r="I145" s="269" t="s">
        <v>2373</v>
      </c>
      <c r="J145" s="269" t="s">
        <v>2303</v>
      </c>
      <c r="K145" s="269" t="s">
        <v>2373</v>
      </c>
      <c r="L145" s="279">
        <v>3.1541761292000002E-5</v>
      </c>
      <c r="M145" s="269" t="s">
        <v>2305</v>
      </c>
      <c r="N145" s="279">
        <v>1</v>
      </c>
    </row>
    <row r="146" spans="1:14" x14ac:dyDescent="0.25">
      <c r="A146" s="117">
        <v>540114</v>
      </c>
      <c r="B146" s="2" t="s">
        <v>50</v>
      </c>
      <c r="C146" s="2" t="s">
        <v>51</v>
      </c>
      <c r="D146" s="2" t="s">
        <v>5</v>
      </c>
      <c r="E146" s="2" t="s">
        <v>2247</v>
      </c>
      <c r="F146" s="2" t="s">
        <v>2642</v>
      </c>
      <c r="G146" s="2" t="s">
        <v>2643</v>
      </c>
      <c r="H146" s="2" t="s">
        <v>2644</v>
      </c>
      <c r="I146" s="2" t="s">
        <v>2645</v>
      </c>
      <c r="J146" s="2" t="s">
        <v>2646</v>
      </c>
      <c r="K146" s="2" t="s">
        <v>2647</v>
      </c>
      <c r="L146" s="278">
        <v>0.575925925926</v>
      </c>
      <c r="M146" s="2" t="s">
        <v>2648</v>
      </c>
      <c r="N146" s="278">
        <v>0.50565522620900005</v>
      </c>
    </row>
    <row r="147" spans="1:14" x14ac:dyDescent="0.25">
      <c r="A147" s="117">
        <v>540115</v>
      </c>
      <c r="B147" s="2" t="s">
        <v>201</v>
      </c>
      <c r="C147" s="2" t="s">
        <v>51</v>
      </c>
      <c r="D147" s="2" t="s">
        <v>115</v>
      </c>
      <c r="E147" s="2" t="s">
        <v>2247</v>
      </c>
      <c r="F147" s="2" t="s">
        <v>2649</v>
      </c>
      <c r="G147" s="2" t="s">
        <v>2446</v>
      </c>
      <c r="H147" s="2" t="s">
        <v>2534</v>
      </c>
      <c r="I147" s="2" t="s">
        <v>2565</v>
      </c>
      <c r="J147" s="2" t="s">
        <v>2330</v>
      </c>
      <c r="K147" s="2" t="s">
        <v>2373</v>
      </c>
      <c r="L147" s="278">
        <v>0.5</v>
      </c>
      <c r="M147" s="2" t="s">
        <v>2650</v>
      </c>
      <c r="N147" s="278">
        <v>2.6315789473699999E-2</v>
      </c>
    </row>
    <row r="148" spans="1:14" x14ac:dyDescent="0.25">
      <c r="A148" s="117">
        <v>540116</v>
      </c>
      <c r="B148" s="2" t="s">
        <v>202</v>
      </c>
      <c r="C148" s="2" t="s">
        <v>51</v>
      </c>
      <c r="D148" s="2" t="s">
        <v>115</v>
      </c>
      <c r="E148" s="2" t="s">
        <v>2247</v>
      </c>
      <c r="F148" s="2" t="s">
        <v>2406</v>
      </c>
      <c r="G148" s="2" t="s">
        <v>2586</v>
      </c>
      <c r="H148" s="2" t="s">
        <v>2501</v>
      </c>
      <c r="I148" s="2" t="s">
        <v>2651</v>
      </c>
      <c r="J148" s="2" t="s">
        <v>2611</v>
      </c>
      <c r="K148" s="2" t="s">
        <v>2326</v>
      </c>
      <c r="L148" s="278">
        <v>0.51515151515199997</v>
      </c>
      <c r="M148" s="2" t="s">
        <v>2652</v>
      </c>
      <c r="N148" s="278">
        <v>3.4482758620700001E-2</v>
      </c>
    </row>
    <row r="149" spans="1:14" x14ac:dyDescent="0.25">
      <c r="A149" s="117">
        <v>540117</v>
      </c>
      <c r="B149" s="2" t="s">
        <v>203</v>
      </c>
      <c r="C149" s="2" t="s">
        <v>51</v>
      </c>
      <c r="D149" s="2" t="s">
        <v>115</v>
      </c>
      <c r="E149" s="2" t="s">
        <v>2247</v>
      </c>
      <c r="F149" s="2" t="s">
        <v>2653</v>
      </c>
      <c r="G149" s="2" t="s">
        <v>2654</v>
      </c>
      <c r="H149" s="2" t="s">
        <v>2352</v>
      </c>
      <c r="I149" s="2" t="s">
        <v>2655</v>
      </c>
      <c r="J149" s="2" t="s">
        <v>2656</v>
      </c>
      <c r="K149" s="2" t="s">
        <v>2415</v>
      </c>
      <c r="L149" s="278">
        <v>0.46898263027300002</v>
      </c>
      <c r="M149" s="2" t="s">
        <v>2657</v>
      </c>
      <c r="N149" s="278">
        <v>0.125</v>
      </c>
    </row>
    <row r="150" spans="1:14" x14ac:dyDescent="0.25">
      <c r="A150" s="117">
        <v>540118</v>
      </c>
      <c r="B150" s="2" t="s">
        <v>204</v>
      </c>
      <c r="C150" s="2" t="s">
        <v>51</v>
      </c>
      <c r="D150" s="2" t="s">
        <v>115</v>
      </c>
      <c r="E150" s="2" t="s">
        <v>2247</v>
      </c>
      <c r="F150" s="2" t="s">
        <v>2510</v>
      </c>
      <c r="G150" s="2" t="s">
        <v>2552</v>
      </c>
      <c r="H150" s="2" t="s">
        <v>2532</v>
      </c>
      <c r="I150" s="2" t="s">
        <v>2658</v>
      </c>
      <c r="J150" s="2" t="s">
        <v>2552</v>
      </c>
      <c r="K150" s="2" t="s">
        <v>2412</v>
      </c>
      <c r="L150" s="278">
        <v>0.55681818181800002</v>
      </c>
      <c r="M150" s="2" t="s">
        <v>2436</v>
      </c>
      <c r="N150" s="278">
        <v>6.06060606061E-2</v>
      </c>
    </row>
    <row r="151" spans="1:14" x14ac:dyDescent="0.25">
      <c r="A151" s="117">
        <v>540119</v>
      </c>
      <c r="B151" s="2" t="s">
        <v>205</v>
      </c>
      <c r="C151" s="2" t="s">
        <v>51</v>
      </c>
      <c r="D151" s="2" t="s">
        <v>115</v>
      </c>
      <c r="E151" s="2" t="s">
        <v>2247</v>
      </c>
      <c r="F151" s="2" t="s">
        <v>2659</v>
      </c>
      <c r="G151" s="2" t="s">
        <v>2493</v>
      </c>
      <c r="H151" s="2" t="s">
        <v>2553</v>
      </c>
      <c r="I151" s="2" t="s">
        <v>2660</v>
      </c>
      <c r="J151" s="2" t="s">
        <v>2569</v>
      </c>
      <c r="K151" s="2" t="s">
        <v>2354</v>
      </c>
      <c r="L151" s="278">
        <v>0.55056179775299996</v>
      </c>
      <c r="M151" s="2" t="s">
        <v>2661</v>
      </c>
      <c r="N151" s="278">
        <v>0.04</v>
      </c>
    </row>
    <row r="152" spans="1:14" x14ac:dyDescent="0.25">
      <c r="A152" s="117">
        <v>540120</v>
      </c>
      <c r="B152" s="2" t="s">
        <v>206</v>
      </c>
      <c r="C152" s="2" t="s">
        <v>51</v>
      </c>
      <c r="D152" s="2" t="s">
        <v>115</v>
      </c>
      <c r="E152" s="2" t="s">
        <v>2247</v>
      </c>
      <c r="F152" s="2" t="s">
        <v>2637</v>
      </c>
      <c r="G152" s="2" t="s">
        <v>2660</v>
      </c>
      <c r="H152" s="2" t="s">
        <v>2570</v>
      </c>
      <c r="I152" s="2" t="s">
        <v>2602</v>
      </c>
      <c r="J152" s="2" t="s">
        <v>2660</v>
      </c>
      <c r="K152" s="2" t="s">
        <v>2373</v>
      </c>
      <c r="L152" s="278">
        <v>0.50495049505</v>
      </c>
      <c r="M152" s="2" t="s">
        <v>2436</v>
      </c>
      <c r="N152" s="278">
        <v>1.9230769230799999E-2</v>
      </c>
    </row>
    <row r="153" spans="1:14" x14ac:dyDescent="0.25">
      <c r="A153" s="117">
        <v>540121</v>
      </c>
      <c r="B153" s="2" t="s">
        <v>207</v>
      </c>
      <c r="C153" s="2" t="s">
        <v>51</v>
      </c>
      <c r="D153" s="2" t="s">
        <v>115</v>
      </c>
      <c r="E153" s="2" t="s">
        <v>2247</v>
      </c>
      <c r="F153" s="2" t="s">
        <v>2431</v>
      </c>
      <c r="G153" s="2" t="s">
        <v>2631</v>
      </c>
      <c r="H153" s="2" t="s">
        <v>2324</v>
      </c>
      <c r="I153" s="2" t="s">
        <v>2445</v>
      </c>
      <c r="J153" s="2" t="s">
        <v>2460</v>
      </c>
      <c r="K153" s="2" t="s">
        <v>2472</v>
      </c>
      <c r="L153" s="278">
        <v>0.52205882352900002</v>
      </c>
      <c r="M153" s="2" t="s">
        <v>2662</v>
      </c>
      <c r="N153" s="278">
        <v>0.30666666666699999</v>
      </c>
    </row>
    <row r="154" spans="1:14" x14ac:dyDescent="0.25">
      <c r="A154" s="117">
        <v>540122</v>
      </c>
      <c r="B154" s="2" t="s">
        <v>208</v>
      </c>
      <c r="C154" s="2" t="s">
        <v>51</v>
      </c>
      <c r="D154" s="2" t="s">
        <v>115</v>
      </c>
      <c r="E154" s="2" t="s">
        <v>2247</v>
      </c>
      <c r="F154" s="2" t="s">
        <v>2580</v>
      </c>
      <c r="G154" s="2" t="s">
        <v>2407</v>
      </c>
      <c r="H154" s="2" t="s">
        <v>2340</v>
      </c>
      <c r="I154" s="2" t="s">
        <v>2341</v>
      </c>
      <c r="J154" s="2" t="s">
        <v>2663</v>
      </c>
      <c r="K154" s="2" t="s">
        <v>2326</v>
      </c>
      <c r="L154" s="278">
        <v>0.59340659340699997</v>
      </c>
      <c r="M154" s="2" t="s">
        <v>2664</v>
      </c>
      <c r="N154" s="278">
        <v>2.7272727272700002E-2</v>
      </c>
    </row>
    <row r="155" spans="1:14" x14ac:dyDescent="0.25">
      <c r="A155" s="117">
        <v>540123</v>
      </c>
      <c r="B155" s="2" t="s">
        <v>209</v>
      </c>
      <c r="C155" s="2" t="s">
        <v>51</v>
      </c>
      <c r="D155" s="2" t="s">
        <v>115</v>
      </c>
      <c r="E155" s="2" t="s">
        <v>2247</v>
      </c>
      <c r="F155" s="2" t="s">
        <v>2665</v>
      </c>
      <c r="G155" s="2" t="s">
        <v>2566</v>
      </c>
      <c r="H155" s="2" t="s">
        <v>2666</v>
      </c>
      <c r="I155" s="2" t="s">
        <v>2667</v>
      </c>
      <c r="J155" s="2" t="s">
        <v>2668</v>
      </c>
      <c r="K155" s="2" t="s">
        <v>2415</v>
      </c>
      <c r="L155" s="278">
        <v>0.53810623556600001</v>
      </c>
      <c r="M155" s="2" t="s">
        <v>2669</v>
      </c>
      <c r="N155" s="278">
        <v>0.101265822785</v>
      </c>
    </row>
    <row r="156" spans="1:14" x14ac:dyDescent="0.25">
      <c r="A156" s="117">
        <v>540291</v>
      </c>
      <c r="B156" s="2" t="s">
        <v>328</v>
      </c>
      <c r="C156" s="2" t="s">
        <v>51</v>
      </c>
      <c r="D156" s="2" t="s">
        <v>115</v>
      </c>
      <c r="E156" s="2" t="s">
        <v>2247</v>
      </c>
      <c r="F156" s="2" t="s">
        <v>2532</v>
      </c>
      <c r="G156" s="2" t="s">
        <v>2569</v>
      </c>
      <c r="H156" s="2" t="s">
        <v>2670</v>
      </c>
      <c r="I156" s="2" t="s">
        <v>2495</v>
      </c>
      <c r="J156" s="2" t="s">
        <v>2534</v>
      </c>
      <c r="K156" s="2" t="s">
        <v>2471</v>
      </c>
      <c r="L156" s="278">
        <v>0.59595959596000003</v>
      </c>
      <c r="M156" s="2" t="s">
        <v>2671</v>
      </c>
      <c r="N156" s="278">
        <v>0.16393442623000001</v>
      </c>
    </row>
    <row r="157" spans="1:14" x14ac:dyDescent="0.25">
      <c r="A157" s="269"/>
      <c r="B157" s="269"/>
      <c r="C157" s="269" t="s">
        <v>51</v>
      </c>
      <c r="D157" s="269"/>
      <c r="E157" s="269"/>
      <c r="F157" s="269" t="s">
        <v>2672</v>
      </c>
      <c r="G157" s="269" t="s">
        <v>2673</v>
      </c>
      <c r="H157" s="269" t="s">
        <v>2674</v>
      </c>
      <c r="I157" s="269" t="s">
        <v>2675</v>
      </c>
      <c r="J157" s="269" t="s">
        <v>2676</v>
      </c>
      <c r="K157" s="269" t="s">
        <v>2677</v>
      </c>
      <c r="L157" s="279">
        <v>0.56734616117400005</v>
      </c>
      <c r="M157" s="269" t="s">
        <v>2678</v>
      </c>
      <c r="N157" s="279">
        <v>0.43889704682699998</v>
      </c>
    </row>
    <row r="158" spans="1:14" x14ac:dyDescent="0.25">
      <c r="A158" s="117">
        <v>540124</v>
      </c>
      <c r="B158" s="2" t="s">
        <v>52</v>
      </c>
      <c r="C158" s="2" t="s">
        <v>53</v>
      </c>
      <c r="D158" s="2" t="s">
        <v>5</v>
      </c>
      <c r="E158" s="2" t="s">
        <v>2247</v>
      </c>
      <c r="F158" s="2" t="s">
        <v>2679</v>
      </c>
      <c r="G158" s="2" t="s">
        <v>2680</v>
      </c>
      <c r="H158" s="2" t="s">
        <v>2681</v>
      </c>
      <c r="I158" s="2" t="s">
        <v>2682</v>
      </c>
      <c r="J158" s="2" t="s">
        <v>2683</v>
      </c>
      <c r="K158" s="2" t="s">
        <v>2684</v>
      </c>
      <c r="L158" s="278">
        <v>0.53474088291699995</v>
      </c>
      <c r="M158" s="2" t="s">
        <v>2685</v>
      </c>
      <c r="N158" s="278">
        <v>0.96450667535000001</v>
      </c>
    </row>
    <row r="159" spans="1:14" x14ac:dyDescent="0.25">
      <c r="A159" s="117">
        <v>540125</v>
      </c>
      <c r="B159" s="2" t="s">
        <v>210</v>
      </c>
      <c r="C159" s="2" t="s">
        <v>53</v>
      </c>
      <c r="D159" s="2" t="s">
        <v>115</v>
      </c>
      <c r="E159" s="2" t="s">
        <v>2247</v>
      </c>
      <c r="F159" s="2" t="s">
        <v>2602</v>
      </c>
      <c r="G159" s="2" t="s">
        <v>2309</v>
      </c>
      <c r="H159" s="2" t="s">
        <v>2326</v>
      </c>
      <c r="I159" s="2" t="s">
        <v>2631</v>
      </c>
      <c r="J159" s="2" t="s">
        <v>2460</v>
      </c>
      <c r="K159" s="2" t="s">
        <v>2373</v>
      </c>
      <c r="L159" s="278">
        <v>0.84313725490199998</v>
      </c>
      <c r="M159" s="2" t="s">
        <v>2686</v>
      </c>
      <c r="N159" s="278">
        <v>0.33333333333300003</v>
      </c>
    </row>
    <row r="160" spans="1:14" x14ac:dyDescent="0.25">
      <c r="A160" s="117">
        <v>540126</v>
      </c>
      <c r="B160" s="2" t="s">
        <v>211</v>
      </c>
      <c r="C160" s="2" t="s">
        <v>53</v>
      </c>
      <c r="D160" s="2" t="s">
        <v>115</v>
      </c>
      <c r="E160" s="2" t="s">
        <v>2247</v>
      </c>
      <c r="F160" s="2" t="s">
        <v>2687</v>
      </c>
      <c r="G160" s="2" t="s">
        <v>2687</v>
      </c>
      <c r="H160" s="2" t="s">
        <v>2303</v>
      </c>
      <c r="I160" s="2" t="s">
        <v>2521</v>
      </c>
      <c r="J160" s="2" t="s">
        <v>2521</v>
      </c>
      <c r="K160" s="2" t="s">
        <v>2303</v>
      </c>
      <c r="L160" s="278">
        <v>0.875</v>
      </c>
      <c r="M160" s="2" t="s">
        <v>2686</v>
      </c>
      <c r="N160" s="278" t="s">
        <v>488</v>
      </c>
    </row>
    <row r="161" spans="1:14" x14ac:dyDescent="0.25">
      <c r="A161" s="117">
        <v>540127</v>
      </c>
      <c r="B161" s="2" t="s">
        <v>212</v>
      </c>
      <c r="C161" s="2" t="s">
        <v>53</v>
      </c>
      <c r="D161" s="2" t="s">
        <v>115</v>
      </c>
      <c r="E161" s="2" t="s">
        <v>2247</v>
      </c>
      <c r="F161" s="2" t="s">
        <v>2300</v>
      </c>
      <c r="G161" s="2" t="s">
        <v>2300</v>
      </c>
      <c r="H161" s="2" t="s">
        <v>2303</v>
      </c>
      <c r="I161" s="2" t="s">
        <v>2687</v>
      </c>
      <c r="J161" s="2" t="s">
        <v>2687</v>
      </c>
      <c r="K161" s="2" t="s">
        <v>2303</v>
      </c>
      <c r="L161" s="278">
        <v>0.91428571428600003</v>
      </c>
      <c r="M161" s="2" t="s">
        <v>2688</v>
      </c>
      <c r="N161" s="278" t="s">
        <v>488</v>
      </c>
    </row>
    <row r="162" spans="1:14" x14ac:dyDescent="0.25">
      <c r="A162" s="117">
        <v>540128</v>
      </c>
      <c r="B162" s="2" t="s">
        <v>213</v>
      </c>
      <c r="C162" s="2" t="s">
        <v>53</v>
      </c>
      <c r="D162" s="2" t="s">
        <v>115</v>
      </c>
      <c r="E162" s="2" t="s">
        <v>2247</v>
      </c>
      <c r="F162" s="2" t="s">
        <v>2689</v>
      </c>
      <c r="G162" s="2" t="s">
        <v>2690</v>
      </c>
      <c r="H162" s="2" t="s">
        <v>2303</v>
      </c>
      <c r="I162" s="2" t="s">
        <v>2667</v>
      </c>
      <c r="J162" s="2" t="s">
        <v>2667</v>
      </c>
      <c r="K162" s="2" t="s">
        <v>2303</v>
      </c>
      <c r="L162" s="278">
        <v>0.701807228916</v>
      </c>
      <c r="M162" s="2" t="s">
        <v>2691</v>
      </c>
      <c r="N162" s="278" t="s">
        <v>488</v>
      </c>
    </row>
    <row r="163" spans="1:14" x14ac:dyDescent="0.25">
      <c r="A163" s="117">
        <v>540172</v>
      </c>
      <c r="B163" s="2" t="s">
        <v>244</v>
      </c>
      <c r="C163" s="2" t="s">
        <v>53</v>
      </c>
      <c r="D163" s="2" t="s">
        <v>115</v>
      </c>
      <c r="E163" s="2" t="s">
        <v>2247</v>
      </c>
      <c r="F163" s="2" t="s">
        <v>2303</v>
      </c>
      <c r="G163" s="2" t="s">
        <v>2303</v>
      </c>
      <c r="H163" s="2" t="s">
        <v>2303</v>
      </c>
      <c r="I163" s="2" t="s">
        <v>2303</v>
      </c>
      <c r="J163" s="2" t="s">
        <v>2303</v>
      </c>
      <c r="K163" s="2" t="s">
        <v>2303</v>
      </c>
      <c r="L163" s="278" t="s">
        <v>488</v>
      </c>
      <c r="M163" s="2" t="s">
        <v>488</v>
      </c>
      <c r="N163" s="278" t="s">
        <v>488</v>
      </c>
    </row>
    <row r="164" spans="1:14" x14ac:dyDescent="0.25">
      <c r="A164" s="117">
        <v>540285</v>
      </c>
      <c r="B164" s="2" t="s">
        <v>324</v>
      </c>
      <c r="C164" s="2" t="s">
        <v>53</v>
      </c>
      <c r="D164" s="2" t="s">
        <v>115</v>
      </c>
      <c r="E164" s="2" t="s">
        <v>2247</v>
      </c>
      <c r="F164" s="2" t="s">
        <v>2498</v>
      </c>
      <c r="G164" s="2" t="s">
        <v>2303</v>
      </c>
      <c r="H164" s="2" t="s">
        <v>2373</v>
      </c>
      <c r="I164" s="2" t="s">
        <v>2373</v>
      </c>
      <c r="J164" s="2" t="s">
        <v>2303</v>
      </c>
      <c r="K164" s="2" t="s">
        <v>2373</v>
      </c>
      <c r="L164" s="278">
        <v>0.111111111111</v>
      </c>
      <c r="M164" s="2" t="s">
        <v>488</v>
      </c>
      <c r="N164" s="278">
        <v>1</v>
      </c>
    </row>
    <row r="165" spans="1:14" x14ac:dyDescent="0.25">
      <c r="A165" s="269"/>
      <c r="B165" s="269"/>
      <c r="C165" s="269" t="s">
        <v>53</v>
      </c>
      <c r="D165" s="269"/>
      <c r="E165" s="269"/>
      <c r="F165" s="269" t="s">
        <v>2692</v>
      </c>
      <c r="G165" s="269" t="s">
        <v>2693</v>
      </c>
      <c r="H165" s="269" t="s">
        <v>2694</v>
      </c>
      <c r="I165" s="269" t="s">
        <v>2695</v>
      </c>
      <c r="J165" s="269" t="s">
        <v>2696</v>
      </c>
      <c r="K165" s="269" t="s">
        <v>2518</v>
      </c>
      <c r="L165" s="279">
        <v>0.54315654012299996</v>
      </c>
      <c r="M165" s="269" t="s">
        <v>2697</v>
      </c>
      <c r="N165" s="279">
        <v>0.96390243902399997</v>
      </c>
    </row>
    <row r="166" spans="1:14" x14ac:dyDescent="0.25">
      <c r="A166" s="117">
        <v>540129</v>
      </c>
      <c r="B166" s="2" t="s">
        <v>54</v>
      </c>
      <c r="C166" s="2" t="s">
        <v>55</v>
      </c>
      <c r="D166" s="2" t="s">
        <v>5</v>
      </c>
      <c r="E166" s="2" t="s">
        <v>2272</v>
      </c>
      <c r="F166" s="2" t="s">
        <v>2698</v>
      </c>
      <c r="G166" s="2" t="s">
        <v>2699</v>
      </c>
      <c r="H166" s="2" t="s">
        <v>2700</v>
      </c>
      <c r="I166" s="2" t="s">
        <v>2701</v>
      </c>
      <c r="J166" s="2" t="s">
        <v>2702</v>
      </c>
      <c r="K166" s="2" t="s">
        <v>2703</v>
      </c>
      <c r="L166" s="278">
        <v>0.49164613901699999</v>
      </c>
      <c r="M166" s="2" t="s">
        <v>2704</v>
      </c>
      <c r="N166" s="278">
        <v>0.46745562130200002</v>
      </c>
    </row>
    <row r="167" spans="1:14" x14ac:dyDescent="0.25">
      <c r="A167" s="117">
        <v>540130</v>
      </c>
      <c r="B167" s="2" t="s">
        <v>214</v>
      </c>
      <c r="C167" s="2" t="s">
        <v>55</v>
      </c>
      <c r="D167" s="2" t="s">
        <v>115</v>
      </c>
      <c r="E167" s="2" t="s">
        <v>2272</v>
      </c>
      <c r="F167" s="2" t="s">
        <v>2705</v>
      </c>
      <c r="G167" s="2" t="s">
        <v>2706</v>
      </c>
      <c r="H167" s="2" t="s">
        <v>2613</v>
      </c>
      <c r="I167" s="2" t="s">
        <v>2707</v>
      </c>
      <c r="J167" s="2" t="s">
        <v>2654</v>
      </c>
      <c r="K167" s="2" t="s">
        <v>2326</v>
      </c>
      <c r="L167" s="278">
        <v>0.495833333333</v>
      </c>
      <c r="M167" s="2" t="s">
        <v>2708</v>
      </c>
      <c r="N167" s="278">
        <v>1.1627906976700001E-2</v>
      </c>
    </row>
    <row r="168" spans="1:14" x14ac:dyDescent="0.25">
      <c r="A168" s="117">
        <v>540131</v>
      </c>
      <c r="B168" s="2" t="s">
        <v>215</v>
      </c>
      <c r="C168" s="2" t="s">
        <v>55</v>
      </c>
      <c r="D168" s="2" t="s">
        <v>115</v>
      </c>
      <c r="E168" s="2" t="s">
        <v>2272</v>
      </c>
      <c r="F168" s="2" t="s">
        <v>2534</v>
      </c>
      <c r="G168" s="2" t="s">
        <v>2494</v>
      </c>
      <c r="H168" s="2" t="s">
        <v>2494</v>
      </c>
      <c r="I168" s="2" t="s">
        <v>2494</v>
      </c>
      <c r="J168" s="2" t="s">
        <v>2484</v>
      </c>
      <c r="K168" s="2" t="s">
        <v>2471</v>
      </c>
      <c r="L168" s="278">
        <v>0.39473684210499999</v>
      </c>
      <c r="M168" s="2" t="s">
        <v>2709</v>
      </c>
      <c r="N168" s="278">
        <v>0.66666666666700003</v>
      </c>
    </row>
    <row r="169" spans="1:14" x14ac:dyDescent="0.25">
      <c r="A169" s="117">
        <v>540155</v>
      </c>
      <c r="B169" s="2" t="s">
        <v>231</v>
      </c>
      <c r="C169" s="2" t="s">
        <v>55</v>
      </c>
      <c r="D169" s="2" t="s">
        <v>115</v>
      </c>
      <c r="E169" s="2" t="s">
        <v>2272</v>
      </c>
      <c r="F169" s="2" t="s">
        <v>2533</v>
      </c>
      <c r="G169" s="2" t="s">
        <v>2499</v>
      </c>
      <c r="H169" s="2" t="s">
        <v>2710</v>
      </c>
      <c r="I169" s="2" t="s">
        <v>2710</v>
      </c>
      <c r="J169" s="2" t="s">
        <v>2385</v>
      </c>
      <c r="K169" s="2" t="s">
        <v>2303</v>
      </c>
      <c r="L169" s="278">
        <v>0.48214285714299998</v>
      </c>
      <c r="M169" s="2" t="s">
        <v>2711</v>
      </c>
      <c r="N169" s="278">
        <v>0</v>
      </c>
    </row>
    <row r="170" spans="1:14" x14ac:dyDescent="0.25">
      <c r="A170" s="117">
        <v>545555</v>
      </c>
      <c r="B170" s="2" t="s">
        <v>336</v>
      </c>
      <c r="C170" s="2" t="s">
        <v>55</v>
      </c>
      <c r="D170" s="2" t="s">
        <v>115</v>
      </c>
      <c r="E170" s="2" t="s">
        <v>2272</v>
      </c>
      <c r="F170" s="2" t="s">
        <v>2712</v>
      </c>
      <c r="G170" s="2" t="s">
        <v>2496</v>
      </c>
      <c r="H170" s="2" t="s">
        <v>2713</v>
      </c>
      <c r="I170" s="2" t="s">
        <v>2713</v>
      </c>
      <c r="J170" s="2" t="s">
        <v>2358</v>
      </c>
      <c r="K170" s="2" t="s">
        <v>2303</v>
      </c>
      <c r="L170" s="278">
        <v>0.60447761194000005</v>
      </c>
      <c r="M170" s="2" t="s">
        <v>2714</v>
      </c>
      <c r="N170" s="278">
        <v>0</v>
      </c>
    </row>
    <row r="171" spans="1:14" x14ac:dyDescent="0.25">
      <c r="A171" s="117">
        <v>540091</v>
      </c>
      <c r="B171" s="2" t="s">
        <v>338</v>
      </c>
      <c r="C171" s="2" t="s">
        <v>55</v>
      </c>
      <c r="D171" s="2" t="s">
        <v>115</v>
      </c>
      <c r="E171" s="2" t="s">
        <v>2272</v>
      </c>
      <c r="F171" s="2" t="s">
        <v>2303</v>
      </c>
      <c r="G171" s="2" t="s">
        <v>2303</v>
      </c>
      <c r="H171" s="2" t="s">
        <v>2303</v>
      </c>
      <c r="I171" s="2" t="s">
        <v>2303</v>
      </c>
      <c r="J171" s="2" t="s">
        <v>2303</v>
      </c>
      <c r="K171" s="2" t="s">
        <v>2303</v>
      </c>
      <c r="L171" s="278" t="s">
        <v>488</v>
      </c>
      <c r="M171" s="2" t="s">
        <v>488</v>
      </c>
      <c r="N171" s="278" t="s">
        <v>488</v>
      </c>
    </row>
    <row r="172" spans="1:14" x14ac:dyDescent="0.25">
      <c r="A172" s="269"/>
      <c r="B172" s="269"/>
      <c r="C172" s="269" t="s">
        <v>55</v>
      </c>
      <c r="D172" s="269"/>
      <c r="E172" s="269"/>
      <c r="F172" s="269" t="s">
        <v>2715</v>
      </c>
      <c r="G172" s="269" t="s">
        <v>2716</v>
      </c>
      <c r="H172" s="269" t="s">
        <v>2717</v>
      </c>
      <c r="I172" s="269" t="s">
        <v>2718</v>
      </c>
      <c r="J172" s="269" t="s">
        <v>2719</v>
      </c>
      <c r="K172" s="269" t="s">
        <v>2720</v>
      </c>
      <c r="L172" s="279">
        <v>0.49231245485500003</v>
      </c>
      <c r="M172" s="269" t="s">
        <v>2721</v>
      </c>
      <c r="N172" s="279">
        <v>0.45039272426600002</v>
      </c>
    </row>
    <row r="173" spans="1:14" x14ac:dyDescent="0.25">
      <c r="A173" s="117">
        <v>540133</v>
      </c>
      <c r="B173" s="2" t="s">
        <v>56</v>
      </c>
      <c r="C173" s="2" t="s">
        <v>57</v>
      </c>
      <c r="D173" s="2" t="s">
        <v>5</v>
      </c>
      <c r="E173" s="2" t="s">
        <v>2251</v>
      </c>
      <c r="F173" s="2" t="s">
        <v>2722</v>
      </c>
      <c r="G173" s="2" t="s">
        <v>2723</v>
      </c>
      <c r="H173" s="2" t="s">
        <v>2724</v>
      </c>
      <c r="I173" s="2" t="s">
        <v>2725</v>
      </c>
      <c r="J173" s="2" t="s">
        <v>2373</v>
      </c>
      <c r="K173" s="2" t="s">
        <v>2726</v>
      </c>
      <c r="L173" s="278">
        <v>0.48048205396900001</v>
      </c>
      <c r="M173" s="2" t="s">
        <v>2727</v>
      </c>
      <c r="N173" s="278">
        <v>0.97255489021999997</v>
      </c>
    </row>
    <row r="174" spans="1:14" x14ac:dyDescent="0.25">
      <c r="A174" s="117">
        <v>540134</v>
      </c>
      <c r="B174" s="2" t="s">
        <v>217</v>
      </c>
      <c r="C174" s="2" t="s">
        <v>57</v>
      </c>
      <c r="D174" s="2" t="s">
        <v>115</v>
      </c>
      <c r="E174" s="2" t="s">
        <v>2251</v>
      </c>
      <c r="F174" s="2" t="s">
        <v>2552</v>
      </c>
      <c r="G174" s="2" t="s">
        <v>2649</v>
      </c>
      <c r="H174" s="2" t="s">
        <v>2326</v>
      </c>
      <c r="I174" s="2" t="s">
        <v>2326</v>
      </c>
      <c r="J174" s="2" t="s">
        <v>2303</v>
      </c>
      <c r="K174" s="2" t="s">
        <v>2354</v>
      </c>
      <c r="L174" s="278">
        <v>3.8961038960999998E-2</v>
      </c>
      <c r="M174" s="2" t="s">
        <v>2305</v>
      </c>
      <c r="N174" s="278">
        <v>0.66666666666700003</v>
      </c>
    </row>
    <row r="175" spans="1:14" x14ac:dyDescent="0.25">
      <c r="A175" s="117">
        <v>540135</v>
      </c>
      <c r="B175" s="2" t="s">
        <v>218</v>
      </c>
      <c r="C175" s="2" t="s">
        <v>57</v>
      </c>
      <c r="D175" s="2" t="s">
        <v>115</v>
      </c>
      <c r="E175" s="2" t="s">
        <v>2251</v>
      </c>
      <c r="F175" s="2" t="s">
        <v>2427</v>
      </c>
      <c r="G175" s="2" t="s">
        <v>2427</v>
      </c>
      <c r="H175" s="2" t="s">
        <v>2373</v>
      </c>
      <c r="I175" s="2" t="s">
        <v>2373</v>
      </c>
      <c r="J175" s="2" t="s">
        <v>2303</v>
      </c>
      <c r="K175" s="2" t="s">
        <v>2373</v>
      </c>
      <c r="L175" s="278">
        <v>1.1111111111100001E-2</v>
      </c>
      <c r="M175" s="2" t="s">
        <v>2305</v>
      </c>
      <c r="N175" s="278">
        <v>1</v>
      </c>
    </row>
    <row r="176" spans="1:14" x14ac:dyDescent="0.25">
      <c r="A176" s="117">
        <v>540136</v>
      </c>
      <c r="B176" s="2" t="s">
        <v>219</v>
      </c>
      <c r="C176" s="2" t="s">
        <v>57</v>
      </c>
      <c r="D176" s="2" t="s">
        <v>115</v>
      </c>
      <c r="E176" s="2" t="s">
        <v>2251</v>
      </c>
      <c r="F176" s="2" t="s">
        <v>2728</v>
      </c>
      <c r="G176" s="2" t="s">
        <v>2728</v>
      </c>
      <c r="H176" s="2" t="s">
        <v>2303</v>
      </c>
      <c r="I176" s="2" t="s">
        <v>2729</v>
      </c>
      <c r="J176" s="2" t="s">
        <v>2303</v>
      </c>
      <c r="K176" s="2" t="s">
        <v>2303</v>
      </c>
      <c r="L176" s="278">
        <v>0.984375</v>
      </c>
      <c r="M176" s="2" t="s">
        <v>2305</v>
      </c>
      <c r="N176" s="278" t="s">
        <v>488</v>
      </c>
    </row>
    <row r="177" spans="1:14" x14ac:dyDescent="0.25">
      <c r="A177" s="117">
        <v>540138</v>
      </c>
      <c r="B177" s="2" t="s">
        <v>221</v>
      </c>
      <c r="C177" s="2" t="s">
        <v>57</v>
      </c>
      <c r="D177" s="2" t="s">
        <v>115</v>
      </c>
      <c r="E177" s="2" t="s">
        <v>2251</v>
      </c>
      <c r="F177" s="2" t="s">
        <v>2730</v>
      </c>
      <c r="G177" s="2" t="s">
        <v>2730</v>
      </c>
      <c r="H177" s="2" t="s">
        <v>2373</v>
      </c>
      <c r="I177" s="2" t="s">
        <v>2731</v>
      </c>
      <c r="J177" s="2" t="s">
        <v>2303</v>
      </c>
      <c r="K177" s="2" t="s">
        <v>2373</v>
      </c>
      <c r="L177" s="278">
        <v>0.90459363957600003</v>
      </c>
      <c r="M177" s="2" t="s">
        <v>2305</v>
      </c>
      <c r="N177" s="278">
        <v>1</v>
      </c>
    </row>
    <row r="178" spans="1:14" x14ac:dyDescent="0.25">
      <c r="A178" s="117">
        <v>545538</v>
      </c>
      <c r="B178" s="2" t="s">
        <v>334</v>
      </c>
      <c r="C178" s="2" t="s">
        <v>57</v>
      </c>
      <c r="D178" s="2" t="s">
        <v>115</v>
      </c>
      <c r="E178" s="2" t="s">
        <v>2251</v>
      </c>
      <c r="F178" s="2" t="s">
        <v>2732</v>
      </c>
      <c r="G178" s="2" t="s">
        <v>2732</v>
      </c>
      <c r="H178" s="2" t="s">
        <v>2303</v>
      </c>
      <c r="I178" s="2" t="s">
        <v>2733</v>
      </c>
      <c r="J178" s="2" t="s">
        <v>2303</v>
      </c>
      <c r="K178" s="2" t="s">
        <v>2303</v>
      </c>
      <c r="L178" s="278">
        <v>0.89655172413799999</v>
      </c>
      <c r="M178" s="2" t="s">
        <v>2305</v>
      </c>
      <c r="N178" s="278" t="s">
        <v>488</v>
      </c>
    </row>
    <row r="179" spans="1:14" x14ac:dyDescent="0.25">
      <c r="A179" s="269"/>
      <c r="B179" s="269"/>
      <c r="C179" s="269" t="s">
        <v>57</v>
      </c>
      <c r="D179" s="269"/>
      <c r="E179" s="269"/>
      <c r="F179" s="269" t="s">
        <v>2734</v>
      </c>
      <c r="G179" s="269" t="s">
        <v>2735</v>
      </c>
      <c r="H179" s="269" t="s">
        <v>2736</v>
      </c>
      <c r="I179" s="269" t="s">
        <v>2737</v>
      </c>
      <c r="J179" s="269" t="s">
        <v>2373</v>
      </c>
      <c r="K179" s="269" t="s">
        <v>2738</v>
      </c>
      <c r="L179" s="279">
        <v>0.49692511756899999</v>
      </c>
      <c r="M179" s="269" t="s">
        <v>2739</v>
      </c>
      <c r="N179" s="279">
        <v>0.97212543553999997</v>
      </c>
    </row>
    <row r="180" spans="1:14" x14ac:dyDescent="0.25">
      <c r="A180" s="117">
        <v>540139</v>
      </c>
      <c r="B180" s="2" t="s">
        <v>58</v>
      </c>
      <c r="C180" s="2" t="s">
        <v>59</v>
      </c>
      <c r="D180" s="2" t="s">
        <v>5</v>
      </c>
      <c r="E180" s="2" t="s">
        <v>2271</v>
      </c>
      <c r="F180" s="2" t="s">
        <v>2740</v>
      </c>
      <c r="G180" s="2" t="s">
        <v>2741</v>
      </c>
      <c r="H180" s="2" t="s">
        <v>2742</v>
      </c>
      <c r="I180" s="2" t="s">
        <v>2743</v>
      </c>
      <c r="J180" s="2" t="s">
        <v>2744</v>
      </c>
      <c r="K180" s="2" t="s">
        <v>2745</v>
      </c>
      <c r="L180" s="278">
        <v>0.60415876147799996</v>
      </c>
      <c r="M180" s="2" t="s">
        <v>2746</v>
      </c>
      <c r="N180" s="278">
        <v>0.86701662292199999</v>
      </c>
    </row>
    <row r="181" spans="1:14" x14ac:dyDescent="0.25">
      <c r="A181" s="117">
        <v>540140</v>
      </c>
      <c r="B181" s="2" t="s">
        <v>222</v>
      </c>
      <c r="C181" s="2" t="s">
        <v>59</v>
      </c>
      <c r="D181" s="2" t="s">
        <v>115</v>
      </c>
      <c r="E181" s="2" t="s">
        <v>2271</v>
      </c>
      <c r="F181" s="2" t="s">
        <v>2570</v>
      </c>
      <c r="G181" s="2" t="s">
        <v>2303</v>
      </c>
      <c r="H181" s="2" t="s">
        <v>2446</v>
      </c>
      <c r="I181" s="2" t="s">
        <v>2446</v>
      </c>
      <c r="J181" s="2" t="s">
        <v>2303</v>
      </c>
      <c r="K181" s="2" t="s">
        <v>2446</v>
      </c>
      <c r="L181" s="278">
        <v>0.69230769230800004</v>
      </c>
      <c r="M181" s="2" t="s">
        <v>488</v>
      </c>
      <c r="N181" s="278">
        <v>1</v>
      </c>
    </row>
    <row r="182" spans="1:14" x14ac:dyDescent="0.25">
      <c r="A182" s="117">
        <v>540141</v>
      </c>
      <c r="B182" s="2" t="s">
        <v>223</v>
      </c>
      <c r="C182" s="2" t="s">
        <v>59</v>
      </c>
      <c r="D182" s="2" t="s">
        <v>115</v>
      </c>
      <c r="E182" s="2" t="s">
        <v>2271</v>
      </c>
      <c r="F182" s="2" t="s">
        <v>2747</v>
      </c>
      <c r="G182" s="2" t="s">
        <v>2563</v>
      </c>
      <c r="H182" s="2" t="s">
        <v>2330</v>
      </c>
      <c r="I182" s="2" t="s">
        <v>2748</v>
      </c>
      <c r="J182" s="2" t="s">
        <v>2749</v>
      </c>
      <c r="K182" s="2" t="s">
        <v>2330</v>
      </c>
      <c r="L182" s="278">
        <v>0.95932203389799997</v>
      </c>
      <c r="M182" s="2" t="s">
        <v>2750</v>
      </c>
      <c r="N182" s="278">
        <v>1</v>
      </c>
    </row>
    <row r="183" spans="1:14" x14ac:dyDescent="0.25">
      <c r="A183" s="117">
        <v>540272</v>
      </c>
      <c r="B183" s="2" t="s">
        <v>315</v>
      </c>
      <c r="C183" s="2" t="s">
        <v>59</v>
      </c>
      <c r="D183" s="2" t="s">
        <v>115</v>
      </c>
      <c r="E183" s="2" t="s">
        <v>2271</v>
      </c>
      <c r="F183" s="2" t="s">
        <v>2493</v>
      </c>
      <c r="G183" s="2" t="s">
        <v>2493</v>
      </c>
      <c r="H183" s="2" t="s">
        <v>2303</v>
      </c>
      <c r="I183" s="2" t="s">
        <v>2569</v>
      </c>
      <c r="J183" s="2" t="s">
        <v>2493</v>
      </c>
      <c r="K183" s="2" t="s">
        <v>2303</v>
      </c>
      <c r="L183" s="278">
        <v>0.97499999999999998</v>
      </c>
      <c r="M183" s="2" t="s">
        <v>2436</v>
      </c>
      <c r="N183" s="278" t="s">
        <v>488</v>
      </c>
    </row>
    <row r="184" spans="1:14" x14ac:dyDescent="0.25">
      <c r="A184" s="117">
        <v>540273</v>
      </c>
      <c r="B184" s="2" t="s">
        <v>316</v>
      </c>
      <c r="C184" s="2" t="s">
        <v>59</v>
      </c>
      <c r="D184" s="2" t="s">
        <v>115</v>
      </c>
      <c r="E184" s="2" t="s">
        <v>2271</v>
      </c>
      <c r="F184" s="2" t="s">
        <v>2440</v>
      </c>
      <c r="G184" s="2" t="s">
        <v>2440</v>
      </c>
      <c r="H184" s="2" t="s">
        <v>2303</v>
      </c>
      <c r="I184" s="2" t="s">
        <v>2440</v>
      </c>
      <c r="J184" s="2" t="s">
        <v>2440</v>
      </c>
      <c r="K184" s="2" t="s">
        <v>2303</v>
      </c>
      <c r="L184" s="278">
        <v>1</v>
      </c>
      <c r="M184" s="2" t="s">
        <v>2436</v>
      </c>
      <c r="N184" s="278" t="s">
        <v>488</v>
      </c>
    </row>
    <row r="185" spans="1:14" x14ac:dyDescent="0.25">
      <c r="A185" s="117">
        <v>540274</v>
      </c>
      <c r="B185" s="2" t="s">
        <v>317</v>
      </c>
      <c r="C185" s="2" t="s">
        <v>59</v>
      </c>
      <c r="D185" s="2" t="s">
        <v>115</v>
      </c>
      <c r="E185" s="2" t="s">
        <v>2271</v>
      </c>
      <c r="F185" s="2" t="s">
        <v>2553</v>
      </c>
      <c r="G185" s="2" t="s">
        <v>2553</v>
      </c>
      <c r="H185" s="2" t="s">
        <v>2303</v>
      </c>
      <c r="I185" s="2" t="s">
        <v>2660</v>
      </c>
      <c r="J185" s="2" t="s">
        <v>2553</v>
      </c>
      <c r="K185" s="2" t="s">
        <v>2303</v>
      </c>
      <c r="L185" s="278">
        <v>0.98</v>
      </c>
      <c r="M185" s="2" t="s">
        <v>2436</v>
      </c>
      <c r="N185" s="278" t="s">
        <v>488</v>
      </c>
    </row>
    <row r="186" spans="1:14" x14ac:dyDescent="0.25">
      <c r="A186" s="269"/>
      <c r="B186" s="269"/>
      <c r="C186" s="269" t="s">
        <v>59</v>
      </c>
      <c r="D186" s="269"/>
      <c r="E186" s="269"/>
      <c r="F186" s="269" t="s">
        <v>2751</v>
      </c>
      <c r="G186" s="269" t="s">
        <v>2752</v>
      </c>
      <c r="H186" s="269" t="s">
        <v>2753</v>
      </c>
      <c r="I186" s="269" t="s">
        <v>2754</v>
      </c>
      <c r="J186" s="269" t="s">
        <v>2755</v>
      </c>
      <c r="K186" s="269" t="s">
        <v>2756</v>
      </c>
      <c r="L186" s="279">
        <v>0.62413324755199995</v>
      </c>
      <c r="M186" s="269" t="s">
        <v>2757</v>
      </c>
      <c r="N186" s="279">
        <v>0.86862575626600003</v>
      </c>
    </row>
    <row r="187" spans="1:14" x14ac:dyDescent="0.25">
      <c r="A187" s="117">
        <v>540144</v>
      </c>
      <c r="B187" s="2" t="s">
        <v>60</v>
      </c>
      <c r="C187" s="2" t="s">
        <v>61</v>
      </c>
      <c r="D187" s="2" t="s">
        <v>5</v>
      </c>
      <c r="E187" s="2" t="s">
        <v>2246</v>
      </c>
      <c r="F187" s="2" t="s">
        <v>2758</v>
      </c>
      <c r="G187" s="2" t="s">
        <v>2759</v>
      </c>
      <c r="H187" s="2" t="s">
        <v>2760</v>
      </c>
      <c r="I187" s="2" t="s">
        <v>2761</v>
      </c>
      <c r="J187" s="2" t="s">
        <v>2762</v>
      </c>
      <c r="K187" s="2" t="s">
        <v>2763</v>
      </c>
      <c r="L187" s="278">
        <v>0.40542652176999999</v>
      </c>
      <c r="M187" s="2" t="s">
        <v>2764</v>
      </c>
      <c r="N187" s="278">
        <v>0.71921268071800004</v>
      </c>
    </row>
    <row r="188" spans="1:14" x14ac:dyDescent="0.25">
      <c r="A188" s="117">
        <v>540005</v>
      </c>
      <c r="B188" s="2" t="s">
        <v>118</v>
      </c>
      <c r="C188" s="2" t="s">
        <v>61</v>
      </c>
      <c r="D188" s="2" t="s">
        <v>115</v>
      </c>
      <c r="E188" s="2" t="s">
        <v>2246</v>
      </c>
      <c r="F188" s="2" t="s">
        <v>2659</v>
      </c>
      <c r="G188" s="2" t="s">
        <v>2631</v>
      </c>
      <c r="H188" s="2" t="s">
        <v>2358</v>
      </c>
      <c r="I188" s="2" t="s">
        <v>2358</v>
      </c>
      <c r="J188" s="2" t="s">
        <v>2534</v>
      </c>
      <c r="K188" s="2" t="s">
        <v>2303</v>
      </c>
      <c r="L188" s="278">
        <v>0.51685393258400003</v>
      </c>
      <c r="M188" s="2" t="s">
        <v>2765</v>
      </c>
      <c r="N188" s="278">
        <v>0</v>
      </c>
    </row>
    <row r="189" spans="1:14" x14ac:dyDescent="0.25">
      <c r="A189" s="117">
        <v>540252</v>
      </c>
      <c r="B189" s="2" t="s">
        <v>298</v>
      </c>
      <c r="C189" s="2" t="s">
        <v>61</v>
      </c>
      <c r="D189" s="2" t="s">
        <v>115</v>
      </c>
      <c r="E189" s="2" t="s">
        <v>2246</v>
      </c>
      <c r="F189" s="2" t="s">
        <v>2428</v>
      </c>
      <c r="G189" s="2" t="s">
        <v>2766</v>
      </c>
      <c r="H189" s="2" t="s">
        <v>2303</v>
      </c>
      <c r="I189" s="2" t="s">
        <v>2303</v>
      </c>
      <c r="J189" s="2" t="s">
        <v>2303</v>
      </c>
      <c r="K189" s="2" t="s">
        <v>2303</v>
      </c>
      <c r="L189" s="278">
        <v>0</v>
      </c>
      <c r="M189" s="2" t="s">
        <v>2305</v>
      </c>
      <c r="N189" s="278" t="s">
        <v>488</v>
      </c>
    </row>
    <row r="190" spans="1:14" x14ac:dyDescent="0.25">
      <c r="A190" s="269"/>
      <c r="B190" s="269"/>
      <c r="C190" s="269" t="s">
        <v>61</v>
      </c>
      <c r="D190" s="269"/>
      <c r="E190" s="269"/>
      <c r="F190" s="269" t="s">
        <v>2767</v>
      </c>
      <c r="G190" s="269" t="s">
        <v>2768</v>
      </c>
      <c r="H190" s="269" t="s">
        <v>2769</v>
      </c>
      <c r="I190" s="269" t="s">
        <v>2770</v>
      </c>
      <c r="J190" s="269" t="s">
        <v>2771</v>
      </c>
      <c r="K190" s="269" t="s">
        <v>2763</v>
      </c>
      <c r="L190" s="279">
        <v>0.402743753062</v>
      </c>
      <c r="M190" s="269" t="s">
        <v>2772</v>
      </c>
      <c r="N190" s="279">
        <v>0.71349576637300005</v>
      </c>
    </row>
    <row r="191" spans="1:14" x14ac:dyDescent="0.25">
      <c r="A191" s="117">
        <v>540146</v>
      </c>
      <c r="B191" s="2" t="s">
        <v>62</v>
      </c>
      <c r="C191" s="2" t="s">
        <v>63</v>
      </c>
      <c r="D191" s="2" t="s">
        <v>5</v>
      </c>
      <c r="E191" s="2" t="s">
        <v>2252</v>
      </c>
      <c r="F191" s="2" t="s">
        <v>2773</v>
      </c>
      <c r="G191" s="2" t="s">
        <v>2774</v>
      </c>
      <c r="H191" s="2" t="s">
        <v>2525</v>
      </c>
      <c r="I191" s="2" t="s">
        <v>2775</v>
      </c>
      <c r="J191" s="2" t="s">
        <v>2776</v>
      </c>
      <c r="K191" s="2" t="s">
        <v>2602</v>
      </c>
      <c r="L191" s="278">
        <v>4.6354451119600001E-2</v>
      </c>
      <c r="M191" s="2" t="s">
        <v>2777</v>
      </c>
      <c r="N191" s="278">
        <v>0.92727272727300003</v>
      </c>
    </row>
    <row r="192" spans="1:14" x14ac:dyDescent="0.25">
      <c r="A192" s="117">
        <v>540147</v>
      </c>
      <c r="B192" s="2" t="s">
        <v>225</v>
      </c>
      <c r="C192" s="2" t="s">
        <v>63</v>
      </c>
      <c r="D192" s="2" t="s">
        <v>115</v>
      </c>
      <c r="E192" s="2" t="s">
        <v>2252</v>
      </c>
      <c r="F192" s="2" t="s">
        <v>2778</v>
      </c>
      <c r="G192" s="2" t="s">
        <v>2779</v>
      </c>
      <c r="H192" s="2" t="s">
        <v>2303</v>
      </c>
      <c r="I192" s="2" t="s">
        <v>2780</v>
      </c>
      <c r="J192" s="2" t="s">
        <v>2445</v>
      </c>
      <c r="K192" s="2" t="s">
        <v>2303</v>
      </c>
      <c r="L192" s="278">
        <v>0.48425196850399999</v>
      </c>
      <c r="M192" s="2" t="s">
        <v>2781</v>
      </c>
      <c r="N192" s="278" t="s">
        <v>488</v>
      </c>
    </row>
    <row r="193" spans="1:14" x14ac:dyDescent="0.25">
      <c r="A193" s="117">
        <v>540148</v>
      </c>
      <c r="B193" s="2" t="s">
        <v>226</v>
      </c>
      <c r="C193" s="2" t="s">
        <v>63</v>
      </c>
      <c r="D193" s="2" t="s">
        <v>115</v>
      </c>
      <c r="E193" s="2" t="s">
        <v>2252</v>
      </c>
      <c r="F193" s="2" t="s">
        <v>2528</v>
      </c>
      <c r="G193" s="2" t="s">
        <v>2303</v>
      </c>
      <c r="H193" s="2" t="s">
        <v>2303</v>
      </c>
      <c r="I193" s="2" t="s">
        <v>2303</v>
      </c>
      <c r="J193" s="2" t="s">
        <v>2303</v>
      </c>
      <c r="K193" s="2" t="s">
        <v>2303</v>
      </c>
      <c r="L193" s="278">
        <v>0</v>
      </c>
      <c r="M193" s="2" t="s">
        <v>488</v>
      </c>
      <c r="N193" s="278" t="s">
        <v>488</v>
      </c>
    </row>
    <row r="194" spans="1:14" x14ac:dyDescent="0.25">
      <c r="A194" s="269"/>
      <c r="B194" s="269"/>
      <c r="C194" s="269" t="s">
        <v>63</v>
      </c>
      <c r="D194" s="269"/>
      <c r="E194" s="269"/>
      <c r="F194" s="269" t="s">
        <v>2782</v>
      </c>
      <c r="G194" s="269" t="s">
        <v>2783</v>
      </c>
      <c r="H194" s="269" t="s">
        <v>2525</v>
      </c>
      <c r="I194" s="269" t="s">
        <v>2784</v>
      </c>
      <c r="J194" s="269" t="s">
        <v>2785</v>
      </c>
      <c r="K194" s="269" t="s">
        <v>2602</v>
      </c>
      <c r="L194" s="279">
        <v>6.0445664248799998E-2</v>
      </c>
      <c r="M194" s="269" t="s">
        <v>2786</v>
      </c>
      <c r="N194" s="279">
        <v>0.92727272727300003</v>
      </c>
    </row>
    <row r="195" spans="1:14" x14ac:dyDescent="0.25">
      <c r="A195" s="117">
        <v>540149</v>
      </c>
      <c r="B195" s="2" t="s">
        <v>64</v>
      </c>
      <c r="C195" s="2" t="s">
        <v>65</v>
      </c>
      <c r="D195" s="2" t="s">
        <v>5</v>
      </c>
      <c r="E195" s="2" t="s">
        <v>2253</v>
      </c>
      <c r="F195" s="2" t="s">
        <v>2787</v>
      </c>
      <c r="G195" s="2" t="s">
        <v>2788</v>
      </c>
      <c r="H195" s="2" t="s">
        <v>2789</v>
      </c>
      <c r="I195" s="2" t="s">
        <v>2790</v>
      </c>
      <c r="J195" s="2" t="s">
        <v>2303</v>
      </c>
      <c r="K195" s="2" t="s">
        <v>2791</v>
      </c>
      <c r="L195" s="278">
        <v>0.27011494252899998</v>
      </c>
      <c r="M195" s="2" t="s">
        <v>2305</v>
      </c>
      <c r="N195" s="278">
        <v>0.984025559105</v>
      </c>
    </row>
    <row r="196" spans="1:14" x14ac:dyDescent="0.25">
      <c r="A196" s="117">
        <v>540080</v>
      </c>
      <c r="B196" s="2" t="s">
        <v>175</v>
      </c>
      <c r="C196" s="2" t="s">
        <v>65</v>
      </c>
      <c r="D196" s="2" t="s">
        <v>115</v>
      </c>
      <c r="E196" s="2" t="s">
        <v>2253</v>
      </c>
      <c r="F196" s="2" t="s">
        <v>2303</v>
      </c>
      <c r="G196" s="2" t="s">
        <v>2303</v>
      </c>
      <c r="H196" s="2" t="s">
        <v>2303</v>
      </c>
      <c r="I196" s="2" t="s">
        <v>2303</v>
      </c>
      <c r="J196" s="2" t="s">
        <v>2303</v>
      </c>
      <c r="K196" s="2" t="s">
        <v>2303</v>
      </c>
      <c r="L196" s="278" t="s">
        <v>488</v>
      </c>
      <c r="M196" s="2" t="s">
        <v>488</v>
      </c>
      <c r="N196" s="278" t="s">
        <v>488</v>
      </c>
    </row>
    <row r="197" spans="1:14" x14ac:dyDescent="0.25">
      <c r="A197" s="117">
        <v>540094</v>
      </c>
      <c r="B197" s="2" t="s">
        <v>185</v>
      </c>
      <c r="C197" s="2" t="s">
        <v>65</v>
      </c>
      <c r="D197" s="2" t="s">
        <v>115</v>
      </c>
      <c r="E197" s="2" t="s">
        <v>2253</v>
      </c>
      <c r="F197" s="2" t="s">
        <v>2565</v>
      </c>
      <c r="G197" s="2" t="s">
        <v>2303</v>
      </c>
      <c r="H197" s="2" t="s">
        <v>2471</v>
      </c>
      <c r="I197" s="2" t="s">
        <v>2498</v>
      </c>
      <c r="J197" s="2" t="s">
        <v>2303</v>
      </c>
      <c r="K197" s="2" t="s">
        <v>2471</v>
      </c>
      <c r="L197" s="278">
        <v>0.24324324324300001</v>
      </c>
      <c r="M197" s="2" t="s">
        <v>488</v>
      </c>
      <c r="N197" s="278">
        <v>1</v>
      </c>
    </row>
    <row r="198" spans="1:14" x14ac:dyDescent="0.25">
      <c r="A198" s="117">
        <v>540150</v>
      </c>
      <c r="B198" s="2" t="s">
        <v>227</v>
      </c>
      <c r="C198" s="2" t="s">
        <v>65</v>
      </c>
      <c r="D198" s="2" t="s">
        <v>115</v>
      </c>
      <c r="E198" s="2" t="s">
        <v>2253</v>
      </c>
      <c r="F198" s="2" t="s">
        <v>2445</v>
      </c>
      <c r="G198" s="2" t="s">
        <v>2445</v>
      </c>
      <c r="H198" s="2" t="s">
        <v>2303</v>
      </c>
      <c r="I198" s="2" t="s">
        <v>2303</v>
      </c>
      <c r="J198" s="2" t="s">
        <v>2303</v>
      </c>
      <c r="K198" s="2" t="s">
        <v>2303</v>
      </c>
      <c r="L198" s="278">
        <v>0</v>
      </c>
      <c r="M198" s="2" t="s">
        <v>2305</v>
      </c>
      <c r="N198" s="278" t="s">
        <v>488</v>
      </c>
    </row>
    <row r="199" spans="1:14" x14ac:dyDescent="0.25">
      <c r="A199" s="117">
        <v>540151</v>
      </c>
      <c r="B199" s="2" t="s">
        <v>228</v>
      </c>
      <c r="C199" s="2" t="s">
        <v>65</v>
      </c>
      <c r="D199" s="2" t="s">
        <v>115</v>
      </c>
      <c r="E199" s="2" t="s">
        <v>2253</v>
      </c>
      <c r="F199" s="2" t="s">
        <v>2792</v>
      </c>
      <c r="G199" s="2" t="s">
        <v>2303</v>
      </c>
      <c r="H199" s="2" t="s">
        <v>2534</v>
      </c>
      <c r="I199" s="2" t="s">
        <v>2446</v>
      </c>
      <c r="J199" s="2" t="s">
        <v>2303</v>
      </c>
      <c r="K199" s="2" t="s">
        <v>2565</v>
      </c>
      <c r="L199" s="278">
        <v>0.321428571429</v>
      </c>
      <c r="M199" s="2" t="s">
        <v>488</v>
      </c>
      <c r="N199" s="278">
        <v>0.97368421052599996</v>
      </c>
    </row>
    <row r="200" spans="1:14" x14ac:dyDescent="0.25">
      <c r="A200" s="117">
        <v>540152</v>
      </c>
      <c r="B200" s="2" t="s">
        <v>229</v>
      </c>
      <c r="C200" s="2" t="s">
        <v>65</v>
      </c>
      <c r="D200" s="2" t="s">
        <v>115</v>
      </c>
      <c r="E200" s="2" t="s">
        <v>2253</v>
      </c>
      <c r="F200" s="2" t="s">
        <v>2793</v>
      </c>
      <c r="G200" s="2" t="s">
        <v>2794</v>
      </c>
      <c r="H200" s="2" t="s">
        <v>2551</v>
      </c>
      <c r="I200" s="2" t="s">
        <v>2430</v>
      </c>
      <c r="J200" s="2" t="s">
        <v>2303</v>
      </c>
      <c r="K200" s="2" t="s">
        <v>2430</v>
      </c>
      <c r="L200" s="278">
        <v>5.0980392156900001E-3</v>
      </c>
      <c r="M200" s="2" t="s">
        <v>2305</v>
      </c>
      <c r="N200" s="278">
        <v>0.92857142857099995</v>
      </c>
    </row>
    <row r="201" spans="1:14" x14ac:dyDescent="0.25">
      <c r="A201" s="117">
        <v>540275</v>
      </c>
      <c r="B201" s="2" t="s">
        <v>318</v>
      </c>
      <c r="C201" s="2" t="s">
        <v>65</v>
      </c>
      <c r="D201" s="2" t="s">
        <v>115</v>
      </c>
      <c r="E201" s="2" t="s">
        <v>2253</v>
      </c>
      <c r="F201" s="2" t="s">
        <v>2303</v>
      </c>
      <c r="G201" s="2" t="s">
        <v>2303</v>
      </c>
      <c r="H201" s="2" t="s">
        <v>2303</v>
      </c>
      <c r="I201" s="2" t="s">
        <v>2303</v>
      </c>
      <c r="J201" s="2" t="s">
        <v>2303</v>
      </c>
      <c r="K201" s="2" t="s">
        <v>2303</v>
      </c>
      <c r="L201" s="278" t="s">
        <v>488</v>
      </c>
      <c r="M201" s="2" t="s">
        <v>488</v>
      </c>
      <c r="N201" s="278" t="s">
        <v>488</v>
      </c>
    </row>
    <row r="202" spans="1:14" x14ac:dyDescent="0.25">
      <c r="A202" s="269"/>
      <c r="B202" s="269"/>
      <c r="C202" s="269" t="s">
        <v>65</v>
      </c>
      <c r="D202" s="269"/>
      <c r="E202" s="269"/>
      <c r="F202" s="269" t="s">
        <v>2795</v>
      </c>
      <c r="G202" s="269" t="s">
        <v>2796</v>
      </c>
      <c r="H202" s="269" t="s">
        <v>2797</v>
      </c>
      <c r="I202" s="269" t="s">
        <v>2798</v>
      </c>
      <c r="J202" s="269" t="s">
        <v>2303</v>
      </c>
      <c r="K202" s="269" t="s">
        <v>2799</v>
      </c>
      <c r="L202" s="279">
        <v>0.132949125596</v>
      </c>
      <c r="M202" s="269" t="s">
        <v>2305</v>
      </c>
      <c r="N202" s="279">
        <v>0.98255813953500004</v>
      </c>
    </row>
    <row r="203" spans="1:14" x14ac:dyDescent="0.25">
      <c r="A203" s="117">
        <v>540153</v>
      </c>
      <c r="B203" s="2" t="s">
        <v>66</v>
      </c>
      <c r="C203" s="2" t="s">
        <v>67</v>
      </c>
      <c r="D203" s="2" t="s">
        <v>5</v>
      </c>
      <c r="E203" s="2" t="s">
        <v>2272</v>
      </c>
      <c r="F203" s="2" t="s">
        <v>2800</v>
      </c>
      <c r="G203" s="2" t="s">
        <v>2706</v>
      </c>
      <c r="H203" s="2" t="s">
        <v>2303</v>
      </c>
      <c r="I203" s="2" t="s">
        <v>2373</v>
      </c>
      <c r="J203" s="2" t="s">
        <v>2303</v>
      </c>
      <c r="K203" s="2" t="s">
        <v>2303</v>
      </c>
      <c r="L203" s="278">
        <v>6.9122831271199993E-5</v>
      </c>
      <c r="M203" s="2" t="s">
        <v>2305</v>
      </c>
      <c r="N203" s="278" t="s">
        <v>488</v>
      </c>
    </row>
    <row r="204" spans="1:14" x14ac:dyDescent="0.25">
      <c r="A204" s="117">
        <v>540154</v>
      </c>
      <c r="B204" s="2" t="s">
        <v>230</v>
      </c>
      <c r="C204" s="2" t="s">
        <v>67</v>
      </c>
      <c r="D204" s="2" t="s">
        <v>115</v>
      </c>
      <c r="E204" s="2" t="s">
        <v>2272</v>
      </c>
      <c r="F204" s="2" t="s">
        <v>2401</v>
      </c>
      <c r="G204" s="2" t="s">
        <v>2401</v>
      </c>
      <c r="H204" s="2" t="s">
        <v>2303</v>
      </c>
      <c r="I204" s="2" t="s">
        <v>2303</v>
      </c>
      <c r="J204" s="2" t="s">
        <v>2303</v>
      </c>
      <c r="K204" s="2" t="s">
        <v>2303</v>
      </c>
      <c r="L204" s="278">
        <v>0</v>
      </c>
      <c r="M204" s="2" t="s">
        <v>2305</v>
      </c>
      <c r="N204" s="278" t="s">
        <v>488</v>
      </c>
    </row>
    <row r="205" spans="1:14" x14ac:dyDescent="0.25">
      <c r="A205" s="269"/>
      <c r="B205" s="269"/>
      <c r="C205" s="269" t="s">
        <v>67</v>
      </c>
      <c r="D205" s="269"/>
      <c r="E205" s="269"/>
      <c r="F205" s="269" t="s">
        <v>2801</v>
      </c>
      <c r="G205" s="269" t="s">
        <v>2434</v>
      </c>
      <c r="H205" s="269" t="s">
        <v>2303</v>
      </c>
      <c r="I205" s="269" t="s">
        <v>2373</v>
      </c>
      <c r="J205" s="269" t="s">
        <v>2303</v>
      </c>
      <c r="K205" s="269" t="s">
        <v>2303</v>
      </c>
      <c r="L205" s="279">
        <v>6.89845474614E-5</v>
      </c>
      <c r="M205" s="269" t="s">
        <v>2305</v>
      </c>
      <c r="N205" s="279" t="s">
        <v>488</v>
      </c>
    </row>
    <row r="206" spans="1:14" x14ac:dyDescent="0.25">
      <c r="A206" s="117">
        <v>540160</v>
      </c>
      <c r="B206" s="2" t="s">
        <v>68</v>
      </c>
      <c r="C206" s="2" t="s">
        <v>69</v>
      </c>
      <c r="D206" s="2" t="s">
        <v>5</v>
      </c>
      <c r="E206" s="2" t="s">
        <v>2271</v>
      </c>
      <c r="F206" s="2" t="s">
        <v>2802</v>
      </c>
      <c r="G206" s="2" t="s">
        <v>2769</v>
      </c>
      <c r="H206" s="2" t="s">
        <v>2803</v>
      </c>
      <c r="I206" s="2" t="s">
        <v>2804</v>
      </c>
      <c r="J206" s="2" t="s">
        <v>2805</v>
      </c>
      <c r="K206" s="2" t="s">
        <v>2806</v>
      </c>
      <c r="L206" s="278">
        <v>0.566729642009</v>
      </c>
      <c r="M206" s="2" t="s">
        <v>2807</v>
      </c>
      <c r="N206" s="278">
        <v>0.59351432880800004</v>
      </c>
    </row>
    <row r="207" spans="1:14" x14ac:dyDescent="0.25">
      <c r="A207" s="117">
        <v>540137</v>
      </c>
      <c r="B207" s="2" t="s">
        <v>220</v>
      </c>
      <c r="C207" s="2" t="s">
        <v>69</v>
      </c>
      <c r="D207" s="2" t="s">
        <v>115</v>
      </c>
      <c r="E207" s="2" t="s">
        <v>2271</v>
      </c>
      <c r="F207" s="2" t="s">
        <v>2303</v>
      </c>
      <c r="G207" s="2" t="s">
        <v>2303</v>
      </c>
      <c r="H207" s="2" t="s">
        <v>2303</v>
      </c>
      <c r="I207" s="2" t="s">
        <v>2303</v>
      </c>
      <c r="J207" s="2" t="s">
        <v>2303</v>
      </c>
      <c r="K207" s="2" t="s">
        <v>2303</v>
      </c>
      <c r="L207" s="278" t="s">
        <v>488</v>
      </c>
      <c r="M207" s="2" t="s">
        <v>488</v>
      </c>
      <c r="N207" s="278" t="s">
        <v>488</v>
      </c>
    </row>
    <row r="208" spans="1:14" x14ac:dyDescent="0.25">
      <c r="A208" s="117">
        <v>540161</v>
      </c>
      <c r="B208" s="2" t="s">
        <v>235</v>
      </c>
      <c r="C208" s="2" t="s">
        <v>69</v>
      </c>
      <c r="D208" s="2" t="s">
        <v>115</v>
      </c>
      <c r="E208" s="2" t="s">
        <v>2271</v>
      </c>
      <c r="F208" s="2" t="s">
        <v>2808</v>
      </c>
      <c r="G208" s="2" t="s">
        <v>2350</v>
      </c>
      <c r="H208" s="2" t="s">
        <v>2350</v>
      </c>
      <c r="I208" s="2" t="s">
        <v>2350</v>
      </c>
      <c r="J208" s="2" t="s">
        <v>2351</v>
      </c>
      <c r="K208" s="2" t="s">
        <v>2303</v>
      </c>
      <c r="L208" s="278">
        <v>0.50370370370399997</v>
      </c>
      <c r="M208" s="2" t="s">
        <v>2809</v>
      </c>
      <c r="N208" s="278">
        <v>0</v>
      </c>
    </row>
    <row r="209" spans="1:14" x14ac:dyDescent="0.25">
      <c r="A209" s="117">
        <v>540162</v>
      </c>
      <c r="B209" s="2" t="s">
        <v>236</v>
      </c>
      <c r="C209" s="2" t="s">
        <v>69</v>
      </c>
      <c r="D209" s="2" t="s">
        <v>115</v>
      </c>
      <c r="E209" s="2" t="s">
        <v>2271</v>
      </c>
      <c r="F209" s="2" t="s">
        <v>2300</v>
      </c>
      <c r="G209" s="2" t="s">
        <v>2601</v>
      </c>
      <c r="H209" s="2" t="s">
        <v>2387</v>
      </c>
      <c r="I209" s="2" t="s">
        <v>2387</v>
      </c>
      <c r="J209" s="2" t="s">
        <v>2601</v>
      </c>
      <c r="K209" s="2" t="s">
        <v>2303</v>
      </c>
      <c r="L209" s="278">
        <v>0.51428571428600001</v>
      </c>
      <c r="M209" s="2" t="s">
        <v>2436</v>
      </c>
      <c r="N209" s="278">
        <v>0</v>
      </c>
    </row>
    <row r="210" spans="1:14" x14ac:dyDescent="0.25">
      <c r="A210" s="117">
        <v>540163</v>
      </c>
      <c r="B210" s="2" t="s">
        <v>237</v>
      </c>
      <c r="C210" s="2" t="s">
        <v>69</v>
      </c>
      <c r="D210" s="2" t="s">
        <v>115</v>
      </c>
      <c r="E210" s="2" t="s">
        <v>2271</v>
      </c>
      <c r="F210" s="2" t="s">
        <v>2810</v>
      </c>
      <c r="G210" s="2" t="s">
        <v>2511</v>
      </c>
      <c r="H210" s="2" t="s">
        <v>2323</v>
      </c>
      <c r="I210" s="2" t="s">
        <v>2811</v>
      </c>
      <c r="J210" s="2" t="s">
        <v>2779</v>
      </c>
      <c r="K210" s="2" t="s">
        <v>2484</v>
      </c>
      <c r="L210" s="278">
        <v>0.49077490774900001</v>
      </c>
      <c r="M210" s="2" t="s">
        <v>2812</v>
      </c>
      <c r="N210" s="278">
        <v>1.4705882352899999E-2</v>
      </c>
    </row>
    <row r="211" spans="1:14" x14ac:dyDescent="0.25">
      <c r="A211" s="117">
        <v>540254</v>
      </c>
      <c r="B211" s="2" t="s">
        <v>300</v>
      </c>
      <c r="C211" s="2" t="s">
        <v>69</v>
      </c>
      <c r="D211" s="2" t="s">
        <v>115</v>
      </c>
      <c r="E211" s="2" t="s">
        <v>2271</v>
      </c>
      <c r="F211" s="2" t="s">
        <v>2330</v>
      </c>
      <c r="G211" s="2" t="s">
        <v>2303</v>
      </c>
      <c r="H211" s="2" t="s">
        <v>2601</v>
      </c>
      <c r="I211" s="2" t="s">
        <v>2443</v>
      </c>
      <c r="J211" s="2" t="s">
        <v>2303</v>
      </c>
      <c r="K211" s="2" t="s">
        <v>2601</v>
      </c>
      <c r="L211" s="278">
        <v>0.47058823529400001</v>
      </c>
      <c r="M211" s="2" t="s">
        <v>488</v>
      </c>
      <c r="N211" s="278">
        <v>1</v>
      </c>
    </row>
    <row r="212" spans="1:14" x14ac:dyDescent="0.25">
      <c r="A212" s="117">
        <v>540257</v>
      </c>
      <c r="B212" s="2" t="s">
        <v>302</v>
      </c>
      <c r="C212" s="2" t="s">
        <v>69</v>
      </c>
      <c r="D212" s="2" t="s">
        <v>115</v>
      </c>
      <c r="E212" s="2" t="s">
        <v>2271</v>
      </c>
      <c r="F212" s="2" t="s">
        <v>2813</v>
      </c>
      <c r="G212" s="2" t="s">
        <v>2303</v>
      </c>
      <c r="H212" s="2" t="s">
        <v>2565</v>
      </c>
      <c r="I212" s="2" t="s">
        <v>2446</v>
      </c>
      <c r="J212" s="2" t="s">
        <v>2303</v>
      </c>
      <c r="K212" s="2" t="s">
        <v>2446</v>
      </c>
      <c r="L212" s="278">
        <v>0.5</v>
      </c>
      <c r="M212" s="2" t="s">
        <v>488</v>
      </c>
      <c r="N212" s="278">
        <v>0.97297297297300001</v>
      </c>
    </row>
    <row r="213" spans="1:14" x14ac:dyDescent="0.25">
      <c r="A213" s="117">
        <v>540268</v>
      </c>
      <c r="B213" s="2" t="s">
        <v>311</v>
      </c>
      <c r="C213" s="2" t="s">
        <v>69</v>
      </c>
      <c r="D213" s="2" t="s">
        <v>115</v>
      </c>
      <c r="E213" s="2" t="s">
        <v>2271</v>
      </c>
      <c r="F213" s="2" t="s">
        <v>2570</v>
      </c>
      <c r="G213" s="2" t="s">
        <v>2303</v>
      </c>
      <c r="H213" s="2" t="s">
        <v>2521</v>
      </c>
      <c r="I213" s="2" t="s">
        <v>2521</v>
      </c>
      <c r="J213" s="2" t="s">
        <v>2303</v>
      </c>
      <c r="K213" s="2" t="s">
        <v>2521</v>
      </c>
      <c r="L213" s="278">
        <v>0.53846153846199996</v>
      </c>
      <c r="M213" s="2" t="s">
        <v>488</v>
      </c>
      <c r="N213" s="278">
        <v>1</v>
      </c>
    </row>
    <row r="214" spans="1:14" x14ac:dyDescent="0.25">
      <c r="A214" s="117">
        <v>540269</v>
      </c>
      <c r="B214" s="2" t="s">
        <v>312</v>
      </c>
      <c r="C214" s="2" t="s">
        <v>69</v>
      </c>
      <c r="D214" s="2" t="s">
        <v>115</v>
      </c>
      <c r="E214" s="2" t="s">
        <v>2271</v>
      </c>
      <c r="F214" s="2" t="s">
        <v>2601</v>
      </c>
      <c r="G214" s="2" t="s">
        <v>2601</v>
      </c>
      <c r="H214" s="2" t="s">
        <v>2303</v>
      </c>
      <c r="I214" s="2" t="s">
        <v>2443</v>
      </c>
      <c r="J214" s="2" t="s">
        <v>2601</v>
      </c>
      <c r="K214" s="2" t="s">
        <v>2303</v>
      </c>
      <c r="L214" s="278">
        <v>0.94117647058800002</v>
      </c>
      <c r="M214" s="2" t="s">
        <v>2436</v>
      </c>
      <c r="N214" s="278" t="s">
        <v>488</v>
      </c>
    </row>
    <row r="215" spans="1:14" x14ac:dyDescent="0.25">
      <c r="A215" s="117">
        <v>540270</v>
      </c>
      <c r="B215" s="2" t="s">
        <v>313</v>
      </c>
      <c r="C215" s="2" t="s">
        <v>69</v>
      </c>
      <c r="D215" s="2" t="s">
        <v>115</v>
      </c>
      <c r="E215" s="2" t="s">
        <v>2271</v>
      </c>
      <c r="F215" s="2" t="s">
        <v>2373</v>
      </c>
      <c r="G215" s="2" t="s">
        <v>2373</v>
      </c>
      <c r="H215" s="2" t="s">
        <v>2303</v>
      </c>
      <c r="I215" s="2" t="s">
        <v>2373</v>
      </c>
      <c r="J215" s="2" t="s">
        <v>2373</v>
      </c>
      <c r="K215" s="2" t="s">
        <v>2303</v>
      </c>
      <c r="L215" s="278">
        <v>1</v>
      </c>
      <c r="M215" s="2" t="s">
        <v>2436</v>
      </c>
      <c r="N215" s="278" t="s">
        <v>488</v>
      </c>
    </row>
    <row r="216" spans="1:14" x14ac:dyDescent="0.25">
      <c r="A216" s="117">
        <v>540284</v>
      </c>
      <c r="B216" s="2" t="s">
        <v>323</v>
      </c>
      <c r="C216" s="2" t="s">
        <v>69</v>
      </c>
      <c r="D216" s="2" t="s">
        <v>115</v>
      </c>
      <c r="E216" s="2" t="s">
        <v>2271</v>
      </c>
      <c r="F216" s="2" t="s">
        <v>2446</v>
      </c>
      <c r="G216" s="2" t="s">
        <v>2387</v>
      </c>
      <c r="H216" s="2" t="s">
        <v>2385</v>
      </c>
      <c r="I216" s="2" t="s">
        <v>2385</v>
      </c>
      <c r="J216" s="2" t="s">
        <v>2387</v>
      </c>
      <c r="K216" s="2" t="s">
        <v>2303</v>
      </c>
      <c r="L216" s="278">
        <v>0.52777777777799995</v>
      </c>
      <c r="M216" s="2" t="s">
        <v>2436</v>
      </c>
      <c r="N216" s="278">
        <v>0</v>
      </c>
    </row>
    <row r="217" spans="1:14" x14ac:dyDescent="0.25">
      <c r="A217" s="269"/>
      <c r="B217" s="269"/>
      <c r="C217" s="269" t="s">
        <v>69</v>
      </c>
      <c r="D217" s="269"/>
      <c r="E217" s="269"/>
      <c r="F217" s="269" t="s">
        <v>2814</v>
      </c>
      <c r="G217" s="269" t="s">
        <v>2815</v>
      </c>
      <c r="H217" s="269" t="s">
        <v>2816</v>
      </c>
      <c r="I217" s="269" t="s">
        <v>2817</v>
      </c>
      <c r="J217" s="269" t="s">
        <v>2818</v>
      </c>
      <c r="K217" s="269" t="s">
        <v>2819</v>
      </c>
      <c r="L217" s="279">
        <v>0.56414893123800003</v>
      </c>
      <c r="M217" s="269" t="s">
        <v>2820</v>
      </c>
      <c r="N217" s="279">
        <v>0.57657901870399997</v>
      </c>
    </row>
    <row r="218" spans="1:14" x14ac:dyDescent="0.25">
      <c r="A218" s="117">
        <v>540164</v>
      </c>
      <c r="B218" s="2" t="s">
        <v>70</v>
      </c>
      <c r="C218" s="2" t="s">
        <v>71</v>
      </c>
      <c r="D218" s="2" t="s">
        <v>5</v>
      </c>
      <c r="E218" s="2" t="s">
        <v>2248</v>
      </c>
      <c r="F218" s="2" t="s">
        <v>2821</v>
      </c>
      <c r="G218" s="2" t="s">
        <v>2822</v>
      </c>
      <c r="H218" s="2" t="s">
        <v>2823</v>
      </c>
      <c r="I218" s="2" t="s">
        <v>2824</v>
      </c>
      <c r="J218" s="2" t="s">
        <v>2303</v>
      </c>
      <c r="K218" s="2" t="s">
        <v>2825</v>
      </c>
      <c r="L218" s="278">
        <v>0.21578258022300001</v>
      </c>
      <c r="M218" s="2" t="s">
        <v>2305</v>
      </c>
      <c r="N218" s="278">
        <v>0.99698522761499997</v>
      </c>
    </row>
    <row r="219" spans="1:14" x14ac:dyDescent="0.25">
      <c r="A219" s="117">
        <v>540081</v>
      </c>
      <c r="B219" s="2" t="s">
        <v>176</v>
      </c>
      <c r="C219" s="2" t="s">
        <v>71</v>
      </c>
      <c r="D219" s="2" t="s">
        <v>115</v>
      </c>
      <c r="E219" s="2" t="s">
        <v>2248</v>
      </c>
      <c r="F219" s="2" t="s">
        <v>2524</v>
      </c>
      <c r="G219" s="2" t="s">
        <v>2826</v>
      </c>
      <c r="H219" s="2" t="s">
        <v>2492</v>
      </c>
      <c r="I219" s="2" t="s">
        <v>2492</v>
      </c>
      <c r="J219" s="2" t="s">
        <v>2303</v>
      </c>
      <c r="K219" s="2" t="s">
        <v>2376</v>
      </c>
      <c r="L219" s="278">
        <v>0.322834645669</v>
      </c>
      <c r="M219" s="2" t="s">
        <v>2305</v>
      </c>
      <c r="N219" s="278">
        <v>0.17073170731699999</v>
      </c>
    </row>
    <row r="220" spans="1:14" x14ac:dyDescent="0.25">
      <c r="A220" s="117">
        <v>540165</v>
      </c>
      <c r="B220" s="2" t="s">
        <v>238</v>
      </c>
      <c r="C220" s="2" t="s">
        <v>71</v>
      </c>
      <c r="D220" s="2" t="s">
        <v>115</v>
      </c>
      <c r="E220" s="2" t="s">
        <v>2248</v>
      </c>
      <c r="F220" s="2" t="s">
        <v>2827</v>
      </c>
      <c r="G220" s="2" t="s">
        <v>2827</v>
      </c>
      <c r="H220" s="2" t="s">
        <v>2303</v>
      </c>
      <c r="I220" s="2" t="s">
        <v>2303</v>
      </c>
      <c r="J220" s="2" t="s">
        <v>2303</v>
      </c>
      <c r="K220" s="2" t="s">
        <v>2303</v>
      </c>
      <c r="L220" s="278">
        <v>0</v>
      </c>
      <c r="M220" s="2" t="s">
        <v>2305</v>
      </c>
      <c r="N220" s="278" t="s">
        <v>488</v>
      </c>
    </row>
    <row r="221" spans="1:14" x14ac:dyDescent="0.25">
      <c r="A221" s="117">
        <v>540166</v>
      </c>
      <c r="B221" s="2" t="s">
        <v>239</v>
      </c>
      <c r="C221" s="2" t="s">
        <v>71</v>
      </c>
      <c r="D221" s="2" t="s">
        <v>115</v>
      </c>
      <c r="E221" s="2" t="s">
        <v>2248</v>
      </c>
      <c r="F221" s="2" t="s">
        <v>2828</v>
      </c>
      <c r="G221" s="2" t="s">
        <v>2828</v>
      </c>
      <c r="H221" s="2" t="s">
        <v>2303</v>
      </c>
      <c r="I221" s="2" t="s">
        <v>2303</v>
      </c>
      <c r="J221" s="2" t="s">
        <v>2303</v>
      </c>
      <c r="K221" s="2" t="s">
        <v>2303</v>
      </c>
      <c r="L221" s="278">
        <v>0</v>
      </c>
      <c r="M221" s="2" t="s">
        <v>2305</v>
      </c>
      <c r="N221" s="278" t="s">
        <v>488</v>
      </c>
    </row>
    <row r="222" spans="1:14" x14ac:dyDescent="0.25">
      <c r="A222" s="117">
        <v>540167</v>
      </c>
      <c r="B222" s="2" t="s">
        <v>240</v>
      </c>
      <c r="C222" s="2" t="s">
        <v>71</v>
      </c>
      <c r="D222" s="2" t="s">
        <v>115</v>
      </c>
      <c r="E222" s="2" t="s">
        <v>2248</v>
      </c>
      <c r="F222" s="2" t="s">
        <v>2829</v>
      </c>
      <c r="G222" s="2" t="s">
        <v>2659</v>
      </c>
      <c r="H222" s="2" t="s">
        <v>2498</v>
      </c>
      <c r="I222" s="2" t="s">
        <v>2498</v>
      </c>
      <c r="J222" s="2" t="s">
        <v>2303</v>
      </c>
      <c r="K222" s="2" t="s">
        <v>2498</v>
      </c>
      <c r="L222" s="278">
        <v>8.4112149532700006E-2</v>
      </c>
      <c r="M222" s="2" t="s">
        <v>2305</v>
      </c>
      <c r="N222" s="278">
        <v>1</v>
      </c>
    </row>
    <row r="223" spans="1:14" x14ac:dyDescent="0.25">
      <c r="A223" s="117">
        <v>540168</v>
      </c>
      <c r="B223" s="2" t="s">
        <v>241</v>
      </c>
      <c r="C223" s="2" t="s">
        <v>71</v>
      </c>
      <c r="D223" s="2" t="s">
        <v>115</v>
      </c>
      <c r="E223" s="2" t="s">
        <v>2248</v>
      </c>
      <c r="F223" s="2" t="s">
        <v>2580</v>
      </c>
      <c r="G223" s="2" t="s">
        <v>2580</v>
      </c>
      <c r="H223" s="2" t="s">
        <v>2303</v>
      </c>
      <c r="I223" s="2" t="s">
        <v>2303</v>
      </c>
      <c r="J223" s="2" t="s">
        <v>2303</v>
      </c>
      <c r="K223" s="2" t="s">
        <v>2303</v>
      </c>
      <c r="L223" s="278">
        <v>0</v>
      </c>
      <c r="M223" s="2" t="s">
        <v>2305</v>
      </c>
      <c r="N223" s="278" t="s">
        <v>488</v>
      </c>
    </row>
    <row r="224" spans="1:14" x14ac:dyDescent="0.25">
      <c r="A224" s="117">
        <v>540222</v>
      </c>
      <c r="B224" s="2" t="s">
        <v>276</v>
      </c>
      <c r="C224" s="2" t="s">
        <v>71</v>
      </c>
      <c r="D224" s="2" t="s">
        <v>115</v>
      </c>
      <c r="E224" s="2" t="s">
        <v>2248</v>
      </c>
      <c r="F224" s="2" t="s">
        <v>2830</v>
      </c>
      <c r="G224" s="2" t="s">
        <v>2830</v>
      </c>
      <c r="H224" s="2" t="s">
        <v>2303</v>
      </c>
      <c r="I224" s="2" t="s">
        <v>2303</v>
      </c>
      <c r="J224" s="2" t="s">
        <v>2303</v>
      </c>
      <c r="K224" s="2" t="s">
        <v>2303</v>
      </c>
      <c r="L224" s="278">
        <v>0</v>
      </c>
      <c r="M224" s="2" t="s">
        <v>2305</v>
      </c>
      <c r="N224" s="278" t="s">
        <v>488</v>
      </c>
    </row>
    <row r="225" spans="1:14" x14ac:dyDescent="0.25">
      <c r="A225" s="117">
        <v>540271</v>
      </c>
      <c r="B225" s="2" t="s">
        <v>314</v>
      </c>
      <c r="C225" s="2" t="s">
        <v>71</v>
      </c>
      <c r="D225" s="2" t="s">
        <v>115</v>
      </c>
      <c r="E225" s="2" t="s">
        <v>2248</v>
      </c>
      <c r="F225" s="2" t="s">
        <v>2829</v>
      </c>
      <c r="G225" s="2" t="s">
        <v>2829</v>
      </c>
      <c r="H225" s="2" t="s">
        <v>2303</v>
      </c>
      <c r="I225" s="2" t="s">
        <v>2303</v>
      </c>
      <c r="J225" s="2" t="s">
        <v>2303</v>
      </c>
      <c r="K225" s="2" t="s">
        <v>2303</v>
      </c>
      <c r="L225" s="278">
        <v>0</v>
      </c>
      <c r="M225" s="2" t="s">
        <v>2305</v>
      </c>
      <c r="N225" s="278" t="s">
        <v>488</v>
      </c>
    </row>
    <row r="226" spans="1:14" x14ac:dyDescent="0.25">
      <c r="A226" s="269"/>
      <c r="B226" s="269"/>
      <c r="C226" s="269" t="s">
        <v>71</v>
      </c>
      <c r="D226" s="269"/>
      <c r="E226" s="269"/>
      <c r="F226" s="269" t="s">
        <v>2831</v>
      </c>
      <c r="G226" s="269" t="s">
        <v>2832</v>
      </c>
      <c r="H226" s="269" t="s">
        <v>2833</v>
      </c>
      <c r="I226" s="269" t="s">
        <v>2834</v>
      </c>
      <c r="J226" s="269" t="s">
        <v>2303</v>
      </c>
      <c r="K226" s="269" t="s">
        <v>2835</v>
      </c>
      <c r="L226" s="279">
        <v>0.20072007200700001</v>
      </c>
      <c r="M226" s="269" t="s">
        <v>2305</v>
      </c>
      <c r="N226" s="279">
        <v>0.98693198693200002</v>
      </c>
    </row>
    <row r="227" spans="1:14" x14ac:dyDescent="0.25">
      <c r="A227" s="117">
        <v>540169</v>
      </c>
      <c r="B227" s="2" t="s">
        <v>72</v>
      </c>
      <c r="C227" s="2" t="s">
        <v>73</v>
      </c>
      <c r="D227" s="2" t="s">
        <v>5</v>
      </c>
      <c r="E227" s="2" t="s">
        <v>2247</v>
      </c>
      <c r="F227" s="2" t="s">
        <v>2836</v>
      </c>
      <c r="G227" s="2" t="s">
        <v>2837</v>
      </c>
      <c r="H227" s="2" t="s">
        <v>2838</v>
      </c>
      <c r="I227" s="2" t="s">
        <v>2839</v>
      </c>
      <c r="J227" s="2" t="s">
        <v>2840</v>
      </c>
      <c r="K227" s="2" t="s">
        <v>2841</v>
      </c>
      <c r="L227" s="278">
        <v>0.42805110084300002</v>
      </c>
      <c r="M227" s="2" t="s">
        <v>2842</v>
      </c>
      <c r="N227" s="278">
        <v>0.86521245744499997</v>
      </c>
    </row>
    <row r="228" spans="1:14" x14ac:dyDescent="0.25">
      <c r="A228" s="117">
        <v>540170</v>
      </c>
      <c r="B228" s="2" t="s">
        <v>242</v>
      </c>
      <c r="C228" s="2" t="s">
        <v>73</v>
      </c>
      <c r="D228" s="2" t="s">
        <v>115</v>
      </c>
      <c r="E228" s="2" t="s">
        <v>2247</v>
      </c>
      <c r="F228" s="2" t="s">
        <v>2843</v>
      </c>
      <c r="G228" s="2" t="s">
        <v>2495</v>
      </c>
      <c r="H228" s="2" t="s">
        <v>2844</v>
      </c>
      <c r="I228" s="2" t="s">
        <v>2844</v>
      </c>
      <c r="J228" s="2" t="s">
        <v>2551</v>
      </c>
      <c r="K228" s="2" t="s">
        <v>2534</v>
      </c>
      <c r="L228" s="278">
        <v>0.41085271317799998</v>
      </c>
      <c r="M228" s="2" t="s">
        <v>2845</v>
      </c>
      <c r="N228" s="278">
        <v>0.71698113207500003</v>
      </c>
    </row>
    <row r="229" spans="1:14" x14ac:dyDescent="0.25">
      <c r="A229" s="117">
        <v>540171</v>
      </c>
      <c r="B229" s="2" t="s">
        <v>243</v>
      </c>
      <c r="C229" s="2" t="s">
        <v>73</v>
      </c>
      <c r="D229" s="2" t="s">
        <v>115</v>
      </c>
      <c r="E229" s="2" t="s">
        <v>2247</v>
      </c>
      <c r="F229" s="2" t="s">
        <v>2552</v>
      </c>
      <c r="G229" s="2" t="s">
        <v>2303</v>
      </c>
      <c r="H229" s="2" t="s">
        <v>2687</v>
      </c>
      <c r="I229" s="2" t="s">
        <v>2687</v>
      </c>
      <c r="J229" s="2" t="s">
        <v>2303</v>
      </c>
      <c r="K229" s="2" t="s">
        <v>2687</v>
      </c>
      <c r="L229" s="278">
        <v>0.415584415584</v>
      </c>
      <c r="M229" s="2" t="s">
        <v>488</v>
      </c>
      <c r="N229" s="278">
        <v>1</v>
      </c>
    </row>
    <row r="230" spans="1:14" x14ac:dyDescent="0.25">
      <c r="A230" s="117">
        <v>540173</v>
      </c>
      <c r="B230" s="2" t="s">
        <v>245</v>
      </c>
      <c r="C230" s="2" t="s">
        <v>73</v>
      </c>
      <c r="D230" s="2" t="s">
        <v>115</v>
      </c>
      <c r="E230" s="2" t="s">
        <v>2247</v>
      </c>
      <c r="F230" s="2" t="s">
        <v>2308</v>
      </c>
      <c r="G230" s="2" t="s">
        <v>2303</v>
      </c>
      <c r="H230" s="2" t="s">
        <v>2687</v>
      </c>
      <c r="I230" s="2" t="s">
        <v>2687</v>
      </c>
      <c r="J230" s="2" t="s">
        <v>2303</v>
      </c>
      <c r="K230" s="2" t="s">
        <v>2687</v>
      </c>
      <c r="L230" s="278">
        <v>0.34782608695700001</v>
      </c>
      <c r="M230" s="2" t="s">
        <v>488</v>
      </c>
      <c r="N230" s="278">
        <v>1</v>
      </c>
    </row>
    <row r="231" spans="1:14" x14ac:dyDescent="0.25">
      <c r="A231" s="117">
        <v>540174</v>
      </c>
      <c r="B231" s="2" t="s">
        <v>246</v>
      </c>
      <c r="C231" s="2" t="s">
        <v>73</v>
      </c>
      <c r="D231" s="2" t="s">
        <v>115</v>
      </c>
      <c r="E231" s="2" t="s">
        <v>2247</v>
      </c>
      <c r="F231" s="2" t="s">
        <v>2430</v>
      </c>
      <c r="G231" s="2" t="s">
        <v>2412</v>
      </c>
      <c r="H231" s="2" t="s">
        <v>2484</v>
      </c>
      <c r="I231" s="2" t="s">
        <v>2326</v>
      </c>
      <c r="J231" s="2" t="s">
        <v>2326</v>
      </c>
      <c r="K231" s="2" t="s">
        <v>2303</v>
      </c>
      <c r="L231" s="278">
        <v>0.23076923076899999</v>
      </c>
      <c r="M231" s="2" t="s">
        <v>2571</v>
      </c>
      <c r="N231" s="278">
        <v>0</v>
      </c>
    </row>
    <row r="232" spans="1:14" x14ac:dyDescent="0.25">
      <c r="A232" s="117">
        <v>540286</v>
      </c>
      <c r="B232" s="2" t="s">
        <v>325</v>
      </c>
      <c r="C232" s="2" t="s">
        <v>73</v>
      </c>
      <c r="D232" s="2" t="s">
        <v>115</v>
      </c>
      <c r="E232" s="2" t="s">
        <v>2247</v>
      </c>
      <c r="F232" s="2" t="s">
        <v>2660</v>
      </c>
      <c r="G232" s="2" t="s">
        <v>2660</v>
      </c>
      <c r="H232" s="2" t="s">
        <v>2303</v>
      </c>
      <c r="I232" s="2" t="s">
        <v>2303</v>
      </c>
      <c r="J232" s="2" t="s">
        <v>2303</v>
      </c>
      <c r="K232" s="2" t="s">
        <v>2303</v>
      </c>
      <c r="L232" s="278">
        <v>0</v>
      </c>
      <c r="M232" s="2" t="s">
        <v>2305</v>
      </c>
      <c r="N232" s="278" t="s">
        <v>488</v>
      </c>
    </row>
    <row r="233" spans="1:14" x14ac:dyDescent="0.25">
      <c r="A233" s="269"/>
      <c r="B233" s="269"/>
      <c r="C233" s="269" t="s">
        <v>73</v>
      </c>
      <c r="D233" s="269"/>
      <c r="E233" s="269"/>
      <c r="F233" s="269" t="s">
        <v>2846</v>
      </c>
      <c r="G233" s="269" t="s">
        <v>2847</v>
      </c>
      <c r="H233" s="269" t="s">
        <v>2848</v>
      </c>
      <c r="I233" s="269" t="s">
        <v>2849</v>
      </c>
      <c r="J233" s="269" t="s">
        <v>2850</v>
      </c>
      <c r="K233" s="269" t="s">
        <v>2851</v>
      </c>
      <c r="L233" s="279">
        <v>0.42623300453200003</v>
      </c>
      <c r="M233" s="269" t="s">
        <v>2852</v>
      </c>
      <c r="N233" s="279">
        <v>0.86487829110799996</v>
      </c>
    </row>
    <row r="234" spans="1:14" x14ac:dyDescent="0.25">
      <c r="A234" s="117">
        <v>540183</v>
      </c>
      <c r="B234" s="2" t="s">
        <v>76</v>
      </c>
      <c r="C234" s="2" t="s">
        <v>77</v>
      </c>
      <c r="D234" s="2" t="s">
        <v>5</v>
      </c>
      <c r="E234" s="2" t="s">
        <v>2254</v>
      </c>
      <c r="F234" s="2" t="s">
        <v>2853</v>
      </c>
      <c r="G234" s="2" t="s">
        <v>2493</v>
      </c>
      <c r="H234" s="2" t="s">
        <v>2854</v>
      </c>
      <c r="I234" s="2" t="s">
        <v>2855</v>
      </c>
      <c r="J234" s="2" t="s">
        <v>2303</v>
      </c>
      <c r="K234" s="2" t="s">
        <v>2856</v>
      </c>
      <c r="L234" s="278">
        <v>0.49949719867800002</v>
      </c>
      <c r="M234" s="2" t="s">
        <v>2305</v>
      </c>
      <c r="N234" s="278">
        <v>0.99615658363000004</v>
      </c>
    </row>
    <row r="235" spans="1:14" x14ac:dyDescent="0.25">
      <c r="A235" s="117">
        <v>540184</v>
      </c>
      <c r="B235" s="2" t="s">
        <v>253</v>
      </c>
      <c r="C235" s="2" t="s">
        <v>77</v>
      </c>
      <c r="D235" s="2" t="s">
        <v>115</v>
      </c>
      <c r="E235" s="2" t="s">
        <v>2254</v>
      </c>
      <c r="F235" s="2" t="s">
        <v>2603</v>
      </c>
      <c r="G235" s="2" t="s">
        <v>2603</v>
      </c>
      <c r="H235" s="2" t="s">
        <v>2373</v>
      </c>
      <c r="I235" s="2" t="s">
        <v>2373</v>
      </c>
      <c r="J235" s="2" t="s">
        <v>2303</v>
      </c>
      <c r="K235" s="2" t="s">
        <v>2373</v>
      </c>
      <c r="L235" s="278">
        <v>1.6666666666700001E-2</v>
      </c>
      <c r="M235" s="2" t="s">
        <v>2305</v>
      </c>
      <c r="N235" s="278">
        <v>1</v>
      </c>
    </row>
    <row r="236" spans="1:14" x14ac:dyDescent="0.25">
      <c r="A236" s="117">
        <v>540185</v>
      </c>
      <c r="B236" s="2" t="s">
        <v>254</v>
      </c>
      <c r="C236" s="2" t="s">
        <v>77</v>
      </c>
      <c r="D236" s="2" t="s">
        <v>115</v>
      </c>
      <c r="E236" s="2" t="s">
        <v>2254</v>
      </c>
      <c r="F236" s="2" t="s">
        <v>2857</v>
      </c>
      <c r="G236" s="2" t="s">
        <v>2614</v>
      </c>
      <c r="H236" s="2" t="s">
        <v>2376</v>
      </c>
      <c r="I236" s="2" t="s">
        <v>2376</v>
      </c>
      <c r="J236" s="2" t="s">
        <v>2303</v>
      </c>
      <c r="K236" s="2" t="s">
        <v>2376</v>
      </c>
      <c r="L236" s="278">
        <v>5.0359712230199999E-2</v>
      </c>
      <c r="M236" s="2" t="s">
        <v>2305</v>
      </c>
      <c r="N236" s="278">
        <v>1</v>
      </c>
    </row>
    <row r="237" spans="1:14" x14ac:dyDescent="0.25">
      <c r="A237" s="269"/>
      <c r="B237" s="269"/>
      <c r="C237" s="269" t="s">
        <v>77</v>
      </c>
      <c r="D237" s="269"/>
      <c r="E237" s="269"/>
      <c r="F237" s="269" t="s">
        <v>2858</v>
      </c>
      <c r="G237" s="269" t="s">
        <v>2859</v>
      </c>
      <c r="H237" s="269" t="s">
        <v>2860</v>
      </c>
      <c r="I237" s="269" t="s">
        <v>2861</v>
      </c>
      <c r="J237" s="269" t="s">
        <v>2303</v>
      </c>
      <c r="K237" s="269" t="s">
        <v>2862</v>
      </c>
      <c r="L237" s="279">
        <v>0.49302457333100003</v>
      </c>
      <c r="M237" s="269" t="s">
        <v>2305</v>
      </c>
      <c r="N237" s="279">
        <v>0.99616095549600003</v>
      </c>
    </row>
    <row r="238" spans="1:14" x14ac:dyDescent="0.25">
      <c r="A238" s="117">
        <v>540186</v>
      </c>
      <c r="B238" s="2" t="s">
        <v>78</v>
      </c>
      <c r="C238" s="2" t="s">
        <v>79</v>
      </c>
      <c r="D238" s="2" t="s">
        <v>5</v>
      </c>
      <c r="E238" s="2" t="s">
        <v>2247</v>
      </c>
      <c r="F238" s="2" t="s">
        <v>2863</v>
      </c>
      <c r="G238" s="2" t="s">
        <v>2864</v>
      </c>
      <c r="H238" s="2" t="s">
        <v>2865</v>
      </c>
      <c r="I238" s="2" t="s">
        <v>2866</v>
      </c>
      <c r="J238" s="2" t="s">
        <v>2867</v>
      </c>
      <c r="K238" s="2" t="s">
        <v>2868</v>
      </c>
      <c r="L238" s="278">
        <v>0.51285411835899997</v>
      </c>
      <c r="M238" s="2" t="s">
        <v>2869</v>
      </c>
      <c r="N238" s="278">
        <v>0.26612434630999998</v>
      </c>
    </row>
    <row r="239" spans="1:14" x14ac:dyDescent="0.25">
      <c r="A239" s="117">
        <v>540187</v>
      </c>
      <c r="B239" s="2" t="s">
        <v>255</v>
      </c>
      <c r="C239" s="2" t="s">
        <v>79</v>
      </c>
      <c r="D239" s="2" t="s">
        <v>115</v>
      </c>
      <c r="E239" s="2" t="s">
        <v>2247</v>
      </c>
      <c r="F239" s="2" t="s">
        <v>2870</v>
      </c>
      <c r="G239" s="2" t="s">
        <v>2871</v>
      </c>
      <c r="H239" s="2" t="s">
        <v>2872</v>
      </c>
      <c r="I239" s="2" t="s">
        <v>2873</v>
      </c>
      <c r="J239" s="2" t="s">
        <v>2874</v>
      </c>
      <c r="K239" s="2" t="s">
        <v>2373</v>
      </c>
      <c r="L239" s="278">
        <v>0.374458874459</v>
      </c>
      <c r="M239" s="2" t="s">
        <v>2875</v>
      </c>
      <c r="N239" s="278">
        <v>2.8328611897999998E-3</v>
      </c>
    </row>
    <row r="240" spans="1:14" x14ac:dyDescent="0.25">
      <c r="A240" s="269"/>
      <c r="B240" s="269"/>
      <c r="C240" s="269" t="s">
        <v>79</v>
      </c>
      <c r="D240" s="269"/>
      <c r="E240" s="269"/>
      <c r="F240" s="269" t="s">
        <v>2876</v>
      </c>
      <c r="G240" s="269" t="s">
        <v>2877</v>
      </c>
      <c r="H240" s="269" t="s">
        <v>2878</v>
      </c>
      <c r="I240" s="269" t="s">
        <v>2879</v>
      </c>
      <c r="J240" s="269" t="s">
        <v>2880</v>
      </c>
      <c r="K240" s="269" t="s">
        <v>2881</v>
      </c>
      <c r="L240" s="279">
        <v>0.495886775763</v>
      </c>
      <c r="M240" s="269" t="s">
        <v>2882</v>
      </c>
      <c r="N240" s="279">
        <v>0.249274836838</v>
      </c>
    </row>
    <row r="241" spans="1:14" x14ac:dyDescent="0.25">
      <c r="A241" s="117">
        <v>540188</v>
      </c>
      <c r="B241" s="2" t="s">
        <v>80</v>
      </c>
      <c r="C241" s="2" t="s">
        <v>81</v>
      </c>
      <c r="D241" s="2" t="s">
        <v>5</v>
      </c>
      <c r="E241" s="2" t="s">
        <v>2271</v>
      </c>
      <c r="F241" s="2" t="s">
        <v>2883</v>
      </c>
      <c r="G241" s="2" t="s">
        <v>2884</v>
      </c>
      <c r="H241" s="2" t="s">
        <v>2885</v>
      </c>
      <c r="I241" s="2" t="s">
        <v>2886</v>
      </c>
      <c r="J241" s="2" t="s">
        <v>2303</v>
      </c>
      <c r="K241" s="2" t="s">
        <v>2887</v>
      </c>
      <c r="L241" s="278">
        <v>0.51085930122800005</v>
      </c>
      <c r="M241" s="2" t="s">
        <v>2305</v>
      </c>
      <c r="N241" s="278">
        <v>0.99058149058099998</v>
      </c>
    </row>
    <row r="242" spans="1:14" x14ac:dyDescent="0.25">
      <c r="A242" s="117">
        <v>540189</v>
      </c>
      <c r="B242" s="2" t="s">
        <v>256</v>
      </c>
      <c r="C242" s="2" t="s">
        <v>81</v>
      </c>
      <c r="D242" s="2" t="s">
        <v>115</v>
      </c>
      <c r="E242" s="2" t="s">
        <v>2271</v>
      </c>
      <c r="F242" s="2" t="s">
        <v>2358</v>
      </c>
      <c r="G242" s="2" t="s">
        <v>2303</v>
      </c>
      <c r="H242" s="2" t="s">
        <v>2888</v>
      </c>
      <c r="I242" s="2" t="s">
        <v>2329</v>
      </c>
      <c r="J242" s="2" t="s">
        <v>2303</v>
      </c>
      <c r="K242" s="2" t="s">
        <v>2888</v>
      </c>
      <c r="L242" s="278">
        <v>0.54347826086999995</v>
      </c>
      <c r="M242" s="2" t="s">
        <v>488</v>
      </c>
      <c r="N242" s="278">
        <v>1</v>
      </c>
    </row>
    <row r="243" spans="1:14" x14ac:dyDescent="0.25">
      <c r="A243" s="117">
        <v>540190</v>
      </c>
      <c r="B243" s="2" t="s">
        <v>257</v>
      </c>
      <c r="C243" s="2" t="s">
        <v>81</v>
      </c>
      <c r="D243" s="2" t="s">
        <v>115</v>
      </c>
      <c r="E243" s="2" t="s">
        <v>2271</v>
      </c>
      <c r="F243" s="2" t="s">
        <v>2889</v>
      </c>
      <c r="G243" s="2" t="s">
        <v>2303</v>
      </c>
      <c r="H243" s="2" t="s">
        <v>2890</v>
      </c>
      <c r="I243" s="2" t="s">
        <v>2891</v>
      </c>
      <c r="J243" s="2" t="s">
        <v>2303</v>
      </c>
      <c r="K243" s="2" t="s">
        <v>2890</v>
      </c>
      <c r="L243" s="278">
        <v>0.50769230769200002</v>
      </c>
      <c r="M243" s="2" t="s">
        <v>488</v>
      </c>
      <c r="N243" s="278">
        <v>1</v>
      </c>
    </row>
    <row r="244" spans="1:14" x14ac:dyDescent="0.25">
      <c r="A244" s="269"/>
      <c r="B244" s="269"/>
      <c r="C244" s="269" t="s">
        <v>81</v>
      </c>
      <c r="D244" s="269"/>
      <c r="E244" s="269"/>
      <c r="F244" s="269" t="s">
        <v>2892</v>
      </c>
      <c r="G244" s="269" t="s">
        <v>2884</v>
      </c>
      <c r="H244" s="269" t="s">
        <v>2893</v>
      </c>
      <c r="I244" s="269" t="s">
        <v>2894</v>
      </c>
      <c r="J244" s="269" t="s">
        <v>2303</v>
      </c>
      <c r="K244" s="269" t="s">
        <v>2895</v>
      </c>
      <c r="L244" s="279">
        <v>0.51086523126000005</v>
      </c>
      <c r="M244" s="269" t="s">
        <v>2305</v>
      </c>
      <c r="N244" s="279">
        <v>0.99105406456599998</v>
      </c>
    </row>
    <row r="245" spans="1:14" x14ac:dyDescent="0.25">
      <c r="A245" s="117">
        <v>540198</v>
      </c>
      <c r="B245" s="2" t="s">
        <v>82</v>
      </c>
      <c r="C245" s="2" t="s">
        <v>83</v>
      </c>
      <c r="D245" s="2" t="s">
        <v>5</v>
      </c>
      <c r="E245" s="2" t="s">
        <v>2250</v>
      </c>
      <c r="F245" s="2" t="s">
        <v>2896</v>
      </c>
      <c r="G245" s="2" t="s">
        <v>2897</v>
      </c>
      <c r="H245" s="2" t="s">
        <v>2432</v>
      </c>
      <c r="I245" s="2" t="s">
        <v>2484</v>
      </c>
      <c r="J245" s="2" t="s">
        <v>2303</v>
      </c>
      <c r="K245" s="2" t="s">
        <v>2432</v>
      </c>
      <c r="L245" s="278">
        <v>6.4092292901800005E-4</v>
      </c>
      <c r="M245" s="2" t="s">
        <v>2305</v>
      </c>
      <c r="N245" s="278">
        <v>1</v>
      </c>
    </row>
    <row r="246" spans="1:14" x14ac:dyDescent="0.25">
      <c r="A246" s="117">
        <v>540199</v>
      </c>
      <c r="B246" s="2" t="s">
        <v>261</v>
      </c>
      <c r="C246" s="2" t="s">
        <v>83</v>
      </c>
      <c r="D246" s="2" t="s">
        <v>115</v>
      </c>
      <c r="E246" s="2" t="s">
        <v>2250</v>
      </c>
      <c r="F246" s="2" t="s">
        <v>2791</v>
      </c>
      <c r="G246" s="2" t="s">
        <v>2810</v>
      </c>
      <c r="H246" s="2" t="s">
        <v>2303</v>
      </c>
      <c r="I246" s="2" t="s">
        <v>2303</v>
      </c>
      <c r="J246" s="2" t="s">
        <v>2303</v>
      </c>
      <c r="K246" s="2" t="s">
        <v>2303</v>
      </c>
      <c r="L246" s="278">
        <v>0</v>
      </c>
      <c r="M246" s="2" t="s">
        <v>2305</v>
      </c>
      <c r="N246" s="278" t="s">
        <v>488</v>
      </c>
    </row>
    <row r="247" spans="1:14" x14ac:dyDescent="0.25">
      <c r="A247" s="269"/>
      <c r="B247" s="269"/>
      <c r="C247" s="269" t="s">
        <v>83</v>
      </c>
      <c r="D247" s="269"/>
      <c r="E247" s="269"/>
      <c r="F247" s="269" t="s">
        <v>2898</v>
      </c>
      <c r="G247" s="269" t="s">
        <v>2899</v>
      </c>
      <c r="H247" s="269" t="s">
        <v>2432</v>
      </c>
      <c r="I247" s="269" t="s">
        <v>2484</v>
      </c>
      <c r="J247" s="269" t="s">
        <v>2303</v>
      </c>
      <c r="K247" s="269" t="s">
        <v>2432</v>
      </c>
      <c r="L247" s="279">
        <v>5.8334548636400005E-4</v>
      </c>
      <c r="M247" s="269" t="s">
        <v>2305</v>
      </c>
      <c r="N247" s="279">
        <v>1</v>
      </c>
    </row>
    <row r="248" spans="1:14" x14ac:dyDescent="0.25">
      <c r="A248" s="117">
        <v>540200</v>
      </c>
      <c r="B248" s="2" t="s">
        <v>84</v>
      </c>
      <c r="C248" s="2" t="s">
        <v>85</v>
      </c>
      <c r="D248" s="2" t="s">
        <v>5</v>
      </c>
      <c r="E248" s="2" t="s">
        <v>2251</v>
      </c>
      <c r="F248" s="2" t="s">
        <v>2900</v>
      </c>
      <c r="G248" s="2" t="s">
        <v>2901</v>
      </c>
      <c r="H248" s="2" t="s">
        <v>2902</v>
      </c>
      <c r="I248" s="2" t="s">
        <v>2903</v>
      </c>
      <c r="J248" s="2" t="s">
        <v>2303</v>
      </c>
      <c r="K248" s="2" t="s">
        <v>2904</v>
      </c>
      <c r="L248" s="278">
        <v>0.40549052990000001</v>
      </c>
      <c r="M248" s="2" t="s">
        <v>2305</v>
      </c>
      <c r="N248" s="278">
        <v>0.97645290581199995</v>
      </c>
    </row>
    <row r="249" spans="1:14" x14ac:dyDescent="0.25">
      <c r="A249" s="117">
        <v>540018</v>
      </c>
      <c r="B249" s="2" t="s">
        <v>127</v>
      </c>
      <c r="C249" s="2" t="s">
        <v>85</v>
      </c>
      <c r="D249" s="2" t="s">
        <v>115</v>
      </c>
      <c r="E249" s="2" t="s">
        <v>2251</v>
      </c>
      <c r="F249" s="2" t="s">
        <v>2905</v>
      </c>
      <c r="G249" s="2" t="s">
        <v>2905</v>
      </c>
      <c r="H249" s="2" t="s">
        <v>2303</v>
      </c>
      <c r="I249" s="2" t="s">
        <v>2303</v>
      </c>
      <c r="J249" s="2" t="s">
        <v>2303</v>
      </c>
      <c r="K249" s="2" t="s">
        <v>2303</v>
      </c>
      <c r="L249" s="278">
        <v>0</v>
      </c>
      <c r="M249" s="2" t="s">
        <v>2305</v>
      </c>
      <c r="N249" s="278" t="s">
        <v>488</v>
      </c>
    </row>
    <row r="250" spans="1:14" x14ac:dyDescent="0.25">
      <c r="A250" s="117">
        <v>540202</v>
      </c>
      <c r="B250" s="2" t="s">
        <v>262</v>
      </c>
      <c r="C250" s="2" t="s">
        <v>85</v>
      </c>
      <c r="D250" s="2" t="s">
        <v>115</v>
      </c>
      <c r="E250" s="2" t="s">
        <v>2251</v>
      </c>
      <c r="F250" s="2" t="s">
        <v>2656</v>
      </c>
      <c r="G250" s="2" t="s">
        <v>2656</v>
      </c>
      <c r="H250" s="2" t="s">
        <v>2303</v>
      </c>
      <c r="I250" s="2" t="s">
        <v>2906</v>
      </c>
      <c r="J250" s="2" t="s">
        <v>2303</v>
      </c>
      <c r="K250" s="2" t="s">
        <v>2303</v>
      </c>
      <c r="L250" s="278">
        <v>0.67307692307699996</v>
      </c>
      <c r="M250" s="2" t="s">
        <v>2305</v>
      </c>
      <c r="N250" s="278" t="s">
        <v>488</v>
      </c>
    </row>
    <row r="251" spans="1:14" x14ac:dyDescent="0.25">
      <c r="A251" s="117">
        <v>540221</v>
      </c>
      <c r="B251" s="2" t="s">
        <v>275</v>
      </c>
      <c r="C251" s="2" t="s">
        <v>85</v>
      </c>
      <c r="D251" s="2" t="s">
        <v>115</v>
      </c>
      <c r="E251" s="2" t="s">
        <v>2251</v>
      </c>
      <c r="F251" s="2" t="s">
        <v>2907</v>
      </c>
      <c r="G251" s="2" t="s">
        <v>2907</v>
      </c>
      <c r="H251" s="2" t="s">
        <v>2303</v>
      </c>
      <c r="I251" s="2" t="s">
        <v>2303</v>
      </c>
      <c r="J251" s="2" t="s">
        <v>2303</v>
      </c>
      <c r="K251" s="2" t="s">
        <v>2303</v>
      </c>
      <c r="L251" s="278">
        <v>0</v>
      </c>
      <c r="M251" s="2" t="s">
        <v>2305</v>
      </c>
      <c r="N251" s="278" t="s">
        <v>488</v>
      </c>
    </row>
    <row r="252" spans="1:14" x14ac:dyDescent="0.25">
      <c r="A252" s="117">
        <v>540231</v>
      </c>
      <c r="B252" s="2" t="s">
        <v>281</v>
      </c>
      <c r="C252" s="2" t="s">
        <v>85</v>
      </c>
      <c r="D252" s="2" t="s">
        <v>115</v>
      </c>
      <c r="E252" s="2" t="s">
        <v>2251</v>
      </c>
      <c r="F252" s="2" t="s">
        <v>2528</v>
      </c>
      <c r="G252" s="2" t="s">
        <v>2528</v>
      </c>
      <c r="H252" s="2" t="s">
        <v>2303</v>
      </c>
      <c r="I252" s="2" t="s">
        <v>2303</v>
      </c>
      <c r="J252" s="2" t="s">
        <v>2303</v>
      </c>
      <c r="K252" s="2" t="s">
        <v>2303</v>
      </c>
      <c r="L252" s="278">
        <v>0</v>
      </c>
      <c r="M252" s="2" t="s">
        <v>2305</v>
      </c>
      <c r="N252" s="278" t="s">
        <v>488</v>
      </c>
    </row>
    <row r="253" spans="1:14" x14ac:dyDescent="0.25">
      <c r="A253" s="117">
        <v>540232</v>
      </c>
      <c r="B253" s="2" t="s">
        <v>282</v>
      </c>
      <c r="C253" s="2" t="s">
        <v>85</v>
      </c>
      <c r="D253" s="2" t="s">
        <v>115</v>
      </c>
      <c r="E253" s="2" t="s">
        <v>2251</v>
      </c>
      <c r="F253" s="2" t="s">
        <v>2908</v>
      </c>
      <c r="G253" s="2" t="s">
        <v>2908</v>
      </c>
      <c r="H253" s="2" t="s">
        <v>2303</v>
      </c>
      <c r="I253" s="2" t="s">
        <v>2303</v>
      </c>
      <c r="J253" s="2" t="s">
        <v>2303</v>
      </c>
      <c r="K253" s="2" t="s">
        <v>2303</v>
      </c>
      <c r="L253" s="278">
        <v>0</v>
      </c>
      <c r="M253" s="2" t="s">
        <v>2305</v>
      </c>
      <c r="N253" s="278" t="s">
        <v>488</v>
      </c>
    </row>
    <row r="254" spans="1:14" x14ac:dyDescent="0.25">
      <c r="A254" s="269"/>
      <c r="B254" s="269"/>
      <c r="C254" s="269" t="s">
        <v>85</v>
      </c>
      <c r="D254" s="269"/>
      <c r="E254" s="269"/>
      <c r="F254" s="269" t="s">
        <v>2909</v>
      </c>
      <c r="G254" s="269" t="s">
        <v>2910</v>
      </c>
      <c r="H254" s="269" t="s">
        <v>2902</v>
      </c>
      <c r="I254" s="269" t="s">
        <v>2911</v>
      </c>
      <c r="J254" s="269" t="s">
        <v>2303</v>
      </c>
      <c r="K254" s="269" t="s">
        <v>2904</v>
      </c>
      <c r="L254" s="279">
        <v>0.38205545198500002</v>
      </c>
      <c r="M254" s="269" t="s">
        <v>2305</v>
      </c>
      <c r="N254" s="279">
        <v>0.97645290581199995</v>
      </c>
    </row>
    <row r="255" spans="1:14" x14ac:dyDescent="0.25">
      <c r="A255" s="117">
        <v>540203</v>
      </c>
      <c r="B255" s="2" t="s">
        <v>86</v>
      </c>
      <c r="C255" s="2" t="s">
        <v>87</v>
      </c>
      <c r="D255" s="2" t="s">
        <v>5</v>
      </c>
      <c r="E255" s="2" t="s">
        <v>2252</v>
      </c>
      <c r="F255" s="2" t="s">
        <v>2912</v>
      </c>
      <c r="G255" s="2" t="s">
        <v>2913</v>
      </c>
      <c r="H255" s="2" t="s">
        <v>2303</v>
      </c>
      <c r="I255" s="2" t="s">
        <v>2914</v>
      </c>
      <c r="J255" s="2" t="s">
        <v>2915</v>
      </c>
      <c r="K255" s="2" t="s">
        <v>2303</v>
      </c>
      <c r="L255" s="278">
        <v>0.267764374395</v>
      </c>
      <c r="M255" s="2" t="s">
        <v>2916</v>
      </c>
      <c r="N255" s="278" t="s">
        <v>488</v>
      </c>
    </row>
    <row r="256" spans="1:14" x14ac:dyDescent="0.25">
      <c r="A256" s="117">
        <v>540204</v>
      </c>
      <c r="B256" s="2" t="s">
        <v>263</v>
      </c>
      <c r="C256" s="2" t="s">
        <v>87</v>
      </c>
      <c r="D256" s="2" t="s">
        <v>115</v>
      </c>
      <c r="E256" s="2" t="s">
        <v>2252</v>
      </c>
      <c r="F256" s="2" t="s">
        <v>2826</v>
      </c>
      <c r="G256" s="2" t="s">
        <v>2826</v>
      </c>
      <c r="H256" s="2" t="s">
        <v>2303</v>
      </c>
      <c r="I256" s="2" t="s">
        <v>2602</v>
      </c>
      <c r="J256" s="2" t="s">
        <v>2570</v>
      </c>
      <c r="K256" s="2" t="s">
        <v>2303</v>
      </c>
      <c r="L256" s="278">
        <v>0.59302325581399995</v>
      </c>
      <c r="M256" s="2" t="s">
        <v>2917</v>
      </c>
      <c r="N256" s="278" t="s">
        <v>488</v>
      </c>
    </row>
    <row r="257" spans="1:14" x14ac:dyDescent="0.25">
      <c r="A257" s="117">
        <v>540205</v>
      </c>
      <c r="B257" s="2" t="s">
        <v>264</v>
      </c>
      <c r="C257" s="2" t="s">
        <v>87</v>
      </c>
      <c r="D257" s="2" t="s">
        <v>115</v>
      </c>
      <c r="E257" s="2" t="s">
        <v>2252</v>
      </c>
      <c r="F257" s="2" t="s">
        <v>2728</v>
      </c>
      <c r="G257" s="2" t="s">
        <v>2550</v>
      </c>
      <c r="H257" s="2" t="s">
        <v>2303</v>
      </c>
      <c r="I257" s="2" t="s">
        <v>2562</v>
      </c>
      <c r="J257" s="2" t="s">
        <v>2303</v>
      </c>
      <c r="K257" s="2" t="s">
        <v>2303</v>
      </c>
      <c r="L257" s="278">
        <v>0.484375</v>
      </c>
      <c r="M257" s="2" t="s">
        <v>2305</v>
      </c>
      <c r="N257" s="278" t="s">
        <v>488</v>
      </c>
    </row>
    <row r="258" spans="1:14" x14ac:dyDescent="0.25">
      <c r="A258" s="117">
        <v>540206</v>
      </c>
      <c r="B258" s="2" t="s">
        <v>265</v>
      </c>
      <c r="C258" s="2" t="s">
        <v>87</v>
      </c>
      <c r="D258" s="2" t="s">
        <v>115</v>
      </c>
      <c r="E258" s="2" t="s">
        <v>2252</v>
      </c>
      <c r="F258" s="2" t="s">
        <v>2533</v>
      </c>
      <c r="G258" s="2" t="s">
        <v>2303</v>
      </c>
      <c r="H258" s="2" t="s">
        <v>2303</v>
      </c>
      <c r="I258" s="2" t="s">
        <v>2303</v>
      </c>
      <c r="J258" s="2" t="s">
        <v>2303</v>
      </c>
      <c r="K258" s="2" t="s">
        <v>2303</v>
      </c>
      <c r="L258" s="278">
        <v>0</v>
      </c>
      <c r="M258" s="2" t="s">
        <v>488</v>
      </c>
      <c r="N258" s="278" t="s">
        <v>488</v>
      </c>
    </row>
    <row r="259" spans="1:14" x14ac:dyDescent="0.25">
      <c r="A259" s="269"/>
      <c r="B259" s="269"/>
      <c r="C259" s="269" t="s">
        <v>87</v>
      </c>
      <c r="D259" s="269"/>
      <c r="E259" s="269"/>
      <c r="F259" s="269" t="s">
        <v>2918</v>
      </c>
      <c r="G259" s="269" t="s">
        <v>2919</v>
      </c>
      <c r="H259" s="269" t="s">
        <v>2303</v>
      </c>
      <c r="I259" s="269" t="s">
        <v>2920</v>
      </c>
      <c r="J259" s="269" t="s">
        <v>2921</v>
      </c>
      <c r="K259" s="269" t="s">
        <v>2303</v>
      </c>
      <c r="L259" s="279">
        <v>0.27008561791899999</v>
      </c>
      <c r="M259" s="269" t="s">
        <v>2922</v>
      </c>
      <c r="N259" s="279" t="s">
        <v>488</v>
      </c>
    </row>
    <row r="260" spans="1:14" x14ac:dyDescent="0.25">
      <c r="A260" s="117">
        <v>540207</v>
      </c>
      <c r="B260" s="2" t="s">
        <v>88</v>
      </c>
      <c r="C260" s="2" t="s">
        <v>89</v>
      </c>
      <c r="D260" s="2" t="s">
        <v>5</v>
      </c>
      <c r="E260" s="2" t="s">
        <v>2253</v>
      </c>
      <c r="F260" s="2" t="s">
        <v>2923</v>
      </c>
      <c r="G260" s="2" t="s">
        <v>2924</v>
      </c>
      <c r="H260" s="2" t="s">
        <v>2471</v>
      </c>
      <c r="I260" s="2" t="s">
        <v>2471</v>
      </c>
      <c r="J260" s="2" t="s">
        <v>2303</v>
      </c>
      <c r="K260" s="2" t="s">
        <v>2471</v>
      </c>
      <c r="L260" s="278">
        <v>1.25580811252E-3</v>
      </c>
      <c r="M260" s="2" t="s">
        <v>2305</v>
      </c>
      <c r="N260" s="278">
        <v>1</v>
      </c>
    </row>
    <row r="261" spans="1:14" x14ac:dyDescent="0.25">
      <c r="A261" s="117">
        <v>540196</v>
      </c>
      <c r="B261" s="2" t="s">
        <v>259</v>
      </c>
      <c r="C261" s="2" t="s">
        <v>89</v>
      </c>
      <c r="D261" s="2" t="s">
        <v>115</v>
      </c>
      <c r="E261" s="2" t="s">
        <v>2254</v>
      </c>
      <c r="F261" s="2" t="s">
        <v>2612</v>
      </c>
      <c r="G261" s="2" t="s">
        <v>2612</v>
      </c>
      <c r="H261" s="2" t="s">
        <v>2303</v>
      </c>
      <c r="I261" s="2" t="s">
        <v>2303</v>
      </c>
      <c r="J261" s="2" t="s">
        <v>2303</v>
      </c>
      <c r="K261" s="2" t="s">
        <v>2303</v>
      </c>
      <c r="L261" s="278">
        <v>0</v>
      </c>
      <c r="M261" s="2" t="s">
        <v>2305</v>
      </c>
      <c r="N261" s="278" t="s">
        <v>488</v>
      </c>
    </row>
    <row r="262" spans="1:14" x14ac:dyDescent="0.25">
      <c r="A262" s="117">
        <v>540208</v>
      </c>
      <c r="B262" s="2" t="s">
        <v>266</v>
      </c>
      <c r="C262" s="2" t="s">
        <v>89</v>
      </c>
      <c r="D262" s="2" t="s">
        <v>115</v>
      </c>
      <c r="E262" s="2" t="s">
        <v>2253</v>
      </c>
      <c r="F262" s="2" t="s">
        <v>2925</v>
      </c>
      <c r="G262" s="2" t="s">
        <v>2926</v>
      </c>
      <c r="H262" s="2" t="s">
        <v>2303</v>
      </c>
      <c r="I262" s="2" t="s">
        <v>2303</v>
      </c>
      <c r="J262" s="2" t="s">
        <v>2303</v>
      </c>
      <c r="K262" s="2" t="s">
        <v>2303</v>
      </c>
      <c r="L262" s="278">
        <v>0</v>
      </c>
      <c r="M262" s="2" t="s">
        <v>2305</v>
      </c>
      <c r="N262" s="278" t="s">
        <v>488</v>
      </c>
    </row>
    <row r="263" spans="1:14" x14ac:dyDescent="0.25">
      <c r="A263" s="117">
        <v>540210</v>
      </c>
      <c r="B263" s="2" t="s">
        <v>267</v>
      </c>
      <c r="C263" s="2" t="s">
        <v>89</v>
      </c>
      <c r="D263" s="2" t="s">
        <v>115</v>
      </c>
      <c r="E263" s="2" t="s">
        <v>2253</v>
      </c>
      <c r="F263" s="2" t="s">
        <v>2766</v>
      </c>
      <c r="G263" s="2" t="s">
        <v>2303</v>
      </c>
      <c r="H263" s="2" t="s">
        <v>2303</v>
      </c>
      <c r="I263" s="2" t="s">
        <v>2303</v>
      </c>
      <c r="J263" s="2" t="s">
        <v>2303</v>
      </c>
      <c r="K263" s="2" t="s">
        <v>2303</v>
      </c>
      <c r="L263" s="278">
        <v>0</v>
      </c>
      <c r="M263" s="2" t="s">
        <v>488</v>
      </c>
      <c r="N263" s="278" t="s">
        <v>488</v>
      </c>
    </row>
    <row r="264" spans="1:14" x14ac:dyDescent="0.25">
      <c r="A264" s="117">
        <v>540256</v>
      </c>
      <c r="B264" s="2" t="s">
        <v>301</v>
      </c>
      <c r="C264" s="2" t="s">
        <v>89</v>
      </c>
      <c r="D264" s="2" t="s">
        <v>115</v>
      </c>
      <c r="E264" s="2" t="s">
        <v>2253</v>
      </c>
      <c r="F264" s="2" t="s">
        <v>2927</v>
      </c>
      <c r="G264" s="2" t="s">
        <v>2303</v>
      </c>
      <c r="H264" s="2" t="s">
        <v>2493</v>
      </c>
      <c r="I264" s="2" t="s">
        <v>2493</v>
      </c>
      <c r="J264" s="2" t="s">
        <v>2303</v>
      </c>
      <c r="K264" s="2" t="s">
        <v>2493</v>
      </c>
      <c r="L264" s="278">
        <v>0.43010752688199999</v>
      </c>
      <c r="M264" s="2" t="s">
        <v>488</v>
      </c>
      <c r="N264" s="278">
        <v>1</v>
      </c>
    </row>
    <row r="265" spans="1:14" x14ac:dyDescent="0.25">
      <c r="A265" s="117">
        <v>540258</v>
      </c>
      <c r="B265" s="2" t="s">
        <v>303</v>
      </c>
      <c r="C265" s="2" t="s">
        <v>89</v>
      </c>
      <c r="D265" s="2" t="s">
        <v>115</v>
      </c>
      <c r="E265" s="2" t="s">
        <v>2253</v>
      </c>
      <c r="F265" s="2" t="s">
        <v>2446</v>
      </c>
      <c r="G265" s="2" t="s">
        <v>2303</v>
      </c>
      <c r="H265" s="2" t="s">
        <v>2303</v>
      </c>
      <c r="I265" s="2" t="s">
        <v>2303</v>
      </c>
      <c r="J265" s="2" t="s">
        <v>2303</v>
      </c>
      <c r="K265" s="2" t="s">
        <v>2303</v>
      </c>
      <c r="L265" s="278">
        <v>0</v>
      </c>
      <c r="M265" s="2" t="s">
        <v>488</v>
      </c>
      <c r="N265" s="278" t="s">
        <v>488</v>
      </c>
    </row>
    <row r="266" spans="1:14" x14ac:dyDescent="0.25">
      <c r="A266" s="269"/>
      <c r="B266" s="269"/>
      <c r="C266" s="269" t="s">
        <v>89</v>
      </c>
      <c r="D266" s="269"/>
      <c r="E266" s="269"/>
      <c r="F266" s="269" t="s">
        <v>2928</v>
      </c>
      <c r="G266" s="269" t="s">
        <v>2929</v>
      </c>
      <c r="H266" s="269" t="s">
        <v>2553</v>
      </c>
      <c r="I266" s="269" t="s">
        <v>2553</v>
      </c>
      <c r="J266" s="269" t="s">
        <v>2303</v>
      </c>
      <c r="K266" s="269" t="s">
        <v>2553</v>
      </c>
      <c r="L266" s="279">
        <v>5.6230319388199997E-3</v>
      </c>
      <c r="M266" s="269" t="s">
        <v>2305</v>
      </c>
      <c r="N266" s="279">
        <v>1</v>
      </c>
    </row>
    <row r="267" spans="1:14" x14ac:dyDescent="0.25">
      <c r="A267" s="117">
        <v>540211</v>
      </c>
      <c r="B267" s="2" t="s">
        <v>90</v>
      </c>
      <c r="C267" s="2" t="s">
        <v>91</v>
      </c>
      <c r="D267" s="2" t="s">
        <v>5</v>
      </c>
      <c r="E267" s="2" t="s">
        <v>2254</v>
      </c>
      <c r="F267" s="2" t="s">
        <v>2930</v>
      </c>
      <c r="G267" s="2" t="s">
        <v>2614</v>
      </c>
      <c r="H267" s="2" t="s">
        <v>2354</v>
      </c>
      <c r="I267" s="2" t="s">
        <v>2373</v>
      </c>
      <c r="J267" s="2" t="s">
        <v>2303</v>
      </c>
      <c r="K267" s="2" t="s">
        <v>2354</v>
      </c>
      <c r="L267" s="278">
        <v>1.22699386503E-4</v>
      </c>
      <c r="M267" s="2" t="s">
        <v>2305</v>
      </c>
      <c r="N267" s="278">
        <v>1</v>
      </c>
    </row>
    <row r="268" spans="1:14" x14ac:dyDescent="0.25">
      <c r="A268" s="117">
        <v>540212</v>
      </c>
      <c r="B268" s="2" t="s">
        <v>268</v>
      </c>
      <c r="C268" s="2" t="s">
        <v>91</v>
      </c>
      <c r="D268" s="2" t="s">
        <v>115</v>
      </c>
      <c r="E268" s="2" t="s">
        <v>2254</v>
      </c>
      <c r="F268" s="2" t="s">
        <v>2528</v>
      </c>
      <c r="G268" s="2" t="s">
        <v>2732</v>
      </c>
      <c r="H268" s="2" t="s">
        <v>2303</v>
      </c>
      <c r="I268" s="2" t="s">
        <v>2303</v>
      </c>
      <c r="J268" s="2" t="s">
        <v>2303</v>
      </c>
      <c r="K268" s="2" t="s">
        <v>2303</v>
      </c>
      <c r="L268" s="278">
        <v>0</v>
      </c>
      <c r="M268" s="2" t="s">
        <v>2305</v>
      </c>
      <c r="N268" s="278" t="s">
        <v>488</v>
      </c>
    </row>
    <row r="269" spans="1:14" x14ac:dyDescent="0.25">
      <c r="A269" s="269"/>
      <c r="B269" s="269"/>
      <c r="C269" s="269" t="s">
        <v>91</v>
      </c>
      <c r="D269" s="269"/>
      <c r="E269" s="269"/>
      <c r="F269" s="269" t="s">
        <v>2931</v>
      </c>
      <c r="G269" s="269" t="s">
        <v>2811</v>
      </c>
      <c r="H269" s="269" t="s">
        <v>2354</v>
      </c>
      <c r="I269" s="269" t="s">
        <v>2373</v>
      </c>
      <c r="J269" s="269" t="s">
        <v>2303</v>
      </c>
      <c r="K269" s="269" t="s">
        <v>2354</v>
      </c>
      <c r="L269" s="279">
        <v>1.20525491141E-4</v>
      </c>
      <c r="M269" s="269" t="s">
        <v>2305</v>
      </c>
      <c r="N269" s="279">
        <v>1</v>
      </c>
    </row>
    <row r="270" spans="1:14" x14ac:dyDescent="0.25">
      <c r="A270" s="117">
        <v>540213</v>
      </c>
      <c r="B270" s="2" t="s">
        <v>92</v>
      </c>
      <c r="C270" s="2" t="s">
        <v>93</v>
      </c>
      <c r="D270" s="2" t="s">
        <v>5</v>
      </c>
      <c r="E270" s="2" t="s">
        <v>2254</v>
      </c>
      <c r="F270" s="2" t="s">
        <v>2932</v>
      </c>
      <c r="G270" s="2" t="s">
        <v>2933</v>
      </c>
      <c r="H270" s="2" t="s">
        <v>2373</v>
      </c>
      <c r="I270" s="2" t="s">
        <v>2373</v>
      </c>
      <c r="J270" s="2" t="s">
        <v>2303</v>
      </c>
      <c r="K270" s="2" t="s">
        <v>2373</v>
      </c>
      <c r="L270" s="278">
        <v>4.3233895373999997E-5</v>
      </c>
      <c r="M270" s="2" t="s">
        <v>2305</v>
      </c>
      <c r="N270" s="278">
        <v>1</v>
      </c>
    </row>
    <row r="271" spans="1:14" x14ac:dyDescent="0.25">
      <c r="A271" s="117">
        <v>540042</v>
      </c>
      <c r="B271" s="2" t="s">
        <v>143</v>
      </c>
      <c r="C271" s="2" t="s">
        <v>93</v>
      </c>
      <c r="D271" s="2" t="s">
        <v>115</v>
      </c>
      <c r="E271" s="2" t="s">
        <v>2254</v>
      </c>
      <c r="F271" s="2" t="s">
        <v>2494</v>
      </c>
      <c r="G271" s="2" t="s">
        <v>2303</v>
      </c>
      <c r="H271" s="2" t="s">
        <v>2303</v>
      </c>
      <c r="I271" s="2" t="s">
        <v>2303</v>
      </c>
      <c r="J271" s="2" t="s">
        <v>2303</v>
      </c>
      <c r="K271" s="2" t="s">
        <v>2303</v>
      </c>
      <c r="L271" s="278">
        <v>0</v>
      </c>
      <c r="M271" s="2" t="s">
        <v>488</v>
      </c>
      <c r="N271" s="278" t="s">
        <v>488</v>
      </c>
    </row>
    <row r="272" spans="1:14" x14ac:dyDescent="0.25">
      <c r="A272" s="117">
        <v>540214</v>
      </c>
      <c r="B272" s="2" t="s">
        <v>269</v>
      </c>
      <c r="C272" s="2" t="s">
        <v>93</v>
      </c>
      <c r="D272" s="2" t="s">
        <v>115</v>
      </c>
      <c r="E272" s="2" t="s">
        <v>2254</v>
      </c>
      <c r="F272" s="2" t="s">
        <v>2934</v>
      </c>
      <c r="G272" s="2" t="s">
        <v>2935</v>
      </c>
      <c r="H272" s="2" t="s">
        <v>2303</v>
      </c>
      <c r="I272" s="2" t="s">
        <v>2303</v>
      </c>
      <c r="J272" s="2" t="s">
        <v>2303</v>
      </c>
      <c r="K272" s="2" t="s">
        <v>2303</v>
      </c>
      <c r="L272" s="278">
        <v>0</v>
      </c>
      <c r="M272" s="2" t="s">
        <v>2305</v>
      </c>
      <c r="N272" s="278" t="s">
        <v>488</v>
      </c>
    </row>
    <row r="273" spans="1:14" x14ac:dyDescent="0.25">
      <c r="A273" s="117">
        <v>540215</v>
      </c>
      <c r="B273" s="2" t="s">
        <v>270</v>
      </c>
      <c r="C273" s="2" t="s">
        <v>93</v>
      </c>
      <c r="D273" s="2" t="s">
        <v>115</v>
      </c>
      <c r="E273" s="2" t="s">
        <v>2254</v>
      </c>
      <c r="F273" s="2" t="s">
        <v>2936</v>
      </c>
      <c r="G273" s="2" t="s">
        <v>2937</v>
      </c>
      <c r="H273" s="2" t="s">
        <v>2303</v>
      </c>
      <c r="I273" s="2" t="s">
        <v>2303</v>
      </c>
      <c r="J273" s="2" t="s">
        <v>2303</v>
      </c>
      <c r="K273" s="2" t="s">
        <v>2303</v>
      </c>
      <c r="L273" s="278">
        <v>0</v>
      </c>
      <c r="M273" s="2" t="s">
        <v>2305</v>
      </c>
      <c r="N273" s="278" t="s">
        <v>488</v>
      </c>
    </row>
    <row r="274" spans="1:14" x14ac:dyDescent="0.25">
      <c r="A274" s="117">
        <v>540216</v>
      </c>
      <c r="B274" s="2" t="s">
        <v>271</v>
      </c>
      <c r="C274" s="2" t="s">
        <v>93</v>
      </c>
      <c r="D274" s="2" t="s">
        <v>115</v>
      </c>
      <c r="E274" s="2" t="s">
        <v>2254</v>
      </c>
      <c r="F274" s="2" t="s">
        <v>2938</v>
      </c>
      <c r="G274" s="2" t="s">
        <v>2938</v>
      </c>
      <c r="H274" s="2" t="s">
        <v>2303</v>
      </c>
      <c r="I274" s="2" t="s">
        <v>2303</v>
      </c>
      <c r="J274" s="2" t="s">
        <v>2303</v>
      </c>
      <c r="K274" s="2" t="s">
        <v>2303</v>
      </c>
      <c r="L274" s="278">
        <v>0</v>
      </c>
      <c r="M274" s="2" t="s">
        <v>2305</v>
      </c>
      <c r="N274" s="278" t="s">
        <v>488</v>
      </c>
    </row>
    <row r="275" spans="1:14" x14ac:dyDescent="0.25">
      <c r="A275" s="269"/>
      <c r="B275" s="269"/>
      <c r="C275" s="269" t="s">
        <v>93</v>
      </c>
      <c r="D275" s="269"/>
      <c r="E275" s="269"/>
      <c r="F275" s="269" t="s">
        <v>2939</v>
      </c>
      <c r="G275" s="269" t="s">
        <v>2940</v>
      </c>
      <c r="H275" s="269" t="s">
        <v>2373</v>
      </c>
      <c r="I275" s="269" t="s">
        <v>2373</v>
      </c>
      <c r="J275" s="269" t="s">
        <v>2303</v>
      </c>
      <c r="K275" s="269" t="s">
        <v>2373</v>
      </c>
      <c r="L275" s="279">
        <v>3.9561656842199998E-5</v>
      </c>
      <c r="M275" s="269" t="s">
        <v>2305</v>
      </c>
      <c r="N275" s="279">
        <v>1</v>
      </c>
    </row>
    <row r="276" spans="1:14" x14ac:dyDescent="0.25">
      <c r="A276" s="117">
        <v>540224</v>
      </c>
      <c r="B276" s="2" t="s">
        <v>96</v>
      </c>
      <c r="C276" s="2" t="s">
        <v>97</v>
      </c>
      <c r="D276" s="2" t="s">
        <v>5</v>
      </c>
      <c r="E276" s="2" t="s">
        <v>2254</v>
      </c>
      <c r="F276" s="2" t="s">
        <v>2941</v>
      </c>
      <c r="G276" s="2" t="s">
        <v>2373</v>
      </c>
      <c r="H276" s="2" t="s">
        <v>2942</v>
      </c>
      <c r="I276" s="2" t="s">
        <v>2943</v>
      </c>
      <c r="J276" s="2" t="s">
        <v>2303</v>
      </c>
      <c r="K276" s="2" t="s">
        <v>2944</v>
      </c>
      <c r="L276" s="278">
        <v>0.52452897262700005</v>
      </c>
      <c r="M276" s="2" t="s">
        <v>2305</v>
      </c>
      <c r="N276" s="278">
        <v>0.99653049804100002</v>
      </c>
    </row>
    <row r="277" spans="1:14" x14ac:dyDescent="0.25">
      <c r="A277" s="117">
        <v>540132</v>
      </c>
      <c r="B277" s="2" t="s">
        <v>216</v>
      </c>
      <c r="C277" s="2" t="s">
        <v>97</v>
      </c>
      <c r="D277" s="2" t="s">
        <v>115</v>
      </c>
      <c r="E277" s="2" t="s">
        <v>2254</v>
      </c>
      <c r="F277" s="2" t="s">
        <v>2728</v>
      </c>
      <c r="G277" s="2" t="s">
        <v>2303</v>
      </c>
      <c r="H277" s="2" t="s">
        <v>2612</v>
      </c>
      <c r="I277" s="2" t="s">
        <v>2631</v>
      </c>
      <c r="J277" s="2" t="s">
        <v>2303</v>
      </c>
      <c r="K277" s="2" t="s">
        <v>2612</v>
      </c>
      <c r="L277" s="278">
        <v>0.671875</v>
      </c>
      <c r="M277" s="2" t="s">
        <v>488</v>
      </c>
      <c r="N277" s="278">
        <v>1</v>
      </c>
    </row>
    <row r="278" spans="1:14" x14ac:dyDescent="0.25">
      <c r="A278" s="117">
        <v>540179</v>
      </c>
      <c r="B278" s="2" t="s">
        <v>250</v>
      </c>
      <c r="C278" s="2" t="s">
        <v>97</v>
      </c>
      <c r="D278" s="2" t="s">
        <v>115</v>
      </c>
      <c r="E278" s="2" t="s">
        <v>2254</v>
      </c>
      <c r="F278" s="2" t="s">
        <v>2569</v>
      </c>
      <c r="G278" s="2" t="s">
        <v>2565</v>
      </c>
      <c r="H278" s="2" t="s">
        <v>2373</v>
      </c>
      <c r="I278" s="2" t="s">
        <v>2373</v>
      </c>
      <c r="J278" s="2" t="s">
        <v>2303</v>
      </c>
      <c r="K278" s="2" t="s">
        <v>2373</v>
      </c>
      <c r="L278" s="278">
        <v>2.5641025641000001E-2</v>
      </c>
      <c r="M278" s="2" t="s">
        <v>2305</v>
      </c>
      <c r="N278" s="278">
        <v>1</v>
      </c>
    </row>
    <row r="279" spans="1:14" x14ac:dyDescent="0.25">
      <c r="A279" s="117">
        <v>540180</v>
      </c>
      <c r="B279" s="2" t="s">
        <v>251</v>
      </c>
      <c r="C279" s="2" t="s">
        <v>97</v>
      </c>
      <c r="D279" s="2" t="s">
        <v>115</v>
      </c>
      <c r="E279" s="2" t="s">
        <v>2254</v>
      </c>
      <c r="F279" s="2" t="s">
        <v>2440</v>
      </c>
      <c r="G279" s="2" t="s">
        <v>2303</v>
      </c>
      <c r="H279" s="2" t="s">
        <v>2357</v>
      </c>
      <c r="I279" s="2" t="s">
        <v>2357</v>
      </c>
      <c r="J279" s="2" t="s">
        <v>2303</v>
      </c>
      <c r="K279" s="2" t="s">
        <v>2357</v>
      </c>
      <c r="L279" s="278">
        <v>0.58750000000000002</v>
      </c>
      <c r="M279" s="2" t="s">
        <v>488</v>
      </c>
      <c r="N279" s="278">
        <v>1</v>
      </c>
    </row>
    <row r="280" spans="1:14" x14ac:dyDescent="0.25">
      <c r="A280" s="117">
        <v>540182</v>
      </c>
      <c r="B280" s="2" t="s">
        <v>252</v>
      </c>
      <c r="C280" s="2" t="s">
        <v>97</v>
      </c>
      <c r="D280" s="2" t="s">
        <v>115</v>
      </c>
      <c r="E280" s="2" t="s">
        <v>2254</v>
      </c>
      <c r="F280" s="2" t="s">
        <v>2501</v>
      </c>
      <c r="G280" s="2" t="s">
        <v>2303</v>
      </c>
      <c r="H280" s="2" t="s">
        <v>2446</v>
      </c>
      <c r="I280" s="2" t="s">
        <v>2300</v>
      </c>
      <c r="J280" s="2" t="s">
        <v>2303</v>
      </c>
      <c r="K280" s="2" t="s">
        <v>2300</v>
      </c>
      <c r="L280" s="278">
        <v>0.40229885057499998</v>
      </c>
      <c r="M280" s="2" t="s">
        <v>488</v>
      </c>
      <c r="N280" s="278">
        <v>0.97222222222200005</v>
      </c>
    </row>
    <row r="281" spans="1:14" x14ac:dyDescent="0.25">
      <c r="A281" s="117">
        <v>540262</v>
      </c>
      <c r="B281" s="2" t="s">
        <v>305</v>
      </c>
      <c r="C281" s="2" t="s">
        <v>97</v>
      </c>
      <c r="D281" s="2" t="s">
        <v>115</v>
      </c>
      <c r="E281" s="2" t="s">
        <v>2254</v>
      </c>
      <c r="F281" s="2" t="s">
        <v>2602</v>
      </c>
      <c r="G281" s="2" t="s">
        <v>2303</v>
      </c>
      <c r="H281" s="2" t="s">
        <v>2401</v>
      </c>
      <c r="I281" s="2" t="s">
        <v>2401</v>
      </c>
      <c r="J281" s="2" t="s">
        <v>2303</v>
      </c>
      <c r="K281" s="2" t="s">
        <v>2401</v>
      </c>
      <c r="L281" s="278">
        <v>0.56862745098</v>
      </c>
      <c r="M281" s="2" t="s">
        <v>488</v>
      </c>
      <c r="N281" s="278">
        <v>1</v>
      </c>
    </row>
    <row r="282" spans="1:14" x14ac:dyDescent="0.25">
      <c r="A282" s="117">
        <v>540263</v>
      </c>
      <c r="B282" s="2" t="s">
        <v>306</v>
      </c>
      <c r="C282" s="2" t="s">
        <v>97</v>
      </c>
      <c r="D282" s="2" t="s">
        <v>115</v>
      </c>
      <c r="E282" s="2" t="s">
        <v>2254</v>
      </c>
      <c r="F282" s="2" t="s">
        <v>2472</v>
      </c>
      <c r="G282" s="2" t="s">
        <v>2303</v>
      </c>
      <c r="H282" s="2" t="s">
        <v>2945</v>
      </c>
      <c r="I282" s="2" t="s">
        <v>2376</v>
      </c>
      <c r="J282" s="2" t="s">
        <v>2303</v>
      </c>
      <c r="K282" s="2" t="s">
        <v>2376</v>
      </c>
      <c r="L282" s="278">
        <v>0.30434782608700001</v>
      </c>
      <c r="M282" s="2" t="s">
        <v>488</v>
      </c>
      <c r="N282" s="278">
        <v>0.875</v>
      </c>
    </row>
    <row r="283" spans="1:14" x14ac:dyDescent="0.25">
      <c r="A283" s="269"/>
      <c r="B283" s="269"/>
      <c r="C283" s="269" t="s">
        <v>97</v>
      </c>
      <c r="D283" s="269"/>
      <c r="E283" s="269"/>
      <c r="F283" s="269" t="s">
        <v>2946</v>
      </c>
      <c r="G283" s="269" t="s">
        <v>2534</v>
      </c>
      <c r="H283" s="269" t="s">
        <v>2947</v>
      </c>
      <c r="I283" s="269" t="s">
        <v>2948</v>
      </c>
      <c r="J283" s="269" t="s">
        <v>2303</v>
      </c>
      <c r="K283" s="269" t="s">
        <v>2949</v>
      </c>
      <c r="L283" s="279">
        <v>0.52345836720500005</v>
      </c>
      <c r="M283" s="269" t="s">
        <v>2305</v>
      </c>
      <c r="N283" s="279">
        <v>0.99637362637399995</v>
      </c>
    </row>
    <row r="284" spans="1:14" x14ac:dyDescent="0.25">
      <c r="A284" s="117">
        <v>540225</v>
      </c>
      <c r="B284" s="2" t="s">
        <v>98</v>
      </c>
      <c r="C284" s="2" t="s">
        <v>99</v>
      </c>
      <c r="D284" s="2" t="s">
        <v>5</v>
      </c>
      <c r="E284" s="2" t="s">
        <v>2254</v>
      </c>
      <c r="F284" s="2" t="s">
        <v>2950</v>
      </c>
      <c r="G284" s="2" t="s">
        <v>2951</v>
      </c>
      <c r="H284" s="2" t="s">
        <v>2952</v>
      </c>
      <c r="I284" s="2" t="s">
        <v>2953</v>
      </c>
      <c r="J284" s="2" t="s">
        <v>2303</v>
      </c>
      <c r="K284" s="2" t="s">
        <v>2954</v>
      </c>
      <c r="L284" s="278">
        <v>0.16700251889199999</v>
      </c>
      <c r="M284" s="2" t="s">
        <v>2305</v>
      </c>
      <c r="N284" s="278">
        <v>0.99551569506699999</v>
      </c>
    </row>
    <row r="285" spans="1:14" x14ac:dyDescent="0.25">
      <c r="A285" s="117">
        <v>540156</v>
      </c>
      <c r="B285" s="2" t="s">
        <v>232</v>
      </c>
      <c r="C285" s="2" t="s">
        <v>99</v>
      </c>
      <c r="D285" s="2" t="s">
        <v>115</v>
      </c>
      <c r="E285" s="2" t="s">
        <v>2254</v>
      </c>
      <c r="F285" s="2" t="s">
        <v>2813</v>
      </c>
      <c r="G285" s="2" t="s">
        <v>2813</v>
      </c>
      <c r="H285" s="2" t="s">
        <v>2303</v>
      </c>
      <c r="I285" s="2" t="s">
        <v>2303</v>
      </c>
      <c r="J285" s="2" t="s">
        <v>2303</v>
      </c>
      <c r="K285" s="2" t="s">
        <v>2303</v>
      </c>
      <c r="L285" s="278">
        <v>0</v>
      </c>
      <c r="M285" s="2" t="s">
        <v>2305</v>
      </c>
      <c r="N285" s="278" t="s">
        <v>488</v>
      </c>
    </row>
    <row r="286" spans="1:14" x14ac:dyDescent="0.25">
      <c r="A286" s="117">
        <v>540253</v>
      </c>
      <c r="B286" s="2" t="s">
        <v>299</v>
      </c>
      <c r="C286" s="2" t="s">
        <v>99</v>
      </c>
      <c r="D286" s="2" t="s">
        <v>115</v>
      </c>
      <c r="E286" s="2" t="s">
        <v>2254</v>
      </c>
      <c r="F286" s="2" t="s">
        <v>2525</v>
      </c>
      <c r="G286" s="2" t="s">
        <v>2525</v>
      </c>
      <c r="H286" s="2" t="s">
        <v>2303</v>
      </c>
      <c r="I286" s="2" t="s">
        <v>2303</v>
      </c>
      <c r="J286" s="2" t="s">
        <v>2303</v>
      </c>
      <c r="K286" s="2" t="s">
        <v>2303</v>
      </c>
      <c r="L286" s="278">
        <v>0</v>
      </c>
      <c r="M286" s="2" t="s">
        <v>2305</v>
      </c>
      <c r="N286" s="278" t="s">
        <v>488</v>
      </c>
    </row>
    <row r="287" spans="1:14" x14ac:dyDescent="0.25">
      <c r="A287" s="269"/>
      <c r="B287" s="269"/>
      <c r="C287" s="269" t="s">
        <v>99</v>
      </c>
      <c r="D287" s="269"/>
      <c r="E287" s="269"/>
      <c r="F287" s="269" t="s">
        <v>2955</v>
      </c>
      <c r="G287" s="269" t="s">
        <v>2956</v>
      </c>
      <c r="H287" s="269" t="s">
        <v>2952</v>
      </c>
      <c r="I287" s="269" t="s">
        <v>2953</v>
      </c>
      <c r="J287" s="269" t="s">
        <v>2303</v>
      </c>
      <c r="K287" s="269" t="s">
        <v>2954</v>
      </c>
      <c r="L287" s="279">
        <v>0.16437337300099999</v>
      </c>
      <c r="M287" s="269" t="s">
        <v>2305</v>
      </c>
      <c r="N287" s="279">
        <v>0.99551569506699999</v>
      </c>
    </row>
    <row r="288" spans="1:14" x14ac:dyDescent="0.25">
      <c r="A288" s="117">
        <v>540226</v>
      </c>
      <c r="B288" s="2" t="s">
        <v>100</v>
      </c>
      <c r="C288" s="2" t="s">
        <v>101</v>
      </c>
      <c r="D288" s="2" t="s">
        <v>5</v>
      </c>
      <c r="E288" s="2" t="s">
        <v>2272</v>
      </c>
      <c r="F288" s="2" t="s">
        <v>2957</v>
      </c>
      <c r="G288" s="2" t="s">
        <v>2958</v>
      </c>
      <c r="H288" s="2" t="s">
        <v>2373</v>
      </c>
      <c r="I288" s="2" t="s">
        <v>2373</v>
      </c>
      <c r="J288" s="2" t="s">
        <v>2373</v>
      </c>
      <c r="K288" s="2" t="s">
        <v>2303</v>
      </c>
      <c r="L288" s="278">
        <v>3.7855844942500003E-5</v>
      </c>
      <c r="M288" s="2" t="s">
        <v>2959</v>
      </c>
      <c r="N288" s="278">
        <v>0</v>
      </c>
    </row>
    <row r="289" spans="1:14" x14ac:dyDescent="0.25">
      <c r="A289" s="117">
        <v>540046</v>
      </c>
      <c r="B289" s="2" t="s">
        <v>147</v>
      </c>
      <c r="C289" s="2" t="s">
        <v>101</v>
      </c>
      <c r="D289" s="2" t="s">
        <v>115</v>
      </c>
      <c r="E289" s="2" t="s">
        <v>2272</v>
      </c>
      <c r="F289" s="2" t="s">
        <v>2960</v>
      </c>
      <c r="G289" s="2" t="s">
        <v>2960</v>
      </c>
      <c r="H289" s="2" t="s">
        <v>2303</v>
      </c>
      <c r="I289" s="2" t="s">
        <v>2303</v>
      </c>
      <c r="J289" s="2" t="s">
        <v>2303</v>
      </c>
      <c r="K289" s="2" t="s">
        <v>2303</v>
      </c>
      <c r="L289" s="278">
        <v>0</v>
      </c>
      <c r="M289" s="2" t="s">
        <v>2305</v>
      </c>
      <c r="N289" s="278" t="s">
        <v>488</v>
      </c>
    </row>
    <row r="290" spans="1:14" x14ac:dyDescent="0.25">
      <c r="A290" s="117">
        <v>540276</v>
      </c>
      <c r="B290" s="2" t="s">
        <v>319</v>
      </c>
      <c r="C290" s="2" t="s">
        <v>101</v>
      </c>
      <c r="D290" s="2" t="s">
        <v>115</v>
      </c>
      <c r="E290" s="2" t="s">
        <v>2272</v>
      </c>
      <c r="F290" s="2" t="s">
        <v>2309</v>
      </c>
      <c r="G290" s="2" t="s">
        <v>2309</v>
      </c>
      <c r="H290" s="2" t="s">
        <v>2303</v>
      </c>
      <c r="I290" s="2" t="s">
        <v>2303</v>
      </c>
      <c r="J290" s="2" t="s">
        <v>2303</v>
      </c>
      <c r="K290" s="2" t="s">
        <v>2303</v>
      </c>
      <c r="L290" s="278">
        <v>0</v>
      </c>
      <c r="M290" s="2" t="s">
        <v>2305</v>
      </c>
      <c r="N290" s="278" t="s">
        <v>488</v>
      </c>
    </row>
    <row r="291" spans="1:14" x14ac:dyDescent="0.25">
      <c r="A291" s="269"/>
      <c r="B291" s="269"/>
      <c r="C291" s="269" t="s">
        <v>101</v>
      </c>
      <c r="D291" s="269"/>
      <c r="E291" s="269"/>
      <c r="F291" s="269" t="s">
        <v>2961</v>
      </c>
      <c r="G291" s="269" t="s">
        <v>2962</v>
      </c>
      <c r="H291" s="269" t="s">
        <v>2373</v>
      </c>
      <c r="I291" s="269" t="s">
        <v>2373</v>
      </c>
      <c r="J291" s="269" t="s">
        <v>2373</v>
      </c>
      <c r="K291" s="269" t="s">
        <v>2303</v>
      </c>
      <c r="L291" s="279">
        <v>3.7533310813299998E-5</v>
      </c>
      <c r="M291" s="269" t="s">
        <v>2963</v>
      </c>
      <c r="N291" s="279">
        <v>0</v>
      </c>
    </row>
    <row r="292" spans="1:14" x14ac:dyDescent="0.25">
      <c r="A292" s="117">
        <v>540277</v>
      </c>
      <c r="B292" s="2" t="s">
        <v>102</v>
      </c>
      <c r="C292" s="2" t="s">
        <v>103</v>
      </c>
      <c r="D292" s="2" t="s">
        <v>5</v>
      </c>
      <c r="E292" s="2" t="s">
        <v>2254</v>
      </c>
      <c r="F292" s="2" t="s">
        <v>2964</v>
      </c>
      <c r="G292" s="2" t="s">
        <v>2965</v>
      </c>
      <c r="H292" s="2" t="s">
        <v>2966</v>
      </c>
      <c r="I292" s="2" t="s">
        <v>2967</v>
      </c>
      <c r="J292" s="2" t="s">
        <v>2303</v>
      </c>
      <c r="K292" s="2" t="s">
        <v>2968</v>
      </c>
      <c r="L292" s="278">
        <v>0.35869700360599999</v>
      </c>
      <c r="M292" s="2" t="s">
        <v>2305</v>
      </c>
      <c r="N292" s="278">
        <v>0.99724328049599997</v>
      </c>
    </row>
    <row r="293" spans="1:14" x14ac:dyDescent="0.25">
      <c r="A293" s="117">
        <v>540195</v>
      </c>
      <c r="B293" s="2" t="s">
        <v>258</v>
      </c>
      <c r="C293" s="2" t="s">
        <v>103</v>
      </c>
      <c r="D293" s="2" t="s">
        <v>115</v>
      </c>
      <c r="E293" s="2" t="s">
        <v>2254</v>
      </c>
      <c r="F293" s="2" t="s">
        <v>2565</v>
      </c>
      <c r="G293" s="2" t="s">
        <v>2565</v>
      </c>
      <c r="H293" s="2" t="s">
        <v>2303</v>
      </c>
      <c r="I293" s="2" t="s">
        <v>2303</v>
      </c>
      <c r="J293" s="2" t="s">
        <v>2303</v>
      </c>
      <c r="K293" s="2" t="s">
        <v>2303</v>
      </c>
      <c r="L293" s="278">
        <v>0</v>
      </c>
      <c r="M293" s="2" t="s">
        <v>2305</v>
      </c>
      <c r="N293" s="278" t="s">
        <v>488</v>
      </c>
    </row>
    <row r="294" spans="1:14" x14ac:dyDescent="0.25">
      <c r="A294" s="117">
        <v>540196</v>
      </c>
      <c r="B294" s="2" t="s">
        <v>259</v>
      </c>
      <c r="C294" s="2" t="s">
        <v>103</v>
      </c>
      <c r="D294" s="2" t="s">
        <v>115</v>
      </c>
      <c r="E294" s="2" t="s">
        <v>2254</v>
      </c>
      <c r="F294" s="2" t="s">
        <v>2300</v>
      </c>
      <c r="G294" s="2" t="s">
        <v>2300</v>
      </c>
      <c r="H294" s="2" t="s">
        <v>2303</v>
      </c>
      <c r="I294" s="2" t="s">
        <v>2303</v>
      </c>
      <c r="J294" s="2" t="s">
        <v>2303</v>
      </c>
      <c r="K294" s="2" t="s">
        <v>2303</v>
      </c>
      <c r="L294" s="278">
        <v>0</v>
      </c>
      <c r="M294" s="2" t="s">
        <v>2305</v>
      </c>
      <c r="N294" s="278" t="s">
        <v>488</v>
      </c>
    </row>
    <row r="295" spans="1:14" x14ac:dyDescent="0.25">
      <c r="A295" s="117">
        <v>540197</v>
      </c>
      <c r="B295" s="2" t="s">
        <v>260</v>
      </c>
      <c r="C295" s="2" t="s">
        <v>103</v>
      </c>
      <c r="D295" s="2" t="s">
        <v>115</v>
      </c>
      <c r="E295" s="2" t="s">
        <v>2254</v>
      </c>
      <c r="F295" s="2" t="s">
        <v>2728</v>
      </c>
      <c r="G295" s="2" t="s">
        <v>2728</v>
      </c>
      <c r="H295" s="2" t="s">
        <v>2303</v>
      </c>
      <c r="I295" s="2" t="s">
        <v>2303</v>
      </c>
      <c r="J295" s="2" t="s">
        <v>2303</v>
      </c>
      <c r="K295" s="2" t="s">
        <v>2303</v>
      </c>
      <c r="L295" s="278">
        <v>0</v>
      </c>
      <c r="M295" s="2" t="s">
        <v>2305</v>
      </c>
      <c r="N295" s="278" t="s">
        <v>488</v>
      </c>
    </row>
    <row r="296" spans="1:14" x14ac:dyDescent="0.25">
      <c r="A296" s="117">
        <v>540259</v>
      </c>
      <c r="B296" s="2" t="s">
        <v>304</v>
      </c>
      <c r="C296" s="2" t="s">
        <v>103</v>
      </c>
      <c r="D296" s="2" t="s">
        <v>115</v>
      </c>
      <c r="E296" s="2" t="s">
        <v>2254</v>
      </c>
      <c r="F296" s="2" t="s">
        <v>2631</v>
      </c>
      <c r="G296" s="2" t="s">
        <v>2631</v>
      </c>
      <c r="H296" s="2" t="s">
        <v>2303</v>
      </c>
      <c r="I296" s="2" t="s">
        <v>2303</v>
      </c>
      <c r="J296" s="2" t="s">
        <v>2303</v>
      </c>
      <c r="K296" s="2" t="s">
        <v>2303</v>
      </c>
      <c r="L296" s="278">
        <v>0</v>
      </c>
      <c r="M296" s="2" t="s">
        <v>2305</v>
      </c>
      <c r="N296" s="278" t="s">
        <v>488</v>
      </c>
    </row>
    <row r="297" spans="1:14" x14ac:dyDescent="0.25">
      <c r="A297" s="269"/>
      <c r="B297" s="269"/>
      <c r="C297" s="269" t="s">
        <v>103</v>
      </c>
      <c r="D297" s="269"/>
      <c r="E297" s="269"/>
      <c r="F297" s="269" t="s">
        <v>2969</v>
      </c>
      <c r="G297" s="269" t="s">
        <v>2970</v>
      </c>
      <c r="H297" s="269" t="s">
        <v>2966</v>
      </c>
      <c r="I297" s="269" t="s">
        <v>2967</v>
      </c>
      <c r="J297" s="269" t="s">
        <v>2303</v>
      </c>
      <c r="K297" s="269" t="s">
        <v>2968</v>
      </c>
      <c r="L297" s="279">
        <v>0.35474946203500002</v>
      </c>
      <c r="M297" s="269" t="s">
        <v>2305</v>
      </c>
      <c r="N297" s="279">
        <v>0.99724328049599997</v>
      </c>
    </row>
    <row r="298" spans="1:14" x14ac:dyDescent="0.25">
      <c r="A298" s="117">
        <v>540278</v>
      </c>
      <c r="B298" s="2" t="s">
        <v>104</v>
      </c>
      <c r="C298" s="2" t="s">
        <v>105</v>
      </c>
      <c r="D298" s="2" t="s">
        <v>5</v>
      </c>
      <c r="E298" s="2" t="s">
        <v>2247</v>
      </c>
      <c r="F298" s="2" t="s">
        <v>2971</v>
      </c>
      <c r="G298" s="2" t="s">
        <v>2432</v>
      </c>
      <c r="H298" s="2" t="s">
        <v>2972</v>
      </c>
      <c r="I298" s="2" t="s">
        <v>2973</v>
      </c>
      <c r="J298" s="2" t="s">
        <v>2326</v>
      </c>
      <c r="K298" s="2" t="s">
        <v>2974</v>
      </c>
      <c r="L298" s="278">
        <v>0.46901945057099997</v>
      </c>
      <c r="M298" s="2" t="s">
        <v>2975</v>
      </c>
      <c r="N298" s="278">
        <v>0.99555428079700004</v>
      </c>
    </row>
    <row r="299" spans="1:14" x14ac:dyDescent="0.25">
      <c r="A299" s="117">
        <v>540041</v>
      </c>
      <c r="B299" s="2" t="s">
        <v>142</v>
      </c>
      <c r="C299" s="2" t="s">
        <v>105</v>
      </c>
      <c r="D299" s="2" t="s">
        <v>115</v>
      </c>
      <c r="E299" s="2" t="s">
        <v>2247</v>
      </c>
      <c r="F299" s="2" t="s">
        <v>2976</v>
      </c>
      <c r="G299" s="2" t="s">
        <v>2977</v>
      </c>
      <c r="H299" s="2" t="s">
        <v>2303</v>
      </c>
      <c r="I299" s="2" t="s">
        <v>2586</v>
      </c>
      <c r="J299" s="2" t="s">
        <v>2303</v>
      </c>
      <c r="K299" s="2" t="s">
        <v>2303</v>
      </c>
      <c r="L299" s="278">
        <v>0.523178807947</v>
      </c>
      <c r="M299" s="2" t="s">
        <v>2305</v>
      </c>
      <c r="N299" s="278" t="s">
        <v>488</v>
      </c>
    </row>
    <row r="300" spans="1:14" x14ac:dyDescent="0.25">
      <c r="A300" s="117">
        <v>540143</v>
      </c>
      <c r="B300" s="2" t="s">
        <v>224</v>
      </c>
      <c r="C300" s="2" t="s">
        <v>105</v>
      </c>
      <c r="D300" s="2" t="s">
        <v>115</v>
      </c>
      <c r="E300" s="2" t="s">
        <v>2247</v>
      </c>
      <c r="F300" s="2" t="s">
        <v>2766</v>
      </c>
      <c r="G300" s="2" t="s">
        <v>2827</v>
      </c>
      <c r="H300" s="2" t="s">
        <v>2663</v>
      </c>
      <c r="I300" s="2" t="s">
        <v>2562</v>
      </c>
      <c r="J300" s="2" t="s">
        <v>2472</v>
      </c>
      <c r="K300" s="2" t="s">
        <v>2354</v>
      </c>
      <c r="L300" s="278">
        <v>0.30097087378600001</v>
      </c>
      <c r="M300" s="2" t="s">
        <v>2978</v>
      </c>
      <c r="N300" s="278">
        <v>2.8985507246400002E-2</v>
      </c>
    </row>
    <row r="301" spans="1:14" x14ac:dyDescent="0.25">
      <c r="A301" s="117">
        <v>540290</v>
      </c>
      <c r="B301" s="2" t="s">
        <v>327</v>
      </c>
      <c r="C301" s="2" t="s">
        <v>105</v>
      </c>
      <c r="D301" s="2" t="s">
        <v>115</v>
      </c>
      <c r="E301" s="2" t="s">
        <v>2247</v>
      </c>
      <c r="F301" s="2" t="s">
        <v>2303</v>
      </c>
      <c r="G301" s="2" t="s">
        <v>2303</v>
      </c>
      <c r="H301" s="2" t="s">
        <v>2303</v>
      </c>
      <c r="I301" s="2" t="s">
        <v>2303</v>
      </c>
      <c r="J301" s="2" t="s">
        <v>2303</v>
      </c>
      <c r="K301" s="2" t="s">
        <v>2303</v>
      </c>
      <c r="L301" s="278" t="s">
        <v>488</v>
      </c>
      <c r="M301" s="2" t="s">
        <v>488</v>
      </c>
      <c r="N301" s="278" t="s">
        <v>488</v>
      </c>
    </row>
    <row r="302" spans="1:14" x14ac:dyDescent="0.25">
      <c r="A302" s="269"/>
      <c r="B302" s="269"/>
      <c r="C302" s="269" t="s">
        <v>105</v>
      </c>
      <c r="D302" s="269"/>
      <c r="E302" s="269"/>
      <c r="F302" s="269" t="s">
        <v>2979</v>
      </c>
      <c r="G302" s="269" t="s">
        <v>2488</v>
      </c>
      <c r="H302" s="269" t="s">
        <v>2980</v>
      </c>
      <c r="I302" s="269" t="s">
        <v>2981</v>
      </c>
      <c r="J302" s="269" t="s">
        <v>2888</v>
      </c>
      <c r="K302" s="269" t="s">
        <v>2982</v>
      </c>
      <c r="L302" s="279">
        <v>0.46841932303599998</v>
      </c>
      <c r="M302" s="269" t="s">
        <v>2983</v>
      </c>
      <c r="N302" s="279">
        <v>0.98608349900600001</v>
      </c>
    </row>
    <row r="303" spans="1:14" x14ac:dyDescent="0.25">
      <c r="A303" s="117">
        <v>540282</v>
      </c>
      <c r="B303" s="2" t="s">
        <v>106</v>
      </c>
      <c r="C303" s="2" t="s">
        <v>107</v>
      </c>
      <c r="D303" s="2" t="s">
        <v>5</v>
      </c>
      <c r="E303" s="2" t="s">
        <v>2246</v>
      </c>
      <c r="F303" s="2" t="s">
        <v>2984</v>
      </c>
      <c r="G303" s="2" t="s">
        <v>2985</v>
      </c>
      <c r="H303" s="2" t="s">
        <v>2986</v>
      </c>
      <c r="I303" s="2" t="s">
        <v>2987</v>
      </c>
      <c r="J303" s="2" t="s">
        <v>2988</v>
      </c>
      <c r="K303" s="2" t="s">
        <v>2989</v>
      </c>
      <c r="L303" s="278">
        <v>0.47469185694100002</v>
      </c>
      <c r="M303" s="2" t="s">
        <v>2990</v>
      </c>
      <c r="N303" s="278">
        <v>0.68456588247700001</v>
      </c>
    </row>
    <row r="304" spans="1:14" x14ac:dyDescent="0.25">
      <c r="A304" s="117">
        <v>540006</v>
      </c>
      <c r="B304" s="2" t="s">
        <v>119</v>
      </c>
      <c r="C304" s="2" t="s">
        <v>107</v>
      </c>
      <c r="D304" s="2" t="s">
        <v>115</v>
      </c>
      <c r="E304" s="2" t="s">
        <v>2246</v>
      </c>
      <c r="F304" s="2" t="s">
        <v>2991</v>
      </c>
      <c r="G304" s="2" t="s">
        <v>2960</v>
      </c>
      <c r="H304" s="2" t="s">
        <v>2992</v>
      </c>
      <c r="I304" s="2" t="s">
        <v>2566</v>
      </c>
      <c r="J304" s="2" t="s">
        <v>2993</v>
      </c>
      <c r="K304" s="2" t="s">
        <v>2498</v>
      </c>
      <c r="L304" s="278">
        <v>0.50918635170600002</v>
      </c>
      <c r="M304" s="2" t="s">
        <v>2994</v>
      </c>
      <c r="N304" s="278">
        <v>4.6153846153799999E-2</v>
      </c>
    </row>
    <row r="305" spans="1:14" x14ac:dyDescent="0.25">
      <c r="A305" s="117">
        <v>545550</v>
      </c>
      <c r="B305" s="2" t="s">
        <v>339</v>
      </c>
      <c r="C305" s="2" t="s">
        <v>107</v>
      </c>
      <c r="D305" s="2" t="s">
        <v>115</v>
      </c>
      <c r="E305" s="2" t="s">
        <v>2246</v>
      </c>
      <c r="F305" s="2" t="s">
        <v>2303</v>
      </c>
      <c r="G305" s="2" t="s">
        <v>2303</v>
      </c>
      <c r="H305" s="2" t="s">
        <v>2303</v>
      </c>
      <c r="I305" s="2" t="s">
        <v>2303</v>
      </c>
      <c r="J305" s="2" t="s">
        <v>2303</v>
      </c>
      <c r="K305" s="2" t="s">
        <v>2303</v>
      </c>
      <c r="L305" s="278" t="s">
        <v>488</v>
      </c>
      <c r="M305" s="2" t="s">
        <v>488</v>
      </c>
      <c r="N305" s="278" t="s">
        <v>488</v>
      </c>
    </row>
    <row r="306" spans="1:14" x14ac:dyDescent="0.25">
      <c r="A306" s="269"/>
      <c r="B306" s="269"/>
      <c r="C306" s="269" t="s">
        <v>107</v>
      </c>
      <c r="D306" s="269"/>
      <c r="E306" s="269"/>
      <c r="F306" s="269" t="s">
        <v>2995</v>
      </c>
      <c r="G306" s="269" t="s">
        <v>2996</v>
      </c>
      <c r="H306" s="269" t="s">
        <v>2997</v>
      </c>
      <c r="I306" s="269" t="s">
        <v>2998</v>
      </c>
      <c r="J306" s="269" t="s">
        <v>2999</v>
      </c>
      <c r="K306" s="269" t="s">
        <v>3000</v>
      </c>
      <c r="L306" s="279">
        <v>0.47534321256899997</v>
      </c>
      <c r="M306" s="269" t="s">
        <v>3001</v>
      </c>
      <c r="N306" s="279">
        <v>0.67169733305799995</v>
      </c>
    </row>
    <row r="307" spans="1:14" x14ac:dyDescent="0.25">
      <c r="A307" s="117">
        <v>540283</v>
      </c>
      <c r="B307" s="2" t="s">
        <v>108</v>
      </c>
      <c r="C307" s="2" t="s">
        <v>109</v>
      </c>
      <c r="D307" s="2" t="s">
        <v>5</v>
      </c>
      <c r="E307" s="2" t="s">
        <v>2252</v>
      </c>
      <c r="F307" s="2" t="s">
        <v>3002</v>
      </c>
      <c r="G307" s="2" t="s">
        <v>3003</v>
      </c>
      <c r="H307" s="2" t="s">
        <v>3004</v>
      </c>
      <c r="I307" s="2" t="s">
        <v>2533</v>
      </c>
      <c r="J307" s="2" t="s">
        <v>2303</v>
      </c>
      <c r="K307" s="2" t="s">
        <v>2533</v>
      </c>
      <c r="L307" s="278">
        <v>3.78992961559E-3</v>
      </c>
      <c r="M307" s="2" t="s">
        <v>2305</v>
      </c>
      <c r="N307" s="278">
        <v>0.98245614035100004</v>
      </c>
    </row>
    <row r="308" spans="1:14" x14ac:dyDescent="0.25">
      <c r="A308" s="117">
        <v>540158</v>
      </c>
      <c r="B308" s="2" t="s">
        <v>233</v>
      </c>
      <c r="C308" s="2" t="s">
        <v>109</v>
      </c>
      <c r="D308" s="2" t="s">
        <v>115</v>
      </c>
      <c r="E308" s="2" t="s">
        <v>2252</v>
      </c>
      <c r="F308" s="2" t="s">
        <v>3005</v>
      </c>
      <c r="G308" s="2" t="s">
        <v>3005</v>
      </c>
      <c r="H308" s="2" t="s">
        <v>2303</v>
      </c>
      <c r="I308" s="2" t="s">
        <v>2303</v>
      </c>
      <c r="J308" s="2" t="s">
        <v>2303</v>
      </c>
      <c r="K308" s="2" t="s">
        <v>2303</v>
      </c>
      <c r="L308" s="278">
        <v>0</v>
      </c>
      <c r="M308" s="2" t="s">
        <v>2305</v>
      </c>
      <c r="N308" s="278" t="s">
        <v>488</v>
      </c>
    </row>
    <row r="309" spans="1:14" x14ac:dyDescent="0.25">
      <c r="A309" s="117">
        <v>540159</v>
      </c>
      <c r="B309" s="2" t="s">
        <v>234</v>
      </c>
      <c r="C309" s="2" t="s">
        <v>109</v>
      </c>
      <c r="D309" s="2" t="s">
        <v>115</v>
      </c>
      <c r="E309" s="2" t="s">
        <v>2252</v>
      </c>
      <c r="F309" s="2" t="s">
        <v>3006</v>
      </c>
      <c r="G309" s="2" t="s">
        <v>3007</v>
      </c>
      <c r="H309" s="2" t="s">
        <v>2303</v>
      </c>
      <c r="I309" s="2" t="s">
        <v>2303</v>
      </c>
      <c r="J309" s="2" t="s">
        <v>2303</v>
      </c>
      <c r="K309" s="2" t="s">
        <v>2303</v>
      </c>
      <c r="L309" s="278">
        <v>0</v>
      </c>
      <c r="M309" s="2" t="s">
        <v>2305</v>
      </c>
      <c r="N309" s="278" t="s">
        <v>488</v>
      </c>
    </row>
    <row r="310" spans="1:14" x14ac:dyDescent="0.25">
      <c r="A310" s="117">
        <v>540288</v>
      </c>
      <c r="B310" s="2" t="s">
        <v>340</v>
      </c>
      <c r="C310" s="2" t="s">
        <v>109</v>
      </c>
      <c r="D310" s="2" t="s">
        <v>115</v>
      </c>
      <c r="E310" s="2" t="s">
        <v>2252</v>
      </c>
      <c r="F310" s="2" t="s">
        <v>2303</v>
      </c>
      <c r="G310" s="2" t="s">
        <v>2303</v>
      </c>
      <c r="H310" s="2" t="s">
        <v>2303</v>
      </c>
      <c r="I310" s="2" t="s">
        <v>2303</v>
      </c>
      <c r="J310" s="2" t="s">
        <v>2303</v>
      </c>
      <c r="K310" s="2" t="s">
        <v>2303</v>
      </c>
      <c r="L310" s="278" t="s">
        <v>488</v>
      </c>
      <c r="M310" s="2" t="s">
        <v>488</v>
      </c>
      <c r="N310" s="278" t="s">
        <v>488</v>
      </c>
    </row>
    <row r="311" spans="1:14" x14ac:dyDescent="0.25">
      <c r="A311" s="269"/>
      <c r="B311" s="269"/>
      <c r="C311" s="269" t="s">
        <v>109</v>
      </c>
      <c r="D311" s="269"/>
      <c r="E311" s="269"/>
      <c r="F311" s="269" t="s">
        <v>3008</v>
      </c>
      <c r="G311" s="269" t="s">
        <v>3009</v>
      </c>
      <c r="H311" s="269" t="s">
        <v>3004</v>
      </c>
      <c r="I311" s="269" t="s">
        <v>2533</v>
      </c>
      <c r="J311" s="269" t="s">
        <v>2303</v>
      </c>
      <c r="K311" s="269" t="s">
        <v>2533</v>
      </c>
      <c r="L311" s="279">
        <v>3.6534446764100001E-3</v>
      </c>
      <c r="M311" s="269" t="s">
        <v>2305</v>
      </c>
      <c r="N311" s="279">
        <v>0.98245614035100004</v>
      </c>
    </row>
    <row r="312" spans="1:14" x14ac:dyDescent="0.25">
      <c r="A312" s="117">
        <v>545536</v>
      </c>
      <c r="B312" s="2" t="s">
        <v>110</v>
      </c>
      <c r="C312" s="2" t="s">
        <v>111</v>
      </c>
      <c r="D312" s="2" t="s">
        <v>5</v>
      </c>
      <c r="E312" s="2" t="s">
        <v>2251</v>
      </c>
      <c r="F312" s="2" t="s">
        <v>3010</v>
      </c>
      <c r="G312" s="2" t="s">
        <v>3011</v>
      </c>
      <c r="H312" s="2" t="s">
        <v>3012</v>
      </c>
      <c r="I312" s="2" t="s">
        <v>3013</v>
      </c>
      <c r="J312" s="2" t="s">
        <v>2373</v>
      </c>
      <c r="K312" s="2" t="s">
        <v>3014</v>
      </c>
      <c r="L312" s="278">
        <v>0.25463743676200001</v>
      </c>
      <c r="M312" s="2" t="s">
        <v>3015</v>
      </c>
      <c r="N312" s="278">
        <v>0.99086021505400002</v>
      </c>
    </row>
    <row r="313" spans="1:14" x14ac:dyDescent="0.25">
      <c r="A313" s="117">
        <v>540092</v>
      </c>
      <c r="B313" s="2" t="s">
        <v>183</v>
      </c>
      <c r="C313" s="2" t="s">
        <v>111</v>
      </c>
      <c r="D313" s="2" t="s">
        <v>115</v>
      </c>
      <c r="E313" s="2" t="s">
        <v>2251</v>
      </c>
      <c r="F313" s="2" t="s">
        <v>2325</v>
      </c>
      <c r="G313" s="2" t="s">
        <v>2325</v>
      </c>
      <c r="H313" s="2" t="s">
        <v>2303</v>
      </c>
      <c r="I313" s="2" t="s">
        <v>2303</v>
      </c>
      <c r="J313" s="2" t="s">
        <v>2303</v>
      </c>
      <c r="K313" s="2" t="s">
        <v>2303</v>
      </c>
      <c r="L313" s="278">
        <v>0</v>
      </c>
      <c r="M313" s="2" t="s">
        <v>2305</v>
      </c>
      <c r="N313" s="278" t="s">
        <v>488</v>
      </c>
    </row>
    <row r="314" spans="1:14" x14ac:dyDescent="0.25">
      <c r="A314" s="117">
        <v>540095</v>
      </c>
      <c r="B314" s="2" t="s">
        <v>186</v>
      </c>
      <c r="C314" s="2" t="s">
        <v>111</v>
      </c>
      <c r="D314" s="2" t="s">
        <v>115</v>
      </c>
      <c r="E314" s="2" t="s">
        <v>2251</v>
      </c>
      <c r="F314" s="2" t="s">
        <v>2430</v>
      </c>
      <c r="G314" s="2" t="s">
        <v>2430</v>
      </c>
      <c r="H314" s="2" t="s">
        <v>2303</v>
      </c>
      <c r="I314" s="2" t="s">
        <v>2303</v>
      </c>
      <c r="J314" s="2" t="s">
        <v>2303</v>
      </c>
      <c r="K314" s="2" t="s">
        <v>2303</v>
      </c>
      <c r="L314" s="278">
        <v>0</v>
      </c>
      <c r="M314" s="2" t="s">
        <v>2305</v>
      </c>
      <c r="N314" s="278" t="s">
        <v>488</v>
      </c>
    </row>
    <row r="315" spans="1:14" x14ac:dyDescent="0.25">
      <c r="A315" s="117">
        <v>545535</v>
      </c>
      <c r="B315" s="2" t="s">
        <v>332</v>
      </c>
      <c r="C315" s="2" t="s">
        <v>111</v>
      </c>
      <c r="D315" s="2" t="s">
        <v>115</v>
      </c>
      <c r="E315" s="2" t="s">
        <v>2251</v>
      </c>
      <c r="F315" s="2" t="s">
        <v>2651</v>
      </c>
      <c r="G315" s="2" t="s">
        <v>2651</v>
      </c>
      <c r="H315" s="2" t="s">
        <v>2303</v>
      </c>
      <c r="I315" s="2" t="s">
        <v>2303</v>
      </c>
      <c r="J315" s="2" t="s">
        <v>2303</v>
      </c>
      <c r="K315" s="2" t="s">
        <v>2303</v>
      </c>
      <c r="L315" s="278">
        <v>0</v>
      </c>
      <c r="M315" s="2" t="s">
        <v>2305</v>
      </c>
      <c r="N315" s="278" t="s">
        <v>488</v>
      </c>
    </row>
    <row r="316" spans="1:14" x14ac:dyDescent="0.25">
      <c r="A316" s="117">
        <v>545537</v>
      </c>
      <c r="B316" s="2" t="s">
        <v>333</v>
      </c>
      <c r="C316" s="2" t="s">
        <v>111</v>
      </c>
      <c r="D316" s="2" t="s">
        <v>115</v>
      </c>
      <c r="E316" s="2" t="s">
        <v>2251</v>
      </c>
      <c r="F316" s="2" t="s">
        <v>3016</v>
      </c>
      <c r="G316" s="2" t="s">
        <v>3016</v>
      </c>
      <c r="H316" s="2" t="s">
        <v>2303</v>
      </c>
      <c r="I316" s="2" t="s">
        <v>2303</v>
      </c>
      <c r="J316" s="2" t="s">
        <v>2303</v>
      </c>
      <c r="K316" s="2" t="s">
        <v>2303</v>
      </c>
      <c r="L316" s="278">
        <v>0</v>
      </c>
      <c r="M316" s="2" t="s">
        <v>2305</v>
      </c>
      <c r="N316" s="278" t="s">
        <v>488</v>
      </c>
    </row>
    <row r="317" spans="1:14" x14ac:dyDescent="0.25">
      <c r="A317" s="117">
        <v>545539</v>
      </c>
      <c r="B317" s="2" t="s">
        <v>335</v>
      </c>
      <c r="C317" s="2" t="s">
        <v>111</v>
      </c>
      <c r="D317" s="2" t="s">
        <v>115</v>
      </c>
      <c r="E317" s="2" t="s">
        <v>2251</v>
      </c>
      <c r="F317" s="2" t="s">
        <v>2412</v>
      </c>
      <c r="G317" s="2" t="s">
        <v>2412</v>
      </c>
      <c r="H317" s="2" t="s">
        <v>2303</v>
      </c>
      <c r="I317" s="2" t="s">
        <v>2303</v>
      </c>
      <c r="J317" s="2" t="s">
        <v>2303</v>
      </c>
      <c r="K317" s="2" t="s">
        <v>2303</v>
      </c>
      <c r="L317" s="278">
        <v>0</v>
      </c>
      <c r="M317" s="2" t="s">
        <v>2305</v>
      </c>
      <c r="N317" s="278" t="s">
        <v>488</v>
      </c>
    </row>
    <row r="318" spans="1:14" x14ac:dyDescent="0.25">
      <c r="A318" s="269"/>
      <c r="B318" s="269"/>
      <c r="C318" s="269" t="s">
        <v>111</v>
      </c>
      <c r="D318" s="269"/>
      <c r="E318" s="269"/>
      <c r="F318" s="269" t="s">
        <v>3017</v>
      </c>
      <c r="G318" s="269" t="s">
        <v>3018</v>
      </c>
      <c r="H318" s="269" t="s">
        <v>3012</v>
      </c>
      <c r="I318" s="269" t="s">
        <v>3013</v>
      </c>
      <c r="J318" s="269" t="s">
        <v>2373</v>
      </c>
      <c r="K318" s="269" t="s">
        <v>3014</v>
      </c>
      <c r="L318" s="279">
        <v>0.24503042596300001</v>
      </c>
      <c r="M318" s="269" t="s">
        <v>3019</v>
      </c>
      <c r="N318" s="279">
        <v>0.99086021505400002</v>
      </c>
    </row>
    <row r="319" spans="1:14" x14ac:dyDescent="0.25">
      <c r="A319" s="117">
        <v>540191</v>
      </c>
      <c r="B319" s="2" t="s">
        <v>112</v>
      </c>
      <c r="C319" s="2" t="s">
        <v>113</v>
      </c>
      <c r="D319" s="2" t="s">
        <v>5</v>
      </c>
      <c r="E319" s="2" t="s">
        <v>2250</v>
      </c>
      <c r="F319" s="2" t="s">
        <v>3020</v>
      </c>
      <c r="G319" s="2" t="s">
        <v>3021</v>
      </c>
      <c r="H319" s="2" t="s">
        <v>3022</v>
      </c>
      <c r="I319" s="2" t="s">
        <v>3023</v>
      </c>
      <c r="J319" s="2" t="s">
        <v>2303</v>
      </c>
      <c r="K319" s="2" t="s">
        <v>3024</v>
      </c>
      <c r="L319" s="278">
        <v>0.42273878020700001</v>
      </c>
      <c r="M319" s="2" t="s">
        <v>2305</v>
      </c>
      <c r="N319" s="278">
        <v>0.99414951245899996</v>
      </c>
    </row>
    <row r="320" spans="1:14" x14ac:dyDescent="0.25">
      <c r="A320" s="117">
        <v>540193</v>
      </c>
      <c r="B320" s="2" t="s">
        <v>342</v>
      </c>
      <c r="C320" s="2" t="s">
        <v>113</v>
      </c>
      <c r="D320" s="2" t="s">
        <v>115</v>
      </c>
      <c r="E320" s="2" t="s">
        <v>2250</v>
      </c>
      <c r="F320" s="2" t="s">
        <v>2608</v>
      </c>
      <c r="G320" s="2" t="s">
        <v>2533</v>
      </c>
      <c r="H320" s="2" t="s">
        <v>2329</v>
      </c>
      <c r="I320" s="2" t="s">
        <v>2329</v>
      </c>
      <c r="J320" s="2" t="s">
        <v>2303</v>
      </c>
      <c r="K320" s="2" t="s">
        <v>2329</v>
      </c>
      <c r="L320" s="278">
        <v>0.26315789473700002</v>
      </c>
      <c r="M320" s="2" t="s">
        <v>2305</v>
      </c>
      <c r="N320" s="278">
        <v>1</v>
      </c>
    </row>
    <row r="321" spans="1:14" x14ac:dyDescent="0.25">
      <c r="A321" s="117">
        <v>540192</v>
      </c>
      <c r="B321" s="2" t="s">
        <v>343</v>
      </c>
      <c r="C321" s="2" t="s">
        <v>113</v>
      </c>
      <c r="D321" s="2" t="s">
        <v>115</v>
      </c>
      <c r="E321" s="2" t="s">
        <v>2250</v>
      </c>
      <c r="F321" s="2" t="s">
        <v>2531</v>
      </c>
      <c r="G321" s="2" t="s">
        <v>2531</v>
      </c>
      <c r="H321" s="2" t="s">
        <v>2373</v>
      </c>
      <c r="I321" s="2" t="s">
        <v>2373</v>
      </c>
      <c r="J321" s="2" t="s">
        <v>2303</v>
      </c>
      <c r="K321" s="2" t="s">
        <v>2303</v>
      </c>
      <c r="L321" s="278">
        <v>1.2048192771100001E-2</v>
      </c>
      <c r="M321" s="2" t="s">
        <v>2305</v>
      </c>
      <c r="N321" s="278">
        <v>0</v>
      </c>
    </row>
    <row r="322" spans="1:14" x14ac:dyDescent="0.25">
      <c r="A322" s="117">
        <v>540194</v>
      </c>
      <c r="B322" s="2" t="s">
        <v>344</v>
      </c>
      <c r="C322" s="2" t="s">
        <v>113</v>
      </c>
      <c r="D322" s="2" t="s">
        <v>115</v>
      </c>
      <c r="E322" s="2" t="s">
        <v>2250</v>
      </c>
      <c r="F322" s="2" t="s">
        <v>2311</v>
      </c>
      <c r="G322" s="2" t="s">
        <v>2311</v>
      </c>
      <c r="H322" s="2" t="s">
        <v>2303</v>
      </c>
      <c r="I322" s="2" t="s">
        <v>2303</v>
      </c>
      <c r="J322" s="2" t="s">
        <v>2303</v>
      </c>
      <c r="K322" s="2" t="s">
        <v>2303</v>
      </c>
      <c r="L322" s="278">
        <v>0</v>
      </c>
      <c r="M322" s="2" t="s">
        <v>2305</v>
      </c>
      <c r="N322" s="278" t="s">
        <v>488</v>
      </c>
    </row>
    <row r="323" spans="1:14" x14ac:dyDescent="0.25">
      <c r="A323" s="117">
        <v>540261</v>
      </c>
      <c r="B323" s="2" t="s">
        <v>345</v>
      </c>
      <c r="C323" s="2" t="s">
        <v>113</v>
      </c>
      <c r="D323" s="2" t="s">
        <v>115</v>
      </c>
      <c r="E323" s="2" t="s">
        <v>2250</v>
      </c>
      <c r="F323" s="2" t="s">
        <v>2434</v>
      </c>
      <c r="G323" s="2" t="s">
        <v>2387</v>
      </c>
      <c r="H323" s="2" t="s">
        <v>3016</v>
      </c>
      <c r="I323" s="2" t="s">
        <v>2637</v>
      </c>
      <c r="J323" s="2" t="s">
        <v>2303</v>
      </c>
      <c r="K323" s="2" t="s">
        <v>2637</v>
      </c>
      <c r="L323" s="278">
        <v>0.407258064516</v>
      </c>
      <c r="M323" s="2" t="s">
        <v>2305</v>
      </c>
      <c r="N323" s="278">
        <v>0.99019607843099999</v>
      </c>
    </row>
    <row r="324" spans="1:14" x14ac:dyDescent="0.25">
      <c r="A324" s="117">
        <v>540260</v>
      </c>
      <c r="B324" s="2" t="s">
        <v>346</v>
      </c>
      <c r="C324" s="2" t="s">
        <v>113</v>
      </c>
      <c r="D324" s="2" t="s">
        <v>115</v>
      </c>
      <c r="E324" s="2" t="s">
        <v>2250</v>
      </c>
      <c r="F324" s="2" t="s">
        <v>2712</v>
      </c>
      <c r="G324" s="2" t="s">
        <v>2309</v>
      </c>
      <c r="H324" s="2" t="s">
        <v>2565</v>
      </c>
      <c r="I324" s="2" t="s">
        <v>2446</v>
      </c>
      <c r="J324" s="2" t="s">
        <v>2303</v>
      </c>
      <c r="K324" s="2" t="s">
        <v>2446</v>
      </c>
      <c r="L324" s="278">
        <v>0.26865671641799999</v>
      </c>
      <c r="M324" s="2" t="s">
        <v>2305</v>
      </c>
      <c r="N324" s="278">
        <v>0.97297297297300001</v>
      </c>
    </row>
    <row r="325" spans="1:14" x14ac:dyDescent="0.25">
      <c r="A325" s="269"/>
      <c r="B325" s="269"/>
      <c r="C325" s="269" t="s">
        <v>113</v>
      </c>
      <c r="D325" s="269"/>
      <c r="E325" s="269"/>
      <c r="F325" s="269" t="s">
        <v>3025</v>
      </c>
      <c r="G325" s="269" t="s">
        <v>3026</v>
      </c>
      <c r="H325" s="269" t="s">
        <v>3027</v>
      </c>
      <c r="I325" s="269" t="s">
        <v>3028</v>
      </c>
      <c r="J325" s="269" t="s">
        <v>2303</v>
      </c>
      <c r="K325" s="269" t="s">
        <v>3029</v>
      </c>
      <c r="L325" s="279">
        <v>0.415145458583</v>
      </c>
      <c r="M325" s="269" t="s">
        <v>2305</v>
      </c>
      <c r="N325" s="279">
        <v>0.99393294305500002</v>
      </c>
    </row>
    <row r="326" spans="1:14" x14ac:dyDescent="0.25">
      <c r="A326" s="117">
        <v>540027</v>
      </c>
      <c r="B326" s="2" t="s">
        <v>132</v>
      </c>
      <c r="C326" s="2" t="s">
        <v>21</v>
      </c>
      <c r="D326" s="2" t="s">
        <v>115</v>
      </c>
      <c r="E326" s="2" t="s">
        <v>2252</v>
      </c>
      <c r="F326" s="2" t="s">
        <v>2401</v>
      </c>
      <c r="G326" s="2" t="s">
        <v>2303</v>
      </c>
      <c r="H326" s="2" t="s">
        <v>2473</v>
      </c>
      <c r="I326" s="2" t="s">
        <v>2471</v>
      </c>
      <c r="J326" s="2" t="s">
        <v>2303</v>
      </c>
      <c r="K326" s="2" t="s">
        <v>2473</v>
      </c>
      <c r="L326" s="278">
        <v>0.34482758620699999</v>
      </c>
      <c r="M326" s="2" t="s">
        <v>488</v>
      </c>
      <c r="N326" s="278">
        <v>1</v>
      </c>
    </row>
    <row r="327" spans="1:14" x14ac:dyDescent="0.25">
      <c r="A327" s="117">
        <v>540028</v>
      </c>
      <c r="B327" s="2" t="s">
        <v>133</v>
      </c>
      <c r="C327" s="2" t="s">
        <v>21</v>
      </c>
      <c r="D327" s="2" t="s">
        <v>115</v>
      </c>
      <c r="E327" s="2" t="s">
        <v>2252</v>
      </c>
      <c r="F327" s="2" t="s">
        <v>3016</v>
      </c>
      <c r="G327" s="2" t="s">
        <v>2460</v>
      </c>
      <c r="H327" s="2" t="s">
        <v>2844</v>
      </c>
      <c r="I327" s="2" t="s">
        <v>2309</v>
      </c>
      <c r="J327" s="2" t="s">
        <v>2330</v>
      </c>
      <c r="K327" s="2" t="s">
        <v>2498</v>
      </c>
      <c r="L327" s="278">
        <v>0.47058823529400001</v>
      </c>
      <c r="M327" s="2" t="s">
        <v>3030</v>
      </c>
      <c r="N327" s="278">
        <v>0.16981132075499999</v>
      </c>
    </row>
    <row r="328" spans="1:14" x14ac:dyDescent="0.25">
      <c r="A328" s="117">
        <v>540029</v>
      </c>
      <c r="B328" s="2" t="s">
        <v>134</v>
      </c>
      <c r="C328" s="2" t="s">
        <v>21</v>
      </c>
      <c r="D328" s="2" t="s">
        <v>115</v>
      </c>
      <c r="E328" s="2" t="s">
        <v>2252</v>
      </c>
      <c r="F328" s="2" t="s">
        <v>2385</v>
      </c>
      <c r="G328" s="2" t="s">
        <v>2326</v>
      </c>
      <c r="H328" s="2" t="s">
        <v>2484</v>
      </c>
      <c r="I328" s="2" t="s">
        <v>2484</v>
      </c>
      <c r="J328" s="2" t="s">
        <v>2373</v>
      </c>
      <c r="K328" s="2" t="s">
        <v>2326</v>
      </c>
      <c r="L328" s="278">
        <v>0.210526315789</v>
      </c>
      <c r="M328" s="2" t="s">
        <v>3031</v>
      </c>
      <c r="N328" s="278">
        <v>0.75</v>
      </c>
    </row>
    <row r="329" spans="1:14" x14ac:dyDescent="0.25">
      <c r="A329" s="117">
        <v>540031</v>
      </c>
      <c r="B329" s="2" t="s">
        <v>136</v>
      </c>
      <c r="C329" s="2" t="s">
        <v>21</v>
      </c>
      <c r="D329" s="2" t="s">
        <v>115</v>
      </c>
      <c r="E329" s="2" t="s">
        <v>2252</v>
      </c>
      <c r="F329" s="2" t="s">
        <v>3032</v>
      </c>
      <c r="G329" s="2" t="s">
        <v>2303</v>
      </c>
      <c r="H329" s="2" t="s">
        <v>2324</v>
      </c>
      <c r="I329" s="2" t="s">
        <v>2325</v>
      </c>
      <c r="J329" s="2" t="s">
        <v>2303</v>
      </c>
      <c r="K329" s="2" t="s">
        <v>2649</v>
      </c>
      <c r="L329" s="278">
        <v>0.45624999999999999</v>
      </c>
      <c r="M329" s="2" t="s">
        <v>488</v>
      </c>
      <c r="N329" s="278">
        <v>0.98666666666699998</v>
      </c>
    </row>
    <row r="330" spans="1:14" x14ac:dyDescent="0.25">
      <c r="A330" s="117">
        <v>540032</v>
      </c>
      <c r="B330" s="2" t="s">
        <v>137</v>
      </c>
      <c r="C330" s="2" t="s">
        <v>21</v>
      </c>
      <c r="D330" s="2" t="s">
        <v>115</v>
      </c>
      <c r="E330" s="2" t="s">
        <v>2252</v>
      </c>
      <c r="F330" s="2" t="s">
        <v>3033</v>
      </c>
      <c r="G330" s="2" t="s">
        <v>2631</v>
      </c>
      <c r="H330" s="2" t="s">
        <v>2309</v>
      </c>
      <c r="I330" s="2" t="s">
        <v>2309</v>
      </c>
      <c r="J330" s="2" t="s">
        <v>2569</v>
      </c>
      <c r="K330" s="2" t="s">
        <v>2373</v>
      </c>
      <c r="L330" s="278">
        <v>0.527472527473</v>
      </c>
      <c r="M330" s="2" t="s">
        <v>3034</v>
      </c>
      <c r="N330" s="278">
        <v>2.0833333333300001E-2</v>
      </c>
    </row>
    <row r="331" spans="1:14" x14ac:dyDescent="0.25">
      <c r="A331" s="117">
        <v>540050</v>
      </c>
      <c r="B331" s="2" t="s">
        <v>150</v>
      </c>
      <c r="C331" s="2" t="s">
        <v>21</v>
      </c>
      <c r="D331" s="2" t="s">
        <v>115</v>
      </c>
      <c r="E331" s="2" t="s">
        <v>2252</v>
      </c>
      <c r="F331" s="2" t="s">
        <v>2303</v>
      </c>
      <c r="G331" s="2" t="s">
        <v>2303</v>
      </c>
      <c r="H331" s="2" t="s">
        <v>2303</v>
      </c>
      <c r="I331" s="2" t="s">
        <v>2303</v>
      </c>
      <c r="J331" s="2" t="s">
        <v>2303</v>
      </c>
      <c r="K331" s="2" t="s">
        <v>2303</v>
      </c>
      <c r="L331" s="278" t="s">
        <v>488</v>
      </c>
      <c r="M331" s="2" t="s">
        <v>488</v>
      </c>
      <c r="N331" s="278" t="s">
        <v>488</v>
      </c>
    </row>
    <row r="332" spans="1:14" x14ac:dyDescent="0.25">
      <c r="A332" s="117">
        <v>540293</v>
      </c>
      <c r="B332" s="2" t="s">
        <v>330</v>
      </c>
      <c r="C332" s="2" t="s">
        <v>21</v>
      </c>
      <c r="D332" s="2" t="s">
        <v>115</v>
      </c>
      <c r="E332" s="2" t="s">
        <v>2252</v>
      </c>
      <c r="F332" s="2" t="s">
        <v>2460</v>
      </c>
      <c r="G332" s="2" t="s">
        <v>2303</v>
      </c>
      <c r="H332" s="2" t="s">
        <v>2562</v>
      </c>
      <c r="I332" s="2" t="s">
        <v>2499</v>
      </c>
      <c r="J332" s="2" t="s">
        <v>2303</v>
      </c>
      <c r="K332" s="2" t="s">
        <v>2562</v>
      </c>
      <c r="L332" s="278">
        <v>0.71428571428599996</v>
      </c>
      <c r="M332" s="2" t="s">
        <v>488</v>
      </c>
      <c r="N332" s="278">
        <v>1</v>
      </c>
    </row>
    <row r="333" spans="1:14" x14ac:dyDescent="0.25">
      <c r="A333" s="117">
        <v>540294</v>
      </c>
      <c r="B333" s="2" t="s">
        <v>331</v>
      </c>
      <c r="C333" s="2" t="s">
        <v>21</v>
      </c>
      <c r="D333" s="2" t="s">
        <v>115</v>
      </c>
      <c r="E333" s="2" t="s">
        <v>2252</v>
      </c>
      <c r="F333" s="2" t="s">
        <v>3035</v>
      </c>
      <c r="G333" s="2" t="s">
        <v>3005</v>
      </c>
      <c r="H333" s="2" t="s">
        <v>2487</v>
      </c>
      <c r="I333" s="2" t="s">
        <v>2325</v>
      </c>
      <c r="J333" s="2" t="s">
        <v>2533</v>
      </c>
      <c r="K333" s="2" t="s">
        <v>2498</v>
      </c>
      <c r="L333" s="278">
        <v>0.43452380952399999</v>
      </c>
      <c r="M333" s="2" t="s">
        <v>3036</v>
      </c>
      <c r="N333" s="278">
        <v>8.1081081081100001E-2</v>
      </c>
    </row>
    <row r="334" spans="1:14" x14ac:dyDescent="0.25">
      <c r="A334" s="117">
        <v>540033</v>
      </c>
      <c r="B334" s="2" t="s">
        <v>138</v>
      </c>
      <c r="C334" s="2" t="s">
        <v>21</v>
      </c>
      <c r="D334" s="2" t="s">
        <v>115</v>
      </c>
      <c r="E334" s="2" t="s">
        <v>2252</v>
      </c>
      <c r="F334" s="2" t="s">
        <v>3037</v>
      </c>
      <c r="G334" s="2" t="s">
        <v>2566</v>
      </c>
      <c r="H334" s="2" t="s">
        <v>3038</v>
      </c>
      <c r="I334" s="2" t="s">
        <v>2992</v>
      </c>
      <c r="J334" s="2" t="s">
        <v>3039</v>
      </c>
      <c r="K334" s="2" t="s">
        <v>2373</v>
      </c>
      <c r="L334" s="278">
        <v>0.49492385786799997</v>
      </c>
      <c r="M334" s="2" t="s">
        <v>3040</v>
      </c>
      <c r="N334" s="278">
        <v>5.0000000000000001E-3</v>
      </c>
    </row>
    <row r="335" spans="1:14" x14ac:dyDescent="0.25">
      <c r="A335" s="117">
        <v>540280</v>
      </c>
      <c r="B335" s="2" t="s">
        <v>321</v>
      </c>
      <c r="C335" s="2" t="s">
        <v>21</v>
      </c>
      <c r="D335" s="2" t="s">
        <v>115</v>
      </c>
      <c r="E335" s="2" t="s">
        <v>2252</v>
      </c>
      <c r="F335" s="2" t="s">
        <v>2813</v>
      </c>
      <c r="G335" s="2" t="s">
        <v>2303</v>
      </c>
      <c r="H335" s="2" t="s">
        <v>2562</v>
      </c>
      <c r="I335" s="2" t="s">
        <v>2562</v>
      </c>
      <c r="J335" s="2" t="s">
        <v>2303</v>
      </c>
      <c r="K335" s="2" t="s">
        <v>2562</v>
      </c>
      <c r="L335" s="278">
        <v>0.430555555556</v>
      </c>
      <c r="M335" s="2" t="s">
        <v>488</v>
      </c>
      <c r="N335" s="278">
        <v>1</v>
      </c>
    </row>
    <row r="336" spans="1:14" x14ac:dyDescent="0.25">
      <c r="A336" s="117">
        <v>540026</v>
      </c>
      <c r="B336" s="2" t="s">
        <v>20</v>
      </c>
      <c r="C336" s="2" t="s">
        <v>21</v>
      </c>
      <c r="D336" s="2" t="s">
        <v>5</v>
      </c>
      <c r="E336" s="2" t="s">
        <v>2252</v>
      </c>
      <c r="F336" s="2" t="s">
        <v>3041</v>
      </c>
      <c r="G336" s="2" t="s">
        <v>2762</v>
      </c>
      <c r="H336" s="2" t="s">
        <v>3042</v>
      </c>
      <c r="I336" s="2" t="s">
        <v>3043</v>
      </c>
      <c r="J336" s="2" t="s">
        <v>3044</v>
      </c>
      <c r="K336" s="2" t="s">
        <v>3045</v>
      </c>
      <c r="L336" s="278">
        <v>0.57864604851599999</v>
      </c>
      <c r="M336" s="2" t="s">
        <v>3046</v>
      </c>
      <c r="N336" s="278">
        <v>0.83913913913899996</v>
      </c>
    </row>
    <row r="337" spans="1:14" x14ac:dyDescent="0.25">
      <c r="A337" s="269"/>
      <c r="B337" s="269"/>
      <c r="C337" s="269" t="s">
        <v>21</v>
      </c>
      <c r="D337" s="269"/>
      <c r="E337" s="269"/>
      <c r="F337" s="269" t="s">
        <v>3047</v>
      </c>
      <c r="G337" s="269" t="s">
        <v>3048</v>
      </c>
      <c r="H337" s="269" t="s">
        <v>3049</v>
      </c>
      <c r="I337" s="269" t="s">
        <v>3050</v>
      </c>
      <c r="J337" s="269" t="s">
        <v>3051</v>
      </c>
      <c r="K337" s="269" t="s">
        <v>3052</v>
      </c>
      <c r="L337" s="279">
        <v>0.57247502774699999</v>
      </c>
      <c r="M337" s="269" t="s">
        <v>3053</v>
      </c>
      <c r="N337" s="279">
        <v>0.81040363843100005</v>
      </c>
    </row>
    <row r="338" spans="1:14" x14ac:dyDescent="0.25">
      <c r="A338" s="117">
        <v>540176</v>
      </c>
      <c r="B338" s="2" t="s">
        <v>247</v>
      </c>
      <c r="C338" s="2" t="s">
        <v>75</v>
      </c>
      <c r="D338" s="2" t="s">
        <v>115</v>
      </c>
      <c r="E338" s="2" t="s">
        <v>2250</v>
      </c>
      <c r="F338" s="2" t="s">
        <v>2325</v>
      </c>
      <c r="G338" s="2" t="s">
        <v>2303</v>
      </c>
      <c r="H338" s="2" t="s">
        <v>2303</v>
      </c>
      <c r="I338" s="2" t="s">
        <v>2303</v>
      </c>
      <c r="J338" s="2" t="s">
        <v>2303</v>
      </c>
      <c r="K338" s="2" t="s">
        <v>2303</v>
      </c>
      <c r="L338" s="278">
        <v>0</v>
      </c>
      <c r="M338" s="2" t="s">
        <v>488</v>
      </c>
      <c r="N338" s="278" t="s">
        <v>488</v>
      </c>
    </row>
    <row r="339" spans="1:14" x14ac:dyDescent="0.25">
      <c r="A339" s="117">
        <v>540178</v>
      </c>
      <c r="B339" s="2" t="s">
        <v>249</v>
      </c>
      <c r="C339" s="2" t="s">
        <v>75</v>
      </c>
      <c r="D339" s="2" t="s">
        <v>115</v>
      </c>
      <c r="E339" s="2" t="s">
        <v>2250</v>
      </c>
      <c r="F339" s="2" t="s">
        <v>2533</v>
      </c>
      <c r="G339" s="2" t="s">
        <v>2303</v>
      </c>
      <c r="H339" s="2" t="s">
        <v>2303</v>
      </c>
      <c r="I339" s="2" t="s">
        <v>2303</v>
      </c>
      <c r="J339" s="2" t="s">
        <v>2303</v>
      </c>
      <c r="K339" s="2" t="s">
        <v>2303</v>
      </c>
      <c r="L339" s="278">
        <v>0</v>
      </c>
      <c r="M339" s="2" t="s">
        <v>488</v>
      </c>
      <c r="N339" s="278" t="s">
        <v>488</v>
      </c>
    </row>
    <row r="340" spans="1:14" x14ac:dyDescent="0.25">
      <c r="A340" s="117">
        <v>540264</v>
      </c>
      <c r="B340" s="2" t="s">
        <v>307</v>
      </c>
      <c r="C340" s="2" t="s">
        <v>75</v>
      </c>
      <c r="D340" s="2" t="s">
        <v>115</v>
      </c>
      <c r="E340" s="2" t="s">
        <v>2250</v>
      </c>
      <c r="F340" s="2" t="s">
        <v>2565</v>
      </c>
      <c r="G340" s="2" t="s">
        <v>2303</v>
      </c>
      <c r="H340" s="2" t="s">
        <v>2303</v>
      </c>
      <c r="I340" s="2" t="s">
        <v>2303</v>
      </c>
      <c r="J340" s="2" t="s">
        <v>2303</v>
      </c>
      <c r="K340" s="2" t="s">
        <v>2303</v>
      </c>
      <c r="L340" s="278">
        <v>0</v>
      </c>
      <c r="M340" s="2" t="s">
        <v>488</v>
      </c>
      <c r="N340" s="278" t="s">
        <v>488</v>
      </c>
    </row>
    <row r="341" spans="1:14" x14ac:dyDescent="0.25">
      <c r="A341" s="117">
        <v>540265</v>
      </c>
      <c r="B341" s="2" t="s">
        <v>308</v>
      </c>
      <c r="C341" s="2" t="s">
        <v>75</v>
      </c>
      <c r="D341" s="2" t="s">
        <v>115</v>
      </c>
      <c r="E341" s="2" t="s">
        <v>2250</v>
      </c>
      <c r="F341" s="2" t="s">
        <v>3054</v>
      </c>
      <c r="G341" s="2" t="s">
        <v>2303</v>
      </c>
      <c r="H341" s="2" t="s">
        <v>2303</v>
      </c>
      <c r="I341" s="2" t="s">
        <v>2303</v>
      </c>
      <c r="J341" s="2" t="s">
        <v>2303</v>
      </c>
      <c r="K341" s="2" t="s">
        <v>2303</v>
      </c>
      <c r="L341" s="278">
        <v>0</v>
      </c>
      <c r="M341" s="2" t="s">
        <v>488</v>
      </c>
      <c r="N341" s="278" t="s">
        <v>488</v>
      </c>
    </row>
    <row r="342" spans="1:14" x14ac:dyDescent="0.25">
      <c r="A342" s="117">
        <v>540266</v>
      </c>
      <c r="B342" s="2" t="s">
        <v>309</v>
      </c>
      <c r="C342" s="2" t="s">
        <v>75</v>
      </c>
      <c r="D342" s="2" t="s">
        <v>115</v>
      </c>
      <c r="E342" s="2" t="s">
        <v>2250</v>
      </c>
      <c r="F342" s="2" t="s">
        <v>2550</v>
      </c>
      <c r="G342" s="2" t="s">
        <v>2373</v>
      </c>
      <c r="H342" s="2" t="s">
        <v>2303</v>
      </c>
      <c r="I342" s="2" t="s">
        <v>2303</v>
      </c>
      <c r="J342" s="2" t="s">
        <v>2303</v>
      </c>
      <c r="K342" s="2" t="s">
        <v>2303</v>
      </c>
      <c r="L342" s="278">
        <v>0</v>
      </c>
      <c r="M342" s="2" t="s">
        <v>2305</v>
      </c>
      <c r="N342" s="278" t="s">
        <v>488</v>
      </c>
    </row>
    <row r="343" spans="1:14" x14ac:dyDescent="0.25">
      <c r="A343" s="117">
        <v>540267</v>
      </c>
      <c r="B343" s="2" t="s">
        <v>310</v>
      </c>
      <c r="C343" s="2" t="s">
        <v>75</v>
      </c>
      <c r="D343" s="2" t="s">
        <v>115</v>
      </c>
      <c r="E343" s="2" t="s">
        <v>2250</v>
      </c>
      <c r="F343" s="2" t="s">
        <v>2813</v>
      </c>
      <c r="G343" s="2" t="s">
        <v>2570</v>
      </c>
      <c r="H343" s="2" t="s">
        <v>2303</v>
      </c>
      <c r="I343" s="2" t="s">
        <v>2303</v>
      </c>
      <c r="J343" s="2" t="s">
        <v>2303</v>
      </c>
      <c r="K343" s="2" t="s">
        <v>2303</v>
      </c>
      <c r="L343" s="278">
        <v>0</v>
      </c>
      <c r="M343" s="2" t="s">
        <v>2305</v>
      </c>
      <c r="N343" s="278" t="s">
        <v>488</v>
      </c>
    </row>
    <row r="344" spans="1:14" x14ac:dyDescent="0.25">
      <c r="A344" s="117">
        <v>540177</v>
      </c>
      <c r="B344" s="2" t="s">
        <v>248</v>
      </c>
      <c r="C344" s="2" t="s">
        <v>75</v>
      </c>
      <c r="D344" s="2" t="s">
        <v>115</v>
      </c>
      <c r="E344" s="2" t="s">
        <v>2250</v>
      </c>
      <c r="F344" s="2" t="s">
        <v>3055</v>
      </c>
      <c r="G344" s="2" t="s">
        <v>3056</v>
      </c>
      <c r="H344" s="2" t="s">
        <v>2303</v>
      </c>
      <c r="I344" s="2" t="s">
        <v>2303</v>
      </c>
      <c r="J344" s="2" t="s">
        <v>2303</v>
      </c>
      <c r="K344" s="2" t="s">
        <v>2303</v>
      </c>
      <c r="L344" s="278">
        <v>0</v>
      </c>
      <c r="M344" s="2" t="s">
        <v>2305</v>
      </c>
      <c r="N344" s="278" t="s">
        <v>488</v>
      </c>
    </row>
    <row r="345" spans="1:14" x14ac:dyDescent="0.25">
      <c r="A345" s="117">
        <v>540175</v>
      </c>
      <c r="B345" s="2" t="s">
        <v>74</v>
      </c>
      <c r="C345" s="2" t="s">
        <v>75</v>
      </c>
      <c r="D345" s="2" t="s">
        <v>5</v>
      </c>
      <c r="E345" s="2" t="s">
        <v>2250</v>
      </c>
      <c r="F345" s="2" t="s">
        <v>3057</v>
      </c>
      <c r="G345" s="2" t="s">
        <v>3058</v>
      </c>
      <c r="H345" s="2" t="s">
        <v>2653</v>
      </c>
      <c r="I345" s="2" t="s">
        <v>3059</v>
      </c>
      <c r="J345" s="2" t="s">
        <v>2303</v>
      </c>
      <c r="K345" s="2" t="s">
        <v>3059</v>
      </c>
      <c r="L345" s="278">
        <v>1.52382396422E-2</v>
      </c>
      <c r="M345" s="2" t="s">
        <v>2305</v>
      </c>
      <c r="N345" s="278">
        <v>0.99751861042199996</v>
      </c>
    </row>
    <row r="346" spans="1:14" x14ac:dyDescent="0.25">
      <c r="A346" s="269"/>
      <c r="B346" s="269"/>
      <c r="C346" s="269" t="s">
        <v>75</v>
      </c>
      <c r="D346" s="269"/>
      <c r="E346" s="269"/>
      <c r="F346" s="269" t="s">
        <v>3060</v>
      </c>
      <c r="G346" s="269" t="s">
        <v>3061</v>
      </c>
      <c r="H346" s="269" t="s">
        <v>2653</v>
      </c>
      <c r="I346" s="269" t="s">
        <v>3059</v>
      </c>
      <c r="J346" s="269" t="s">
        <v>2303</v>
      </c>
      <c r="K346" s="269" t="s">
        <v>3059</v>
      </c>
      <c r="L346" s="279">
        <v>1.48476454294E-2</v>
      </c>
      <c r="M346" s="269" t="s">
        <v>2305</v>
      </c>
      <c r="N346" s="279">
        <v>0.99751861042199996</v>
      </c>
    </row>
    <row r="347" spans="1:14" x14ac:dyDescent="0.25">
      <c r="A347" s="117">
        <v>540219</v>
      </c>
      <c r="B347" s="2" t="s">
        <v>273</v>
      </c>
      <c r="C347" s="2" t="s">
        <v>95</v>
      </c>
      <c r="D347" s="2" t="s">
        <v>115</v>
      </c>
      <c r="E347" s="2" t="s">
        <v>2247</v>
      </c>
      <c r="F347" s="2" t="s">
        <v>3062</v>
      </c>
      <c r="G347" s="2" t="s">
        <v>2491</v>
      </c>
      <c r="H347" s="2" t="s">
        <v>3063</v>
      </c>
      <c r="I347" s="2" t="s">
        <v>3064</v>
      </c>
      <c r="J347" s="2" t="s">
        <v>2732</v>
      </c>
      <c r="K347" s="2" t="s">
        <v>2484</v>
      </c>
      <c r="L347" s="278">
        <v>0.36581196581199998</v>
      </c>
      <c r="M347" s="2" t="s">
        <v>3065</v>
      </c>
      <c r="N347" s="278">
        <v>9.4339622641499993E-3</v>
      </c>
    </row>
    <row r="348" spans="1:14" x14ac:dyDescent="0.25">
      <c r="A348" s="117">
        <v>540220</v>
      </c>
      <c r="B348" s="2" t="s">
        <v>274</v>
      </c>
      <c r="C348" s="2" t="s">
        <v>95</v>
      </c>
      <c r="D348" s="2" t="s">
        <v>115</v>
      </c>
      <c r="E348" s="2" t="s">
        <v>2247</v>
      </c>
      <c r="F348" s="2" t="s">
        <v>3066</v>
      </c>
      <c r="G348" s="2" t="s">
        <v>2609</v>
      </c>
      <c r="H348" s="2" t="s">
        <v>2829</v>
      </c>
      <c r="I348" s="2" t="s">
        <v>2906</v>
      </c>
      <c r="J348" s="2" t="s">
        <v>2552</v>
      </c>
      <c r="K348" s="2" t="s">
        <v>2443</v>
      </c>
      <c r="L348" s="278">
        <v>0.50724637681200002</v>
      </c>
      <c r="M348" s="2" t="s">
        <v>3067</v>
      </c>
      <c r="N348" s="278">
        <v>0.14953271028000001</v>
      </c>
    </row>
    <row r="349" spans="1:14" x14ac:dyDescent="0.25">
      <c r="A349" s="117">
        <v>540218</v>
      </c>
      <c r="B349" s="2" t="s">
        <v>272</v>
      </c>
      <c r="C349" s="2" t="s">
        <v>95</v>
      </c>
      <c r="D349" s="2" t="s">
        <v>115</v>
      </c>
      <c r="E349" s="2" t="s">
        <v>2247</v>
      </c>
      <c r="F349" s="2" t="s">
        <v>3066</v>
      </c>
      <c r="G349" s="2" t="s">
        <v>3068</v>
      </c>
      <c r="H349" s="2" t="s">
        <v>2487</v>
      </c>
      <c r="I349" s="2" t="s">
        <v>3069</v>
      </c>
      <c r="J349" s="2" t="s">
        <v>2427</v>
      </c>
      <c r="K349" s="2" t="s">
        <v>2303</v>
      </c>
      <c r="L349" s="278">
        <v>0.52657004830900001</v>
      </c>
      <c r="M349" s="2" t="s">
        <v>3070</v>
      </c>
      <c r="N349" s="278">
        <v>0</v>
      </c>
    </row>
    <row r="350" spans="1:14" x14ac:dyDescent="0.25">
      <c r="A350" s="117">
        <v>540217</v>
      </c>
      <c r="B350" s="2" t="s">
        <v>94</v>
      </c>
      <c r="C350" s="2" t="s">
        <v>95</v>
      </c>
      <c r="D350" s="2" t="s">
        <v>5</v>
      </c>
      <c r="E350" s="2" t="s">
        <v>2247</v>
      </c>
      <c r="F350" s="2" t="s">
        <v>3071</v>
      </c>
      <c r="G350" s="2" t="s">
        <v>3072</v>
      </c>
      <c r="H350" s="2" t="s">
        <v>3073</v>
      </c>
      <c r="I350" s="2" t="s">
        <v>3074</v>
      </c>
      <c r="J350" s="2" t="s">
        <v>3075</v>
      </c>
      <c r="K350" s="2" t="s">
        <v>3076</v>
      </c>
      <c r="L350" s="278">
        <v>0.51016900601500004</v>
      </c>
      <c r="M350" s="2" t="s">
        <v>3077</v>
      </c>
      <c r="N350" s="278">
        <v>0.44024789522899999</v>
      </c>
    </row>
    <row r="351" spans="1:14" x14ac:dyDescent="0.25">
      <c r="A351" s="269"/>
      <c r="B351" s="269"/>
      <c r="C351" s="269" t="s">
        <v>95</v>
      </c>
      <c r="D351" s="269"/>
      <c r="E351" s="269"/>
      <c r="F351" s="269" t="s">
        <v>3078</v>
      </c>
      <c r="G351" s="269" t="s">
        <v>3079</v>
      </c>
      <c r="H351" s="269" t="s">
        <v>3080</v>
      </c>
      <c r="I351" s="269" t="s">
        <v>3081</v>
      </c>
      <c r="J351" s="269" t="s">
        <v>3082</v>
      </c>
      <c r="K351" s="269" t="s">
        <v>3083</v>
      </c>
      <c r="L351" s="279">
        <v>0.50471162200099995</v>
      </c>
      <c r="M351" s="269" t="s">
        <v>3084</v>
      </c>
      <c r="N351" s="279">
        <v>0.41168153143399999</v>
      </c>
    </row>
    <row r="352" spans="1:14" x14ac:dyDescent="0.25">
      <c r="A352" s="2" t="s">
        <v>535</v>
      </c>
      <c r="B352" s="2"/>
      <c r="C352" s="2"/>
      <c r="D352" s="2"/>
      <c r="E352" s="2"/>
      <c r="F352" s="2"/>
      <c r="G352" s="2"/>
      <c r="H352" s="2"/>
      <c r="I352" s="2"/>
      <c r="J352" s="2"/>
      <c r="K352" s="2"/>
      <c r="L352" s="278"/>
      <c r="M352" s="2"/>
      <c r="N352" s="278"/>
    </row>
    <row r="353" spans="1:14" x14ac:dyDescent="0.25">
      <c r="A353" s="117">
        <v>540152</v>
      </c>
      <c r="B353" s="2" t="s">
        <v>229</v>
      </c>
      <c r="C353" s="2" t="s">
        <v>544</v>
      </c>
      <c r="D353" s="2" t="s">
        <v>115</v>
      </c>
      <c r="E353" s="2" t="s">
        <v>545</v>
      </c>
      <c r="F353" s="2" t="s">
        <v>3085</v>
      </c>
      <c r="G353" s="2" t="s">
        <v>3086</v>
      </c>
      <c r="H353" s="2" t="s">
        <v>2551</v>
      </c>
      <c r="I353" s="2" t="s">
        <v>2430</v>
      </c>
      <c r="J353" s="2" t="s">
        <v>2303</v>
      </c>
      <c r="K353" s="2" t="s">
        <v>2430</v>
      </c>
      <c r="L353" s="278">
        <v>5.0623052959500002E-3</v>
      </c>
      <c r="M353" s="2" t="s">
        <v>2305</v>
      </c>
      <c r="N353" s="278">
        <v>0.92857142857099995</v>
      </c>
    </row>
    <row r="354" spans="1:14" x14ac:dyDescent="0.25">
      <c r="A354" s="117">
        <v>540196</v>
      </c>
      <c r="B354" s="2" t="s">
        <v>259</v>
      </c>
      <c r="C354" s="2" t="s">
        <v>546</v>
      </c>
      <c r="D354" s="2" t="s">
        <v>115</v>
      </c>
      <c r="E354" s="2" t="s">
        <v>547</v>
      </c>
      <c r="F354" s="2" t="s">
        <v>2586</v>
      </c>
      <c r="G354" s="2" t="s">
        <v>2586</v>
      </c>
      <c r="H354" s="2" t="s">
        <v>2303</v>
      </c>
      <c r="I354" s="2" t="s">
        <v>2303</v>
      </c>
      <c r="J354" s="2" t="s">
        <v>2303</v>
      </c>
      <c r="K354" s="2" t="s">
        <v>2303</v>
      </c>
      <c r="L354" s="278">
        <v>0</v>
      </c>
      <c r="M354" s="2" t="s">
        <v>2305</v>
      </c>
      <c r="N354" s="278" t="s">
        <v>488</v>
      </c>
    </row>
    <row r="355" spans="1:14" x14ac:dyDescent="0.25">
      <c r="A355" s="117">
        <v>540041</v>
      </c>
      <c r="B355" s="2" t="s">
        <v>142</v>
      </c>
      <c r="C355" s="2" t="s">
        <v>540</v>
      </c>
      <c r="D355" s="2" t="s">
        <v>115</v>
      </c>
      <c r="E355" s="2" t="s">
        <v>541</v>
      </c>
      <c r="F355" s="2" t="s">
        <v>2905</v>
      </c>
      <c r="G355" s="2" t="s">
        <v>3087</v>
      </c>
      <c r="H355" s="2" t="s">
        <v>2303</v>
      </c>
      <c r="I355" s="2" t="s">
        <v>3088</v>
      </c>
      <c r="J355" s="2" t="s">
        <v>2303</v>
      </c>
      <c r="K355" s="2" t="s">
        <v>2303</v>
      </c>
      <c r="L355" s="278">
        <v>0.52105263157899995</v>
      </c>
      <c r="M355" s="2" t="s">
        <v>2305</v>
      </c>
      <c r="N355" s="278" t="s">
        <v>488</v>
      </c>
    </row>
    <row r="356" spans="1:14" x14ac:dyDescent="0.25">
      <c r="A356" s="117">
        <v>540018</v>
      </c>
      <c r="B356" s="2" t="s">
        <v>127</v>
      </c>
      <c r="C356" s="2" t="s">
        <v>538</v>
      </c>
      <c r="D356" s="2" t="s">
        <v>115</v>
      </c>
      <c r="E356" s="2" t="s">
        <v>539</v>
      </c>
      <c r="F356" s="2" t="s">
        <v>3089</v>
      </c>
      <c r="G356" s="2" t="s">
        <v>3090</v>
      </c>
      <c r="H356" s="2" t="s">
        <v>2376</v>
      </c>
      <c r="I356" s="2" t="s">
        <v>2376</v>
      </c>
      <c r="J356" s="2" t="s">
        <v>2303</v>
      </c>
      <c r="K356" s="2" t="s">
        <v>2376</v>
      </c>
      <c r="L356" s="278">
        <v>3.0198446937E-3</v>
      </c>
      <c r="M356" s="2" t="s">
        <v>2305</v>
      </c>
      <c r="N356" s="278">
        <v>1</v>
      </c>
    </row>
    <row r="357" spans="1:14" x14ac:dyDescent="0.25">
      <c r="A357" s="117">
        <v>540014</v>
      </c>
      <c r="B357" s="2" t="s">
        <v>124</v>
      </c>
      <c r="C357" s="2" t="s">
        <v>536</v>
      </c>
      <c r="D357" s="2" t="s">
        <v>115</v>
      </c>
      <c r="E357" s="2" t="s">
        <v>537</v>
      </c>
      <c r="F357" s="2" t="s">
        <v>2343</v>
      </c>
      <c r="G357" s="2" t="s">
        <v>3091</v>
      </c>
      <c r="H357" s="2" t="s">
        <v>2357</v>
      </c>
      <c r="I357" s="2" t="s">
        <v>2358</v>
      </c>
      <c r="J357" s="2" t="s">
        <v>2303</v>
      </c>
      <c r="K357" s="2" t="s">
        <v>2357</v>
      </c>
      <c r="L357" s="278">
        <v>3.4431137724599999E-2</v>
      </c>
      <c r="M357" s="2" t="s">
        <v>2305</v>
      </c>
      <c r="N357" s="278">
        <v>1</v>
      </c>
    </row>
    <row r="358" spans="1:14" x14ac:dyDescent="0.25">
      <c r="A358" s="117">
        <v>540081</v>
      </c>
      <c r="B358" s="2" t="s">
        <v>176</v>
      </c>
      <c r="C358" s="2" t="s">
        <v>542</v>
      </c>
      <c r="D358" s="2" t="s">
        <v>115</v>
      </c>
      <c r="E358" s="2" t="s">
        <v>543</v>
      </c>
      <c r="F358" s="2" t="s">
        <v>3092</v>
      </c>
      <c r="G358" s="2" t="s">
        <v>3093</v>
      </c>
      <c r="H358" s="2" t="s">
        <v>2460</v>
      </c>
      <c r="I358" s="2" t="s">
        <v>2460</v>
      </c>
      <c r="J358" s="2" t="s">
        <v>2303</v>
      </c>
      <c r="K358" s="2" t="s">
        <v>2945</v>
      </c>
      <c r="L358" s="278">
        <v>6.5830721003100001E-2</v>
      </c>
      <c r="M358" s="2" t="s">
        <v>2305</v>
      </c>
      <c r="N358" s="278">
        <v>0.19047619047600001</v>
      </c>
    </row>
    <row r="359" spans="1:14" x14ac:dyDescent="0.25">
      <c r="A359" s="117">
        <v>540033</v>
      </c>
      <c r="B359" s="2" t="s">
        <v>138</v>
      </c>
      <c r="C359" s="2" t="s">
        <v>1299</v>
      </c>
      <c r="D359" s="2" t="s">
        <v>115</v>
      </c>
      <c r="E359" s="2" t="s">
        <v>1298</v>
      </c>
      <c r="F359" s="2" t="s">
        <v>3094</v>
      </c>
      <c r="G359" s="2" t="s">
        <v>3095</v>
      </c>
      <c r="H359" s="2" t="s">
        <v>3096</v>
      </c>
      <c r="I359" s="2" t="s">
        <v>3095</v>
      </c>
      <c r="J359" s="2" t="s">
        <v>2668</v>
      </c>
      <c r="K359" s="2" t="s">
        <v>2373</v>
      </c>
      <c r="L359" s="278">
        <v>0.49494949494899998</v>
      </c>
      <c r="M359" s="2" t="s">
        <v>3097</v>
      </c>
      <c r="N359" s="278">
        <v>4.9751243781099999E-3</v>
      </c>
    </row>
    <row r="360" spans="1:14" x14ac:dyDescent="0.25">
      <c r="A360" s="117">
        <v>540029</v>
      </c>
      <c r="B360" s="2" t="s">
        <v>134</v>
      </c>
      <c r="C360" s="2" t="s">
        <v>1299</v>
      </c>
      <c r="D360" s="2" t="s">
        <v>115</v>
      </c>
      <c r="E360" s="2" t="s">
        <v>1298</v>
      </c>
      <c r="F360" s="2" t="s">
        <v>2670</v>
      </c>
      <c r="G360" s="2" t="s">
        <v>2329</v>
      </c>
      <c r="H360" s="2" t="s">
        <v>2385</v>
      </c>
      <c r="I360" s="2" t="s">
        <v>2387</v>
      </c>
      <c r="J360" s="2" t="s">
        <v>2373</v>
      </c>
      <c r="K360" s="2" t="s">
        <v>2551</v>
      </c>
      <c r="L360" s="278">
        <v>0.29508196721300001</v>
      </c>
      <c r="M360" s="2" t="s">
        <v>3098</v>
      </c>
      <c r="N360" s="278">
        <v>0.73684210526299998</v>
      </c>
    </row>
    <row r="361" spans="1:14" x14ac:dyDescent="0.25">
      <c r="L361" s="266"/>
    </row>
    <row r="362" spans="1:14" x14ac:dyDescent="0.25">
      <c r="L362" s="266"/>
    </row>
    <row r="363" spans="1:14" x14ac:dyDescent="0.25">
      <c r="L363" s="266"/>
    </row>
    <row r="364" spans="1:14" x14ac:dyDescent="0.25">
      <c r="L364" s="266"/>
    </row>
  </sheetData>
  <hyperlinks>
    <hyperlink ref="Q3"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6"/>
  <sheetViews>
    <sheetView topLeftCell="F1" workbookViewId="0">
      <selection activeCell="O2" sqref="O2:P3"/>
    </sheetView>
  </sheetViews>
  <sheetFormatPr defaultRowHeight="15" x14ac:dyDescent="0.25"/>
  <cols>
    <col min="1" max="1" width="7" bestFit="1" customWidth="1"/>
    <col min="2" max="2" width="42.5703125" bestFit="1" customWidth="1"/>
    <col min="3" max="3" width="31.5703125" bestFit="1" customWidth="1"/>
    <col min="4" max="4" width="11.5703125" bestFit="1" customWidth="1"/>
    <col min="5" max="5" width="9.28515625" bestFit="1" customWidth="1"/>
    <col min="6" max="6" width="9.5703125" bestFit="1" customWidth="1"/>
    <col min="7" max="7" width="11.7109375" bestFit="1" customWidth="1"/>
    <col min="8" max="8" width="17.5703125" bestFit="1" customWidth="1"/>
    <col min="9" max="9" width="42.5703125" bestFit="1" customWidth="1"/>
    <col min="10" max="10" width="26.85546875" bestFit="1" customWidth="1"/>
    <col min="11" max="11" width="11.85546875" bestFit="1" customWidth="1"/>
    <col min="12" max="12" width="8.28515625" bestFit="1" customWidth="1"/>
    <col min="13" max="13" width="7.7109375" bestFit="1" customWidth="1"/>
    <col min="15" max="15" width="9.42578125" bestFit="1" customWidth="1"/>
  </cols>
  <sheetData>
    <row r="1" spans="1:16" x14ac:dyDescent="0.25">
      <c r="A1" s="273" t="s">
        <v>0</v>
      </c>
      <c r="B1" s="273" t="s">
        <v>1702</v>
      </c>
      <c r="C1" s="273" t="s">
        <v>1703</v>
      </c>
      <c r="D1" s="273" t="s">
        <v>1704</v>
      </c>
      <c r="E1" s="273" t="s">
        <v>1705</v>
      </c>
      <c r="F1" s="273" t="s">
        <v>1706</v>
      </c>
      <c r="G1" s="273" t="s">
        <v>1707</v>
      </c>
      <c r="H1" s="273" t="s">
        <v>1708</v>
      </c>
      <c r="I1" s="273" t="s">
        <v>1702</v>
      </c>
      <c r="J1" s="273" t="s">
        <v>1709</v>
      </c>
      <c r="K1" s="273" t="s">
        <v>1710</v>
      </c>
      <c r="L1" s="273" t="s">
        <v>1711</v>
      </c>
      <c r="M1" s="273" t="s">
        <v>1712</v>
      </c>
    </row>
    <row r="2" spans="1:16" x14ac:dyDescent="0.25">
      <c r="A2" s="2">
        <v>540001</v>
      </c>
      <c r="B2" s="2" t="s">
        <v>4</v>
      </c>
      <c r="C2" s="2">
        <v>4</v>
      </c>
      <c r="D2" s="2">
        <v>1</v>
      </c>
      <c r="E2" s="2">
        <v>18</v>
      </c>
      <c r="F2" s="2" t="s">
        <v>1713</v>
      </c>
      <c r="G2" s="2" t="s">
        <v>1714</v>
      </c>
      <c r="H2" s="2" t="s">
        <v>1715</v>
      </c>
      <c r="I2" s="2" t="s">
        <v>4</v>
      </c>
      <c r="J2" s="2" t="s">
        <v>1716</v>
      </c>
      <c r="K2" s="2" t="s">
        <v>1716</v>
      </c>
      <c r="L2" s="2">
        <v>1</v>
      </c>
      <c r="M2" s="2">
        <v>54</v>
      </c>
      <c r="O2" s="199" t="s">
        <v>1325</v>
      </c>
      <c r="P2" t="s">
        <v>2205</v>
      </c>
    </row>
    <row r="3" spans="1:16" x14ac:dyDescent="0.25">
      <c r="A3" s="2">
        <v>540002</v>
      </c>
      <c r="B3" s="2" t="s">
        <v>1717</v>
      </c>
      <c r="C3" s="2">
        <v>4</v>
      </c>
      <c r="D3" s="2">
        <v>53</v>
      </c>
      <c r="E3" s="2">
        <v>56</v>
      </c>
      <c r="F3" s="2" t="s">
        <v>1713</v>
      </c>
      <c r="G3" s="2" t="s">
        <v>1714</v>
      </c>
      <c r="H3" s="2" t="s">
        <v>1718</v>
      </c>
      <c r="I3" s="2" t="s">
        <v>1717</v>
      </c>
      <c r="J3" s="2" t="s">
        <v>1716</v>
      </c>
      <c r="K3" s="2" t="s">
        <v>1716</v>
      </c>
      <c r="L3" s="2">
        <v>1</v>
      </c>
      <c r="M3" s="2">
        <v>54</v>
      </c>
      <c r="O3" s="199" t="s">
        <v>1326</v>
      </c>
      <c r="P3" s="254" t="s">
        <v>2206</v>
      </c>
    </row>
    <row r="4" spans="1:16" x14ac:dyDescent="0.25">
      <c r="A4" s="2">
        <v>540003</v>
      </c>
      <c r="B4" s="2" t="s">
        <v>1719</v>
      </c>
      <c r="C4" s="2">
        <v>0</v>
      </c>
      <c r="D4" s="2">
        <v>54</v>
      </c>
      <c r="E4" s="2">
        <v>130</v>
      </c>
      <c r="F4" s="2" t="s">
        <v>1713</v>
      </c>
      <c r="G4" s="2" t="s">
        <v>1714</v>
      </c>
      <c r="H4" s="2" t="s">
        <v>1720</v>
      </c>
      <c r="I4" s="2" t="s">
        <v>1719</v>
      </c>
      <c r="J4" s="2" t="s">
        <v>1716</v>
      </c>
      <c r="K4" s="2" t="s">
        <v>1716</v>
      </c>
      <c r="L4" s="2">
        <v>1</v>
      </c>
      <c r="M4" s="2">
        <v>54</v>
      </c>
    </row>
    <row r="5" spans="1:16" x14ac:dyDescent="0.25">
      <c r="A5" s="2">
        <v>540004</v>
      </c>
      <c r="B5" s="2" t="s">
        <v>1721</v>
      </c>
      <c r="C5" s="2">
        <v>2</v>
      </c>
      <c r="D5" s="2">
        <v>55</v>
      </c>
      <c r="E5" s="2">
        <v>25</v>
      </c>
      <c r="F5" s="2" t="s">
        <v>1713</v>
      </c>
      <c r="G5" s="2" t="s">
        <v>1714</v>
      </c>
      <c r="H5" s="2" t="s">
        <v>1722</v>
      </c>
      <c r="I5" s="2" t="s">
        <v>1721</v>
      </c>
      <c r="J5" s="2" t="s">
        <v>1716</v>
      </c>
      <c r="K5" s="2" t="s">
        <v>1716</v>
      </c>
      <c r="L5" s="2">
        <v>1</v>
      </c>
      <c r="M5" s="2">
        <v>54</v>
      </c>
    </row>
    <row r="6" spans="1:16" x14ac:dyDescent="0.25">
      <c r="A6" s="2">
        <v>540005</v>
      </c>
      <c r="B6" s="2" t="s">
        <v>1723</v>
      </c>
      <c r="C6" s="2">
        <v>3</v>
      </c>
      <c r="D6" s="2">
        <v>56</v>
      </c>
      <c r="E6" s="2">
        <v>5</v>
      </c>
      <c r="F6" s="2" t="s">
        <v>1724</v>
      </c>
      <c r="G6" s="2" t="s">
        <v>1714</v>
      </c>
      <c r="H6" s="2" t="s">
        <v>1725</v>
      </c>
      <c r="I6" s="2" t="s">
        <v>1723</v>
      </c>
      <c r="J6" s="2" t="s">
        <v>1726</v>
      </c>
      <c r="K6" s="2" t="s">
        <v>1716</v>
      </c>
      <c r="L6" s="2">
        <v>65</v>
      </c>
      <c r="M6" s="2">
        <v>54</v>
      </c>
    </row>
    <row r="7" spans="1:16" x14ac:dyDescent="0.25">
      <c r="A7" s="2">
        <v>540006</v>
      </c>
      <c r="B7" s="2" t="s">
        <v>1727</v>
      </c>
      <c r="C7" s="2">
        <v>3</v>
      </c>
      <c r="D7" s="2">
        <v>57</v>
      </c>
      <c r="E7" s="2">
        <v>144</v>
      </c>
      <c r="F7" s="2" t="s">
        <v>1728</v>
      </c>
      <c r="G7" s="2" t="s">
        <v>1714</v>
      </c>
      <c r="H7" s="2" t="s">
        <v>1729</v>
      </c>
      <c r="I7" s="2" t="s">
        <v>1727</v>
      </c>
      <c r="J7" s="2" t="s">
        <v>1716</v>
      </c>
      <c r="K7" s="2" t="s">
        <v>1716</v>
      </c>
      <c r="L7" s="2">
        <v>3</v>
      </c>
      <c r="M7" s="2">
        <v>54</v>
      </c>
    </row>
    <row r="8" spans="1:16" x14ac:dyDescent="0.25">
      <c r="A8" s="2">
        <v>540007</v>
      </c>
      <c r="B8" s="2" t="s">
        <v>632</v>
      </c>
      <c r="C8" s="2">
        <v>22</v>
      </c>
      <c r="D8" s="2">
        <v>2</v>
      </c>
      <c r="E8" s="2">
        <v>47</v>
      </c>
      <c r="F8" s="2" t="s">
        <v>1730</v>
      </c>
      <c r="G8" s="2" t="s">
        <v>1714</v>
      </c>
      <c r="H8" s="2" t="s">
        <v>1731</v>
      </c>
      <c r="I8" s="2" t="s">
        <v>632</v>
      </c>
      <c r="J8" s="2" t="s">
        <v>1716</v>
      </c>
      <c r="K8" s="2" t="s">
        <v>1716</v>
      </c>
      <c r="L8" s="2">
        <v>5</v>
      </c>
      <c r="M8" s="2">
        <v>54</v>
      </c>
    </row>
    <row r="9" spans="1:16" x14ac:dyDescent="0.25">
      <c r="A9" s="2">
        <v>540008</v>
      </c>
      <c r="B9" s="2" t="s">
        <v>633</v>
      </c>
      <c r="C9" s="2">
        <v>2</v>
      </c>
      <c r="D9" s="2">
        <v>58</v>
      </c>
      <c r="E9" s="2">
        <v>19</v>
      </c>
      <c r="F9" s="2" t="s">
        <v>1730</v>
      </c>
      <c r="G9" s="2" t="s">
        <v>1714</v>
      </c>
      <c r="H9" s="2" t="s">
        <v>1732</v>
      </c>
      <c r="I9" s="2" t="s">
        <v>633</v>
      </c>
      <c r="J9" s="2" t="s">
        <v>1716</v>
      </c>
      <c r="K9" s="2" t="s">
        <v>1716</v>
      </c>
      <c r="L9" s="2">
        <v>5</v>
      </c>
      <c r="M9" s="2">
        <v>54</v>
      </c>
    </row>
    <row r="10" spans="1:16" x14ac:dyDescent="0.25">
      <c r="A10" s="2">
        <v>540009</v>
      </c>
      <c r="B10" s="2" t="s">
        <v>9</v>
      </c>
      <c r="C10" s="2">
        <v>2</v>
      </c>
      <c r="D10" s="2">
        <v>3</v>
      </c>
      <c r="E10" s="2">
        <v>17</v>
      </c>
      <c r="F10" s="2" t="s">
        <v>1733</v>
      </c>
      <c r="G10" s="2" t="s">
        <v>1714</v>
      </c>
      <c r="H10" s="2" t="s">
        <v>1734</v>
      </c>
      <c r="I10" s="2" t="s">
        <v>9</v>
      </c>
      <c r="J10" s="2" t="s">
        <v>1716</v>
      </c>
      <c r="K10" s="2" t="s">
        <v>1716</v>
      </c>
      <c r="L10" s="2">
        <v>7</v>
      </c>
      <c r="M10" s="2">
        <v>54</v>
      </c>
    </row>
    <row r="11" spans="1:16" x14ac:dyDescent="0.25">
      <c r="A11" s="2">
        <v>540010</v>
      </c>
      <c r="B11" s="2" t="s">
        <v>1735</v>
      </c>
      <c r="C11" s="2">
        <v>0</v>
      </c>
      <c r="D11" s="2">
        <v>59</v>
      </c>
      <c r="E11" s="2">
        <v>78</v>
      </c>
      <c r="F11" s="2" t="s">
        <v>1733</v>
      </c>
      <c r="G11" s="2" t="s">
        <v>1714</v>
      </c>
      <c r="H11" s="2" t="s">
        <v>1736</v>
      </c>
      <c r="I11" s="2" t="s">
        <v>1735</v>
      </c>
      <c r="J11" s="2" t="s">
        <v>1716</v>
      </c>
      <c r="K11" s="2" t="s">
        <v>1716</v>
      </c>
      <c r="L11" s="2">
        <v>7</v>
      </c>
      <c r="M11" s="2">
        <v>54</v>
      </c>
    </row>
    <row r="12" spans="1:16" x14ac:dyDescent="0.25">
      <c r="A12" s="2">
        <v>540011</v>
      </c>
      <c r="B12" s="2" t="s">
        <v>11</v>
      </c>
      <c r="C12" s="2">
        <v>0</v>
      </c>
      <c r="D12" s="2">
        <v>4</v>
      </c>
      <c r="E12" s="2">
        <v>8</v>
      </c>
      <c r="F12" s="2" t="s">
        <v>1737</v>
      </c>
      <c r="G12" s="2" t="s">
        <v>1714</v>
      </c>
      <c r="H12" s="2" t="s">
        <v>1738</v>
      </c>
      <c r="I12" s="2" t="s">
        <v>11</v>
      </c>
      <c r="J12" s="2" t="s">
        <v>1716</v>
      </c>
      <c r="K12" s="2" t="s">
        <v>1716</v>
      </c>
      <c r="L12" s="2">
        <v>9</v>
      </c>
      <c r="M12" s="2">
        <v>54</v>
      </c>
    </row>
    <row r="13" spans="1:16" x14ac:dyDescent="0.25">
      <c r="A13" s="2">
        <v>540012</v>
      </c>
      <c r="B13" s="2" t="s">
        <v>1739</v>
      </c>
      <c r="C13" s="2">
        <v>0</v>
      </c>
      <c r="D13" s="2">
        <v>60</v>
      </c>
      <c r="E13" s="2">
        <v>61</v>
      </c>
      <c r="F13" s="2" t="s">
        <v>1737</v>
      </c>
      <c r="G13" s="2" t="s">
        <v>1714</v>
      </c>
      <c r="H13" s="2" t="s">
        <v>1740</v>
      </c>
      <c r="I13" s="2" t="s">
        <v>1739</v>
      </c>
      <c r="J13" s="2" t="s">
        <v>1716</v>
      </c>
      <c r="K13" s="2" t="s">
        <v>1716</v>
      </c>
      <c r="L13" s="2">
        <v>9</v>
      </c>
      <c r="M13" s="2">
        <v>54</v>
      </c>
    </row>
    <row r="14" spans="1:16" x14ac:dyDescent="0.25">
      <c r="A14" s="2">
        <v>540013</v>
      </c>
      <c r="B14" s="2" t="s">
        <v>1741</v>
      </c>
      <c r="C14" s="2">
        <v>1</v>
      </c>
      <c r="D14" s="2">
        <v>61</v>
      </c>
      <c r="E14" s="2">
        <v>107</v>
      </c>
      <c r="F14" s="2" t="s">
        <v>1737</v>
      </c>
      <c r="G14" s="2" t="s">
        <v>1714</v>
      </c>
      <c r="H14" s="2" t="s">
        <v>1742</v>
      </c>
      <c r="I14" s="2" t="s">
        <v>1741</v>
      </c>
      <c r="J14" s="2" t="s">
        <v>1716</v>
      </c>
      <c r="K14" s="2" t="s">
        <v>1716</v>
      </c>
      <c r="L14" s="2">
        <v>9</v>
      </c>
      <c r="M14" s="2">
        <v>54</v>
      </c>
    </row>
    <row r="15" spans="1:16" x14ac:dyDescent="0.25">
      <c r="A15" s="2">
        <v>540014</v>
      </c>
      <c r="B15" s="2" t="s">
        <v>1743</v>
      </c>
      <c r="C15" s="2">
        <v>0</v>
      </c>
      <c r="D15" s="2">
        <v>62</v>
      </c>
      <c r="E15" s="2">
        <v>235</v>
      </c>
      <c r="F15" s="2" t="s">
        <v>1744</v>
      </c>
      <c r="G15" s="2" t="s">
        <v>1714</v>
      </c>
      <c r="H15" s="2" t="s">
        <v>1745</v>
      </c>
      <c r="I15" s="2" t="s">
        <v>1743</v>
      </c>
      <c r="J15" s="2" t="s">
        <v>1716</v>
      </c>
      <c r="K15" s="2" t="s">
        <v>1716</v>
      </c>
      <c r="L15" s="2">
        <v>29</v>
      </c>
      <c r="M15" s="2">
        <v>54</v>
      </c>
    </row>
    <row r="16" spans="1:16" x14ac:dyDescent="0.25">
      <c r="A16" s="2">
        <v>540014</v>
      </c>
      <c r="B16" s="2" t="s">
        <v>1743</v>
      </c>
      <c r="C16" s="2">
        <v>0</v>
      </c>
      <c r="D16" s="2">
        <v>63</v>
      </c>
      <c r="E16" s="2">
        <v>236</v>
      </c>
      <c r="F16" s="2" t="s">
        <v>1744</v>
      </c>
      <c r="G16" s="2" t="s">
        <v>1714</v>
      </c>
      <c r="H16" s="2" t="s">
        <v>1746</v>
      </c>
      <c r="I16" s="2" t="s">
        <v>1743</v>
      </c>
      <c r="J16" s="2" t="s">
        <v>1716</v>
      </c>
      <c r="K16" s="2" t="s">
        <v>1716</v>
      </c>
      <c r="L16" s="2">
        <v>29</v>
      </c>
      <c r="M16" s="2">
        <v>54</v>
      </c>
    </row>
    <row r="17" spans="1:13" x14ac:dyDescent="0.25">
      <c r="A17" s="2">
        <v>540015</v>
      </c>
      <c r="B17" s="2" t="s">
        <v>1747</v>
      </c>
      <c r="C17" s="2">
        <v>12</v>
      </c>
      <c r="D17" s="2">
        <v>64</v>
      </c>
      <c r="E17" s="2">
        <v>191</v>
      </c>
      <c r="F17" s="2" t="s">
        <v>1737</v>
      </c>
      <c r="G17" s="2" t="s">
        <v>1714</v>
      </c>
      <c r="H17" s="2" t="s">
        <v>1748</v>
      </c>
      <c r="I17" s="2" t="s">
        <v>1747</v>
      </c>
      <c r="J17" s="2" t="s">
        <v>1716</v>
      </c>
      <c r="K17" s="2" t="s">
        <v>1716</v>
      </c>
      <c r="L17" s="2">
        <v>9</v>
      </c>
      <c r="M17" s="2">
        <v>54</v>
      </c>
    </row>
    <row r="18" spans="1:13" x14ac:dyDescent="0.25">
      <c r="A18" s="2">
        <v>540016</v>
      </c>
      <c r="B18" s="2" t="s">
        <v>13</v>
      </c>
      <c r="C18" s="2">
        <v>20</v>
      </c>
      <c r="D18" s="2">
        <v>5</v>
      </c>
      <c r="E18" s="2">
        <v>19</v>
      </c>
      <c r="F18" s="2" t="s">
        <v>1749</v>
      </c>
      <c r="G18" s="2" t="s">
        <v>1714</v>
      </c>
      <c r="H18" s="2" t="s">
        <v>1750</v>
      </c>
      <c r="I18" s="2" t="s">
        <v>13</v>
      </c>
      <c r="J18" s="2" t="s">
        <v>1751</v>
      </c>
      <c r="K18" s="2" t="s">
        <v>1716</v>
      </c>
      <c r="L18" s="2">
        <v>11</v>
      </c>
      <c r="M18" s="2">
        <v>54</v>
      </c>
    </row>
    <row r="19" spans="1:13" x14ac:dyDescent="0.25">
      <c r="A19" s="2">
        <v>540017</v>
      </c>
      <c r="B19" s="2" t="s">
        <v>1752</v>
      </c>
      <c r="C19" s="2">
        <v>0</v>
      </c>
      <c r="D19" s="2">
        <v>65</v>
      </c>
      <c r="E19" s="2">
        <v>50</v>
      </c>
      <c r="F19" s="2" t="s">
        <v>1749</v>
      </c>
      <c r="G19" s="2" t="s">
        <v>1714</v>
      </c>
      <c r="H19" s="2" t="s">
        <v>1753</v>
      </c>
      <c r="I19" s="2" t="s">
        <v>1752</v>
      </c>
      <c r="J19" s="2" t="s">
        <v>1716</v>
      </c>
      <c r="K19" s="2" t="s">
        <v>1716</v>
      </c>
      <c r="L19" s="2">
        <v>11</v>
      </c>
      <c r="M19" s="2">
        <v>54</v>
      </c>
    </row>
    <row r="20" spans="1:13" x14ac:dyDescent="0.25">
      <c r="A20" s="2">
        <v>540018</v>
      </c>
      <c r="B20" s="2" t="s">
        <v>1754</v>
      </c>
      <c r="C20" s="2">
        <v>9</v>
      </c>
      <c r="D20" s="2">
        <v>66</v>
      </c>
      <c r="E20" s="2">
        <v>214</v>
      </c>
      <c r="F20" s="2" t="s">
        <v>1749</v>
      </c>
      <c r="G20" s="2" t="s">
        <v>1714</v>
      </c>
      <c r="H20" s="2" t="s">
        <v>1755</v>
      </c>
      <c r="I20" s="2" t="s">
        <v>1754</v>
      </c>
      <c r="J20" s="2" t="s">
        <v>1716</v>
      </c>
      <c r="K20" s="2" t="s">
        <v>1716</v>
      </c>
      <c r="L20" s="2">
        <v>11</v>
      </c>
      <c r="M20" s="2">
        <v>54</v>
      </c>
    </row>
    <row r="21" spans="1:13" x14ac:dyDescent="0.25">
      <c r="A21" s="2">
        <v>540018</v>
      </c>
      <c r="B21" s="2" t="s">
        <v>1754</v>
      </c>
      <c r="C21" s="2">
        <v>3</v>
      </c>
      <c r="D21" s="2">
        <v>67</v>
      </c>
      <c r="E21" s="2">
        <v>215</v>
      </c>
      <c r="F21" s="2" t="s">
        <v>1749</v>
      </c>
      <c r="G21" s="2" t="s">
        <v>1714</v>
      </c>
      <c r="H21" s="2" t="s">
        <v>1756</v>
      </c>
      <c r="I21" s="2" t="s">
        <v>1754</v>
      </c>
      <c r="J21" s="2" t="s">
        <v>1716</v>
      </c>
      <c r="K21" s="2" t="s">
        <v>1716</v>
      </c>
      <c r="L21" s="2">
        <v>99</v>
      </c>
      <c r="M21" s="2">
        <v>54</v>
      </c>
    </row>
    <row r="22" spans="1:13" x14ac:dyDescent="0.25">
      <c r="A22" s="2">
        <v>540019</v>
      </c>
      <c r="B22" s="2" t="s">
        <v>1757</v>
      </c>
      <c r="C22" s="2">
        <v>14</v>
      </c>
      <c r="D22" s="2">
        <v>68</v>
      </c>
      <c r="E22" s="2">
        <v>148</v>
      </c>
      <c r="F22" s="2" t="s">
        <v>1749</v>
      </c>
      <c r="G22" s="2" t="s">
        <v>1714</v>
      </c>
      <c r="H22" s="2" t="s">
        <v>1758</v>
      </c>
      <c r="I22" s="2" t="s">
        <v>1757</v>
      </c>
      <c r="J22" s="2" t="s">
        <v>1716</v>
      </c>
      <c r="K22" s="2" t="s">
        <v>1716</v>
      </c>
      <c r="L22" s="2">
        <v>11</v>
      </c>
      <c r="M22" s="2">
        <v>54</v>
      </c>
    </row>
    <row r="23" spans="1:13" x14ac:dyDescent="0.25">
      <c r="A23" s="2">
        <v>540020</v>
      </c>
      <c r="B23" s="2" t="s">
        <v>15</v>
      </c>
      <c r="C23" s="2">
        <v>3</v>
      </c>
      <c r="D23" s="2">
        <v>6</v>
      </c>
      <c r="E23" s="2">
        <v>22</v>
      </c>
      <c r="F23" s="2" t="s">
        <v>1759</v>
      </c>
      <c r="G23" s="2" t="s">
        <v>1714</v>
      </c>
      <c r="H23" s="2" t="s">
        <v>1760</v>
      </c>
      <c r="I23" s="2" t="s">
        <v>15</v>
      </c>
      <c r="J23" s="2" t="s">
        <v>1716</v>
      </c>
      <c r="K23" s="2" t="s">
        <v>1716</v>
      </c>
      <c r="L23" s="2">
        <v>13</v>
      </c>
      <c r="M23" s="2">
        <v>54</v>
      </c>
    </row>
    <row r="24" spans="1:13" x14ac:dyDescent="0.25">
      <c r="A24" s="2">
        <v>540021</v>
      </c>
      <c r="B24" s="2" t="s">
        <v>1761</v>
      </c>
      <c r="C24" s="2">
        <v>1</v>
      </c>
      <c r="D24" s="2">
        <v>69</v>
      </c>
      <c r="E24" s="2">
        <v>116</v>
      </c>
      <c r="F24" s="2" t="s">
        <v>1759</v>
      </c>
      <c r="G24" s="2" t="s">
        <v>1714</v>
      </c>
      <c r="H24" s="2" t="s">
        <v>1762</v>
      </c>
      <c r="I24" s="2" t="s">
        <v>1761</v>
      </c>
      <c r="J24" s="2" t="s">
        <v>1716</v>
      </c>
      <c r="K24" s="2" t="s">
        <v>1716</v>
      </c>
      <c r="L24" s="2">
        <v>13</v>
      </c>
      <c r="M24" s="2">
        <v>54</v>
      </c>
    </row>
    <row r="25" spans="1:13" x14ac:dyDescent="0.25">
      <c r="A25" s="2">
        <v>540022</v>
      </c>
      <c r="B25" s="2" t="s">
        <v>17</v>
      </c>
      <c r="C25" s="2">
        <v>12</v>
      </c>
      <c r="D25" s="2">
        <v>7</v>
      </c>
      <c r="E25" s="2">
        <v>38</v>
      </c>
      <c r="F25" s="2" t="s">
        <v>1763</v>
      </c>
      <c r="G25" s="2" t="s">
        <v>1714</v>
      </c>
      <c r="H25" s="2" t="s">
        <v>1764</v>
      </c>
      <c r="I25" s="2" t="s">
        <v>17</v>
      </c>
      <c r="J25" s="2" t="s">
        <v>1716</v>
      </c>
      <c r="K25" s="2" t="s">
        <v>1716</v>
      </c>
      <c r="L25" s="2">
        <v>15</v>
      </c>
      <c r="M25" s="2">
        <v>54</v>
      </c>
    </row>
    <row r="26" spans="1:13" x14ac:dyDescent="0.25">
      <c r="A26" s="2">
        <v>540023</v>
      </c>
      <c r="B26" s="2" t="s">
        <v>1765</v>
      </c>
      <c r="C26" s="2">
        <v>0</v>
      </c>
      <c r="D26" s="2">
        <v>70</v>
      </c>
      <c r="E26" s="2">
        <v>10</v>
      </c>
      <c r="F26" s="2" t="s">
        <v>1763</v>
      </c>
      <c r="G26" s="2" t="s">
        <v>1714</v>
      </c>
      <c r="H26" s="2" t="s">
        <v>1766</v>
      </c>
      <c r="I26" s="2" t="s">
        <v>1765</v>
      </c>
      <c r="J26" s="2" t="s">
        <v>1716</v>
      </c>
      <c r="K26" s="2" t="s">
        <v>1716</v>
      </c>
      <c r="L26" s="2">
        <v>15</v>
      </c>
      <c r="M26" s="2">
        <v>54</v>
      </c>
    </row>
    <row r="27" spans="1:13" x14ac:dyDescent="0.25">
      <c r="A27" s="2">
        <v>540024</v>
      </c>
      <c r="B27" s="2" t="s">
        <v>19</v>
      </c>
      <c r="C27" s="2">
        <v>2</v>
      </c>
      <c r="D27" s="2">
        <v>8</v>
      </c>
      <c r="E27" s="2">
        <v>15</v>
      </c>
      <c r="F27" s="2" t="s">
        <v>1767</v>
      </c>
      <c r="G27" s="2" t="s">
        <v>1714</v>
      </c>
      <c r="H27" s="2" t="s">
        <v>1768</v>
      </c>
      <c r="I27" s="2" t="s">
        <v>19</v>
      </c>
      <c r="J27" s="2" t="s">
        <v>1716</v>
      </c>
      <c r="K27" s="2" t="s">
        <v>1716</v>
      </c>
      <c r="L27" s="2">
        <v>17</v>
      </c>
      <c r="M27" s="2">
        <v>54</v>
      </c>
    </row>
    <row r="28" spans="1:13" x14ac:dyDescent="0.25">
      <c r="A28" s="2">
        <v>540025</v>
      </c>
      <c r="B28" s="2" t="s">
        <v>1769</v>
      </c>
      <c r="C28" s="2">
        <v>0</v>
      </c>
      <c r="D28" s="2">
        <v>71</v>
      </c>
      <c r="E28" s="2">
        <v>37</v>
      </c>
      <c r="F28" s="2" t="s">
        <v>1767</v>
      </c>
      <c r="G28" s="2" t="s">
        <v>1714</v>
      </c>
      <c r="H28" s="2" t="s">
        <v>1770</v>
      </c>
      <c r="I28" s="2" t="s">
        <v>1769</v>
      </c>
      <c r="J28" s="2" t="s">
        <v>1716</v>
      </c>
      <c r="K28" s="2" t="s">
        <v>1716</v>
      </c>
      <c r="L28" s="2">
        <v>17</v>
      </c>
      <c r="M28" s="2">
        <v>54</v>
      </c>
    </row>
    <row r="29" spans="1:13" x14ac:dyDescent="0.25">
      <c r="A29" s="2">
        <v>540026</v>
      </c>
      <c r="B29" s="2" t="s">
        <v>21</v>
      </c>
      <c r="C29" s="2">
        <v>6</v>
      </c>
      <c r="D29" s="2">
        <v>293</v>
      </c>
      <c r="E29" s="2">
        <v>1</v>
      </c>
      <c r="F29" s="2" t="s">
        <v>1771</v>
      </c>
      <c r="G29" s="2" t="s">
        <v>1714</v>
      </c>
      <c r="H29" s="2" t="s">
        <v>1772</v>
      </c>
      <c r="I29" s="2" t="s">
        <v>21</v>
      </c>
      <c r="J29" s="2" t="s">
        <v>1716</v>
      </c>
      <c r="K29" s="2" t="s">
        <v>1716</v>
      </c>
      <c r="L29" s="2">
        <v>19</v>
      </c>
      <c r="M29" s="2">
        <v>54</v>
      </c>
    </row>
    <row r="30" spans="1:13" x14ac:dyDescent="0.25">
      <c r="A30" s="2">
        <v>540027</v>
      </c>
      <c r="B30" s="2" t="s">
        <v>1773</v>
      </c>
      <c r="C30" s="2">
        <v>0</v>
      </c>
      <c r="D30" s="2">
        <v>72</v>
      </c>
      <c r="E30" s="2">
        <v>39</v>
      </c>
      <c r="F30" s="2" t="s">
        <v>1771</v>
      </c>
      <c r="G30" s="2" t="s">
        <v>1714</v>
      </c>
      <c r="H30" s="2" t="s">
        <v>1774</v>
      </c>
      <c r="I30" s="2" t="s">
        <v>1773</v>
      </c>
      <c r="J30" s="2" t="s">
        <v>1716</v>
      </c>
      <c r="K30" s="2" t="s">
        <v>1716</v>
      </c>
      <c r="L30" s="2">
        <v>19</v>
      </c>
      <c r="M30" s="2">
        <v>54</v>
      </c>
    </row>
    <row r="31" spans="1:13" x14ac:dyDescent="0.25">
      <c r="A31" s="2">
        <v>540028</v>
      </c>
      <c r="B31" s="2" t="s">
        <v>1775</v>
      </c>
      <c r="C31" s="2">
        <v>0</v>
      </c>
      <c r="D31" s="2">
        <v>73</v>
      </c>
      <c r="E31" s="2">
        <v>145</v>
      </c>
      <c r="F31" s="2" t="s">
        <v>1771</v>
      </c>
      <c r="G31" s="2" t="s">
        <v>1714</v>
      </c>
      <c r="H31" s="2" t="s">
        <v>1776</v>
      </c>
      <c r="I31" s="2" t="s">
        <v>1775</v>
      </c>
      <c r="J31" s="2" t="s">
        <v>1716</v>
      </c>
      <c r="K31" s="2" t="s">
        <v>1716</v>
      </c>
      <c r="L31" s="2">
        <v>19</v>
      </c>
      <c r="M31" s="2">
        <v>54</v>
      </c>
    </row>
    <row r="32" spans="1:13" x14ac:dyDescent="0.25">
      <c r="A32" s="2">
        <v>540029</v>
      </c>
      <c r="B32" s="2" t="s">
        <v>1777</v>
      </c>
      <c r="C32" s="2">
        <v>0</v>
      </c>
      <c r="D32" s="2">
        <v>74</v>
      </c>
      <c r="E32" s="2">
        <v>226</v>
      </c>
      <c r="F32" s="2" t="s">
        <v>1771</v>
      </c>
      <c r="G32" s="2" t="s">
        <v>1714</v>
      </c>
      <c r="H32" s="2" t="s">
        <v>1778</v>
      </c>
      <c r="I32" s="2" t="s">
        <v>1777</v>
      </c>
      <c r="J32" s="2" t="s">
        <v>1716</v>
      </c>
      <c r="K32" s="2" t="s">
        <v>1716</v>
      </c>
      <c r="L32" s="2">
        <v>19</v>
      </c>
      <c r="M32" s="2">
        <v>54</v>
      </c>
    </row>
    <row r="33" spans="1:13" x14ac:dyDescent="0.25">
      <c r="A33" s="2">
        <v>540029</v>
      </c>
      <c r="B33" s="2" t="s">
        <v>701</v>
      </c>
      <c r="C33" s="2">
        <v>0</v>
      </c>
      <c r="D33" s="2">
        <v>75</v>
      </c>
      <c r="E33" s="2">
        <v>151</v>
      </c>
      <c r="F33" s="2" t="s">
        <v>1779</v>
      </c>
      <c r="G33" s="2" t="s">
        <v>1714</v>
      </c>
      <c r="H33" s="2" t="s">
        <v>1780</v>
      </c>
      <c r="I33" s="2" t="s">
        <v>701</v>
      </c>
      <c r="J33" s="2" t="s">
        <v>1716</v>
      </c>
      <c r="K33" s="2" t="s">
        <v>1716</v>
      </c>
      <c r="L33" s="2">
        <v>39</v>
      </c>
      <c r="M33" s="2">
        <v>54</v>
      </c>
    </row>
    <row r="34" spans="1:13" x14ac:dyDescent="0.25">
      <c r="A34" s="2">
        <v>540030</v>
      </c>
      <c r="B34" s="2" t="s">
        <v>1781</v>
      </c>
      <c r="C34" s="2">
        <v>0</v>
      </c>
      <c r="D34" s="2">
        <v>76</v>
      </c>
      <c r="E34" s="2">
        <v>69</v>
      </c>
      <c r="F34" s="2" t="s">
        <v>1782</v>
      </c>
      <c r="G34" s="2" t="s">
        <v>1714</v>
      </c>
      <c r="H34" s="2" t="s">
        <v>1783</v>
      </c>
      <c r="I34" s="2" t="s">
        <v>1781</v>
      </c>
      <c r="J34" s="2" t="s">
        <v>1716</v>
      </c>
      <c r="K34" s="2" t="s">
        <v>1716</v>
      </c>
      <c r="L34" s="2">
        <v>37</v>
      </c>
      <c r="M34" s="2">
        <v>54</v>
      </c>
    </row>
    <row r="35" spans="1:13" x14ac:dyDescent="0.25">
      <c r="A35" s="2">
        <v>540031</v>
      </c>
      <c r="B35" s="2" t="s">
        <v>1784</v>
      </c>
      <c r="C35" s="2">
        <v>0</v>
      </c>
      <c r="D35" s="2">
        <v>77</v>
      </c>
      <c r="E35" s="2">
        <v>42</v>
      </c>
      <c r="F35" s="2" t="s">
        <v>1771</v>
      </c>
      <c r="G35" s="2" t="s">
        <v>1714</v>
      </c>
      <c r="H35" s="2" t="s">
        <v>1785</v>
      </c>
      <c r="I35" s="2" t="s">
        <v>1784</v>
      </c>
      <c r="J35" s="2" t="s">
        <v>1716</v>
      </c>
      <c r="K35" s="2" t="s">
        <v>1716</v>
      </c>
      <c r="L35" s="2">
        <v>19</v>
      </c>
      <c r="M35" s="2">
        <v>54</v>
      </c>
    </row>
    <row r="36" spans="1:13" x14ac:dyDescent="0.25">
      <c r="A36" s="2">
        <v>540032</v>
      </c>
      <c r="B36" s="2" t="s">
        <v>1786</v>
      </c>
      <c r="C36" s="2">
        <v>0</v>
      </c>
      <c r="D36" s="2">
        <v>78</v>
      </c>
      <c r="E36" s="2">
        <v>152</v>
      </c>
      <c r="F36" s="2" t="s">
        <v>1771</v>
      </c>
      <c r="G36" s="2" t="s">
        <v>1714</v>
      </c>
      <c r="H36" s="2" t="s">
        <v>1787</v>
      </c>
      <c r="I36" s="2" t="s">
        <v>1786</v>
      </c>
      <c r="J36" s="2" t="s">
        <v>1716</v>
      </c>
      <c r="K36" s="2" t="s">
        <v>1716</v>
      </c>
      <c r="L36" s="2">
        <v>19</v>
      </c>
      <c r="M36" s="2">
        <v>54</v>
      </c>
    </row>
    <row r="37" spans="1:13" x14ac:dyDescent="0.25">
      <c r="A37" s="2">
        <v>540033</v>
      </c>
      <c r="B37" s="2" t="s">
        <v>716</v>
      </c>
      <c r="C37" s="2">
        <v>0</v>
      </c>
      <c r="D37" s="2">
        <v>282</v>
      </c>
      <c r="E37" s="2">
        <v>180</v>
      </c>
      <c r="F37" s="2" t="s">
        <v>1779</v>
      </c>
      <c r="G37" s="2" t="s">
        <v>1714</v>
      </c>
      <c r="H37" s="2" t="s">
        <v>1788</v>
      </c>
      <c r="I37" s="2" t="s">
        <v>716</v>
      </c>
      <c r="J37" s="2" t="s">
        <v>1716</v>
      </c>
      <c r="K37" s="2" t="s">
        <v>1716</v>
      </c>
      <c r="L37" s="2">
        <v>39</v>
      </c>
      <c r="M37" s="2">
        <v>54</v>
      </c>
    </row>
    <row r="38" spans="1:13" x14ac:dyDescent="0.25">
      <c r="A38" s="2">
        <v>540033</v>
      </c>
      <c r="B38" s="2" t="s">
        <v>716</v>
      </c>
      <c r="C38" s="2">
        <v>0</v>
      </c>
      <c r="D38" s="2">
        <v>289</v>
      </c>
      <c r="E38" s="2">
        <v>234</v>
      </c>
      <c r="F38" s="2" t="s">
        <v>1779</v>
      </c>
      <c r="G38" s="2" t="s">
        <v>1714</v>
      </c>
      <c r="H38" s="2" t="s">
        <v>1788</v>
      </c>
      <c r="I38" s="2" t="s">
        <v>716</v>
      </c>
      <c r="J38" s="2" t="s">
        <v>1716</v>
      </c>
      <c r="K38" s="2" t="s">
        <v>1716</v>
      </c>
      <c r="L38" s="2">
        <v>39</v>
      </c>
      <c r="M38" s="2">
        <v>54</v>
      </c>
    </row>
    <row r="39" spans="1:13" x14ac:dyDescent="0.25">
      <c r="A39" s="2">
        <v>540035</v>
      </c>
      <c r="B39" s="2" t="s">
        <v>659</v>
      </c>
      <c r="C39" s="2">
        <v>4</v>
      </c>
      <c r="D39" s="2">
        <v>9</v>
      </c>
      <c r="E39" s="2">
        <v>24</v>
      </c>
      <c r="F39" s="2" t="s">
        <v>1789</v>
      </c>
      <c r="G39" s="2" t="s">
        <v>1714</v>
      </c>
      <c r="H39" s="2" t="s">
        <v>1790</v>
      </c>
      <c r="I39" s="2" t="s">
        <v>659</v>
      </c>
      <c r="J39" s="2" t="s">
        <v>1716</v>
      </c>
      <c r="K39" s="2" t="s">
        <v>1716</v>
      </c>
      <c r="L39" s="2">
        <v>21</v>
      </c>
      <c r="M39" s="2">
        <v>54</v>
      </c>
    </row>
    <row r="40" spans="1:13" x14ac:dyDescent="0.25">
      <c r="A40" s="2">
        <v>540036</v>
      </c>
      <c r="B40" s="2" t="s">
        <v>660</v>
      </c>
      <c r="C40" s="2">
        <v>3</v>
      </c>
      <c r="D40" s="2">
        <v>79</v>
      </c>
      <c r="E40" s="2">
        <v>114</v>
      </c>
      <c r="F40" s="2" t="s">
        <v>1789</v>
      </c>
      <c r="G40" s="2" t="s">
        <v>1714</v>
      </c>
      <c r="H40" s="2" t="s">
        <v>1791</v>
      </c>
      <c r="I40" s="2" t="s">
        <v>660</v>
      </c>
      <c r="J40" s="2" t="s">
        <v>1716</v>
      </c>
      <c r="K40" s="2" t="s">
        <v>1716</v>
      </c>
      <c r="L40" s="2">
        <v>21</v>
      </c>
      <c r="M40" s="2">
        <v>54</v>
      </c>
    </row>
    <row r="41" spans="1:13" x14ac:dyDescent="0.25">
      <c r="A41" s="2">
        <v>540037</v>
      </c>
      <c r="B41" s="2" t="s">
        <v>661</v>
      </c>
      <c r="C41" s="2">
        <v>0</v>
      </c>
      <c r="D41" s="2">
        <v>80</v>
      </c>
      <c r="E41" s="2">
        <v>178</v>
      </c>
      <c r="F41" s="2" t="s">
        <v>1789</v>
      </c>
      <c r="G41" s="2" t="s">
        <v>1714</v>
      </c>
      <c r="H41" s="2" t="s">
        <v>1792</v>
      </c>
      <c r="I41" s="2" t="s">
        <v>661</v>
      </c>
      <c r="J41" s="2" t="s">
        <v>1716</v>
      </c>
      <c r="K41" s="2" t="s">
        <v>1716</v>
      </c>
      <c r="L41" s="2">
        <v>21</v>
      </c>
      <c r="M41" s="2">
        <v>54</v>
      </c>
    </row>
    <row r="42" spans="1:13" x14ac:dyDescent="0.25">
      <c r="A42" s="2">
        <v>540038</v>
      </c>
      <c r="B42" s="2" t="s">
        <v>25</v>
      </c>
      <c r="C42" s="2">
        <v>4</v>
      </c>
      <c r="D42" s="2">
        <v>10</v>
      </c>
      <c r="E42" s="2">
        <v>43</v>
      </c>
      <c r="F42" s="2" t="s">
        <v>1793</v>
      </c>
      <c r="G42" s="2" t="s">
        <v>1714</v>
      </c>
      <c r="H42" s="2" t="s">
        <v>1794</v>
      </c>
      <c r="I42" s="2" t="s">
        <v>25</v>
      </c>
      <c r="J42" s="2" t="s">
        <v>1716</v>
      </c>
      <c r="K42" s="2" t="s">
        <v>1716</v>
      </c>
      <c r="L42" s="2">
        <v>23</v>
      </c>
      <c r="M42" s="2">
        <v>54</v>
      </c>
    </row>
    <row r="43" spans="1:13" x14ac:dyDescent="0.25">
      <c r="A43" s="2">
        <v>540039</v>
      </c>
      <c r="B43" s="2" t="s">
        <v>1795</v>
      </c>
      <c r="C43" s="2">
        <v>1</v>
      </c>
      <c r="D43" s="2">
        <v>81</v>
      </c>
      <c r="E43" s="2">
        <v>53</v>
      </c>
      <c r="F43" s="2" t="s">
        <v>1793</v>
      </c>
      <c r="G43" s="2" t="s">
        <v>1714</v>
      </c>
      <c r="H43" s="2" t="s">
        <v>1796</v>
      </c>
      <c r="I43" s="2" t="s">
        <v>1795</v>
      </c>
      <c r="J43" s="2" t="s">
        <v>1716</v>
      </c>
      <c r="K43" s="2" t="s">
        <v>1716</v>
      </c>
      <c r="L43" s="2">
        <v>23</v>
      </c>
      <c r="M43" s="2">
        <v>54</v>
      </c>
    </row>
    <row r="44" spans="1:13" x14ac:dyDescent="0.25">
      <c r="A44" s="2">
        <v>540040</v>
      </c>
      <c r="B44" s="2" t="s">
        <v>27</v>
      </c>
      <c r="C44" s="2">
        <v>11</v>
      </c>
      <c r="D44" s="2">
        <v>11</v>
      </c>
      <c r="E44" s="2">
        <v>53</v>
      </c>
      <c r="F44" s="2" t="s">
        <v>1797</v>
      </c>
      <c r="G44" s="2" t="s">
        <v>1714</v>
      </c>
      <c r="H44" s="2" t="s">
        <v>1798</v>
      </c>
      <c r="I44" s="2" t="s">
        <v>27</v>
      </c>
      <c r="J44" s="2" t="s">
        <v>1716</v>
      </c>
      <c r="K44" s="2" t="s">
        <v>1716</v>
      </c>
      <c r="L44" s="2">
        <v>25</v>
      </c>
      <c r="M44" s="2">
        <v>54</v>
      </c>
    </row>
    <row r="45" spans="1:13" x14ac:dyDescent="0.25">
      <c r="A45" s="2">
        <v>540041</v>
      </c>
      <c r="B45" s="2" t="s">
        <v>1799</v>
      </c>
      <c r="C45" s="2">
        <v>2</v>
      </c>
      <c r="D45" s="2">
        <v>82</v>
      </c>
      <c r="E45" s="2">
        <v>205</v>
      </c>
      <c r="F45" s="2" t="s">
        <v>1800</v>
      </c>
      <c r="G45" s="2" t="s">
        <v>1714</v>
      </c>
      <c r="H45" s="2" t="s">
        <v>1801</v>
      </c>
      <c r="I45" s="2" t="s">
        <v>1799</v>
      </c>
      <c r="J45" s="2" t="s">
        <v>1716</v>
      </c>
      <c r="K45" s="2" t="s">
        <v>1716</v>
      </c>
      <c r="L45" s="2">
        <v>25</v>
      </c>
      <c r="M45" s="2">
        <v>54</v>
      </c>
    </row>
    <row r="46" spans="1:13" x14ac:dyDescent="0.25">
      <c r="A46" s="2">
        <v>540041</v>
      </c>
      <c r="B46" s="2" t="s">
        <v>1799</v>
      </c>
      <c r="C46" s="2">
        <v>0</v>
      </c>
      <c r="D46" s="2">
        <v>83</v>
      </c>
      <c r="E46" s="2">
        <v>3</v>
      </c>
      <c r="F46" s="2" t="s">
        <v>1800</v>
      </c>
      <c r="G46" s="2" t="s">
        <v>1714</v>
      </c>
      <c r="H46" s="2" t="s">
        <v>1802</v>
      </c>
      <c r="I46" s="2" t="s">
        <v>1799</v>
      </c>
      <c r="J46" s="2" t="s">
        <v>1716</v>
      </c>
      <c r="K46" s="2" t="s">
        <v>1716</v>
      </c>
      <c r="L46" s="2">
        <v>63</v>
      </c>
      <c r="M46" s="2">
        <v>54</v>
      </c>
    </row>
    <row r="47" spans="1:13" x14ac:dyDescent="0.25">
      <c r="A47" s="2">
        <v>540042</v>
      </c>
      <c r="B47" s="2" t="s">
        <v>1803</v>
      </c>
      <c r="C47" s="2">
        <v>0</v>
      </c>
      <c r="D47" s="2">
        <v>84</v>
      </c>
      <c r="E47" s="2">
        <v>23</v>
      </c>
      <c r="F47" s="2" t="s">
        <v>1804</v>
      </c>
      <c r="G47" s="2" t="s">
        <v>1714</v>
      </c>
      <c r="H47" s="2" t="s">
        <v>1805</v>
      </c>
      <c r="I47" s="2" t="s">
        <v>1803</v>
      </c>
      <c r="J47" s="2" t="s">
        <v>1716</v>
      </c>
      <c r="K47" s="2" t="s">
        <v>1716</v>
      </c>
      <c r="L47" s="2">
        <v>107</v>
      </c>
      <c r="M47" s="2">
        <v>54</v>
      </c>
    </row>
    <row r="48" spans="1:13" x14ac:dyDescent="0.25">
      <c r="A48" s="2">
        <v>540043</v>
      </c>
      <c r="B48" s="2" t="s">
        <v>1806</v>
      </c>
      <c r="C48" s="2">
        <v>5</v>
      </c>
      <c r="D48" s="2">
        <v>85</v>
      </c>
      <c r="E48" s="2">
        <v>32</v>
      </c>
      <c r="F48" s="2" t="s">
        <v>1797</v>
      </c>
      <c r="G48" s="2" t="s">
        <v>1714</v>
      </c>
      <c r="H48" s="2" t="s">
        <v>1807</v>
      </c>
      <c r="I48" s="2" t="s">
        <v>1806</v>
      </c>
      <c r="J48" s="2" t="s">
        <v>1716</v>
      </c>
      <c r="K48" s="2" t="s">
        <v>1716</v>
      </c>
      <c r="L48" s="2">
        <v>25</v>
      </c>
      <c r="M48" s="2">
        <v>54</v>
      </c>
    </row>
    <row r="49" spans="1:13" x14ac:dyDescent="0.25">
      <c r="A49" s="2">
        <v>540044</v>
      </c>
      <c r="B49" s="2" t="s">
        <v>1808</v>
      </c>
      <c r="C49" s="2">
        <v>0</v>
      </c>
      <c r="D49" s="2">
        <v>86</v>
      </c>
      <c r="E49" s="2">
        <v>174</v>
      </c>
      <c r="F49" s="2" t="s">
        <v>1797</v>
      </c>
      <c r="G49" s="2" t="s">
        <v>1714</v>
      </c>
      <c r="H49" s="2" t="s">
        <v>1809</v>
      </c>
      <c r="I49" s="2" t="s">
        <v>1808</v>
      </c>
      <c r="J49" s="2" t="s">
        <v>1716</v>
      </c>
      <c r="K49" s="2" t="s">
        <v>1716</v>
      </c>
      <c r="L49" s="2">
        <v>25</v>
      </c>
      <c r="M49" s="2">
        <v>54</v>
      </c>
    </row>
    <row r="50" spans="1:13" x14ac:dyDescent="0.25">
      <c r="A50" s="2">
        <v>540045</v>
      </c>
      <c r="B50" s="2" t="s">
        <v>1810</v>
      </c>
      <c r="C50" s="2">
        <v>16</v>
      </c>
      <c r="D50" s="2">
        <v>87</v>
      </c>
      <c r="E50" s="2">
        <v>193</v>
      </c>
      <c r="F50" s="2" t="s">
        <v>1797</v>
      </c>
      <c r="G50" s="2" t="s">
        <v>1714</v>
      </c>
      <c r="H50" s="2" t="s">
        <v>1811</v>
      </c>
      <c r="I50" s="2" t="s">
        <v>1810</v>
      </c>
      <c r="J50" s="2" t="s">
        <v>1716</v>
      </c>
      <c r="K50" s="2" t="s">
        <v>1716</v>
      </c>
      <c r="L50" s="2">
        <v>25</v>
      </c>
      <c r="M50" s="2">
        <v>54</v>
      </c>
    </row>
    <row r="51" spans="1:13" x14ac:dyDescent="0.25">
      <c r="A51" s="2">
        <v>540046</v>
      </c>
      <c r="B51" s="2" t="s">
        <v>1812</v>
      </c>
      <c r="C51" s="2">
        <v>0</v>
      </c>
      <c r="D51" s="2">
        <v>88</v>
      </c>
      <c r="E51" s="2">
        <v>81</v>
      </c>
      <c r="F51" s="2" t="s">
        <v>1813</v>
      </c>
      <c r="G51" s="2" t="s">
        <v>1714</v>
      </c>
      <c r="H51" s="2" t="s">
        <v>1814</v>
      </c>
      <c r="I51" s="2" t="s">
        <v>1812</v>
      </c>
      <c r="J51" s="2" t="s">
        <v>1716</v>
      </c>
      <c r="K51" s="2" t="s">
        <v>1716</v>
      </c>
      <c r="L51" s="2">
        <v>27</v>
      </c>
      <c r="M51" s="2">
        <v>54</v>
      </c>
    </row>
    <row r="52" spans="1:13" x14ac:dyDescent="0.25">
      <c r="A52" s="2">
        <v>540047</v>
      </c>
      <c r="B52" s="2" t="s">
        <v>29</v>
      </c>
      <c r="C52" s="2">
        <v>3</v>
      </c>
      <c r="D52" s="2">
        <v>12</v>
      </c>
      <c r="E52" s="2">
        <v>3</v>
      </c>
      <c r="F52" s="2" t="s">
        <v>1744</v>
      </c>
      <c r="G52" s="2" t="s">
        <v>1714</v>
      </c>
      <c r="H52" s="2" t="s">
        <v>1815</v>
      </c>
      <c r="I52" s="2" t="s">
        <v>29</v>
      </c>
      <c r="J52" s="2" t="s">
        <v>1716</v>
      </c>
      <c r="K52" s="2" t="s">
        <v>1716</v>
      </c>
      <c r="L52" s="2">
        <v>29</v>
      </c>
      <c r="M52" s="2">
        <v>54</v>
      </c>
    </row>
    <row r="53" spans="1:13" x14ac:dyDescent="0.25">
      <c r="A53" s="2">
        <v>540048</v>
      </c>
      <c r="B53" s="2" t="s">
        <v>1816</v>
      </c>
      <c r="C53" s="2">
        <v>0</v>
      </c>
      <c r="D53" s="2">
        <v>89</v>
      </c>
      <c r="E53" s="2">
        <v>84</v>
      </c>
      <c r="F53" s="2" t="s">
        <v>1744</v>
      </c>
      <c r="G53" s="2" t="s">
        <v>1714</v>
      </c>
      <c r="H53" s="2" t="s">
        <v>1817</v>
      </c>
      <c r="I53" s="2" t="s">
        <v>1816</v>
      </c>
      <c r="J53" s="2" t="s">
        <v>1716</v>
      </c>
      <c r="K53" s="2" t="s">
        <v>1716</v>
      </c>
      <c r="L53" s="2">
        <v>29</v>
      </c>
      <c r="M53" s="2">
        <v>54</v>
      </c>
    </row>
    <row r="54" spans="1:13" x14ac:dyDescent="0.25">
      <c r="A54" s="2">
        <v>540049</v>
      </c>
      <c r="B54" s="2" t="s">
        <v>1818</v>
      </c>
      <c r="C54" s="2">
        <v>5</v>
      </c>
      <c r="D54" s="2">
        <v>90</v>
      </c>
      <c r="E54" s="2">
        <v>228</v>
      </c>
      <c r="F54" s="2" t="s">
        <v>1744</v>
      </c>
      <c r="G54" s="2" t="s">
        <v>1714</v>
      </c>
      <c r="H54" s="2" t="s">
        <v>1819</v>
      </c>
      <c r="I54" s="2" t="s">
        <v>1818</v>
      </c>
      <c r="J54" s="2" t="s">
        <v>1716</v>
      </c>
      <c r="K54" s="2" t="s">
        <v>1716</v>
      </c>
      <c r="L54" s="2">
        <v>29</v>
      </c>
      <c r="M54" s="2">
        <v>54</v>
      </c>
    </row>
    <row r="55" spans="1:13" x14ac:dyDescent="0.25">
      <c r="A55" s="2">
        <v>540050</v>
      </c>
      <c r="B55" s="2" t="s">
        <v>1820</v>
      </c>
      <c r="C55" s="2">
        <v>0</v>
      </c>
      <c r="D55" s="2">
        <v>91</v>
      </c>
      <c r="E55" s="2">
        <v>181</v>
      </c>
      <c r="F55" s="2" t="s">
        <v>1771</v>
      </c>
      <c r="G55" s="2" t="s">
        <v>1714</v>
      </c>
      <c r="H55" s="2" t="s">
        <v>1821</v>
      </c>
      <c r="I55" s="2" t="s">
        <v>1820</v>
      </c>
      <c r="J55" s="2" t="s">
        <v>1716</v>
      </c>
      <c r="K55" s="2" t="s">
        <v>1716</v>
      </c>
      <c r="L55" s="2">
        <v>19</v>
      </c>
      <c r="M55" s="2">
        <v>54</v>
      </c>
    </row>
    <row r="56" spans="1:13" x14ac:dyDescent="0.25">
      <c r="A56" s="2">
        <v>540051</v>
      </c>
      <c r="B56" s="2" t="s">
        <v>31</v>
      </c>
      <c r="C56" s="2">
        <v>6</v>
      </c>
      <c r="D56" s="2">
        <v>13</v>
      </c>
      <c r="E56" s="2">
        <v>52</v>
      </c>
      <c r="F56" s="2" t="s">
        <v>1822</v>
      </c>
      <c r="G56" s="2" t="s">
        <v>1714</v>
      </c>
      <c r="H56" s="2" t="s">
        <v>1823</v>
      </c>
      <c r="I56" s="2" t="s">
        <v>31</v>
      </c>
      <c r="J56" s="2" t="s">
        <v>1716</v>
      </c>
      <c r="K56" s="2" t="s">
        <v>1716</v>
      </c>
      <c r="L56" s="2">
        <v>31</v>
      </c>
      <c r="M56" s="2">
        <v>54</v>
      </c>
    </row>
    <row r="57" spans="1:13" x14ac:dyDescent="0.25">
      <c r="A57" s="2">
        <v>540052</v>
      </c>
      <c r="B57" s="2" t="s">
        <v>1824</v>
      </c>
      <c r="C57" s="2">
        <v>1</v>
      </c>
      <c r="D57" s="2">
        <v>92</v>
      </c>
      <c r="E57" s="2">
        <v>154</v>
      </c>
      <c r="F57" s="2" t="s">
        <v>1822</v>
      </c>
      <c r="G57" s="2" t="s">
        <v>1714</v>
      </c>
      <c r="H57" s="2" t="s">
        <v>1825</v>
      </c>
      <c r="I57" s="2" t="s">
        <v>1824</v>
      </c>
      <c r="J57" s="2" t="s">
        <v>1716</v>
      </c>
      <c r="K57" s="2" t="s">
        <v>1716</v>
      </c>
      <c r="L57" s="2">
        <v>31</v>
      </c>
      <c r="M57" s="2">
        <v>54</v>
      </c>
    </row>
    <row r="58" spans="1:13" x14ac:dyDescent="0.25">
      <c r="A58" s="2">
        <v>540053</v>
      </c>
      <c r="B58" s="2" t="s">
        <v>1826</v>
      </c>
      <c r="C58" s="2">
        <v>8</v>
      </c>
      <c r="D58" s="2">
        <v>14</v>
      </c>
      <c r="E58" s="2">
        <v>48</v>
      </c>
      <c r="F58" s="2" t="s">
        <v>1827</v>
      </c>
      <c r="G58" s="2" t="s">
        <v>1714</v>
      </c>
      <c r="H58" s="2" t="s">
        <v>1828</v>
      </c>
      <c r="I58" s="2" t="s">
        <v>1826</v>
      </c>
      <c r="J58" s="2" t="s">
        <v>1716</v>
      </c>
      <c r="K58" s="2" t="s">
        <v>1716</v>
      </c>
      <c r="L58" s="2">
        <v>33</v>
      </c>
      <c r="M58" s="2">
        <v>54</v>
      </c>
    </row>
    <row r="59" spans="1:13" x14ac:dyDescent="0.25">
      <c r="A59" s="2">
        <v>540054</v>
      </c>
      <c r="B59" s="2" t="s">
        <v>681</v>
      </c>
      <c r="C59" s="2">
        <v>1</v>
      </c>
      <c r="D59" s="2">
        <v>93</v>
      </c>
      <c r="E59" s="2">
        <v>38</v>
      </c>
      <c r="F59" s="2" t="s">
        <v>1827</v>
      </c>
      <c r="G59" s="2" t="s">
        <v>1714</v>
      </c>
      <c r="H59" s="2" t="s">
        <v>1829</v>
      </c>
      <c r="I59" s="2" t="s">
        <v>681</v>
      </c>
      <c r="J59" s="2" t="s">
        <v>1716</v>
      </c>
      <c r="K59" s="2" t="s">
        <v>1716</v>
      </c>
      <c r="L59" s="2">
        <v>33</v>
      </c>
      <c r="M59" s="2">
        <v>54</v>
      </c>
    </row>
    <row r="60" spans="1:13" x14ac:dyDescent="0.25">
      <c r="A60" s="2">
        <v>540055</v>
      </c>
      <c r="B60" s="2" t="s">
        <v>682</v>
      </c>
      <c r="C60" s="2">
        <v>5</v>
      </c>
      <c r="D60" s="2">
        <v>94</v>
      </c>
      <c r="E60" s="2">
        <v>75</v>
      </c>
      <c r="F60" s="2" t="s">
        <v>1827</v>
      </c>
      <c r="G60" s="2" t="s">
        <v>1714</v>
      </c>
      <c r="H60" s="2" t="s">
        <v>1830</v>
      </c>
      <c r="I60" s="2" t="s">
        <v>682</v>
      </c>
      <c r="J60" s="2" t="s">
        <v>1716</v>
      </c>
      <c r="K60" s="2" t="s">
        <v>1716</v>
      </c>
      <c r="L60" s="2">
        <v>33</v>
      </c>
      <c r="M60" s="2">
        <v>54</v>
      </c>
    </row>
    <row r="61" spans="1:13" x14ac:dyDescent="0.25">
      <c r="A61" s="2">
        <v>540056</v>
      </c>
      <c r="B61" s="2" t="s">
        <v>683</v>
      </c>
      <c r="C61" s="2">
        <v>5</v>
      </c>
      <c r="D61" s="2">
        <v>95</v>
      </c>
      <c r="E61" s="2">
        <v>85</v>
      </c>
      <c r="F61" s="2" t="s">
        <v>1827</v>
      </c>
      <c r="G61" s="2" t="s">
        <v>1714</v>
      </c>
      <c r="H61" s="2" t="s">
        <v>1831</v>
      </c>
      <c r="I61" s="2" t="s">
        <v>683</v>
      </c>
      <c r="J61" s="2" t="s">
        <v>1716</v>
      </c>
      <c r="K61" s="2" t="s">
        <v>1716</v>
      </c>
      <c r="L61" s="2">
        <v>33</v>
      </c>
      <c r="M61" s="2">
        <v>54</v>
      </c>
    </row>
    <row r="62" spans="1:13" x14ac:dyDescent="0.25">
      <c r="A62" s="2">
        <v>540057</v>
      </c>
      <c r="B62" s="2" t="s">
        <v>684</v>
      </c>
      <c r="C62" s="2">
        <v>1</v>
      </c>
      <c r="D62" s="2">
        <v>96</v>
      </c>
      <c r="E62" s="2">
        <v>137</v>
      </c>
      <c r="F62" s="2" t="s">
        <v>1827</v>
      </c>
      <c r="G62" s="2" t="s">
        <v>1714</v>
      </c>
      <c r="H62" s="2" t="s">
        <v>1832</v>
      </c>
      <c r="I62" s="2" t="s">
        <v>684</v>
      </c>
      <c r="J62" s="2" t="s">
        <v>1716</v>
      </c>
      <c r="K62" s="2" t="s">
        <v>1716</v>
      </c>
      <c r="L62" s="2">
        <v>33</v>
      </c>
      <c r="M62" s="2">
        <v>54</v>
      </c>
    </row>
    <row r="63" spans="1:13" x14ac:dyDescent="0.25">
      <c r="A63" s="2">
        <v>540058</v>
      </c>
      <c r="B63" s="2" t="s">
        <v>685</v>
      </c>
      <c r="C63" s="2">
        <v>0</v>
      </c>
      <c r="D63" s="2">
        <v>97</v>
      </c>
      <c r="E63" s="2">
        <v>138</v>
      </c>
      <c r="F63" s="2" t="s">
        <v>1827</v>
      </c>
      <c r="G63" s="2" t="s">
        <v>1714</v>
      </c>
      <c r="H63" s="2" t="s">
        <v>1833</v>
      </c>
      <c r="I63" s="2" t="s">
        <v>685</v>
      </c>
      <c r="J63" s="2" t="s">
        <v>1716</v>
      </c>
      <c r="K63" s="2" t="s">
        <v>1716</v>
      </c>
      <c r="L63" s="2">
        <v>33</v>
      </c>
      <c r="M63" s="2">
        <v>54</v>
      </c>
    </row>
    <row r="64" spans="1:13" x14ac:dyDescent="0.25">
      <c r="A64" s="2">
        <v>540059</v>
      </c>
      <c r="B64" s="2" t="s">
        <v>686</v>
      </c>
      <c r="C64" s="2">
        <v>0</v>
      </c>
      <c r="D64" s="2">
        <v>98</v>
      </c>
      <c r="E64" s="2">
        <v>73</v>
      </c>
      <c r="F64" s="2" t="s">
        <v>1827</v>
      </c>
      <c r="G64" s="2" t="s">
        <v>1714</v>
      </c>
      <c r="H64" s="2" t="s">
        <v>1834</v>
      </c>
      <c r="I64" s="2" t="s">
        <v>686</v>
      </c>
      <c r="J64" s="2" t="s">
        <v>1716</v>
      </c>
      <c r="K64" s="2" t="s">
        <v>1716</v>
      </c>
      <c r="L64" s="2">
        <v>33</v>
      </c>
      <c r="M64" s="2">
        <v>54</v>
      </c>
    </row>
    <row r="65" spans="1:13" x14ac:dyDescent="0.25">
      <c r="A65" s="2">
        <v>540060</v>
      </c>
      <c r="B65" s="2" t="s">
        <v>687</v>
      </c>
      <c r="C65" s="2">
        <v>0</v>
      </c>
      <c r="D65" s="2">
        <v>99</v>
      </c>
      <c r="E65" s="2">
        <v>176</v>
      </c>
      <c r="F65" s="2" t="s">
        <v>1827</v>
      </c>
      <c r="G65" s="2" t="s">
        <v>1714</v>
      </c>
      <c r="H65" s="2" t="s">
        <v>1835</v>
      </c>
      <c r="I65" s="2" t="s">
        <v>687</v>
      </c>
      <c r="J65" s="2" t="s">
        <v>1716</v>
      </c>
      <c r="K65" s="2" t="s">
        <v>1716</v>
      </c>
      <c r="L65" s="2">
        <v>33</v>
      </c>
      <c r="M65" s="2">
        <v>54</v>
      </c>
    </row>
    <row r="66" spans="1:13" x14ac:dyDescent="0.25">
      <c r="A66" s="2">
        <v>540061</v>
      </c>
      <c r="B66" s="2" t="s">
        <v>688</v>
      </c>
      <c r="C66" s="2">
        <v>0</v>
      </c>
      <c r="D66" s="2">
        <v>100</v>
      </c>
      <c r="E66" s="2">
        <v>177</v>
      </c>
      <c r="F66" s="2" t="s">
        <v>1827</v>
      </c>
      <c r="G66" s="2" t="s">
        <v>1714</v>
      </c>
      <c r="H66" s="2" t="s">
        <v>1836</v>
      </c>
      <c r="I66" s="2" t="s">
        <v>688</v>
      </c>
      <c r="J66" s="2" t="s">
        <v>1716</v>
      </c>
      <c r="K66" s="2" t="s">
        <v>1716</v>
      </c>
      <c r="L66" s="2">
        <v>33</v>
      </c>
      <c r="M66" s="2">
        <v>54</v>
      </c>
    </row>
    <row r="67" spans="1:13" x14ac:dyDescent="0.25">
      <c r="A67" s="2">
        <v>540062</v>
      </c>
      <c r="B67" s="2" t="s">
        <v>689</v>
      </c>
      <c r="C67" s="2">
        <v>0</v>
      </c>
      <c r="D67" s="2">
        <v>101</v>
      </c>
      <c r="E67" s="2">
        <v>86</v>
      </c>
      <c r="F67" s="2" t="s">
        <v>1827</v>
      </c>
      <c r="G67" s="2" t="s">
        <v>1714</v>
      </c>
      <c r="H67" s="2" t="s">
        <v>1837</v>
      </c>
      <c r="I67" s="2" t="s">
        <v>689</v>
      </c>
      <c r="J67" s="2" t="s">
        <v>1716</v>
      </c>
      <c r="K67" s="2" t="s">
        <v>1716</v>
      </c>
      <c r="L67" s="2">
        <v>33</v>
      </c>
      <c r="M67" s="2">
        <v>54</v>
      </c>
    </row>
    <row r="68" spans="1:13" x14ac:dyDescent="0.25">
      <c r="A68" s="2">
        <v>540063</v>
      </c>
      <c r="B68" s="2" t="s">
        <v>35</v>
      </c>
      <c r="C68" s="2">
        <v>9</v>
      </c>
      <c r="D68" s="2">
        <v>15</v>
      </c>
      <c r="E68" s="2">
        <v>4</v>
      </c>
      <c r="F68" s="2" t="s">
        <v>1838</v>
      </c>
      <c r="G68" s="2" t="s">
        <v>1714</v>
      </c>
      <c r="H68" s="2" t="s">
        <v>1839</v>
      </c>
      <c r="I68" s="2" t="s">
        <v>35</v>
      </c>
      <c r="J68" s="2" t="s">
        <v>1840</v>
      </c>
      <c r="K68" s="2" t="s">
        <v>1716</v>
      </c>
      <c r="L68" s="2">
        <v>35</v>
      </c>
      <c r="M68" s="2">
        <v>54</v>
      </c>
    </row>
    <row r="69" spans="1:13" x14ac:dyDescent="0.25">
      <c r="A69" s="2">
        <v>540064</v>
      </c>
      <c r="B69" s="2" t="s">
        <v>1841</v>
      </c>
      <c r="C69" s="2">
        <v>0</v>
      </c>
      <c r="D69" s="2">
        <v>102</v>
      </c>
      <c r="E69" s="2">
        <v>170</v>
      </c>
      <c r="F69" s="2" t="s">
        <v>1838</v>
      </c>
      <c r="G69" s="2" t="s">
        <v>1714</v>
      </c>
      <c r="H69" s="2" t="s">
        <v>1842</v>
      </c>
      <c r="I69" s="2" t="s">
        <v>1841</v>
      </c>
      <c r="J69" s="2" t="s">
        <v>1716</v>
      </c>
      <c r="K69" s="2" t="s">
        <v>1716</v>
      </c>
      <c r="L69" s="2">
        <v>35</v>
      </c>
      <c r="M69" s="2">
        <v>54</v>
      </c>
    </row>
    <row r="70" spans="1:13" x14ac:dyDescent="0.25">
      <c r="A70" s="2">
        <v>540065</v>
      </c>
      <c r="B70" s="2" t="s">
        <v>37</v>
      </c>
      <c r="C70" s="2">
        <v>10</v>
      </c>
      <c r="D70" s="2">
        <v>16</v>
      </c>
      <c r="E70" s="2">
        <v>42</v>
      </c>
      <c r="F70" s="2" t="s">
        <v>1782</v>
      </c>
      <c r="G70" s="2" t="s">
        <v>1714</v>
      </c>
      <c r="H70" s="2" t="s">
        <v>1843</v>
      </c>
      <c r="I70" s="2" t="s">
        <v>37</v>
      </c>
      <c r="J70" s="2" t="s">
        <v>1716</v>
      </c>
      <c r="K70" s="2" t="s">
        <v>1716</v>
      </c>
      <c r="L70" s="2">
        <v>37</v>
      </c>
      <c r="M70" s="2">
        <v>54</v>
      </c>
    </row>
    <row r="71" spans="1:13" x14ac:dyDescent="0.25">
      <c r="A71" s="2">
        <v>540066</v>
      </c>
      <c r="B71" s="2" t="s">
        <v>1844</v>
      </c>
      <c r="C71" s="2">
        <v>0</v>
      </c>
      <c r="D71" s="2">
        <v>103</v>
      </c>
      <c r="E71" s="2">
        <v>9</v>
      </c>
      <c r="F71" s="2" t="s">
        <v>1782</v>
      </c>
      <c r="G71" s="2" t="s">
        <v>1714</v>
      </c>
      <c r="H71" s="2" t="s">
        <v>1845</v>
      </c>
      <c r="I71" s="2" t="s">
        <v>1844</v>
      </c>
      <c r="J71" s="2" t="s">
        <v>1716</v>
      </c>
      <c r="K71" s="2" t="s">
        <v>1716</v>
      </c>
      <c r="L71" s="2">
        <v>37</v>
      </c>
      <c r="M71" s="2">
        <v>54</v>
      </c>
    </row>
    <row r="72" spans="1:13" x14ac:dyDescent="0.25">
      <c r="A72" s="2">
        <v>540067</v>
      </c>
      <c r="B72" s="2" t="s">
        <v>1846</v>
      </c>
      <c r="C72" s="2">
        <v>0</v>
      </c>
      <c r="D72" s="2">
        <v>104</v>
      </c>
      <c r="E72" s="2">
        <v>208</v>
      </c>
      <c r="F72" s="2" t="s">
        <v>1782</v>
      </c>
      <c r="G72" s="2" t="s">
        <v>1714</v>
      </c>
      <c r="H72" s="2" t="s">
        <v>1847</v>
      </c>
      <c r="I72" s="2" t="s">
        <v>1846</v>
      </c>
      <c r="J72" s="2" t="s">
        <v>1716</v>
      </c>
      <c r="K72" s="2" t="s">
        <v>1716</v>
      </c>
      <c r="L72" s="2">
        <v>37</v>
      </c>
      <c r="M72" s="2">
        <v>54</v>
      </c>
    </row>
    <row r="73" spans="1:13" x14ac:dyDescent="0.25">
      <c r="A73" s="2">
        <v>540068</v>
      </c>
      <c r="B73" s="2" t="s">
        <v>1848</v>
      </c>
      <c r="C73" s="2">
        <v>3</v>
      </c>
      <c r="D73" s="2">
        <v>105</v>
      </c>
      <c r="E73" s="2">
        <v>30</v>
      </c>
      <c r="F73" s="2" t="s">
        <v>1782</v>
      </c>
      <c r="G73" s="2" t="s">
        <v>1714</v>
      </c>
      <c r="H73" s="2" t="s">
        <v>1849</v>
      </c>
      <c r="I73" s="2" t="s">
        <v>1848</v>
      </c>
      <c r="J73" s="2" t="s">
        <v>1716</v>
      </c>
      <c r="K73" s="2" t="s">
        <v>1716</v>
      </c>
      <c r="L73" s="2">
        <v>37</v>
      </c>
      <c r="M73" s="2">
        <v>54</v>
      </c>
    </row>
    <row r="74" spans="1:13" x14ac:dyDescent="0.25">
      <c r="A74" s="2">
        <v>540069</v>
      </c>
      <c r="B74" s="2" t="s">
        <v>1850</v>
      </c>
      <c r="C74" s="2">
        <v>5</v>
      </c>
      <c r="D74" s="2">
        <v>106</v>
      </c>
      <c r="E74" s="2">
        <v>233</v>
      </c>
      <c r="F74" s="2" t="s">
        <v>1782</v>
      </c>
      <c r="G74" s="2" t="s">
        <v>1714</v>
      </c>
      <c r="H74" s="2" t="s">
        <v>1851</v>
      </c>
      <c r="I74" s="2" t="s">
        <v>1850</v>
      </c>
      <c r="J74" s="2" t="s">
        <v>1716</v>
      </c>
      <c r="K74" s="2" t="s">
        <v>1716</v>
      </c>
      <c r="L74" s="2">
        <v>37</v>
      </c>
      <c r="M74" s="2">
        <v>54</v>
      </c>
    </row>
    <row r="75" spans="1:13" x14ac:dyDescent="0.25">
      <c r="A75" s="2">
        <v>540070</v>
      </c>
      <c r="B75" s="2" t="s">
        <v>700</v>
      </c>
      <c r="C75" s="2">
        <v>139</v>
      </c>
      <c r="D75" s="2">
        <v>17</v>
      </c>
      <c r="E75" s="2">
        <v>51</v>
      </c>
      <c r="F75" s="2" t="s">
        <v>1779</v>
      </c>
      <c r="G75" s="2" t="s">
        <v>1714</v>
      </c>
      <c r="H75" s="2" t="s">
        <v>1852</v>
      </c>
      <c r="I75" s="2" t="s">
        <v>700</v>
      </c>
      <c r="J75" s="2" t="s">
        <v>1716</v>
      </c>
      <c r="K75" s="2" t="s">
        <v>1716</v>
      </c>
      <c r="L75" s="2">
        <v>39</v>
      </c>
      <c r="M75" s="2">
        <v>54</v>
      </c>
    </row>
    <row r="76" spans="1:13" x14ac:dyDescent="0.25">
      <c r="A76" s="2">
        <v>540071</v>
      </c>
      <c r="B76" s="2" t="s">
        <v>702</v>
      </c>
      <c r="C76" s="2">
        <v>1</v>
      </c>
      <c r="D76" s="2">
        <v>107</v>
      </c>
      <c r="E76" s="2">
        <v>57</v>
      </c>
      <c r="F76" s="2" t="s">
        <v>1779</v>
      </c>
      <c r="G76" s="2" t="s">
        <v>1714</v>
      </c>
      <c r="H76" s="2" t="s">
        <v>1853</v>
      </c>
      <c r="I76" s="2" t="s">
        <v>702</v>
      </c>
      <c r="J76" s="2" t="s">
        <v>1716</v>
      </c>
      <c r="K76" s="2" t="s">
        <v>1716</v>
      </c>
      <c r="L76" s="2">
        <v>39</v>
      </c>
      <c r="M76" s="2">
        <v>54</v>
      </c>
    </row>
    <row r="77" spans="1:13" x14ac:dyDescent="0.25">
      <c r="A77" s="2">
        <v>540072</v>
      </c>
      <c r="B77" s="2" t="s">
        <v>703</v>
      </c>
      <c r="C77" s="2">
        <v>1</v>
      </c>
      <c r="D77" s="2">
        <v>108</v>
      </c>
      <c r="E77" s="2">
        <v>58</v>
      </c>
      <c r="F77" s="2" t="s">
        <v>1779</v>
      </c>
      <c r="G77" s="2" t="s">
        <v>1714</v>
      </c>
      <c r="H77" s="2" t="s">
        <v>1854</v>
      </c>
      <c r="I77" s="2" t="s">
        <v>703</v>
      </c>
      <c r="J77" s="2" t="s">
        <v>1716</v>
      </c>
      <c r="K77" s="2" t="s">
        <v>1716</v>
      </c>
      <c r="L77" s="2">
        <v>39</v>
      </c>
      <c r="M77" s="2">
        <v>54</v>
      </c>
    </row>
    <row r="78" spans="1:13" x14ac:dyDescent="0.25">
      <c r="A78" s="2">
        <v>540073</v>
      </c>
      <c r="B78" s="2" t="s">
        <v>704</v>
      </c>
      <c r="C78" s="2">
        <v>15</v>
      </c>
      <c r="D78" s="2">
        <v>109</v>
      </c>
      <c r="E78" s="2">
        <v>8</v>
      </c>
      <c r="F78" s="2" t="s">
        <v>1779</v>
      </c>
      <c r="G78" s="2" t="s">
        <v>1714</v>
      </c>
      <c r="H78" s="2" t="s">
        <v>1855</v>
      </c>
      <c r="I78" s="2" t="s">
        <v>704</v>
      </c>
      <c r="J78" s="2" t="s">
        <v>1716</v>
      </c>
      <c r="K78" s="2" t="s">
        <v>1716</v>
      </c>
      <c r="L78" s="2">
        <v>39</v>
      </c>
      <c r="M78" s="2">
        <v>54</v>
      </c>
    </row>
    <row r="79" spans="1:13" x14ac:dyDescent="0.25">
      <c r="A79" s="2">
        <v>540074</v>
      </c>
      <c r="B79" s="2" t="s">
        <v>705</v>
      </c>
      <c r="C79" s="2">
        <v>5</v>
      </c>
      <c r="D79" s="2">
        <v>110</v>
      </c>
      <c r="E79" s="2">
        <v>83</v>
      </c>
      <c r="F79" s="2" t="s">
        <v>1779</v>
      </c>
      <c r="G79" s="2" t="s">
        <v>1714</v>
      </c>
      <c r="H79" s="2" t="s">
        <v>1856</v>
      </c>
      <c r="I79" s="2" t="s">
        <v>705</v>
      </c>
      <c r="J79" s="2" t="s">
        <v>1716</v>
      </c>
      <c r="K79" s="2" t="s">
        <v>1716</v>
      </c>
      <c r="L79" s="2">
        <v>39</v>
      </c>
      <c r="M79" s="2">
        <v>54</v>
      </c>
    </row>
    <row r="80" spans="1:13" x14ac:dyDescent="0.25">
      <c r="A80" s="2">
        <v>540075</v>
      </c>
      <c r="B80" s="2" t="s">
        <v>706</v>
      </c>
      <c r="C80" s="2">
        <v>6</v>
      </c>
      <c r="D80" s="2">
        <v>111</v>
      </c>
      <c r="E80" s="2">
        <v>88</v>
      </c>
      <c r="F80" s="2" t="s">
        <v>1779</v>
      </c>
      <c r="G80" s="2" t="s">
        <v>1714</v>
      </c>
      <c r="H80" s="2" t="s">
        <v>1857</v>
      </c>
      <c r="I80" s="2" t="s">
        <v>706</v>
      </c>
      <c r="J80" s="2" t="s">
        <v>1716</v>
      </c>
      <c r="K80" s="2" t="s">
        <v>1716</v>
      </c>
      <c r="L80" s="2">
        <v>39</v>
      </c>
      <c r="M80" s="2">
        <v>54</v>
      </c>
    </row>
    <row r="81" spans="1:13" x14ac:dyDescent="0.25">
      <c r="A81" s="2">
        <v>540076</v>
      </c>
      <c r="B81" s="2" t="s">
        <v>707</v>
      </c>
      <c r="C81" s="2">
        <v>15</v>
      </c>
      <c r="D81" s="2">
        <v>112</v>
      </c>
      <c r="E81" s="2">
        <v>12</v>
      </c>
      <c r="F81" s="2" t="s">
        <v>1779</v>
      </c>
      <c r="G81" s="2" t="s">
        <v>1714</v>
      </c>
      <c r="H81" s="2" t="s">
        <v>1858</v>
      </c>
      <c r="I81" s="2" t="s">
        <v>707</v>
      </c>
      <c r="J81" s="2" t="s">
        <v>1716</v>
      </c>
      <c r="K81" s="2" t="s">
        <v>1716</v>
      </c>
      <c r="L81" s="2">
        <v>39</v>
      </c>
      <c r="M81" s="2">
        <v>54</v>
      </c>
    </row>
    <row r="82" spans="1:13" x14ac:dyDescent="0.25">
      <c r="A82" s="2">
        <v>540077</v>
      </c>
      <c r="B82" s="2" t="s">
        <v>708</v>
      </c>
      <c r="C82" s="2">
        <v>0</v>
      </c>
      <c r="D82" s="2">
        <v>113</v>
      </c>
      <c r="E82" s="2">
        <v>94</v>
      </c>
      <c r="F82" s="2" t="s">
        <v>1779</v>
      </c>
      <c r="G82" s="2" t="s">
        <v>1714</v>
      </c>
      <c r="H82" s="2" t="s">
        <v>1859</v>
      </c>
      <c r="I82" s="2" t="s">
        <v>708</v>
      </c>
      <c r="J82" s="2" t="s">
        <v>1716</v>
      </c>
      <c r="K82" s="2" t="s">
        <v>1716</v>
      </c>
      <c r="L82" s="2">
        <v>39</v>
      </c>
      <c r="M82" s="2">
        <v>54</v>
      </c>
    </row>
    <row r="83" spans="1:13" x14ac:dyDescent="0.25">
      <c r="A83" s="2">
        <v>540078</v>
      </c>
      <c r="B83" s="2" t="s">
        <v>709</v>
      </c>
      <c r="C83" s="2">
        <v>0</v>
      </c>
      <c r="D83" s="2">
        <v>114</v>
      </c>
      <c r="E83" s="2">
        <v>95</v>
      </c>
      <c r="F83" s="2" t="s">
        <v>1779</v>
      </c>
      <c r="G83" s="2" t="s">
        <v>1714</v>
      </c>
      <c r="H83" s="2" t="s">
        <v>1860</v>
      </c>
      <c r="I83" s="2" t="s">
        <v>709</v>
      </c>
      <c r="J83" s="2" t="s">
        <v>1716</v>
      </c>
      <c r="K83" s="2" t="s">
        <v>1716</v>
      </c>
      <c r="L83" s="2">
        <v>39</v>
      </c>
      <c r="M83" s="2">
        <v>54</v>
      </c>
    </row>
    <row r="84" spans="1:13" x14ac:dyDescent="0.25">
      <c r="A84" s="2">
        <v>540079</v>
      </c>
      <c r="B84" s="2" t="s">
        <v>710</v>
      </c>
      <c r="C84" s="2">
        <v>0</v>
      </c>
      <c r="D84" s="2">
        <v>115</v>
      </c>
      <c r="E84" s="2">
        <v>80</v>
      </c>
      <c r="F84" s="2" t="s">
        <v>1779</v>
      </c>
      <c r="G84" s="2" t="s">
        <v>1714</v>
      </c>
      <c r="H84" s="2" t="s">
        <v>1861</v>
      </c>
      <c r="I84" s="2" t="s">
        <v>710</v>
      </c>
      <c r="J84" s="2" t="s">
        <v>1716</v>
      </c>
      <c r="K84" s="2" t="s">
        <v>1716</v>
      </c>
      <c r="L84" s="2">
        <v>39</v>
      </c>
      <c r="M84" s="2">
        <v>54</v>
      </c>
    </row>
    <row r="85" spans="1:13" x14ac:dyDescent="0.25">
      <c r="A85" s="2">
        <v>540080</v>
      </c>
      <c r="B85" s="2" t="s">
        <v>1862</v>
      </c>
      <c r="C85" s="2">
        <v>0</v>
      </c>
      <c r="D85" s="2">
        <v>116</v>
      </c>
      <c r="E85" s="2">
        <v>87</v>
      </c>
      <c r="F85" s="2" t="s">
        <v>1863</v>
      </c>
      <c r="G85" s="2" t="s">
        <v>1714</v>
      </c>
      <c r="H85" s="2" t="s">
        <v>1864</v>
      </c>
      <c r="I85" s="2" t="s">
        <v>1862</v>
      </c>
      <c r="J85" s="2" t="s">
        <v>1716</v>
      </c>
      <c r="K85" s="2" t="s">
        <v>1716</v>
      </c>
      <c r="L85" s="2">
        <v>69</v>
      </c>
      <c r="M85" s="2">
        <v>54</v>
      </c>
    </row>
    <row r="86" spans="1:13" x14ac:dyDescent="0.25">
      <c r="A86" s="2">
        <v>540081</v>
      </c>
      <c r="B86" s="2" t="s">
        <v>711</v>
      </c>
      <c r="C86" s="2">
        <v>16</v>
      </c>
      <c r="D86" s="2">
        <v>117</v>
      </c>
      <c r="E86" s="2">
        <v>209</v>
      </c>
      <c r="F86" s="2" t="s">
        <v>1779</v>
      </c>
      <c r="G86" s="2" t="s">
        <v>1714</v>
      </c>
      <c r="H86" s="2" t="s">
        <v>1865</v>
      </c>
      <c r="I86" s="2" t="s">
        <v>711</v>
      </c>
      <c r="J86" s="2" t="s">
        <v>1716</v>
      </c>
      <c r="K86" s="2" t="s">
        <v>1716</v>
      </c>
      <c r="L86" s="2">
        <v>39</v>
      </c>
      <c r="M86" s="2">
        <v>54</v>
      </c>
    </row>
    <row r="87" spans="1:13" x14ac:dyDescent="0.25">
      <c r="A87" s="2">
        <v>540081</v>
      </c>
      <c r="B87" s="2" t="s">
        <v>711</v>
      </c>
      <c r="C87" s="2">
        <v>0</v>
      </c>
      <c r="D87" s="2">
        <v>118</v>
      </c>
      <c r="E87" s="2">
        <v>210</v>
      </c>
      <c r="F87" s="2" t="s">
        <v>1779</v>
      </c>
      <c r="G87" s="2" t="s">
        <v>1714</v>
      </c>
      <c r="H87" s="2" t="s">
        <v>1866</v>
      </c>
      <c r="I87" s="2" t="s">
        <v>711</v>
      </c>
      <c r="J87" s="2" t="s">
        <v>1716</v>
      </c>
      <c r="K87" s="2" t="s">
        <v>1716</v>
      </c>
      <c r="L87" s="2">
        <v>39</v>
      </c>
      <c r="M87" s="2">
        <v>54</v>
      </c>
    </row>
    <row r="88" spans="1:13" x14ac:dyDescent="0.25">
      <c r="A88" s="2">
        <v>540082</v>
      </c>
      <c r="B88" s="2" t="s">
        <v>712</v>
      </c>
      <c r="C88" s="2">
        <v>0</v>
      </c>
      <c r="D88" s="2">
        <v>119</v>
      </c>
      <c r="E88" s="2">
        <v>27</v>
      </c>
      <c r="F88" s="2" t="s">
        <v>1779</v>
      </c>
      <c r="G88" s="2" t="s">
        <v>1714</v>
      </c>
      <c r="H88" s="2" t="s">
        <v>1867</v>
      </c>
      <c r="I88" s="2" t="s">
        <v>712</v>
      </c>
      <c r="J88" s="2" t="s">
        <v>1716</v>
      </c>
      <c r="K88" s="2" t="s">
        <v>1716</v>
      </c>
      <c r="L88" s="2">
        <v>39</v>
      </c>
      <c r="M88" s="2">
        <v>54</v>
      </c>
    </row>
    <row r="89" spans="1:13" x14ac:dyDescent="0.25">
      <c r="A89" s="2">
        <v>540083</v>
      </c>
      <c r="B89" s="2" t="s">
        <v>713</v>
      </c>
      <c r="C89" s="2">
        <v>5</v>
      </c>
      <c r="D89" s="2">
        <v>120</v>
      </c>
      <c r="E89" s="2">
        <v>33</v>
      </c>
      <c r="F89" s="2" t="s">
        <v>1779</v>
      </c>
      <c r="G89" s="2" t="s">
        <v>1714</v>
      </c>
      <c r="H89" s="2" t="s">
        <v>1868</v>
      </c>
      <c r="I89" s="2" t="s">
        <v>713</v>
      </c>
      <c r="J89" s="2" t="s">
        <v>1716</v>
      </c>
      <c r="K89" s="2" t="s">
        <v>1716</v>
      </c>
      <c r="L89" s="2">
        <v>39</v>
      </c>
      <c r="M89" s="2">
        <v>54</v>
      </c>
    </row>
    <row r="90" spans="1:13" x14ac:dyDescent="0.25">
      <c r="A90" s="2">
        <v>540084</v>
      </c>
      <c r="B90" s="2" t="s">
        <v>1869</v>
      </c>
      <c r="C90" s="2">
        <v>0</v>
      </c>
      <c r="D90" s="2">
        <v>281</v>
      </c>
      <c r="E90" s="2">
        <v>195</v>
      </c>
      <c r="F90" s="2" t="s">
        <v>1737</v>
      </c>
      <c r="G90" s="2" t="s">
        <v>1714</v>
      </c>
      <c r="H90" s="2" t="s">
        <v>1870</v>
      </c>
      <c r="I90" s="2" t="s">
        <v>1869</v>
      </c>
      <c r="J90" s="2" t="s">
        <v>1716</v>
      </c>
      <c r="K90" s="2" t="s">
        <v>1716</v>
      </c>
      <c r="L90" s="2">
        <v>9</v>
      </c>
      <c r="M90" s="2">
        <v>54</v>
      </c>
    </row>
    <row r="91" spans="1:13" x14ac:dyDescent="0.25">
      <c r="A91" s="2">
        <v>540085</v>
      </c>
      <c r="B91" s="2" t="s">
        <v>1871</v>
      </c>
      <c r="C91" s="2">
        <v>4</v>
      </c>
      <c r="D91" s="2">
        <v>18</v>
      </c>
      <c r="E91" s="2">
        <v>7</v>
      </c>
      <c r="F91" s="2" t="s">
        <v>1872</v>
      </c>
      <c r="G91" s="2" t="s">
        <v>1714</v>
      </c>
      <c r="H91" s="2" t="s">
        <v>1873</v>
      </c>
      <c r="I91" s="2" t="s">
        <v>1871</v>
      </c>
      <c r="J91" s="2" t="s">
        <v>1716</v>
      </c>
      <c r="K91" s="2" t="s">
        <v>1716</v>
      </c>
      <c r="L91" s="2">
        <v>41</v>
      </c>
      <c r="M91" s="2">
        <v>54</v>
      </c>
    </row>
    <row r="92" spans="1:13" x14ac:dyDescent="0.25">
      <c r="A92" s="2">
        <v>540086</v>
      </c>
      <c r="B92" s="2" t="s">
        <v>179</v>
      </c>
      <c r="C92" s="2">
        <v>0</v>
      </c>
      <c r="D92" s="2">
        <v>121</v>
      </c>
      <c r="E92" s="2">
        <v>129</v>
      </c>
      <c r="F92" s="2" t="s">
        <v>1872</v>
      </c>
      <c r="G92" s="2" t="s">
        <v>1714</v>
      </c>
      <c r="H92" s="2" t="s">
        <v>1874</v>
      </c>
      <c r="I92" s="2" t="s">
        <v>179</v>
      </c>
      <c r="J92" s="2" t="s">
        <v>1716</v>
      </c>
      <c r="K92" s="2" t="s">
        <v>1716</v>
      </c>
      <c r="L92" s="2">
        <v>41</v>
      </c>
      <c r="M92" s="2">
        <v>54</v>
      </c>
    </row>
    <row r="93" spans="1:13" x14ac:dyDescent="0.25">
      <c r="A93" s="2">
        <v>540087</v>
      </c>
      <c r="B93" s="2" t="s">
        <v>1875</v>
      </c>
      <c r="C93" s="2">
        <v>4</v>
      </c>
      <c r="D93" s="2">
        <v>122</v>
      </c>
      <c r="E93" s="2">
        <v>74</v>
      </c>
      <c r="F93" s="2" t="s">
        <v>1872</v>
      </c>
      <c r="G93" s="2" t="s">
        <v>1714</v>
      </c>
      <c r="H93" s="2" t="s">
        <v>1876</v>
      </c>
      <c r="I93" s="2" t="s">
        <v>1875</v>
      </c>
      <c r="J93" s="2" t="s">
        <v>1716</v>
      </c>
      <c r="K93" s="2" t="s">
        <v>1716</v>
      </c>
      <c r="L93" s="2">
        <v>41</v>
      </c>
      <c r="M93" s="2">
        <v>54</v>
      </c>
    </row>
    <row r="94" spans="1:13" x14ac:dyDescent="0.25">
      <c r="A94" s="2">
        <v>540088</v>
      </c>
      <c r="B94" s="2" t="s">
        <v>720</v>
      </c>
      <c r="C94" s="2">
        <v>17</v>
      </c>
      <c r="D94" s="2">
        <v>19</v>
      </c>
      <c r="E94" s="2">
        <v>10</v>
      </c>
      <c r="F94" s="2" t="s">
        <v>1877</v>
      </c>
      <c r="G94" s="2" t="s">
        <v>1714</v>
      </c>
      <c r="H94" s="2" t="s">
        <v>1878</v>
      </c>
      <c r="I94" s="2" t="s">
        <v>720</v>
      </c>
      <c r="J94" s="2" t="s">
        <v>1879</v>
      </c>
      <c r="K94" s="2" t="s">
        <v>1716</v>
      </c>
      <c r="L94" s="2">
        <v>43</v>
      </c>
      <c r="M94" s="2">
        <v>54</v>
      </c>
    </row>
    <row r="95" spans="1:13" x14ac:dyDescent="0.25">
      <c r="A95" s="2">
        <v>540089</v>
      </c>
      <c r="B95" s="2" t="s">
        <v>721</v>
      </c>
      <c r="C95" s="2">
        <v>2</v>
      </c>
      <c r="D95" s="2">
        <v>123</v>
      </c>
      <c r="E95" s="2">
        <v>119</v>
      </c>
      <c r="F95" s="2" t="s">
        <v>1877</v>
      </c>
      <c r="G95" s="2" t="s">
        <v>1714</v>
      </c>
      <c r="H95" s="2" t="s">
        <v>1880</v>
      </c>
      <c r="I95" s="2" t="s">
        <v>721</v>
      </c>
      <c r="J95" s="2" t="s">
        <v>1716</v>
      </c>
      <c r="K95" s="2" t="s">
        <v>1716</v>
      </c>
      <c r="L95" s="2">
        <v>43</v>
      </c>
      <c r="M95" s="2">
        <v>54</v>
      </c>
    </row>
    <row r="96" spans="1:13" x14ac:dyDescent="0.25">
      <c r="A96" s="2">
        <v>540090</v>
      </c>
      <c r="B96" s="2" t="s">
        <v>722</v>
      </c>
      <c r="C96" s="2">
        <v>0</v>
      </c>
      <c r="D96" s="2">
        <v>124</v>
      </c>
      <c r="E96" s="2">
        <v>120</v>
      </c>
      <c r="F96" s="2" t="s">
        <v>1877</v>
      </c>
      <c r="G96" s="2" t="s">
        <v>1714</v>
      </c>
      <c r="H96" s="2" t="s">
        <v>1881</v>
      </c>
      <c r="I96" s="2" t="s">
        <v>722</v>
      </c>
      <c r="J96" s="2" t="s">
        <v>1716</v>
      </c>
      <c r="K96" s="2" t="s">
        <v>1716</v>
      </c>
      <c r="L96" s="2">
        <v>43</v>
      </c>
      <c r="M96" s="2">
        <v>54</v>
      </c>
    </row>
    <row r="97" spans="1:13" x14ac:dyDescent="0.25">
      <c r="A97" s="2">
        <v>540091</v>
      </c>
      <c r="B97" s="2" t="s">
        <v>772</v>
      </c>
      <c r="C97" s="2">
        <v>0</v>
      </c>
      <c r="D97" s="2">
        <v>278</v>
      </c>
      <c r="E97" s="2">
        <v>13</v>
      </c>
      <c r="F97" s="2" t="s">
        <v>1882</v>
      </c>
      <c r="G97" s="2" t="s">
        <v>1714</v>
      </c>
      <c r="H97" s="2" t="s">
        <v>1883</v>
      </c>
      <c r="I97" s="2" t="s">
        <v>772</v>
      </c>
      <c r="J97" s="2" t="s">
        <v>1716</v>
      </c>
      <c r="K97" s="2" t="s">
        <v>1716</v>
      </c>
      <c r="L97" s="2">
        <v>57</v>
      </c>
      <c r="M97" s="2">
        <v>54</v>
      </c>
    </row>
    <row r="98" spans="1:13" x14ac:dyDescent="0.25">
      <c r="A98" s="2">
        <v>540092</v>
      </c>
      <c r="B98" s="2" t="s">
        <v>1884</v>
      </c>
      <c r="C98" s="2">
        <v>0</v>
      </c>
      <c r="D98" s="2">
        <v>125</v>
      </c>
      <c r="E98" s="2">
        <v>82</v>
      </c>
      <c r="F98" s="2" t="s">
        <v>1885</v>
      </c>
      <c r="G98" s="2" t="s">
        <v>1714</v>
      </c>
      <c r="H98" s="2" t="s">
        <v>1886</v>
      </c>
      <c r="I98" s="2" t="s">
        <v>1884</v>
      </c>
      <c r="J98" s="2" t="s">
        <v>1716</v>
      </c>
      <c r="K98" s="2" t="s">
        <v>1716</v>
      </c>
      <c r="L98" s="2">
        <v>45</v>
      </c>
      <c r="M98" s="2">
        <v>54</v>
      </c>
    </row>
    <row r="99" spans="1:13" x14ac:dyDescent="0.25">
      <c r="A99" s="2">
        <v>540093</v>
      </c>
      <c r="B99" s="2" t="s">
        <v>1887</v>
      </c>
      <c r="C99" s="2">
        <v>0</v>
      </c>
      <c r="D99" s="2">
        <v>126</v>
      </c>
      <c r="E99" s="2">
        <v>55</v>
      </c>
      <c r="F99" s="2" t="s">
        <v>1737</v>
      </c>
      <c r="G99" s="2" t="s">
        <v>1714</v>
      </c>
      <c r="H99" s="2" t="s">
        <v>1888</v>
      </c>
      <c r="I99" s="2" t="s">
        <v>1887</v>
      </c>
      <c r="J99" s="2" t="s">
        <v>1716</v>
      </c>
      <c r="K99" s="2" t="s">
        <v>1716</v>
      </c>
      <c r="L99" s="2">
        <v>9</v>
      </c>
      <c r="M99" s="2">
        <v>54</v>
      </c>
    </row>
    <row r="100" spans="1:13" x14ac:dyDescent="0.25">
      <c r="A100" s="2">
        <v>540094</v>
      </c>
      <c r="B100" s="2" t="s">
        <v>1889</v>
      </c>
      <c r="C100" s="2">
        <v>0</v>
      </c>
      <c r="D100" s="2">
        <v>127</v>
      </c>
      <c r="E100" s="2">
        <v>189</v>
      </c>
      <c r="F100" s="2" t="s">
        <v>1863</v>
      </c>
      <c r="G100" s="2" t="s">
        <v>1714</v>
      </c>
      <c r="H100" s="2" t="s">
        <v>1890</v>
      </c>
      <c r="I100" s="2" t="s">
        <v>1889</v>
      </c>
      <c r="J100" s="2" t="s">
        <v>1716</v>
      </c>
      <c r="K100" s="2" t="s">
        <v>1716</v>
      </c>
      <c r="L100" s="2">
        <v>69</v>
      </c>
      <c r="M100" s="2">
        <v>54</v>
      </c>
    </row>
    <row r="101" spans="1:13" x14ac:dyDescent="0.25">
      <c r="A101" s="2">
        <v>540095</v>
      </c>
      <c r="B101" s="2" t="s">
        <v>1891</v>
      </c>
      <c r="C101" s="2">
        <v>1</v>
      </c>
      <c r="D101" s="2">
        <v>128</v>
      </c>
      <c r="E101" s="2">
        <v>149</v>
      </c>
      <c r="F101" s="2" t="s">
        <v>1885</v>
      </c>
      <c r="G101" s="2" t="s">
        <v>1714</v>
      </c>
      <c r="H101" s="2" t="s">
        <v>1892</v>
      </c>
      <c r="I101" s="2" t="s">
        <v>1891</v>
      </c>
      <c r="J101" s="2" t="s">
        <v>1716</v>
      </c>
      <c r="K101" s="2" t="s">
        <v>1716</v>
      </c>
      <c r="L101" s="2">
        <v>45</v>
      </c>
      <c r="M101" s="2">
        <v>54</v>
      </c>
    </row>
    <row r="102" spans="1:13" x14ac:dyDescent="0.25">
      <c r="A102" s="2">
        <v>540097</v>
      </c>
      <c r="B102" s="2" t="s">
        <v>1893</v>
      </c>
      <c r="C102" s="2">
        <v>11</v>
      </c>
      <c r="D102" s="2">
        <v>20</v>
      </c>
      <c r="E102" s="2">
        <v>50</v>
      </c>
      <c r="F102" s="2" t="s">
        <v>1894</v>
      </c>
      <c r="G102" s="2" t="s">
        <v>1714</v>
      </c>
      <c r="H102" s="2" t="s">
        <v>1895</v>
      </c>
      <c r="I102" s="2" t="s">
        <v>1893</v>
      </c>
      <c r="J102" s="2" t="s">
        <v>1716</v>
      </c>
      <c r="K102" s="2" t="s">
        <v>1716</v>
      </c>
      <c r="L102" s="2">
        <v>49</v>
      </c>
      <c r="M102" s="2">
        <v>54</v>
      </c>
    </row>
    <row r="103" spans="1:13" x14ac:dyDescent="0.25">
      <c r="A103" s="2">
        <v>540098</v>
      </c>
      <c r="B103" s="2" t="s">
        <v>724</v>
      </c>
      <c r="C103" s="2">
        <v>0</v>
      </c>
      <c r="D103" s="2">
        <v>129</v>
      </c>
      <c r="E103" s="2">
        <v>51</v>
      </c>
      <c r="F103" s="2" t="s">
        <v>1894</v>
      </c>
      <c r="G103" s="2" t="s">
        <v>1714</v>
      </c>
      <c r="H103" s="2" t="s">
        <v>1896</v>
      </c>
      <c r="I103" s="2" t="s">
        <v>724</v>
      </c>
      <c r="J103" s="2" t="s">
        <v>1716</v>
      </c>
      <c r="K103" s="2" t="s">
        <v>1716</v>
      </c>
      <c r="L103" s="2">
        <v>49</v>
      </c>
      <c r="M103" s="2">
        <v>54</v>
      </c>
    </row>
    <row r="104" spans="1:13" x14ac:dyDescent="0.25">
      <c r="A104" s="2">
        <v>540099</v>
      </c>
      <c r="B104" s="2" t="s">
        <v>725</v>
      </c>
      <c r="C104" s="2">
        <v>0</v>
      </c>
      <c r="D104" s="2">
        <v>130</v>
      </c>
      <c r="E104" s="2">
        <v>100</v>
      </c>
      <c r="F104" s="2" t="s">
        <v>1894</v>
      </c>
      <c r="G104" s="2" t="s">
        <v>1714</v>
      </c>
      <c r="H104" s="2" t="s">
        <v>1897</v>
      </c>
      <c r="I104" s="2" t="s">
        <v>725</v>
      </c>
      <c r="J104" s="2" t="s">
        <v>1716</v>
      </c>
      <c r="K104" s="2" t="s">
        <v>1716</v>
      </c>
      <c r="L104" s="2">
        <v>49</v>
      </c>
      <c r="M104" s="2">
        <v>54</v>
      </c>
    </row>
    <row r="105" spans="1:13" x14ac:dyDescent="0.25">
      <c r="A105" s="2">
        <v>540100</v>
      </c>
      <c r="B105" s="2" t="s">
        <v>726</v>
      </c>
      <c r="C105" s="2">
        <v>0</v>
      </c>
      <c r="D105" s="2">
        <v>131</v>
      </c>
      <c r="E105" s="2">
        <v>101</v>
      </c>
      <c r="F105" s="2" t="s">
        <v>1894</v>
      </c>
      <c r="G105" s="2" t="s">
        <v>1714</v>
      </c>
      <c r="H105" s="2" t="s">
        <v>1898</v>
      </c>
      <c r="I105" s="2" t="s">
        <v>726</v>
      </c>
      <c r="J105" s="2" t="s">
        <v>1716</v>
      </c>
      <c r="K105" s="2" t="s">
        <v>1716</v>
      </c>
      <c r="L105" s="2">
        <v>49</v>
      </c>
      <c r="M105" s="2">
        <v>54</v>
      </c>
    </row>
    <row r="106" spans="1:13" x14ac:dyDescent="0.25">
      <c r="A106" s="2">
        <v>540101</v>
      </c>
      <c r="B106" s="2" t="s">
        <v>727</v>
      </c>
      <c r="C106" s="2">
        <v>1</v>
      </c>
      <c r="D106" s="2">
        <v>132</v>
      </c>
      <c r="E106" s="2">
        <v>102</v>
      </c>
      <c r="F106" s="2" t="s">
        <v>1894</v>
      </c>
      <c r="G106" s="2" t="s">
        <v>1714</v>
      </c>
      <c r="H106" s="2" t="s">
        <v>1899</v>
      </c>
      <c r="I106" s="2" t="s">
        <v>727</v>
      </c>
      <c r="J106" s="2" t="s">
        <v>1716</v>
      </c>
      <c r="K106" s="2" t="s">
        <v>1716</v>
      </c>
      <c r="L106" s="2">
        <v>49</v>
      </c>
      <c r="M106" s="2">
        <v>54</v>
      </c>
    </row>
    <row r="107" spans="1:13" x14ac:dyDescent="0.25">
      <c r="A107" s="2">
        <v>540102</v>
      </c>
      <c r="B107" s="2" t="s">
        <v>728</v>
      </c>
      <c r="C107" s="2">
        <v>0</v>
      </c>
      <c r="D107" s="2">
        <v>133</v>
      </c>
      <c r="E107" s="2">
        <v>103</v>
      </c>
      <c r="F107" s="2" t="s">
        <v>1894</v>
      </c>
      <c r="G107" s="2" t="s">
        <v>1714</v>
      </c>
      <c r="H107" s="2" t="s">
        <v>1900</v>
      </c>
      <c r="I107" s="2" t="s">
        <v>728</v>
      </c>
      <c r="J107" s="2" t="s">
        <v>1716</v>
      </c>
      <c r="K107" s="2" t="s">
        <v>1716</v>
      </c>
      <c r="L107" s="2">
        <v>49</v>
      </c>
      <c r="M107" s="2">
        <v>54</v>
      </c>
    </row>
    <row r="108" spans="1:13" x14ac:dyDescent="0.25">
      <c r="A108" s="2">
        <v>540103</v>
      </c>
      <c r="B108" s="2" t="s">
        <v>729</v>
      </c>
      <c r="C108" s="2">
        <v>1</v>
      </c>
      <c r="D108" s="2">
        <v>134</v>
      </c>
      <c r="E108" s="2">
        <v>142</v>
      </c>
      <c r="F108" s="2" t="s">
        <v>1894</v>
      </c>
      <c r="G108" s="2" t="s">
        <v>1714</v>
      </c>
      <c r="H108" s="2" t="s">
        <v>1901</v>
      </c>
      <c r="I108" s="2" t="s">
        <v>729</v>
      </c>
      <c r="J108" s="2" t="s">
        <v>1716</v>
      </c>
      <c r="K108" s="2" t="s">
        <v>1716</v>
      </c>
      <c r="L108" s="2">
        <v>49</v>
      </c>
      <c r="M108" s="2">
        <v>54</v>
      </c>
    </row>
    <row r="109" spans="1:13" x14ac:dyDescent="0.25">
      <c r="A109" s="2">
        <v>540104</v>
      </c>
      <c r="B109" s="2" t="s">
        <v>730</v>
      </c>
      <c r="C109" s="2">
        <v>1</v>
      </c>
      <c r="D109" s="2">
        <v>135</v>
      </c>
      <c r="E109" s="2">
        <v>143</v>
      </c>
      <c r="F109" s="2" t="s">
        <v>1894</v>
      </c>
      <c r="G109" s="2" t="s">
        <v>1714</v>
      </c>
      <c r="H109" s="2" t="s">
        <v>1902</v>
      </c>
      <c r="I109" s="2" t="s">
        <v>730</v>
      </c>
      <c r="J109" s="2" t="s">
        <v>1716</v>
      </c>
      <c r="K109" s="2" t="s">
        <v>1716</v>
      </c>
      <c r="L109" s="2">
        <v>49</v>
      </c>
      <c r="M109" s="2">
        <v>54</v>
      </c>
    </row>
    <row r="110" spans="1:13" x14ac:dyDescent="0.25">
      <c r="A110" s="2">
        <v>540105</v>
      </c>
      <c r="B110" s="2" t="s">
        <v>731</v>
      </c>
      <c r="C110" s="2">
        <v>0</v>
      </c>
      <c r="D110" s="2">
        <v>136</v>
      </c>
      <c r="E110" s="2">
        <v>163</v>
      </c>
      <c r="F110" s="2" t="s">
        <v>1894</v>
      </c>
      <c r="G110" s="2" t="s">
        <v>1714</v>
      </c>
      <c r="H110" s="2" t="s">
        <v>1903</v>
      </c>
      <c r="I110" s="2" t="s">
        <v>731</v>
      </c>
      <c r="J110" s="2" t="s">
        <v>1716</v>
      </c>
      <c r="K110" s="2" t="s">
        <v>1716</v>
      </c>
      <c r="L110" s="2">
        <v>49</v>
      </c>
      <c r="M110" s="2">
        <v>54</v>
      </c>
    </row>
    <row r="111" spans="1:13" x14ac:dyDescent="0.25">
      <c r="A111" s="2">
        <v>540106</v>
      </c>
      <c r="B111" s="2" t="s">
        <v>732</v>
      </c>
      <c r="C111" s="2">
        <v>0</v>
      </c>
      <c r="D111" s="2">
        <v>137</v>
      </c>
      <c r="E111" s="2">
        <v>198</v>
      </c>
      <c r="F111" s="2" t="s">
        <v>1894</v>
      </c>
      <c r="G111" s="2" t="s">
        <v>1714</v>
      </c>
      <c r="H111" s="2" t="s">
        <v>1904</v>
      </c>
      <c r="I111" s="2" t="s">
        <v>732</v>
      </c>
      <c r="J111" s="2" t="s">
        <v>1716</v>
      </c>
      <c r="K111" s="2" t="s">
        <v>1716</v>
      </c>
      <c r="L111" s="2">
        <v>49</v>
      </c>
      <c r="M111" s="2">
        <v>54</v>
      </c>
    </row>
    <row r="112" spans="1:13" x14ac:dyDescent="0.25">
      <c r="A112" s="2">
        <v>540107</v>
      </c>
      <c r="B112" s="2" t="s">
        <v>1905</v>
      </c>
      <c r="C112" s="2">
        <v>6</v>
      </c>
      <c r="D112" s="2">
        <v>21</v>
      </c>
      <c r="E112" s="2">
        <v>37</v>
      </c>
      <c r="F112" s="2" t="s">
        <v>1906</v>
      </c>
      <c r="G112" s="2" t="s">
        <v>1714</v>
      </c>
      <c r="H112" s="2" t="s">
        <v>1907</v>
      </c>
      <c r="I112" s="2" t="s">
        <v>1905</v>
      </c>
      <c r="J112" s="2" t="s">
        <v>1716</v>
      </c>
      <c r="K112" s="2" t="s">
        <v>1716</v>
      </c>
      <c r="L112" s="2">
        <v>51</v>
      </c>
      <c r="M112" s="2">
        <v>54</v>
      </c>
    </row>
    <row r="113" spans="1:13" x14ac:dyDescent="0.25">
      <c r="A113" s="2">
        <v>540108</v>
      </c>
      <c r="B113" s="2" t="s">
        <v>1908</v>
      </c>
      <c r="C113" s="2">
        <v>0</v>
      </c>
      <c r="D113" s="2">
        <v>138</v>
      </c>
      <c r="E113" s="2">
        <v>216</v>
      </c>
      <c r="F113" s="2" t="s">
        <v>1906</v>
      </c>
      <c r="G113" s="2" t="s">
        <v>1714</v>
      </c>
      <c r="H113" s="2" t="s">
        <v>1909</v>
      </c>
      <c r="I113" s="2" t="s">
        <v>1908</v>
      </c>
      <c r="J113" s="2" t="s">
        <v>1716</v>
      </c>
      <c r="K113" s="2" t="s">
        <v>1716</v>
      </c>
      <c r="L113" s="2">
        <v>51</v>
      </c>
      <c r="M113" s="2">
        <v>54</v>
      </c>
    </row>
    <row r="114" spans="1:13" x14ac:dyDescent="0.25">
      <c r="A114" s="2">
        <v>540109</v>
      </c>
      <c r="B114" s="2" t="s">
        <v>1910</v>
      </c>
      <c r="C114" s="2">
        <v>1</v>
      </c>
      <c r="D114" s="2">
        <v>139</v>
      </c>
      <c r="E114" s="2">
        <v>113</v>
      </c>
      <c r="F114" s="2" t="s">
        <v>1906</v>
      </c>
      <c r="G114" s="2" t="s">
        <v>1714</v>
      </c>
      <c r="H114" s="2" t="s">
        <v>1911</v>
      </c>
      <c r="I114" s="2" t="s">
        <v>1910</v>
      </c>
      <c r="J114" s="2" t="s">
        <v>1716</v>
      </c>
      <c r="K114" s="2" t="s">
        <v>1716</v>
      </c>
      <c r="L114" s="2">
        <v>51</v>
      </c>
      <c r="M114" s="2">
        <v>54</v>
      </c>
    </row>
    <row r="115" spans="1:13" x14ac:dyDescent="0.25">
      <c r="A115" s="2">
        <v>540110</v>
      </c>
      <c r="B115" s="2" t="s">
        <v>1912</v>
      </c>
      <c r="C115" s="2">
        <v>0</v>
      </c>
      <c r="D115" s="2">
        <v>140</v>
      </c>
      <c r="E115" s="2">
        <v>220</v>
      </c>
      <c r="F115" s="2" t="s">
        <v>1906</v>
      </c>
      <c r="G115" s="2" t="s">
        <v>1714</v>
      </c>
      <c r="H115" s="2" t="s">
        <v>1913</v>
      </c>
      <c r="I115" s="2" t="s">
        <v>1912</v>
      </c>
      <c r="J115" s="2" t="s">
        <v>1716</v>
      </c>
      <c r="K115" s="2" t="s">
        <v>1716</v>
      </c>
      <c r="L115" s="2">
        <v>51</v>
      </c>
      <c r="M115" s="2">
        <v>54</v>
      </c>
    </row>
    <row r="116" spans="1:13" x14ac:dyDescent="0.25">
      <c r="A116" s="2">
        <v>540111</v>
      </c>
      <c r="B116" s="2" t="s">
        <v>1914</v>
      </c>
      <c r="C116" s="2">
        <v>1</v>
      </c>
      <c r="D116" s="2">
        <v>141</v>
      </c>
      <c r="E116" s="2">
        <v>227</v>
      </c>
      <c r="F116" s="2" t="s">
        <v>1906</v>
      </c>
      <c r="G116" s="2" t="s">
        <v>1714</v>
      </c>
      <c r="H116" s="2" t="s">
        <v>1915</v>
      </c>
      <c r="I116" s="2" t="s">
        <v>1914</v>
      </c>
      <c r="J116" s="2" t="s">
        <v>1716</v>
      </c>
      <c r="K116" s="2" t="s">
        <v>1716</v>
      </c>
      <c r="L116" s="2">
        <v>51</v>
      </c>
      <c r="M116" s="2">
        <v>54</v>
      </c>
    </row>
    <row r="117" spans="1:13" x14ac:dyDescent="0.25">
      <c r="A117" s="2">
        <v>540112</v>
      </c>
      <c r="B117" s="2" t="s">
        <v>49</v>
      </c>
      <c r="C117" s="2">
        <v>17</v>
      </c>
      <c r="D117" s="2">
        <v>22</v>
      </c>
      <c r="E117" s="2">
        <v>32</v>
      </c>
      <c r="F117" s="2" t="s">
        <v>1916</v>
      </c>
      <c r="G117" s="2" t="s">
        <v>1714</v>
      </c>
      <c r="H117" s="2" t="s">
        <v>1917</v>
      </c>
      <c r="I117" s="2" t="s">
        <v>49</v>
      </c>
      <c r="J117" s="2" t="s">
        <v>1716</v>
      </c>
      <c r="K117" s="2" t="s">
        <v>1716</v>
      </c>
      <c r="L117" s="2">
        <v>53</v>
      </c>
      <c r="M117" s="2">
        <v>54</v>
      </c>
    </row>
    <row r="118" spans="1:13" x14ac:dyDescent="0.25">
      <c r="A118" s="2">
        <v>540113</v>
      </c>
      <c r="B118" s="2" t="s">
        <v>1918</v>
      </c>
      <c r="C118" s="2">
        <v>0</v>
      </c>
      <c r="D118" s="2">
        <v>142</v>
      </c>
      <c r="E118" s="2">
        <v>133</v>
      </c>
      <c r="F118" s="2" t="s">
        <v>1916</v>
      </c>
      <c r="G118" s="2" t="s">
        <v>1714</v>
      </c>
      <c r="H118" s="2" t="s">
        <v>1919</v>
      </c>
      <c r="I118" s="2" t="s">
        <v>1918</v>
      </c>
      <c r="J118" s="2" t="s">
        <v>1716</v>
      </c>
      <c r="K118" s="2" t="s">
        <v>1716</v>
      </c>
      <c r="L118" s="2">
        <v>53</v>
      </c>
      <c r="M118" s="2">
        <v>54</v>
      </c>
    </row>
    <row r="119" spans="1:13" x14ac:dyDescent="0.25">
      <c r="A119" s="2">
        <v>540114</v>
      </c>
      <c r="B119" s="2" t="s">
        <v>1920</v>
      </c>
      <c r="C119" s="2">
        <v>7</v>
      </c>
      <c r="D119" s="2">
        <v>23</v>
      </c>
      <c r="E119" s="2">
        <v>41</v>
      </c>
      <c r="F119" s="2" t="s">
        <v>1921</v>
      </c>
      <c r="G119" s="2" t="s">
        <v>1714</v>
      </c>
      <c r="H119" s="2" t="s">
        <v>1922</v>
      </c>
      <c r="I119" s="2" t="s">
        <v>1920</v>
      </c>
      <c r="J119" s="2" t="s">
        <v>1716</v>
      </c>
      <c r="K119" s="2" t="s">
        <v>1716</v>
      </c>
      <c r="L119" s="2">
        <v>47</v>
      </c>
      <c r="M119" s="2">
        <v>54</v>
      </c>
    </row>
    <row r="120" spans="1:13" x14ac:dyDescent="0.25">
      <c r="A120" s="2">
        <v>540115</v>
      </c>
      <c r="B120" s="2" t="s">
        <v>750</v>
      </c>
      <c r="C120" s="2">
        <v>0</v>
      </c>
      <c r="D120" s="2">
        <v>143</v>
      </c>
      <c r="E120" s="2">
        <v>4</v>
      </c>
      <c r="F120" s="2" t="s">
        <v>1921</v>
      </c>
      <c r="G120" s="2" t="s">
        <v>1714</v>
      </c>
      <c r="H120" s="2" t="s">
        <v>1923</v>
      </c>
      <c r="I120" s="2" t="s">
        <v>750</v>
      </c>
      <c r="J120" s="2" t="s">
        <v>1716</v>
      </c>
      <c r="K120" s="2" t="s">
        <v>1716</v>
      </c>
      <c r="L120" s="2">
        <v>47</v>
      </c>
      <c r="M120" s="2">
        <v>54</v>
      </c>
    </row>
    <row r="121" spans="1:13" x14ac:dyDescent="0.25">
      <c r="A121" s="2">
        <v>540116</v>
      </c>
      <c r="B121" s="2" t="s">
        <v>751</v>
      </c>
      <c r="C121" s="2">
        <v>0</v>
      </c>
      <c r="D121" s="2">
        <v>144</v>
      </c>
      <c r="E121" s="2">
        <v>11</v>
      </c>
      <c r="F121" s="2" t="s">
        <v>1921</v>
      </c>
      <c r="G121" s="2" t="s">
        <v>1714</v>
      </c>
      <c r="H121" s="2" t="s">
        <v>1924</v>
      </c>
      <c r="I121" s="2" t="s">
        <v>751</v>
      </c>
      <c r="J121" s="2" t="s">
        <v>1716</v>
      </c>
      <c r="K121" s="2" t="s">
        <v>1716</v>
      </c>
      <c r="L121" s="2">
        <v>47</v>
      </c>
      <c r="M121" s="2">
        <v>54</v>
      </c>
    </row>
    <row r="122" spans="1:13" x14ac:dyDescent="0.25">
      <c r="A122" s="2">
        <v>540117</v>
      </c>
      <c r="B122" s="2" t="s">
        <v>752</v>
      </c>
      <c r="C122" s="2">
        <v>0</v>
      </c>
      <c r="D122" s="2">
        <v>145</v>
      </c>
      <c r="E122" s="2">
        <v>71</v>
      </c>
      <c r="F122" s="2" t="s">
        <v>1921</v>
      </c>
      <c r="G122" s="2" t="s">
        <v>1714</v>
      </c>
      <c r="H122" s="2" t="s">
        <v>1925</v>
      </c>
      <c r="I122" s="2" t="s">
        <v>752</v>
      </c>
      <c r="J122" s="2" t="s">
        <v>1716</v>
      </c>
      <c r="K122" s="2" t="s">
        <v>1716</v>
      </c>
      <c r="L122" s="2">
        <v>47</v>
      </c>
      <c r="M122" s="2">
        <v>54</v>
      </c>
    </row>
    <row r="123" spans="1:13" x14ac:dyDescent="0.25">
      <c r="A123" s="2">
        <v>540118</v>
      </c>
      <c r="B123" s="2" t="s">
        <v>753</v>
      </c>
      <c r="C123" s="2">
        <v>0</v>
      </c>
      <c r="D123" s="2">
        <v>146</v>
      </c>
      <c r="E123" s="2">
        <v>126</v>
      </c>
      <c r="F123" s="2" t="s">
        <v>1921</v>
      </c>
      <c r="G123" s="2" t="s">
        <v>1714</v>
      </c>
      <c r="H123" s="2" t="s">
        <v>1926</v>
      </c>
      <c r="I123" s="2" t="s">
        <v>753</v>
      </c>
      <c r="J123" s="2" t="s">
        <v>1716</v>
      </c>
      <c r="K123" s="2" t="s">
        <v>1716</v>
      </c>
      <c r="L123" s="2">
        <v>47</v>
      </c>
      <c r="M123" s="2">
        <v>54</v>
      </c>
    </row>
    <row r="124" spans="1:13" x14ac:dyDescent="0.25">
      <c r="A124" s="2">
        <v>540119</v>
      </c>
      <c r="B124" s="2" t="s">
        <v>754</v>
      </c>
      <c r="C124" s="2">
        <v>0</v>
      </c>
      <c r="D124" s="2">
        <v>147</v>
      </c>
      <c r="E124" s="2">
        <v>134</v>
      </c>
      <c r="F124" s="2" t="s">
        <v>1921</v>
      </c>
      <c r="G124" s="2" t="s">
        <v>1714</v>
      </c>
      <c r="H124" s="2" t="s">
        <v>1927</v>
      </c>
      <c r="I124" s="2" t="s">
        <v>754</v>
      </c>
      <c r="J124" s="2" t="s">
        <v>1716</v>
      </c>
      <c r="K124" s="2" t="s">
        <v>1716</v>
      </c>
      <c r="L124" s="2">
        <v>47</v>
      </c>
      <c r="M124" s="2">
        <v>54</v>
      </c>
    </row>
    <row r="125" spans="1:13" x14ac:dyDescent="0.25">
      <c r="A125" s="2">
        <v>540120</v>
      </c>
      <c r="B125" s="2" t="s">
        <v>755</v>
      </c>
      <c r="C125" s="2">
        <v>0</v>
      </c>
      <c r="D125" s="2">
        <v>148</v>
      </c>
      <c r="E125" s="2">
        <v>72</v>
      </c>
      <c r="F125" s="2" t="s">
        <v>1921</v>
      </c>
      <c r="G125" s="2" t="s">
        <v>1714</v>
      </c>
      <c r="H125" s="2" t="s">
        <v>1928</v>
      </c>
      <c r="I125" s="2" t="s">
        <v>755</v>
      </c>
      <c r="J125" s="2" t="s">
        <v>1716</v>
      </c>
      <c r="K125" s="2" t="s">
        <v>1716</v>
      </c>
      <c r="L125" s="2">
        <v>47</v>
      </c>
      <c r="M125" s="2">
        <v>54</v>
      </c>
    </row>
    <row r="126" spans="1:13" x14ac:dyDescent="0.25">
      <c r="A126" s="2">
        <v>540121</v>
      </c>
      <c r="B126" s="2" t="s">
        <v>756</v>
      </c>
      <c r="C126" s="2">
        <v>0</v>
      </c>
      <c r="D126" s="2">
        <v>149</v>
      </c>
      <c r="E126" s="2">
        <v>127</v>
      </c>
      <c r="F126" s="2" t="s">
        <v>1921</v>
      </c>
      <c r="G126" s="2" t="s">
        <v>1714</v>
      </c>
      <c r="H126" s="2" t="s">
        <v>1929</v>
      </c>
      <c r="I126" s="2" t="s">
        <v>756</v>
      </c>
      <c r="J126" s="2" t="s">
        <v>1716</v>
      </c>
      <c r="K126" s="2" t="s">
        <v>1716</v>
      </c>
      <c r="L126" s="2">
        <v>47</v>
      </c>
      <c r="M126" s="2">
        <v>54</v>
      </c>
    </row>
    <row r="127" spans="1:13" x14ac:dyDescent="0.25">
      <c r="A127" s="2">
        <v>540122</v>
      </c>
      <c r="B127" s="2" t="s">
        <v>757</v>
      </c>
      <c r="C127" s="2">
        <v>0</v>
      </c>
      <c r="D127" s="2">
        <v>150</v>
      </c>
      <c r="E127" s="2">
        <v>128</v>
      </c>
      <c r="F127" s="2" t="s">
        <v>1921</v>
      </c>
      <c r="G127" s="2" t="s">
        <v>1714</v>
      </c>
      <c r="H127" s="2" t="s">
        <v>1930</v>
      </c>
      <c r="I127" s="2" t="s">
        <v>757</v>
      </c>
      <c r="J127" s="2" t="s">
        <v>1716</v>
      </c>
      <c r="K127" s="2" t="s">
        <v>1716</v>
      </c>
      <c r="L127" s="2">
        <v>47</v>
      </c>
      <c r="M127" s="2">
        <v>54</v>
      </c>
    </row>
    <row r="128" spans="1:13" x14ac:dyDescent="0.25">
      <c r="A128" s="2">
        <v>540123</v>
      </c>
      <c r="B128" s="2" t="s">
        <v>758</v>
      </c>
      <c r="C128" s="2">
        <v>2</v>
      </c>
      <c r="D128" s="2">
        <v>151</v>
      </c>
      <c r="E128" s="2">
        <v>218</v>
      </c>
      <c r="F128" s="2" t="s">
        <v>1921</v>
      </c>
      <c r="G128" s="2" t="s">
        <v>1714</v>
      </c>
      <c r="H128" s="2" t="s">
        <v>1931</v>
      </c>
      <c r="I128" s="2" t="s">
        <v>758</v>
      </c>
      <c r="J128" s="2" t="s">
        <v>1716</v>
      </c>
      <c r="K128" s="2" t="s">
        <v>1716</v>
      </c>
      <c r="L128" s="2">
        <v>47</v>
      </c>
      <c r="M128" s="2">
        <v>54</v>
      </c>
    </row>
    <row r="129" spans="1:13" x14ac:dyDescent="0.25">
      <c r="A129" s="2">
        <v>540124</v>
      </c>
      <c r="B129" s="2" t="s">
        <v>53</v>
      </c>
      <c r="C129" s="2">
        <v>17</v>
      </c>
      <c r="D129" s="2">
        <v>24</v>
      </c>
      <c r="E129" s="2">
        <v>45</v>
      </c>
      <c r="F129" s="2" t="s">
        <v>1932</v>
      </c>
      <c r="G129" s="2" t="s">
        <v>1714</v>
      </c>
      <c r="H129" s="2" t="s">
        <v>1933</v>
      </c>
      <c r="I129" s="2" t="s">
        <v>53</v>
      </c>
      <c r="J129" s="2" t="s">
        <v>1751</v>
      </c>
      <c r="K129" s="2" t="s">
        <v>1716</v>
      </c>
      <c r="L129" s="2">
        <v>55</v>
      </c>
      <c r="M129" s="2">
        <v>54</v>
      </c>
    </row>
    <row r="130" spans="1:13" x14ac:dyDescent="0.25">
      <c r="A130" s="2">
        <v>540125</v>
      </c>
      <c r="B130" s="2" t="s">
        <v>1934</v>
      </c>
      <c r="C130" s="2">
        <v>1</v>
      </c>
      <c r="D130" s="2">
        <v>152</v>
      </c>
      <c r="E130" s="2">
        <v>44</v>
      </c>
      <c r="F130" s="2" t="s">
        <v>1932</v>
      </c>
      <c r="G130" s="2" t="s">
        <v>1714</v>
      </c>
      <c r="H130" s="2" t="s">
        <v>1935</v>
      </c>
      <c r="I130" s="2" t="s">
        <v>1934</v>
      </c>
      <c r="J130" s="2" t="s">
        <v>1716</v>
      </c>
      <c r="K130" s="2" t="s">
        <v>1716</v>
      </c>
      <c r="L130" s="2">
        <v>55</v>
      </c>
      <c r="M130" s="2">
        <v>54</v>
      </c>
    </row>
    <row r="131" spans="1:13" x14ac:dyDescent="0.25">
      <c r="A131" s="2">
        <v>540126</v>
      </c>
      <c r="B131" s="2" t="s">
        <v>1936</v>
      </c>
      <c r="C131" s="2">
        <v>0</v>
      </c>
      <c r="D131" s="2">
        <v>153</v>
      </c>
      <c r="E131" s="2">
        <v>45</v>
      </c>
      <c r="F131" s="2" t="s">
        <v>1932</v>
      </c>
      <c r="G131" s="2" t="s">
        <v>1714</v>
      </c>
      <c r="H131" s="2" t="s">
        <v>1937</v>
      </c>
      <c r="I131" s="2" t="s">
        <v>1936</v>
      </c>
      <c r="J131" s="2" t="s">
        <v>1716</v>
      </c>
      <c r="K131" s="2" t="s">
        <v>1716</v>
      </c>
      <c r="L131" s="2">
        <v>55</v>
      </c>
      <c r="M131" s="2">
        <v>54</v>
      </c>
    </row>
    <row r="132" spans="1:13" x14ac:dyDescent="0.25">
      <c r="A132" s="2">
        <v>540127</v>
      </c>
      <c r="B132" s="2" t="s">
        <v>1938</v>
      </c>
      <c r="C132" s="2">
        <v>0</v>
      </c>
      <c r="D132" s="2">
        <v>154</v>
      </c>
      <c r="E132" s="2">
        <v>67</v>
      </c>
      <c r="F132" s="2" t="s">
        <v>1932</v>
      </c>
      <c r="G132" s="2" t="s">
        <v>1714</v>
      </c>
      <c r="H132" s="2" t="s">
        <v>1939</v>
      </c>
      <c r="I132" s="2" t="s">
        <v>1938</v>
      </c>
      <c r="J132" s="2" t="s">
        <v>1716</v>
      </c>
      <c r="K132" s="2" t="s">
        <v>1716</v>
      </c>
      <c r="L132" s="2">
        <v>55</v>
      </c>
      <c r="M132" s="2">
        <v>54</v>
      </c>
    </row>
    <row r="133" spans="1:13" x14ac:dyDescent="0.25">
      <c r="A133" s="2">
        <v>540128</v>
      </c>
      <c r="B133" s="2" t="s">
        <v>1940</v>
      </c>
      <c r="C133" s="2">
        <v>4</v>
      </c>
      <c r="D133" s="2">
        <v>155</v>
      </c>
      <c r="E133" s="2">
        <v>68</v>
      </c>
      <c r="F133" s="2" t="s">
        <v>1932</v>
      </c>
      <c r="G133" s="2" t="s">
        <v>1714</v>
      </c>
      <c r="H133" s="2" t="s">
        <v>1941</v>
      </c>
      <c r="I133" s="2" t="s">
        <v>1940</v>
      </c>
      <c r="J133" s="2" t="s">
        <v>1716</v>
      </c>
      <c r="K133" s="2" t="s">
        <v>1716</v>
      </c>
      <c r="L133" s="2">
        <v>55</v>
      </c>
      <c r="M133" s="2">
        <v>54</v>
      </c>
    </row>
    <row r="134" spans="1:13" x14ac:dyDescent="0.25">
      <c r="A134" s="2">
        <v>540129</v>
      </c>
      <c r="B134" s="2" t="s">
        <v>767</v>
      </c>
      <c r="C134" s="2">
        <v>12</v>
      </c>
      <c r="D134" s="2">
        <v>25</v>
      </c>
      <c r="E134" s="2">
        <v>46</v>
      </c>
      <c r="F134" s="2" t="s">
        <v>1882</v>
      </c>
      <c r="G134" s="2" t="s">
        <v>1714</v>
      </c>
      <c r="H134" s="2" t="s">
        <v>1942</v>
      </c>
      <c r="I134" s="2" t="s">
        <v>767</v>
      </c>
      <c r="J134" s="2" t="s">
        <v>1716</v>
      </c>
      <c r="K134" s="2" t="s">
        <v>1716</v>
      </c>
      <c r="L134" s="2">
        <v>57</v>
      </c>
      <c r="M134" s="2">
        <v>54</v>
      </c>
    </row>
    <row r="135" spans="1:13" x14ac:dyDescent="0.25">
      <c r="A135" s="2">
        <v>540130</v>
      </c>
      <c r="B135" s="2" t="s">
        <v>768</v>
      </c>
      <c r="C135" s="2">
        <v>2</v>
      </c>
      <c r="D135" s="2">
        <v>156</v>
      </c>
      <c r="E135" s="2">
        <v>223</v>
      </c>
      <c r="F135" s="2" t="s">
        <v>1882</v>
      </c>
      <c r="G135" s="2" t="s">
        <v>1714</v>
      </c>
      <c r="H135" s="2" t="s">
        <v>1943</v>
      </c>
      <c r="I135" s="2" t="s">
        <v>768</v>
      </c>
      <c r="J135" s="2" t="s">
        <v>1716</v>
      </c>
      <c r="K135" s="2" t="s">
        <v>1716</v>
      </c>
      <c r="L135" s="2">
        <v>57</v>
      </c>
      <c r="M135" s="2">
        <v>54</v>
      </c>
    </row>
    <row r="136" spans="1:13" x14ac:dyDescent="0.25">
      <c r="A136" s="2">
        <v>540131</v>
      </c>
      <c r="B136" s="2" t="s">
        <v>769</v>
      </c>
      <c r="C136" s="2">
        <v>0</v>
      </c>
      <c r="D136" s="2">
        <v>157</v>
      </c>
      <c r="E136" s="2">
        <v>224</v>
      </c>
      <c r="F136" s="2" t="s">
        <v>1882</v>
      </c>
      <c r="G136" s="2" t="s">
        <v>1714</v>
      </c>
      <c r="H136" s="2" t="s">
        <v>1944</v>
      </c>
      <c r="I136" s="2" t="s">
        <v>769</v>
      </c>
      <c r="J136" s="2" t="s">
        <v>1716</v>
      </c>
      <c r="K136" s="2" t="s">
        <v>1716</v>
      </c>
      <c r="L136" s="2">
        <v>57</v>
      </c>
      <c r="M136" s="2">
        <v>54</v>
      </c>
    </row>
    <row r="137" spans="1:13" x14ac:dyDescent="0.25">
      <c r="A137" s="2">
        <v>540132</v>
      </c>
      <c r="B137" s="2" t="s">
        <v>1945</v>
      </c>
      <c r="C137" s="2">
        <v>0</v>
      </c>
      <c r="D137" s="2">
        <v>158</v>
      </c>
      <c r="E137" s="2">
        <v>47</v>
      </c>
      <c r="F137" s="2" t="s">
        <v>1946</v>
      </c>
      <c r="G137" s="2" t="s">
        <v>1714</v>
      </c>
      <c r="H137" s="2" t="s">
        <v>1947</v>
      </c>
      <c r="I137" s="2" t="s">
        <v>1945</v>
      </c>
      <c r="J137" s="2" t="s">
        <v>1716</v>
      </c>
      <c r="K137" s="2" t="s">
        <v>1716</v>
      </c>
      <c r="L137" s="2">
        <v>85</v>
      </c>
      <c r="M137" s="2">
        <v>54</v>
      </c>
    </row>
    <row r="138" spans="1:13" x14ac:dyDescent="0.25">
      <c r="A138" s="2">
        <v>540133</v>
      </c>
      <c r="B138" s="2" t="s">
        <v>1948</v>
      </c>
      <c r="C138" s="2">
        <v>37</v>
      </c>
      <c r="D138" s="2">
        <v>26</v>
      </c>
      <c r="E138" s="2">
        <v>40</v>
      </c>
      <c r="F138" s="2" t="s">
        <v>1949</v>
      </c>
      <c r="G138" s="2" t="s">
        <v>1714</v>
      </c>
      <c r="H138" s="2" t="s">
        <v>1950</v>
      </c>
      <c r="I138" s="2" t="s">
        <v>1948</v>
      </c>
      <c r="J138" s="2" t="s">
        <v>1716</v>
      </c>
      <c r="K138" s="2" t="s">
        <v>1716</v>
      </c>
      <c r="L138" s="2">
        <v>59</v>
      </c>
      <c r="M138" s="2">
        <v>54</v>
      </c>
    </row>
    <row r="139" spans="1:13" x14ac:dyDescent="0.25">
      <c r="A139" s="2">
        <v>540134</v>
      </c>
      <c r="B139" s="2" t="s">
        <v>774</v>
      </c>
      <c r="C139" s="2">
        <v>3</v>
      </c>
      <c r="D139" s="2">
        <v>159</v>
      </c>
      <c r="E139" s="2">
        <v>92</v>
      </c>
      <c r="F139" s="2" t="s">
        <v>1949</v>
      </c>
      <c r="G139" s="2" t="s">
        <v>1714</v>
      </c>
      <c r="H139" s="2" t="s">
        <v>1951</v>
      </c>
      <c r="I139" s="2" t="s">
        <v>774</v>
      </c>
      <c r="J139" s="2" t="s">
        <v>1716</v>
      </c>
      <c r="K139" s="2" t="s">
        <v>1716</v>
      </c>
      <c r="L139" s="2">
        <v>59</v>
      </c>
      <c r="M139" s="2">
        <v>54</v>
      </c>
    </row>
    <row r="140" spans="1:13" x14ac:dyDescent="0.25">
      <c r="A140" s="2">
        <v>540135</v>
      </c>
      <c r="B140" s="2" t="s">
        <v>775</v>
      </c>
      <c r="C140" s="2">
        <v>0</v>
      </c>
      <c r="D140" s="2">
        <v>160</v>
      </c>
      <c r="E140" s="2">
        <v>14</v>
      </c>
      <c r="F140" s="2" t="s">
        <v>1949</v>
      </c>
      <c r="G140" s="2" t="s">
        <v>1714</v>
      </c>
      <c r="H140" s="2" t="s">
        <v>1952</v>
      </c>
      <c r="I140" s="2" t="s">
        <v>775</v>
      </c>
      <c r="J140" s="2" t="s">
        <v>1716</v>
      </c>
      <c r="K140" s="2" t="s">
        <v>1716</v>
      </c>
      <c r="L140" s="2">
        <v>59</v>
      </c>
      <c r="M140" s="2">
        <v>54</v>
      </c>
    </row>
    <row r="141" spans="1:13" x14ac:dyDescent="0.25">
      <c r="A141" s="2">
        <v>540136</v>
      </c>
      <c r="B141" s="2" t="s">
        <v>776</v>
      </c>
      <c r="C141" s="2">
        <v>6</v>
      </c>
      <c r="D141" s="2">
        <v>161</v>
      </c>
      <c r="E141" s="2">
        <v>222</v>
      </c>
      <c r="F141" s="2" t="s">
        <v>1949</v>
      </c>
      <c r="G141" s="2" t="s">
        <v>1714</v>
      </c>
      <c r="H141" s="2" t="s">
        <v>1953</v>
      </c>
      <c r="I141" s="2" t="s">
        <v>776</v>
      </c>
      <c r="J141" s="2" t="s">
        <v>1716</v>
      </c>
      <c r="K141" s="2" t="s">
        <v>1716</v>
      </c>
      <c r="L141" s="2">
        <v>59</v>
      </c>
      <c r="M141" s="2">
        <v>54</v>
      </c>
    </row>
    <row r="142" spans="1:13" x14ac:dyDescent="0.25">
      <c r="A142" s="2">
        <v>540137</v>
      </c>
      <c r="B142" s="2" t="s">
        <v>800</v>
      </c>
      <c r="C142" s="2">
        <v>0</v>
      </c>
      <c r="D142" s="2">
        <v>162</v>
      </c>
      <c r="E142" s="2">
        <v>173</v>
      </c>
      <c r="F142" s="2" t="s">
        <v>1954</v>
      </c>
      <c r="G142" s="2" t="s">
        <v>1714</v>
      </c>
      <c r="H142" s="2" t="s">
        <v>1955</v>
      </c>
      <c r="I142" s="2" t="s">
        <v>800</v>
      </c>
      <c r="J142" s="2" t="s">
        <v>1716</v>
      </c>
      <c r="K142" s="2" t="s">
        <v>1716</v>
      </c>
      <c r="L142" s="2">
        <v>77</v>
      </c>
      <c r="M142" s="2">
        <v>54</v>
      </c>
    </row>
    <row r="143" spans="1:13" x14ac:dyDescent="0.25">
      <c r="A143" s="2">
        <v>540138</v>
      </c>
      <c r="B143" s="2" t="s">
        <v>777</v>
      </c>
      <c r="C143" s="2">
        <v>3</v>
      </c>
      <c r="D143" s="2">
        <v>163</v>
      </c>
      <c r="E143" s="2">
        <v>238</v>
      </c>
      <c r="F143" s="2" t="s">
        <v>1949</v>
      </c>
      <c r="G143" s="2" t="s">
        <v>1714</v>
      </c>
      <c r="H143" s="2" t="s">
        <v>1956</v>
      </c>
      <c r="I143" s="2" t="s">
        <v>777</v>
      </c>
      <c r="J143" s="2" t="s">
        <v>1716</v>
      </c>
      <c r="K143" s="2" t="s">
        <v>1716</v>
      </c>
      <c r="L143" s="2">
        <v>59</v>
      </c>
      <c r="M143" s="2">
        <v>54</v>
      </c>
    </row>
    <row r="144" spans="1:13" x14ac:dyDescent="0.25">
      <c r="A144" s="2">
        <v>540139</v>
      </c>
      <c r="B144" s="2" t="s">
        <v>779</v>
      </c>
      <c r="C144" s="2">
        <v>2</v>
      </c>
      <c r="D144" s="2">
        <v>27</v>
      </c>
      <c r="E144" s="2">
        <v>11</v>
      </c>
      <c r="F144" s="2" t="s">
        <v>1957</v>
      </c>
      <c r="G144" s="2" t="s">
        <v>1714</v>
      </c>
      <c r="H144" s="2" t="s">
        <v>1958</v>
      </c>
      <c r="I144" s="2" t="s">
        <v>779</v>
      </c>
      <c r="J144" s="2" t="s">
        <v>1716</v>
      </c>
      <c r="K144" s="2" t="s">
        <v>1716</v>
      </c>
      <c r="L144" s="2">
        <v>61</v>
      </c>
      <c r="M144" s="2">
        <v>54</v>
      </c>
    </row>
    <row r="145" spans="1:13" x14ac:dyDescent="0.25">
      <c r="A145" s="2">
        <v>540140</v>
      </c>
      <c r="B145" s="2" t="s">
        <v>780</v>
      </c>
      <c r="C145" s="2">
        <v>0</v>
      </c>
      <c r="D145" s="2">
        <v>164</v>
      </c>
      <c r="E145" s="2">
        <v>217</v>
      </c>
      <c r="F145" s="2" t="s">
        <v>1957</v>
      </c>
      <c r="G145" s="2" t="s">
        <v>1714</v>
      </c>
      <c r="H145" s="2" t="s">
        <v>1959</v>
      </c>
      <c r="I145" s="2" t="s">
        <v>780</v>
      </c>
      <c r="J145" s="2" t="s">
        <v>1716</v>
      </c>
      <c r="K145" s="2" t="s">
        <v>1716</v>
      </c>
      <c r="L145" s="2">
        <v>61</v>
      </c>
      <c r="M145" s="2">
        <v>54</v>
      </c>
    </row>
    <row r="146" spans="1:13" x14ac:dyDescent="0.25">
      <c r="A146" s="2">
        <v>540141</v>
      </c>
      <c r="B146" s="2" t="s">
        <v>781</v>
      </c>
      <c r="C146" s="2">
        <v>8</v>
      </c>
      <c r="D146" s="2">
        <v>165</v>
      </c>
      <c r="E146" s="2">
        <v>155</v>
      </c>
      <c r="F146" s="2" t="s">
        <v>1957</v>
      </c>
      <c r="G146" s="2" t="s">
        <v>1714</v>
      </c>
      <c r="H146" s="2" t="s">
        <v>1960</v>
      </c>
      <c r="I146" s="2" t="s">
        <v>781</v>
      </c>
      <c r="J146" s="2" t="s">
        <v>1716</v>
      </c>
      <c r="K146" s="2" t="s">
        <v>1716</v>
      </c>
      <c r="L146" s="2">
        <v>61</v>
      </c>
      <c r="M146" s="2">
        <v>54</v>
      </c>
    </row>
    <row r="147" spans="1:13" x14ac:dyDescent="0.25">
      <c r="A147" s="2">
        <v>540143</v>
      </c>
      <c r="B147" s="2" t="s">
        <v>1961</v>
      </c>
      <c r="C147" s="2">
        <v>2</v>
      </c>
      <c r="D147" s="2">
        <v>166</v>
      </c>
      <c r="E147" s="2">
        <v>213</v>
      </c>
      <c r="F147" s="2" t="s">
        <v>1800</v>
      </c>
      <c r="G147" s="2" t="s">
        <v>1714</v>
      </c>
      <c r="H147" s="2" t="s">
        <v>1962</v>
      </c>
      <c r="I147" s="2" t="s">
        <v>1961</v>
      </c>
      <c r="J147" s="2" t="s">
        <v>1716</v>
      </c>
      <c r="K147" s="2" t="s">
        <v>1716</v>
      </c>
      <c r="L147" s="2">
        <v>63</v>
      </c>
      <c r="M147" s="2">
        <v>54</v>
      </c>
    </row>
    <row r="148" spans="1:13" x14ac:dyDescent="0.25">
      <c r="A148" s="2">
        <v>540144</v>
      </c>
      <c r="B148" s="2" t="s">
        <v>61</v>
      </c>
      <c r="C148" s="2">
        <v>8</v>
      </c>
      <c r="D148" s="2">
        <v>28</v>
      </c>
      <c r="E148" s="2">
        <v>33</v>
      </c>
      <c r="F148" s="2" t="s">
        <v>1724</v>
      </c>
      <c r="G148" s="2" t="s">
        <v>1714</v>
      </c>
      <c r="H148" s="2" t="s">
        <v>1963</v>
      </c>
      <c r="I148" s="2" t="s">
        <v>61</v>
      </c>
      <c r="J148" s="2" t="s">
        <v>1716</v>
      </c>
      <c r="K148" s="2" t="s">
        <v>1716</v>
      </c>
      <c r="L148" s="2">
        <v>65</v>
      </c>
      <c r="M148" s="2">
        <v>54</v>
      </c>
    </row>
    <row r="149" spans="1:13" x14ac:dyDescent="0.25">
      <c r="A149" s="2">
        <v>540146</v>
      </c>
      <c r="B149" s="2" t="s">
        <v>63</v>
      </c>
      <c r="C149" s="2">
        <v>2</v>
      </c>
      <c r="D149" s="2">
        <v>29</v>
      </c>
      <c r="E149" s="2">
        <v>54</v>
      </c>
      <c r="F149" s="2" t="s">
        <v>1964</v>
      </c>
      <c r="G149" s="2" t="s">
        <v>1714</v>
      </c>
      <c r="H149" s="2" t="s">
        <v>1965</v>
      </c>
      <c r="I149" s="2" t="s">
        <v>63</v>
      </c>
      <c r="J149" s="2" t="s">
        <v>1716</v>
      </c>
      <c r="K149" s="2" t="s">
        <v>1716</v>
      </c>
      <c r="L149" s="2">
        <v>67</v>
      </c>
      <c r="M149" s="2">
        <v>54</v>
      </c>
    </row>
    <row r="150" spans="1:13" x14ac:dyDescent="0.25">
      <c r="A150" s="2">
        <v>540147</v>
      </c>
      <c r="B150" s="2" t="s">
        <v>1966</v>
      </c>
      <c r="C150" s="2">
        <v>1</v>
      </c>
      <c r="D150" s="2">
        <v>167</v>
      </c>
      <c r="E150" s="2">
        <v>169</v>
      </c>
      <c r="F150" s="2" t="s">
        <v>1964</v>
      </c>
      <c r="G150" s="2" t="s">
        <v>1714</v>
      </c>
      <c r="H150" s="2" t="s">
        <v>1967</v>
      </c>
      <c r="I150" s="2" t="s">
        <v>1966</v>
      </c>
      <c r="J150" s="2" t="s">
        <v>1716</v>
      </c>
      <c r="K150" s="2" t="s">
        <v>1716</v>
      </c>
      <c r="L150" s="2">
        <v>67</v>
      </c>
      <c r="M150" s="2">
        <v>54</v>
      </c>
    </row>
    <row r="151" spans="1:13" x14ac:dyDescent="0.25">
      <c r="A151" s="2">
        <v>540148</v>
      </c>
      <c r="B151" s="2" t="s">
        <v>1968</v>
      </c>
      <c r="C151" s="2">
        <v>0</v>
      </c>
      <c r="D151" s="2">
        <v>168</v>
      </c>
      <c r="E151" s="2">
        <v>36</v>
      </c>
      <c r="F151" s="2" t="s">
        <v>1964</v>
      </c>
      <c r="G151" s="2" t="s">
        <v>1714</v>
      </c>
      <c r="H151" s="2" t="s">
        <v>1969</v>
      </c>
      <c r="I151" s="2" t="s">
        <v>1968</v>
      </c>
      <c r="J151" s="2" t="s">
        <v>1716</v>
      </c>
      <c r="K151" s="2" t="s">
        <v>1716</v>
      </c>
      <c r="L151" s="2">
        <v>67</v>
      </c>
      <c r="M151" s="2">
        <v>54</v>
      </c>
    </row>
    <row r="152" spans="1:13" x14ac:dyDescent="0.25">
      <c r="A152" s="2">
        <v>540149</v>
      </c>
      <c r="B152" s="2" t="s">
        <v>1970</v>
      </c>
      <c r="C152" s="2">
        <v>2</v>
      </c>
      <c r="D152" s="2">
        <v>30</v>
      </c>
      <c r="E152" s="2">
        <v>36</v>
      </c>
      <c r="F152" s="2" t="s">
        <v>1863</v>
      </c>
      <c r="G152" s="2" t="s">
        <v>1714</v>
      </c>
      <c r="H152" s="2" t="s">
        <v>1971</v>
      </c>
      <c r="I152" s="2" t="s">
        <v>1970</v>
      </c>
      <c r="J152" s="2" t="s">
        <v>1716</v>
      </c>
      <c r="K152" s="2" t="s">
        <v>1716</v>
      </c>
      <c r="L152" s="2">
        <v>69</v>
      </c>
      <c r="M152" s="2">
        <v>54</v>
      </c>
    </row>
    <row r="153" spans="1:13" x14ac:dyDescent="0.25">
      <c r="A153" s="2">
        <v>540150</v>
      </c>
      <c r="B153" s="2" t="s">
        <v>1972</v>
      </c>
      <c r="C153" s="2">
        <v>0</v>
      </c>
      <c r="D153" s="2">
        <v>169</v>
      </c>
      <c r="E153" s="2">
        <v>186</v>
      </c>
      <c r="F153" s="2" t="s">
        <v>1863</v>
      </c>
      <c r="G153" s="2" t="s">
        <v>1714</v>
      </c>
      <c r="H153" s="2" t="s">
        <v>1973</v>
      </c>
      <c r="I153" s="2" t="s">
        <v>1972</v>
      </c>
      <c r="J153" s="2" t="s">
        <v>1716</v>
      </c>
      <c r="K153" s="2" t="s">
        <v>1716</v>
      </c>
      <c r="L153" s="2">
        <v>69</v>
      </c>
      <c r="M153" s="2">
        <v>54</v>
      </c>
    </row>
    <row r="154" spans="1:13" x14ac:dyDescent="0.25">
      <c r="A154" s="2">
        <v>540151</v>
      </c>
      <c r="B154" s="2" t="s">
        <v>1974</v>
      </c>
      <c r="C154" s="2">
        <v>0</v>
      </c>
      <c r="D154" s="2">
        <v>170</v>
      </c>
      <c r="E154" s="2">
        <v>188</v>
      </c>
      <c r="F154" s="2" t="s">
        <v>1863</v>
      </c>
      <c r="G154" s="2" t="s">
        <v>1714</v>
      </c>
      <c r="H154" s="2" t="s">
        <v>1975</v>
      </c>
      <c r="I154" s="2" t="s">
        <v>1974</v>
      </c>
      <c r="J154" s="2" t="s">
        <v>1716</v>
      </c>
      <c r="K154" s="2" t="s">
        <v>1716</v>
      </c>
      <c r="L154" s="2">
        <v>69</v>
      </c>
      <c r="M154" s="2">
        <v>54</v>
      </c>
    </row>
    <row r="155" spans="1:13" x14ac:dyDescent="0.25">
      <c r="A155" s="2">
        <v>540152</v>
      </c>
      <c r="B155" s="2" t="s">
        <v>1976</v>
      </c>
      <c r="C155" s="2">
        <v>19</v>
      </c>
      <c r="D155" s="2">
        <v>171</v>
      </c>
      <c r="E155" s="2">
        <v>237</v>
      </c>
      <c r="F155" s="2" t="s">
        <v>1863</v>
      </c>
      <c r="G155" s="2" t="s">
        <v>1714</v>
      </c>
      <c r="H155" s="2" t="s">
        <v>1977</v>
      </c>
      <c r="I155" s="2" t="s">
        <v>1976</v>
      </c>
      <c r="J155" s="2" t="s">
        <v>1716</v>
      </c>
      <c r="K155" s="2" t="s">
        <v>1716</v>
      </c>
      <c r="L155" s="2">
        <v>51</v>
      </c>
      <c r="M155" s="2">
        <v>54</v>
      </c>
    </row>
    <row r="156" spans="1:13" x14ac:dyDescent="0.25">
      <c r="A156" s="2">
        <v>540152</v>
      </c>
      <c r="B156" s="2" t="s">
        <v>1976</v>
      </c>
      <c r="C156" s="2">
        <v>0</v>
      </c>
      <c r="D156" s="2">
        <v>283</v>
      </c>
      <c r="E156" s="2">
        <v>192</v>
      </c>
      <c r="F156" s="2" t="s">
        <v>1863</v>
      </c>
      <c r="G156" s="2" t="s">
        <v>1714</v>
      </c>
      <c r="H156" s="2" t="s">
        <v>1977</v>
      </c>
      <c r="I156" s="2" t="s">
        <v>1976</v>
      </c>
      <c r="J156" s="2" t="s">
        <v>1716</v>
      </c>
      <c r="K156" s="2" t="s">
        <v>1716</v>
      </c>
      <c r="L156" s="2">
        <v>51</v>
      </c>
      <c r="M156" s="2">
        <v>54</v>
      </c>
    </row>
    <row r="157" spans="1:13" x14ac:dyDescent="0.25">
      <c r="A157" s="2">
        <v>540153</v>
      </c>
      <c r="B157" s="2" t="s">
        <v>67</v>
      </c>
      <c r="C157" s="2">
        <v>7</v>
      </c>
      <c r="D157" s="2">
        <v>31</v>
      </c>
      <c r="E157" s="2">
        <v>9</v>
      </c>
      <c r="F157" s="2" t="s">
        <v>1978</v>
      </c>
      <c r="G157" s="2" t="s">
        <v>1714</v>
      </c>
      <c r="H157" s="2" t="s">
        <v>1979</v>
      </c>
      <c r="I157" s="2" t="s">
        <v>67</v>
      </c>
      <c r="J157" s="2" t="s">
        <v>1716</v>
      </c>
      <c r="K157" s="2" t="s">
        <v>1716</v>
      </c>
      <c r="L157" s="2">
        <v>71</v>
      </c>
      <c r="M157" s="2">
        <v>54</v>
      </c>
    </row>
    <row r="158" spans="1:13" x14ac:dyDescent="0.25">
      <c r="A158" s="2">
        <v>540154</v>
      </c>
      <c r="B158" s="2" t="s">
        <v>1980</v>
      </c>
      <c r="C158" s="2">
        <v>0</v>
      </c>
      <c r="D158" s="2">
        <v>172</v>
      </c>
      <c r="E158" s="2">
        <v>108</v>
      </c>
      <c r="F158" s="2" t="s">
        <v>1978</v>
      </c>
      <c r="G158" s="2" t="s">
        <v>1714</v>
      </c>
      <c r="H158" s="2" t="s">
        <v>1981</v>
      </c>
      <c r="I158" s="2" t="s">
        <v>1980</v>
      </c>
      <c r="J158" s="2" t="s">
        <v>1716</v>
      </c>
      <c r="K158" s="2" t="s">
        <v>1716</v>
      </c>
      <c r="L158" s="2">
        <v>71</v>
      </c>
      <c r="M158" s="2">
        <v>54</v>
      </c>
    </row>
    <row r="159" spans="1:13" x14ac:dyDescent="0.25">
      <c r="A159" s="2">
        <v>540155</v>
      </c>
      <c r="B159" s="2" t="s">
        <v>770</v>
      </c>
      <c r="C159" s="2">
        <v>0</v>
      </c>
      <c r="D159" s="2">
        <v>173</v>
      </c>
      <c r="E159" s="2">
        <v>231</v>
      </c>
      <c r="F159" s="2" t="s">
        <v>1882</v>
      </c>
      <c r="G159" s="2" t="s">
        <v>1714</v>
      </c>
      <c r="H159" s="2" t="s">
        <v>1982</v>
      </c>
      <c r="I159" s="2" t="s">
        <v>770</v>
      </c>
      <c r="J159" s="2" t="s">
        <v>1716</v>
      </c>
      <c r="K159" s="2" t="s">
        <v>1716</v>
      </c>
      <c r="L159" s="2">
        <v>57</v>
      </c>
      <c r="M159" s="2">
        <v>54</v>
      </c>
    </row>
    <row r="160" spans="1:13" x14ac:dyDescent="0.25">
      <c r="A160" s="2">
        <v>540156</v>
      </c>
      <c r="B160" s="2" t="s">
        <v>1983</v>
      </c>
      <c r="C160" s="2">
        <v>1</v>
      </c>
      <c r="D160" s="2">
        <v>174</v>
      </c>
      <c r="E160" s="2">
        <v>175</v>
      </c>
      <c r="F160" s="2" t="s">
        <v>1984</v>
      </c>
      <c r="G160" s="2" t="s">
        <v>1714</v>
      </c>
      <c r="H160" s="2" t="s">
        <v>1985</v>
      </c>
      <c r="I160" s="2" t="s">
        <v>1983</v>
      </c>
      <c r="J160" s="2" t="s">
        <v>1716</v>
      </c>
      <c r="K160" s="2" t="s">
        <v>1716</v>
      </c>
      <c r="L160" s="2">
        <v>73</v>
      </c>
      <c r="M160" s="2">
        <v>54</v>
      </c>
    </row>
    <row r="161" spans="1:13" x14ac:dyDescent="0.25">
      <c r="A161" s="2">
        <v>540158</v>
      </c>
      <c r="B161" s="2" t="s">
        <v>879</v>
      </c>
      <c r="C161" s="2">
        <v>1</v>
      </c>
      <c r="D161" s="2">
        <v>175</v>
      </c>
      <c r="E161" s="2">
        <v>93</v>
      </c>
      <c r="F161" s="2" t="s">
        <v>1986</v>
      </c>
      <c r="G161" s="2" t="s">
        <v>1714</v>
      </c>
      <c r="H161" s="2" t="s">
        <v>1987</v>
      </c>
      <c r="I161" s="2" t="s">
        <v>879</v>
      </c>
      <c r="J161" s="2" t="s">
        <v>1716</v>
      </c>
      <c r="K161" s="2" t="s">
        <v>1716</v>
      </c>
      <c r="L161" s="2">
        <v>75</v>
      </c>
      <c r="M161" s="2">
        <v>54</v>
      </c>
    </row>
    <row r="162" spans="1:13" x14ac:dyDescent="0.25">
      <c r="A162" s="2">
        <v>540159</v>
      </c>
      <c r="B162" s="2" t="s">
        <v>880</v>
      </c>
      <c r="C162" s="2">
        <v>6</v>
      </c>
      <c r="D162" s="2">
        <v>176</v>
      </c>
      <c r="E162" s="2">
        <v>20</v>
      </c>
      <c r="F162" s="2" t="s">
        <v>1986</v>
      </c>
      <c r="G162" s="2" t="s">
        <v>1714</v>
      </c>
      <c r="H162" s="2" t="s">
        <v>1988</v>
      </c>
      <c r="I162" s="2" t="s">
        <v>880</v>
      </c>
      <c r="J162" s="2" t="s">
        <v>1716</v>
      </c>
      <c r="K162" s="2" t="s">
        <v>1716</v>
      </c>
      <c r="L162" s="2">
        <v>75</v>
      </c>
      <c r="M162" s="2">
        <v>54</v>
      </c>
    </row>
    <row r="163" spans="1:13" x14ac:dyDescent="0.25">
      <c r="A163" s="2">
        <v>540160</v>
      </c>
      <c r="B163" s="2" t="s">
        <v>799</v>
      </c>
      <c r="C163" s="2">
        <v>6</v>
      </c>
      <c r="D163" s="2">
        <v>32</v>
      </c>
      <c r="E163" s="2">
        <v>26</v>
      </c>
      <c r="F163" s="2" t="s">
        <v>1954</v>
      </c>
      <c r="G163" s="2" t="s">
        <v>1714</v>
      </c>
      <c r="H163" s="2" t="s">
        <v>1989</v>
      </c>
      <c r="I163" s="2" t="s">
        <v>799</v>
      </c>
      <c r="J163" s="2" t="s">
        <v>1879</v>
      </c>
      <c r="K163" s="2" t="s">
        <v>1716</v>
      </c>
      <c r="L163" s="2">
        <v>77</v>
      </c>
      <c r="M163" s="2">
        <v>54</v>
      </c>
    </row>
    <row r="164" spans="1:13" x14ac:dyDescent="0.25">
      <c r="A164" s="2">
        <v>540161</v>
      </c>
      <c r="B164" s="2" t="s">
        <v>801</v>
      </c>
      <c r="C164" s="2">
        <v>0</v>
      </c>
      <c r="D164" s="2">
        <v>177</v>
      </c>
      <c r="E164" s="2">
        <v>2</v>
      </c>
      <c r="F164" s="2" t="s">
        <v>1954</v>
      </c>
      <c r="G164" s="2" t="s">
        <v>1714</v>
      </c>
      <c r="H164" s="2" t="s">
        <v>1990</v>
      </c>
      <c r="I164" s="2" t="s">
        <v>801</v>
      </c>
      <c r="J164" s="2" t="s">
        <v>1716</v>
      </c>
      <c r="K164" s="2" t="s">
        <v>1716</v>
      </c>
      <c r="L164" s="2">
        <v>77</v>
      </c>
      <c r="M164" s="2">
        <v>54</v>
      </c>
    </row>
    <row r="165" spans="1:13" x14ac:dyDescent="0.25">
      <c r="A165" s="2">
        <v>540162</v>
      </c>
      <c r="B165" s="2" t="s">
        <v>802</v>
      </c>
      <c r="C165" s="2">
        <v>0</v>
      </c>
      <c r="D165" s="2">
        <v>178</v>
      </c>
      <c r="E165" s="2">
        <v>76</v>
      </c>
      <c r="F165" s="2" t="s">
        <v>1954</v>
      </c>
      <c r="G165" s="2" t="s">
        <v>1714</v>
      </c>
      <c r="H165" s="2" t="s">
        <v>1991</v>
      </c>
      <c r="I165" s="2" t="s">
        <v>802</v>
      </c>
      <c r="J165" s="2" t="s">
        <v>1716</v>
      </c>
      <c r="K165" s="2" t="s">
        <v>1716</v>
      </c>
      <c r="L165" s="2">
        <v>77</v>
      </c>
      <c r="M165" s="2">
        <v>54</v>
      </c>
    </row>
    <row r="166" spans="1:13" x14ac:dyDescent="0.25">
      <c r="A166" s="2">
        <v>540163</v>
      </c>
      <c r="B166" s="2" t="s">
        <v>803</v>
      </c>
      <c r="C166" s="2">
        <v>1</v>
      </c>
      <c r="D166" s="2">
        <v>179</v>
      </c>
      <c r="E166" s="2">
        <v>172</v>
      </c>
      <c r="F166" s="2" t="s">
        <v>1954</v>
      </c>
      <c r="G166" s="2" t="s">
        <v>1714</v>
      </c>
      <c r="H166" s="2" t="s">
        <v>1992</v>
      </c>
      <c r="I166" s="2" t="s">
        <v>803</v>
      </c>
      <c r="J166" s="2" t="s">
        <v>1716</v>
      </c>
      <c r="K166" s="2" t="s">
        <v>1716</v>
      </c>
      <c r="L166" s="2">
        <v>77</v>
      </c>
      <c r="M166" s="2">
        <v>54</v>
      </c>
    </row>
    <row r="167" spans="1:13" x14ac:dyDescent="0.25">
      <c r="A167" s="2">
        <v>540164</v>
      </c>
      <c r="B167" s="2" t="s">
        <v>810</v>
      </c>
      <c r="C167" s="2">
        <v>33</v>
      </c>
      <c r="D167" s="2">
        <v>33</v>
      </c>
      <c r="E167" s="2">
        <v>12</v>
      </c>
      <c r="F167" s="2" t="s">
        <v>1779</v>
      </c>
      <c r="G167" s="2" t="s">
        <v>1714</v>
      </c>
      <c r="H167" s="2" t="s">
        <v>1993</v>
      </c>
      <c r="I167" s="2" t="s">
        <v>810</v>
      </c>
      <c r="J167" s="2" t="s">
        <v>1716</v>
      </c>
      <c r="K167" s="2" t="s">
        <v>1716</v>
      </c>
      <c r="L167" s="2">
        <v>39</v>
      </c>
      <c r="M167" s="2">
        <v>54</v>
      </c>
    </row>
    <row r="168" spans="1:13" x14ac:dyDescent="0.25">
      <c r="A168" s="2">
        <v>540165</v>
      </c>
      <c r="B168" s="2" t="s">
        <v>811</v>
      </c>
      <c r="C168" s="2">
        <v>2</v>
      </c>
      <c r="D168" s="2">
        <v>180</v>
      </c>
      <c r="E168" s="2">
        <v>48</v>
      </c>
      <c r="F168" s="2" t="s">
        <v>1994</v>
      </c>
      <c r="G168" s="2" t="s">
        <v>1714</v>
      </c>
      <c r="H168" s="2" t="s">
        <v>1995</v>
      </c>
      <c r="I168" s="2" t="s">
        <v>811</v>
      </c>
      <c r="J168" s="2" t="s">
        <v>1716</v>
      </c>
      <c r="K168" s="2" t="s">
        <v>1716</v>
      </c>
      <c r="L168" s="2">
        <v>79</v>
      </c>
      <c r="M168" s="2">
        <v>54</v>
      </c>
    </row>
    <row r="169" spans="1:13" x14ac:dyDescent="0.25">
      <c r="A169" s="2">
        <v>540166</v>
      </c>
      <c r="B169" s="2" t="s">
        <v>812</v>
      </c>
      <c r="C169" s="2">
        <v>9</v>
      </c>
      <c r="D169" s="2">
        <v>181</v>
      </c>
      <c r="E169" s="2">
        <v>49</v>
      </c>
      <c r="F169" s="2" t="s">
        <v>1994</v>
      </c>
      <c r="G169" s="2" t="s">
        <v>1714</v>
      </c>
      <c r="H169" s="2" t="s">
        <v>1996</v>
      </c>
      <c r="I169" s="2" t="s">
        <v>812</v>
      </c>
      <c r="J169" s="2" t="s">
        <v>1716</v>
      </c>
      <c r="K169" s="2" t="s">
        <v>1716</v>
      </c>
      <c r="L169" s="2">
        <v>79</v>
      </c>
      <c r="M169" s="2">
        <v>54</v>
      </c>
    </row>
    <row r="170" spans="1:13" x14ac:dyDescent="0.25">
      <c r="A170" s="2">
        <v>540167</v>
      </c>
      <c r="B170" s="2" t="s">
        <v>813</v>
      </c>
      <c r="C170" s="2">
        <v>1</v>
      </c>
      <c r="D170" s="2">
        <v>182</v>
      </c>
      <c r="E170" s="2">
        <v>17</v>
      </c>
      <c r="F170" s="2" t="s">
        <v>1994</v>
      </c>
      <c r="G170" s="2" t="s">
        <v>1714</v>
      </c>
      <c r="H170" s="2" t="s">
        <v>1997</v>
      </c>
      <c r="I170" s="2" t="s">
        <v>813</v>
      </c>
      <c r="J170" s="2" t="s">
        <v>1716</v>
      </c>
      <c r="K170" s="2" t="s">
        <v>1716</v>
      </c>
      <c r="L170" s="2">
        <v>79</v>
      </c>
      <c r="M170" s="2">
        <v>54</v>
      </c>
    </row>
    <row r="171" spans="1:13" x14ac:dyDescent="0.25">
      <c r="A171" s="2">
        <v>540168</v>
      </c>
      <c r="B171" s="2" t="s">
        <v>814</v>
      </c>
      <c r="C171" s="2">
        <v>1</v>
      </c>
      <c r="D171" s="2">
        <v>183</v>
      </c>
      <c r="E171" s="2">
        <v>230</v>
      </c>
      <c r="F171" s="2" t="s">
        <v>1994</v>
      </c>
      <c r="G171" s="2" t="s">
        <v>1714</v>
      </c>
      <c r="H171" s="2" t="s">
        <v>1998</v>
      </c>
      <c r="I171" s="2" t="s">
        <v>814</v>
      </c>
      <c r="J171" s="2" t="s">
        <v>1716</v>
      </c>
      <c r="K171" s="2" t="s">
        <v>1716</v>
      </c>
      <c r="L171" s="2">
        <v>79</v>
      </c>
      <c r="M171" s="2">
        <v>54</v>
      </c>
    </row>
    <row r="172" spans="1:13" x14ac:dyDescent="0.25">
      <c r="A172" s="2">
        <v>540169</v>
      </c>
      <c r="B172" s="2" t="s">
        <v>73</v>
      </c>
      <c r="C172" s="2">
        <v>11</v>
      </c>
      <c r="D172" s="2">
        <v>34</v>
      </c>
      <c r="E172" s="2">
        <v>49</v>
      </c>
      <c r="F172" s="2" t="s">
        <v>1999</v>
      </c>
      <c r="G172" s="2" t="s">
        <v>1714</v>
      </c>
      <c r="H172" s="2" t="s">
        <v>2000</v>
      </c>
      <c r="I172" s="2" t="s">
        <v>73</v>
      </c>
      <c r="J172" s="2" t="s">
        <v>1716</v>
      </c>
      <c r="K172" s="2" t="s">
        <v>1716</v>
      </c>
      <c r="L172" s="2">
        <v>81</v>
      </c>
      <c r="M172" s="2">
        <v>54</v>
      </c>
    </row>
    <row r="173" spans="1:13" x14ac:dyDescent="0.25">
      <c r="A173" s="2">
        <v>540170</v>
      </c>
      <c r="B173" s="2" t="s">
        <v>2001</v>
      </c>
      <c r="C173" s="2">
        <v>2</v>
      </c>
      <c r="D173" s="2">
        <v>184</v>
      </c>
      <c r="E173" s="2">
        <v>54</v>
      </c>
      <c r="F173" s="2" t="s">
        <v>1999</v>
      </c>
      <c r="G173" s="2" t="s">
        <v>1714</v>
      </c>
      <c r="H173" s="2" t="s">
        <v>2002</v>
      </c>
      <c r="I173" s="2" t="s">
        <v>2001</v>
      </c>
      <c r="J173" s="2" t="s">
        <v>1716</v>
      </c>
      <c r="K173" s="2" t="s">
        <v>1716</v>
      </c>
      <c r="L173" s="2">
        <v>81</v>
      </c>
      <c r="M173" s="2">
        <v>54</v>
      </c>
    </row>
    <row r="174" spans="1:13" x14ac:dyDescent="0.25">
      <c r="A174" s="2">
        <v>540171</v>
      </c>
      <c r="B174" s="2" t="s">
        <v>2003</v>
      </c>
      <c r="C174" s="2">
        <v>1</v>
      </c>
      <c r="D174" s="2">
        <v>185</v>
      </c>
      <c r="E174" s="2">
        <v>135</v>
      </c>
      <c r="F174" s="2" t="s">
        <v>1999</v>
      </c>
      <c r="G174" s="2" t="s">
        <v>1714</v>
      </c>
      <c r="H174" s="2" t="s">
        <v>2004</v>
      </c>
      <c r="I174" s="2" t="s">
        <v>2003</v>
      </c>
      <c r="J174" s="2" t="s">
        <v>1716</v>
      </c>
      <c r="K174" s="2" t="s">
        <v>1716</v>
      </c>
      <c r="L174" s="2">
        <v>81</v>
      </c>
      <c r="M174" s="2">
        <v>54</v>
      </c>
    </row>
    <row r="175" spans="1:13" x14ac:dyDescent="0.25">
      <c r="A175" s="2">
        <v>540172</v>
      </c>
      <c r="B175" s="2" t="s">
        <v>2005</v>
      </c>
      <c r="C175" s="2">
        <v>0</v>
      </c>
      <c r="D175" s="2">
        <v>186</v>
      </c>
      <c r="E175" s="2">
        <v>43</v>
      </c>
      <c r="F175" s="2" t="s">
        <v>1932</v>
      </c>
      <c r="G175" s="2" t="s">
        <v>1714</v>
      </c>
      <c r="H175" s="2" t="s">
        <v>2006</v>
      </c>
      <c r="I175" s="2" t="s">
        <v>2005</v>
      </c>
      <c r="J175" s="2" t="s">
        <v>1716</v>
      </c>
      <c r="K175" s="2" t="s">
        <v>1716</v>
      </c>
      <c r="L175" s="2">
        <v>55</v>
      </c>
      <c r="M175" s="2">
        <v>54</v>
      </c>
    </row>
    <row r="176" spans="1:13" x14ac:dyDescent="0.25">
      <c r="A176" s="2">
        <v>540173</v>
      </c>
      <c r="B176" s="2" t="s">
        <v>2007</v>
      </c>
      <c r="C176" s="2">
        <v>0</v>
      </c>
      <c r="D176" s="2">
        <v>187</v>
      </c>
      <c r="E176" s="2">
        <v>168</v>
      </c>
      <c r="F176" s="2" t="s">
        <v>1999</v>
      </c>
      <c r="G176" s="2" t="s">
        <v>1714</v>
      </c>
      <c r="H176" s="2" t="s">
        <v>2008</v>
      </c>
      <c r="I176" s="2" t="s">
        <v>2007</v>
      </c>
      <c r="J176" s="2" t="s">
        <v>1716</v>
      </c>
      <c r="K176" s="2" t="s">
        <v>1716</v>
      </c>
      <c r="L176" s="2">
        <v>81</v>
      </c>
      <c r="M176" s="2">
        <v>54</v>
      </c>
    </row>
    <row r="177" spans="1:13" x14ac:dyDescent="0.25">
      <c r="A177" s="2">
        <v>540174</v>
      </c>
      <c r="B177" s="2" t="s">
        <v>2009</v>
      </c>
      <c r="C177" s="2">
        <v>0</v>
      </c>
      <c r="D177" s="2">
        <v>188</v>
      </c>
      <c r="E177" s="2">
        <v>140</v>
      </c>
      <c r="F177" s="2" t="s">
        <v>1999</v>
      </c>
      <c r="G177" s="2" t="s">
        <v>1714</v>
      </c>
      <c r="H177" s="2" t="s">
        <v>2010</v>
      </c>
      <c r="I177" s="2" t="s">
        <v>2009</v>
      </c>
      <c r="J177" s="2" t="s">
        <v>1716</v>
      </c>
      <c r="K177" s="2" t="s">
        <v>1716</v>
      </c>
      <c r="L177" s="2">
        <v>81</v>
      </c>
      <c r="M177" s="2">
        <v>54</v>
      </c>
    </row>
    <row r="178" spans="1:13" x14ac:dyDescent="0.25">
      <c r="A178" s="2">
        <v>540175</v>
      </c>
      <c r="B178" s="2" t="s">
        <v>910</v>
      </c>
      <c r="C178" s="2">
        <v>13</v>
      </c>
      <c r="D178" s="2">
        <v>294</v>
      </c>
      <c r="E178" s="2">
        <v>6</v>
      </c>
      <c r="F178" s="2" t="s">
        <v>2011</v>
      </c>
      <c r="G178" s="2" t="s">
        <v>1714</v>
      </c>
      <c r="H178" s="2" t="s">
        <v>2012</v>
      </c>
      <c r="I178" s="2" t="s">
        <v>910</v>
      </c>
      <c r="J178" s="2" t="s">
        <v>1716</v>
      </c>
      <c r="K178" s="2" t="s">
        <v>1716</v>
      </c>
      <c r="L178" s="2">
        <v>83</v>
      </c>
      <c r="M178" s="2">
        <v>54</v>
      </c>
    </row>
    <row r="179" spans="1:13" x14ac:dyDescent="0.25">
      <c r="A179" s="2">
        <v>540176</v>
      </c>
      <c r="B179" s="2" t="s">
        <v>903</v>
      </c>
      <c r="C179" s="2">
        <v>1</v>
      </c>
      <c r="D179" s="2">
        <v>189</v>
      </c>
      <c r="E179" s="2">
        <v>197</v>
      </c>
      <c r="F179" s="2" t="s">
        <v>2011</v>
      </c>
      <c r="G179" s="2" t="s">
        <v>1714</v>
      </c>
      <c r="H179" s="2" t="s">
        <v>2013</v>
      </c>
      <c r="I179" s="2" t="s">
        <v>903</v>
      </c>
      <c r="J179" s="2" t="s">
        <v>2014</v>
      </c>
      <c r="K179" s="2" t="s">
        <v>1716</v>
      </c>
      <c r="L179" s="2">
        <v>83</v>
      </c>
      <c r="M179" s="2">
        <v>54</v>
      </c>
    </row>
    <row r="180" spans="1:13" x14ac:dyDescent="0.25">
      <c r="A180" s="2">
        <v>540177</v>
      </c>
      <c r="B180" s="2" t="s">
        <v>909</v>
      </c>
      <c r="C180" s="2">
        <v>2</v>
      </c>
      <c r="D180" s="2">
        <v>292</v>
      </c>
      <c r="E180" s="2">
        <v>64</v>
      </c>
      <c r="F180" s="2" t="s">
        <v>2011</v>
      </c>
      <c r="G180" s="2" t="s">
        <v>1714</v>
      </c>
      <c r="H180" s="2" t="s">
        <v>2015</v>
      </c>
      <c r="I180" s="2" t="s">
        <v>909</v>
      </c>
      <c r="J180" s="2" t="s">
        <v>1716</v>
      </c>
      <c r="K180" s="2" t="s">
        <v>1716</v>
      </c>
      <c r="L180" s="2">
        <v>83</v>
      </c>
      <c r="M180" s="2">
        <v>54</v>
      </c>
    </row>
    <row r="181" spans="1:13" x14ac:dyDescent="0.25">
      <c r="A181" s="2">
        <v>540178</v>
      </c>
      <c r="B181" s="2" t="s">
        <v>904</v>
      </c>
      <c r="C181" s="2">
        <v>0</v>
      </c>
      <c r="D181" s="2">
        <v>190</v>
      </c>
      <c r="E181" s="2">
        <v>121</v>
      </c>
      <c r="F181" s="2" t="s">
        <v>2011</v>
      </c>
      <c r="G181" s="2" t="s">
        <v>1714</v>
      </c>
      <c r="H181" s="2" t="s">
        <v>2016</v>
      </c>
      <c r="I181" s="2" t="s">
        <v>904</v>
      </c>
      <c r="J181" s="2" t="s">
        <v>1716</v>
      </c>
      <c r="K181" s="2" t="s">
        <v>1716</v>
      </c>
      <c r="L181" s="2">
        <v>83</v>
      </c>
      <c r="M181" s="2">
        <v>54</v>
      </c>
    </row>
    <row r="182" spans="1:13" x14ac:dyDescent="0.25">
      <c r="A182" s="2">
        <v>540179</v>
      </c>
      <c r="B182" s="2" t="s">
        <v>2017</v>
      </c>
      <c r="C182" s="2">
        <v>0</v>
      </c>
      <c r="D182" s="2">
        <v>191</v>
      </c>
      <c r="E182" s="2">
        <v>7</v>
      </c>
      <c r="F182" s="2" t="s">
        <v>1946</v>
      </c>
      <c r="G182" s="2" t="s">
        <v>1714</v>
      </c>
      <c r="H182" s="2" t="s">
        <v>2018</v>
      </c>
      <c r="I182" s="2" t="s">
        <v>2017</v>
      </c>
      <c r="J182" s="2" t="s">
        <v>1716</v>
      </c>
      <c r="K182" s="2" t="s">
        <v>1716</v>
      </c>
      <c r="L182" s="2">
        <v>85</v>
      </c>
      <c r="M182" s="2">
        <v>54</v>
      </c>
    </row>
    <row r="183" spans="1:13" x14ac:dyDescent="0.25">
      <c r="A183" s="2">
        <v>540180</v>
      </c>
      <c r="B183" s="2" t="s">
        <v>2019</v>
      </c>
      <c r="C183" s="2">
        <v>0</v>
      </c>
      <c r="D183" s="2">
        <v>192</v>
      </c>
      <c r="E183" s="2">
        <v>98</v>
      </c>
      <c r="F183" s="2" t="s">
        <v>1946</v>
      </c>
      <c r="G183" s="2" t="s">
        <v>1714</v>
      </c>
      <c r="H183" s="2" t="s">
        <v>2020</v>
      </c>
      <c r="I183" s="2" t="s">
        <v>2019</v>
      </c>
      <c r="J183" s="2" t="s">
        <v>1716</v>
      </c>
      <c r="K183" s="2" t="s">
        <v>1716</v>
      </c>
      <c r="L183" s="2">
        <v>85</v>
      </c>
      <c r="M183" s="2">
        <v>54</v>
      </c>
    </row>
    <row r="184" spans="1:13" x14ac:dyDescent="0.25">
      <c r="A184" s="2">
        <v>540182</v>
      </c>
      <c r="B184" s="2" t="s">
        <v>2021</v>
      </c>
      <c r="C184" s="2">
        <v>0</v>
      </c>
      <c r="D184" s="2">
        <v>193</v>
      </c>
      <c r="E184" s="2">
        <v>99</v>
      </c>
      <c r="F184" s="2" t="s">
        <v>1946</v>
      </c>
      <c r="G184" s="2" t="s">
        <v>1714</v>
      </c>
      <c r="H184" s="2" t="s">
        <v>2022</v>
      </c>
      <c r="I184" s="2" t="s">
        <v>2021</v>
      </c>
      <c r="J184" s="2" t="s">
        <v>1716</v>
      </c>
      <c r="K184" s="2" t="s">
        <v>1716</v>
      </c>
      <c r="L184" s="2">
        <v>85</v>
      </c>
      <c r="M184" s="2">
        <v>54</v>
      </c>
    </row>
    <row r="185" spans="1:13" x14ac:dyDescent="0.25">
      <c r="A185" s="2">
        <v>540183</v>
      </c>
      <c r="B185" s="2" t="s">
        <v>77</v>
      </c>
      <c r="C185" s="2">
        <v>5</v>
      </c>
      <c r="D185" s="2">
        <v>35</v>
      </c>
      <c r="E185" s="2">
        <v>14</v>
      </c>
      <c r="F185" s="2" t="s">
        <v>2023</v>
      </c>
      <c r="G185" s="2" t="s">
        <v>1714</v>
      </c>
      <c r="H185" s="2" t="s">
        <v>2024</v>
      </c>
      <c r="I185" s="2" t="s">
        <v>77</v>
      </c>
      <c r="J185" s="2" t="s">
        <v>1840</v>
      </c>
      <c r="K185" s="2" t="s">
        <v>1716</v>
      </c>
      <c r="L185" s="2">
        <v>87</v>
      </c>
      <c r="M185" s="2">
        <v>54</v>
      </c>
    </row>
    <row r="186" spans="1:13" x14ac:dyDescent="0.25">
      <c r="A186" s="2">
        <v>540184</v>
      </c>
      <c r="B186" s="2" t="s">
        <v>2025</v>
      </c>
      <c r="C186" s="2">
        <v>0</v>
      </c>
      <c r="D186" s="2">
        <v>194</v>
      </c>
      <c r="E186" s="2">
        <v>167</v>
      </c>
      <c r="F186" s="2" t="s">
        <v>2023</v>
      </c>
      <c r="G186" s="2" t="s">
        <v>1714</v>
      </c>
      <c r="H186" s="2" t="s">
        <v>2026</v>
      </c>
      <c r="I186" s="2" t="s">
        <v>2025</v>
      </c>
      <c r="J186" s="2" t="s">
        <v>1716</v>
      </c>
      <c r="K186" s="2" t="s">
        <v>1716</v>
      </c>
      <c r="L186" s="2">
        <v>87</v>
      </c>
      <c r="M186" s="2">
        <v>54</v>
      </c>
    </row>
    <row r="187" spans="1:13" x14ac:dyDescent="0.25">
      <c r="A187" s="2">
        <v>540185</v>
      </c>
      <c r="B187" s="2" t="s">
        <v>2027</v>
      </c>
      <c r="C187" s="2">
        <v>3</v>
      </c>
      <c r="D187" s="2">
        <v>195</v>
      </c>
      <c r="E187" s="2">
        <v>182</v>
      </c>
      <c r="F187" s="2" t="s">
        <v>2023</v>
      </c>
      <c r="G187" s="2" t="s">
        <v>1714</v>
      </c>
      <c r="H187" s="2" t="s">
        <v>2028</v>
      </c>
      <c r="I187" s="2" t="s">
        <v>2027</v>
      </c>
      <c r="J187" s="2" t="s">
        <v>1716</v>
      </c>
      <c r="K187" s="2" t="s">
        <v>1716</v>
      </c>
      <c r="L187" s="2">
        <v>87</v>
      </c>
      <c r="M187" s="2">
        <v>54</v>
      </c>
    </row>
    <row r="188" spans="1:13" x14ac:dyDescent="0.25">
      <c r="A188" s="2">
        <v>540186</v>
      </c>
      <c r="B188" s="2" t="s">
        <v>826</v>
      </c>
      <c r="C188" s="2">
        <v>11</v>
      </c>
      <c r="D188" s="2">
        <v>36</v>
      </c>
      <c r="E188" s="2">
        <v>5</v>
      </c>
      <c r="F188" s="2" t="s">
        <v>2029</v>
      </c>
      <c r="G188" s="2" t="s">
        <v>1714</v>
      </c>
      <c r="H188" s="2" t="s">
        <v>2030</v>
      </c>
      <c r="I188" s="2" t="s">
        <v>826</v>
      </c>
      <c r="J188" s="2" t="s">
        <v>826</v>
      </c>
      <c r="K188" s="2" t="s">
        <v>1716</v>
      </c>
      <c r="L188" s="2">
        <v>89</v>
      </c>
      <c r="M188" s="2">
        <v>54</v>
      </c>
    </row>
    <row r="189" spans="1:13" x14ac:dyDescent="0.25">
      <c r="A189" s="2">
        <v>540187</v>
      </c>
      <c r="B189" s="2" t="s">
        <v>827</v>
      </c>
      <c r="C189" s="2">
        <v>0</v>
      </c>
      <c r="D189" s="2">
        <v>196</v>
      </c>
      <c r="E189" s="2">
        <v>221</v>
      </c>
      <c r="F189" s="2" t="s">
        <v>2029</v>
      </c>
      <c r="G189" s="2" t="s">
        <v>1714</v>
      </c>
      <c r="H189" s="2" t="s">
        <v>2031</v>
      </c>
      <c r="I189" s="2" t="s">
        <v>827</v>
      </c>
      <c r="J189" s="2" t="s">
        <v>826</v>
      </c>
      <c r="K189" s="2" t="s">
        <v>1716</v>
      </c>
      <c r="L189" s="2">
        <v>89</v>
      </c>
      <c r="M189" s="2">
        <v>54</v>
      </c>
    </row>
    <row r="190" spans="1:13" x14ac:dyDescent="0.25">
      <c r="A190" s="2">
        <v>540188</v>
      </c>
      <c r="B190" s="2" t="s">
        <v>2032</v>
      </c>
      <c r="C190" s="2">
        <v>0</v>
      </c>
      <c r="D190" s="2">
        <v>37</v>
      </c>
      <c r="E190" s="2">
        <v>27</v>
      </c>
      <c r="F190" s="2" t="s">
        <v>2033</v>
      </c>
      <c r="G190" s="2" t="s">
        <v>1714</v>
      </c>
      <c r="H190" s="2" t="s">
        <v>2034</v>
      </c>
      <c r="I190" s="2" t="s">
        <v>2032</v>
      </c>
      <c r="J190" s="2" t="s">
        <v>1716</v>
      </c>
      <c r="K190" s="2" t="s">
        <v>1716</v>
      </c>
      <c r="L190" s="2">
        <v>91</v>
      </c>
      <c r="M190" s="2">
        <v>54</v>
      </c>
    </row>
    <row r="191" spans="1:13" x14ac:dyDescent="0.25">
      <c r="A191" s="2">
        <v>540189</v>
      </c>
      <c r="B191" s="2" t="s">
        <v>829</v>
      </c>
      <c r="C191" s="2">
        <v>1</v>
      </c>
      <c r="D191" s="2">
        <v>197</v>
      </c>
      <c r="E191" s="2">
        <v>91</v>
      </c>
      <c r="F191" s="2" t="s">
        <v>2033</v>
      </c>
      <c r="G191" s="2" t="s">
        <v>1714</v>
      </c>
      <c r="H191" s="2" t="s">
        <v>2035</v>
      </c>
      <c r="I191" s="2" t="s">
        <v>829</v>
      </c>
      <c r="J191" s="2" t="s">
        <v>1716</v>
      </c>
      <c r="K191" s="2" t="s">
        <v>1716</v>
      </c>
      <c r="L191" s="2">
        <v>91</v>
      </c>
      <c r="M191" s="2">
        <v>54</v>
      </c>
    </row>
    <row r="192" spans="1:13" x14ac:dyDescent="0.25">
      <c r="A192" s="2">
        <v>540190</v>
      </c>
      <c r="B192" s="2" t="s">
        <v>830</v>
      </c>
      <c r="C192" s="2">
        <v>2</v>
      </c>
      <c r="D192" s="2">
        <v>198</v>
      </c>
      <c r="E192" s="2">
        <v>115</v>
      </c>
      <c r="F192" s="2" t="s">
        <v>2033</v>
      </c>
      <c r="G192" s="2" t="s">
        <v>1714</v>
      </c>
      <c r="H192" s="2" t="s">
        <v>2036</v>
      </c>
      <c r="I192" s="2" t="s">
        <v>830</v>
      </c>
      <c r="J192" s="2" t="s">
        <v>1716</v>
      </c>
      <c r="K192" s="2" t="s">
        <v>1716</v>
      </c>
      <c r="L192" s="2">
        <v>91</v>
      </c>
      <c r="M192" s="2">
        <v>54</v>
      </c>
    </row>
    <row r="193" spans="1:13" x14ac:dyDescent="0.25">
      <c r="A193" s="2">
        <v>540191</v>
      </c>
      <c r="B193" s="2" t="s">
        <v>113</v>
      </c>
      <c r="C193" s="2">
        <v>5</v>
      </c>
      <c r="D193" s="2">
        <v>52</v>
      </c>
      <c r="E193" s="2">
        <v>28</v>
      </c>
      <c r="F193" s="2" t="s">
        <v>2037</v>
      </c>
      <c r="G193" s="2" t="s">
        <v>1714</v>
      </c>
      <c r="H193" s="2" t="s">
        <v>2038</v>
      </c>
      <c r="I193" s="2" t="s">
        <v>113</v>
      </c>
      <c r="J193" s="2" t="s">
        <v>1716</v>
      </c>
      <c r="K193" s="2" t="s">
        <v>1716</v>
      </c>
      <c r="L193" s="2">
        <v>93</v>
      </c>
      <c r="M193" s="2">
        <v>54</v>
      </c>
    </row>
    <row r="194" spans="1:13" x14ac:dyDescent="0.25">
      <c r="A194" s="2">
        <v>540192</v>
      </c>
      <c r="B194" s="2" t="s">
        <v>2039</v>
      </c>
      <c r="C194" s="2">
        <v>0</v>
      </c>
      <c r="D194" s="2">
        <v>285</v>
      </c>
      <c r="E194" s="2">
        <v>202</v>
      </c>
      <c r="F194" s="2" t="s">
        <v>2037</v>
      </c>
      <c r="G194" s="2" t="s">
        <v>1714</v>
      </c>
      <c r="H194" s="2" t="s">
        <v>2040</v>
      </c>
      <c r="I194" s="2" t="s">
        <v>2039</v>
      </c>
      <c r="J194" s="2" t="s">
        <v>1716</v>
      </c>
      <c r="K194" s="2" t="s">
        <v>1716</v>
      </c>
      <c r="L194" s="2">
        <v>93</v>
      </c>
      <c r="M194" s="2">
        <v>54</v>
      </c>
    </row>
    <row r="195" spans="1:13" x14ac:dyDescent="0.25">
      <c r="A195" s="2">
        <v>540193</v>
      </c>
      <c r="B195" s="2" t="s">
        <v>2041</v>
      </c>
      <c r="C195" s="2">
        <v>0</v>
      </c>
      <c r="D195" s="2">
        <v>284</v>
      </c>
      <c r="E195" s="2">
        <v>201</v>
      </c>
      <c r="F195" s="2" t="s">
        <v>2037</v>
      </c>
      <c r="G195" s="2" t="s">
        <v>1714</v>
      </c>
      <c r="H195" s="2" t="s">
        <v>2042</v>
      </c>
      <c r="I195" s="2" t="s">
        <v>2041</v>
      </c>
      <c r="J195" s="2" t="s">
        <v>1716</v>
      </c>
      <c r="K195" s="2" t="s">
        <v>1716</v>
      </c>
      <c r="L195" s="2">
        <v>93</v>
      </c>
      <c r="M195" s="2">
        <v>54</v>
      </c>
    </row>
    <row r="196" spans="1:13" x14ac:dyDescent="0.25">
      <c r="A196" s="2">
        <v>540194</v>
      </c>
      <c r="B196" s="2" t="s">
        <v>2043</v>
      </c>
      <c r="C196" s="2">
        <v>9</v>
      </c>
      <c r="D196" s="2">
        <v>286</v>
      </c>
      <c r="E196" s="2">
        <v>203</v>
      </c>
      <c r="F196" s="2" t="s">
        <v>2037</v>
      </c>
      <c r="G196" s="2" t="s">
        <v>1714</v>
      </c>
      <c r="H196" s="2" t="s">
        <v>2044</v>
      </c>
      <c r="I196" s="2" t="s">
        <v>2043</v>
      </c>
      <c r="J196" s="2" t="s">
        <v>1716</v>
      </c>
      <c r="K196" s="2" t="s">
        <v>1716</v>
      </c>
      <c r="L196" s="2">
        <v>93</v>
      </c>
      <c r="M196" s="2">
        <v>54</v>
      </c>
    </row>
    <row r="197" spans="1:13" x14ac:dyDescent="0.25">
      <c r="A197" s="2">
        <v>540195</v>
      </c>
      <c r="B197" s="2" t="s">
        <v>2045</v>
      </c>
      <c r="C197" s="2">
        <v>0</v>
      </c>
      <c r="D197" s="2">
        <v>199</v>
      </c>
      <c r="E197" s="2">
        <v>146</v>
      </c>
      <c r="F197" s="2" t="s">
        <v>2046</v>
      </c>
      <c r="G197" s="2" t="s">
        <v>1714</v>
      </c>
      <c r="H197" s="2" t="s">
        <v>2047</v>
      </c>
      <c r="I197" s="2" t="s">
        <v>2045</v>
      </c>
      <c r="J197" s="2" t="s">
        <v>1716</v>
      </c>
      <c r="K197" s="2" t="s">
        <v>1716</v>
      </c>
      <c r="L197" s="2">
        <v>95</v>
      </c>
      <c r="M197" s="2">
        <v>54</v>
      </c>
    </row>
    <row r="198" spans="1:13" x14ac:dyDescent="0.25">
      <c r="A198" s="2">
        <v>540196</v>
      </c>
      <c r="B198" s="2" t="s">
        <v>2048</v>
      </c>
      <c r="C198" s="2">
        <v>0</v>
      </c>
      <c r="D198" s="2">
        <v>200</v>
      </c>
      <c r="E198" s="2">
        <v>24</v>
      </c>
      <c r="F198" s="2" t="s">
        <v>2049</v>
      </c>
      <c r="G198" s="2" t="s">
        <v>1714</v>
      </c>
      <c r="H198" s="2" t="s">
        <v>2050</v>
      </c>
      <c r="I198" s="2" t="s">
        <v>2048</v>
      </c>
      <c r="J198" s="2" t="s">
        <v>1716</v>
      </c>
      <c r="K198" s="2" t="s">
        <v>1716</v>
      </c>
      <c r="L198" s="2">
        <v>103</v>
      </c>
      <c r="M198" s="2">
        <v>54</v>
      </c>
    </row>
    <row r="199" spans="1:13" x14ac:dyDescent="0.25">
      <c r="A199" s="2">
        <v>540196</v>
      </c>
      <c r="B199" s="2" t="s">
        <v>2048</v>
      </c>
      <c r="C199" s="2">
        <v>0</v>
      </c>
      <c r="D199" s="2">
        <v>201</v>
      </c>
      <c r="E199" s="2">
        <v>211</v>
      </c>
      <c r="F199" s="2" t="s">
        <v>2049</v>
      </c>
      <c r="G199" s="2" t="s">
        <v>1714</v>
      </c>
      <c r="H199" s="2" t="s">
        <v>2051</v>
      </c>
      <c r="I199" s="2" t="s">
        <v>2048</v>
      </c>
      <c r="J199" s="2" t="s">
        <v>1716</v>
      </c>
      <c r="K199" s="2" t="s">
        <v>1716</v>
      </c>
      <c r="L199" s="2">
        <v>103</v>
      </c>
      <c r="M199" s="2">
        <v>54</v>
      </c>
    </row>
    <row r="200" spans="1:13" x14ac:dyDescent="0.25">
      <c r="A200" s="2">
        <v>540197</v>
      </c>
      <c r="B200" s="2" t="s">
        <v>2052</v>
      </c>
      <c r="C200" s="2">
        <v>1</v>
      </c>
      <c r="D200" s="2">
        <v>202</v>
      </c>
      <c r="E200" s="2">
        <v>179</v>
      </c>
      <c r="F200" s="2" t="s">
        <v>2046</v>
      </c>
      <c r="G200" s="2" t="s">
        <v>1714</v>
      </c>
      <c r="H200" s="2" t="s">
        <v>2053</v>
      </c>
      <c r="I200" s="2" t="s">
        <v>2052</v>
      </c>
      <c r="J200" s="2" t="s">
        <v>1716</v>
      </c>
      <c r="K200" s="2" t="s">
        <v>1716</v>
      </c>
      <c r="L200" s="2">
        <v>95</v>
      </c>
      <c r="M200" s="2">
        <v>54</v>
      </c>
    </row>
    <row r="201" spans="1:13" x14ac:dyDescent="0.25">
      <c r="A201" s="2">
        <v>540198</v>
      </c>
      <c r="B201" s="2" t="s">
        <v>83</v>
      </c>
      <c r="C201" s="2">
        <v>4</v>
      </c>
      <c r="D201" s="2">
        <v>38</v>
      </c>
      <c r="E201" s="2">
        <v>25</v>
      </c>
      <c r="F201" s="2" t="s">
        <v>2054</v>
      </c>
      <c r="G201" s="2" t="s">
        <v>1714</v>
      </c>
      <c r="H201" s="2" t="s">
        <v>2055</v>
      </c>
      <c r="I201" s="2" t="s">
        <v>83</v>
      </c>
      <c r="J201" s="2" t="s">
        <v>1716</v>
      </c>
      <c r="K201" s="2" t="s">
        <v>1716</v>
      </c>
      <c r="L201" s="2">
        <v>97</v>
      </c>
      <c r="M201" s="2">
        <v>54</v>
      </c>
    </row>
    <row r="202" spans="1:13" x14ac:dyDescent="0.25">
      <c r="A202" s="2">
        <v>540199</v>
      </c>
      <c r="B202" s="2" t="s">
        <v>2056</v>
      </c>
      <c r="C202" s="2">
        <v>15</v>
      </c>
      <c r="D202" s="2">
        <v>203</v>
      </c>
      <c r="E202" s="2">
        <v>200</v>
      </c>
      <c r="F202" s="2" t="s">
        <v>2054</v>
      </c>
      <c r="G202" s="2" t="s">
        <v>1714</v>
      </c>
      <c r="H202" s="2" t="s">
        <v>2057</v>
      </c>
      <c r="I202" s="2" t="s">
        <v>2056</v>
      </c>
      <c r="J202" s="2" t="s">
        <v>1716</v>
      </c>
      <c r="K202" s="2" t="s">
        <v>1716</v>
      </c>
      <c r="L202" s="2">
        <v>97</v>
      </c>
      <c r="M202" s="2">
        <v>54</v>
      </c>
    </row>
    <row r="203" spans="1:13" x14ac:dyDescent="0.25">
      <c r="A203" s="2">
        <v>540200</v>
      </c>
      <c r="B203" s="2" t="s">
        <v>2058</v>
      </c>
      <c r="C203" s="2">
        <v>19</v>
      </c>
      <c r="D203" s="2">
        <v>39</v>
      </c>
      <c r="E203" s="2">
        <v>2</v>
      </c>
      <c r="F203" s="2" t="s">
        <v>2059</v>
      </c>
      <c r="G203" s="2" t="s">
        <v>1714</v>
      </c>
      <c r="H203" s="2" t="s">
        <v>2060</v>
      </c>
      <c r="I203" s="2" t="s">
        <v>2058</v>
      </c>
      <c r="J203" s="2" t="s">
        <v>2061</v>
      </c>
      <c r="K203" s="2" t="s">
        <v>1716</v>
      </c>
      <c r="L203" s="2">
        <v>99</v>
      </c>
      <c r="M203" s="2">
        <v>54</v>
      </c>
    </row>
    <row r="204" spans="1:13" x14ac:dyDescent="0.25">
      <c r="A204" s="2">
        <v>540202</v>
      </c>
      <c r="B204" s="2" t="s">
        <v>834</v>
      </c>
      <c r="C204" s="2">
        <v>0</v>
      </c>
      <c r="D204" s="2">
        <v>204</v>
      </c>
      <c r="E204" s="2">
        <v>207</v>
      </c>
      <c r="F204" s="2" t="s">
        <v>2059</v>
      </c>
      <c r="G204" s="2" t="s">
        <v>1714</v>
      </c>
      <c r="H204" s="2" t="s">
        <v>2062</v>
      </c>
      <c r="I204" s="2" t="s">
        <v>834</v>
      </c>
      <c r="J204" s="2" t="s">
        <v>1716</v>
      </c>
      <c r="K204" s="2" t="s">
        <v>1716</v>
      </c>
      <c r="L204" s="2">
        <v>99</v>
      </c>
      <c r="M204" s="2">
        <v>54</v>
      </c>
    </row>
    <row r="205" spans="1:13" x14ac:dyDescent="0.25">
      <c r="A205" s="2">
        <v>540203</v>
      </c>
      <c r="B205" s="2" t="s">
        <v>87</v>
      </c>
      <c r="C205" s="2">
        <v>4</v>
      </c>
      <c r="D205" s="2">
        <v>40</v>
      </c>
      <c r="E205" s="2">
        <v>55</v>
      </c>
      <c r="F205" s="2" t="s">
        <v>2063</v>
      </c>
      <c r="G205" s="2" t="s">
        <v>1714</v>
      </c>
      <c r="H205" s="2" t="s">
        <v>2064</v>
      </c>
      <c r="I205" s="2" t="s">
        <v>87</v>
      </c>
      <c r="J205" s="2" t="s">
        <v>1716</v>
      </c>
      <c r="K205" s="2" t="s">
        <v>1716</v>
      </c>
      <c r="L205" s="2">
        <v>101</v>
      </c>
      <c r="M205" s="2">
        <v>54</v>
      </c>
    </row>
    <row r="206" spans="1:13" x14ac:dyDescent="0.25">
      <c r="A206" s="2">
        <v>540204</v>
      </c>
      <c r="B206" s="2" t="s">
        <v>2065</v>
      </c>
      <c r="C206" s="2">
        <v>2</v>
      </c>
      <c r="D206" s="2">
        <v>205</v>
      </c>
      <c r="E206" s="2">
        <v>1</v>
      </c>
      <c r="F206" s="2" t="s">
        <v>2063</v>
      </c>
      <c r="G206" s="2" t="s">
        <v>1714</v>
      </c>
      <c r="H206" s="2" t="s">
        <v>2066</v>
      </c>
      <c r="I206" s="2" t="s">
        <v>2065</v>
      </c>
      <c r="J206" s="2" t="s">
        <v>1716</v>
      </c>
      <c r="K206" s="2" t="s">
        <v>1716</v>
      </c>
      <c r="L206" s="2">
        <v>101</v>
      </c>
      <c r="M206" s="2">
        <v>54</v>
      </c>
    </row>
    <row r="207" spans="1:13" x14ac:dyDescent="0.25">
      <c r="A207" s="2">
        <v>540205</v>
      </c>
      <c r="B207" s="2" t="s">
        <v>2067</v>
      </c>
      <c r="C207" s="2">
        <v>0</v>
      </c>
      <c r="D207" s="2">
        <v>206</v>
      </c>
      <c r="E207" s="2">
        <v>79</v>
      </c>
      <c r="F207" s="2" t="s">
        <v>2063</v>
      </c>
      <c r="G207" s="2" t="s">
        <v>1714</v>
      </c>
      <c r="H207" s="2" t="s">
        <v>2068</v>
      </c>
      <c r="I207" s="2" t="s">
        <v>2067</v>
      </c>
      <c r="J207" s="2" t="s">
        <v>1716</v>
      </c>
      <c r="K207" s="2" t="s">
        <v>1716</v>
      </c>
      <c r="L207" s="2">
        <v>101</v>
      </c>
      <c r="M207" s="2">
        <v>54</v>
      </c>
    </row>
    <row r="208" spans="1:13" x14ac:dyDescent="0.25">
      <c r="A208" s="2">
        <v>540206</v>
      </c>
      <c r="B208" s="2" t="s">
        <v>2069</v>
      </c>
      <c r="C208" s="2">
        <v>0</v>
      </c>
      <c r="D208" s="2">
        <v>207</v>
      </c>
      <c r="E208" s="2">
        <v>89</v>
      </c>
      <c r="F208" s="2" t="s">
        <v>2063</v>
      </c>
      <c r="G208" s="2" t="s">
        <v>1714</v>
      </c>
      <c r="H208" s="2" t="s">
        <v>2070</v>
      </c>
      <c r="I208" s="2" t="s">
        <v>2069</v>
      </c>
      <c r="J208" s="2" t="s">
        <v>1716</v>
      </c>
      <c r="K208" s="2" t="s">
        <v>1716</v>
      </c>
      <c r="L208" s="2">
        <v>101</v>
      </c>
      <c r="M208" s="2">
        <v>54</v>
      </c>
    </row>
    <row r="209" spans="1:13" x14ac:dyDescent="0.25">
      <c r="A209" s="2">
        <v>540207</v>
      </c>
      <c r="B209" s="2" t="s">
        <v>89</v>
      </c>
      <c r="C209" s="2">
        <v>8</v>
      </c>
      <c r="D209" s="2">
        <v>41</v>
      </c>
      <c r="E209" s="2">
        <v>21</v>
      </c>
      <c r="F209" s="2" t="s">
        <v>2049</v>
      </c>
      <c r="G209" s="2" t="s">
        <v>1714</v>
      </c>
      <c r="H209" s="2" t="s">
        <v>2071</v>
      </c>
      <c r="I209" s="2" t="s">
        <v>89</v>
      </c>
      <c r="J209" s="2" t="s">
        <v>1716</v>
      </c>
      <c r="K209" s="2" t="s">
        <v>1716</v>
      </c>
      <c r="L209" s="2">
        <v>103</v>
      </c>
      <c r="M209" s="2">
        <v>54</v>
      </c>
    </row>
    <row r="210" spans="1:13" x14ac:dyDescent="0.25">
      <c r="A210" s="2">
        <v>540208</v>
      </c>
      <c r="B210" s="2" t="s">
        <v>2072</v>
      </c>
      <c r="C210" s="2">
        <v>3</v>
      </c>
      <c r="D210" s="2">
        <v>208</v>
      </c>
      <c r="E210" s="2">
        <v>160</v>
      </c>
      <c r="F210" s="2" t="s">
        <v>2049</v>
      </c>
      <c r="G210" s="2" t="s">
        <v>1714</v>
      </c>
      <c r="H210" s="2" t="s">
        <v>2073</v>
      </c>
      <c r="I210" s="2" t="s">
        <v>2072</v>
      </c>
      <c r="J210" s="2" t="s">
        <v>1716</v>
      </c>
      <c r="K210" s="2" t="s">
        <v>1716</v>
      </c>
      <c r="L210" s="2">
        <v>103</v>
      </c>
      <c r="M210" s="2">
        <v>54</v>
      </c>
    </row>
    <row r="211" spans="1:13" x14ac:dyDescent="0.25">
      <c r="A211" s="2">
        <v>540210</v>
      </c>
      <c r="B211" s="2" t="s">
        <v>2074</v>
      </c>
      <c r="C211" s="2">
        <v>0</v>
      </c>
      <c r="D211" s="2">
        <v>209</v>
      </c>
      <c r="E211" s="2">
        <v>26</v>
      </c>
      <c r="F211" s="2" t="s">
        <v>2049</v>
      </c>
      <c r="G211" s="2" t="s">
        <v>1714</v>
      </c>
      <c r="H211" s="2" t="s">
        <v>2075</v>
      </c>
      <c r="I211" s="2" t="s">
        <v>2074</v>
      </c>
      <c r="J211" s="2" t="s">
        <v>1716</v>
      </c>
      <c r="K211" s="2" t="s">
        <v>1716</v>
      </c>
      <c r="L211" s="2">
        <v>103</v>
      </c>
      <c r="M211" s="2">
        <v>54</v>
      </c>
    </row>
    <row r="212" spans="1:13" x14ac:dyDescent="0.25">
      <c r="A212" s="2">
        <v>540211</v>
      </c>
      <c r="B212" s="2" t="s">
        <v>91</v>
      </c>
      <c r="C212" s="2">
        <v>4</v>
      </c>
      <c r="D212" s="2">
        <v>42</v>
      </c>
      <c r="E212" s="2">
        <v>34</v>
      </c>
      <c r="F212" s="2" t="s">
        <v>2076</v>
      </c>
      <c r="G212" s="2" t="s">
        <v>1714</v>
      </c>
      <c r="H212" s="2" t="s">
        <v>2077</v>
      </c>
      <c r="I212" s="2" t="s">
        <v>91</v>
      </c>
      <c r="J212" s="2" t="s">
        <v>1716</v>
      </c>
      <c r="K212" s="2" t="s">
        <v>1716</v>
      </c>
      <c r="L212" s="2">
        <v>105</v>
      </c>
      <c r="M212" s="2">
        <v>54</v>
      </c>
    </row>
    <row r="213" spans="1:13" x14ac:dyDescent="0.25">
      <c r="A213" s="2">
        <v>540212</v>
      </c>
      <c r="B213" s="2" t="s">
        <v>2078</v>
      </c>
      <c r="C213" s="2">
        <v>1</v>
      </c>
      <c r="D213" s="2">
        <v>210</v>
      </c>
      <c r="E213" s="2">
        <v>97</v>
      </c>
      <c r="F213" s="2" t="s">
        <v>2076</v>
      </c>
      <c r="G213" s="2" t="s">
        <v>1714</v>
      </c>
      <c r="H213" s="2" t="s">
        <v>2079</v>
      </c>
      <c r="I213" s="2" t="s">
        <v>2078</v>
      </c>
      <c r="J213" s="2" t="s">
        <v>1716</v>
      </c>
      <c r="K213" s="2" t="s">
        <v>1716</v>
      </c>
      <c r="L213" s="2">
        <v>105</v>
      </c>
      <c r="M213" s="2">
        <v>54</v>
      </c>
    </row>
    <row r="214" spans="1:13" x14ac:dyDescent="0.25">
      <c r="A214" s="2">
        <v>540213</v>
      </c>
      <c r="B214" s="2" t="s">
        <v>93</v>
      </c>
      <c r="C214" s="2">
        <v>42</v>
      </c>
      <c r="D214" s="2">
        <v>43</v>
      </c>
      <c r="E214" s="2">
        <v>44</v>
      </c>
      <c r="F214" s="2" t="s">
        <v>1804</v>
      </c>
      <c r="G214" s="2" t="s">
        <v>1714</v>
      </c>
      <c r="H214" s="2" t="s">
        <v>2080</v>
      </c>
      <c r="I214" s="2" t="s">
        <v>93</v>
      </c>
      <c r="J214" s="2" t="s">
        <v>1716</v>
      </c>
      <c r="K214" s="2" t="s">
        <v>1716</v>
      </c>
      <c r="L214" s="2">
        <v>107</v>
      </c>
      <c r="M214" s="2">
        <v>54</v>
      </c>
    </row>
    <row r="215" spans="1:13" x14ac:dyDescent="0.25">
      <c r="A215" s="2">
        <v>540214</v>
      </c>
      <c r="B215" s="2" t="s">
        <v>2081</v>
      </c>
      <c r="C215" s="2">
        <v>1</v>
      </c>
      <c r="D215" s="2">
        <v>211</v>
      </c>
      <c r="E215" s="2">
        <v>229</v>
      </c>
      <c r="F215" s="2" t="s">
        <v>1804</v>
      </c>
      <c r="G215" s="2" t="s">
        <v>1714</v>
      </c>
      <c r="H215" s="2" t="s">
        <v>2082</v>
      </c>
      <c r="I215" s="2" t="s">
        <v>2081</v>
      </c>
      <c r="J215" s="2" t="s">
        <v>1716</v>
      </c>
      <c r="K215" s="2" t="s">
        <v>1716</v>
      </c>
      <c r="L215" s="2">
        <v>107</v>
      </c>
      <c r="M215" s="2">
        <v>54</v>
      </c>
    </row>
    <row r="216" spans="1:13" x14ac:dyDescent="0.25">
      <c r="A216" s="2">
        <v>540215</v>
      </c>
      <c r="B216" s="2" t="s">
        <v>2083</v>
      </c>
      <c r="C216" s="2">
        <v>9</v>
      </c>
      <c r="D216" s="2">
        <v>212</v>
      </c>
      <c r="E216" s="2">
        <v>190</v>
      </c>
      <c r="F216" s="2" t="s">
        <v>1804</v>
      </c>
      <c r="G216" s="2" t="s">
        <v>1714</v>
      </c>
      <c r="H216" s="2" t="s">
        <v>2084</v>
      </c>
      <c r="I216" s="2" t="s">
        <v>2083</v>
      </c>
      <c r="J216" s="2" t="s">
        <v>1716</v>
      </c>
      <c r="K216" s="2" t="s">
        <v>1716</v>
      </c>
      <c r="L216" s="2">
        <v>107</v>
      </c>
      <c r="M216" s="2">
        <v>54</v>
      </c>
    </row>
    <row r="217" spans="1:13" x14ac:dyDescent="0.25">
      <c r="A217" s="2">
        <v>540216</v>
      </c>
      <c r="B217" s="2" t="s">
        <v>2085</v>
      </c>
      <c r="C217" s="2">
        <v>2</v>
      </c>
      <c r="D217" s="2">
        <v>213</v>
      </c>
      <c r="E217" s="2">
        <v>239</v>
      </c>
      <c r="F217" s="2" t="s">
        <v>1804</v>
      </c>
      <c r="G217" s="2" t="s">
        <v>1714</v>
      </c>
      <c r="H217" s="2" t="s">
        <v>2086</v>
      </c>
      <c r="I217" s="2" t="s">
        <v>2085</v>
      </c>
      <c r="J217" s="2" t="s">
        <v>1716</v>
      </c>
      <c r="K217" s="2" t="s">
        <v>1716</v>
      </c>
      <c r="L217" s="2">
        <v>107</v>
      </c>
      <c r="M217" s="2">
        <v>54</v>
      </c>
    </row>
    <row r="218" spans="1:13" x14ac:dyDescent="0.25">
      <c r="A218" s="2">
        <v>540217</v>
      </c>
      <c r="B218" s="2" t="s">
        <v>2087</v>
      </c>
      <c r="C218" s="2">
        <v>16</v>
      </c>
      <c r="D218" s="2">
        <v>295</v>
      </c>
      <c r="E218" s="2">
        <v>39</v>
      </c>
      <c r="F218" s="2" t="s">
        <v>2088</v>
      </c>
      <c r="G218" s="2" t="s">
        <v>1714</v>
      </c>
      <c r="H218" s="2" t="s">
        <v>2089</v>
      </c>
      <c r="I218" s="2" t="s">
        <v>2087</v>
      </c>
      <c r="J218" s="2" t="s">
        <v>1716</v>
      </c>
      <c r="K218" s="2" t="s">
        <v>1716</v>
      </c>
      <c r="L218" s="2">
        <v>109</v>
      </c>
      <c r="M218" s="2">
        <v>54</v>
      </c>
    </row>
    <row r="219" spans="1:13" x14ac:dyDescent="0.25">
      <c r="A219" s="2">
        <v>540218</v>
      </c>
      <c r="B219" s="2" t="s">
        <v>913</v>
      </c>
      <c r="C219" s="2">
        <v>0</v>
      </c>
      <c r="D219" s="2">
        <v>291</v>
      </c>
      <c r="E219" s="2">
        <v>156</v>
      </c>
      <c r="F219" s="2" t="s">
        <v>2088</v>
      </c>
      <c r="G219" s="2" t="s">
        <v>1714</v>
      </c>
      <c r="H219" s="2" t="s">
        <v>2090</v>
      </c>
      <c r="I219" s="2" t="s">
        <v>913</v>
      </c>
      <c r="J219" s="2" t="s">
        <v>1716</v>
      </c>
      <c r="K219" s="2" t="s">
        <v>1716</v>
      </c>
      <c r="L219" s="2">
        <v>109</v>
      </c>
      <c r="M219" s="2">
        <v>54</v>
      </c>
    </row>
    <row r="220" spans="1:13" x14ac:dyDescent="0.25">
      <c r="A220" s="2">
        <v>540219</v>
      </c>
      <c r="B220" s="2" t="s">
        <v>911</v>
      </c>
      <c r="C220" s="2">
        <v>4</v>
      </c>
      <c r="D220" s="2">
        <v>214</v>
      </c>
      <c r="E220" s="2">
        <v>161</v>
      </c>
      <c r="F220" s="2" t="s">
        <v>2088</v>
      </c>
      <c r="G220" s="2" t="s">
        <v>1714</v>
      </c>
      <c r="H220" s="2" t="s">
        <v>2091</v>
      </c>
      <c r="I220" s="2" t="s">
        <v>911</v>
      </c>
      <c r="J220" s="2" t="s">
        <v>1716</v>
      </c>
      <c r="K220" s="2" t="s">
        <v>1716</v>
      </c>
      <c r="L220" s="2">
        <v>109</v>
      </c>
      <c r="M220" s="2">
        <v>54</v>
      </c>
    </row>
    <row r="221" spans="1:13" x14ac:dyDescent="0.25">
      <c r="A221" s="2">
        <v>540220</v>
      </c>
      <c r="B221" s="2" t="s">
        <v>912</v>
      </c>
      <c r="C221" s="2">
        <v>1</v>
      </c>
      <c r="D221" s="2">
        <v>215</v>
      </c>
      <c r="E221" s="2">
        <v>157</v>
      </c>
      <c r="F221" s="2" t="s">
        <v>2088</v>
      </c>
      <c r="G221" s="2" t="s">
        <v>1714</v>
      </c>
      <c r="H221" s="2" t="s">
        <v>2092</v>
      </c>
      <c r="I221" s="2" t="s">
        <v>912</v>
      </c>
      <c r="J221" s="2" t="s">
        <v>1716</v>
      </c>
      <c r="K221" s="2" t="s">
        <v>1716</v>
      </c>
      <c r="L221" s="2">
        <v>109</v>
      </c>
      <c r="M221" s="2">
        <v>54</v>
      </c>
    </row>
    <row r="222" spans="1:13" x14ac:dyDescent="0.25">
      <c r="A222" s="2">
        <v>540221</v>
      </c>
      <c r="B222" s="2" t="s">
        <v>835</v>
      </c>
      <c r="C222" s="2">
        <v>0</v>
      </c>
      <c r="D222" s="2">
        <v>216</v>
      </c>
      <c r="E222" s="2">
        <v>131</v>
      </c>
      <c r="F222" s="2" t="s">
        <v>2059</v>
      </c>
      <c r="G222" s="2" t="s">
        <v>1714</v>
      </c>
      <c r="H222" s="2" t="s">
        <v>2093</v>
      </c>
      <c r="I222" s="2" t="s">
        <v>835</v>
      </c>
      <c r="J222" s="2" t="s">
        <v>1716</v>
      </c>
      <c r="K222" s="2" t="s">
        <v>1716</v>
      </c>
      <c r="L222" s="2">
        <v>99</v>
      </c>
      <c r="M222" s="2">
        <v>54</v>
      </c>
    </row>
    <row r="223" spans="1:13" x14ac:dyDescent="0.25">
      <c r="A223" s="2">
        <v>540222</v>
      </c>
      <c r="B223" s="2" t="s">
        <v>815</v>
      </c>
      <c r="C223" s="2">
        <v>0</v>
      </c>
      <c r="D223" s="2">
        <v>217</v>
      </c>
      <c r="E223" s="2">
        <v>96</v>
      </c>
      <c r="F223" s="2" t="s">
        <v>1994</v>
      </c>
      <c r="G223" s="2" t="s">
        <v>1714</v>
      </c>
      <c r="H223" s="2" t="s">
        <v>2094</v>
      </c>
      <c r="I223" s="2" t="s">
        <v>815</v>
      </c>
      <c r="J223" s="2" t="s">
        <v>1716</v>
      </c>
      <c r="K223" s="2" t="s">
        <v>1716</v>
      </c>
      <c r="L223" s="2">
        <v>79</v>
      </c>
      <c r="M223" s="2">
        <v>54</v>
      </c>
    </row>
    <row r="224" spans="1:13" x14ac:dyDescent="0.25">
      <c r="A224" s="2">
        <v>540223</v>
      </c>
      <c r="B224" s="2" t="s">
        <v>714</v>
      </c>
      <c r="C224" s="2">
        <v>3</v>
      </c>
      <c r="D224" s="2">
        <v>218</v>
      </c>
      <c r="E224" s="2">
        <v>35</v>
      </c>
      <c r="F224" s="2" t="s">
        <v>1779</v>
      </c>
      <c r="G224" s="2" t="s">
        <v>1714</v>
      </c>
      <c r="H224" s="2" t="s">
        <v>2095</v>
      </c>
      <c r="I224" s="2" t="s">
        <v>714</v>
      </c>
      <c r="J224" s="2" t="s">
        <v>1716</v>
      </c>
      <c r="K224" s="2" t="s">
        <v>1716</v>
      </c>
      <c r="L224" s="2">
        <v>39</v>
      </c>
      <c r="M224" s="2">
        <v>54</v>
      </c>
    </row>
    <row r="225" spans="1:13" x14ac:dyDescent="0.25">
      <c r="A225" s="2">
        <v>540224</v>
      </c>
      <c r="B225" s="2" t="s">
        <v>97</v>
      </c>
      <c r="C225" s="2">
        <v>2</v>
      </c>
      <c r="D225" s="2">
        <v>44</v>
      </c>
      <c r="E225" s="2">
        <v>30</v>
      </c>
      <c r="F225" s="2" t="s">
        <v>1946</v>
      </c>
      <c r="G225" s="2" t="s">
        <v>1714</v>
      </c>
      <c r="H225" s="2" t="s">
        <v>2096</v>
      </c>
      <c r="I225" s="2" t="s">
        <v>97</v>
      </c>
      <c r="J225" s="2" t="s">
        <v>1716</v>
      </c>
      <c r="K225" s="2" t="s">
        <v>1716</v>
      </c>
      <c r="L225" s="2">
        <v>85</v>
      </c>
      <c r="M225" s="2">
        <v>54</v>
      </c>
    </row>
    <row r="226" spans="1:13" x14ac:dyDescent="0.25">
      <c r="A226" s="2">
        <v>540225</v>
      </c>
      <c r="B226" s="2" t="s">
        <v>862</v>
      </c>
      <c r="C226" s="2">
        <v>1</v>
      </c>
      <c r="D226" s="2">
        <v>45</v>
      </c>
      <c r="E226" s="2">
        <v>16</v>
      </c>
      <c r="F226" s="2" t="s">
        <v>1984</v>
      </c>
      <c r="G226" s="2" t="s">
        <v>1714</v>
      </c>
      <c r="H226" s="2" t="s">
        <v>2097</v>
      </c>
      <c r="I226" s="2" t="s">
        <v>862</v>
      </c>
      <c r="J226" s="2" t="s">
        <v>1716</v>
      </c>
      <c r="K226" s="2" t="s">
        <v>1716</v>
      </c>
      <c r="L226" s="2">
        <v>73</v>
      </c>
      <c r="M226" s="2">
        <v>54</v>
      </c>
    </row>
    <row r="227" spans="1:13" x14ac:dyDescent="0.25">
      <c r="A227" s="2">
        <v>540226</v>
      </c>
      <c r="B227" s="2" t="s">
        <v>101</v>
      </c>
      <c r="C227" s="2">
        <v>9</v>
      </c>
      <c r="D227" s="2">
        <v>46</v>
      </c>
      <c r="E227" s="2">
        <v>20</v>
      </c>
      <c r="F227" s="2" t="s">
        <v>1813</v>
      </c>
      <c r="G227" s="2" t="s">
        <v>1714</v>
      </c>
      <c r="H227" s="2" t="s">
        <v>2098</v>
      </c>
      <c r="I227" s="2" t="s">
        <v>101</v>
      </c>
      <c r="J227" s="2" t="s">
        <v>1840</v>
      </c>
      <c r="K227" s="2" t="s">
        <v>1716</v>
      </c>
      <c r="L227" s="2">
        <v>27</v>
      </c>
      <c r="M227" s="2">
        <v>54</v>
      </c>
    </row>
    <row r="228" spans="1:13" x14ac:dyDescent="0.25">
      <c r="A228" s="2">
        <v>540228</v>
      </c>
      <c r="B228" s="2" t="s">
        <v>2099</v>
      </c>
      <c r="C228" s="2">
        <v>0</v>
      </c>
      <c r="D228" s="2">
        <v>219</v>
      </c>
      <c r="E228" s="2">
        <v>29</v>
      </c>
      <c r="F228" s="2" t="s">
        <v>1797</v>
      </c>
      <c r="G228" s="2" t="s">
        <v>1714</v>
      </c>
      <c r="H228" s="2" t="s">
        <v>2100</v>
      </c>
      <c r="I228" s="2" t="s">
        <v>2099</v>
      </c>
      <c r="J228" s="2" t="s">
        <v>1716</v>
      </c>
      <c r="K228" s="2" t="s">
        <v>1716</v>
      </c>
      <c r="L228" s="2">
        <v>25</v>
      </c>
      <c r="M228" s="2">
        <v>54</v>
      </c>
    </row>
    <row r="229" spans="1:13" x14ac:dyDescent="0.25">
      <c r="A229" s="2">
        <v>540229</v>
      </c>
      <c r="B229" s="2" t="s">
        <v>634</v>
      </c>
      <c r="C229" s="2">
        <v>2</v>
      </c>
      <c r="D229" s="2">
        <v>220</v>
      </c>
      <c r="E229" s="2">
        <v>194</v>
      </c>
      <c r="F229" s="2" t="s">
        <v>1730</v>
      </c>
      <c r="G229" s="2" t="s">
        <v>1714</v>
      </c>
      <c r="H229" s="2" t="s">
        <v>2101</v>
      </c>
      <c r="I229" s="2" t="s">
        <v>634</v>
      </c>
      <c r="J229" s="2" t="s">
        <v>1716</v>
      </c>
      <c r="K229" s="2" t="s">
        <v>1716</v>
      </c>
      <c r="L229" s="2">
        <v>5</v>
      </c>
      <c r="M229" s="2">
        <v>54</v>
      </c>
    </row>
    <row r="230" spans="1:13" x14ac:dyDescent="0.25">
      <c r="A230" s="2">
        <v>540230</v>
      </c>
      <c r="B230" s="2" t="s">
        <v>635</v>
      </c>
      <c r="C230" s="2">
        <v>2</v>
      </c>
      <c r="D230" s="2">
        <v>221</v>
      </c>
      <c r="E230" s="2">
        <v>90</v>
      </c>
      <c r="F230" s="2" t="s">
        <v>1730</v>
      </c>
      <c r="G230" s="2" t="s">
        <v>1714</v>
      </c>
      <c r="H230" s="2" t="s">
        <v>2102</v>
      </c>
      <c r="I230" s="2" t="s">
        <v>635</v>
      </c>
      <c r="J230" s="2" t="s">
        <v>1716</v>
      </c>
      <c r="K230" s="2" t="s">
        <v>1716</v>
      </c>
      <c r="L230" s="2">
        <v>5</v>
      </c>
      <c r="M230" s="2">
        <v>54</v>
      </c>
    </row>
    <row r="231" spans="1:13" x14ac:dyDescent="0.25">
      <c r="A231" s="2">
        <v>540231</v>
      </c>
      <c r="B231" s="2" t="s">
        <v>836</v>
      </c>
      <c r="C231" s="2">
        <v>0</v>
      </c>
      <c r="D231" s="2">
        <v>222</v>
      </c>
      <c r="E231" s="2">
        <v>132</v>
      </c>
      <c r="F231" s="2" t="s">
        <v>2059</v>
      </c>
      <c r="G231" s="2" t="s">
        <v>1714</v>
      </c>
      <c r="H231" s="2" t="s">
        <v>2103</v>
      </c>
      <c r="I231" s="2" t="s">
        <v>836</v>
      </c>
      <c r="J231" s="2" t="s">
        <v>1716</v>
      </c>
      <c r="K231" s="2" t="s">
        <v>1716</v>
      </c>
      <c r="L231" s="2">
        <v>99</v>
      </c>
      <c r="M231" s="2">
        <v>54</v>
      </c>
    </row>
    <row r="232" spans="1:13" x14ac:dyDescent="0.25">
      <c r="A232" s="2">
        <v>540232</v>
      </c>
      <c r="B232" s="2" t="s">
        <v>837</v>
      </c>
      <c r="C232" s="2">
        <v>0</v>
      </c>
      <c r="D232" s="2">
        <v>223</v>
      </c>
      <c r="E232" s="2">
        <v>219</v>
      </c>
      <c r="F232" s="2" t="s">
        <v>2059</v>
      </c>
      <c r="G232" s="2" t="s">
        <v>1714</v>
      </c>
      <c r="H232" s="2" t="s">
        <v>2104</v>
      </c>
      <c r="I232" s="2" t="s">
        <v>837</v>
      </c>
      <c r="J232" s="2" t="s">
        <v>1716</v>
      </c>
      <c r="K232" s="2" t="s">
        <v>1716</v>
      </c>
      <c r="L232" s="2">
        <v>99</v>
      </c>
      <c r="M232" s="2">
        <v>54</v>
      </c>
    </row>
    <row r="233" spans="1:13" x14ac:dyDescent="0.25">
      <c r="A233" s="2">
        <v>540235</v>
      </c>
      <c r="B233" s="2" t="s">
        <v>2105</v>
      </c>
      <c r="C233" s="2">
        <v>0</v>
      </c>
      <c r="D233" s="2">
        <v>224</v>
      </c>
      <c r="E233" s="2">
        <v>106</v>
      </c>
      <c r="F233" s="2" t="s">
        <v>1733</v>
      </c>
      <c r="G233" s="2" t="s">
        <v>1714</v>
      </c>
      <c r="H233" s="2" t="s">
        <v>2106</v>
      </c>
      <c r="I233" s="2" t="s">
        <v>2105</v>
      </c>
      <c r="J233" s="2" t="s">
        <v>1716</v>
      </c>
      <c r="K233" s="2" t="s">
        <v>1716</v>
      </c>
      <c r="L233" s="2">
        <v>7</v>
      </c>
      <c r="M233" s="2">
        <v>54</v>
      </c>
    </row>
    <row r="234" spans="1:13" x14ac:dyDescent="0.25">
      <c r="A234" s="2">
        <v>540236</v>
      </c>
      <c r="B234" s="2" t="s">
        <v>2107</v>
      </c>
      <c r="C234" s="2">
        <v>0</v>
      </c>
      <c r="D234" s="2">
        <v>225</v>
      </c>
      <c r="E234" s="2">
        <v>111</v>
      </c>
      <c r="F234" s="2" t="s">
        <v>1733</v>
      </c>
      <c r="G234" s="2" t="s">
        <v>1714</v>
      </c>
      <c r="H234" s="2" t="s">
        <v>2108</v>
      </c>
      <c r="I234" s="2" t="s">
        <v>2107</v>
      </c>
      <c r="J234" s="2" t="s">
        <v>1716</v>
      </c>
      <c r="K234" s="2" t="s">
        <v>1716</v>
      </c>
      <c r="L234" s="2">
        <v>7</v>
      </c>
      <c r="M234" s="2">
        <v>54</v>
      </c>
    </row>
    <row r="235" spans="1:13" x14ac:dyDescent="0.25">
      <c r="A235" s="2">
        <v>540237</v>
      </c>
      <c r="B235" s="2" t="s">
        <v>2109</v>
      </c>
      <c r="C235" s="2">
        <v>0</v>
      </c>
      <c r="D235" s="2">
        <v>226</v>
      </c>
      <c r="E235" s="2">
        <v>110</v>
      </c>
      <c r="F235" s="2" t="s">
        <v>1733</v>
      </c>
      <c r="G235" s="2" t="s">
        <v>1714</v>
      </c>
      <c r="H235" s="2" t="s">
        <v>2110</v>
      </c>
      <c r="I235" s="2" t="s">
        <v>2109</v>
      </c>
      <c r="J235" s="2" t="s">
        <v>1716</v>
      </c>
      <c r="K235" s="2" t="s">
        <v>1716</v>
      </c>
      <c r="L235" s="2">
        <v>7</v>
      </c>
      <c r="M235" s="2">
        <v>54</v>
      </c>
    </row>
    <row r="236" spans="1:13" x14ac:dyDescent="0.25">
      <c r="A236" s="2">
        <v>540238</v>
      </c>
      <c r="B236" s="2" t="s">
        <v>636</v>
      </c>
      <c r="C236" s="2">
        <v>3</v>
      </c>
      <c r="D236" s="2">
        <v>227</v>
      </c>
      <c r="E236" s="2">
        <v>184</v>
      </c>
      <c r="F236" s="2" t="s">
        <v>1730</v>
      </c>
      <c r="G236" s="2" t="s">
        <v>1714</v>
      </c>
      <c r="H236" s="2" t="s">
        <v>2111</v>
      </c>
      <c r="I236" s="2" t="s">
        <v>636</v>
      </c>
      <c r="J236" s="2" t="s">
        <v>1716</v>
      </c>
      <c r="K236" s="2" t="s">
        <v>1716</v>
      </c>
      <c r="L236" s="2">
        <v>5</v>
      </c>
      <c r="M236" s="2">
        <v>54</v>
      </c>
    </row>
    <row r="237" spans="1:13" x14ac:dyDescent="0.25">
      <c r="A237" s="2">
        <v>540240</v>
      </c>
      <c r="B237" s="2" t="s">
        <v>2112</v>
      </c>
      <c r="C237" s="2">
        <v>0</v>
      </c>
      <c r="D237" s="2">
        <v>228</v>
      </c>
      <c r="E237" s="2">
        <v>52</v>
      </c>
      <c r="F237" s="2" t="s">
        <v>1793</v>
      </c>
      <c r="G237" s="2" t="s">
        <v>1714</v>
      </c>
      <c r="H237" s="2" t="s">
        <v>2113</v>
      </c>
      <c r="I237" s="2" t="s">
        <v>2112</v>
      </c>
      <c r="J237" s="2" t="s">
        <v>1716</v>
      </c>
      <c r="K237" s="2" t="s">
        <v>1716</v>
      </c>
      <c r="L237" s="2">
        <v>23</v>
      </c>
      <c r="M237" s="2">
        <v>54</v>
      </c>
    </row>
    <row r="238" spans="1:13" x14ac:dyDescent="0.25">
      <c r="A238" s="2">
        <v>540241</v>
      </c>
      <c r="B238" s="2" t="s">
        <v>2114</v>
      </c>
      <c r="C238" s="2">
        <v>2</v>
      </c>
      <c r="D238" s="2">
        <v>229</v>
      </c>
      <c r="E238" s="2">
        <v>31</v>
      </c>
      <c r="F238" s="2" t="s">
        <v>1838</v>
      </c>
      <c r="G238" s="2" t="s">
        <v>1714</v>
      </c>
      <c r="H238" s="2" t="s">
        <v>2115</v>
      </c>
      <c r="I238" s="2" t="s">
        <v>2114</v>
      </c>
      <c r="J238" s="2" t="s">
        <v>1716</v>
      </c>
      <c r="K238" s="2" t="s">
        <v>1716</v>
      </c>
      <c r="L238" s="2">
        <v>35</v>
      </c>
      <c r="M238" s="2">
        <v>54</v>
      </c>
    </row>
    <row r="239" spans="1:13" x14ac:dyDescent="0.25">
      <c r="A239" s="2">
        <v>540242</v>
      </c>
      <c r="B239" s="2" t="s">
        <v>690</v>
      </c>
      <c r="C239" s="2">
        <v>1</v>
      </c>
      <c r="D239" s="2">
        <v>230</v>
      </c>
      <c r="E239" s="2">
        <v>232</v>
      </c>
      <c r="F239" s="2" t="s">
        <v>1827</v>
      </c>
      <c r="G239" s="2" t="s">
        <v>1714</v>
      </c>
      <c r="H239" s="2" t="s">
        <v>2116</v>
      </c>
      <c r="I239" s="2" t="s">
        <v>690</v>
      </c>
      <c r="J239" s="2" t="s">
        <v>1716</v>
      </c>
      <c r="K239" s="2" t="s">
        <v>1716</v>
      </c>
      <c r="L239" s="2">
        <v>33</v>
      </c>
      <c r="M239" s="2">
        <v>54</v>
      </c>
    </row>
    <row r="240" spans="1:13" x14ac:dyDescent="0.25">
      <c r="A240" s="2">
        <v>540243</v>
      </c>
      <c r="B240" s="2" t="s">
        <v>2117</v>
      </c>
      <c r="C240" s="2">
        <v>0</v>
      </c>
      <c r="D240" s="2">
        <v>231</v>
      </c>
      <c r="E240" s="2">
        <v>104</v>
      </c>
      <c r="F240" s="2" t="s">
        <v>1797</v>
      </c>
      <c r="G240" s="2" t="s">
        <v>1714</v>
      </c>
      <c r="H240" s="2" t="s">
        <v>2118</v>
      </c>
      <c r="I240" s="2" t="s">
        <v>2117</v>
      </c>
      <c r="J240" s="2" t="s">
        <v>2119</v>
      </c>
      <c r="K240" s="2" t="s">
        <v>1716</v>
      </c>
      <c r="L240" s="2">
        <v>25</v>
      </c>
      <c r="M240" s="2">
        <v>54</v>
      </c>
    </row>
    <row r="241" spans="1:13" x14ac:dyDescent="0.25">
      <c r="A241" s="2">
        <v>540244</v>
      </c>
      <c r="B241" s="2" t="s">
        <v>2120</v>
      </c>
      <c r="C241" s="2">
        <v>0</v>
      </c>
      <c r="D241" s="2">
        <v>232</v>
      </c>
      <c r="E241" s="2">
        <v>105</v>
      </c>
      <c r="F241" s="2" t="s">
        <v>1797</v>
      </c>
      <c r="G241" s="2" t="s">
        <v>1714</v>
      </c>
      <c r="H241" s="2" t="s">
        <v>2121</v>
      </c>
      <c r="I241" s="2" t="s">
        <v>2120</v>
      </c>
      <c r="J241" s="2" t="s">
        <v>1716</v>
      </c>
      <c r="K241" s="2" t="s">
        <v>1716</v>
      </c>
      <c r="L241" s="2">
        <v>25</v>
      </c>
      <c r="M241" s="2">
        <v>54</v>
      </c>
    </row>
    <row r="242" spans="1:13" x14ac:dyDescent="0.25">
      <c r="A242" s="2">
        <v>540245</v>
      </c>
      <c r="B242" s="2" t="s">
        <v>2122</v>
      </c>
      <c r="C242" s="2">
        <v>0</v>
      </c>
      <c r="D242" s="2">
        <v>233</v>
      </c>
      <c r="E242" s="2">
        <v>164</v>
      </c>
      <c r="F242" s="2" t="s">
        <v>1822</v>
      </c>
      <c r="G242" s="2" t="s">
        <v>1714</v>
      </c>
      <c r="H242" s="2" t="s">
        <v>2123</v>
      </c>
      <c r="I242" s="2" t="s">
        <v>2122</v>
      </c>
      <c r="J242" s="2" t="s">
        <v>1716</v>
      </c>
      <c r="K242" s="2" t="s">
        <v>1716</v>
      </c>
      <c r="L242" s="2">
        <v>31</v>
      </c>
      <c r="M242" s="2">
        <v>54</v>
      </c>
    </row>
    <row r="243" spans="1:13" x14ac:dyDescent="0.25">
      <c r="A243" s="2">
        <v>540247</v>
      </c>
      <c r="B243" s="2" t="s">
        <v>2124</v>
      </c>
      <c r="C243" s="2">
        <v>2</v>
      </c>
      <c r="D243" s="2">
        <v>234</v>
      </c>
      <c r="E243" s="2">
        <v>122</v>
      </c>
      <c r="F243" s="2" t="s">
        <v>1916</v>
      </c>
      <c r="G243" s="2" t="s">
        <v>1714</v>
      </c>
      <c r="H243" s="2" t="s">
        <v>2125</v>
      </c>
      <c r="I243" s="2" t="s">
        <v>2124</v>
      </c>
      <c r="J243" s="2" t="s">
        <v>1716</v>
      </c>
      <c r="K243" s="2" t="s">
        <v>1716</v>
      </c>
      <c r="L243" s="2">
        <v>53</v>
      </c>
      <c r="M243" s="2">
        <v>54</v>
      </c>
    </row>
    <row r="244" spans="1:13" x14ac:dyDescent="0.25">
      <c r="A244" s="2">
        <v>540248</v>
      </c>
      <c r="B244" s="2" t="s">
        <v>2126</v>
      </c>
      <c r="C244" s="2">
        <v>2</v>
      </c>
      <c r="D244" s="2">
        <v>235</v>
      </c>
      <c r="E244" s="2">
        <v>21</v>
      </c>
      <c r="F244" s="2" t="s">
        <v>1916</v>
      </c>
      <c r="G244" s="2" t="s">
        <v>1714</v>
      </c>
      <c r="H244" s="2" t="s">
        <v>2127</v>
      </c>
      <c r="I244" s="2" t="s">
        <v>2126</v>
      </c>
      <c r="J244" s="2" t="s">
        <v>1716</v>
      </c>
      <c r="K244" s="2" t="s">
        <v>1716</v>
      </c>
      <c r="L244" s="2">
        <v>53</v>
      </c>
      <c r="M244" s="2">
        <v>54</v>
      </c>
    </row>
    <row r="245" spans="1:13" x14ac:dyDescent="0.25">
      <c r="A245" s="2">
        <v>540249</v>
      </c>
      <c r="B245" s="2" t="s">
        <v>2128</v>
      </c>
      <c r="C245" s="2">
        <v>3</v>
      </c>
      <c r="D245" s="2">
        <v>236</v>
      </c>
      <c r="E245" s="2">
        <v>159</v>
      </c>
      <c r="F245" s="2" t="s">
        <v>1916</v>
      </c>
      <c r="G245" s="2" t="s">
        <v>1714</v>
      </c>
      <c r="H245" s="2" t="s">
        <v>2129</v>
      </c>
      <c r="I245" s="2" t="s">
        <v>2128</v>
      </c>
      <c r="J245" s="2" t="s">
        <v>1716</v>
      </c>
      <c r="K245" s="2" t="s">
        <v>1716</v>
      </c>
      <c r="L245" s="2">
        <v>53</v>
      </c>
      <c r="M245" s="2">
        <v>54</v>
      </c>
    </row>
    <row r="246" spans="1:13" x14ac:dyDescent="0.25">
      <c r="A246" s="2">
        <v>540250</v>
      </c>
      <c r="B246" s="2" t="s">
        <v>2130</v>
      </c>
      <c r="C246" s="2">
        <v>0</v>
      </c>
      <c r="D246" s="2">
        <v>237</v>
      </c>
      <c r="E246" s="2">
        <v>165</v>
      </c>
      <c r="F246" s="2" t="s">
        <v>1916</v>
      </c>
      <c r="G246" s="2" t="s">
        <v>1714</v>
      </c>
      <c r="H246" s="2" t="s">
        <v>2131</v>
      </c>
      <c r="I246" s="2" t="s">
        <v>2130</v>
      </c>
      <c r="J246" s="2" t="s">
        <v>1716</v>
      </c>
      <c r="K246" s="2" t="s">
        <v>1716</v>
      </c>
      <c r="L246" s="2">
        <v>53</v>
      </c>
      <c r="M246" s="2">
        <v>54</v>
      </c>
    </row>
    <row r="247" spans="1:13" x14ac:dyDescent="0.25">
      <c r="A247" s="2">
        <v>540251</v>
      </c>
      <c r="B247" s="2" t="s">
        <v>2132</v>
      </c>
      <c r="C247" s="2">
        <v>0</v>
      </c>
      <c r="D247" s="2">
        <v>238</v>
      </c>
      <c r="E247" s="2">
        <v>124</v>
      </c>
      <c r="F247" s="2" t="s">
        <v>1916</v>
      </c>
      <c r="G247" s="2" t="s">
        <v>1714</v>
      </c>
      <c r="H247" s="2" t="s">
        <v>2133</v>
      </c>
      <c r="I247" s="2" t="s">
        <v>2132</v>
      </c>
      <c r="J247" s="2" t="s">
        <v>1716</v>
      </c>
      <c r="K247" s="2" t="s">
        <v>1716</v>
      </c>
      <c r="L247" s="2">
        <v>53</v>
      </c>
      <c r="M247" s="2">
        <v>54</v>
      </c>
    </row>
    <row r="248" spans="1:13" x14ac:dyDescent="0.25">
      <c r="A248" s="2">
        <v>540252</v>
      </c>
      <c r="B248" s="2" t="s">
        <v>2134</v>
      </c>
      <c r="C248" s="2">
        <v>0</v>
      </c>
      <c r="D248" s="2">
        <v>239</v>
      </c>
      <c r="E248" s="2">
        <v>212</v>
      </c>
      <c r="F248" s="2" t="s">
        <v>1724</v>
      </c>
      <c r="G248" s="2" t="s">
        <v>1714</v>
      </c>
      <c r="H248" s="2" t="s">
        <v>2135</v>
      </c>
      <c r="I248" s="2" t="s">
        <v>2134</v>
      </c>
      <c r="J248" s="2" t="s">
        <v>1716</v>
      </c>
      <c r="K248" s="2" t="s">
        <v>1716</v>
      </c>
      <c r="L248" s="2">
        <v>65</v>
      </c>
      <c r="M248" s="2">
        <v>54</v>
      </c>
    </row>
    <row r="249" spans="1:13" x14ac:dyDescent="0.25">
      <c r="A249" s="2">
        <v>540253</v>
      </c>
      <c r="B249" s="2" t="s">
        <v>864</v>
      </c>
      <c r="C249" s="2">
        <v>0</v>
      </c>
      <c r="D249" s="2">
        <v>240</v>
      </c>
      <c r="E249" s="2">
        <v>59</v>
      </c>
      <c r="F249" s="2" t="s">
        <v>1984</v>
      </c>
      <c r="G249" s="2" t="s">
        <v>1714</v>
      </c>
      <c r="H249" s="2" t="s">
        <v>2136</v>
      </c>
      <c r="I249" s="2" t="s">
        <v>864</v>
      </c>
      <c r="J249" s="2" t="s">
        <v>1716</v>
      </c>
      <c r="K249" s="2" t="s">
        <v>1716</v>
      </c>
      <c r="L249" s="2">
        <v>73</v>
      </c>
      <c r="M249" s="2">
        <v>54</v>
      </c>
    </row>
    <row r="250" spans="1:13" x14ac:dyDescent="0.25">
      <c r="A250" s="2">
        <v>540254</v>
      </c>
      <c r="B250" s="2" t="s">
        <v>804</v>
      </c>
      <c r="C250" s="2">
        <v>0</v>
      </c>
      <c r="D250" s="2">
        <v>241</v>
      </c>
      <c r="E250" s="2">
        <v>77</v>
      </c>
      <c r="F250" s="2" t="s">
        <v>1954</v>
      </c>
      <c r="G250" s="2" t="s">
        <v>1714</v>
      </c>
      <c r="H250" s="2" t="s">
        <v>2137</v>
      </c>
      <c r="I250" s="2" t="s">
        <v>804</v>
      </c>
      <c r="J250" s="2" t="s">
        <v>1716</v>
      </c>
      <c r="K250" s="2" t="s">
        <v>1716</v>
      </c>
      <c r="L250" s="2">
        <v>77</v>
      </c>
      <c r="M250" s="2">
        <v>54</v>
      </c>
    </row>
    <row r="251" spans="1:13" x14ac:dyDescent="0.25">
      <c r="A251" s="2">
        <v>540256</v>
      </c>
      <c r="B251" s="2" t="s">
        <v>2138</v>
      </c>
      <c r="C251" s="2">
        <v>0</v>
      </c>
      <c r="D251" s="2">
        <v>242</v>
      </c>
      <c r="E251" s="2">
        <v>125</v>
      </c>
      <c r="F251" s="2" t="s">
        <v>2049</v>
      </c>
      <c r="G251" s="2" t="s">
        <v>1714</v>
      </c>
      <c r="H251" s="2" t="s">
        <v>2139</v>
      </c>
      <c r="I251" s="2" t="s">
        <v>2138</v>
      </c>
      <c r="J251" s="2" t="s">
        <v>1716</v>
      </c>
      <c r="K251" s="2" t="s">
        <v>1716</v>
      </c>
      <c r="L251" s="2">
        <v>103</v>
      </c>
      <c r="M251" s="2">
        <v>54</v>
      </c>
    </row>
    <row r="252" spans="1:13" x14ac:dyDescent="0.25">
      <c r="A252" s="2">
        <v>540257</v>
      </c>
      <c r="B252" s="2" t="s">
        <v>805</v>
      </c>
      <c r="C252" s="2">
        <v>0</v>
      </c>
      <c r="D252" s="2">
        <v>243</v>
      </c>
      <c r="E252" s="2">
        <v>185</v>
      </c>
      <c r="F252" s="2" t="s">
        <v>1954</v>
      </c>
      <c r="G252" s="2" t="s">
        <v>1714</v>
      </c>
      <c r="H252" s="2" t="s">
        <v>2140</v>
      </c>
      <c r="I252" s="2" t="s">
        <v>805</v>
      </c>
      <c r="J252" s="2" t="s">
        <v>1716</v>
      </c>
      <c r="K252" s="2" t="s">
        <v>1716</v>
      </c>
      <c r="L252" s="2">
        <v>77</v>
      </c>
      <c r="M252" s="2">
        <v>54</v>
      </c>
    </row>
    <row r="253" spans="1:13" x14ac:dyDescent="0.25">
      <c r="A253" s="2">
        <v>540258</v>
      </c>
      <c r="B253" s="2" t="s">
        <v>2141</v>
      </c>
      <c r="C253" s="2">
        <v>0</v>
      </c>
      <c r="D253" s="2">
        <v>244</v>
      </c>
      <c r="E253" s="2">
        <v>34</v>
      </c>
      <c r="F253" s="2" t="s">
        <v>2049</v>
      </c>
      <c r="G253" s="2" t="s">
        <v>1714</v>
      </c>
      <c r="H253" s="2" t="s">
        <v>2142</v>
      </c>
      <c r="I253" s="2" t="s">
        <v>2141</v>
      </c>
      <c r="J253" s="2" t="s">
        <v>1716</v>
      </c>
      <c r="K253" s="2" t="s">
        <v>1716</v>
      </c>
      <c r="L253" s="2">
        <v>103</v>
      </c>
      <c r="M253" s="2">
        <v>54</v>
      </c>
    </row>
    <row r="254" spans="1:13" x14ac:dyDescent="0.25">
      <c r="A254" s="2">
        <v>540259</v>
      </c>
      <c r="B254" s="2" t="s">
        <v>2143</v>
      </c>
      <c r="C254" s="2">
        <v>0</v>
      </c>
      <c r="D254" s="2">
        <v>245</v>
      </c>
      <c r="E254" s="2">
        <v>109</v>
      </c>
      <c r="F254" s="2" t="s">
        <v>2046</v>
      </c>
      <c r="G254" s="2" t="s">
        <v>1714</v>
      </c>
      <c r="H254" s="2" t="s">
        <v>2144</v>
      </c>
      <c r="I254" s="2" t="s">
        <v>2143</v>
      </c>
      <c r="J254" s="2" t="s">
        <v>1716</v>
      </c>
      <c r="K254" s="2" t="s">
        <v>1716</v>
      </c>
      <c r="L254" s="2">
        <v>95</v>
      </c>
      <c r="M254" s="2">
        <v>54</v>
      </c>
    </row>
    <row r="255" spans="1:13" x14ac:dyDescent="0.25">
      <c r="A255" s="2">
        <v>540260</v>
      </c>
      <c r="B255" s="2" t="s">
        <v>2145</v>
      </c>
      <c r="C255" s="2">
        <v>0</v>
      </c>
      <c r="D255" s="2">
        <v>288</v>
      </c>
      <c r="E255" s="2">
        <v>204</v>
      </c>
      <c r="F255" s="2" t="s">
        <v>2037</v>
      </c>
      <c r="G255" s="2" t="s">
        <v>1714</v>
      </c>
      <c r="H255" s="2" t="s">
        <v>2146</v>
      </c>
      <c r="I255" s="2" t="s">
        <v>2145</v>
      </c>
      <c r="J255" s="2" t="s">
        <v>1716</v>
      </c>
      <c r="K255" s="2" t="s">
        <v>1716</v>
      </c>
      <c r="L255" s="2">
        <v>93</v>
      </c>
      <c r="M255" s="2">
        <v>54</v>
      </c>
    </row>
    <row r="256" spans="1:13" x14ac:dyDescent="0.25">
      <c r="A256" s="2">
        <v>540261</v>
      </c>
      <c r="B256" s="2" t="s">
        <v>2147</v>
      </c>
      <c r="C256" s="2">
        <v>0</v>
      </c>
      <c r="D256" s="2">
        <v>287</v>
      </c>
      <c r="E256" s="2">
        <v>240</v>
      </c>
      <c r="F256" s="2" t="s">
        <v>2037</v>
      </c>
      <c r="G256" s="2" t="s">
        <v>1714</v>
      </c>
      <c r="H256" s="2" t="s">
        <v>2148</v>
      </c>
      <c r="I256" s="2" t="s">
        <v>2147</v>
      </c>
      <c r="J256" s="2" t="s">
        <v>1716</v>
      </c>
      <c r="K256" s="2" t="s">
        <v>1716</v>
      </c>
      <c r="L256" s="2">
        <v>93</v>
      </c>
      <c r="M256" s="2">
        <v>54</v>
      </c>
    </row>
    <row r="257" spans="1:13" x14ac:dyDescent="0.25">
      <c r="A257" s="2">
        <v>540262</v>
      </c>
      <c r="B257" s="2" t="s">
        <v>2149</v>
      </c>
      <c r="C257" s="2">
        <v>0</v>
      </c>
      <c r="D257" s="2">
        <v>246</v>
      </c>
      <c r="E257" s="2">
        <v>46</v>
      </c>
      <c r="F257" s="2" t="s">
        <v>1946</v>
      </c>
      <c r="G257" s="2" t="s">
        <v>1714</v>
      </c>
      <c r="H257" s="2" t="s">
        <v>2150</v>
      </c>
      <c r="I257" s="2" t="s">
        <v>2149</v>
      </c>
      <c r="J257" s="2" t="s">
        <v>1716</v>
      </c>
      <c r="K257" s="2" t="s">
        <v>1716</v>
      </c>
      <c r="L257" s="2">
        <v>85</v>
      </c>
      <c r="M257" s="2">
        <v>54</v>
      </c>
    </row>
    <row r="258" spans="1:13" x14ac:dyDescent="0.25">
      <c r="A258" s="2">
        <v>540263</v>
      </c>
      <c r="B258" s="2" t="s">
        <v>2151</v>
      </c>
      <c r="C258" s="2">
        <v>0</v>
      </c>
      <c r="D258" s="2">
        <v>247</v>
      </c>
      <c r="E258" s="2">
        <v>28</v>
      </c>
      <c r="F258" s="2" t="s">
        <v>1946</v>
      </c>
      <c r="G258" s="2" t="s">
        <v>1714</v>
      </c>
      <c r="H258" s="2" t="s">
        <v>2152</v>
      </c>
      <c r="I258" s="2" t="s">
        <v>2151</v>
      </c>
      <c r="J258" s="2" t="s">
        <v>1716</v>
      </c>
      <c r="K258" s="2" t="s">
        <v>1716</v>
      </c>
      <c r="L258" s="2">
        <v>85</v>
      </c>
      <c r="M258" s="2">
        <v>54</v>
      </c>
    </row>
    <row r="259" spans="1:13" x14ac:dyDescent="0.25">
      <c r="A259" s="2">
        <v>540264</v>
      </c>
      <c r="B259" s="2" t="s">
        <v>905</v>
      </c>
      <c r="C259" s="2">
        <v>0</v>
      </c>
      <c r="D259" s="2">
        <v>248</v>
      </c>
      <c r="E259" s="2">
        <v>65</v>
      </c>
      <c r="F259" s="2" t="s">
        <v>2011</v>
      </c>
      <c r="G259" s="2" t="s">
        <v>1714</v>
      </c>
      <c r="H259" s="2" t="s">
        <v>2153</v>
      </c>
      <c r="I259" s="2" t="s">
        <v>905</v>
      </c>
      <c r="J259" s="2" t="s">
        <v>1716</v>
      </c>
      <c r="K259" s="2" t="s">
        <v>1716</v>
      </c>
      <c r="L259" s="2">
        <v>83</v>
      </c>
      <c r="M259" s="2">
        <v>54</v>
      </c>
    </row>
    <row r="260" spans="1:13" x14ac:dyDescent="0.25">
      <c r="A260" s="2">
        <v>540265</v>
      </c>
      <c r="B260" s="2" t="s">
        <v>906</v>
      </c>
      <c r="C260" s="2">
        <v>0</v>
      </c>
      <c r="D260" s="2">
        <v>249</v>
      </c>
      <c r="E260" s="2">
        <v>153</v>
      </c>
      <c r="F260" s="2" t="s">
        <v>2011</v>
      </c>
      <c r="G260" s="2" t="s">
        <v>1714</v>
      </c>
      <c r="H260" s="2" t="s">
        <v>2154</v>
      </c>
      <c r="I260" s="2" t="s">
        <v>906</v>
      </c>
      <c r="J260" s="2" t="s">
        <v>1716</v>
      </c>
      <c r="K260" s="2" t="s">
        <v>1716</v>
      </c>
      <c r="L260" s="2">
        <v>83</v>
      </c>
      <c r="M260" s="2">
        <v>54</v>
      </c>
    </row>
    <row r="261" spans="1:13" x14ac:dyDescent="0.25">
      <c r="A261" s="2">
        <v>540266</v>
      </c>
      <c r="B261" s="2" t="s">
        <v>907</v>
      </c>
      <c r="C261" s="2">
        <v>0</v>
      </c>
      <c r="D261" s="2">
        <v>250</v>
      </c>
      <c r="E261" s="2">
        <v>147</v>
      </c>
      <c r="F261" s="2" t="s">
        <v>2011</v>
      </c>
      <c r="G261" s="2" t="s">
        <v>1714</v>
      </c>
      <c r="H261" s="2" t="s">
        <v>2155</v>
      </c>
      <c r="I261" s="2" t="s">
        <v>907</v>
      </c>
      <c r="J261" s="2" t="s">
        <v>1716</v>
      </c>
      <c r="K261" s="2" t="s">
        <v>1716</v>
      </c>
      <c r="L261" s="2">
        <v>83</v>
      </c>
      <c r="M261" s="2">
        <v>54</v>
      </c>
    </row>
    <row r="262" spans="1:13" x14ac:dyDescent="0.25">
      <c r="A262" s="2">
        <v>540267</v>
      </c>
      <c r="B262" s="2" t="s">
        <v>908</v>
      </c>
      <c r="C262" s="2">
        <v>0</v>
      </c>
      <c r="D262" s="2">
        <v>251</v>
      </c>
      <c r="E262" s="2">
        <v>63</v>
      </c>
      <c r="F262" s="2" t="s">
        <v>2011</v>
      </c>
      <c r="G262" s="2" t="s">
        <v>1714</v>
      </c>
      <c r="H262" s="2" t="s">
        <v>2156</v>
      </c>
      <c r="I262" s="2" t="s">
        <v>908</v>
      </c>
      <c r="J262" s="2" t="s">
        <v>1716</v>
      </c>
      <c r="K262" s="2" t="s">
        <v>1716</v>
      </c>
      <c r="L262" s="2">
        <v>83</v>
      </c>
      <c r="M262" s="2">
        <v>54</v>
      </c>
    </row>
    <row r="263" spans="1:13" x14ac:dyDescent="0.25">
      <c r="A263" s="2">
        <v>540268</v>
      </c>
      <c r="B263" s="2" t="s">
        <v>806</v>
      </c>
      <c r="C263" s="2">
        <v>0</v>
      </c>
      <c r="D263" s="2">
        <v>252</v>
      </c>
      <c r="E263" s="2">
        <v>158</v>
      </c>
      <c r="F263" s="2" t="s">
        <v>1954</v>
      </c>
      <c r="G263" s="2" t="s">
        <v>1714</v>
      </c>
      <c r="H263" s="2" t="s">
        <v>2157</v>
      </c>
      <c r="I263" s="2" t="s">
        <v>806</v>
      </c>
      <c r="J263" s="2" t="s">
        <v>1716</v>
      </c>
      <c r="K263" s="2" t="s">
        <v>1716</v>
      </c>
      <c r="L263" s="2">
        <v>77</v>
      </c>
      <c r="M263" s="2">
        <v>54</v>
      </c>
    </row>
    <row r="264" spans="1:13" x14ac:dyDescent="0.25">
      <c r="A264" s="2">
        <v>540269</v>
      </c>
      <c r="B264" s="2" t="s">
        <v>807</v>
      </c>
      <c r="C264" s="2">
        <v>0</v>
      </c>
      <c r="D264" s="2">
        <v>253</v>
      </c>
      <c r="E264" s="2">
        <v>166</v>
      </c>
      <c r="F264" s="2" t="s">
        <v>1954</v>
      </c>
      <c r="G264" s="2" t="s">
        <v>1714</v>
      </c>
      <c r="H264" s="2" t="s">
        <v>2158</v>
      </c>
      <c r="I264" s="2" t="s">
        <v>807</v>
      </c>
      <c r="J264" s="2" t="s">
        <v>1716</v>
      </c>
      <c r="K264" s="2" t="s">
        <v>1716</v>
      </c>
      <c r="L264" s="2">
        <v>77</v>
      </c>
      <c r="M264" s="2">
        <v>54</v>
      </c>
    </row>
    <row r="265" spans="1:13" x14ac:dyDescent="0.25">
      <c r="A265" s="2">
        <v>540270</v>
      </c>
      <c r="B265" s="2" t="s">
        <v>808</v>
      </c>
      <c r="C265" s="2">
        <v>0</v>
      </c>
      <c r="D265" s="2">
        <v>254</v>
      </c>
      <c r="E265" s="2">
        <v>22</v>
      </c>
      <c r="F265" s="2" t="s">
        <v>1954</v>
      </c>
      <c r="G265" s="2" t="s">
        <v>1714</v>
      </c>
      <c r="H265" s="2" t="s">
        <v>2159</v>
      </c>
      <c r="I265" s="2" t="s">
        <v>808</v>
      </c>
      <c r="J265" s="2" t="s">
        <v>1716</v>
      </c>
      <c r="K265" s="2" t="s">
        <v>1716</v>
      </c>
      <c r="L265" s="2">
        <v>77</v>
      </c>
      <c r="M265" s="2">
        <v>54</v>
      </c>
    </row>
    <row r="266" spans="1:13" x14ac:dyDescent="0.25">
      <c r="A266" s="2">
        <v>540271</v>
      </c>
      <c r="B266" s="2" t="s">
        <v>816</v>
      </c>
      <c r="C266" s="2">
        <v>15</v>
      </c>
      <c r="D266" s="2">
        <v>255</v>
      </c>
      <c r="E266" s="2">
        <v>196</v>
      </c>
      <c r="F266" s="2" t="s">
        <v>1994</v>
      </c>
      <c r="G266" s="2" t="s">
        <v>1714</v>
      </c>
      <c r="H266" s="2" t="s">
        <v>2160</v>
      </c>
      <c r="I266" s="2" t="s">
        <v>816</v>
      </c>
      <c r="J266" s="2" t="s">
        <v>1716</v>
      </c>
      <c r="K266" s="2" t="s">
        <v>1716</v>
      </c>
      <c r="L266" s="2">
        <v>79</v>
      </c>
      <c r="M266" s="2">
        <v>54</v>
      </c>
    </row>
    <row r="267" spans="1:13" x14ac:dyDescent="0.25">
      <c r="A267" s="2">
        <v>540272</v>
      </c>
      <c r="B267" s="2" t="s">
        <v>782</v>
      </c>
      <c r="C267" s="2">
        <v>0</v>
      </c>
      <c r="D267" s="2">
        <v>256</v>
      </c>
      <c r="E267" s="2">
        <v>117</v>
      </c>
      <c r="F267" s="2" t="s">
        <v>1957</v>
      </c>
      <c r="G267" s="2" t="s">
        <v>1714</v>
      </c>
      <c r="H267" s="2" t="s">
        <v>2161</v>
      </c>
      <c r="I267" s="2" t="s">
        <v>782</v>
      </c>
      <c r="J267" s="2" t="s">
        <v>1716</v>
      </c>
      <c r="K267" s="2" t="s">
        <v>1716</v>
      </c>
      <c r="L267" s="2">
        <v>61</v>
      </c>
      <c r="M267" s="2">
        <v>54</v>
      </c>
    </row>
    <row r="268" spans="1:13" x14ac:dyDescent="0.25">
      <c r="A268" s="2">
        <v>540273</v>
      </c>
      <c r="B268" s="2" t="s">
        <v>783</v>
      </c>
      <c r="C268" s="2">
        <v>0</v>
      </c>
      <c r="D268" s="2">
        <v>257</v>
      </c>
      <c r="E268" s="2">
        <v>183</v>
      </c>
      <c r="F268" s="2" t="s">
        <v>1957</v>
      </c>
      <c r="G268" s="2" t="s">
        <v>1714</v>
      </c>
      <c r="H268" s="2" t="s">
        <v>2162</v>
      </c>
      <c r="I268" s="2" t="s">
        <v>783</v>
      </c>
      <c r="J268" s="2" t="s">
        <v>1716</v>
      </c>
      <c r="K268" s="2" t="s">
        <v>1716</v>
      </c>
      <c r="L268" s="2">
        <v>61</v>
      </c>
      <c r="M268" s="2">
        <v>54</v>
      </c>
    </row>
    <row r="269" spans="1:13" x14ac:dyDescent="0.25">
      <c r="A269" s="2">
        <v>540274</v>
      </c>
      <c r="B269" s="2" t="s">
        <v>784</v>
      </c>
      <c r="C269" s="2">
        <v>1</v>
      </c>
      <c r="D269" s="2">
        <v>258</v>
      </c>
      <c r="E269" s="2">
        <v>118</v>
      </c>
      <c r="F269" s="2" t="s">
        <v>1957</v>
      </c>
      <c r="G269" s="2" t="s">
        <v>1714</v>
      </c>
      <c r="H269" s="2" t="s">
        <v>2163</v>
      </c>
      <c r="I269" s="2" t="s">
        <v>784</v>
      </c>
      <c r="J269" s="2" t="s">
        <v>1716</v>
      </c>
      <c r="K269" s="2" t="s">
        <v>1716</v>
      </c>
      <c r="L269" s="2">
        <v>61</v>
      </c>
      <c r="M269" s="2">
        <v>54</v>
      </c>
    </row>
    <row r="270" spans="1:13" x14ac:dyDescent="0.25">
      <c r="A270" s="2">
        <v>540275</v>
      </c>
      <c r="B270" s="2" t="s">
        <v>2164</v>
      </c>
      <c r="C270" s="2">
        <v>0</v>
      </c>
      <c r="D270" s="2">
        <v>259</v>
      </c>
      <c r="E270" s="2">
        <v>62</v>
      </c>
      <c r="F270" s="2" t="s">
        <v>1863</v>
      </c>
      <c r="G270" s="2" t="s">
        <v>1714</v>
      </c>
      <c r="H270" s="2" t="s">
        <v>2165</v>
      </c>
      <c r="I270" s="2" t="s">
        <v>2164</v>
      </c>
      <c r="J270" s="2" t="s">
        <v>1716</v>
      </c>
      <c r="K270" s="2" t="s">
        <v>1716</v>
      </c>
      <c r="L270" s="2">
        <v>69</v>
      </c>
      <c r="M270" s="2">
        <v>54</v>
      </c>
    </row>
    <row r="271" spans="1:13" x14ac:dyDescent="0.25">
      <c r="A271" s="2">
        <v>540276</v>
      </c>
      <c r="B271" s="2" t="s">
        <v>2166</v>
      </c>
      <c r="C271" s="2">
        <v>0</v>
      </c>
      <c r="D271" s="2">
        <v>260</v>
      </c>
      <c r="E271" s="2">
        <v>171</v>
      </c>
      <c r="F271" s="2" t="s">
        <v>1813</v>
      </c>
      <c r="G271" s="2" t="s">
        <v>1714</v>
      </c>
      <c r="H271" s="2" t="s">
        <v>2167</v>
      </c>
      <c r="I271" s="2" t="s">
        <v>2166</v>
      </c>
      <c r="J271" s="2" t="s">
        <v>1716</v>
      </c>
      <c r="K271" s="2" t="s">
        <v>1716</v>
      </c>
      <c r="L271" s="2">
        <v>27</v>
      </c>
      <c r="M271" s="2">
        <v>54</v>
      </c>
    </row>
    <row r="272" spans="1:13" x14ac:dyDescent="0.25">
      <c r="A272" s="2">
        <v>540277</v>
      </c>
      <c r="B272" s="2" t="s">
        <v>103</v>
      </c>
      <c r="C272" s="2">
        <v>4</v>
      </c>
      <c r="D272" s="2">
        <v>47</v>
      </c>
      <c r="E272" s="2">
        <v>29</v>
      </c>
      <c r="F272" s="2" t="s">
        <v>2046</v>
      </c>
      <c r="G272" s="2" t="s">
        <v>1714</v>
      </c>
      <c r="H272" s="2" t="s">
        <v>2168</v>
      </c>
      <c r="I272" s="2" t="s">
        <v>103</v>
      </c>
      <c r="J272" s="2" t="s">
        <v>1840</v>
      </c>
      <c r="K272" s="2" t="s">
        <v>1716</v>
      </c>
      <c r="L272" s="2">
        <v>95</v>
      </c>
      <c r="M272" s="2">
        <v>54</v>
      </c>
    </row>
    <row r="273" spans="1:13" x14ac:dyDescent="0.25">
      <c r="A273" s="2">
        <v>540278</v>
      </c>
      <c r="B273" s="2" t="s">
        <v>105</v>
      </c>
      <c r="C273" s="2">
        <v>3</v>
      </c>
      <c r="D273" s="2">
        <v>48</v>
      </c>
      <c r="E273" s="2">
        <v>31</v>
      </c>
      <c r="F273" s="2" t="s">
        <v>1800</v>
      </c>
      <c r="G273" s="2" t="s">
        <v>1714</v>
      </c>
      <c r="H273" s="2" t="s">
        <v>2169</v>
      </c>
      <c r="I273" s="2" t="s">
        <v>105</v>
      </c>
      <c r="J273" s="2" t="s">
        <v>1716</v>
      </c>
      <c r="K273" s="2" t="s">
        <v>1716</v>
      </c>
      <c r="L273" s="2">
        <v>63</v>
      </c>
      <c r="M273" s="2">
        <v>54</v>
      </c>
    </row>
    <row r="274" spans="1:13" x14ac:dyDescent="0.25">
      <c r="A274" s="2">
        <v>540279</v>
      </c>
      <c r="B274" s="2" t="s">
        <v>715</v>
      </c>
      <c r="C274" s="2">
        <v>0</v>
      </c>
      <c r="D274" s="2">
        <v>261</v>
      </c>
      <c r="E274" s="2">
        <v>15</v>
      </c>
      <c r="F274" s="2" t="s">
        <v>1779</v>
      </c>
      <c r="G274" s="2" t="s">
        <v>1714</v>
      </c>
      <c r="H274" s="2" t="s">
        <v>2170</v>
      </c>
      <c r="I274" s="2" t="s">
        <v>715</v>
      </c>
      <c r="J274" s="2" t="s">
        <v>1716</v>
      </c>
      <c r="K274" s="2" t="s">
        <v>1716</v>
      </c>
      <c r="L274" s="2">
        <v>39</v>
      </c>
      <c r="M274" s="2">
        <v>54</v>
      </c>
    </row>
    <row r="275" spans="1:13" x14ac:dyDescent="0.25">
      <c r="A275" s="2">
        <v>540280</v>
      </c>
      <c r="B275" s="2" t="s">
        <v>2171</v>
      </c>
      <c r="C275" s="2">
        <v>0</v>
      </c>
      <c r="D275" s="2">
        <v>290</v>
      </c>
      <c r="E275" s="2">
        <v>41</v>
      </c>
      <c r="F275" s="2" t="s">
        <v>1771</v>
      </c>
      <c r="G275" s="2" t="s">
        <v>1714</v>
      </c>
      <c r="H275" s="2" t="s">
        <v>2172</v>
      </c>
      <c r="I275" s="2" t="s">
        <v>2171</v>
      </c>
      <c r="J275" s="2" t="s">
        <v>1716</v>
      </c>
      <c r="K275" s="2" t="s">
        <v>1716</v>
      </c>
      <c r="L275" s="2">
        <v>19</v>
      </c>
      <c r="M275" s="2">
        <v>54</v>
      </c>
    </row>
    <row r="276" spans="1:13" x14ac:dyDescent="0.25">
      <c r="A276" s="2">
        <v>540281</v>
      </c>
      <c r="B276" s="2" t="s">
        <v>2173</v>
      </c>
      <c r="C276" s="2">
        <v>0</v>
      </c>
      <c r="D276" s="2">
        <v>262</v>
      </c>
      <c r="E276" s="2">
        <v>18</v>
      </c>
      <c r="F276" s="2" t="s">
        <v>1797</v>
      </c>
      <c r="G276" s="2" t="s">
        <v>1714</v>
      </c>
      <c r="H276" s="2" t="s">
        <v>2174</v>
      </c>
      <c r="I276" s="2" t="s">
        <v>2173</v>
      </c>
      <c r="J276" s="2" t="s">
        <v>1716</v>
      </c>
      <c r="K276" s="2" t="s">
        <v>1716</v>
      </c>
      <c r="L276" s="2">
        <v>25</v>
      </c>
      <c r="M276" s="2">
        <v>54</v>
      </c>
    </row>
    <row r="277" spans="1:13" x14ac:dyDescent="0.25">
      <c r="A277" s="2">
        <v>540282</v>
      </c>
      <c r="B277" s="2" t="s">
        <v>107</v>
      </c>
      <c r="C277" s="2">
        <v>7</v>
      </c>
      <c r="D277" s="2">
        <v>49</v>
      </c>
      <c r="E277" s="2">
        <v>13</v>
      </c>
      <c r="F277" s="2" t="s">
        <v>1728</v>
      </c>
      <c r="G277" s="2" t="s">
        <v>1714</v>
      </c>
      <c r="H277" s="2" t="s">
        <v>2175</v>
      </c>
      <c r="I277" s="2" t="s">
        <v>107</v>
      </c>
      <c r="J277" s="2" t="s">
        <v>1716</v>
      </c>
      <c r="K277" s="2" t="s">
        <v>1716</v>
      </c>
      <c r="L277" s="2">
        <v>3</v>
      </c>
      <c r="M277" s="2">
        <v>54</v>
      </c>
    </row>
    <row r="278" spans="1:13" x14ac:dyDescent="0.25">
      <c r="A278" s="2">
        <v>540283</v>
      </c>
      <c r="B278" s="2" t="s">
        <v>878</v>
      </c>
      <c r="C278" s="2">
        <v>7</v>
      </c>
      <c r="D278" s="2">
        <v>50</v>
      </c>
      <c r="E278" s="2">
        <v>23</v>
      </c>
      <c r="F278" s="2" t="s">
        <v>1986</v>
      </c>
      <c r="G278" s="2" t="s">
        <v>1714</v>
      </c>
      <c r="H278" s="2" t="s">
        <v>2176</v>
      </c>
      <c r="I278" s="2" t="s">
        <v>878</v>
      </c>
      <c r="J278" s="2" t="s">
        <v>1716</v>
      </c>
      <c r="K278" s="2" t="s">
        <v>1716</v>
      </c>
      <c r="L278" s="2">
        <v>75</v>
      </c>
      <c r="M278" s="2">
        <v>54</v>
      </c>
    </row>
    <row r="279" spans="1:13" x14ac:dyDescent="0.25">
      <c r="A279" s="2">
        <v>540284</v>
      </c>
      <c r="B279" s="2" t="s">
        <v>809</v>
      </c>
      <c r="C279" s="2">
        <v>0</v>
      </c>
      <c r="D279" s="2">
        <v>263</v>
      </c>
      <c r="E279" s="2">
        <v>6</v>
      </c>
      <c r="F279" s="2" t="s">
        <v>1954</v>
      </c>
      <c r="G279" s="2" t="s">
        <v>1714</v>
      </c>
      <c r="H279" s="2" t="s">
        <v>2177</v>
      </c>
      <c r="I279" s="2" t="s">
        <v>809</v>
      </c>
      <c r="J279" s="2" t="s">
        <v>1716</v>
      </c>
      <c r="K279" s="2" t="s">
        <v>1716</v>
      </c>
      <c r="L279" s="2">
        <v>77</v>
      </c>
      <c r="M279" s="2">
        <v>54</v>
      </c>
    </row>
    <row r="280" spans="1:13" x14ac:dyDescent="0.25">
      <c r="A280" s="2">
        <v>540285</v>
      </c>
      <c r="B280" s="2" t="s">
        <v>2178</v>
      </c>
      <c r="C280" s="2">
        <v>1</v>
      </c>
      <c r="D280" s="2">
        <v>264</v>
      </c>
      <c r="E280" s="2">
        <v>66</v>
      </c>
      <c r="F280" s="2" t="s">
        <v>1932</v>
      </c>
      <c r="G280" s="2" t="s">
        <v>1714</v>
      </c>
      <c r="H280" s="2" t="s">
        <v>2179</v>
      </c>
      <c r="I280" s="2" t="s">
        <v>2178</v>
      </c>
      <c r="J280" s="2" t="s">
        <v>1716</v>
      </c>
      <c r="K280" s="2" t="s">
        <v>1716</v>
      </c>
      <c r="L280" s="2">
        <v>55</v>
      </c>
      <c r="M280" s="2">
        <v>54</v>
      </c>
    </row>
    <row r="281" spans="1:13" x14ac:dyDescent="0.25">
      <c r="A281" s="2">
        <v>540286</v>
      </c>
      <c r="B281" s="2" t="s">
        <v>2180</v>
      </c>
      <c r="C281" s="2">
        <v>2</v>
      </c>
      <c r="D281" s="2">
        <v>265</v>
      </c>
      <c r="E281" s="2">
        <v>139</v>
      </c>
      <c r="F281" s="2" t="s">
        <v>1999</v>
      </c>
      <c r="G281" s="2" t="s">
        <v>1714</v>
      </c>
      <c r="H281" s="2" t="s">
        <v>2181</v>
      </c>
      <c r="I281" s="2" t="s">
        <v>2180</v>
      </c>
      <c r="J281" s="2" t="s">
        <v>1716</v>
      </c>
      <c r="K281" s="2" t="s">
        <v>1716</v>
      </c>
      <c r="L281" s="2">
        <v>81</v>
      </c>
      <c r="M281" s="2">
        <v>54</v>
      </c>
    </row>
    <row r="282" spans="1:13" x14ac:dyDescent="0.25">
      <c r="A282" s="2">
        <v>540287</v>
      </c>
      <c r="B282" s="2" t="s">
        <v>2182</v>
      </c>
      <c r="C282" s="2">
        <v>1</v>
      </c>
      <c r="D282" s="2">
        <v>266</v>
      </c>
      <c r="E282" s="2">
        <v>60</v>
      </c>
      <c r="F282" s="2" t="s">
        <v>1906</v>
      </c>
      <c r="G282" s="2" t="s">
        <v>1714</v>
      </c>
      <c r="H282" s="2" t="s">
        <v>2183</v>
      </c>
      <c r="I282" s="2" t="s">
        <v>2182</v>
      </c>
      <c r="J282" s="2" t="s">
        <v>1716</v>
      </c>
      <c r="K282" s="2" t="s">
        <v>1716</v>
      </c>
      <c r="L282" s="2">
        <v>51</v>
      </c>
      <c r="M282" s="2">
        <v>54</v>
      </c>
    </row>
    <row r="283" spans="1:13" x14ac:dyDescent="0.25">
      <c r="A283" s="2">
        <v>540288</v>
      </c>
      <c r="B283" s="2" t="s">
        <v>881</v>
      </c>
      <c r="C283" s="2">
        <v>0</v>
      </c>
      <c r="D283" s="2">
        <v>280</v>
      </c>
      <c r="E283" s="2">
        <v>16</v>
      </c>
      <c r="F283" s="2" t="s">
        <v>1986</v>
      </c>
      <c r="G283" s="2" t="s">
        <v>1714</v>
      </c>
      <c r="H283" s="2" t="s">
        <v>2184</v>
      </c>
      <c r="I283" s="2" t="s">
        <v>881</v>
      </c>
      <c r="J283" s="2" t="s">
        <v>1716</v>
      </c>
      <c r="K283" s="2" t="s">
        <v>1716</v>
      </c>
      <c r="L283" s="2">
        <v>75</v>
      </c>
      <c r="M283" s="2">
        <v>54</v>
      </c>
    </row>
    <row r="284" spans="1:13" x14ac:dyDescent="0.25">
      <c r="A284" s="2">
        <v>540290</v>
      </c>
      <c r="B284" s="2" t="s">
        <v>2185</v>
      </c>
      <c r="C284" s="2">
        <v>0</v>
      </c>
      <c r="D284" s="2">
        <v>267</v>
      </c>
      <c r="E284" s="2">
        <v>187</v>
      </c>
      <c r="F284" s="2" t="s">
        <v>1800</v>
      </c>
      <c r="G284" s="2" t="s">
        <v>1714</v>
      </c>
      <c r="H284" s="2" t="s">
        <v>2186</v>
      </c>
      <c r="I284" s="2" t="s">
        <v>2185</v>
      </c>
      <c r="J284" s="2" t="s">
        <v>1716</v>
      </c>
      <c r="K284" s="2" t="s">
        <v>1716</v>
      </c>
      <c r="L284" s="2">
        <v>63</v>
      </c>
      <c r="M284" s="2">
        <v>54</v>
      </c>
    </row>
    <row r="285" spans="1:13" x14ac:dyDescent="0.25">
      <c r="A285" s="2">
        <v>540291</v>
      </c>
      <c r="B285" s="2" t="s">
        <v>759</v>
      </c>
      <c r="C285" s="2">
        <v>1</v>
      </c>
      <c r="D285" s="2">
        <v>268</v>
      </c>
      <c r="E285" s="2">
        <v>70</v>
      </c>
      <c r="F285" s="2" t="s">
        <v>1921</v>
      </c>
      <c r="G285" s="2" t="s">
        <v>1714</v>
      </c>
      <c r="H285" s="2" t="s">
        <v>2187</v>
      </c>
      <c r="I285" s="2" t="s">
        <v>759</v>
      </c>
      <c r="J285" s="2" t="s">
        <v>1716</v>
      </c>
      <c r="K285" s="2" t="s">
        <v>1716</v>
      </c>
      <c r="L285" s="2">
        <v>47</v>
      </c>
      <c r="M285" s="2">
        <v>54</v>
      </c>
    </row>
    <row r="286" spans="1:13" x14ac:dyDescent="0.25">
      <c r="A286" s="2">
        <v>540292</v>
      </c>
      <c r="B286" s="2" t="s">
        <v>733</v>
      </c>
      <c r="C286" s="2">
        <v>0</v>
      </c>
      <c r="D286" s="2">
        <v>269</v>
      </c>
      <c r="E286" s="2">
        <v>162</v>
      </c>
      <c r="F286" s="2" t="s">
        <v>1894</v>
      </c>
      <c r="G286" s="2" t="s">
        <v>1714</v>
      </c>
      <c r="H286" s="2" t="s">
        <v>2188</v>
      </c>
      <c r="I286" s="2" t="s">
        <v>733</v>
      </c>
      <c r="J286" s="2" t="s">
        <v>1716</v>
      </c>
      <c r="K286" s="2" t="s">
        <v>1716</v>
      </c>
      <c r="L286" s="2">
        <v>49</v>
      </c>
      <c r="M286" s="2">
        <v>54</v>
      </c>
    </row>
    <row r="287" spans="1:13" x14ac:dyDescent="0.25">
      <c r="A287" s="2">
        <v>540293</v>
      </c>
      <c r="B287" s="2" t="s">
        <v>2189</v>
      </c>
      <c r="C287" s="2">
        <v>0</v>
      </c>
      <c r="D287" s="2">
        <v>270</v>
      </c>
      <c r="E287" s="2">
        <v>40</v>
      </c>
      <c r="F287" s="2" t="s">
        <v>1771</v>
      </c>
      <c r="G287" s="2" t="s">
        <v>1714</v>
      </c>
      <c r="H287" s="2" t="s">
        <v>2190</v>
      </c>
      <c r="I287" s="2" t="s">
        <v>2189</v>
      </c>
      <c r="J287" s="2" t="s">
        <v>1716</v>
      </c>
      <c r="K287" s="2" t="s">
        <v>1716</v>
      </c>
      <c r="L287" s="2">
        <v>19</v>
      </c>
      <c r="M287" s="2">
        <v>54</v>
      </c>
    </row>
    <row r="288" spans="1:13" x14ac:dyDescent="0.25">
      <c r="A288" s="2">
        <v>540294</v>
      </c>
      <c r="B288" s="2" t="s">
        <v>2191</v>
      </c>
      <c r="C288" s="2">
        <v>1</v>
      </c>
      <c r="D288" s="2">
        <v>271</v>
      </c>
      <c r="E288" s="2">
        <v>112</v>
      </c>
      <c r="F288" s="2" t="s">
        <v>1771</v>
      </c>
      <c r="G288" s="2" t="s">
        <v>1714</v>
      </c>
      <c r="H288" s="2" t="s">
        <v>2192</v>
      </c>
      <c r="I288" s="2" t="s">
        <v>2191</v>
      </c>
      <c r="J288" s="2" t="s">
        <v>1716</v>
      </c>
      <c r="K288" s="2" t="s">
        <v>1716</v>
      </c>
      <c r="L288" s="2">
        <v>19</v>
      </c>
      <c r="M288" s="2">
        <v>54</v>
      </c>
    </row>
    <row r="289" spans="1:13" x14ac:dyDescent="0.25">
      <c r="A289" s="2">
        <v>545535</v>
      </c>
      <c r="B289" s="2" t="s">
        <v>2193</v>
      </c>
      <c r="C289" s="2">
        <v>0</v>
      </c>
      <c r="D289" s="2">
        <v>272</v>
      </c>
      <c r="E289" s="2">
        <v>136</v>
      </c>
      <c r="F289" s="2" t="s">
        <v>1885</v>
      </c>
      <c r="G289" s="2" t="s">
        <v>1714</v>
      </c>
      <c r="H289" s="2" t="s">
        <v>2194</v>
      </c>
      <c r="I289" s="2" t="s">
        <v>2193</v>
      </c>
      <c r="J289" s="2" t="s">
        <v>1716</v>
      </c>
      <c r="K289" s="2" t="s">
        <v>1716</v>
      </c>
      <c r="L289" s="2">
        <v>45</v>
      </c>
      <c r="M289" s="2">
        <v>54</v>
      </c>
    </row>
    <row r="290" spans="1:13" x14ac:dyDescent="0.25">
      <c r="A290" s="2">
        <v>545536</v>
      </c>
      <c r="B290" s="2" t="s">
        <v>111</v>
      </c>
      <c r="C290" s="2">
        <v>85</v>
      </c>
      <c r="D290" s="2">
        <v>51</v>
      </c>
      <c r="E290" s="2">
        <v>35</v>
      </c>
      <c r="F290" s="2" t="s">
        <v>1885</v>
      </c>
      <c r="G290" s="2" t="s">
        <v>1714</v>
      </c>
      <c r="H290" s="2" t="s">
        <v>2195</v>
      </c>
      <c r="I290" s="2" t="s">
        <v>111</v>
      </c>
      <c r="J290" s="2" t="s">
        <v>1840</v>
      </c>
      <c r="K290" s="2" t="s">
        <v>1716</v>
      </c>
      <c r="L290" s="2">
        <v>45</v>
      </c>
      <c r="M290" s="2">
        <v>54</v>
      </c>
    </row>
    <row r="291" spans="1:13" x14ac:dyDescent="0.25">
      <c r="A291" s="2">
        <v>545537</v>
      </c>
      <c r="B291" s="2" t="s">
        <v>2196</v>
      </c>
      <c r="C291" s="2">
        <v>2</v>
      </c>
      <c r="D291" s="2">
        <v>273</v>
      </c>
      <c r="E291" s="2">
        <v>141</v>
      </c>
      <c r="F291" s="2" t="s">
        <v>1885</v>
      </c>
      <c r="G291" s="2" t="s">
        <v>1714</v>
      </c>
      <c r="H291" s="2" t="s">
        <v>2197</v>
      </c>
      <c r="I291" s="2" t="s">
        <v>2196</v>
      </c>
      <c r="J291" s="2" t="s">
        <v>1716</v>
      </c>
      <c r="K291" s="2" t="s">
        <v>1716</v>
      </c>
      <c r="L291" s="2">
        <v>45</v>
      </c>
      <c r="M291" s="2">
        <v>54</v>
      </c>
    </row>
    <row r="292" spans="1:13" x14ac:dyDescent="0.25">
      <c r="A292" s="2">
        <v>545538</v>
      </c>
      <c r="B292" s="2" t="s">
        <v>778</v>
      </c>
      <c r="C292" s="2">
        <v>0</v>
      </c>
      <c r="D292" s="2">
        <v>274</v>
      </c>
      <c r="E292" s="2">
        <v>225</v>
      </c>
      <c r="F292" s="2" t="s">
        <v>1949</v>
      </c>
      <c r="G292" s="2" t="s">
        <v>1714</v>
      </c>
      <c r="H292" s="2" t="s">
        <v>2198</v>
      </c>
      <c r="I292" s="2" t="s">
        <v>778</v>
      </c>
      <c r="J292" s="2" t="s">
        <v>1716</v>
      </c>
      <c r="K292" s="2" t="s">
        <v>1716</v>
      </c>
      <c r="L292" s="2">
        <v>59</v>
      </c>
      <c r="M292" s="2">
        <v>54</v>
      </c>
    </row>
    <row r="293" spans="1:13" x14ac:dyDescent="0.25">
      <c r="A293" s="2">
        <v>545539</v>
      </c>
      <c r="B293" s="2" t="s">
        <v>2199</v>
      </c>
      <c r="C293" s="2">
        <v>0</v>
      </c>
      <c r="D293" s="2">
        <v>275</v>
      </c>
      <c r="E293" s="2">
        <v>150</v>
      </c>
      <c r="F293" s="2" t="s">
        <v>1885</v>
      </c>
      <c r="G293" s="2" t="s">
        <v>1714</v>
      </c>
      <c r="H293" s="2" t="s">
        <v>2200</v>
      </c>
      <c r="I293" s="2" t="s">
        <v>2199</v>
      </c>
      <c r="J293" s="2" t="s">
        <v>1716</v>
      </c>
      <c r="K293" s="2" t="s">
        <v>1716</v>
      </c>
      <c r="L293" s="2">
        <v>45</v>
      </c>
      <c r="M293" s="2">
        <v>54</v>
      </c>
    </row>
    <row r="294" spans="1:13" x14ac:dyDescent="0.25">
      <c r="A294" s="2">
        <v>545550</v>
      </c>
      <c r="B294" s="2" t="s">
        <v>2201</v>
      </c>
      <c r="C294" s="2">
        <v>0</v>
      </c>
      <c r="D294" s="2">
        <v>279</v>
      </c>
      <c r="E294" s="2">
        <v>123</v>
      </c>
      <c r="F294" s="2" t="s">
        <v>1728</v>
      </c>
      <c r="G294" s="2" t="s">
        <v>1714</v>
      </c>
      <c r="H294" s="2" t="s">
        <v>2202</v>
      </c>
      <c r="I294" s="2" t="s">
        <v>2201</v>
      </c>
      <c r="J294" s="2" t="s">
        <v>1716</v>
      </c>
      <c r="K294" s="2" t="s">
        <v>1716</v>
      </c>
      <c r="L294" s="2">
        <v>3</v>
      </c>
      <c r="M294" s="2">
        <v>54</v>
      </c>
    </row>
    <row r="295" spans="1:13" x14ac:dyDescent="0.25">
      <c r="A295" s="2">
        <v>545555</v>
      </c>
      <c r="B295" s="2" t="s">
        <v>771</v>
      </c>
      <c r="C295" s="2">
        <v>0</v>
      </c>
      <c r="D295" s="2">
        <v>276</v>
      </c>
      <c r="E295" s="2">
        <v>206</v>
      </c>
      <c r="F295" s="2" t="s">
        <v>1882</v>
      </c>
      <c r="G295" s="2" t="s">
        <v>1714</v>
      </c>
      <c r="H295" s="2" t="s">
        <v>2203</v>
      </c>
      <c r="I295" s="2" t="s">
        <v>771</v>
      </c>
      <c r="J295" s="2" t="s">
        <v>1716</v>
      </c>
      <c r="K295" s="2" t="s">
        <v>1716</v>
      </c>
      <c r="L295" s="2">
        <v>57</v>
      </c>
      <c r="M295" s="2">
        <v>54</v>
      </c>
    </row>
    <row r="296" spans="1:13" x14ac:dyDescent="0.25">
      <c r="A296" s="2">
        <v>545556</v>
      </c>
      <c r="B296" s="2" t="s">
        <v>734</v>
      </c>
      <c r="C296" s="2">
        <v>0</v>
      </c>
      <c r="D296" s="2">
        <v>277</v>
      </c>
      <c r="E296" s="2">
        <v>199</v>
      </c>
      <c r="F296" s="2" t="s">
        <v>1894</v>
      </c>
      <c r="G296" s="2" t="s">
        <v>1714</v>
      </c>
      <c r="H296" s="2" t="s">
        <v>2204</v>
      </c>
      <c r="I296" s="2" t="s">
        <v>734</v>
      </c>
      <c r="J296" s="2" t="s">
        <v>1716</v>
      </c>
      <c r="K296" s="2" t="s">
        <v>1716</v>
      </c>
      <c r="L296" s="2">
        <v>49</v>
      </c>
      <c r="M296" s="2">
        <v>54</v>
      </c>
    </row>
  </sheetData>
  <hyperlinks>
    <hyperlink ref="P3"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84"/>
  <sheetViews>
    <sheetView zoomScale="86" zoomScaleNormal="86" workbookViewId="0">
      <pane xSplit="3" ySplit="1" topLeftCell="N2" activePane="bottomRight" state="frozen"/>
      <selection pane="topRight" activeCell="D1" sqref="D1"/>
      <selection pane="bottomLeft" activeCell="A2" sqref="A2"/>
      <selection pane="bottomRight" activeCell="V2" sqref="V2:W3"/>
    </sheetView>
  </sheetViews>
  <sheetFormatPr defaultRowHeight="15" x14ac:dyDescent="0.25"/>
  <cols>
    <col min="1" max="1" width="8.140625" style="114" bestFit="1" customWidth="1"/>
    <col min="2" max="2" width="17.5703125" bestFit="1" customWidth="1"/>
    <col min="3" max="3" width="38.85546875" bestFit="1" customWidth="1"/>
    <col min="4" max="4" width="18.42578125" bestFit="1" customWidth="1"/>
    <col min="5" max="5" width="37.7109375" bestFit="1" customWidth="1"/>
    <col min="6" max="6" width="5.5703125" bestFit="1" customWidth="1"/>
    <col min="7" max="7" width="7.28515625" bestFit="1" customWidth="1"/>
    <col min="8" max="8" width="12" style="10" bestFit="1" customWidth="1"/>
    <col min="9" max="9" width="20.28515625" style="112" bestFit="1" customWidth="1"/>
    <col min="10" max="10" width="16.85546875" style="10" bestFit="1" customWidth="1"/>
    <col min="11" max="11" width="19.140625" style="10" bestFit="1" customWidth="1"/>
    <col min="12" max="12" width="20.42578125" bestFit="1" customWidth="1"/>
    <col min="13" max="13" width="18.5703125" style="113" bestFit="1" customWidth="1"/>
    <col min="14" max="14" width="17.7109375" bestFit="1" customWidth="1"/>
    <col min="15" max="15" width="10.5703125" bestFit="1" customWidth="1"/>
    <col min="16" max="16" width="17.7109375" bestFit="1" customWidth="1"/>
    <col min="17" max="17" width="14.42578125" bestFit="1" customWidth="1"/>
    <col min="18" max="18" width="17.7109375" bestFit="1" customWidth="1"/>
    <col min="19" max="19" width="11.7109375" bestFit="1" customWidth="1"/>
    <col min="20" max="20" width="10.5703125" style="10" bestFit="1" customWidth="1"/>
    <col min="23" max="23" width="108.42578125" bestFit="1" customWidth="1"/>
  </cols>
  <sheetData>
    <row r="1" spans="1:23" ht="81" customHeight="1" x14ac:dyDescent="0.25">
      <c r="A1" s="116" t="s">
        <v>0</v>
      </c>
      <c r="B1" s="94" t="s">
        <v>594</v>
      </c>
      <c r="C1" s="94" t="s">
        <v>1</v>
      </c>
      <c r="D1" s="94" t="s">
        <v>595</v>
      </c>
      <c r="E1" s="94" t="s">
        <v>596</v>
      </c>
      <c r="F1" s="94" t="s">
        <v>482</v>
      </c>
      <c r="G1" s="94" t="s">
        <v>597</v>
      </c>
      <c r="H1" s="94" t="s">
        <v>598</v>
      </c>
      <c r="I1" s="95" t="s">
        <v>599</v>
      </c>
      <c r="J1" s="96" t="s">
        <v>600</v>
      </c>
      <c r="K1" s="94" t="s">
        <v>601</v>
      </c>
      <c r="L1" s="94" t="s">
        <v>602</v>
      </c>
      <c r="M1" s="97" t="s">
        <v>603</v>
      </c>
      <c r="N1" s="98" t="s">
        <v>604</v>
      </c>
      <c r="O1" s="94" t="s">
        <v>605</v>
      </c>
      <c r="P1" s="94" t="s">
        <v>606</v>
      </c>
      <c r="Q1" s="94" t="s">
        <v>607</v>
      </c>
      <c r="R1" s="94" t="s">
        <v>608</v>
      </c>
      <c r="S1" s="94" t="s">
        <v>609</v>
      </c>
      <c r="T1" s="94" t="s">
        <v>610</v>
      </c>
    </row>
    <row r="2" spans="1:23" x14ac:dyDescent="0.25">
      <c r="A2" s="117">
        <v>540050</v>
      </c>
      <c r="B2" s="99" t="s">
        <v>611</v>
      </c>
      <c r="C2" s="100" t="s">
        <v>150</v>
      </c>
      <c r="D2" s="101" t="s">
        <v>612</v>
      </c>
      <c r="E2" s="100" t="s">
        <v>21</v>
      </c>
      <c r="F2" s="100" t="s">
        <v>613</v>
      </c>
      <c r="G2" s="100">
        <v>3</v>
      </c>
      <c r="H2" s="93">
        <v>11</v>
      </c>
      <c r="I2" s="102" t="s">
        <v>614</v>
      </c>
      <c r="J2" s="103" t="e">
        <f>RANK(I2,I$2:$I$284)</f>
        <v>#VALUE!</v>
      </c>
      <c r="K2" s="93" t="s">
        <v>614</v>
      </c>
      <c r="L2" s="55" t="s">
        <v>614</v>
      </c>
      <c r="M2" s="104">
        <v>0.91</v>
      </c>
      <c r="N2" s="105" t="s">
        <v>614</v>
      </c>
      <c r="O2" s="100">
        <v>0</v>
      </c>
      <c r="P2" s="55" t="s">
        <v>614</v>
      </c>
      <c r="Q2" s="100">
        <v>36</v>
      </c>
      <c r="R2" s="55" t="s">
        <v>614</v>
      </c>
      <c r="S2" s="106">
        <v>0</v>
      </c>
      <c r="T2" s="93" t="s">
        <v>615</v>
      </c>
      <c r="V2" s="206" t="s">
        <v>1325</v>
      </c>
      <c r="W2" s="201" t="s">
        <v>1356</v>
      </c>
    </row>
    <row r="3" spans="1:23" x14ac:dyDescent="0.25">
      <c r="A3" s="117">
        <v>545556</v>
      </c>
      <c r="B3" s="99" t="s">
        <v>611</v>
      </c>
      <c r="C3" s="100" t="s">
        <v>337</v>
      </c>
      <c r="D3" s="101" t="s">
        <v>612</v>
      </c>
      <c r="E3" s="100" t="s">
        <v>45</v>
      </c>
      <c r="F3" s="100" t="s">
        <v>613</v>
      </c>
      <c r="G3" s="100">
        <v>3</v>
      </c>
      <c r="H3" s="93">
        <v>11</v>
      </c>
      <c r="I3" s="102" t="s">
        <v>614</v>
      </c>
      <c r="J3" s="103" t="e">
        <f>RANK(I3,I$2:$I$284)</f>
        <v>#VALUE!</v>
      </c>
      <c r="K3" s="93" t="s">
        <v>614</v>
      </c>
      <c r="L3" s="55" t="s">
        <v>614</v>
      </c>
      <c r="M3" s="104">
        <v>0.86</v>
      </c>
      <c r="N3" s="105" t="s">
        <v>614</v>
      </c>
      <c r="O3" s="100">
        <v>0</v>
      </c>
      <c r="P3" s="55" t="s">
        <v>614</v>
      </c>
      <c r="Q3" s="100">
        <v>15</v>
      </c>
      <c r="R3" s="55" t="s">
        <v>614</v>
      </c>
      <c r="S3" s="106">
        <v>0</v>
      </c>
      <c r="T3" s="93" t="s">
        <v>615</v>
      </c>
      <c r="V3" s="206" t="s">
        <v>1326</v>
      </c>
      <c r="W3" s="232" t="s">
        <v>1357</v>
      </c>
    </row>
    <row r="4" spans="1:23" x14ac:dyDescent="0.25">
      <c r="A4" s="117">
        <v>545555</v>
      </c>
      <c r="B4" s="99" t="s">
        <v>611</v>
      </c>
      <c r="C4" s="100" t="s">
        <v>336</v>
      </c>
      <c r="D4" s="101" t="s">
        <v>612</v>
      </c>
      <c r="E4" s="100" t="s">
        <v>55</v>
      </c>
      <c r="F4" s="100" t="s">
        <v>613</v>
      </c>
      <c r="G4" s="100">
        <v>3</v>
      </c>
      <c r="H4" s="93">
        <v>8</v>
      </c>
      <c r="I4" s="102" t="s">
        <v>614</v>
      </c>
      <c r="J4" s="103" t="e">
        <f>RANK(I4,I$2:$I$284)</f>
        <v>#VALUE!</v>
      </c>
      <c r="K4" s="93" t="s">
        <v>614</v>
      </c>
      <c r="L4" s="55" t="s">
        <v>614</v>
      </c>
      <c r="M4" s="104">
        <v>0.89</v>
      </c>
      <c r="N4" s="105" t="s">
        <v>614</v>
      </c>
      <c r="O4" s="100">
        <v>0</v>
      </c>
      <c r="P4" s="55" t="s">
        <v>614</v>
      </c>
      <c r="Q4" s="100">
        <v>53</v>
      </c>
      <c r="R4" s="55" t="s">
        <v>614</v>
      </c>
      <c r="S4" s="106">
        <v>0</v>
      </c>
      <c r="T4" s="93" t="s">
        <v>615</v>
      </c>
    </row>
    <row r="5" spans="1:23" x14ac:dyDescent="0.25">
      <c r="A5" s="117">
        <v>540284</v>
      </c>
      <c r="B5" s="99" t="s">
        <v>611</v>
      </c>
      <c r="C5" s="100" t="s">
        <v>323</v>
      </c>
      <c r="D5" s="101" t="s">
        <v>612</v>
      </c>
      <c r="E5" s="100" t="s">
        <v>69</v>
      </c>
      <c r="F5" s="100" t="s">
        <v>613</v>
      </c>
      <c r="G5" s="100">
        <v>3</v>
      </c>
      <c r="H5" s="93">
        <v>11</v>
      </c>
      <c r="I5" s="102" t="s">
        <v>614</v>
      </c>
      <c r="J5" s="103" t="e">
        <f>RANK(I5,I$2:$I$284)</f>
        <v>#VALUE!</v>
      </c>
      <c r="K5" s="93" t="s">
        <v>614</v>
      </c>
      <c r="L5" s="55" t="s">
        <v>614</v>
      </c>
      <c r="M5" s="104">
        <v>0.9</v>
      </c>
      <c r="N5" s="105" t="s">
        <v>614</v>
      </c>
      <c r="O5" s="100">
        <v>0</v>
      </c>
      <c r="P5" s="55" t="s">
        <v>614</v>
      </c>
      <c r="Q5" s="100">
        <v>1</v>
      </c>
      <c r="R5" s="55" t="s">
        <v>614</v>
      </c>
      <c r="S5" s="106">
        <v>0</v>
      </c>
      <c r="T5" s="93" t="s">
        <v>615</v>
      </c>
    </row>
    <row r="6" spans="1:23" x14ac:dyDescent="0.25">
      <c r="A6" s="117">
        <v>540042</v>
      </c>
      <c r="B6" s="99" t="s">
        <v>611</v>
      </c>
      <c r="C6" s="100" t="s">
        <v>143</v>
      </c>
      <c r="D6" s="101" t="s">
        <v>612</v>
      </c>
      <c r="E6" s="100" t="s">
        <v>93</v>
      </c>
      <c r="F6" s="100" t="s">
        <v>613</v>
      </c>
      <c r="G6" s="100">
        <v>3</v>
      </c>
      <c r="H6" s="93">
        <v>9</v>
      </c>
      <c r="I6" s="102" t="s">
        <v>614</v>
      </c>
      <c r="J6" s="103" t="e">
        <f>RANK(I6,I$2:$I$284)</f>
        <v>#VALUE!</v>
      </c>
      <c r="K6" s="93" t="s">
        <v>614</v>
      </c>
      <c r="L6" s="55" t="s">
        <v>614</v>
      </c>
      <c r="M6" s="104">
        <v>0.89</v>
      </c>
      <c r="N6" s="105" t="s">
        <v>614</v>
      </c>
      <c r="O6" s="100">
        <v>0</v>
      </c>
      <c r="P6" s="55" t="s">
        <v>614</v>
      </c>
      <c r="Q6" s="100">
        <v>18</v>
      </c>
      <c r="R6" s="55" t="s">
        <v>614</v>
      </c>
      <c r="S6" s="106">
        <v>0</v>
      </c>
      <c r="T6" s="93" t="s">
        <v>615</v>
      </c>
    </row>
    <row r="7" spans="1:23" x14ac:dyDescent="0.25">
      <c r="A7" s="117">
        <v>540235</v>
      </c>
      <c r="B7" s="100" t="s">
        <v>616</v>
      </c>
      <c r="C7" s="100" t="s">
        <v>283</v>
      </c>
      <c r="D7" s="101" t="s">
        <v>612</v>
      </c>
      <c r="E7" s="100" t="s">
        <v>9</v>
      </c>
      <c r="F7" s="100" t="s">
        <v>613</v>
      </c>
      <c r="G7" s="100">
        <v>3</v>
      </c>
      <c r="H7" s="93">
        <v>15</v>
      </c>
      <c r="I7" s="102" t="s">
        <v>614</v>
      </c>
      <c r="J7" s="103" t="e">
        <f>RANK(I7,I$2:$I$284)</f>
        <v>#VALUE!</v>
      </c>
      <c r="K7" s="93" t="s">
        <v>614</v>
      </c>
      <c r="L7" s="55">
        <v>0</v>
      </c>
      <c r="M7" s="104">
        <v>0.94</v>
      </c>
      <c r="N7" s="105" t="s">
        <v>614</v>
      </c>
      <c r="O7" s="100">
        <v>0</v>
      </c>
      <c r="P7" s="55">
        <v>0</v>
      </c>
      <c r="Q7" s="100">
        <v>1</v>
      </c>
      <c r="R7" s="55">
        <v>0</v>
      </c>
      <c r="S7" s="106">
        <v>0</v>
      </c>
      <c r="T7" s="93" t="s">
        <v>615</v>
      </c>
    </row>
    <row r="8" spans="1:23" x14ac:dyDescent="0.25">
      <c r="A8" s="117">
        <v>540093</v>
      </c>
      <c r="B8" s="100" t="s">
        <v>616</v>
      </c>
      <c r="C8" s="100" t="s">
        <v>184</v>
      </c>
      <c r="D8" s="101" t="s">
        <v>612</v>
      </c>
      <c r="E8" s="100" t="s">
        <v>11</v>
      </c>
      <c r="F8" s="100" t="s">
        <v>613</v>
      </c>
      <c r="G8" s="100">
        <v>3</v>
      </c>
      <c r="H8" s="93">
        <v>8</v>
      </c>
      <c r="I8" s="102" t="s">
        <v>614</v>
      </c>
      <c r="J8" s="103" t="e">
        <f>RANK(I8,I$2:$I$284)</f>
        <v>#VALUE!</v>
      </c>
      <c r="K8" s="93" t="s">
        <v>614</v>
      </c>
      <c r="L8" s="55" t="s">
        <v>614</v>
      </c>
      <c r="M8" s="104">
        <v>0.8</v>
      </c>
      <c r="N8" s="105" t="s">
        <v>614</v>
      </c>
      <c r="O8" s="100">
        <v>0</v>
      </c>
      <c r="P8" s="55" t="s">
        <v>614</v>
      </c>
      <c r="Q8" s="100">
        <v>18</v>
      </c>
      <c r="R8" s="55" t="s">
        <v>614</v>
      </c>
      <c r="S8" s="106">
        <v>0</v>
      </c>
      <c r="T8" s="93" t="s">
        <v>615</v>
      </c>
    </row>
    <row r="9" spans="1:23" x14ac:dyDescent="0.25">
      <c r="A9" s="117">
        <v>540245</v>
      </c>
      <c r="B9" s="100" t="s">
        <v>616</v>
      </c>
      <c r="C9" s="100" t="s">
        <v>292</v>
      </c>
      <c r="D9" s="101" t="s">
        <v>612</v>
      </c>
      <c r="E9" s="100" t="s">
        <v>31</v>
      </c>
      <c r="F9" s="100" t="s">
        <v>613</v>
      </c>
      <c r="G9" s="100">
        <v>3</v>
      </c>
      <c r="H9" s="93">
        <v>8</v>
      </c>
      <c r="I9" s="102" t="s">
        <v>614</v>
      </c>
      <c r="J9" s="103" t="e">
        <f>RANK(I9,I$2:$I$284)</f>
        <v>#VALUE!</v>
      </c>
      <c r="K9" s="93" t="s">
        <v>614</v>
      </c>
      <c r="L9" s="55">
        <v>0</v>
      </c>
      <c r="M9" s="104">
        <v>0.94</v>
      </c>
      <c r="N9" s="105" t="s">
        <v>614</v>
      </c>
      <c r="O9" s="100">
        <v>0</v>
      </c>
      <c r="P9" s="55">
        <v>0</v>
      </c>
      <c r="Q9" s="100">
        <v>12</v>
      </c>
      <c r="R9" s="55">
        <v>2</v>
      </c>
      <c r="S9" s="106">
        <v>0</v>
      </c>
      <c r="T9" s="93" t="s">
        <v>615</v>
      </c>
    </row>
    <row r="10" spans="1:23" x14ac:dyDescent="0.25">
      <c r="A10" s="117">
        <v>540279</v>
      </c>
      <c r="B10" s="100" t="s">
        <v>616</v>
      </c>
      <c r="C10" s="100" t="s">
        <v>320</v>
      </c>
      <c r="D10" s="101" t="s">
        <v>612</v>
      </c>
      <c r="E10" s="100" t="s">
        <v>39</v>
      </c>
      <c r="F10" s="100" t="s">
        <v>613</v>
      </c>
      <c r="G10" s="100">
        <v>3</v>
      </c>
      <c r="H10" s="93">
        <v>16</v>
      </c>
      <c r="I10" s="102" t="s">
        <v>614</v>
      </c>
      <c r="J10" s="103" t="e">
        <f>RANK(I10,I$2:$I$284)</f>
        <v>#VALUE!</v>
      </c>
      <c r="K10" s="93" t="s">
        <v>614</v>
      </c>
      <c r="L10" s="55">
        <v>0</v>
      </c>
      <c r="M10" s="104">
        <v>0.83</v>
      </c>
      <c r="N10" s="105" t="s">
        <v>614</v>
      </c>
      <c r="O10" s="100">
        <v>0</v>
      </c>
      <c r="P10" s="55">
        <v>0</v>
      </c>
      <c r="Q10" s="100">
        <v>169</v>
      </c>
      <c r="R10" s="55">
        <v>2</v>
      </c>
      <c r="S10" s="106">
        <v>0</v>
      </c>
      <c r="T10" s="93" t="s">
        <v>615</v>
      </c>
    </row>
    <row r="11" spans="1:23" x14ac:dyDescent="0.25">
      <c r="A11" s="117">
        <v>540172</v>
      </c>
      <c r="B11" s="100" t="s">
        <v>616</v>
      </c>
      <c r="C11" s="100" t="s">
        <v>244</v>
      </c>
      <c r="D11" s="101" t="s">
        <v>612</v>
      </c>
      <c r="E11" s="100" t="s">
        <v>53</v>
      </c>
      <c r="F11" s="100" t="s">
        <v>613</v>
      </c>
      <c r="G11" s="100">
        <v>3</v>
      </c>
      <c r="H11" s="93">
        <v>13</v>
      </c>
      <c r="I11" s="102" t="s">
        <v>614</v>
      </c>
      <c r="J11" s="103" t="e">
        <f>RANK(I11,I$2:$I$284)</f>
        <v>#VALUE!</v>
      </c>
      <c r="K11" s="93" t="s">
        <v>614</v>
      </c>
      <c r="L11" s="55" t="s">
        <v>614</v>
      </c>
      <c r="M11" s="104">
        <v>0.92999999999999994</v>
      </c>
      <c r="N11" s="105" t="s">
        <v>614</v>
      </c>
      <c r="O11" s="100">
        <v>0</v>
      </c>
      <c r="P11" s="55" t="s">
        <v>614</v>
      </c>
      <c r="Q11" s="100">
        <v>48</v>
      </c>
      <c r="R11" s="55" t="s">
        <v>614</v>
      </c>
      <c r="S11" s="106">
        <v>0</v>
      </c>
      <c r="T11" s="93" t="s">
        <v>615</v>
      </c>
    </row>
    <row r="12" spans="1:23" x14ac:dyDescent="0.25">
      <c r="A12" s="117">
        <v>540290</v>
      </c>
      <c r="B12" s="100" t="s">
        <v>616</v>
      </c>
      <c r="C12" s="100" t="s">
        <v>327</v>
      </c>
      <c r="D12" s="101" t="s">
        <v>612</v>
      </c>
      <c r="E12" s="100" t="s">
        <v>105</v>
      </c>
      <c r="F12" s="100" t="s">
        <v>613</v>
      </c>
      <c r="G12" s="100">
        <v>3</v>
      </c>
      <c r="H12" s="93">
        <v>6</v>
      </c>
      <c r="I12" s="102" t="s">
        <v>614</v>
      </c>
      <c r="J12" s="103" t="e">
        <f>RANK(I12,I$2:$I$284)</f>
        <v>#VALUE!</v>
      </c>
      <c r="K12" s="93" t="s">
        <v>614</v>
      </c>
      <c r="L12" s="55" t="s">
        <v>614</v>
      </c>
      <c r="M12" s="104">
        <v>0.92999999999999994</v>
      </c>
      <c r="N12" s="105" t="s">
        <v>614</v>
      </c>
      <c r="O12" s="100">
        <v>0</v>
      </c>
      <c r="P12" s="55" t="s">
        <v>614</v>
      </c>
      <c r="Q12" s="100">
        <v>13</v>
      </c>
      <c r="R12" s="55" t="s">
        <v>614</v>
      </c>
      <c r="S12" s="106">
        <v>0</v>
      </c>
      <c r="T12" s="93" t="s">
        <v>615</v>
      </c>
    </row>
    <row r="13" spans="1:23" x14ac:dyDescent="0.25">
      <c r="A13" s="117">
        <v>540275</v>
      </c>
      <c r="B13" s="100" t="s">
        <v>616</v>
      </c>
      <c r="C13" s="100" t="s">
        <v>318</v>
      </c>
      <c r="D13" s="101" t="s">
        <v>612</v>
      </c>
      <c r="E13" s="100" t="s">
        <v>65</v>
      </c>
      <c r="F13" s="100" t="s">
        <v>613</v>
      </c>
      <c r="G13" s="100">
        <v>3</v>
      </c>
      <c r="H13" s="93">
        <v>10</v>
      </c>
      <c r="I13" s="102" t="s">
        <v>614</v>
      </c>
      <c r="J13" s="103" t="e">
        <f>RANK(I13,I$2:$I$284)</f>
        <v>#VALUE!</v>
      </c>
      <c r="K13" s="93" t="s">
        <v>614</v>
      </c>
      <c r="L13" s="55">
        <v>0</v>
      </c>
      <c r="M13" s="104">
        <v>0.81</v>
      </c>
      <c r="N13" s="105" t="s">
        <v>614</v>
      </c>
      <c r="O13" s="100">
        <v>0</v>
      </c>
      <c r="P13" s="55">
        <v>0</v>
      </c>
      <c r="Q13" s="100">
        <v>6</v>
      </c>
      <c r="R13" s="55">
        <v>0</v>
      </c>
      <c r="S13" s="106">
        <v>0</v>
      </c>
      <c r="T13" s="93" t="s">
        <v>615</v>
      </c>
    </row>
    <row r="14" spans="1:23" x14ac:dyDescent="0.25">
      <c r="A14" s="117">
        <v>540080</v>
      </c>
      <c r="B14" s="100" t="s">
        <v>616</v>
      </c>
      <c r="C14" s="100" t="s">
        <v>175</v>
      </c>
      <c r="D14" s="101" t="s">
        <v>612</v>
      </c>
      <c r="E14" s="100" t="s">
        <v>65</v>
      </c>
      <c r="F14" s="100" t="s">
        <v>613</v>
      </c>
      <c r="G14" s="100">
        <v>3</v>
      </c>
      <c r="H14" s="93">
        <v>10</v>
      </c>
      <c r="I14" s="102" t="s">
        <v>614</v>
      </c>
      <c r="J14" s="103" t="e">
        <f>RANK(I14,I$2:$I$284)</f>
        <v>#VALUE!</v>
      </c>
      <c r="K14" s="93" t="s">
        <v>614</v>
      </c>
      <c r="L14" s="55" t="s">
        <v>614</v>
      </c>
      <c r="M14" s="104">
        <v>0.81</v>
      </c>
      <c r="N14" s="105" t="s">
        <v>614</v>
      </c>
      <c r="O14" s="100">
        <v>0</v>
      </c>
      <c r="P14" s="55" t="s">
        <v>614</v>
      </c>
      <c r="Q14" s="100">
        <v>6</v>
      </c>
      <c r="R14" s="55" t="s">
        <v>614</v>
      </c>
      <c r="S14" s="106">
        <v>0</v>
      </c>
      <c r="T14" s="93" t="s">
        <v>615</v>
      </c>
    </row>
    <row r="15" spans="1:23" x14ac:dyDescent="0.25">
      <c r="A15" s="117">
        <v>540270</v>
      </c>
      <c r="B15" s="100" t="s">
        <v>616</v>
      </c>
      <c r="C15" s="100" t="s">
        <v>313</v>
      </c>
      <c r="D15" s="101" t="s">
        <v>612</v>
      </c>
      <c r="E15" s="100" t="s">
        <v>69</v>
      </c>
      <c r="F15" s="100" t="s">
        <v>613</v>
      </c>
      <c r="G15" s="100">
        <v>3</v>
      </c>
      <c r="H15" s="93">
        <v>11</v>
      </c>
      <c r="I15" s="102" t="s">
        <v>614</v>
      </c>
      <c r="J15" s="103" t="e">
        <f>RANK(I15,I$2:$I$284)</f>
        <v>#VALUE!</v>
      </c>
      <c r="K15" s="93" t="s">
        <v>614</v>
      </c>
      <c r="L15" s="55" t="s">
        <v>614</v>
      </c>
      <c r="M15" s="104">
        <v>0.9</v>
      </c>
      <c r="N15" s="105" t="s">
        <v>614</v>
      </c>
      <c r="O15" s="100">
        <v>0</v>
      </c>
      <c r="P15" s="55" t="s">
        <v>614</v>
      </c>
      <c r="Q15" s="100">
        <v>1</v>
      </c>
      <c r="R15" s="55" t="s">
        <v>614</v>
      </c>
      <c r="S15" s="106">
        <v>0</v>
      </c>
      <c r="T15" s="93" t="s">
        <v>615</v>
      </c>
    </row>
    <row r="16" spans="1:23" x14ac:dyDescent="0.25">
      <c r="A16" s="117">
        <v>540262</v>
      </c>
      <c r="B16" s="100" t="s">
        <v>616</v>
      </c>
      <c r="C16" s="100" t="s">
        <v>305</v>
      </c>
      <c r="D16" s="101" t="s">
        <v>612</v>
      </c>
      <c r="E16" s="100" t="s">
        <v>97</v>
      </c>
      <c r="F16" s="100" t="s">
        <v>613</v>
      </c>
      <c r="G16" s="100">
        <v>3</v>
      </c>
      <c r="H16" s="93">
        <v>11</v>
      </c>
      <c r="I16" s="102" t="s">
        <v>614</v>
      </c>
      <c r="J16" s="103" t="e">
        <f>RANK(I16,I$2:$I$284)</f>
        <v>#VALUE!</v>
      </c>
      <c r="K16" s="93" t="s">
        <v>614</v>
      </c>
      <c r="L16" s="55">
        <v>0</v>
      </c>
      <c r="M16" s="104">
        <v>0.95</v>
      </c>
      <c r="N16" s="105" t="s">
        <v>614</v>
      </c>
      <c r="O16" s="100">
        <v>0</v>
      </c>
      <c r="P16" s="55">
        <v>0</v>
      </c>
      <c r="Q16" s="100">
        <v>0</v>
      </c>
      <c r="R16" s="55">
        <v>0</v>
      </c>
      <c r="S16" s="106">
        <v>0</v>
      </c>
      <c r="T16" s="93" t="s">
        <v>615</v>
      </c>
    </row>
    <row r="17" spans="1:20" x14ac:dyDescent="0.25">
      <c r="A17" s="117">
        <v>540132</v>
      </c>
      <c r="B17" s="100" t="s">
        <v>616</v>
      </c>
      <c r="C17" s="100" t="s">
        <v>216</v>
      </c>
      <c r="D17" s="101" t="s">
        <v>612</v>
      </c>
      <c r="E17" s="100" t="s">
        <v>97</v>
      </c>
      <c r="F17" s="100" t="s">
        <v>613</v>
      </c>
      <c r="G17" s="100">
        <v>3</v>
      </c>
      <c r="H17" s="93">
        <v>11</v>
      </c>
      <c r="I17" s="102" t="s">
        <v>614</v>
      </c>
      <c r="J17" s="103" t="e">
        <f>RANK(I17,I$2:$I$284)</f>
        <v>#VALUE!</v>
      </c>
      <c r="K17" s="93" t="s">
        <v>614</v>
      </c>
      <c r="L17" s="55">
        <v>0</v>
      </c>
      <c r="M17" s="104">
        <v>0.95</v>
      </c>
      <c r="N17" s="105" t="s">
        <v>614</v>
      </c>
      <c r="O17" s="100">
        <v>0</v>
      </c>
      <c r="P17" s="55">
        <v>0</v>
      </c>
      <c r="Q17" s="100">
        <v>0</v>
      </c>
      <c r="R17" s="55">
        <v>0</v>
      </c>
      <c r="S17" s="106">
        <v>0</v>
      </c>
      <c r="T17" s="93" t="s">
        <v>615</v>
      </c>
    </row>
    <row r="18" spans="1:20" x14ac:dyDescent="0.25">
      <c r="A18" s="117">
        <v>540263</v>
      </c>
      <c r="B18" s="100" t="s">
        <v>616</v>
      </c>
      <c r="C18" s="100" t="s">
        <v>306</v>
      </c>
      <c r="D18" s="101" t="s">
        <v>612</v>
      </c>
      <c r="E18" s="100" t="s">
        <v>97</v>
      </c>
      <c r="F18" s="100" t="s">
        <v>613</v>
      </c>
      <c r="G18" s="100">
        <v>3</v>
      </c>
      <c r="H18" s="93">
        <v>11</v>
      </c>
      <c r="I18" s="102" t="s">
        <v>614</v>
      </c>
      <c r="J18" s="103" t="e">
        <f>RANK(I18,I$2:$I$284)</f>
        <v>#VALUE!</v>
      </c>
      <c r="K18" s="93" t="s">
        <v>614</v>
      </c>
      <c r="L18" s="55">
        <v>0</v>
      </c>
      <c r="M18" s="104">
        <v>0.95</v>
      </c>
      <c r="N18" s="105" t="s">
        <v>614</v>
      </c>
      <c r="O18" s="100">
        <v>0</v>
      </c>
      <c r="P18" s="55">
        <v>0</v>
      </c>
      <c r="Q18" s="100">
        <v>0</v>
      </c>
      <c r="R18" s="55">
        <v>0</v>
      </c>
      <c r="S18" s="106">
        <v>0</v>
      </c>
      <c r="T18" s="93" t="s">
        <v>615</v>
      </c>
    </row>
    <row r="19" spans="1:20" x14ac:dyDescent="0.25">
      <c r="A19" s="117">
        <v>540192</v>
      </c>
      <c r="B19" s="100" t="s">
        <v>616</v>
      </c>
      <c r="C19" s="100" t="s">
        <v>343</v>
      </c>
      <c r="D19" s="101" t="s">
        <v>612</v>
      </c>
      <c r="E19" s="100" t="s">
        <v>113</v>
      </c>
      <c r="F19" s="100" t="s">
        <v>613</v>
      </c>
      <c r="G19" s="100">
        <v>3</v>
      </c>
      <c r="H19" s="93">
        <v>13</v>
      </c>
      <c r="I19" s="102" t="s">
        <v>614</v>
      </c>
      <c r="J19" s="103" t="e">
        <f>RANK(I19,I$2:$I$284)</f>
        <v>#VALUE!</v>
      </c>
      <c r="K19" s="93" t="s">
        <v>614</v>
      </c>
      <c r="L19" s="55">
        <v>0</v>
      </c>
      <c r="M19" s="104">
        <v>0.73</v>
      </c>
      <c r="N19" s="105" t="s">
        <v>614</v>
      </c>
      <c r="O19" s="100">
        <v>0</v>
      </c>
      <c r="P19" s="55">
        <v>0</v>
      </c>
      <c r="Q19" s="100">
        <v>53</v>
      </c>
      <c r="R19" s="55">
        <v>0</v>
      </c>
      <c r="S19" s="106">
        <v>0</v>
      </c>
      <c r="T19" s="93" t="s">
        <v>615</v>
      </c>
    </row>
    <row r="20" spans="1:20" x14ac:dyDescent="0.25">
      <c r="A20" s="118">
        <v>540070</v>
      </c>
      <c r="B20" s="107" t="s">
        <v>616</v>
      </c>
      <c r="C20" s="107" t="s">
        <v>38</v>
      </c>
      <c r="D20" s="107" t="s">
        <v>617</v>
      </c>
      <c r="E20" s="107" t="s">
        <v>39</v>
      </c>
      <c r="F20" s="107" t="s">
        <v>613</v>
      </c>
      <c r="G20" s="107">
        <v>3</v>
      </c>
      <c r="H20" s="74">
        <v>16</v>
      </c>
      <c r="I20" s="108">
        <v>27187478</v>
      </c>
      <c r="J20" s="103">
        <f>RANK(I20,I$2:$I$284)</f>
        <v>3</v>
      </c>
      <c r="K20" s="74">
        <v>1512</v>
      </c>
      <c r="L20" s="54">
        <v>105</v>
      </c>
      <c r="M20" s="109">
        <v>0.83</v>
      </c>
      <c r="N20" s="110">
        <v>1609</v>
      </c>
      <c r="O20" s="107">
        <v>709</v>
      </c>
      <c r="P20" s="54">
        <v>505</v>
      </c>
      <c r="Q20" s="107">
        <v>169</v>
      </c>
      <c r="R20" s="54">
        <v>420</v>
      </c>
      <c r="S20" s="111">
        <v>1</v>
      </c>
      <c r="T20" s="74">
        <v>9</v>
      </c>
    </row>
    <row r="21" spans="1:20" x14ac:dyDescent="0.25">
      <c r="A21" s="117">
        <v>540152</v>
      </c>
      <c r="B21" s="100" t="s">
        <v>616</v>
      </c>
      <c r="C21" s="100" t="s">
        <v>229</v>
      </c>
      <c r="D21" s="101" t="s">
        <v>612</v>
      </c>
      <c r="E21" s="100" t="s">
        <v>65</v>
      </c>
      <c r="F21" s="100" t="s">
        <v>613</v>
      </c>
      <c r="G21" s="100">
        <v>3</v>
      </c>
      <c r="H21" s="93">
        <v>10</v>
      </c>
      <c r="I21" s="102">
        <v>27623579</v>
      </c>
      <c r="J21" s="103">
        <f>RANK(I21,I$2:$I$284)</f>
        <v>2</v>
      </c>
      <c r="K21" s="93">
        <v>2852</v>
      </c>
      <c r="L21" s="55">
        <v>81</v>
      </c>
      <c r="M21" s="104">
        <v>0.81</v>
      </c>
      <c r="N21" s="105">
        <v>595</v>
      </c>
      <c r="O21" s="100">
        <v>439</v>
      </c>
      <c r="P21" s="55">
        <v>1262</v>
      </c>
      <c r="Q21" s="100">
        <v>6</v>
      </c>
      <c r="R21" s="55">
        <v>37</v>
      </c>
      <c r="S21" s="106">
        <v>0</v>
      </c>
      <c r="T21" s="93" t="s">
        <v>615</v>
      </c>
    </row>
    <row r="22" spans="1:20" x14ac:dyDescent="0.25">
      <c r="A22" s="118">
        <v>545536</v>
      </c>
      <c r="B22" s="107" t="s">
        <v>616</v>
      </c>
      <c r="C22" s="107" t="s">
        <v>110</v>
      </c>
      <c r="D22" s="107" t="s">
        <v>617</v>
      </c>
      <c r="E22" s="107" t="s">
        <v>111</v>
      </c>
      <c r="F22" s="107" t="s">
        <v>613</v>
      </c>
      <c r="G22" s="107">
        <v>3</v>
      </c>
      <c r="H22" s="74">
        <v>18</v>
      </c>
      <c r="I22" s="108">
        <v>30843738</v>
      </c>
      <c r="J22" s="103">
        <f>RANK(I22,I$2:$I$284)</f>
        <v>1</v>
      </c>
      <c r="K22" s="74">
        <v>2235</v>
      </c>
      <c r="L22" s="54">
        <v>109</v>
      </c>
      <c r="M22" s="109">
        <v>0.9</v>
      </c>
      <c r="N22" s="110">
        <v>547</v>
      </c>
      <c r="O22" s="107">
        <v>210</v>
      </c>
      <c r="P22" s="54">
        <v>798</v>
      </c>
      <c r="Q22" s="107">
        <v>65</v>
      </c>
      <c r="R22" s="54">
        <v>123</v>
      </c>
      <c r="S22" s="111">
        <v>0</v>
      </c>
      <c r="T22" s="74" t="s">
        <v>615</v>
      </c>
    </row>
    <row r="23" spans="1:20" x14ac:dyDescent="0.25">
      <c r="A23" s="117">
        <v>540073</v>
      </c>
      <c r="B23" s="100" t="s">
        <v>616</v>
      </c>
      <c r="C23" s="100" t="s">
        <v>168</v>
      </c>
      <c r="D23" s="101" t="s">
        <v>612</v>
      </c>
      <c r="E23" s="100" t="s">
        <v>39</v>
      </c>
      <c r="F23" s="100" t="s">
        <v>613</v>
      </c>
      <c r="G23" s="100">
        <v>3</v>
      </c>
      <c r="H23" s="93">
        <v>16</v>
      </c>
      <c r="I23" s="102">
        <v>1781585</v>
      </c>
      <c r="J23" s="103">
        <f>RANK(I23,I$2:$I$284)</f>
        <v>51</v>
      </c>
      <c r="K23" s="93">
        <v>339</v>
      </c>
      <c r="L23" s="55">
        <v>16</v>
      </c>
      <c r="M23" s="104">
        <v>0.83</v>
      </c>
      <c r="N23" s="105">
        <v>343</v>
      </c>
      <c r="O23" s="100">
        <v>191</v>
      </c>
      <c r="P23" s="55">
        <v>58</v>
      </c>
      <c r="Q23" s="100">
        <v>169</v>
      </c>
      <c r="R23" s="55">
        <v>153</v>
      </c>
      <c r="S23" s="106">
        <v>1</v>
      </c>
      <c r="T23" s="93">
        <v>9</v>
      </c>
    </row>
    <row r="24" spans="1:20" x14ac:dyDescent="0.25">
      <c r="A24" s="118">
        <v>540133</v>
      </c>
      <c r="B24" s="107" t="s">
        <v>616</v>
      </c>
      <c r="C24" s="107" t="s">
        <v>56</v>
      </c>
      <c r="D24" s="107" t="s">
        <v>617</v>
      </c>
      <c r="E24" s="107" t="s">
        <v>57</v>
      </c>
      <c r="F24" s="107" t="s">
        <v>613</v>
      </c>
      <c r="G24" s="107">
        <v>3</v>
      </c>
      <c r="H24" s="74">
        <v>17</v>
      </c>
      <c r="I24" s="108">
        <v>12342669</v>
      </c>
      <c r="J24" s="103">
        <f>RANK(I24,I$2:$I$284)</f>
        <v>5</v>
      </c>
      <c r="K24" s="74">
        <v>918</v>
      </c>
      <c r="L24" s="54">
        <v>32</v>
      </c>
      <c r="M24" s="109">
        <v>0.91</v>
      </c>
      <c r="N24" s="110">
        <v>340</v>
      </c>
      <c r="O24" s="107">
        <v>60</v>
      </c>
      <c r="P24" s="54">
        <v>167</v>
      </c>
      <c r="Q24" s="107">
        <v>11</v>
      </c>
      <c r="R24" s="54">
        <v>65</v>
      </c>
      <c r="S24" s="111">
        <v>0</v>
      </c>
      <c r="T24" s="74" t="s">
        <v>615</v>
      </c>
    </row>
    <row r="25" spans="1:20" x14ac:dyDescent="0.25">
      <c r="A25" s="118">
        <v>540164</v>
      </c>
      <c r="B25" s="107" t="s">
        <v>616</v>
      </c>
      <c r="C25" s="107" t="s">
        <v>70</v>
      </c>
      <c r="D25" s="107" t="s">
        <v>617</v>
      </c>
      <c r="E25" s="107" t="s">
        <v>71</v>
      </c>
      <c r="F25" s="107" t="s">
        <v>613</v>
      </c>
      <c r="G25" s="107">
        <v>3</v>
      </c>
      <c r="H25" s="74">
        <v>12</v>
      </c>
      <c r="I25" s="108">
        <v>2467210</v>
      </c>
      <c r="J25" s="103">
        <f>RANK(I25,I$2:$I$284)</f>
        <v>35</v>
      </c>
      <c r="K25" s="74">
        <v>213</v>
      </c>
      <c r="L25" s="54">
        <v>32</v>
      </c>
      <c r="M25" s="109">
        <v>0.86</v>
      </c>
      <c r="N25" s="110">
        <v>331</v>
      </c>
      <c r="O25" s="107">
        <v>82</v>
      </c>
      <c r="P25" s="54">
        <v>102</v>
      </c>
      <c r="Q25" s="107">
        <v>10</v>
      </c>
      <c r="R25" s="54">
        <v>287</v>
      </c>
      <c r="S25" s="111">
        <v>1</v>
      </c>
      <c r="T25" s="74">
        <v>9</v>
      </c>
    </row>
    <row r="26" spans="1:20" x14ac:dyDescent="0.25">
      <c r="A26" s="118">
        <v>540040</v>
      </c>
      <c r="B26" s="107" t="s">
        <v>616</v>
      </c>
      <c r="C26" s="107" t="s">
        <v>26</v>
      </c>
      <c r="D26" s="107" t="s">
        <v>617</v>
      </c>
      <c r="E26" s="107" t="s">
        <v>27</v>
      </c>
      <c r="F26" s="107" t="s">
        <v>613</v>
      </c>
      <c r="G26" s="107">
        <v>3</v>
      </c>
      <c r="H26" s="74">
        <v>9</v>
      </c>
      <c r="I26" s="108">
        <v>10227446</v>
      </c>
      <c r="J26" s="103">
        <f>RANK(I26,I$2:$I$284)</f>
        <v>7</v>
      </c>
      <c r="K26" s="74">
        <v>461</v>
      </c>
      <c r="L26" s="54">
        <v>5</v>
      </c>
      <c r="M26" s="109">
        <v>0.76</v>
      </c>
      <c r="N26" s="110">
        <v>312</v>
      </c>
      <c r="O26" s="107">
        <v>86</v>
      </c>
      <c r="P26" s="54">
        <v>41</v>
      </c>
      <c r="Q26" s="107">
        <v>60</v>
      </c>
      <c r="R26" s="54">
        <v>68</v>
      </c>
      <c r="S26" s="111">
        <v>1</v>
      </c>
      <c r="T26" s="74">
        <v>9</v>
      </c>
    </row>
    <row r="27" spans="1:20" x14ac:dyDescent="0.25">
      <c r="A27" s="118">
        <v>540213</v>
      </c>
      <c r="B27" s="107" t="s">
        <v>616</v>
      </c>
      <c r="C27" s="107" t="s">
        <v>92</v>
      </c>
      <c r="D27" s="107" t="s">
        <v>617</v>
      </c>
      <c r="E27" s="107" t="s">
        <v>93</v>
      </c>
      <c r="F27" s="107" t="s">
        <v>613</v>
      </c>
      <c r="G27" s="107">
        <v>3</v>
      </c>
      <c r="H27" s="74">
        <v>9</v>
      </c>
      <c r="I27" s="108">
        <v>8707628</v>
      </c>
      <c r="J27" s="103">
        <f>RANK(I27,I$2:$I$284)</f>
        <v>8</v>
      </c>
      <c r="K27" s="74">
        <v>638</v>
      </c>
      <c r="L27" s="54">
        <v>24</v>
      </c>
      <c r="M27" s="109">
        <v>0.89</v>
      </c>
      <c r="N27" s="110">
        <v>300</v>
      </c>
      <c r="O27" s="107">
        <v>100</v>
      </c>
      <c r="P27" s="54">
        <v>317</v>
      </c>
      <c r="Q27" s="107">
        <v>18</v>
      </c>
      <c r="R27" s="54">
        <v>175</v>
      </c>
      <c r="S27" s="111">
        <v>0</v>
      </c>
      <c r="T27" s="74" t="s">
        <v>615</v>
      </c>
    </row>
    <row r="28" spans="1:20" x14ac:dyDescent="0.25">
      <c r="A28" s="118">
        <v>540217</v>
      </c>
      <c r="B28" s="107"/>
      <c r="C28" s="107" t="s">
        <v>94</v>
      </c>
      <c r="D28" s="107" t="s">
        <v>617</v>
      </c>
      <c r="E28" s="107" t="s">
        <v>95</v>
      </c>
      <c r="F28" s="107" t="s">
        <v>613</v>
      </c>
      <c r="G28" s="107">
        <v>3</v>
      </c>
      <c r="H28" s="74">
        <v>14</v>
      </c>
      <c r="I28" s="108">
        <v>8507273</v>
      </c>
      <c r="J28" s="103">
        <f>RANK(I28,I$2:$I$284)</f>
        <v>9</v>
      </c>
      <c r="K28" s="74">
        <v>674</v>
      </c>
      <c r="L28" s="54">
        <v>26</v>
      </c>
      <c r="M28" s="109">
        <v>0.9</v>
      </c>
      <c r="N28" s="110">
        <v>299</v>
      </c>
      <c r="O28" s="107">
        <v>103</v>
      </c>
      <c r="P28" s="54">
        <v>168</v>
      </c>
      <c r="Q28" s="107">
        <v>146</v>
      </c>
      <c r="R28" s="54">
        <v>29</v>
      </c>
      <c r="S28" s="111">
        <v>0</v>
      </c>
      <c r="T28" s="74" t="s">
        <v>615</v>
      </c>
    </row>
    <row r="29" spans="1:20" x14ac:dyDescent="0.25">
      <c r="A29" s="118">
        <v>540007</v>
      </c>
      <c r="B29" s="107" t="s">
        <v>616</v>
      </c>
      <c r="C29" s="107" t="s">
        <v>6</v>
      </c>
      <c r="D29" s="107" t="s">
        <v>617</v>
      </c>
      <c r="E29" s="107" t="s">
        <v>7</v>
      </c>
      <c r="F29" s="107" t="s">
        <v>613</v>
      </c>
      <c r="G29" s="107">
        <v>3</v>
      </c>
      <c r="H29" s="74">
        <v>13</v>
      </c>
      <c r="I29" s="108">
        <v>1753256</v>
      </c>
      <c r="J29" s="103">
        <f>RANK(I29,I$2:$I$284)</f>
        <v>52</v>
      </c>
      <c r="K29" s="74">
        <v>293</v>
      </c>
      <c r="L29" s="54">
        <v>2</v>
      </c>
      <c r="M29" s="109">
        <v>0.91</v>
      </c>
      <c r="N29" s="110">
        <v>281</v>
      </c>
      <c r="O29" s="107">
        <v>169</v>
      </c>
      <c r="P29" s="54">
        <v>74</v>
      </c>
      <c r="Q29" s="107">
        <v>4</v>
      </c>
      <c r="R29" s="54">
        <v>114</v>
      </c>
      <c r="S29" s="111">
        <v>0</v>
      </c>
      <c r="T29" s="74" t="s">
        <v>615</v>
      </c>
    </row>
    <row r="30" spans="1:20" x14ac:dyDescent="0.25">
      <c r="A30" s="118">
        <v>540016</v>
      </c>
      <c r="B30" s="107" t="s">
        <v>616</v>
      </c>
      <c r="C30" s="107" t="s">
        <v>12</v>
      </c>
      <c r="D30" s="107" t="s">
        <v>617</v>
      </c>
      <c r="E30" s="107" t="s">
        <v>13</v>
      </c>
      <c r="F30" s="107" t="s">
        <v>613</v>
      </c>
      <c r="G30" s="107">
        <v>3</v>
      </c>
      <c r="H30" s="74">
        <v>17</v>
      </c>
      <c r="I30" s="108">
        <v>2442903</v>
      </c>
      <c r="J30" s="103">
        <f>RANK(I30,I$2:$I$284)</f>
        <v>36</v>
      </c>
      <c r="K30" s="74">
        <v>250</v>
      </c>
      <c r="L30" s="54">
        <v>21</v>
      </c>
      <c r="M30" s="109">
        <v>0.9</v>
      </c>
      <c r="N30" s="110">
        <v>268</v>
      </c>
      <c r="O30" s="107">
        <v>77</v>
      </c>
      <c r="P30" s="54">
        <v>74</v>
      </c>
      <c r="Q30" s="107">
        <v>32</v>
      </c>
      <c r="R30" s="54">
        <v>212</v>
      </c>
      <c r="S30" s="111">
        <v>0</v>
      </c>
      <c r="T30" s="74" t="s">
        <v>615</v>
      </c>
    </row>
    <row r="31" spans="1:20" x14ac:dyDescent="0.25">
      <c r="A31" s="117">
        <v>540076</v>
      </c>
      <c r="B31" s="100" t="s">
        <v>616</v>
      </c>
      <c r="C31" s="100" t="s">
        <v>171</v>
      </c>
      <c r="D31" s="101" t="s">
        <v>612</v>
      </c>
      <c r="E31" s="100" t="s">
        <v>39</v>
      </c>
      <c r="F31" s="100" t="s">
        <v>613</v>
      </c>
      <c r="G31" s="100">
        <v>3</v>
      </c>
      <c r="H31" s="93">
        <v>16</v>
      </c>
      <c r="I31" s="102">
        <v>134126</v>
      </c>
      <c r="J31" s="103">
        <f>RANK(I31,I$2:$I$284)</f>
        <v>152</v>
      </c>
      <c r="K31" s="93">
        <v>53</v>
      </c>
      <c r="L31" s="55">
        <v>4</v>
      </c>
      <c r="M31" s="104">
        <v>0.83</v>
      </c>
      <c r="N31" s="105">
        <v>228</v>
      </c>
      <c r="O31" s="100">
        <v>192</v>
      </c>
      <c r="P31" s="55">
        <v>12</v>
      </c>
      <c r="Q31" s="100">
        <v>169</v>
      </c>
      <c r="R31" s="55">
        <v>81</v>
      </c>
      <c r="S31" s="106">
        <v>0</v>
      </c>
      <c r="T31" s="93" t="s">
        <v>615</v>
      </c>
    </row>
    <row r="32" spans="1:20" x14ac:dyDescent="0.25">
      <c r="A32" s="118">
        <v>540124</v>
      </c>
      <c r="B32" s="107" t="s">
        <v>616</v>
      </c>
      <c r="C32" s="107" t="s">
        <v>52</v>
      </c>
      <c r="D32" s="107" t="s">
        <v>617</v>
      </c>
      <c r="E32" s="107" t="s">
        <v>53</v>
      </c>
      <c r="F32" s="107" t="s">
        <v>613</v>
      </c>
      <c r="G32" s="107">
        <v>3</v>
      </c>
      <c r="H32" s="74">
        <v>13</v>
      </c>
      <c r="I32" s="108">
        <v>2189786</v>
      </c>
      <c r="J32" s="103">
        <f>RANK(I32,I$2:$I$284)</f>
        <v>43</v>
      </c>
      <c r="K32" s="74">
        <v>295</v>
      </c>
      <c r="L32" s="54">
        <v>44</v>
      </c>
      <c r="M32" s="109">
        <v>0.92999999999999994</v>
      </c>
      <c r="N32" s="110">
        <v>199</v>
      </c>
      <c r="O32" s="107">
        <v>75</v>
      </c>
      <c r="P32" s="54">
        <v>100</v>
      </c>
      <c r="Q32" s="107">
        <v>48</v>
      </c>
      <c r="R32" s="54">
        <v>80</v>
      </c>
      <c r="S32" s="111">
        <v>0</v>
      </c>
      <c r="T32" s="74" t="s">
        <v>615</v>
      </c>
    </row>
    <row r="33" spans="1:20" x14ac:dyDescent="0.25">
      <c r="A33" s="117">
        <v>540018</v>
      </c>
      <c r="B33" s="100"/>
      <c r="C33" s="100" t="s">
        <v>127</v>
      </c>
      <c r="D33" s="101" t="s">
        <v>612</v>
      </c>
      <c r="E33" s="100" t="s">
        <v>618</v>
      </c>
      <c r="F33" s="100" t="s">
        <v>613</v>
      </c>
      <c r="G33" s="100">
        <v>3</v>
      </c>
      <c r="H33" s="93">
        <v>16.5</v>
      </c>
      <c r="I33" s="102">
        <v>1359767</v>
      </c>
      <c r="J33" s="103">
        <f>RANK(I33,I$2:$I$284)</f>
        <v>61</v>
      </c>
      <c r="K33" s="93">
        <v>223</v>
      </c>
      <c r="L33" s="55">
        <v>32</v>
      </c>
      <c r="M33" s="104">
        <v>0.92</v>
      </c>
      <c r="N33" s="105">
        <v>194</v>
      </c>
      <c r="O33" s="100">
        <v>114</v>
      </c>
      <c r="P33" s="55">
        <v>61</v>
      </c>
      <c r="Q33" s="100">
        <v>25</v>
      </c>
      <c r="R33" s="55">
        <v>80</v>
      </c>
      <c r="S33" s="106">
        <v>0</v>
      </c>
      <c r="T33" s="93" t="s">
        <v>615</v>
      </c>
    </row>
    <row r="34" spans="1:20" x14ac:dyDescent="0.25">
      <c r="A34" s="118">
        <v>540169</v>
      </c>
      <c r="B34" s="107" t="s">
        <v>616</v>
      </c>
      <c r="C34" s="107" t="s">
        <v>72</v>
      </c>
      <c r="D34" s="107" t="s">
        <v>617</v>
      </c>
      <c r="E34" s="107" t="s">
        <v>73</v>
      </c>
      <c r="F34" s="107" t="s">
        <v>613</v>
      </c>
      <c r="G34" s="107">
        <v>3</v>
      </c>
      <c r="H34" s="74">
        <v>13</v>
      </c>
      <c r="I34" s="108">
        <v>2416961</v>
      </c>
      <c r="J34" s="103">
        <f>RANK(I34,I$2:$I$284)</f>
        <v>37</v>
      </c>
      <c r="K34" s="74">
        <v>338</v>
      </c>
      <c r="L34" s="54">
        <v>19</v>
      </c>
      <c r="M34" s="109">
        <v>0.92999999999999994</v>
      </c>
      <c r="N34" s="110">
        <v>191</v>
      </c>
      <c r="O34" s="107">
        <v>79</v>
      </c>
      <c r="P34" s="54">
        <v>88</v>
      </c>
      <c r="Q34" s="107">
        <v>55</v>
      </c>
      <c r="R34" s="54">
        <v>73</v>
      </c>
      <c r="S34" s="111">
        <v>0</v>
      </c>
      <c r="T34" s="74" t="s">
        <v>615</v>
      </c>
    </row>
    <row r="35" spans="1:20" x14ac:dyDescent="0.25">
      <c r="A35" s="117">
        <v>540015</v>
      </c>
      <c r="B35" s="100" t="s">
        <v>616</v>
      </c>
      <c r="C35" s="100" t="s">
        <v>125</v>
      </c>
      <c r="D35" s="101" t="s">
        <v>612</v>
      </c>
      <c r="E35" s="100" t="s">
        <v>11</v>
      </c>
      <c r="F35" s="100" t="s">
        <v>613</v>
      </c>
      <c r="G35" s="100">
        <v>3</v>
      </c>
      <c r="H35" s="93">
        <v>8</v>
      </c>
      <c r="I35" s="102">
        <v>4004094</v>
      </c>
      <c r="J35" s="103">
        <f>RANK(I35,I$2:$I$284)</f>
        <v>19</v>
      </c>
      <c r="K35" s="93">
        <v>370</v>
      </c>
      <c r="L35" s="55">
        <v>2</v>
      </c>
      <c r="M35" s="104">
        <v>0.8</v>
      </c>
      <c r="N35" s="105">
        <v>190</v>
      </c>
      <c r="O35" s="100">
        <v>161</v>
      </c>
      <c r="P35" s="55">
        <v>126</v>
      </c>
      <c r="Q35" s="100">
        <v>18</v>
      </c>
      <c r="R35" s="55">
        <v>9</v>
      </c>
      <c r="S35" s="106">
        <v>0</v>
      </c>
      <c r="T35" s="93" t="s">
        <v>615</v>
      </c>
    </row>
    <row r="36" spans="1:20" x14ac:dyDescent="0.25">
      <c r="A36" s="118">
        <v>540282</v>
      </c>
      <c r="B36" s="107" t="s">
        <v>616</v>
      </c>
      <c r="C36" s="107" t="s">
        <v>106</v>
      </c>
      <c r="D36" s="107" t="s">
        <v>617</v>
      </c>
      <c r="E36" s="107" t="s">
        <v>107</v>
      </c>
      <c r="F36" s="107" t="s">
        <v>613</v>
      </c>
      <c r="G36" s="107">
        <v>3</v>
      </c>
      <c r="H36" s="74">
        <v>8</v>
      </c>
      <c r="I36" s="108">
        <v>5519722</v>
      </c>
      <c r="J36" s="103">
        <f>RANK(I36,I$2:$I$284)</f>
        <v>15</v>
      </c>
      <c r="K36" s="74">
        <v>372</v>
      </c>
      <c r="L36" s="54">
        <v>17</v>
      </c>
      <c r="M36" s="109">
        <v>0.91</v>
      </c>
      <c r="N36" s="110">
        <v>187</v>
      </c>
      <c r="O36" s="107">
        <v>60</v>
      </c>
      <c r="P36" s="54">
        <v>166</v>
      </c>
      <c r="Q36" s="107">
        <v>72</v>
      </c>
      <c r="R36" s="54">
        <v>104</v>
      </c>
      <c r="S36" s="111">
        <v>1</v>
      </c>
      <c r="T36" s="74">
        <v>7</v>
      </c>
    </row>
    <row r="37" spans="1:20" x14ac:dyDescent="0.25">
      <c r="A37" s="118">
        <v>540200</v>
      </c>
      <c r="B37" s="107" t="s">
        <v>616</v>
      </c>
      <c r="C37" s="107" t="s">
        <v>84</v>
      </c>
      <c r="D37" s="107" t="s">
        <v>617</v>
      </c>
      <c r="E37" s="107" t="s">
        <v>85</v>
      </c>
      <c r="F37" s="107" t="s">
        <v>613</v>
      </c>
      <c r="G37" s="107">
        <v>3</v>
      </c>
      <c r="H37" s="74">
        <v>16</v>
      </c>
      <c r="I37" s="108">
        <v>2325089</v>
      </c>
      <c r="J37" s="103">
        <f>RANK(I37,I$2:$I$284)</f>
        <v>39</v>
      </c>
      <c r="K37" s="74">
        <v>347</v>
      </c>
      <c r="L37" s="54">
        <v>25</v>
      </c>
      <c r="M37" s="109">
        <v>0.94</v>
      </c>
      <c r="N37" s="110">
        <v>184</v>
      </c>
      <c r="O37" s="107">
        <v>87</v>
      </c>
      <c r="P37" s="54">
        <v>79</v>
      </c>
      <c r="Q37" s="107">
        <v>18</v>
      </c>
      <c r="R37" s="54">
        <v>166</v>
      </c>
      <c r="S37" s="111">
        <v>0</v>
      </c>
      <c r="T37" s="74" t="s">
        <v>615</v>
      </c>
    </row>
    <row r="38" spans="1:20" x14ac:dyDescent="0.25">
      <c r="A38" s="118">
        <v>540097</v>
      </c>
      <c r="B38" s="107" t="s">
        <v>616</v>
      </c>
      <c r="C38" s="107" t="s">
        <v>44</v>
      </c>
      <c r="D38" s="107" t="s">
        <v>617</v>
      </c>
      <c r="E38" s="107" t="s">
        <v>45</v>
      </c>
      <c r="F38" s="107" t="s">
        <v>613</v>
      </c>
      <c r="G38" s="107">
        <v>3</v>
      </c>
      <c r="H38" s="74">
        <v>11</v>
      </c>
      <c r="I38" s="108">
        <v>3712415</v>
      </c>
      <c r="J38" s="103">
        <f>RANK(I38,I$2:$I$284)</f>
        <v>21</v>
      </c>
      <c r="K38" s="74">
        <v>187</v>
      </c>
      <c r="L38" s="54">
        <v>12</v>
      </c>
      <c r="M38" s="109">
        <v>0.86</v>
      </c>
      <c r="N38" s="110">
        <v>183</v>
      </c>
      <c r="O38" s="107">
        <v>81</v>
      </c>
      <c r="P38" s="54">
        <v>27</v>
      </c>
      <c r="Q38" s="107">
        <v>15</v>
      </c>
      <c r="R38" s="54">
        <v>76</v>
      </c>
      <c r="S38" s="111">
        <v>0</v>
      </c>
      <c r="T38" s="74" t="s">
        <v>615</v>
      </c>
    </row>
    <row r="39" spans="1:20" x14ac:dyDescent="0.25">
      <c r="A39" s="118">
        <v>540065</v>
      </c>
      <c r="B39" s="107" t="s">
        <v>616</v>
      </c>
      <c r="C39" s="107" t="s">
        <v>36</v>
      </c>
      <c r="D39" s="107" t="s">
        <v>617</v>
      </c>
      <c r="E39" s="107" t="s">
        <v>37</v>
      </c>
      <c r="F39" s="107" t="s">
        <v>613</v>
      </c>
      <c r="G39" s="107">
        <v>3</v>
      </c>
      <c r="H39" s="74">
        <v>8</v>
      </c>
      <c r="I39" s="108">
        <v>1617488</v>
      </c>
      <c r="J39" s="103">
        <f>RANK(I39,I$2:$I$284)</f>
        <v>55</v>
      </c>
      <c r="K39" s="74">
        <v>126</v>
      </c>
      <c r="L39" s="54">
        <v>16</v>
      </c>
      <c r="M39" s="109">
        <v>0.82000000000000006</v>
      </c>
      <c r="N39" s="110">
        <v>175</v>
      </c>
      <c r="O39" s="107">
        <v>64</v>
      </c>
      <c r="P39" s="54">
        <v>43</v>
      </c>
      <c r="Q39" s="107">
        <v>6</v>
      </c>
      <c r="R39" s="54">
        <v>140</v>
      </c>
      <c r="S39" s="111">
        <v>1</v>
      </c>
      <c r="T39" s="74">
        <v>6</v>
      </c>
    </row>
    <row r="40" spans="1:20" x14ac:dyDescent="0.25">
      <c r="A40" s="118">
        <v>540226</v>
      </c>
      <c r="B40" s="107" t="s">
        <v>616</v>
      </c>
      <c r="C40" s="107" t="s">
        <v>100</v>
      </c>
      <c r="D40" s="107" t="s">
        <v>617</v>
      </c>
      <c r="E40" s="107" t="s">
        <v>101</v>
      </c>
      <c r="F40" s="107" t="s">
        <v>613</v>
      </c>
      <c r="G40" s="107">
        <v>3</v>
      </c>
      <c r="H40" s="74">
        <v>7</v>
      </c>
      <c r="I40" s="108">
        <v>4890648</v>
      </c>
      <c r="J40" s="103">
        <f>RANK(I40,I$2:$I$284)</f>
        <v>16</v>
      </c>
      <c r="K40" s="74">
        <v>312</v>
      </c>
      <c r="L40" s="54">
        <v>2</v>
      </c>
      <c r="M40" s="109">
        <v>0.92999999999999994</v>
      </c>
      <c r="N40" s="110">
        <v>172</v>
      </c>
      <c r="O40" s="107">
        <v>76</v>
      </c>
      <c r="P40" s="54">
        <v>67</v>
      </c>
      <c r="Q40" s="107">
        <v>8</v>
      </c>
      <c r="R40" s="54">
        <v>58</v>
      </c>
      <c r="S40" s="111">
        <v>1</v>
      </c>
      <c r="T40" s="74">
        <v>8</v>
      </c>
    </row>
    <row r="41" spans="1:20" x14ac:dyDescent="0.25">
      <c r="A41" s="118">
        <v>540088</v>
      </c>
      <c r="B41" s="107" t="s">
        <v>616</v>
      </c>
      <c r="C41" s="107" t="s">
        <v>42</v>
      </c>
      <c r="D41" s="107" t="s">
        <v>617</v>
      </c>
      <c r="E41" s="107" t="s">
        <v>43</v>
      </c>
      <c r="F41" s="107" t="s">
        <v>613</v>
      </c>
      <c r="G41" s="107">
        <v>3</v>
      </c>
      <c r="H41" s="74">
        <v>20</v>
      </c>
      <c r="I41" s="108">
        <v>4042899</v>
      </c>
      <c r="J41" s="103">
        <f>RANK(I41,I$2:$I$284)</f>
        <v>18</v>
      </c>
      <c r="K41" s="74">
        <v>286</v>
      </c>
      <c r="L41" s="54">
        <v>34</v>
      </c>
      <c r="M41" s="109">
        <v>0.94</v>
      </c>
      <c r="N41" s="110">
        <v>171</v>
      </c>
      <c r="O41" s="107">
        <v>45</v>
      </c>
      <c r="P41" s="54">
        <v>96</v>
      </c>
      <c r="Q41" s="107">
        <v>4</v>
      </c>
      <c r="R41" s="54">
        <v>106</v>
      </c>
      <c r="S41" s="111">
        <v>0</v>
      </c>
      <c r="T41" s="74" t="s">
        <v>615</v>
      </c>
    </row>
    <row r="42" spans="1:20" x14ac:dyDescent="0.25">
      <c r="A42" s="118">
        <v>540186</v>
      </c>
      <c r="B42" s="107" t="s">
        <v>616</v>
      </c>
      <c r="C42" s="107" t="s">
        <v>78</v>
      </c>
      <c r="D42" s="107" t="s">
        <v>617</v>
      </c>
      <c r="E42" s="107" t="s">
        <v>79</v>
      </c>
      <c r="F42" s="107" t="s">
        <v>613</v>
      </c>
      <c r="G42" s="107">
        <v>3</v>
      </c>
      <c r="H42" s="74">
        <v>11</v>
      </c>
      <c r="I42" s="108">
        <v>7634347</v>
      </c>
      <c r="J42" s="103">
        <f>RANK(I42,I$2:$I$284)</f>
        <v>10</v>
      </c>
      <c r="K42" s="74">
        <v>437</v>
      </c>
      <c r="L42" s="54">
        <v>14</v>
      </c>
      <c r="M42" s="109">
        <v>0.84</v>
      </c>
      <c r="N42" s="110">
        <v>164</v>
      </c>
      <c r="O42" s="107">
        <v>64</v>
      </c>
      <c r="P42" s="54">
        <v>55</v>
      </c>
      <c r="Q42" s="107">
        <v>21</v>
      </c>
      <c r="R42" s="54">
        <v>21</v>
      </c>
      <c r="S42" s="111">
        <v>0</v>
      </c>
      <c r="T42" s="74" t="s">
        <v>615</v>
      </c>
    </row>
    <row r="43" spans="1:20" x14ac:dyDescent="0.25">
      <c r="A43" s="118">
        <v>540026</v>
      </c>
      <c r="B43" s="107" t="s">
        <v>616</v>
      </c>
      <c r="C43" s="107" t="s">
        <v>20</v>
      </c>
      <c r="D43" s="107" t="s">
        <v>617</v>
      </c>
      <c r="E43" s="107" t="s">
        <v>21</v>
      </c>
      <c r="F43" s="107" t="s">
        <v>613</v>
      </c>
      <c r="G43" s="107">
        <v>3</v>
      </c>
      <c r="H43" s="74">
        <v>11</v>
      </c>
      <c r="I43" s="108">
        <v>2093163</v>
      </c>
      <c r="J43" s="103">
        <f>RANK(I43,I$2:$I$284)</f>
        <v>45</v>
      </c>
      <c r="K43" s="74">
        <v>194</v>
      </c>
      <c r="L43" s="54">
        <v>12</v>
      </c>
      <c r="M43" s="109">
        <v>0.91</v>
      </c>
      <c r="N43" s="110">
        <v>162</v>
      </c>
      <c r="O43" s="107">
        <v>69</v>
      </c>
      <c r="P43" s="54">
        <v>36</v>
      </c>
      <c r="Q43" s="107">
        <v>36</v>
      </c>
      <c r="R43" s="54">
        <v>55</v>
      </c>
      <c r="S43" s="111">
        <v>1</v>
      </c>
      <c r="T43" s="74">
        <v>9</v>
      </c>
    </row>
    <row r="44" spans="1:20" x14ac:dyDescent="0.25">
      <c r="A44" s="118">
        <v>540022</v>
      </c>
      <c r="B44" s="107" t="s">
        <v>616</v>
      </c>
      <c r="C44" s="107" t="s">
        <v>16</v>
      </c>
      <c r="D44" s="107" t="s">
        <v>617</v>
      </c>
      <c r="E44" s="107" t="s">
        <v>17</v>
      </c>
      <c r="F44" s="107" t="s">
        <v>613</v>
      </c>
      <c r="G44" s="107">
        <v>3</v>
      </c>
      <c r="H44" s="74">
        <v>14</v>
      </c>
      <c r="I44" s="108">
        <v>1429447</v>
      </c>
      <c r="J44" s="103">
        <f>RANK(I44,I$2:$I$284)</f>
        <v>57</v>
      </c>
      <c r="K44" s="74">
        <v>59</v>
      </c>
      <c r="L44" s="54">
        <v>9</v>
      </c>
      <c r="M44" s="109">
        <v>0.88</v>
      </c>
      <c r="N44" s="110">
        <v>162</v>
      </c>
      <c r="O44" s="107">
        <v>37</v>
      </c>
      <c r="P44" s="54">
        <v>11</v>
      </c>
      <c r="Q44" s="107">
        <v>0</v>
      </c>
      <c r="R44" s="54">
        <v>47</v>
      </c>
      <c r="S44" s="111">
        <v>0</v>
      </c>
      <c r="T44" s="74" t="s">
        <v>615</v>
      </c>
    </row>
    <row r="45" spans="1:20" x14ac:dyDescent="0.25">
      <c r="A45" s="118">
        <v>540175</v>
      </c>
      <c r="B45" s="107" t="s">
        <v>616</v>
      </c>
      <c r="C45" s="107" t="s">
        <v>74</v>
      </c>
      <c r="D45" s="107" t="s">
        <v>617</v>
      </c>
      <c r="E45" s="107" t="s">
        <v>75</v>
      </c>
      <c r="F45" s="107" t="s">
        <v>613</v>
      </c>
      <c r="G45" s="107">
        <v>3</v>
      </c>
      <c r="H45" s="74">
        <v>11</v>
      </c>
      <c r="I45" s="108">
        <v>2787425</v>
      </c>
      <c r="J45" s="103">
        <f>RANK(I45,I$2:$I$284)</f>
        <v>30</v>
      </c>
      <c r="K45" s="74">
        <v>286</v>
      </c>
      <c r="L45" s="54">
        <v>27</v>
      </c>
      <c r="M45" s="109">
        <v>0.9</v>
      </c>
      <c r="N45" s="110">
        <v>159</v>
      </c>
      <c r="O45" s="107">
        <v>63</v>
      </c>
      <c r="P45" s="54">
        <v>104</v>
      </c>
      <c r="Q45" s="107">
        <v>47</v>
      </c>
      <c r="R45" s="54">
        <v>126</v>
      </c>
      <c r="S45" s="111">
        <v>0</v>
      </c>
      <c r="T45" s="74" t="s">
        <v>615</v>
      </c>
    </row>
    <row r="46" spans="1:20" x14ac:dyDescent="0.25">
      <c r="A46" s="117">
        <v>540199</v>
      </c>
      <c r="B46" s="100" t="s">
        <v>616</v>
      </c>
      <c r="C46" s="100" t="s">
        <v>261</v>
      </c>
      <c r="D46" s="101" t="s">
        <v>612</v>
      </c>
      <c r="E46" s="100" t="s">
        <v>83</v>
      </c>
      <c r="F46" s="100" t="s">
        <v>613</v>
      </c>
      <c r="G46" s="100">
        <v>3</v>
      </c>
      <c r="H46" s="93">
        <v>12</v>
      </c>
      <c r="I46" s="102">
        <v>1824408</v>
      </c>
      <c r="J46" s="103">
        <f>RANK(I46,I$2:$I$284)</f>
        <v>50</v>
      </c>
      <c r="K46" s="93">
        <v>283</v>
      </c>
      <c r="L46" s="55">
        <v>8</v>
      </c>
      <c r="M46" s="104">
        <v>0.86</v>
      </c>
      <c r="N46" s="105">
        <v>158</v>
      </c>
      <c r="O46" s="100">
        <v>92</v>
      </c>
      <c r="P46" s="55">
        <v>68</v>
      </c>
      <c r="Q46" s="100">
        <v>47</v>
      </c>
      <c r="R46" s="55">
        <v>33</v>
      </c>
      <c r="S46" s="106">
        <v>1</v>
      </c>
      <c r="T46" s="93">
        <v>8</v>
      </c>
    </row>
    <row r="47" spans="1:20" x14ac:dyDescent="0.25">
      <c r="A47" s="117">
        <v>540159</v>
      </c>
      <c r="B47" s="100" t="s">
        <v>616</v>
      </c>
      <c r="C47" s="100" t="s">
        <v>234</v>
      </c>
      <c r="D47" s="101" t="s">
        <v>612</v>
      </c>
      <c r="E47" s="100" t="s">
        <v>109</v>
      </c>
      <c r="F47" s="100" t="s">
        <v>613</v>
      </c>
      <c r="G47" s="100">
        <v>3</v>
      </c>
      <c r="H47" s="93">
        <v>10</v>
      </c>
      <c r="I47" s="102">
        <v>13396576</v>
      </c>
      <c r="J47" s="103">
        <f>RANK(I47,I$2:$I$284)</f>
        <v>4</v>
      </c>
      <c r="K47" s="93">
        <v>579</v>
      </c>
      <c r="L47" s="55">
        <v>2</v>
      </c>
      <c r="M47" s="104">
        <v>0.79</v>
      </c>
      <c r="N47" s="105">
        <v>156</v>
      </c>
      <c r="O47" s="100">
        <v>89</v>
      </c>
      <c r="P47" s="55">
        <v>208</v>
      </c>
      <c r="Q47" s="100">
        <v>9</v>
      </c>
      <c r="R47" s="55">
        <v>6</v>
      </c>
      <c r="S47" s="106">
        <v>0</v>
      </c>
      <c r="T47" s="93" t="s">
        <v>615</v>
      </c>
    </row>
    <row r="48" spans="1:20" x14ac:dyDescent="0.25">
      <c r="A48" s="118">
        <v>540283</v>
      </c>
      <c r="B48" s="107" t="s">
        <v>616</v>
      </c>
      <c r="C48" s="107" t="s">
        <v>108</v>
      </c>
      <c r="D48" s="107" t="s">
        <v>617</v>
      </c>
      <c r="E48" s="107" t="s">
        <v>109</v>
      </c>
      <c r="F48" s="107" t="s">
        <v>613</v>
      </c>
      <c r="G48" s="107">
        <v>3</v>
      </c>
      <c r="H48" s="74">
        <v>10</v>
      </c>
      <c r="I48" s="108">
        <v>2231586</v>
      </c>
      <c r="J48" s="103">
        <f>RANK(I48,I$2:$I$284)</f>
        <v>40</v>
      </c>
      <c r="K48" s="74">
        <v>156</v>
      </c>
      <c r="L48" s="54">
        <v>4</v>
      </c>
      <c r="M48" s="109">
        <v>0.79</v>
      </c>
      <c r="N48" s="110">
        <v>146</v>
      </c>
      <c r="O48" s="107">
        <v>53</v>
      </c>
      <c r="P48" s="54">
        <v>20</v>
      </c>
      <c r="Q48" s="107">
        <v>9</v>
      </c>
      <c r="R48" s="54">
        <v>15</v>
      </c>
      <c r="S48" s="111">
        <v>0</v>
      </c>
      <c r="T48" s="74" t="s">
        <v>615</v>
      </c>
    </row>
    <row r="49" spans="1:20" x14ac:dyDescent="0.25">
      <c r="A49" s="118">
        <v>540053</v>
      </c>
      <c r="B49" s="107" t="s">
        <v>616</v>
      </c>
      <c r="C49" s="107" t="s">
        <v>32</v>
      </c>
      <c r="D49" s="107" t="s">
        <v>617</v>
      </c>
      <c r="E49" s="107" t="s">
        <v>33</v>
      </c>
      <c r="F49" s="107" t="s">
        <v>613</v>
      </c>
      <c r="G49" s="107">
        <v>3</v>
      </c>
      <c r="H49" s="74">
        <v>13</v>
      </c>
      <c r="I49" s="108">
        <v>1281142</v>
      </c>
      <c r="J49" s="103">
        <f>RANK(I49,I$2:$I$284)</f>
        <v>66</v>
      </c>
      <c r="K49" s="74">
        <v>169</v>
      </c>
      <c r="L49" s="54">
        <v>18</v>
      </c>
      <c r="M49" s="109">
        <v>0.9</v>
      </c>
      <c r="N49" s="110">
        <v>143</v>
      </c>
      <c r="O49" s="107">
        <v>51</v>
      </c>
      <c r="P49" s="54">
        <v>49</v>
      </c>
      <c r="Q49" s="107">
        <v>26</v>
      </c>
      <c r="R49" s="54">
        <v>75</v>
      </c>
      <c r="S49" s="111">
        <v>0</v>
      </c>
      <c r="T49" s="74" t="s">
        <v>615</v>
      </c>
    </row>
    <row r="50" spans="1:20" x14ac:dyDescent="0.25">
      <c r="A50" s="118">
        <v>540139</v>
      </c>
      <c r="B50" s="107" t="s">
        <v>616</v>
      </c>
      <c r="C50" s="107" t="s">
        <v>58</v>
      </c>
      <c r="D50" s="107" t="s">
        <v>617</v>
      </c>
      <c r="E50" s="107" t="s">
        <v>59</v>
      </c>
      <c r="F50" s="107" t="s">
        <v>613</v>
      </c>
      <c r="G50" s="107">
        <v>3</v>
      </c>
      <c r="H50" s="74">
        <v>11</v>
      </c>
      <c r="I50" s="108">
        <v>1086599</v>
      </c>
      <c r="J50" s="103">
        <f>RANK(I50,I$2:$I$284)</f>
        <v>71</v>
      </c>
      <c r="K50" s="74">
        <v>151</v>
      </c>
      <c r="L50" s="54">
        <v>17</v>
      </c>
      <c r="M50" s="109">
        <v>0.89</v>
      </c>
      <c r="N50" s="110">
        <v>140</v>
      </c>
      <c r="O50" s="107">
        <v>32</v>
      </c>
      <c r="P50" s="54">
        <v>31</v>
      </c>
      <c r="Q50" s="107">
        <v>11</v>
      </c>
      <c r="R50" s="54">
        <v>94</v>
      </c>
      <c r="S50" s="111">
        <v>0</v>
      </c>
      <c r="T50" s="74" t="s">
        <v>615</v>
      </c>
    </row>
    <row r="51" spans="1:20" x14ac:dyDescent="0.25">
      <c r="A51" s="117">
        <v>540045</v>
      </c>
      <c r="B51" s="100" t="s">
        <v>616</v>
      </c>
      <c r="C51" s="100" t="s">
        <v>146</v>
      </c>
      <c r="D51" s="101" t="s">
        <v>612</v>
      </c>
      <c r="E51" s="100" t="s">
        <v>27</v>
      </c>
      <c r="F51" s="100" t="s">
        <v>613</v>
      </c>
      <c r="G51" s="100">
        <v>3</v>
      </c>
      <c r="H51" s="93">
        <v>9</v>
      </c>
      <c r="I51" s="102">
        <v>2975141</v>
      </c>
      <c r="J51" s="103">
        <f>RANK(I51,I$2:$I$284)</f>
        <v>27</v>
      </c>
      <c r="K51" s="93">
        <v>89</v>
      </c>
      <c r="L51" s="55">
        <v>2</v>
      </c>
      <c r="M51" s="104">
        <v>0.76</v>
      </c>
      <c r="N51" s="105">
        <v>133</v>
      </c>
      <c r="O51" s="100">
        <v>64</v>
      </c>
      <c r="P51" s="55">
        <v>2</v>
      </c>
      <c r="Q51" s="100">
        <v>60</v>
      </c>
      <c r="R51" s="55">
        <v>39</v>
      </c>
      <c r="S51" s="106">
        <v>0</v>
      </c>
      <c r="T51" s="93" t="s">
        <v>615</v>
      </c>
    </row>
    <row r="52" spans="1:20" x14ac:dyDescent="0.25">
      <c r="A52" s="118">
        <v>540207</v>
      </c>
      <c r="B52" s="107" t="s">
        <v>616</v>
      </c>
      <c r="C52" s="107" t="s">
        <v>88</v>
      </c>
      <c r="D52" s="107" t="s">
        <v>617</v>
      </c>
      <c r="E52" s="107" t="s">
        <v>89</v>
      </c>
      <c r="F52" s="107" t="s">
        <v>613</v>
      </c>
      <c r="G52" s="107">
        <v>3</v>
      </c>
      <c r="H52" s="74">
        <v>16</v>
      </c>
      <c r="I52" s="108">
        <v>1747860</v>
      </c>
      <c r="J52" s="103">
        <f>RANK(I52,I$2:$I$284)</f>
        <v>53</v>
      </c>
      <c r="K52" s="74">
        <v>149</v>
      </c>
      <c r="L52" s="54">
        <v>12</v>
      </c>
      <c r="M52" s="109">
        <v>0.87</v>
      </c>
      <c r="N52" s="110">
        <v>128</v>
      </c>
      <c r="O52" s="107">
        <v>57</v>
      </c>
      <c r="P52" s="54">
        <v>39</v>
      </c>
      <c r="Q52" s="107">
        <v>15</v>
      </c>
      <c r="R52" s="54">
        <v>47</v>
      </c>
      <c r="S52" s="111">
        <v>0</v>
      </c>
      <c r="T52" s="74" t="s">
        <v>615</v>
      </c>
    </row>
    <row r="53" spans="1:20" x14ac:dyDescent="0.25">
      <c r="A53" s="118">
        <v>540114</v>
      </c>
      <c r="B53" s="107" t="s">
        <v>616</v>
      </c>
      <c r="C53" s="107" t="s">
        <v>50</v>
      </c>
      <c r="D53" s="107" t="s">
        <v>617</v>
      </c>
      <c r="E53" s="107" t="s">
        <v>51</v>
      </c>
      <c r="F53" s="107" t="s">
        <v>613</v>
      </c>
      <c r="G53" s="107">
        <v>3</v>
      </c>
      <c r="H53" s="74">
        <v>13</v>
      </c>
      <c r="I53" s="108">
        <v>3278111</v>
      </c>
      <c r="J53" s="103">
        <f>RANK(I53,I$2:$I$284)</f>
        <v>25</v>
      </c>
      <c r="K53" s="74">
        <v>565</v>
      </c>
      <c r="L53" s="54">
        <v>23</v>
      </c>
      <c r="M53" s="109">
        <v>0.91</v>
      </c>
      <c r="N53" s="110">
        <v>125</v>
      </c>
      <c r="O53" s="107">
        <v>42</v>
      </c>
      <c r="P53" s="54">
        <v>83</v>
      </c>
      <c r="Q53" s="107">
        <v>202</v>
      </c>
      <c r="R53" s="54">
        <v>10</v>
      </c>
      <c r="S53" s="111">
        <v>0</v>
      </c>
      <c r="T53" s="74" t="s">
        <v>615</v>
      </c>
    </row>
    <row r="54" spans="1:20" x14ac:dyDescent="0.25">
      <c r="A54" s="118">
        <v>540144</v>
      </c>
      <c r="B54" s="107" t="s">
        <v>616</v>
      </c>
      <c r="C54" s="107" t="s">
        <v>60</v>
      </c>
      <c r="D54" s="107" t="s">
        <v>617</v>
      </c>
      <c r="E54" s="107" t="s">
        <v>61</v>
      </c>
      <c r="F54" s="107" t="s">
        <v>613</v>
      </c>
      <c r="G54" s="107">
        <v>3</v>
      </c>
      <c r="H54" s="74">
        <v>8</v>
      </c>
      <c r="I54" s="108">
        <v>2865903</v>
      </c>
      <c r="J54" s="103">
        <f>RANK(I54,I$2:$I$284)</f>
        <v>28</v>
      </c>
      <c r="K54" s="74">
        <v>199</v>
      </c>
      <c r="L54" s="54">
        <v>11</v>
      </c>
      <c r="M54" s="109">
        <v>0.85</v>
      </c>
      <c r="N54" s="110">
        <v>124</v>
      </c>
      <c r="O54" s="107">
        <v>35</v>
      </c>
      <c r="P54" s="54">
        <v>86</v>
      </c>
      <c r="Q54" s="107">
        <v>10</v>
      </c>
      <c r="R54" s="54">
        <v>33</v>
      </c>
      <c r="S54" s="111">
        <v>1</v>
      </c>
      <c r="T54" s="74">
        <v>9</v>
      </c>
    </row>
    <row r="55" spans="1:20" x14ac:dyDescent="0.25">
      <c r="A55" s="118">
        <v>540107</v>
      </c>
      <c r="B55" s="107" t="s">
        <v>616</v>
      </c>
      <c r="C55" s="107" t="s">
        <v>46</v>
      </c>
      <c r="D55" s="107" t="s">
        <v>617</v>
      </c>
      <c r="E55" s="107" t="s">
        <v>47</v>
      </c>
      <c r="F55" s="107" t="s">
        <v>613</v>
      </c>
      <c r="G55" s="107">
        <v>3</v>
      </c>
      <c r="H55" s="74">
        <v>12</v>
      </c>
      <c r="I55" s="108">
        <v>1348790</v>
      </c>
      <c r="J55" s="103">
        <f>RANK(I55,I$2:$I$284)</f>
        <v>63</v>
      </c>
      <c r="K55" s="74">
        <v>247</v>
      </c>
      <c r="L55" s="54">
        <v>11</v>
      </c>
      <c r="M55" s="109">
        <v>0.86</v>
      </c>
      <c r="N55" s="110">
        <v>122</v>
      </c>
      <c r="O55" s="107">
        <v>65</v>
      </c>
      <c r="P55" s="54">
        <v>72</v>
      </c>
      <c r="Q55" s="107">
        <v>3</v>
      </c>
      <c r="R55" s="54">
        <v>46</v>
      </c>
      <c r="S55" s="111">
        <v>0</v>
      </c>
      <c r="T55" s="74" t="s">
        <v>615</v>
      </c>
    </row>
    <row r="56" spans="1:20" x14ac:dyDescent="0.25">
      <c r="A56" s="118">
        <v>540063</v>
      </c>
      <c r="B56" s="107" t="s">
        <v>616</v>
      </c>
      <c r="C56" s="107" t="s">
        <v>34</v>
      </c>
      <c r="D56" s="107" t="s">
        <v>617</v>
      </c>
      <c r="E56" s="107" t="s">
        <v>35</v>
      </c>
      <c r="F56" s="107" t="s">
        <v>613</v>
      </c>
      <c r="G56" s="107">
        <v>3</v>
      </c>
      <c r="H56" s="74">
        <v>14</v>
      </c>
      <c r="I56" s="108">
        <v>2673177</v>
      </c>
      <c r="J56" s="103">
        <f>RANK(I56,I$2:$I$284)</f>
        <v>32</v>
      </c>
      <c r="K56" s="74">
        <v>195</v>
      </c>
      <c r="L56" s="54">
        <v>32</v>
      </c>
      <c r="M56" s="109">
        <v>0.95</v>
      </c>
      <c r="N56" s="110">
        <v>122</v>
      </c>
      <c r="O56" s="107">
        <v>41</v>
      </c>
      <c r="P56" s="54">
        <v>65</v>
      </c>
      <c r="Q56" s="107">
        <v>7</v>
      </c>
      <c r="R56" s="54">
        <v>90</v>
      </c>
      <c r="S56" s="111">
        <v>0</v>
      </c>
      <c r="T56" s="74" t="s">
        <v>615</v>
      </c>
    </row>
    <row r="57" spans="1:20" x14ac:dyDescent="0.25">
      <c r="A57" s="118">
        <v>540183</v>
      </c>
      <c r="B57" s="107" t="s">
        <v>616</v>
      </c>
      <c r="C57" s="107" t="s">
        <v>76</v>
      </c>
      <c r="D57" s="107" t="s">
        <v>617</v>
      </c>
      <c r="E57" s="107" t="s">
        <v>77</v>
      </c>
      <c r="F57" s="107" t="s">
        <v>613</v>
      </c>
      <c r="G57" s="107">
        <v>3</v>
      </c>
      <c r="H57" s="74">
        <v>15</v>
      </c>
      <c r="I57" s="108">
        <v>2202986</v>
      </c>
      <c r="J57" s="103">
        <f>RANK(I57,I$2:$I$284)</f>
        <v>42</v>
      </c>
      <c r="K57" s="74">
        <v>82</v>
      </c>
      <c r="L57" s="54">
        <v>8</v>
      </c>
      <c r="M57" s="109">
        <v>0.85</v>
      </c>
      <c r="N57" s="110">
        <v>120</v>
      </c>
      <c r="O57" s="107">
        <v>20</v>
      </c>
      <c r="P57" s="54">
        <v>16</v>
      </c>
      <c r="Q57" s="107">
        <v>0</v>
      </c>
      <c r="R57" s="54">
        <v>80</v>
      </c>
      <c r="S57" s="111">
        <v>0</v>
      </c>
      <c r="T57" s="74" t="s">
        <v>615</v>
      </c>
    </row>
    <row r="58" spans="1:20" x14ac:dyDescent="0.25">
      <c r="A58" s="117">
        <v>540081</v>
      </c>
      <c r="B58" s="100" t="s">
        <v>616</v>
      </c>
      <c r="C58" s="100" t="s">
        <v>176</v>
      </c>
      <c r="D58" s="101" t="s">
        <v>612</v>
      </c>
      <c r="E58" s="100" t="s">
        <v>619</v>
      </c>
      <c r="F58" s="100" t="s">
        <v>613</v>
      </c>
      <c r="G58" s="100">
        <v>3</v>
      </c>
      <c r="H58" s="93">
        <v>14</v>
      </c>
      <c r="I58" s="102">
        <v>161664</v>
      </c>
      <c r="J58" s="103">
        <f>RANK(I58,I$2:$I$284)</f>
        <v>148</v>
      </c>
      <c r="K58" s="93">
        <v>44</v>
      </c>
      <c r="L58" s="55">
        <v>2</v>
      </c>
      <c r="M58" s="104">
        <v>0.84499999999999997</v>
      </c>
      <c r="N58" s="105">
        <v>119</v>
      </c>
      <c r="O58" s="100">
        <v>88</v>
      </c>
      <c r="P58" s="55">
        <v>11</v>
      </c>
      <c r="Q58" s="100">
        <v>89.5</v>
      </c>
      <c r="R58" s="55">
        <v>49</v>
      </c>
      <c r="S58" s="106">
        <v>0</v>
      </c>
      <c r="T58" s="93" t="s">
        <v>615</v>
      </c>
    </row>
    <row r="59" spans="1:20" x14ac:dyDescent="0.25">
      <c r="A59" s="118">
        <v>540129</v>
      </c>
      <c r="B59" s="107" t="s">
        <v>616</v>
      </c>
      <c r="C59" s="107" t="s">
        <v>54</v>
      </c>
      <c r="D59" s="107" t="s">
        <v>617</v>
      </c>
      <c r="E59" s="107" t="s">
        <v>55</v>
      </c>
      <c r="F59" s="107" t="s">
        <v>613</v>
      </c>
      <c r="G59" s="107">
        <v>3</v>
      </c>
      <c r="H59" s="74">
        <v>8</v>
      </c>
      <c r="I59" s="108">
        <v>371076</v>
      </c>
      <c r="J59" s="103">
        <f>RANK(I59,I$2:$I$284)</f>
        <v>110</v>
      </c>
      <c r="K59" s="74">
        <v>73</v>
      </c>
      <c r="L59" s="54">
        <v>0</v>
      </c>
      <c r="M59" s="109">
        <v>0.89</v>
      </c>
      <c r="N59" s="110">
        <v>118</v>
      </c>
      <c r="O59" s="107">
        <v>60</v>
      </c>
      <c r="P59" s="54">
        <v>18</v>
      </c>
      <c r="Q59" s="107">
        <v>53</v>
      </c>
      <c r="R59" s="54">
        <v>68</v>
      </c>
      <c r="S59" s="111">
        <v>0</v>
      </c>
      <c r="T59" s="74" t="s">
        <v>615</v>
      </c>
    </row>
    <row r="60" spans="1:20" x14ac:dyDescent="0.25">
      <c r="A60" s="117">
        <v>540208</v>
      </c>
      <c r="B60" s="100" t="s">
        <v>616</v>
      </c>
      <c r="C60" s="100" t="s">
        <v>266</v>
      </c>
      <c r="D60" s="101" t="s">
        <v>612</v>
      </c>
      <c r="E60" s="100" t="s">
        <v>89</v>
      </c>
      <c r="F60" s="100" t="s">
        <v>613</v>
      </c>
      <c r="G60" s="100">
        <v>3</v>
      </c>
      <c r="H60" s="93">
        <v>16</v>
      </c>
      <c r="I60" s="102">
        <v>3293477</v>
      </c>
      <c r="J60" s="103">
        <f>RANK(I60,I$2:$I$284)</f>
        <v>24</v>
      </c>
      <c r="K60" s="93">
        <v>278</v>
      </c>
      <c r="L60" s="55">
        <v>0</v>
      </c>
      <c r="M60" s="104">
        <v>0.87</v>
      </c>
      <c r="N60" s="105">
        <v>117</v>
      </c>
      <c r="O60" s="100">
        <v>72</v>
      </c>
      <c r="P60" s="55">
        <v>86</v>
      </c>
      <c r="Q60" s="100">
        <v>15</v>
      </c>
      <c r="R60" s="55">
        <v>22</v>
      </c>
      <c r="S60" s="106">
        <v>0</v>
      </c>
      <c r="T60" s="93" t="s">
        <v>615</v>
      </c>
    </row>
    <row r="61" spans="1:20" x14ac:dyDescent="0.25">
      <c r="A61" s="118">
        <v>540203</v>
      </c>
      <c r="B61" s="107" t="s">
        <v>616</v>
      </c>
      <c r="C61" s="107" t="s">
        <v>86</v>
      </c>
      <c r="D61" s="107" t="s">
        <v>617</v>
      </c>
      <c r="E61" s="107" t="s">
        <v>87</v>
      </c>
      <c r="F61" s="107" t="s">
        <v>613</v>
      </c>
      <c r="G61" s="107">
        <v>3</v>
      </c>
      <c r="H61" s="74">
        <v>14</v>
      </c>
      <c r="I61" s="108">
        <v>1892045</v>
      </c>
      <c r="J61" s="103">
        <f>RANK(I61,I$2:$I$284)</f>
        <v>49</v>
      </c>
      <c r="K61" s="74">
        <v>140</v>
      </c>
      <c r="L61" s="54">
        <v>7</v>
      </c>
      <c r="M61" s="109">
        <v>0.87</v>
      </c>
      <c r="N61" s="110">
        <v>117</v>
      </c>
      <c r="O61" s="107">
        <v>34</v>
      </c>
      <c r="P61" s="54">
        <v>30</v>
      </c>
      <c r="Q61" s="107">
        <v>0</v>
      </c>
      <c r="R61" s="54">
        <v>13</v>
      </c>
      <c r="S61" s="111">
        <v>0</v>
      </c>
      <c r="T61" s="74" t="s">
        <v>615</v>
      </c>
    </row>
    <row r="62" spans="1:20" x14ac:dyDescent="0.25">
      <c r="A62" s="117">
        <v>540215</v>
      </c>
      <c r="B62" s="100" t="s">
        <v>616</v>
      </c>
      <c r="C62" s="100" t="s">
        <v>270</v>
      </c>
      <c r="D62" s="101" t="s">
        <v>612</v>
      </c>
      <c r="E62" s="100" t="s">
        <v>93</v>
      </c>
      <c r="F62" s="100" t="s">
        <v>613</v>
      </c>
      <c r="G62" s="100">
        <v>3</v>
      </c>
      <c r="H62" s="93">
        <v>9</v>
      </c>
      <c r="I62" s="102">
        <v>522969</v>
      </c>
      <c r="J62" s="103">
        <f>RANK(I62,I$2:$I$284)</f>
        <v>97</v>
      </c>
      <c r="K62" s="93">
        <v>74</v>
      </c>
      <c r="L62" s="55">
        <v>0</v>
      </c>
      <c r="M62" s="104">
        <v>0.89</v>
      </c>
      <c r="N62" s="105">
        <v>107</v>
      </c>
      <c r="O62" s="100">
        <v>54</v>
      </c>
      <c r="P62" s="55">
        <v>16</v>
      </c>
      <c r="Q62" s="100">
        <v>18</v>
      </c>
      <c r="R62" s="55">
        <v>67</v>
      </c>
      <c r="S62" s="106">
        <v>0</v>
      </c>
      <c r="T62" s="93" t="s">
        <v>615</v>
      </c>
    </row>
    <row r="63" spans="1:20" x14ac:dyDescent="0.25">
      <c r="A63" s="117">
        <v>540194</v>
      </c>
      <c r="B63" s="100" t="s">
        <v>616</v>
      </c>
      <c r="C63" s="100" t="s">
        <v>344</v>
      </c>
      <c r="D63" s="101" t="s">
        <v>612</v>
      </c>
      <c r="E63" s="100" t="s">
        <v>113</v>
      </c>
      <c r="F63" s="100" t="s">
        <v>613</v>
      </c>
      <c r="G63" s="100">
        <v>3</v>
      </c>
      <c r="H63" s="93">
        <v>13</v>
      </c>
      <c r="I63" s="102">
        <v>6223179</v>
      </c>
      <c r="J63" s="103">
        <f>RANK(I63,I$2:$I$284)</f>
        <v>14</v>
      </c>
      <c r="K63" s="93">
        <v>248</v>
      </c>
      <c r="L63" s="55">
        <v>0</v>
      </c>
      <c r="M63" s="104">
        <v>0.73</v>
      </c>
      <c r="N63" s="105">
        <v>107</v>
      </c>
      <c r="O63" s="100">
        <v>47</v>
      </c>
      <c r="P63" s="55">
        <v>36</v>
      </c>
      <c r="Q63" s="100">
        <v>53</v>
      </c>
      <c r="R63" s="55">
        <v>7</v>
      </c>
      <c r="S63" s="106">
        <v>1</v>
      </c>
      <c r="T63" s="93">
        <v>8</v>
      </c>
    </row>
    <row r="64" spans="1:20" x14ac:dyDescent="0.25">
      <c r="A64" s="117">
        <v>540123</v>
      </c>
      <c r="B64" s="100" t="s">
        <v>616</v>
      </c>
      <c r="C64" s="100" t="s">
        <v>209</v>
      </c>
      <c r="D64" s="101" t="s">
        <v>612</v>
      </c>
      <c r="E64" s="100" t="s">
        <v>51</v>
      </c>
      <c r="F64" s="100" t="s">
        <v>613</v>
      </c>
      <c r="G64" s="100">
        <v>3</v>
      </c>
      <c r="H64" s="93">
        <v>13</v>
      </c>
      <c r="I64" s="102">
        <v>2006605</v>
      </c>
      <c r="J64" s="103">
        <f>RANK(I64,I$2:$I$284)</f>
        <v>47</v>
      </c>
      <c r="K64" s="93">
        <v>256</v>
      </c>
      <c r="L64" s="55">
        <v>26</v>
      </c>
      <c r="M64" s="104">
        <v>0.91</v>
      </c>
      <c r="N64" s="105">
        <v>103</v>
      </c>
      <c r="O64" s="100">
        <v>51</v>
      </c>
      <c r="P64" s="55">
        <v>71</v>
      </c>
      <c r="Q64" s="100">
        <v>202</v>
      </c>
      <c r="R64" s="55">
        <v>8</v>
      </c>
      <c r="S64" s="106">
        <v>0</v>
      </c>
      <c r="T64" s="93" t="s">
        <v>615</v>
      </c>
    </row>
    <row r="65" spans="1:20" x14ac:dyDescent="0.25">
      <c r="A65" s="117">
        <v>540075</v>
      </c>
      <c r="B65" s="100" t="s">
        <v>616</v>
      </c>
      <c r="C65" s="100" t="s">
        <v>170</v>
      </c>
      <c r="D65" s="101" t="s">
        <v>612</v>
      </c>
      <c r="E65" s="100" t="s">
        <v>39</v>
      </c>
      <c r="F65" s="100" t="s">
        <v>613</v>
      </c>
      <c r="G65" s="100">
        <v>3</v>
      </c>
      <c r="H65" s="93">
        <v>16</v>
      </c>
      <c r="I65" s="102">
        <v>6556124</v>
      </c>
      <c r="J65" s="103">
        <f>RANK(I65,I$2:$I$284)</f>
        <v>12</v>
      </c>
      <c r="K65" s="93">
        <v>119</v>
      </c>
      <c r="L65" s="55">
        <v>2</v>
      </c>
      <c r="M65" s="104">
        <v>0.83</v>
      </c>
      <c r="N65" s="105">
        <v>94</v>
      </c>
      <c r="O65" s="100">
        <v>38</v>
      </c>
      <c r="P65" s="55">
        <v>15</v>
      </c>
      <c r="Q65" s="100">
        <v>169</v>
      </c>
      <c r="R65" s="55">
        <v>5</v>
      </c>
      <c r="S65" s="106">
        <v>0</v>
      </c>
      <c r="T65" s="93" t="s">
        <v>615</v>
      </c>
    </row>
    <row r="66" spans="1:20" x14ac:dyDescent="0.25">
      <c r="A66" s="117">
        <v>540019</v>
      </c>
      <c r="B66" s="100" t="s">
        <v>616</v>
      </c>
      <c r="C66" s="100" t="s">
        <v>128</v>
      </c>
      <c r="D66" s="101" t="s">
        <v>612</v>
      </c>
      <c r="E66" s="100" t="s">
        <v>13</v>
      </c>
      <c r="F66" s="100" t="s">
        <v>613</v>
      </c>
      <c r="G66" s="100">
        <v>3</v>
      </c>
      <c r="H66" s="93">
        <v>17</v>
      </c>
      <c r="I66" s="102">
        <v>2478986</v>
      </c>
      <c r="J66" s="103">
        <f>RANK(I66,I$2:$I$284)</f>
        <v>34</v>
      </c>
      <c r="K66" s="93">
        <v>184</v>
      </c>
      <c r="L66" s="55">
        <v>11</v>
      </c>
      <c r="M66" s="104">
        <v>0.9</v>
      </c>
      <c r="N66" s="105">
        <v>93</v>
      </c>
      <c r="O66" s="100">
        <v>49</v>
      </c>
      <c r="P66" s="55">
        <v>57</v>
      </c>
      <c r="Q66" s="100">
        <v>32</v>
      </c>
      <c r="R66" s="55">
        <v>26</v>
      </c>
      <c r="S66" s="106">
        <v>0</v>
      </c>
      <c r="T66" s="93" t="s">
        <v>615</v>
      </c>
    </row>
    <row r="67" spans="1:20" x14ac:dyDescent="0.25">
      <c r="A67" s="118">
        <v>540146</v>
      </c>
      <c r="B67" s="107" t="s">
        <v>616</v>
      </c>
      <c r="C67" s="107" t="s">
        <v>62</v>
      </c>
      <c r="D67" s="107" t="s">
        <v>617</v>
      </c>
      <c r="E67" s="107" t="s">
        <v>63</v>
      </c>
      <c r="F67" s="107" t="s">
        <v>613</v>
      </c>
      <c r="G67" s="107">
        <v>3</v>
      </c>
      <c r="H67" s="74">
        <v>13</v>
      </c>
      <c r="I67" s="108">
        <v>1997231</v>
      </c>
      <c r="J67" s="103">
        <f>RANK(I67,I$2:$I$284)</f>
        <v>48</v>
      </c>
      <c r="K67" s="74">
        <v>64</v>
      </c>
      <c r="L67" s="54">
        <v>0</v>
      </c>
      <c r="M67" s="109">
        <v>0.83</v>
      </c>
      <c r="N67" s="110">
        <v>92</v>
      </c>
      <c r="O67" s="107">
        <v>31</v>
      </c>
      <c r="P67" s="54">
        <v>6</v>
      </c>
      <c r="Q67" s="107">
        <v>14</v>
      </c>
      <c r="R67" s="54">
        <v>33</v>
      </c>
      <c r="S67" s="111">
        <v>0</v>
      </c>
      <c r="T67" s="74" t="s">
        <v>615</v>
      </c>
    </row>
    <row r="68" spans="1:20" x14ac:dyDescent="0.25">
      <c r="A68" s="118">
        <v>540112</v>
      </c>
      <c r="B68" s="107" t="s">
        <v>616</v>
      </c>
      <c r="C68" s="107" t="s">
        <v>48</v>
      </c>
      <c r="D68" s="107" t="s">
        <v>617</v>
      </c>
      <c r="E68" s="107" t="s">
        <v>49</v>
      </c>
      <c r="F68" s="107" t="s">
        <v>613</v>
      </c>
      <c r="G68" s="107">
        <v>3</v>
      </c>
      <c r="H68" s="74">
        <v>12</v>
      </c>
      <c r="I68" s="108">
        <v>926195</v>
      </c>
      <c r="J68" s="103">
        <f>RANK(I68,I$2:$I$284)</f>
        <v>75</v>
      </c>
      <c r="K68" s="74">
        <v>103</v>
      </c>
      <c r="L68" s="54">
        <v>2</v>
      </c>
      <c r="M68" s="109">
        <v>0.94</v>
      </c>
      <c r="N68" s="110">
        <v>91</v>
      </c>
      <c r="O68" s="107">
        <v>22</v>
      </c>
      <c r="P68" s="54">
        <v>36</v>
      </c>
      <c r="Q68" s="107">
        <v>4</v>
      </c>
      <c r="R68" s="54">
        <v>36</v>
      </c>
      <c r="S68" s="111">
        <v>0</v>
      </c>
      <c r="T68" s="74" t="s">
        <v>615</v>
      </c>
    </row>
    <row r="69" spans="1:20" x14ac:dyDescent="0.25">
      <c r="A69" s="117">
        <v>540056</v>
      </c>
      <c r="B69" s="100" t="s">
        <v>616</v>
      </c>
      <c r="C69" s="100" t="s">
        <v>154</v>
      </c>
      <c r="D69" s="101" t="s">
        <v>612</v>
      </c>
      <c r="E69" s="100" t="s">
        <v>33</v>
      </c>
      <c r="F69" s="100" t="s">
        <v>613</v>
      </c>
      <c r="G69" s="100">
        <v>3</v>
      </c>
      <c r="H69" s="93">
        <v>13</v>
      </c>
      <c r="I69" s="102">
        <v>2797680</v>
      </c>
      <c r="J69" s="103">
        <f>RANK(I69,I$2:$I$284)</f>
        <v>29</v>
      </c>
      <c r="K69" s="93">
        <v>372</v>
      </c>
      <c r="L69" s="55">
        <v>39</v>
      </c>
      <c r="M69" s="104">
        <v>0.9</v>
      </c>
      <c r="N69" s="105">
        <v>87</v>
      </c>
      <c r="O69" s="100">
        <v>46</v>
      </c>
      <c r="P69" s="55">
        <v>129</v>
      </c>
      <c r="Q69" s="100">
        <v>26</v>
      </c>
      <c r="R69" s="55">
        <v>18</v>
      </c>
      <c r="S69" s="106">
        <v>0</v>
      </c>
      <c r="T69" s="93" t="s">
        <v>615</v>
      </c>
    </row>
    <row r="70" spans="1:20" x14ac:dyDescent="0.25">
      <c r="A70" s="118">
        <v>540153</v>
      </c>
      <c r="B70" s="107" t="s">
        <v>616</v>
      </c>
      <c r="C70" s="107" t="s">
        <v>66</v>
      </c>
      <c r="D70" s="107" t="s">
        <v>617</v>
      </c>
      <c r="E70" s="107" t="s">
        <v>67</v>
      </c>
      <c r="F70" s="107" t="s">
        <v>613</v>
      </c>
      <c r="G70" s="107">
        <v>3</v>
      </c>
      <c r="H70" s="74">
        <v>11</v>
      </c>
      <c r="I70" s="108">
        <v>360322</v>
      </c>
      <c r="J70" s="103">
        <f>RANK(I70,I$2:$I$284)</f>
        <v>112</v>
      </c>
      <c r="K70" s="74">
        <v>68</v>
      </c>
      <c r="L70" s="54">
        <v>6</v>
      </c>
      <c r="M70" s="109">
        <v>0.92</v>
      </c>
      <c r="N70" s="110">
        <v>87</v>
      </c>
      <c r="O70" s="107">
        <v>26</v>
      </c>
      <c r="P70" s="54">
        <v>15</v>
      </c>
      <c r="Q70" s="107">
        <v>0</v>
      </c>
      <c r="R70" s="54">
        <v>21</v>
      </c>
      <c r="S70" s="111">
        <v>0</v>
      </c>
      <c r="T70" s="74" t="s">
        <v>615</v>
      </c>
    </row>
    <row r="71" spans="1:20" x14ac:dyDescent="0.25">
      <c r="A71" s="117">
        <v>540041</v>
      </c>
      <c r="B71" s="100" t="s">
        <v>616</v>
      </c>
      <c r="C71" s="100" t="s">
        <v>142</v>
      </c>
      <c r="D71" s="101" t="s">
        <v>612</v>
      </c>
      <c r="E71" s="100" t="s">
        <v>620</v>
      </c>
      <c r="F71" s="100" t="s">
        <v>613</v>
      </c>
      <c r="G71" s="100">
        <v>3</v>
      </c>
      <c r="H71" s="93">
        <v>7.5</v>
      </c>
      <c r="I71" s="102">
        <v>3438374</v>
      </c>
      <c r="J71" s="103">
        <f>RANK(I71,I$2:$I$284)</f>
        <v>23</v>
      </c>
      <c r="K71" s="93">
        <v>198</v>
      </c>
      <c r="L71" s="55">
        <v>0</v>
      </c>
      <c r="M71" s="104">
        <v>0.84499999999999997</v>
      </c>
      <c r="N71" s="105">
        <v>83</v>
      </c>
      <c r="O71" s="100">
        <v>43</v>
      </c>
      <c r="P71" s="55">
        <v>12</v>
      </c>
      <c r="Q71" s="100">
        <v>36.5</v>
      </c>
      <c r="R71" s="55">
        <v>4</v>
      </c>
      <c r="S71" s="106">
        <v>0</v>
      </c>
      <c r="T71" s="93" t="s">
        <v>615</v>
      </c>
    </row>
    <row r="72" spans="1:20" x14ac:dyDescent="0.25">
      <c r="A72" s="117">
        <v>540223</v>
      </c>
      <c r="B72" s="100" t="s">
        <v>616</v>
      </c>
      <c r="C72" s="100" t="s">
        <v>277</v>
      </c>
      <c r="D72" s="101" t="s">
        <v>612</v>
      </c>
      <c r="E72" s="100" t="s">
        <v>39</v>
      </c>
      <c r="F72" s="100" t="s">
        <v>613</v>
      </c>
      <c r="G72" s="100">
        <v>3</v>
      </c>
      <c r="H72" s="93">
        <v>16</v>
      </c>
      <c r="I72" s="102">
        <v>1346989</v>
      </c>
      <c r="J72" s="103">
        <f>RANK(I72,I$2:$I$284)</f>
        <v>64</v>
      </c>
      <c r="K72" s="93">
        <v>47</v>
      </c>
      <c r="L72" s="55">
        <v>6</v>
      </c>
      <c r="M72" s="104">
        <v>0.83</v>
      </c>
      <c r="N72" s="105">
        <v>81</v>
      </c>
      <c r="O72" s="100">
        <v>63</v>
      </c>
      <c r="P72" s="55">
        <v>20</v>
      </c>
      <c r="Q72" s="100">
        <v>169</v>
      </c>
      <c r="R72" s="55">
        <v>20</v>
      </c>
      <c r="S72" s="106">
        <v>0</v>
      </c>
      <c r="T72" s="93" t="s">
        <v>615</v>
      </c>
    </row>
    <row r="73" spans="1:20" x14ac:dyDescent="0.25">
      <c r="A73" s="118">
        <v>540035</v>
      </c>
      <c r="B73" s="107" t="s">
        <v>616</v>
      </c>
      <c r="C73" s="107" t="s">
        <v>22</v>
      </c>
      <c r="D73" s="107" t="s">
        <v>617</v>
      </c>
      <c r="E73" s="107" t="s">
        <v>23</v>
      </c>
      <c r="F73" s="107" t="s">
        <v>613</v>
      </c>
      <c r="G73" s="107">
        <v>3</v>
      </c>
      <c r="H73" s="74">
        <v>15</v>
      </c>
      <c r="I73" s="108">
        <v>1506153</v>
      </c>
      <c r="J73" s="103">
        <f>RANK(I73,I$2:$I$284)</f>
        <v>56</v>
      </c>
      <c r="K73" s="74">
        <v>159</v>
      </c>
      <c r="L73" s="54">
        <v>6</v>
      </c>
      <c r="M73" s="109">
        <v>0.89</v>
      </c>
      <c r="N73" s="110">
        <v>78</v>
      </c>
      <c r="O73" s="107">
        <v>34</v>
      </c>
      <c r="P73" s="54">
        <v>49</v>
      </c>
      <c r="Q73" s="107">
        <v>0</v>
      </c>
      <c r="R73" s="54">
        <v>44</v>
      </c>
      <c r="S73" s="111">
        <v>0</v>
      </c>
      <c r="T73" s="74" t="s">
        <v>615</v>
      </c>
    </row>
    <row r="74" spans="1:20" x14ac:dyDescent="0.25">
      <c r="A74" s="117">
        <v>540141</v>
      </c>
      <c r="B74" s="100" t="s">
        <v>616</v>
      </c>
      <c r="C74" s="100" t="s">
        <v>223</v>
      </c>
      <c r="D74" s="101" t="s">
        <v>612</v>
      </c>
      <c r="E74" s="100" t="s">
        <v>59</v>
      </c>
      <c r="F74" s="100" t="s">
        <v>613</v>
      </c>
      <c r="G74" s="100">
        <v>3</v>
      </c>
      <c r="H74" s="93">
        <v>11</v>
      </c>
      <c r="I74" s="102">
        <v>1410617</v>
      </c>
      <c r="J74" s="103">
        <f>RANK(I74,I$2:$I$284)</f>
        <v>58</v>
      </c>
      <c r="K74" s="93">
        <v>162</v>
      </c>
      <c r="L74" s="55">
        <v>18</v>
      </c>
      <c r="M74" s="104">
        <v>0.89</v>
      </c>
      <c r="N74" s="105">
        <v>75</v>
      </c>
      <c r="O74" s="100">
        <v>21</v>
      </c>
      <c r="P74" s="55">
        <v>49</v>
      </c>
      <c r="Q74" s="100">
        <v>11</v>
      </c>
      <c r="R74" s="55">
        <v>78</v>
      </c>
      <c r="S74" s="106">
        <v>0</v>
      </c>
      <c r="T74" s="93" t="s">
        <v>615</v>
      </c>
    </row>
    <row r="75" spans="1:20" x14ac:dyDescent="0.25">
      <c r="A75" s="118">
        <v>540085</v>
      </c>
      <c r="B75" s="107" t="s">
        <v>616</v>
      </c>
      <c r="C75" s="107" t="s">
        <v>40</v>
      </c>
      <c r="D75" s="107" t="s">
        <v>617</v>
      </c>
      <c r="E75" s="107" t="s">
        <v>41</v>
      </c>
      <c r="F75" s="107" t="s">
        <v>613</v>
      </c>
      <c r="G75" s="107">
        <v>3</v>
      </c>
      <c r="H75" s="74">
        <v>15</v>
      </c>
      <c r="I75" s="108">
        <v>779055</v>
      </c>
      <c r="J75" s="103">
        <f>RANK(I75,I$2:$I$284)</f>
        <v>78</v>
      </c>
      <c r="K75" s="74">
        <v>72</v>
      </c>
      <c r="L75" s="54">
        <v>8</v>
      </c>
      <c r="M75" s="109">
        <v>0.92999999999999994</v>
      </c>
      <c r="N75" s="110">
        <v>73</v>
      </c>
      <c r="O75" s="107">
        <v>36</v>
      </c>
      <c r="P75" s="54">
        <v>17</v>
      </c>
      <c r="Q75" s="107">
        <v>0</v>
      </c>
      <c r="R75" s="54">
        <v>129</v>
      </c>
      <c r="S75" s="111">
        <v>0</v>
      </c>
      <c r="T75" s="74" t="s">
        <v>615</v>
      </c>
    </row>
    <row r="76" spans="1:20" x14ac:dyDescent="0.25">
      <c r="A76" s="117">
        <v>540147</v>
      </c>
      <c r="B76" s="100" t="s">
        <v>616</v>
      </c>
      <c r="C76" s="100" t="s">
        <v>225</v>
      </c>
      <c r="D76" s="101" t="s">
        <v>612</v>
      </c>
      <c r="E76" s="100" t="s">
        <v>63</v>
      </c>
      <c r="F76" s="100" t="s">
        <v>613</v>
      </c>
      <c r="G76" s="100">
        <v>3</v>
      </c>
      <c r="H76" s="93">
        <v>13</v>
      </c>
      <c r="I76" s="102">
        <v>6750487</v>
      </c>
      <c r="J76" s="103">
        <f>RANK(I76,I$2:$I$284)</f>
        <v>11</v>
      </c>
      <c r="K76" s="93">
        <v>144</v>
      </c>
      <c r="L76" s="55">
        <v>3</v>
      </c>
      <c r="M76" s="104">
        <v>0.83</v>
      </c>
      <c r="N76" s="105">
        <v>72</v>
      </c>
      <c r="O76" s="100">
        <v>25</v>
      </c>
      <c r="P76" s="55">
        <v>21</v>
      </c>
      <c r="Q76" s="100">
        <v>14</v>
      </c>
      <c r="R76" s="55">
        <v>0</v>
      </c>
      <c r="S76" s="106">
        <v>0</v>
      </c>
      <c r="T76" s="93" t="s">
        <v>615</v>
      </c>
    </row>
    <row r="77" spans="1:20" x14ac:dyDescent="0.25">
      <c r="A77" s="118">
        <v>540038</v>
      </c>
      <c r="B77" s="107" t="s">
        <v>616</v>
      </c>
      <c r="C77" s="107" t="s">
        <v>24</v>
      </c>
      <c r="D77" s="107" t="s">
        <v>617</v>
      </c>
      <c r="E77" s="107" t="s">
        <v>25</v>
      </c>
      <c r="F77" s="107" t="s">
        <v>613</v>
      </c>
      <c r="G77" s="107">
        <v>3</v>
      </c>
      <c r="H77" s="74">
        <v>8</v>
      </c>
      <c r="I77" s="108">
        <v>967498</v>
      </c>
      <c r="J77" s="103">
        <f>RANK(I77,I$2:$I$284)</f>
        <v>74</v>
      </c>
      <c r="K77" s="74">
        <v>47</v>
      </c>
      <c r="L77" s="54">
        <v>0</v>
      </c>
      <c r="M77" s="109">
        <v>0.91</v>
      </c>
      <c r="N77" s="110">
        <v>72</v>
      </c>
      <c r="O77" s="107">
        <v>13</v>
      </c>
      <c r="P77" s="54">
        <v>12</v>
      </c>
      <c r="Q77" s="107">
        <v>2</v>
      </c>
      <c r="R77" s="54">
        <v>25</v>
      </c>
      <c r="S77" s="111">
        <v>0</v>
      </c>
      <c r="T77" s="74" t="s">
        <v>615</v>
      </c>
    </row>
    <row r="78" spans="1:20" x14ac:dyDescent="0.25">
      <c r="A78" s="118">
        <v>540198</v>
      </c>
      <c r="B78" s="107" t="s">
        <v>616</v>
      </c>
      <c r="C78" s="107" t="s">
        <v>82</v>
      </c>
      <c r="D78" s="107" t="s">
        <v>617</v>
      </c>
      <c r="E78" s="107" t="s">
        <v>83</v>
      </c>
      <c r="F78" s="107" t="s">
        <v>613</v>
      </c>
      <c r="G78" s="107">
        <v>3</v>
      </c>
      <c r="H78" s="74">
        <v>12</v>
      </c>
      <c r="I78" s="108">
        <v>651451</v>
      </c>
      <c r="J78" s="103">
        <f>RANK(I78,I$2:$I$284)</f>
        <v>87</v>
      </c>
      <c r="K78" s="74">
        <v>89</v>
      </c>
      <c r="L78" s="54">
        <v>5</v>
      </c>
      <c r="M78" s="109">
        <v>0.86</v>
      </c>
      <c r="N78" s="110">
        <v>70</v>
      </c>
      <c r="O78" s="107">
        <v>34</v>
      </c>
      <c r="P78" s="54">
        <v>45</v>
      </c>
      <c r="Q78" s="107">
        <v>47</v>
      </c>
      <c r="R78" s="54">
        <v>116</v>
      </c>
      <c r="S78" s="111">
        <v>0</v>
      </c>
      <c r="T78" s="74" t="s">
        <v>615</v>
      </c>
    </row>
    <row r="79" spans="1:20" x14ac:dyDescent="0.25">
      <c r="A79" s="117">
        <v>540004</v>
      </c>
      <c r="B79" s="100" t="s">
        <v>616</v>
      </c>
      <c r="C79" s="100" t="s">
        <v>117</v>
      </c>
      <c r="D79" s="101" t="s">
        <v>612</v>
      </c>
      <c r="E79" s="100" t="s">
        <v>4</v>
      </c>
      <c r="F79" s="100" t="s">
        <v>613</v>
      </c>
      <c r="G79" s="100">
        <v>3</v>
      </c>
      <c r="H79" s="93">
        <v>10</v>
      </c>
      <c r="I79" s="102">
        <v>2675619</v>
      </c>
      <c r="J79" s="103">
        <f>RANK(I79,I$2:$I$284)</f>
        <v>31</v>
      </c>
      <c r="K79" s="93">
        <v>266</v>
      </c>
      <c r="L79" s="55">
        <v>9</v>
      </c>
      <c r="M79" s="104">
        <v>0.87</v>
      </c>
      <c r="N79" s="105">
        <v>69</v>
      </c>
      <c r="O79" s="100">
        <v>40</v>
      </c>
      <c r="P79" s="55">
        <v>49</v>
      </c>
      <c r="Q79" s="100">
        <v>37</v>
      </c>
      <c r="R79" s="55">
        <v>2</v>
      </c>
      <c r="S79" s="106">
        <v>1</v>
      </c>
      <c r="T79" s="93">
        <v>8</v>
      </c>
    </row>
    <row r="80" spans="1:20" x14ac:dyDescent="0.25">
      <c r="A80" s="117">
        <v>540128</v>
      </c>
      <c r="B80" s="100" t="s">
        <v>616</v>
      </c>
      <c r="C80" s="100" t="s">
        <v>213</v>
      </c>
      <c r="D80" s="101" t="s">
        <v>612</v>
      </c>
      <c r="E80" s="100" t="s">
        <v>53</v>
      </c>
      <c r="F80" s="100" t="s">
        <v>613</v>
      </c>
      <c r="G80" s="100">
        <v>3</v>
      </c>
      <c r="H80" s="93">
        <v>13</v>
      </c>
      <c r="I80" s="102">
        <v>1195097</v>
      </c>
      <c r="J80" s="103">
        <f>RANK(I80,I$2:$I$284)</f>
        <v>67</v>
      </c>
      <c r="K80" s="93">
        <v>44</v>
      </c>
      <c r="L80" s="55">
        <v>0</v>
      </c>
      <c r="M80" s="104">
        <v>0.92999999999999994</v>
      </c>
      <c r="N80" s="105">
        <v>68</v>
      </c>
      <c r="O80" s="100">
        <v>11</v>
      </c>
      <c r="P80" s="55">
        <v>13</v>
      </c>
      <c r="Q80" s="100">
        <v>48</v>
      </c>
      <c r="R80" s="55">
        <v>35</v>
      </c>
      <c r="S80" s="106">
        <v>0</v>
      </c>
      <c r="T80" s="93" t="s">
        <v>615</v>
      </c>
    </row>
    <row r="81" spans="1:20" x14ac:dyDescent="0.25">
      <c r="A81" s="118">
        <v>540051</v>
      </c>
      <c r="B81" s="107" t="s">
        <v>616</v>
      </c>
      <c r="C81" s="107" t="s">
        <v>30</v>
      </c>
      <c r="D81" s="107" t="s">
        <v>617</v>
      </c>
      <c r="E81" s="107" t="s">
        <v>31</v>
      </c>
      <c r="F81" s="107" t="s">
        <v>613</v>
      </c>
      <c r="G81" s="107">
        <v>3</v>
      </c>
      <c r="H81" s="74">
        <v>8</v>
      </c>
      <c r="I81" s="108">
        <v>479350</v>
      </c>
      <c r="J81" s="103">
        <f>RANK(I81,I$2:$I$284)</f>
        <v>101</v>
      </c>
      <c r="K81" s="74">
        <v>48</v>
      </c>
      <c r="L81" s="54">
        <v>0</v>
      </c>
      <c r="M81" s="109">
        <v>0.94</v>
      </c>
      <c r="N81" s="110">
        <v>65</v>
      </c>
      <c r="O81" s="107">
        <v>9</v>
      </c>
      <c r="P81" s="54">
        <v>4</v>
      </c>
      <c r="Q81" s="107">
        <v>12</v>
      </c>
      <c r="R81" s="54">
        <v>22</v>
      </c>
      <c r="S81" s="111">
        <v>0</v>
      </c>
      <c r="T81" s="74" t="s">
        <v>615</v>
      </c>
    </row>
    <row r="82" spans="1:20" x14ac:dyDescent="0.25">
      <c r="A82" s="118">
        <v>540009</v>
      </c>
      <c r="B82" s="107" t="s">
        <v>616</v>
      </c>
      <c r="C82" s="107" t="s">
        <v>8</v>
      </c>
      <c r="D82" s="107" t="s">
        <v>617</v>
      </c>
      <c r="E82" s="107" t="s">
        <v>9</v>
      </c>
      <c r="F82" s="107" t="s">
        <v>613</v>
      </c>
      <c r="G82" s="107">
        <v>3</v>
      </c>
      <c r="H82" s="74">
        <v>15</v>
      </c>
      <c r="I82" s="108">
        <v>418756</v>
      </c>
      <c r="J82" s="103">
        <f>RANK(I82,I$2:$I$284)</f>
        <v>106</v>
      </c>
      <c r="K82" s="74">
        <v>30</v>
      </c>
      <c r="L82" s="54">
        <v>4</v>
      </c>
      <c r="M82" s="109">
        <v>0.94</v>
      </c>
      <c r="N82" s="110">
        <v>64</v>
      </c>
      <c r="O82" s="107">
        <v>22</v>
      </c>
      <c r="P82" s="54">
        <v>13</v>
      </c>
      <c r="Q82" s="107">
        <v>1</v>
      </c>
      <c r="R82" s="54">
        <v>41</v>
      </c>
      <c r="S82" s="111">
        <v>0</v>
      </c>
      <c r="T82" s="74" t="s">
        <v>615</v>
      </c>
    </row>
    <row r="83" spans="1:20" x14ac:dyDescent="0.25">
      <c r="A83" s="117">
        <v>540218</v>
      </c>
      <c r="B83" s="100" t="s">
        <v>616</v>
      </c>
      <c r="C83" s="100" t="s">
        <v>272</v>
      </c>
      <c r="D83" s="101" t="s">
        <v>612</v>
      </c>
      <c r="E83" s="100" t="s">
        <v>95</v>
      </c>
      <c r="F83" s="100" t="s">
        <v>613</v>
      </c>
      <c r="G83" s="100">
        <v>3</v>
      </c>
      <c r="H83" s="93">
        <v>14</v>
      </c>
      <c r="I83" s="102">
        <v>4073586</v>
      </c>
      <c r="J83" s="103">
        <f>RANK(I83,I$2:$I$284)</f>
        <v>17</v>
      </c>
      <c r="K83" s="93">
        <v>140</v>
      </c>
      <c r="L83" s="55">
        <v>14</v>
      </c>
      <c r="M83" s="104">
        <v>0.9</v>
      </c>
      <c r="N83" s="105">
        <v>64</v>
      </c>
      <c r="O83" s="100">
        <v>15</v>
      </c>
      <c r="P83" s="55">
        <v>51</v>
      </c>
      <c r="Q83" s="100">
        <v>146</v>
      </c>
      <c r="R83" s="55">
        <v>3</v>
      </c>
      <c r="S83" s="106">
        <v>0</v>
      </c>
      <c r="T83" s="93" t="s">
        <v>615</v>
      </c>
    </row>
    <row r="84" spans="1:20" x14ac:dyDescent="0.25">
      <c r="A84" s="117">
        <v>540083</v>
      </c>
      <c r="B84" s="100" t="s">
        <v>616</v>
      </c>
      <c r="C84" s="100" t="s">
        <v>178</v>
      </c>
      <c r="D84" s="101" t="s">
        <v>612</v>
      </c>
      <c r="E84" s="100" t="s">
        <v>39</v>
      </c>
      <c r="F84" s="100" t="s">
        <v>613</v>
      </c>
      <c r="G84" s="100">
        <v>3</v>
      </c>
      <c r="H84" s="93">
        <v>16</v>
      </c>
      <c r="I84" s="102">
        <v>370199</v>
      </c>
      <c r="J84" s="103">
        <f>RANK(I84,I$2:$I$284)</f>
        <v>111</v>
      </c>
      <c r="K84" s="93">
        <v>48</v>
      </c>
      <c r="L84" s="55">
        <v>5</v>
      </c>
      <c r="M84" s="104">
        <v>0.83</v>
      </c>
      <c r="N84" s="105">
        <v>63</v>
      </c>
      <c r="O84" s="100">
        <v>36</v>
      </c>
      <c r="P84" s="55">
        <v>5</v>
      </c>
      <c r="Q84" s="100">
        <v>169</v>
      </c>
      <c r="R84" s="55">
        <v>28</v>
      </c>
      <c r="S84" s="106">
        <v>0</v>
      </c>
      <c r="T84" s="93" t="s">
        <v>615</v>
      </c>
    </row>
    <row r="85" spans="1:20" x14ac:dyDescent="0.25">
      <c r="A85" s="118">
        <v>540191</v>
      </c>
      <c r="B85" s="107" t="s">
        <v>616</v>
      </c>
      <c r="C85" s="107" t="s">
        <v>112</v>
      </c>
      <c r="D85" s="107" t="s">
        <v>617</v>
      </c>
      <c r="E85" s="107" t="s">
        <v>113</v>
      </c>
      <c r="F85" s="107" t="s">
        <v>613</v>
      </c>
      <c r="G85" s="107">
        <v>3</v>
      </c>
      <c r="H85" s="74">
        <v>13</v>
      </c>
      <c r="I85" s="108">
        <v>601568</v>
      </c>
      <c r="J85" s="103">
        <f>RANK(I85,I$2:$I$284)</f>
        <v>91</v>
      </c>
      <c r="K85" s="74">
        <v>91</v>
      </c>
      <c r="L85" s="54">
        <v>0</v>
      </c>
      <c r="M85" s="109">
        <v>0.73</v>
      </c>
      <c r="N85" s="110">
        <v>63</v>
      </c>
      <c r="O85" s="107">
        <v>14</v>
      </c>
      <c r="P85" s="54">
        <v>24</v>
      </c>
      <c r="Q85" s="107">
        <v>53</v>
      </c>
      <c r="R85" s="54">
        <v>10</v>
      </c>
      <c r="S85" s="111">
        <v>0</v>
      </c>
      <c r="T85" s="74" t="s">
        <v>615</v>
      </c>
    </row>
    <row r="86" spans="1:20" x14ac:dyDescent="0.25">
      <c r="A86" s="117">
        <v>540130</v>
      </c>
      <c r="B86" s="100" t="s">
        <v>616</v>
      </c>
      <c r="C86" s="100" t="s">
        <v>214</v>
      </c>
      <c r="D86" s="101" t="s">
        <v>612</v>
      </c>
      <c r="E86" s="100" t="s">
        <v>55</v>
      </c>
      <c r="F86" s="100" t="s">
        <v>613</v>
      </c>
      <c r="G86" s="100">
        <v>3</v>
      </c>
      <c r="H86" s="93">
        <v>8</v>
      </c>
      <c r="I86" s="102">
        <v>1132423</v>
      </c>
      <c r="J86" s="103">
        <f>RANK(I86,I$2:$I$284)</f>
        <v>69</v>
      </c>
      <c r="K86" s="93">
        <v>121</v>
      </c>
      <c r="L86" s="55">
        <v>9</v>
      </c>
      <c r="M86" s="104">
        <v>0.89</v>
      </c>
      <c r="N86" s="105">
        <v>61</v>
      </c>
      <c r="O86" s="100">
        <v>51</v>
      </c>
      <c r="P86" s="55">
        <v>45</v>
      </c>
      <c r="Q86" s="100">
        <v>53</v>
      </c>
      <c r="R86" s="55">
        <v>6</v>
      </c>
      <c r="S86" s="106">
        <v>0</v>
      </c>
      <c r="T86" s="93" t="s">
        <v>615</v>
      </c>
    </row>
    <row r="87" spans="1:20" x14ac:dyDescent="0.25">
      <c r="A87" s="117">
        <v>540177</v>
      </c>
      <c r="B87" s="100" t="s">
        <v>616</v>
      </c>
      <c r="C87" s="100" t="s">
        <v>248</v>
      </c>
      <c r="D87" s="101" t="s">
        <v>612</v>
      </c>
      <c r="E87" s="100" t="s">
        <v>75</v>
      </c>
      <c r="F87" s="100" t="s">
        <v>613</v>
      </c>
      <c r="G87" s="100">
        <v>3</v>
      </c>
      <c r="H87" s="93">
        <v>11</v>
      </c>
      <c r="I87" s="102">
        <v>1716650</v>
      </c>
      <c r="J87" s="103">
        <f>RANK(I87,I$2:$I$284)</f>
        <v>54</v>
      </c>
      <c r="K87" s="93">
        <v>222</v>
      </c>
      <c r="L87" s="55">
        <v>39</v>
      </c>
      <c r="M87" s="104">
        <v>0.9</v>
      </c>
      <c r="N87" s="105">
        <v>61</v>
      </c>
      <c r="O87" s="100">
        <v>24</v>
      </c>
      <c r="P87" s="55">
        <v>81</v>
      </c>
      <c r="Q87" s="100">
        <v>47</v>
      </c>
      <c r="R87" s="55">
        <v>46</v>
      </c>
      <c r="S87" s="106">
        <v>0</v>
      </c>
      <c r="T87" s="93" t="s">
        <v>615</v>
      </c>
    </row>
    <row r="88" spans="1:20" x14ac:dyDescent="0.25">
      <c r="A88" s="118">
        <v>540160</v>
      </c>
      <c r="B88" s="107" t="s">
        <v>616</v>
      </c>
      <c r="C88" s="107" t="s">
        <v>68</v>
      </c>
      <c r="D88" s="107" t="s">
        <v>617</v>
      </c>
      <c r="E88" s="107" t="s">
        <v>69</v>
      </c>
      <c r="F88" s="107" t="s">
        <v>613</v>
      </c>
      <c r="G88" s="107">
        <v>3</v>
      </c>
      <c r="H88" s="74">
        <v>11</v>
      </c>
      <c r="I88" s="108">
        <v>656722</v>
      </c>
      <c r="J88" s="103">
        <f>RANK(I88,I$2:$I$284)</f>
        <v>86</v>
      </c>
      <c r="K88" s="74">
        <v>56</v>
      </c>
      <c r="L88" s="54">
        <v>0</v>
      </c>
      <c r="M88" s="109">
        <v>0.9</v>
      </c>
      <c r="N88" s="110">
        <v>61</v>
      </c>
      <c r="O88" s="107">
        <v>19</v>
      </c>
      <c r="P88" s="54">
        <v>9</v>
      </c>
      <c r="Q88" s="107">
        <v>1</v>
      </c>
      <c r="R88" s="54">
        <v>33</v>
      </c>
      <c r="S88" s="111">
        <v>0</v>
      </c>
      <c r="T88" s="74" t="s">
        <v>615</v>
      </c>
    </row>
    <row r="89" spans="1:20" x14ac:dyDescent="0.25">
      <c r="A89" s="117">
        <v>540052</v>
      </c>
      <c r="B89" s="100" t="s">
        <v>616</v>
      </c>
      <c r="C89" s="100" t="s">
        <v>151</v>
      </c>
      <c r="D89" s="101" t="s">
        <v>612</v>
      </c>
      <c r="E89" s="100" t="s">
        <v>31</v>
      </c>
      <c r="F89" s="100" t="s">
        <v>613</v>
      </c>
      <c r="G89" s="100">
        <v>3</v>
      </c>
      <c r="H89" s="93">
        <v>8</v>
      </c>
      <c r="I89" s="102">
        <v>3131237</v>
      </c>
      <c r="J89" s="103">
        <f>RANK(I89,I$2:$I$284)</f>
        <v>26</v>
      </c>
      <c r="K89" s="93">
        <v>146</v>
      </c>
      <c r="L89" s="55">
        <v>0</v>
      </c>
      <c r="M89" s="104">
        <v>0.94</v>
      </c>
      <c r="N89" s="105">
        <v>60</v>
      </c>
      <c r="O89" s="100">
        <v>3</v>
      </c>
      <c r="P89" s="55">
        <v>4</v>
      </c>
      <c r="Q89" s="100">
        <v>12</v>
      </c>
      <c r="R89" s="55">
        <v>10</v>
      </c>
      <c r="S89" s="106">
        <v>0</v>
      </c>
      <c r="T89" s="93" t="s">
        <v>615</v>
      </c>
    </row>
    <row r="90" spans="1:20" x14ac:dyDescent="0.25">
      <c r="A90" s="117">
        <v>540055</v>
      </c>
      <c r="B90" s="100" t="s">
        <v>616</v>
      </c>
      <c r="C90" s="100" t="s">
        <v>153</v>
      </c>
      <c r="D90" s="101" t="s">
        <v>612</v>
      </c>
      <c r="E90" s="100" t="s">
        <v>33</v>
      </c>
      <c r="F90" s="100" t="s">
        <v>613</v>
      </c>
      <c r="G90" s="100">
        <v>3</v>
      </c>
      <c r="H90" s="93">
        <v>13</v>
      </c>
      <c r="I90" s="102">
        <v>60984</v>
      </c>
      <c r="J90" s="103">
        <f>RANK(I90,I$2:$I$284)</f>
        <v>180</v>
      </c>
      <c r="K90" s="93">
        <v>30</v>
      </c>
      <c r="L90" s="55">
        <v>2</v>
      </c>
      <c r="M90" s="104">
        <v>0.9</v>
      </c>
      <c r="N90" s="105">
        <v>58</v>
      </c>
      <c r="O90" s="100">
        <v>26</v>
      </c>
      <c r="P90" s="55">
        <v>2</v>
      </c>
      <c r="Q90" s="100">
        <v>26</v>
      </c>
      <c r="R90" s="55">
        <v>19</v>
      </c>
      <c r="S90" s="106">
        <v>0</v>
      </c>
      <c r="T90" s="93" t="s">
        <v>615</v>
      </c>
    </row>
    <row r="91" spans="1:20" x14ac:dyDescent="0.25">
      <c r="A91" s="117">
        <v>540103</v>
      </c>
      <c r="B91" s="100" t="s">
        <v>616</v>
      </c>
      <c r="C91" s="100" t="s">
        <v>192</v>
      </c>
      <c r="D91" s="101" t="s">
        <v>612</v>
      </c>
      <c r="E91" s="100" t="s">
        <v>45</v>
      </c>
      <c r="F91" s="100" t="s">
        <v>613</v>
      </c>
      <c r="G91" s="100">
        <v>3</v>
      </c>
      <c r="H91" s="93">
        <v>11</v>
      </c>
      <c r="I91" s="102">
        <v>1329352</v>
      </c>
      <c r="J91" s="103">
        <f>RANK(I91,I$2:$I$284)</f>
        <v>65</v>
      </c>
      <c r="K91" s="93">
        <v>77</v>
      </c>
      <c r="L91" s="55">
        <v>0</v>
      </c>
      <c r="M91" s="104">
        <v>0.86</v>
      </c>
      <c r="N91" s="105">
        <v>56</v>
      </c>
      <c r="O91" s="100">
        <v>27</v>
      </c>
      <c r="P91" s="55">
        <v>3</v>
      </c>
      <c r="Q91" s="100">
        <v>15</v>
      </c>
      <c r="R91" s="55">
        <v>5</v>
      </c>
      <c r="S91" s="106">
        <v>0</v>
      </c>
      <c r="T91" s="93" t="s">
        <v>615</v>
      </c>
    </row>
    <row r="92" spans="1:20" x14ac:dyDescent="0.25">
      <c r="A92" s="118">
        <v>540047</v>
      </c>
      <c r="B92" s="107" t="s">
        <v>616</v>
      </c>
      <c r="C92" s="107" t="s">
        <v>28</v>
      </c>
      <c r="D92" s="107" t="s">
        <v>617</v>
      </c>
      <c r="E92" s="107" t="s">
        <v>29</v>
      </c>
      <c r="F92" s="107" t="s">
        <v>613</v>
      </c>
      <c r="G92" s="107">
        <v>3</v>
      </c>
      <c r="H92" s="74">
        <v>7</v>
      </c>
      <c r="I92" s="108">
        <v>1359163</v>
      </c>
      <c r="J92" s="103">
        <f>RANK(I92,I$2:$I$284)</f>
        <v>62</v>
      </c>
      <c r="K92" s="74">
        <v>134</v>
      </c>
      <c r="L92" s="54">
        <v>0</v>
      </c>
      <c r="M92" s="109">
        <v>0.72</v>
      </c>
      <c r="N92" s="110">
        <v>55</v>
      </c>
      <c r="O92" s="107">
        <v>32</v>
      </c>
      <c r="P92" s="54">
        <v>35</v>
      </c>
      <c r="Q92" s="107">
        <v>15</v>
      </c>
      <c r="R92" s="54">
        <v>3</v>
      </c>
      <c r="S92" s="111">
        <v>0</v>
      </c>
      <c r="T92" s="74" t="s">
        <v>615</v>
      </c>
    </row>
    <row r="93" spans="1:20" x14ac:dyDescent="0.25">
      <c r="A93" s="117">
        <v>540087</v>
      </c>
      <c r="B93" s="100" t="s">
        <v>616</v>
      </c>
      <c r="C93" s="100" t="s">
        <v>180</v>
      </c>
      <c r="D93" s="101" t="s">
        <v>612</v>
      </c>
      <c r="E93" s="100" t="s">
        <v>41</v>
      </c>
      <c r="F93" s="100" t="s">
        <v>613</v>
      </c>
      <c r="G93" s="100">
        <v>3</v>
      </c>
      <c r="H93" s="93">
        <v>15</v>
      </c>
      <c r="I93" s="102">
        <v>1142064</v>
      </c>
      <c r="J93" s="103">
        <f>RANK(I93,I$2:$I$284)</f>
        <v>68</v>
      </c>
      <c r="K93" s="93">
        <v>224</v>
      </c>
      <c r="L93" s="55">
        <v>0</v>
      </c>
      <c r="M93" s="104">
        <v>0.92999999999999994</v>
      </c>
      <c r="N93" s="105">
        <v>55</v>
      </c>
      <c r="O93" s="100">
        <v>28</v>
      </c>
      <c r="P93" s="55">
        <v>25</v>
      </c>
      <c r="Q93" s="100">
        <v>0</v>
      </c>
      <c r="R93" s="55">
        <v>44</v>
      </c>
      <c r="S93" s="106">
        <v>0</v>
      </c>
      <c r="T93" s="93" t="s">
        <v>615</v>
      </c>
    </row>
    <row r="94" spans="1:20" x14ac:dyDescent="0.25">
      <c r="A94" s="117">
        <v>540014</v>
      </c>
      <c r="B94" s="100" t="s">
        <v>616</v>
      </c>
      <c r="C94" s="100" t="s">
        <v>124</v>
      </c>
      <c r="D94" s="101" t="s">
        <v>612</v>
      </c>
      <c r="E94" s="100" t="s">
        <v>621</v>
      </c>
      <c r="F94" s="100" t="s">
        <v>613</v>
      </c>
      <c r="G94" s="100">
        <v>3</v>
      </c>
      <c r="H94" s="93">
        <v>7.5</v>
      </c>
      <c r="I94" s="102">
        <v>2150173</v>
      </c>
      <c r="J94" s="103">
        <f>RANK(I94,I$2:$I$284)</f>
        <v>44</v>
      </c>
      <c r="K94" s="93">
        <v>166</v>
      </c>
      <c r="L94" s="55">
        <v>16</v>
      </c>
      <c r="M94" s="104">
        <v>0.76</v>
      </c>
      <c r="N94" s="105">
        <v>54</v>
      </c>
      <c r="O94" s="100">
        <v>29</v>
      </c>
      <c r="P94" s="55">
        <v>40</v>
      </c>
      <c r="Q94" s="100">
        <v>16.5</v>
      </c>
      <c r="R94" s="55">
        <v>26</v>
      </c>
      <c r="S94" s="106">
        <v>0</v>
      </c>
      <c r="T94" s="93" t="s">
        <v>615</v>
      </c>
    </row>
    <row r="95" spans="1:20" x14ac:dyDescent="0.25">
      <c r="A95" s="118">
        <v>540020</v>
      </c>
      <c r="B95" s="107" t="s">
        <v>616</v>
      </c>
      <c r="C95" s="107" t="s">
        <v>14</v>
      </c>
      <c r="D95" s="107" t="s">
        <v>617</v>
      </c>
      <c r="E95" s="107" t="s">
        <v>15</v>
      </c>
      <c r="F95" s="107" t="s">
        <v>613</v>
      </c>
      <c r="G95" s="107">
        <v>3</v>
      </c>
      <c r="H95" s="74">
        <v>13</v>
      </c>
      <c r="I95" s="108">
        <v>1003465</v>
      </c>
      <c r="J95" s="103">
        <f>RANK(I95,I$2:$I$284)</f>
        <v>72</v>
      </c>
      <c r="K95" s="74">
        <v>144</v>
      </c>
      <c r="L95" s="54">
        <v>0</v>
      </c>
      <c r="M95" s="109">
        <v>0.9</v>
      </c>
      <c r="N95" s="110">
        <v>53</v>
      </c>
      <c r="O95" s="107">
        <v>24</v>
      </c>
      <c r="P95" s="54">
        <v>37</v>
      </c>
      <c r="Q95" s="107">
        <v>1</v>
      </c>
      <c r="R95" s="54">
        <v>26</v>
      </c>
      <c r="S95" s="111">
        <v>0</v>
      </c>
      <c r="T95" s="74" t="s">
        <v>615</v>
      </c>
    </row>
    <row r="96" spans="1:20" x14ac:dyDescent="0.25">
      <c r="A96" s="117">
        <v>540214</v>
      </c>
      <c r="B96" s="100" t="s">
        <v>616</v>
      </c>
      <c r="C96" s="100" t="s">
        <v>269</v>
      </c>
      <c r="D96" s="101" t="s">
        <v>612</v>
      </c>
      <c r="E96" s="100" t="s">
        <v>93</v>
      </c>
      <c r="F96" s="100" t="s">
        <v>613</v>
      </c>
      <c r="G96" s="100">
        <v>3</v>
      </c>
      <c r="H96" s="93">
        <v>9</v>
      </c>
      <c r="I96" s="102">
        <v>2410812</v>
      </c>
      <c r="J96" s="103">
        <f>RANK(I96,I$2:$I$284)</f>
        <v>38</v>
      </c>
      <c r="K96" s="93">
        <v>148</v>
      </c>
      <c r="L96" s="55">
        <v>2</v>
      </c>
      <c r="M96" s="104">
        <v>0.89</v>
      </c>
      <c r="N96" s="105">
        <v>51</v>
      </c>
      <c r="O96" s="100">
        <v>27</v>
      </c>
      <c r="P96" s="55">
        <v>55</v>
      </c>
      <c r="Q96" s="100">
        <v>18</v>
      </c>
      <c r="R96" s="55">
        <v>41</v>
      </c>
      <c r="S96" s="106">
        <v>0</v>
      </c>
      <c r="T96" s="93" t="s">
        <v>615</v>
      </c>
    </row>
    <row r="97" spans="1:20" x14ac:dyDescent="0.25">
      <c r="A97" s="117">
        <v>540219</v>
      </c>
      <c r="B97" s="100" t="s">
        <v>616</v>
      </c>
      <c r="C97" s="100" t="s">
        <v>273</v>
      </c>
      <c r="D97" s="101" t="s">
        <v>612</v>
      </c>
      <c r="E97" s="100" t="s">
        <v>95</v>
      </c>
      <c r="F97" s="100" t="s">
        <v>613</v>
      </c>
      <c r="G97" s="100">
        <v>3</v>
      </c>
      <c r="H97" s="93">
        <v>14</v>
      </c>
      <c r="I97" s="102">
        <v>177452</v>
      </c>
      <c r="J97" s="103">
        <f>RANK(I97,I$2:$I$284)</f>
        <v>139</v>
      </c>
      <c r="K97" s="93">
        <v>34</v>
      </c>
      <c r="L97" s="55">
        <v>0</v>
      </c>
      <c r="M97" s="104">
        <v>0.9</v>
      </c>
      <c r="N97" s="105">
        <v>50</v>
      </c>
      <c r="O97" s="100">
        <v>17</v>
      </c>
      <c r="P97" s="55">
        <v>10</v>
      </c>
      <c r="Q97" s="100">
        <v>146</v>
      </c>
      <c r="R97" s="55">
        <v>1</v>
      </c>
      <c r="S97" s="106">
        <v>0</v>
      </c>
      <c r="T97" s="93" t="s">
        <v>615</v>
      </c>
    </row>
    <row r="98" spans="1:20" x14ac:dyDescent="0.25">
      <c r="A98" s="118">
        <v>540277</v>
      </c>
      <c r="B98" s="107" t="s">
        <v>616</v>
      </c>
      <c r="C98" s="107" t="s">
        <v>102</v>
      </c>
      <c r="D98" s="107" t="s">
        <v>617</v>
      </c>
      <c r="E98" s="107" t="s">
        <v>103</v>
      </c>
      <c r="F98" s="107" t="s">
        <v>613</v>
      </c>
      <c r="G98" s="107">
        <v>3</v>
      </c>
      <c r="H98" s="74">
        <v>14</v>
      </c>
      <c r="I98" s="108">
        <v>216041</v>
      </c>
      <c r="J98" s="103">
        <f>RANK(I98,I$2:$I$284)</f>
        <v>131</v>
      </c>
      <c r="K98" s="74">
        <v>32</v>
      </c>
      <c r="L98" s="54">
        <v>2</v>
      </c>
      <c r="M98" s="109">
        <v>0.92999999999999994</v>
      </c>
      <c r="N98" s="110">
        <v>45</v>
      </c>
      <c r="O98" s="107">
        <v>18</v>
      </c>
      <c r="P98" s="54">
        <v>2</v>
      </c>
      <c r="Q98" s="107">
        <v>0</v>
      </c>
      <c r="R98" s="54">
        <v>39</v>
      </c>
      <c r="S98" s="111">
        <v>0</v>
      </c>
      <c r="T98" s="74" t="s">
        <v>615</v>
      </c>
    </row>
    <row r="99" spans="1:20" x14ac:dyDescent="0.25">
      <c r="A99" s="117">
        <v>540036</v>
      </c>
      <c r="B99" s="100" t="s">
        <v>616</v>
      </c>
      <c r="C99" s="100" t="s">
        <v>139</v>
      </c>
      <c r="D99" s="101" t="s">
        <v>612</v>
      </c>
      <c r="E99" s="100" t="s">
        <v>23</v>
      </c>
      <c r="F99" s="100" t="s">
        <v>613</v>
      </c>
      <c r="G99" s="100">
        <v>3</v>
      </c>
      <c r="H99" s="93">
        <v>15</v>
      </c>
      <c r="I99" s="102">
        <v>3675798</v>
      </c>
      <c r="J99" s="103">
        <f>RANK(I99,I$2:$I$284)</f>
        <v>22</v>
      </c>
      <c r="K99" s="93">
        <v>277</v>
      </c>
      <c r="L99" s="55">
        <v>0</v>
      </c>
      <c r="M99" s="104">
        <v>0.89</v>
      </c>
      <c r="N99" s="105">
        <v>44</v>
      </c>
      <c r="O99" s="100">
        <v>20</v>
      </c>
      <c r="P99" s="55">
        <v>121</v>
      </c>
      <c r="Q99" s="100">
        <v>0</v>
      </c>
      <c r="R99" s="55">
        <v>11</v>
      </c>
      <c r="S99" s="106">
        <v>0</v>
      </c>
      <c r="T99" s="93" t="s">
        <v>615</v>
      </c>
    </row>
    <row r="100" spans="1:20" x14ac:dyDescent="0.25">
      <c r="A100" s="117">
        <v>540271</v>
      </c>
      <c r="B100" s="100" t="s">
        <v>616</v>
      </c>
      <c r="C100" s="100" t="s">
        <v>314</v>
      </c>
      <c r="D100" s="101" t="s">
        <v>612</v>
      </c>
      <c r="E100" s="100" t="s">
        <v>71</v>
      </c>
      <c r="F100" s="100" t="s">
        <v>613</v>
      </c>
      <c r="G100" s="100">
        <v>3</v>
      </c>
      <c r="H100" s="93">
        <v>12</v>
      </c>
      <c r="I100" s="102">
        <v>14742</v>
      </c>
      <c r="J100" s="103">
        <f>RANK(I100,I$2:$I$284)</f>
        <v>217</v>
      </c>
      <c r="K100" s="93">
        <v>4</v>
      </c>
      <c r="L100" s="55">
        <v>0</v>
      </c>
      <c r="M100" s="104">
        <v>0.86</v>
      </c>
      <c r="N100" s="105">
        <v>44</v>
      </c>
      <c r="O100" s="100">
        <v>2</v>
      </c>
      <c r="P100" s="55">
        <v>0</v>
      </c>
      <c r="Q100" s="100">
        <v>10</v>
      </c>
      <c r="R100" s="55">
        <v>34</v>
      </c>
      <c r="S100" s="106">
        <v>0</v>
      </c>
      <c r="T100" s="93" t="s">
        <v>615</v>
      </c>
    </row>
    <row r="101" spans="1:20" x14ac:dyDescent="0.25">
      <c r="A101" s="117">
        <v>540228</v>
      </c>
      <c r="B101" s="100" t="s">
        <v>616</v>
      </c>
      <c r="C101" s="100" t="s">
        <v>278</v>
      </c>
      <c r="D101" s="101" t="s">
        <v>612</v>
      </c>
      <c r="E101" s="100" t="s">
        <v>27</v>
      </c>
      <c r="F101" s="100" t="s">
        <v>613</v>
      </c>
      <c r="G101" s="100">
        <v>3</v>
      </c>
      <c r="H101" s="93">
        <v>9</v>
      </c>
      <c r="I101" s="102">
        <v>3719665</v>
      </c>
      <c r="J101" s="103">
        <f>RANK(I101,I$2:$I$284)</f>
        <v>20</v>
      </c>
      <c r="K101" s="93">
        <v>152</v>
      </c>
      <c r="L101" s="55">
        <v>0</v>
      </c>
      <c r="M101" s="104">
        <v>0.76</v>
      </c>
      <c r="N101" s="105">
        <v>44</v>
      </c>
      <c r="O101" s="100">
        <v>1</v>
      </c>
      <c r="P101" s="55">
        <v>23</v>
      </c>
      <c r="Q101" s="100">
        <v>60</v>
      </c>
      <c r="R101" s="55">
        <v>2</v>
      </c>
      <c r="S101" s="106">
        <v>0</v>
      </c>
      <c r="T101" s="93" t="s">
        <v>615</v>
      </c>
    </row>
    <row r="102" spans="1:20" x14ac:dyDescent="0.25">
      <c r="A102" s="118">
        <v>540024</v>
      </c>
      <c r="B102" s="107" t="s">
        <v>616</v>
      </c>
      <c r="C102" s="107" t="s">
        <v>18</v>
      </c>
      <c r="D102" s="107" t="s">
        <v>617</v>
      </c>
      <c r="E102" s="107" t="s">
        <v>19</v>
      </c>
      <c r="F102" s="107" t="s">
        <v>613</v>
      </c>
      <c r="G102" s="107">
        <v>3</v>
      </c>
      <c r="H102" s="74">
        <v>13</v>
      </c>
      <c r="I102" s="108">
        <v>281210</v>
      </c>
      <c r="J102" s="103">
        <f>RANK(I102,I$2:$I$284)</f>
        <v>123</v>
      </c>
      <c r="K102" s="74">
        <v>42</v>
      </c>
      <c r="L102" s="54">
        <v>2</v>
      </c>
      <c r="M102" s="109">
        <v>0.94</v>
      </c>
      <c r="N102" s="110">
        <v>43</v>
      </c>
      <c r="O102" s="107">
        <v>22</v>
      </c>
      <c r="P102" s="54">
        <v>6</v>
      </c>
      <c r="Q102" s="107">
        <v>0</v>
      </c>
      <c r="R102" s="54">
        <v>51</v>
      </c>
      <c r="S102" s="111">
        <v>0</v>
      </c>
      <c r="T102" s="74" t="s">
        <v>615</v>
      </c>
    </row>
    <row r="103" spans="1:20" x14ac:dyDescent="0.25">
      <c r="A103" s="117">
        <v>540185</v>
      </c>
      <c r="B103" s="100" t="s">
        <v>616</v>
      </c>
      <c r="C103" s="100" t="s">
        <v>254</v>
      </c>
      <c r="D103" s="101" t="s">
        <v>612</v>
      </c>
      <c r="E103" s="100" t="s">
        <v>77</v>
      </c>
      <c r="F103" s="100" t="s">
        <v>613</v>
      </c>
      <c r="G103" s="100">
        <v>3</v>
      </c>
      <c r="H103" s="93">
        <v>15</v>
      </c>
      <c r="I103" s="102">
        <v>776403</v>
      </c>
      <c r="J103" s="103">
        <f>RANK(I103,I$2:$I$284)</f>
        <v>79</v>
      </c>
      <c r="K103" s="93">
        <v>48</v>
      </c>
      <c r="L103" s="55">
        <v>5</v>
      </c>
      <c r="M103" s="104">
        <v>0.85</v>
      </c>
      <c r="N103" s="105">
        <v>41</v>
      </c>
      <c r="O103" s="100">
        <v>34</v>
      </c>
      <c r="P103" s="55">
        <v>9</v>
      </c>
      <c r="Q103" s="100">
        <v>0</v>
      </c>
      <c r="R103" s="55">
        <v>7</v>
      </c>
      <c r="S103" s="106">
        <v>0</v>
      </c>
      <c r="T103" s="93" t="s">
        <v>615</v>
      </c>
    </row>
    <row r="104" spans="1:20" x14ac:dyDescent="0.25">
      <c r="A104" s="117">
        <v>540108</v>
      </c>
      <c r="B104" s="100" t="s">
        <v>616</v>
      </c>
      <c r="C104" s="100" t="s">
        <v>196</v>
      </c>
      <c r="D104" s="101" t="s">
        <v>612</v>
      </c>
      <c r="E104" s="100" t="s">
        <v>47</v>
      </c>
      <c r="F104" s="100" t="s">
        <v>613</v>
      </c>
      <c r="G104" s="100">
        <v>3</v>
      </c>
      <c r="H104" s="93">
        <v>12</v>
      </c>
      <c r="I104" s="102">
        <v>974717</v>
      </c>
      <c r="J104" s="103">
        <f>RANK(I104,I$2:$I$284)</f>
        <v>73</v>
      </c>
      <c r="K104" s="93">
        <v>84</v>
      </c>
      <c r="L104" s="55">
        <v>7</v>
      </c>
      <c r="M104" s="104">
        <v>0.86</v>
      </c>
      <c r="N104" s="105">
        <v>41</v>
      </c>
      <c r="O104" s="100">
        <v>31</v>
      </c>
      <c r="P104" s="55">
        <v>30</v>
      </c>
      <c r="Q104" s="100">
        <v>3</v>
      </c>
      <c r="R104" s="55">
        <v>4</v>
      </c>
      <c r="S104" s="106">
        <v>0</v>
      </c>
      <c r="T104" s="93" t="s">
        <v>615</v>
      </c>
    </row>
    <row r="105" spans="1:20" x14ac:dyDescent="0.25">
      <c r="A105" s="117">
        <v>540049</v>
      </c>
      <c r="B105" s="100" t="s">
        <v>616</v>
      </c>
      <c r="C105" s="100" t="s">
        <v>149</v>
      </c>
      <c r="D105" s="101" t="s">
        <v>612</v>
      </c>
      <c r="E105" s="100" t="s">
        <v>29</v>
      </c>
      <c r="F105" s="100" t="s">
        <v>613</v>
      </c>
      <c r="G105" s="100">
        <v>3</v>
      </c>
      <c r="H105" s="93">
        <v>7</v>
      </c>
      <c r="I105" s="102">
        <v>1382353</v>
      </c>
      <c r="J105" s="103">
        <f>RANK(I105,I$2:$I$284)</f>
        <v>59</v>
      </c>
      <c r="K105" s="93">
        <v>85</v>
      </c>
      <c r="L105" s="55">
        <v>2</v>
      </c>
      <c r="M105" s="104">
        <v>0.72</v>
      </c>
      <c r="N105" s="105">
        <v>39</v>
      </c>
      <c r="O105" s="100">
        <v>30</v>
      </c>
      <c r="P105" s="55">
        <v>37</v>
      </c>
      <c r="Q105" s="100">
        <v>15</v>
      </c>
      <c r="R105" s="55">
        <v>2</v>
      </c>
      <c r="S105" s="106">
        <v>0</v>
      </c>
      <c r="T105" s="93" t="s">
        <v>615</v>
      </c>
    </row>
    <row r="106" spans="1:20" x14ac:dyDescent="0.25">
      <c r="A106" s="118">
        <v>540278</v>
      </c>
      <c r="B106" s="107" t="s">
        <v>616</v>
      </c>
      <c r="C106" s="107" t="s">
        <v>104</v>
      </c>
      <c r="D106" s="107" t="s">
        <v>617</v>
      </c>
      <c r="E106" s="107" t="s">
        <v>105</v>
      </c>
      <c r="F106" s="107" t="s">
        <v>613</v>
      </c>
      <c r="G106" s="107">
        <v>3</v>
      </c>
      <c r="H106" s="74">
        <v>6</v>
      </c>
      <c r="I106" s="108">
        <v>527559</v>
      </c>
      <c r="J106" s="103">
        <f>RANK(I106,I$2:$I$284)</f>
        <v>96</v>
      </c>
      <c r="K106" s="74">
        <v>28</v>
      </c>
      <c r="L106" s="54">
        <v>0</v>
      </c>
      <c r="M106" s="109">
        <v>0.92999999999999994</v>
      </c>
      <c r="N106" s="110">
        <v>39</v>
      </c>
      <c r="O106" s="107">
        <v>16</v>
      </c>
      <c r="P106" s="54">
        <v>0</v>
      </c>
      <c r="Q106" s="107">
        <v>13</v>
      </c>
      <c r="R106" s="54">
        <v>18</v>
      </c>
      <c r="S106" s="111">
        <v>0</v>
      </c>
      <c r="T106" s="74" t="s">
        <v>615</v>
      </c>
    </row>
    <row r="107" spans="1:20" x14ac:dyDescent="0.25">
      <c r="A107" s="117">
        <v>540166</v>
      </c>
      <c r="B107" s="100" t="s">
        <v>616</v>
      </c>
      <c r="C107" s="100" t="s">
        <v>239</v>
      </c>
      <c r="D107" s="101" t="s">
        <v>612</v>
      </c>
      <c r="E107" s="100" t="s">
        <v>71</v>
      </c>
      <c r="F107" s="100" t="s">
        <v>613</v>
      </c>
      <c r="G107" s="100">
        <v>3</v>
      </c>
      <c r="H107" s="93">
        <v>12</v>
      </c>
      <c r="I107" s="102">
        <v>1049</v>
      </c>
      <c r="J107" s="103">
        <f>RANK(I107,I$2:$I$284)</f>
        <v>244</v>
      </c>
      <c r="K107" s="93">
        <v>1</v>
      </c>
      <c r="L107" s="55">
        <v>0</v>
      </c>
      <c r="M107" s="104">
        <v>0.86</v>
      </c>
      <c r="N107" s="105">
        <v>39</v>
      </c>
      <c r="O107" s="100">
        <v>12</v>
      </c>
      <c r="P107" s="55">
        <v>0</v>
      </c>
      <c r="Q107" s="100">
        <v>10</v>
      </c>
      <c r="R107" s="55">
        <v>38</v>
      </c>
      <c r="S107" s="106">
        <v>0</v>
      </c>
      <c r="T107" s="93" t="s">
        <v>615</v>
      </c>
    </row>
    <row r="108" spans="1:20" x14ac:dyDescent="0.25">
      <c r="A108" s="118">
        <v>540224</v>
      </c>
      <c r="B108" s="107" t="s">
        <v>616</v>
      </c>
      <c r="C108" s="107" t="s">
        <v>96</v>
      </c>
      <c r="D108" s="107" t="s">
        <v>617</v>
      </c>
      <c r="E108" s="107" t="s">
        <v>97</v>
      </c>
      <c r="F108" s="107" t="s">
        <v>613</v>
      </c>
      <c r="G108" s="107">
        <v>3</v>
      </c>
      <c r="H108" s="74">
        <v>11</v>
      </c>
      <c r="I108" s="108">
        <v>275514</v>
      </c>
      <c r="J108" s="103">
        <f>RANK(I108,I$2:$I$284)</f>
        <v>125</v>
      </c>
      <c r="K108" s="74">
        <v>30</v>
      </c>
      <c r="L108" s="54">
        <v>0</v>
      </c>
      <c r="M108" s="109">
        <v>0.95</v>
      </c>
      <c r="N108" s="110">
        <v>38</v>
      </c>
      <c r="O108" s="107">
        <v>10</v>
      </c>
      <c r="P108" s="54">
        <v>10</v>
      </c>
      <c r="Q108" s="107">
        <v>0</v>
      </c>
      <c r="R108" s="54">
        <v>12</v>
      </c>
      <c r="S108" s="111">
        <v>0</v>
      </c>
      <c r="T108" s="74" t="s">
        <v>615</v>
      </c>
    </row>
    <row r="109" spans="1:20" x14ac:dyDescent="0.25">
      <c r="A109" s="118">
        <v>540149</v>
      </c>
      <c r="B109" s="107" t="s">
        <v>616</v>
      </c>
      <c r="C109" s="107" t="s">
        <v>64</v>
      </c>
      <c r="D109" s="107" t="s">
        <v>617</v>
      </c>
      <c r="E109" s="107" t="s">
        <v>65</v>
      </c>
      <c r="F109" s="107" t="s">
        <v>613</v>
      </c>
      <c r="G109" s="107">
        <v>3</v>
      </c>
      <c r="H109" s="74">
        <v>10</v>
      </c>
      <c r="I109" s="108">
        <v>520153</v>
      </c>
      <c r="J109" s="103">
        <f>RANK(I109,I$2:$I$284)</f>
        <v>98</v>
      </c>
      <c r="K109" s="74">
        <v>80</v>
      </c>
      <c r="L109" s="54">
        <v>2</v>
      </c>
      <c r="M109" s="109">
        <v>0.81</v>
      </c>
      <c r="N109" s="110">
        <v>37</v>
      </c>
      <c r="O109" s="107">
        <v>16</v>
      </c>
      <c r="P109" s="54">
        <v>16</v>
      </c>
      <c r="Q109" s="107">
        <v>6</v>
      </c>
      <c r="R109" s="54">
        <v>24</v>
      </c>
      <c r="S109" s="111">
        <v>0</v>
      </c>
      <c r="T109" s="74" t="s">
        <v>615</v>
      </c>
    </row>
    <row r="110" spans="1:20" x14ac:dyDescent="0.25">
      <c r="A110" s="117">
        <v>540204</v>
      </c>
      <c r="B110" s="100" t="s">
        <v>616</v>
      </c>
      <c r="C110" s="100" t="s">
        <v>263</v>
      </c>
      <c r="D110" s="101" t="s">
        <v>612</v>
      </c>
      <c r="E110" s="100" t="s">
        <v>87</v>
      </c>
      <c r="F110" s="100" t="s">
        <v>613</v>
      </c>
      <c r="G110" s="100">
        <v>3</v>
      </c>
      <c r="H110" s="93">
        <v>14</v>
      </c>
      <c r="I110" s="102">
        <v>161933</v>
      </c>
      <c r="J110" s="103">
        <f>RANK(I110,I$2:$I$284)</f>
        <v>147</v>
      </c>
      <c r="K110" s="93">
        <v>39</v>
      </c>
      <c r="L110" s="55">
        <v>0</v>
      </c>
      <c r="M110" s="104">
        <v>0.87</v>
      </c>
      <c r="N110" s="105">
        <v>35</v>
      </c>
      <c r="O110" s="100">
        <v>16</v>
      </c>
      <c r="P110" s="55">
        <v>2</v>
      </c>
      <c r="Q110" s="100">
        <v>0</v>
      </c>
      <c r="R110" s="55">
        <v>1</v>
      </c>
      <c r="S110" s="106">
        <v>0</v>
      </c>
      <c r="T110" s="93" t="s">
        <v>615</v>
      </c>
    </row>
    <row r="111" spans="1:20" x14ac:dyDescent="0.25">
      <c r="A111" s="117">
        <v>540043</v>
      </c>
      <c r="B111" s="100" t="s">
        <v>616</v>
      </c>
      <c r="C111" s="100" t="s">
        <v>144</v>
      </c>
      <c r="D111" s="101" t="s">
        <v>612</v>
      </c>
      <c r="E111" s="100" t="s">
        <v>27</v>
      </c>
      <c r="F111" s="100" t="s">
        <v>613</v>
      </c>
      <c r="G111" s="100">
        <v>3</v>
      </c>
      <c r="H111" s="93">
        <v>9</v>
      </c>
      <c r="I111" s="102">
        <v>6292219</v>
      </c>
      <c r="J111" s="103">
        <f>RANK(I111,I$2:$I$284)</f>
        <v>13</v>
      </c>
      <c r="K111" s="93">
        <v>141</v>
      </c>
      <c r="L111" s="55">
        <v>0</v>
      </c>
      <c r="M111" s="104">
        <v>0.76</v>
      </c>
      <c r="N111" s="105">
        <v>35</v>
      </c>
      <c r="O111" s="100">
        <v>11</v>
      </c>
      <c r="P111" s="55">
        <v>13</v>
      </c>
      <c r="Q111" s="100">
        <v>60</v>
      </c>
      <c r="R111" s="55">
        <v>1</v>
      </c>
      <c r="S111" s="106">
        <v>0</v>
      </c>
      <c r="T111" s="93" t="s">
        <v>615</v>
      </c>
    </row>
    <row r="112" spans="1:20" x14ac:dyDescent="0.25">
      <c r="A112" s="117">
        <v>540150</v>
      </c>
      <c r="B112" s="100" t="s">
        <v>616</v>
      </c>
      <c r="C112" s="100" t="s">
        <v>227</v>
      </c>
      <c r="D112" s="101" t="s">
        <v>612</v>
      </c>
      <c r="E112" s="100" t="s">
        <v>65</v>
      </c>
      <c r="F112" s="100" t="s">
        <v>613</v>
      </c>
      <c r="G112" s="100">
        <v>3</v>
      </c>
      <c r="H112" s="93">
        <v>10</v>
      </c>
      <c r="I112" s="102">
        <v>684113</v>
      </c>
      <c r="J112" s="103">
        <f>RANK(I112,I$2:$I$284)</f>
        <v>85</v>
      </c>
      <c r="K112" s="93">
        <v>67</v>
      </c>
      <c r="L112" s="55">
        <v>2</v>
      </c>
      <c r="M112" s="104">
        <v>0.81</v>
      </c>
      <c r="N112" s="105">
        <v>34</v>
      </c>
      <c r="O112" s="100">
        <v>20</v>
      </c>
      <c r="P112" s="55">
        <v>4</v>
      </c>
      <c r="Q112" s="100">
        <v>6</v>
      </c>
      <c r="R112" s="55">
        <v>5</v>
      </c>
      <c r="S112" s="106">
        <v>0</v>
      </c>
      <c r="T112" s="93" t="s">
        <v>615</v>
      </c>
    </row>
    <row r="113" spans="1:20" x14ac:dyDescent="0.25">
      <c r="A113" s="118">
        <v>540001</v>
      </c>
      <c r="B113" s="107" t="s">
        <v>616</v>
      </c>
      <c r="C113" s="107" t="s">
        <v>3</v>
      </c>
      <c r="D113" s="107" t="s">
        <v>617</v>
      </c>
      <c r="E113" s="107" t="s">
        <v>4</v>
      </c>
      <c r="F113" s="107" t="s">
        <v>613</v>
      </c>
      <c r="G113" s="107">
        <v>3</v>
      </c>
      <c r="H113" s="74">
        <v>10</v>
      </c>
      <c r="I113" s="108">
        <v>298375</v>
      </c>
      <c r="J113" s="103">
        <f>RANK(I113,I$2:$I$284)</f>
        <v>118</v>
      </c>
      <c r="K113" s="74">
        <v>42</v>
      </c>
      <c r="L113" s="54">
        <v>5</v>
      </c>
      <c r="M113" s="109">
        <v>0.87</v>
      </c>
      <c r="N113" s="110">
        <v>34</v>
      </c>
      <c r="O113" s="107">
        <v>10</v>
      </c>
      <c r="P113" s="54">
        <v>5</v>
      </c>
      <c r="Q113" s="107">
        <v>37</v>
      </c>
      <c r="R113" s="54">
        <v>21</v>
      </c>
      <c r="S113" s="111">
        <v>0</v>
      </c>
      <c r="T113" s="74" t="s">
        <v>615</v>
      </c>
    </row>
    <row r="114" spans="1:20" x14ac:dyDescent="0.25">
      <c r="A114" s="117">
        <v>540110</v>
      </c>
      <c r="B114" s="100" t="s">
        <v>616</v>
      </c>
      <c r="C114" s="100" t="s">
        <v>198</v>
      </c>
      <c r="D114" s="101" t="s">
        <v>612</v>
      </c>
      <c r="E114" s="100" t="s">
        <v>47</v>
      </c>
      <c r="F114" s="100" t="s">
        <v>613</v>
      </c>
      <c r="G114" s="100">
        <v>3</v>
      </c>
      <c r="H114" s="93">
        <v>12</v>
      </c>
      <c r="I114" s="102">
        <v>418680</v>
      </c>
      <c r="J114" s="103">
        <f>RANK(I114,I$2:$I$284)</f>
        <v>107</v>
      </c>
      <c r="K114" s="93">
        <v>43</v>
      </c>
      <c r="L114" s="55">
        <v>0</v>
      </c>
      <c r="M114" s="104">
        <v>0.86</v>
      </c>
      <c r="N114" s="105">
        <v>33</v>
      </c>
      <c r="O114" s="100">
        <v>22</v>
      </c>
      <c r="P114" s="55">
        <v>4</v>
      </c>
      <c r="Q114" s="100">
        <v>3</v>
      </c>
      <c r="R114" s="55">
        <v>20</v>
      </c>
      <c r="S114" s="106">
        <v>0</v>
      </c>
      <c r="T114" s="93" t="s">
        <v>615</v>
      </c>
    </row>
    <row r="115" spans="1:20" x14ac:dyDescent="0.25">
      <c r="A115" s="117">
        <v>540039</v>
      </c>
      <c r="B115" s="100" t="s">
        <v>616</v>
      </c>
      <c r="C115" s="100" t="s">
        <v>622</v>
      </c>
      <c r="D115" s="101" t="s">
        <v>612</v>
      </c>
      <c r="E115" s="100" t="s">
        <v>25</v>
      </c>
      <c r="F115" s="100" t="s">
        <v>613</v>
      </c>
      <c r="G115" s="100">
        <v>3</v>
      </c>
      <c r="H115" s="93">
        <v>8</v>
      </c>
      <c r="I115" s="102">
        <v>2037150</v>
      </c>
      <c r="J115" s="103">
        <f>RANK(I115,I$2:$I$284)</f>
        <v>46</v>
      </c>
      <c r="K115" s="93">
        <v>107</v>
      </c>
      <c r="L115" s="55">
        <v>0</v>
      </c>
      <c r="M115" s="104">
        <v>0.91</v>
      </c>
      <c r="N115" s="105">
        <v>31</v>
      </c>
      <c r="O115" s="100">
        <v>0</v>
      </c>
      <c r="P115" s="55">
        <v>20</v>
      </c>
      <c r="Q115" s="100">
        <v>2</v>
      </c>
      <c r="R115" s="55">
        <v>10</v>
      </c>
      <c r="S115" s="106">
        <v>0</v>
      </c>
      <c r="T115" s="93" t="s">
        <v>615</v>
      </c>
    </row>
    <row r="116" spans="1:20" x14ac:dyDescent="0.25">
      <c r="A116" s="117">
        <v>540111</v>
      </c>
      <c r="B116" s="100" t="s">
        <v>616</v>
      </c>
      <c r="C116" s="100" t="s">
        <v>199</v>
      </c>
      <c r="D116" s="101" t="s">
        <v>612</v>
      </c>
      <c r="E116" s="100" t="s">
        <v>47</v>
      </c>
      <c r="F116" s="100" t="s">
        <v>613</v>
      </c>
      <c r="G116" s="100">
        <v>3</v>
      </c>
      <c r="H116" s="93">
        <v>12</v>
      </c>
      <c r="I116" s="102">
        <v>728625</v>
      </c>
      <c r="J116" s="103">
        <f>RANK(I116,I$2:$I$284)</f>
        <v>81</v>
      </c>
      <c r="K116" s="93">
        <v>84</v>
      </c>
      <c r="L116" s="55">
        <v>3</v>
      </c>
      <c r="M116" s="104">
        <v>0.86</v>
      </c>
      <c r="N116" s="105">
        <v>30</v>
      </c>
      <c r="O116" s="100">
        <v>12</v>
      </c>
      <c r="P116" s="55">
        <v>27</v>
      </c>
      <c r="Q116" s="100">
        <v>3</v>
      </c>
      <c r="R116" s="55">
        <v>24</v>
      </c>
      <c r="S116" s="106">
        <v>0</v>
      </c>
      <c r="T116" s="93" t="s">
        <v>615</v>
      </c>
    </row>
    <row r="117" spans="1:20" x14ac:dyDescent="0.25">
      <c r="A117" s="118">
        <v>540211</v>
      </c>
      <c r="B117" s="107" t="s">
        <v>616</v>
      </c>
      <c r="C117" s="107" t="s">
        <v>90</v>
      </c>
      <c r="D117" s="107" t="s">
        <v>617</v>
      </c>
      <c r="E117" s="107" t="s">
        <v>91</v>
      </c>
      <c r="F117" s="107" t="s">
        <v>613</v>
      </c>
      <c r="G117" s="107">
        <v>3</v>
      </c>
      <c r="H117" s="74">
        <v>13</v>
      </c>
      <c r="I117" s="108">
        <v>439178</v>
      </c>
      <c r="J117" s="103">
        <f>RANK(I117,I$2:$I$284)</f>
        <v>104</v>
      </c>
      <c r="K117" s="74">
        <v>72</v>
      </c>
      <c r="L117" s="54">
        <v>2</v>
      </c>
      <c r="M117" s="109">
        <v>0.94</v>
      </c>
      <c r="N117" s="110">
        <v>29</v>
      </c>
      <c r="O117" s="107">
        <v>15</v>
      </c>
      <c r="P117" s="54">
        <v>17</v>
      </c>
      <c r="Q117" s="107">
        <v>0</v>
      </c>
      <c r="R117" s="54">
        <v>32</v>
      </c>
      <c r="S117" s="111">
        <v>0</v>
      </c>
      <c r="T117" s="74" t="s">
        <v>615</v>
      </c>
    </row>
    <row r="118" spans="1:20" x14ac:dyDescent="0.25">
      <c r="A118" s="117">
        <v>540008</v>
      </c>
      <c r="B118" s="100" t="s">
        <v>616</v>
      </c>
      <c r="C118" s="100" t="s">
        <v>120</v>
      </c>
      <c r="D118" s="101" t="s">
        <v>612</v>
      </c>
      <c r="E118" s="100" t="s">
        <v>7</v>
      </c>
      <c r="F118" s="100" t="s">
        <v>613</v>
      </c>
      <c r="G118" s="100">
        <v>3</v>
      </c>
      <c r="H118" s="93">
        <v>13</v>
      </c>
      <c r="I118" s="102">
        <v>547362</v>
      </c>
      <c r="J118" s="103">
        <f>RANK(I118,I$2:$I$284)</f>
        <v>94</v>
      </c>
      <c r="K118" s="93">
        <v>84</v>
      </c>
      <c r="L118" s="55">
        <v>0</v>
      </c>
      <c r="M118" s="104">
        <v>0.91</v>
      </c>
      <c r="N118" s="105">
        <v>29</v>
      </c>
      <c r="O118" s="100">
        <v>14</v>
      </c>
      <c r="P118" s="55">
        <v>34</v>
      </c>
      <c r="Q118" s="100">
        <v>4</v>
      </c>
      <c r="R118" s="55">
        <v>11</v>
      </c>
      <c r="S118" s="106">
        <v>0</v>
      </c>
      <c r="T118" s="93" t="s">
        <v>615</v>
      </c>
    </row>
    <row r="119" spans="1:20" x14ac:dyDescent="0.25">
      <c r="A119" s="117">
        <v>540068</v>
      </c>
      <c r="B119" s="100" t="s">
        <v>616</v>
      </c>
      <c r="C119" s="100" t="s">
        <v>164</v>
      </c>
      <c r="D119" s="101" t="s">
        <v>612</v>
      </c>
      <c r="E119" s="100" t="s">
        <v>37</v>
      </c>
      <c r="F119" s="100" t="s">
        <v>613</v>
      </c>
      <c r="G119" s="100">
        <v>3</v>
      </c>
      <c r="H119" s="93">
        <v>8</v>
      </c>
      <c r="I119" s="102">
        <v>56128</v>
      </c>
      <c r="J119" s="103">
        <f>RANK(I119,I$2:$I$284)</f>
        <v>182</v>
      </c>
      <c r="K119" s="93">
        <v>20</v>
      </c>
      <c r="L119" s="55">
        <v>0</v>
      </c>
      <c r="M119" s="104">
        <v>0.82000000000000006</v>
      </c>
      <c r="N119" s="105">
        <v>28</v>
      </c>
      <c r="O119" s="100">
        <v>14</v>
      </c>
      <c r="P119" s="55">
        <v>5</v>
      </c>
      <c r="Q119" s="100">
        <v>6</v>
      </c>
      <c r="R119" s="55">
        <v>13</v>
      </c>
      <c r="S119" s="106">
        <v>0</v>
      </c>
      <c r="T119" s="93" t="s">
        <v>615</v>
      </c>
    </row>
    <row r="120" spans="1:20" x14ac:dyDescent="0.25">
      <c r="A120" s="117">
        <v>540220</v>
      </c>
      <c r="B120" s="100" t="s">
        <v>616</v>
      </c>
      <c r="C120" s="100" t="s">
        <v>274</v>
      </c>
      <c r="D120" s="101" t="s">
        <v>612</v>
      </c>
      <c r="E120" s="100" t="s">
        <v>95</v>
      </c>
      <c r="F120" s="100" t="s">
        <v>613</v>
      </c>
      <c r="G120" s="100">
        <v>3</v>
      </c>
      <c r="H120" s="93">
        <v>14</v>
      </c>
      <c r="I120" s="102">
        <v>629561</v>
      </c>
      <c r="J120" s="103">
        <f>RANK(I120,I$2:$I$284)</f>
        <v>89</v>
      </c>
      <c r="K120" s="93">
        <v>47</v>
      </c>
      <c r="L120" s="55">
        <v>4</v>
      </c>
      <c r="M120" s="104">
        <v>0.9</v>
      </c>
      <c r="N120" s="105">
        <v>27</v>
      </c>
      <c r="O120" s="100">
        <v>17</v>
      </c>
      <c r="P120" s="55">
        <v>12</v>
      </c>
      <c r="Q120" s="100">
        <v>146</v>
      </c>
      <c r="R120" s="55">
        <v>1</v>
      </c>
      <c r="S120" s="106">
        <v>0</v>
      </c>
      <c r="T120" s="93" t="s">
        <v>615</v>
      </c>
    </row>
    <row r="121" spans="1:20" x14ac:dyDescent="0.25">
      <c r="A121" s="118">
        <v>540225</v>
      </c>
      <c r="B121" s="107" t="s">
        <v>616</v>
      </c>
      <c r="C121" s="107" t="s">
        <v>98</v>
      </c>
      <c r="D121" s="107" t="s">
        <v>617</v>
      </c>
      <c r="E121" s="107" t="s">
        <v>99</v>
      </c>
      <c r="F121" s="107" t="s">
        <v>613</v>
      </c>
      <c r="G121" s="107">
        <v>3</v>
      </c>
      <c r="H121" s="74">
        <v>8</v>
      </c>
      <c r="I121" s="108">
        <v>465607</v>
      </c>
      <c r="J121" s="103">
        <f>RANK(I121,I$2:$I$284)</f>
        <v>102</v>
      </c>
      <c r="K121" s="74">
        <v>39</v>
      </c>
      <c r="L121" s="54">
        <v>0</v>
      </c>
      <c r="M121" s="109">
        <v>0.92999999999999994</v>
      </c>
      <c r="N121" s="110">
        <v>27</v>
      </c>
      <c r="O121" s="107">
        <v>7</v>
      </c>
      <c r="P121" s="54">
        <v>10</v>
      </c>
      <c r="Q121" s="107">
        <v>0</v>
      </c>
      <c r="R121" s="54">
        <v>11</v>
      </c>
      <c r="S121" s="111">
        <v>0</v>
      </c>
      <c r="T121" s="74" t="s">
        <v>615</v>
      </c>
    </row>
    <row r="122" spans="1:20" x14ac:dyDescent="0.25">
      <c r="A122" s="117">
        <v>540190</v>
      </c>
      <c r="B122" s="100" t="s">
        <v>616</v>
      </c>
      <c r="C122" s="100" t="s">
        <v>257</v>
      </c>
      <c r="D122" s="101" t="s">
        <v>612</v>
      </c>
      <c r="E122" s="100" t="s">
        <v>81</v>
      </c>
      <c r="F122" s="100" t="s">
        <v>613</v>
      </c>
      <c r="G122" s="100">
        <v>3</v>
      </c>
      <c r="H122" s="93">
        <v>11</v>
      </c>
      <c r="I122" s="102">
        <v>67164</v>
      </c>
      <c r="J122" s="103">
        <f>RANK(I122,I$2:$I$284)</f>
        <v>177</v>
      </c>
      <c r="K122" s="93">
        <v>18</v>
      </c>
      <c r="L122" s="55">
        <v>0</v>
      </c>
      <c r="M122" s="104">
        <v>0.89</v>
      </c>
      <c r="N122" s="105">
        <v>26</v>
      </c>
      <c r="O122" s="100">
        <v>21</v>
      </c>
      <c r="P122" s="55">
        <v>2</v>
      </c>
      <c r="Q122" s="100">
        <v>3</v>
      </c>
      <c r="R122" s="55">
        <v>20</v>
      </c>
      <c r="S122" s="106">
        <v>0</v>
      </c>
      <c r="T122" s="93" t="s">
        <v>615</v>
      </c>
    </row>
    <row r="123" spans="1:20" x14ac:dyDescent="0.25">
      <c r="A123" s="117">
        <v>540006</v>
      </c>
      <c r="B123" s="100" t="s">
        <v>616</v>
      </c>
      <c r="C123" s="100" t="s">
        <v>119</v>
      </c>
      <c r="D123" s="101" t="s">
        <v>612</v>
      </c>
      <c r="E123" s="100" t="s">
        <v>107</v>
      </c>
      <c r="F123" s="100" t="s">
        <v>613</v>
      </c>
      <c r="G123" s="100">
        <v>3</v>
      </c>
      <c r="H123" s="93">
        <v>8</v>
      </c>
      <c r="I123" s="102">
        <v>634799</v>
      </c>
      <c r="J123" s="103">
        <f>RANK(I123,I$2:$I$284)</f>
        <v>88</v>
      </c>
      <c r="K123" s="93">
        <v>34</v>
      </c>
      <c r="L123" s="55">
        <v>4</v>
      </c>
      <c r="M123" s="104">
        <v>0.91</v>
      </c>
      <c r="N123" s="105">
        <v>26</v>
      </c>
      <c r="O123" s="100">
        <v>8</v>
      </c>
      <c r="P123" s="55">
        <v>13</v>
      </c>
      <c r="Q123" s="100">
        <v>72</v>
      </c>
      <c r="R123" s="55">
        <v>20</v>
      </c>
      <c r="S123" s="106">
        <v>1</v>
      </c>
      <c r="T123" s="93">
        <v>8</v>
      </c>
    </row>
    <row r="124" spans="1:20" x14ac:dyDescent="0.25">
      <c r="A124" s="117">
        <v>545537</v>
      </c>
      <c r="B124" s="100" t="s">
        <v>616</v>
      </c>
      <c r="C124" s="100" t="s">
        <v>333</v>
      </c>
      <c r="D124" s="101" t="s">
        <v>612</v>
      </c>
      <c r="E124" s="100" t="s">
        <v>111</v>
      </c>
      <c r="F124" s="100" t="s">
        <v>613</v>
      </c>
      <c r="G124" s="100">
        <v>3</v>
      </c>
      <c r="H124" s="93">
        <v>18</v>
      </c>
      <c r="I124" s="102">
        <v>34429</v>
      </c>
      <c r="J124" s="103">
        <f>RANK(I124,I$2:$I$284)</f>
        <v>197</v>
      </c>
      <c r="K124" s="93">
        <v>16</v>
      </c>
      <c r="L124" s="55">
        <v>2</v>
      </c>
      <c r="M124" s="104">
        <v>0.9</v>
      </c>
      <c r="N124" s="105">
        <v>26</v>
      </c>
      <c r="O124" s="100">
        <v>8</v>
      </c>
      <c r="P124" s="55">
        <v>2</v>
      </c>
      <c r="Q124" s="100">
        <v>65</v>
      </c>
      <c r="R124" s="55">
        <v>5</v>
      </c>
      <c r="S124" s="106">
        <v>0</v>
      </c>
      <c r="T124" s="93" t="s">
        <v>615</v>
      </c>
    </row>
    <row r="125" spans="1:20" x14ac:dyDescent="0.25">
      <c r="A125" s="117">
        <v>540138</v>
      </c>
      <c r="B125" s="100" t="s">
        <v>616</v>
      </c>
      <c r="C125" s="100" t="s">
        <v>221</v>
      </c>
      <c r="D125" s="101" t="s">
        <v>612</v>
      </c>
      <c r="E125" s="100" t="s">
        <v>57</v>
      </c>
      <c r="F125" s="100" t="s">
        <v>613</v>
      </c>
      <c r="G125" s="100">
        <v>3</v>
      </c>
      <c r="H125" s="93">
        <v>17</v>
      </c>
      <c r="I125" s="102">
        <v>11929533</v>
      </c>
      <c r="J125" s="103">
        <f>RANK(I125,I$2:$I$284)</f>
        <v>6</v>
      </c>
      <c r="K125" s="93">
        <v>529</v>
      </c>
      <c r="L125" s="55">
        <v>0</v>
      </c>
      <c r="M125" s="104">
        <v>0.91</v>
      </c>
      <c r="N125" s="105">
        <v>26</v>
      </c>
      <c r="O125" s="100">
        <v>4</v>
      </c>
      <c r="P125" s="55">
        <v>30</v>
      </c>
      <c r="Q125" s="100">
        <v>11</v>
      </c>
      <c r="R125" s="55">
        <v>13</v>
      </c>
      <c r="S125" s="106">
        <v>0</v>
      </c>
      <c r="T125" s="93" t="s">
        <v>615</v>
      </c>
    </row>
    <row r="126" spans="1:20" x14ac:dyDescent="0.25">
      <c r="A126" s="117">
        <v>540241</v>
      </c>
      <c r="B126" s="100" t="s">
        <v>616</v>
      </c>
      <c r="C126" s="100" t="s">
        <v>288</v>
      </c>
      <c r="D126" s="101" t="s">
        <v>612</v>
      </c>
      <c r="E126" s="100" t="s">
        <v>35</v>
      </c>
      <c r="F126" s="100" t="s">
        <v>613</v>
      </c>
      <c r="G126" s="100">
        <v>3</v>
      </c>
      <c r="H126" s="93">
        <v>14</v>
      </c>
      <c r="I126" s="102">
        <v>79478</v>
      </c>
      <c r="J126" s="103">
        <f>RANK(I126,I$2:$I$284)</f>
        <v>174</v>
      </c>
      <c r="K126" s="93">
        <v>10</v>
      </c>
      <c r="L126" s="55">
        <v>0</v>
      </c>
      <c r="M126" s="104">
        <v>0.95</v>
      </c>
      <c r="N126" s="105">
        <v>25</v>
      </c>
      <c r="O126" s="100">
        <v>4</v>
      </c>
      <c r="P126" s="55">
        <v>5</v>
      </c>
      <c r="Q126" s="100">
        <v>7</v>
      </c>
      <c r="R126" s="55">
        <v>5</v>
      </c>
      <c r="S126" s="106">
        <v>0</v>
      </c>
      <c r="T126" s="93" t="s">
        <v>615</v>
      </c>
    </row>
    <row r="127" spans="1:20" x14ac:dyDescent="0.25">
      <c r="A127" s="117">
        <v>540136</v>
      </c>
      <c r="B127" s="100" t="s">
        <v>616</v>
      </c>
      <c r="C127" s="100" t="s">
        <v>219</v>
      </c>
      <c r="D127" s="101" t="s">
        <v>612</v>
      </c>
      <c r="E127" s="100" t="s">
        <v>57</v>
      </c>
      <c r="F127" s="100" t="s">
        <v>613</v>
      </c>
      <c r="G127" s="100">
        <v>3</v>
      </c>
      <c r="H127" s="93">
        <v>17</v>
      </c>
      <c r="I127" s="102">
        <v>452214</v>
      </c>
      <c r="J127" s="103">
        <f>RANK(I127,I$2:$I$284)</f>
        <v>103</v>
      </c>
      <c r="K127" s="93">
        <v>32</v>
      </c>
      <c r="L127" s="55">
        <v>2</v>
      </c>
      <c r="M127" s="104">
        <v>0.91</v>
      </c>
      <c r="N127" s="105">
        <v>24</v>
      </c>
      <c r="O127" s="100">
        <v>5</v>
      </c>
      <c r="P127" s="55">
        <v>7</v>
      </c>
      <c r="Q127" s="100">
        <v>11</v>
      </c>
      <c r="R127" s="55">
        <v>1</v>
      </c>
      <c r="S127" s="106">
        <v>0</v>
      </c>
      <c r="T127" s="93" t="s">
        <v>615</v>
      </c>
    </row>
    <row r="128" spans="1:20" x14ac:dyDescent="0.25">
      <c r="A128" s="117">
        <v>540247</v>
      </c>
      <c r="B128" s="100" t="s">
        <v>616</v>
      </c>
      <c r="C128" s="100" t="s">
        <v>293</v>
      </c>
      <c r="D128" s="101" t="s">
        <v>612</v>
      </c>
      <c r="E128" s="100" t="s">
        <v>49</v>
      </c>
      <c r="F128" s="100" t="s">
        <v>613</v>
      </c>
      <c r="G128" s="100">
        <v>3</v>
      </c>
      <c r="H128" s="93">
        <v>12</v>
      </c>
      <c r="I128" s="102">
        <v>0</v>
      </c>
      <c r="J128" s="103">
        <f>RANK(I128,I$2:$I$284)</f>
        <v>248</v>
      </c>
      <c r="K128" s="93">
        <v>0</v>
      </c>
      <c r="L128" s="55">
        <v>0</v>
      </c>
      <c r="M128" s="104">
        <v>0.94</v>
      </c>
      <c r="N128" s="105">
        <v>24</v>
      </c>
      <c r="O128" s="100">
        <v>3</v>
      </c>
      <c r="P128" s="55">
        <v>0</v>
      </c>
      <c r="Q128" s="100">
        <v>4</v>
      </c>
      <c r="R128" s="55">
        <v>3</v>
      </c>
      <c r="S128" s="106">
        <v>0</v>
      </c>
      <c r="T128" s="93" t="s">
        <v>615</v>
      </c>
    </row>
    <row r="129" spans="1:20" x14ac:dyDescent="0.25">
      <c r="A129" s="117">
        <v>540074</v>
      </c>
      <c r="B129" s="100" t="s">
        <v>616</v>
      </c>
      <c r="C129" s="100" t="s">
        <v>169</v>
      </c>
      <c r="D129" s="101" t="s">
        <v>612</v>
      </c>
      <c r="E129" s="100" t="s">
        <v>39</v>
      </c>
      <c r="F129" s="100" t="s">
        <v>613</v>
      </c>
      <c r="G129" s="100">
        <v>3</v>
      </c>
      <c r="H129" s="93">
        <v>16</v>
      </c>
      <c r="I129" s="102">
        <v>32648</v>
      </c>
      <c r="J129" s="103">
        <f>RANK(I129,I$2:$I$284)</f>
        <v>198</v>
      </c>
      <c r="K129" s="93">
        <v>9</v>
      </c>
      <c r="L129" s="55">
        <v>2</v>
      </c>
      <c r="M129" s="104">
        <v>0.83</v>
      </c>
      <c r="N129" s="105">
        <v>23</v>
      </c>
      <c r="O129" s="100">
        <v>13</v>
      </c>
      <c r="P129" s="55">
        <v>2</v>
      </c>
      <c r="Q129" s="100">
        <v>169</v>
      </c>
      <c r="R129" s="55">
        <v>7</v>
      </c>
      <c r="S129" s="106">
        <v>0</v>
      </c>
      <c r="T129" s="93" t="s">
        <v>615</v>
      </c>
    </row>
    <row r="130" spans="1:20" x14ac:dyDescent="0.25">
      <c r="A130" s="117">
        <v>540017</v>
      </c>
      <c r="B130" s="100" t="s">
        <v>616</v>
      </c>
      <c r="C130" s="100" t="s">
        <v>126</v>
      </c>
      <c r="D130" s="101" t="s">
        <v>612</v>
      </c>
      <c r="E130" s="100" t="s">
        <v>13</v>
      </c>
      <c r="F130" s="100" t="s">
        <v>613</v>
      </c>
      <c r="G130" s="100">
        <v>3</v>
      </c>
      <c r="H130" s="93">
        <v>17</v>
      </c>
      <c r="I130" s="102">
        <v>31133</v>
      </c>
      <c r="J130" s="103">
        <f>RANK(I130,I$2:$I$284)</f>
        <v>200</v>
      </c>
      <c r="K130" s="93">
        <v>12</v>
      </c>
      <c r="L130" s="55">
        <v>0</v>
      </c>
      <c r="M130" s="104">
        <v>0.9</v>
      </c>
      <c r="N130" s="105">
        <v>23</v>
      </c>
      <c r="O130" s="100">
        <v>3</v>
      </c>
      <c r="P130" s="55">
        <v>0</v>
      </c>
      <c r="Q130" s="100">
        <v>32</v>
      </c>
      <c r="R130" s="55">
        <v>28</v>
      </c>
      <c r="S130" s="106">
        <v>0</v>
      </c>
      <c r="T130" s="93" t="s">
        <v>615</v>
      </c>
    </row>
    <row r="131" spans="1:20" x14ac:dyDescent="0.25">
      <c r="A131" s="117">
        <v>540069</v>
      </c>
      <c r="B131" s="100" t="s">
        <v>616</v>
      </c>
      <c r="C131" s="100" t="s">
        <v>165</v>
      </c>
      <c r="D131" s="101" t="s">
        <v>612</v>
      </c>
      <c r="E131" s="100" t="s">
        <v>37</v>
      </c>
      <c r="F131" s="100" t="s">
        <v>613</v>
      </c>
      <c r="G131" s="100">
        <v>3</v>
      </c>
      <c r="H131" s="93">
        <v>8</v>
      </c>
      <c r="I131" s="102">
        <v>0</v>
      </c>
      <c r="J131" s="103">
        <f>RANK(I131,I$2:$I$284)</f>
        <v>248</v>
      </c>
      <c r="K131" s="93">
        <v>2</v>
      </c>
      <c r="L131" s="55">
        <v>0</v>
      </c>
      <c r="M131" s="104">
        <v>0.82000000000000006</v>
      </c>
      <c r="N131" s="105">
        <v>22</v>
      </c>
      <c r="O131" s="100">
        <v>12</v>
      </c>
      <c r="P131" s="55">
        <v>0</v>
      </c>
      <c r="Q131" s="100">
        <v>6</v>
      </c>
      <c r="R131" s="55">
        <v>15</v>
      </c>
      <c r="S131" s="106">
        <v>0</v>
      </c>
      <c r="T131" s="93" t="s">
        <v>615</v>
      </c>
    </row>
    <row r="132" spans="1:20" x14ac:dyDescent="0.25">
      <c r="A132" s="117">
        <v>540168</v>
      </c>
      <c r="B132" s="100" t="s">
        <v>616</v>
      </c>
      <c r="C132" s="100" t="s">
        <v>241</v>
      </c>
      <c r="D132" s="101" t="s">
        <v>612</v>
      </c>
      <c r="E132" s="100" t="s">
        <v>71</v>
      </c>
      <c r="F132" s="100" t="s">
        <v>613</v>
      </c>
      <c r="G132" s="100">
        <v>3</v>
      </c>
      <c r="H132" s="93">
        <v>12</v>
      </c>
      <c r="I132" s="102">
        <v>28751</v>
      </c>
      <c r="J132" s="103">
        <f>RANK(I132,I$2:$I$284)</f>
        <v>202</v>
      </c>
      <c r="K132" s="93">
        <v>17</v>
      </c>
      <c r="L132" s="55">
        <v>0</v>
      </c>
      <c r="M132" s="104">
        <v>0.86</v>
      </c>
      <c r="N132" s="105">
        <v>22</v>
      </c>
      <c r="O132" s="100">
        <v>12</v>
      </c>
      <c r="P132" s="55">
        <v>2</v>
      </c>
      <c r="Q132" s="100">
        <v>10</v>
      </c>
      <c r="R132" s="55">
        <v>19</v>
      </c>
      <c r="S132" s="106">
        <v>0</v>
      </c>
      <c r="T132" s="93" t="s">
        <v>615</v>
      </c>
    </row>
    <row r="133" spans="1:20" x14ac:dyDescent="0.25">
      <c r="A133" s="117">
        <v>540002</v>
      </c>
      <c r="B133" s="100" t="s">
        <v>616</v>
      </c>
      <c r="C133" s="100" t="s">
        <v>114</v>
      </c>
      <c r="D133" s="101" t="s">
        <v>612</v>
      </c>
      <c r="E133" s="100" t="s">
        <v>4</v>
      </c>
      <c r="F133" s="100" t="s">
        <v>613</v>
      </c>
      <c r="G133" s="100">
        <v>3</v>
      </c>
      <c r="H133" s="93">
        <v>10</v>
      </c>
      <c r="I133" s="102">
        <v>537610</v>
      </c>
      <c r="J133" s="103">
        <f>RANK(I133,I$2:$I$284)</f>
        <v>95</v>
      </c>
      <c r="K133" s="93">
        <v>55</v>
      </c>
      <c r="L133" s="55">
        <v>6</v>
      </c>
      <c r="M133" s="104">
        <v>0.87</v>
      </c>
      <c r="N133" s="105">
        <v>22</v>
      </c>
      <c r="O133" s="100">
        <v>3</v>
      </c>
      <c r="P133" s="55">
        <v>21</v>
      </c>
      <c r="Q133" s="100">
        <v>37</v>
      </c>
      <c r="R133" s="55">
        <v>11</v>
      </c>
      <c r="S133" s="106">
        <v>0</v>
      </c>
      <c r="T133" s="93" t="s">
        <v>615</v>
      </c>
    </row>
    <row r="134" spans="1:20" x14ac:dyDescent="0.25">
      <c r="A134" s="117">
        <v>540089</v>
      </c>
      <c r="B134" s="100" t="s">
        <v>616</v>
      </c>
      <c r="C134" s="100" t="s">
        <v>181</v>
      </c>
      <c r="D134" s="101" t="s">
        <v>612</v>
      </c>
      <c r="E134" s="100" t="s">
        <v>43</v>
      </c>
      <c r="F134" s="100" t="s">
        <v>613</v>
      </c>
      <c r="G134" s="100">
        <v>3</v>
      </c>
      <c r="H134" s="93">
        <v>20</v>
      </c>
      <c r="I134" s="102">
        <v>179619</v>
      </c>
      <c r="J134" s="103">
        <f>RANK(I134,I$2:$I$284)</f>
        <v>138</v>
      </c>
      <c r="K134" s="93">
        <v>48</v>
      </c>
      <c r="L134" s="55">
        <v>0</v>
      </c>
      <c r="M134" s="104">
        <v>0.94</v>
      </c>
      <c r="N134" s="105">
        <v>21</v>
      </c>
      <c r="O134" s="100">
        <v>17</v>
      </c>
      <c r="P134" s="55">
        <v>6</v>
      </c>
      <c r="Q134" s="100">
        <v>4</v>
      </c>
      <c r="R134" s="55">
        <v>8</v>
      </c>
      <c r="S134" s="106">
        <v>0</v>
      </c>
      <c r="T134" s="93" t="s">
        <v>615</v>
      </c>
    </row>
    <row r="135" spans="1:20" x14ac:dyDescent="0.25">
      <c r="A135" s="117">
        <v>540005</v>
      </c>
      <c r="B135" s="100" t="s">
        <v>616</v>
      </c>
      <c r="C135" s="100" t="s">
        <v>118</v>
      </c>
      <c r="D135" s="101" t="s">
        <v>612</v>
      </c>
      <c r="E135" s="100" t="s">
        <v>61</v>
      </c>
      <c r="F135" s="100" t="s">
        <v>613</v>
      </c>
      <c r="G135" s="100">
        <v>3</v>
      </c>
      <c r="H135" s="93">
        <v>8</v>
      </c>
      <c r="I135" s="102">
        <v>427930</v>
      </c>
      <c r="J135" s="103">
        <f>RANK(I135,I$2:$I$284)</f>
        <v>105</v>
      </c>
      <c r="K135" s="93">
        <v>26</v>
      </c>
      <c r="L135" s="55">
        <v>0</v>
      </c>
      <c r="M135" s="104">
        <v>0.85</v>
      </c>
      <c r="N135" s="105">
        <v>21</v>
      </c>
      <c r="O135" s="100">
        <v>5</v>
      </c>
      <c r="P135" s="55">
        <v>9</v>
      </c>
      <c r="Q135" s="100">
        <v>10</v>
      </c>
      <c r="R135" s="55">
        <v>11</v>
      </c>
      <c r="S135" s="106">
        <v>0</v>
      </c>
      <c r="T135" s="93" t="s">
        <v>615</v>
      </c>
    </row>
    <row r="136" spans="1:20" x14ac:dyDescent="0.25">
      <c r="A136" s="117">
        <v>540071</v>
      </c>
      <c r="B136" s="100" t="s">
        <v>616</v>
      </c>
      <c r="C136" s="100" t="s">
        <v>166</v>
      </c>
      <c r="D136" s="101" t="s">
        <v>612</v>
      </c>
      <c r="E136" s="100" t="s">
        <v>39</v>
      </c>
      <c r="F136" s="100" t="s">
        <v>613</v>
      </c>
      <c r="G136" s="100">
        <v>3</v>
      </c>
      <c r="H136" s="93">
        <v>16</v>
      </c>
      <c r="I136" s="102">
        <v>122507</v>
      </c>
      <c r="J136" s="103">
        <f>RANK(I136,I$2:$I$284)</f>
        <v>157</v>
      </c>
      <c r="K136" s="93">
        <v>11</v>
      </c>
      <c r="L136" s="55">
        <v>0</v>
      </c>
      <c r="M136" s="104">
        <v>0.83</v>
      </c>
      <c r="N136" s="105">
        <v>20</v>
      </c>
      <c r="O136" s="100">
        <v>11</v>
      </c>
      <c r="P136" s="55">
        <v>0</v>
      </c>
      <c r="Q136" s="100">
        <v>169</v>
      </c>
      <c r="R136" s="55">
        <v>14</v>
      </c>
      <c r="S136" s="106">
        <v>0</v>
      </c>
      <c r="T136" s="93" t="s">
        <v>615</v>
      </c>
    </row>
    <row r="137" spans="1:20" x14ac:dyDescent="0.25">
      <c r="A137" s="118">
        <v>540011</v>
      </c>
      <c r="B137" s="107" t="s">
        <v>616</v>
      </c>
      <c r="C137" s="107" t="s">
        <v>10</v>
      </c>
      <c r="D137" s="107" t="s">
        <v>617</v>
      </c>
      <c r="E137" s="107" t="s">
        <v>11</v>
      </c>
      <c r="F137" s="107" t="s">
        <v>613</v>
      </c>
      <c r="G137" s="107">
        <v>3</v>
      </c>
      <c r="H137" s="74">
        <v>8</v>
      </c>
      <c r="I137" s="108">
        <v>555906</v>
      </c>
      <c r="J137" s="103">
        <f>RANK(I137,I$2:$I$284)</f>
        <v>93</v>
      </c>
      <c r="K137" s="74">
        <v>52</v>
      </c>
      <c r="L137" s="54">
        <v>0</v>
      </c>
      <c r="M137" s="109">
        <v>0.8</v>
      </c>
      <c r="N137" s="110">
        <v>20</v>
      </c>
      <c r="O137" s="107">
        <v>9</v>
      </c>
      <c r="P137" s="54">
        <v>10</v>
      </c>
      <c r="Q137" s="107">
        <v>18</v>
      </c>
      <c r="R137" s="54">
        <v>5</v>
      </c>
      <c r="S137" s="111">
        <v>0</v>
      </c>
      <c r="T137" s="74" t="s">
        <v>615</v>
      </c>
    </row>
    <row r="138" spans="1:20" x14ac:dyDescent="0.25">
      <c r="A138" s="117">
        <v>540230</v>
      </c>
      <c r="B138" s="100" t="s">
        <v>616</v>
      </c>
      <c r="C138" s="100" t="s">
        <v>280</v>
      </c>
      <c r="D138" s="101" t="s">
        <v>612</v>
      </c>
      <c r="E138" s="100" t="s">
        <v>7</v>
      </c>
      <c r="F138" s="100" t="s">
        <v>613</v>
      </c>
      <c r="G138" s="100">
        <v>3</v>
      </c>
      <c r="H138" s="93">
        <v>13</v>
      </c>
      <c r="I138" s="102">
        <v>737285</v>
      </c>
      <c r="J138" s="103">
        <f>RANK(I138,I$2:$I$284)</f>
        <v>80</v>
      </c>
      <c r="K138" s="93">
        <v>76</v>
      </c>
      <c r="L138" s="55">
        <v>7</v>
      </c>
      <c r="M138" s="104">
        <v>0.91</v>
      </c>
      <c r="N138" s="105">
        <v>20</v>
      </c>
      <c r="O138" s="100">
        <v>8</v>
      </c>
      <c r="P138" s="55">
        <v>32</v>
      </c>
      <c r="Q138" s="100">
        <v>4</v>
      </c>
      <c r="R138" s="55">
        <v>8</v>
      </c>
      <c r="S138" s="106">
        <v>0</v>
      </c>
      <c r="T138" s="93" t="s">
        <v>615</v>
      </c>
    </row>
    <row r="139" spans="1:20" x14ac:dyDescent="0.25">
      <c r="A139" s="117">
        <v>540216</v>
      </c>
      <c r="B139" s="100" t="s">
        <v>616</v>
      </c>
      <c r="C139" s="100" t="s">
        <v>271</v>
      </c>
      <c r="D139" s="101" t="s">
        <v>612</v>
      </c>
      <c r="E139" s="100" t="s">
        <v>93</v>
      </c>
      <c r="F139" s="100" t="s">
        <v>613</v>
      </c>
      <c r="G139" s="100">
        <v>3</v>
      </c>
      <c r="H139" s="93">
        <v>9</v>
      </c>
      <c r="I139" s="102">
        <v>865123</v>
      </c>
      <c r="J139" s="103">
        <f>RANK(I139,I$2:$I$284)</f>
        <v>76</v>
      </c>
      <c r="K139" s="93">
        <v>56</v>
      </c>
      <c r="L139" s="55">
        <v>4</v>
      </c>
      <c r="M139" s="104">
        <v>0.89</v>
      </c>
      <c r="N139" s="105">
        <v>20</v>
      </c>
      <c r="O139" s="100">
        <v>8</v>
      </c>
      <c r="P139" s="55">
        <v>34</v>
      </c>
      <c r="Q139" s="100">
        <v>18</v>
      </c>
      <c r="R139" s="55">
        <v>5</v>
      </c>
      <c r="S139" s="106">
        <v>0</v>
      </c>
      <c r="T139" s="93" t="s">
        <v>615</v>
      </c>
    </row>
    <row r="140" spans="1:20" x14ac:dyDescent="0.25">
      <c r="A140" s="117">
        <v>540134</v>
      </c>
      <c r="B140" s="100" t="s">
        <v>616</v>
      </c>
      <c r="C140" s="100" t="s">
        <v>217</v>
      </c>
      <c r="D140" s="101" t="s">
        <v>612</v>
      </c>
      <c r="E140" s="100" t="s">
        <v>57</v>
      </c>
      <c r="F140" s="100" t="s">
        <v>613</v>
      </c>
      <c r="G140" s="100">
        <v>3</v>
      </c>
      <c r="H140" s="93">
        <v>17</v>
      </c>
      <c r="I140" s="102">
        <v>347144</v>
      </c>
      <c r="J140" s="103">
        <f>RANK(I140,I$2:$I$284)</f>
        <v>114</v>
      </c>
      <c r="K140" s="93">
        <v>37</v>
      </c>
      <c r="L140" s="55">
        <v>0</v>
      </c>
      <c r="M140" s="104">
        <v>0.91</v>
      </c>
      <c r="N140" s="105">
        <v>20</v>
      </c>
      <c r="O140" s="100">
        <v>4</v>
      </c>
      <c r="P140" s="55">
        <v>2</v>
      </c>
      <c r="Q140" s="100">
        <v>11</v>
      </c>
      <c r="R140" s="55">
        <v>5</v>
      </c>
      <c r="S140" s="106">
        <v>0</v>
      </c>
      <c r="T140" s="93" t="s">
        <v>615</v>
      </c>
    </row>
    <row r="141" spans="1:20" x14ac:dyDescent="0.25">
      <c r="A141" s="118">
        <v>540188</v>
      </c>
      <c r="B141" s="107" t="s">
        <v>616</v>
      </c>
      <c r="C141" s="107" t="s">
        <v>80</v>
      </c>
      <c r="D141" s="107" t="s">
        <v>617</v>
      </c>
      <c r="E141" s="107" t="s">
        <v>81</v>
      </c>
      <c r="F141" s="107" t="s">
        <v>613</v>
      </c>
      <c r="G141" s="107">
        <v>3</v>
      </c>
      <c r="H141" s="74">
        <v>11</v>
      </c>
      <c r="I141" s="108">
        <v>483547</v>
      </c>
      <c r="J141" s="103">
        <f>RANK(I141,I$2:$I$284)</f>
        <v>100</v>
      </c>
      <c r="K141" s="74">
        <v>36</v>
      </c>
      <c r="L141" s="54">
        <v>3</v>
      </c>
      <c r="M141" s="109">
        <v>0.89</v>
      </c>
      <c r="N141" s="110">
        <v>19</v>
      </c>
      <c r="O141" s="107">
        <v>8</v>
      </c>
      <c r="P141" s="54">
        <v>11</v>
      </c>
      <c r="Q141" s="107">
        <v>3</v>
      </c>
      <c r="R141" s="54">
        <v>12</v>
      </c>
      <c r="S141" s="111">
        <v>0</v>
      </c>
      <c r="T141" s="74" t="s">
        <v>615</v>
      </c>
    </row>
    <row r="142" spans="1:20" x14ac:dyDescent="0.25">
      <c r="A142" s="117">
        <v>540238</v>
      </c>
      <c r="B142" s="100" t="s">
        <v>616</v>
      </c>
      <c r="C142" s="100" t="s">
        <v>286</v>
      </c>
      <c r="D142" s="101" t="s">
        <v>612</v>
      </c>
      <c r="E142" s="100" t="s">
        <v>7</v>
      </c>
      <c r="F142" s="100" t="s">
        <v>613</v>
      </c>
      <c r="G142" s="100">
        <v>3</v>
      </c>
      <c r="H142" s="93">
        <v>13</v>
      </c>
      <c r="I142" s="102">
        <v>83575</v>
      </c>
      <c r="J142" s="103">
        <f>RANK(I142,I$2:$I$284)</f>
        <v>171</v>
      </c>
      <c r="K142" s="93">
        <v>15</v>
      </c>
      <c r="L142" s="55">
        <v>0</v>
      </c>
      <c r="M142" s="104">
        <v>0.91</v>
      </c>
      <c r="N142" s="105">
        <v>18</v>
      </c>
      <c r="O142" s="100">
        <v>17</v>
      </c>
      <c r="P142" s="55">
        <v>6</v>
      </c>
      <c r="Q142" s="100">
        <v>4</v>
      </c>
      <c r="R142" s="55">
        <v>2</v>
      </c>
      <c r="S142" s="106">
        <v>0</v>
      </c>
      <c r="T142" s="93" t="s">
        <v>615</v>
      </c>
    </row>
    <row r="143" spans="1:20" x14ac:dyDescent="0.25">
      <c r="A143" s="117">
        <v>540021</v>
      </c>
      <c r="B143" s="100" t="s">
        <v>616</v>
      </c>
      <c r="C143" s="100" t="s">
        <v>129</v>
      </c>
      <c r="D143" s="101" t="s">
        <v>612</v>
      </c>
      <c r="E143" s="100" t="s">
        <v>15</v>
      </c>
      <c r="F143" s="100" t="s">
        <v>613</v>
      </c>
      <c r="G143" s="100">
        <v>3</v>
      </c>
      <c r="H143" s="93">
        <v>13</v>
      </c>
      <c r="I143" s="102">
        <v>1371887</v>
      </c>
      <c r="J143" s="103">
        <f>RANK(I143,I$2:$I$284)</f>
        <v>60</v>
      </c>
      <c r="K143" s="93">
        <v>145</v>
      </c>
      <c r="L143" s="55">
        <v>2</v>
      </c>
      <c r="M143" s="104">
        <v>0.9</v>
      </c>
      <c r="N143" s="105">
        <v>18</v>
      </c>
      <c r="O143" s="100">
        <v>13</v>
      </c>
      <c r="P143" s="55">
        <v>48</v>
      </c>
      <c r="Q143" s="100">
        <v>1</v>
      </c>
      <c r="R143" s="55">
        <v>2</v>
      </c>
      <c r="S143" s="106">
        <v>0</v>
      </c>
      <c r="T143" s="93" t="s">
        <v>615</v>
      </c>
    </row>
    <row r="144" spans="1:20" x14ac:dyDescent="0.25">
      <c r="A144" s="117">
        <v>540057</v>
      </c>
      <c r="B144" s="100" t="s">
        <v>616</v>
      </c>
      <c r="C144" s="100" t="s">
        <v>155</v>
      </c>
      <c r="D144" s="101" t="s">
        <v>612</v>
      </c>
      <c r="E144" s="100" t="s">
        <v>33</v>
      </c>
      <c r="F144" s="100" t="s">
        <v>613</v>
      </c>
      <c r="G144" s="100">
        <v>3</v>
      </c>
      <c r="H144" s="93">
        <v>13</v>
      </c>
      <c r="I144" s="102">
        <v>695268</v>
      </c>
      <c r="J144" s="103">
        <f>RANK(I144,I$2:$I$284)</f>
        <v>84</v>
      </c>
      <c r="K144" s="93">
        <v>89</v>
      </c>
      <c r="L144" s="55">
        <v>0</v>
      </c>
      <c r="M144" s="104">
        <v>0.9</v>
      </c>
      <c r="N144" s="105">
        <v>18</v>
      </c>
      <c r="O144" s="100">
        <v>8</v>
      </c>
      <c r="P144" s="55">
        <v>15</v>
      </c>
      <c r="Q144" s="100">
        <v>26</v>
      </c>
      <c r="R144" s="55">
        <v>17</v>
      </c>
      <c r="S144" s="106">
        <v>0</v>
      </c>
      <c r="T144" s="93" t="s">
        <v>615</v>
      </c>
    </row>
    <row r="145" spans="1:20" x14ac:dyDescent="0.25">
      <c r="A145" s="117">
        <v>540212</v>
      </c>
      <c r="B145" s="100" t="s">
        <v>616</v>
      </c>
      <c r="C145" s="100" t="s">
        <v>268</v>
      </c>
      <c r="D145" s="101" t="s">
        <v>612</v>
      </c>
      <c r="E145" s="100" t="s">
        <v>91</v>
      </c>
      <c r="F145" s="100" t="s">
        <v>613</v>
      </c>
      <c r="G145" s="100">
        <v>3</v>
      </c>
      <c r="H145" s="93">
        <v>13</v>
      </c>
      <c r="I145" s="102">
        <v>162903</v>
      </c>
      <c r="J145" s="103">
        <f>RANK(I145,I$2:$I$284)</f>
        <v>146</v>
      </c>
      <c r="K145" s="93">
        <v>12</v>
      </c>
      <c r="L145" s="55">
        <v>0</v>
      </c>
      <c r="M145" s="104">
        <v>0.94</v>
      </c>
      <c r="N145" s="105">
        <v>18</v>
      </c>
      <c r="O145" s="100">
        <v>8</v>
      </c>
      <c r="P145" s="55">
        <v>0</v>
      </c>
      <c r="Q145" s="100">
        <v>0</v>
      </c>
      <c r="R145" s="55">
        <v>11</v>
      </c>
      <c r="S145" s="106">
        <v>0</v>
      </c>
      <c r="T145" s="93" t="s">
        <v>615</v>
      </c>
    </row>
    <row r="146" spans="1:20" x14ac:dyDescent="0.25">
      <c r="A146" s="117">
        <v>540182</v>
      </c>
      <c r="B146" s="100" t="s">
        <v>616</v>
      </c>
      <c r="C146" s="100" t="s">
        <v>252</v>
      </c>
      <c r="D146" s="101" t="s">
        <v>612</v>
      </c>
      <c r="E146" s="100" t="s">
        <v>97</v>
      </c>
      <c r="F146" s="100" t="s">
        <v>613</v>
      </c>
      <c r="G146" s="100">
        <v>3</v>
      </c>
      <c r="H146" s="93">
        <v>11</v>
      </c>
      <c r="I146" s="102">
        <v>124484</v>
      </c>
      <c r="J146" s="103">
        <f>RANK(I146,I$2:$I$284)</f>
        <v>155</v>
      </c>
      <c r="K146" s="93">
        <v>20</v>
      </c>
      <c r="L146" s="55">
        <v>0</v>
      </c>
      <c r="M146" s="104">
        <v>0.95</v>
      </c>
      <c r="N146" s="105">
        <v>18</v>
      </c>
      <c r="O146" s="100">
        <v>4</v>
      </c>
      <c r="P146" s="55">
        <v>3</v>
      </c>
      <c r="Q146" s="100">
        <v>0</v>
      </c>
      <c r="R146" s="55">
        <v>5</v>
      </c>
      <c r="S146" s="106">
        <v>0</v>
      </c>
      <c r="T146" s="93" t="s">
        <v>615</v>
      </c>
    </row>
    <row r="147" spans="1:20" x14ac:dyDescent="0.25">
      <c r="A147" s="117">
        <v>540064</v>
      </c>
      <c r="B147" s="100" t="s">
        <v>616</v>
      </c>
      <c r="C147" s="100" t="s">
        <v>161</v>
      </c>
      <c r="D147" s="101" t="s">
        <v>612</v>
      </c>
      <c r="E147" s="100" t="s">
        <v>35</v>
      </c>
      <c r="F147" s="100" t="s">
        <v>613</v>
      </c>
      <c r="G147" s="100">
        <v>3</v>
      </c>
      <c r="H147" s="93">
        <v>14</v>
      </c>
      <c r="I147" s="102">
        <v>586230</v>
      </c>
      <c r="J147" s="103">
        <f>RANK(I147,I$2:$I$284)</f>
        <v>92</v>
      </c>
      <c r="K147" s="93">
        <v>73</v>
      </c>
      <c r="L147" s="55">
        <v>13</v>
      </c>
      <c r="M147" s="104">
        <v>0.95</v>
      </c>
      <c r="N147" s="105">
        <v>18</v>
      </c>
      <c r="O147" s="100">
        <v>1</v>
      </c>
      <c r="P147" s="55">
        <v>15</v>
      </c>
      <c r="Q147" s="100">
        <v>7</v>
      </c>
      <c r="R147" s="55">
        <v>4</v>
      </c>
      <c r="S147" s="106">
        <v>0</v>
      </c>
      <c r="T147" s="93" t="s">
        <v>615</v>
      </c>
    </row>
    <row r="148" spans="1:20" x14ac:dyDescent="0.25">
      <c r="A148" s="117">
        <v>540249</v>
      </c>
      <c r="B148" s="100" t="s">
        <v>616</v>
      </c>
      <c r="C148" s="100" t="s">
        <v>295</v>
      </c>
      <c r="D148" s="101" t="s">
        <v>612</v>
      </c>
      <c r="E148" s="100" t="s">
        <v>49</v>
      </c>
      <c r="F148" s="100" t="s">
        <v>613</v>
      </c>
      <c r="G148" s="100">
        <v>3</v>
      </c>
      <c r="H148" s="93">
        <v>12</v>
      </c>
      <c r="I148" s="102">
        <v>100399</v>
      </c>
      <c r="J148" s="103">
        <f>RANK(I148,I$2:$I$284)</f>
        <v>164</v>
      </c>
      <c r="K148" s="93">
        <v>11</v>
      </c>
      <c r="L148" s="55">
        <v>5</v>
      </c>
      <c r="M148" s="104">
        <v>0.94</v>
      </c>
      <c r="N148" s="105">
        <v>17</v>
      </c>
      <c r="O148" s="100">
        <v>5</v>
      </c>
      <c r="P148" s="55">
        <v>5</v>
      </c>
      <c r="Q148" s="100">
        <v>4</v>
      </c>
      <c r="R148" s="55">
        <v>7</v>
      </c>
      <c r="S148" s="106">
        <v>0</v>
      </c>
      <c r="T148" s="93" t="s">
        <v>615</v>
      </c>
    </row>
    <row r="149" spans="1:20" x14ac:dyDescent="0.25">
      <c r="A149" s="117">
        <v>540077</v>
      </c>
      <c r="B149" s="100" t="s">
        <v>616</v>
      </c>
      <c r="C149" s="100" t="s">
        <v>172</v>
      </c>
      <c r="D149" s="101" t="s">
        <v>612</v>
      </c>
      <c r="E149" s="100" t="s">
        <v>39</v>
      </c>
      <c r="F149" s="100" t="s">
        <v>613</v>
      </c>
      <c r="G149" s="100">
        <v>3</v>
      </c>
      <c r="H149" s="93">
        <v>16</v>
      </c>
      <c r="I149" s="102">
        <v>0</v>
      </c>
      <c r="J149" s="103">
        <f>RANK(I149,I$2:$I$284)</f>
        <v>248</v>
      </c>
      <c r="K149" s="93">
        <v>0</v>
      </c>
      <c r="L149" s="55">
        <v>0</v>
      </c>
      <c r="M149" s="104">
        <v>0.83</v>
      </c>
      <c r="N149" s="105">
        <v>15</v>
      </c>
      <c r="O149" s="100">
        <v>7</v>
      </c>
      <c r="P149" s="55">
        <v>0</v>
      </c>
      <c r="Q149" s="100">
        <v>169</v>
      </c>
      <c r="R149" s="55">
        <v>5</v>
      </c>
      <c r="S149" s="106">
        <v>0</v>
      </c>
      <c r="T149" s="93" t="s">
        <v>615</v>
      </c>
    </row>
    <row r="150" spans="1:20" x14ac:dyDescent="0.25">
      <c r="A150" s="117">
        <v>540101</v>
      </c>
      <c r="B150" s="100" t="s">
        <v>616</v>
      </c>
      <c r="C150" s="100" t="s">
        <v>190</v>
      </c>
      <c r="D150" s="101" t="s">
        <v>612</v>
      </c>
      <c r="E150" s="100" t="s">
        <v>45</v>
      </c>
      <c r="F150" s="100" t="s">
        <v>613</v>
      </c>
      <c r="G150" s="100">
        <v>3</v>
      </c>
      <c r="H150" s="93">
        <v>11</v>
      </c>
      <c r="I150" s="102">
        <v>169251</v>
      </c>
      <c r="J150" s="103">
        <f>RANK(I150,I$2:$I$284)</f>
        <v>144</v>
      </c>
      <c r="K150" s="93">
        <v>18</v>
      </c>
      <c r="L150" s="55">
        <v>0</v>
      </c>
      <c r="M150" s="104">
        <v>0.86</v>
      </c>
      <c r="N150" s="105">
        <v>15</v>
      </c>
      <c r="O150" s="100">
        <v>5</v>
      </c>
      <c r="P150" s="55">
        <v>3</v>
      </c>
      <c r="Q150" s="100">
        <v>15</v>
      </c>
      <c r="R150" s="55">
        <v>7</v>
      </c>
      <c r="S150" s="106">
        <v>0</v>
      </c>
      <c r="T150" s="93" t="s">
        <v>615</v>
      </c>
    </row>
    <row r="151" spans="1:20" x14ac:dyDescent="0.25">
      <c r="A151" s="117">
        <v>540193</v>
      </c>
      <c r="B151" s="100" t="s">
        <v>616</v>
      </c>
      <c r="C151" s="100" t="s">
        <v>342</v>
      </c>
      <c r="D151" s="101" t="s">
        <v>612</v>
      </c>
      <c r="E151" s="100" t="s">
        <v>113</v>
      </c>
      <c r="F151" s="100" t="s">
        <v>613</v>
      </c>
      <c r="G151" s="100">
        <v>3</v>
      </c>
      <c r="H151" s="93">
        <v>13</v>
      </c>
      <c r="I151" s="102">
        <v>281786</v>
      </c>
      <c r="J151" s="103">
        <f>RANK(I151,I$2:$I$284)</f>
        <v>122</v>
      </c>
      <c r="K151" s="93">
        <v>30</v>
      </c>
      <c r="L151" s="55">
        <v>4</v>
      </c>
      <c r="M151" s="104">
        <v>0.73</v>
      </c>
      <c r="N151" s="105">
        <v>15</v>
      </c>
      <c r="O151" s="100">
        <v>5</v>
      </c>
      <c r="P151" s="55">
        <v>11</v>
      </c>
      <c r="Q151" s="100">
        <v>53</v>
      </c>
      <c r="R151" s="55">
        <v>1</v>
      </c>
      <c r="S151" s="106">
        <v>0</v>
      </c>
      <c r="T151" s="93" t="s">
        <v>615</v>
      </c>
    </row>
    <row r="152" spans="1:20" x14ac:dyDescent="0.25">
      <c r="A152" s="117">
        <v>540231</v>
      </c>
      <c r="B152" s="100" t="s">
        <v>616</v>
      </c>
      <c r="C152" s="100" t="s">
        <v>281</v>
      </c>
      <c r="D152" s="101" t="s">
        <v>612</v>
      </c>
      <c r="E152" s="100" t="s">
        <v>85</v>
      </c>
      <c r="F152" s="100" t="s">
        <v>613</v>
      </c>
      <c r="G152" s="100">
        <v>3</v>
      </c>
      <c r="H152" s="93">
        <v>16</v>
      </c>
      <c r="I152" s="102">
        <v>199384</v>
      </c>
      <c r="J152" s="103">
        <f>RANK(I152,I$2:$I$284)</f>
        <v>136</v>
      </c>
      <c r="K152" s="93">
        <v>15</v>
      </c>
      <c r="L152" s="55">
        <v>0</v>
      </c>
      <c r="M152" s="104">
        <v>0.94</v>
      </c>
      <c r="N152" s="105">
        <v>14</v>
      </c>
      <c r="O152" s="100">
        <v>8</v>
      </c>
      <c r="P152" s="55">
        <v>2</v>
      </c>
      <c r="Q152" s="100">
        <v>18</v>
      </c>
      <c r="R152" s="55">
        <v>7</v>
      </c>
      <c r="S152" s="106">
        <v>0</v>
      </c>
      <c r="T152" s="93" t="s">
        <v>615</v>
      </c>
    </row>
    <row r="153" spans="1:20" x14ac:dyDescent="0.25">
      <c r="A153" s="117">
        <v>540256</v>
      </c>
      <c r="B153" s="100" t="s">
        <v>616</v>
      </c>
      <c r="C153" s="100" t="s">
        <v>301</v>
      </c>
      <c r="D153" s="101" t="s">
        <v>612</v>
      </c>
      <c r="E153" s="100" t="s">
        <v>89</v>
      </c>
      <c r="F153" s="100" t="s">
        <v>613</v>
      </c>
      <c r="G153" s="100">
        <v>3</v>
      </c>
      <c r="H153" s="93">
        <v>16</v>
      </c>
      <c r="I153" s="102">
        <v>237994</v>
      </c>
      <c r="J153" s="103">
        <f>RANK(I153,I$2:$I$284)</f>
        <v>130</v>
      </c>
      <c r="K153" s="93">
        <v>12</v>
      </c>
      <c r="L153" s="55">
        <v>0</v>
      </c>
      <c r="M153" s="104">
        <v>0.87</v>
      </c>
      <c r="N153" s="105">
        <v>14</v>
      </c>
      <c r="O153" s="100">
        <v>8</v>
      </c>
      <c r="P153" s="55">
        <v>2</v>
      </c>
      <c r="Q153" s="100">
        <v>15</v>
      </c>
      <c r="R153" s="55">
        <v>2</v>
      </c>
      <c r="S153" s="106">
        <v>0</v>
      </c>
      <c r="T153" s="93" t="s">
        <v>615</v>
      </c>
    </row>
    <row r="154" spans="1:20" x14ac:dyDescent="0.25">
      <c r="A154" s="117">
        <v>540117</v>
      </c>
      <c r="B154" s="100" t="s">
        <v>616</v>
      </c>
      <c r="C154" s="100" t="s">
        <v>203</v>
      </c>
      <c r="D154" s="101" t="s">
        <v>612</v>
      </c>
      <c r="E154" s="100" t="s">
        <v>51</v>
      </c>
      <c r="F154" s="100" t="s">
        <v>613</v>
      </c>
      <c r="G154" s="100">
        <v>3</v>
      </c>
      <c r="H154" s="93">
        <v>13</v>
      </c>
      <c r="I154" s="102">
        <v>107171</v>
      </c>
      <c r="J154" s="103">
        <f>RANK(I154,I$2:$I$284)</f>
        <v>162</v>
      </c>
      <c r="K154" s="93">
        <v>25</v>
      </c>
      <c r="L154" s="55">
        <v>0</v>
      </c>
      <c r="M154" s="104">
        <v>0.91</v>
      </c>
      <c r="N154" s="105">
        <v>14</v>
      </c>
      <c r="O154" s="100">
        <v>7</v>
      </c>
      <c r="P154" s="55">
        <v>3</v>
      </c>
      <c r="Q154" s="100">
        <v>202</v>
      </c>
      <c r="R154" s="55">
        <v>3</v>
      </c>
      <c r="S154" s="106">
        <v>0</v>
      </c>
      <c r="T154" s="93" t="s">
        <v>615</v>
      </c>
    </row>
    <row r="155" spans="1:20" x14ac:dyDescent="0.25">
      <c r="A155" s="117">
        <v>540156</v>
      </c>
      <c r="B155" s="100" t="s">
        <v>616</v>
      </c>
      <c r="C155" s="100" t="s">
        <v>232</v>
      </c>
      <c r="D155" s="101" t="s">
        <v>612</v>
      </c>
      <c r="E155" s="100" t="s">
        <v>99</v>
      </c>
      <c r="F155" s="100" t="s">
        <v>613</v>
      </c>
      <c r="G155" s="100">
        <v>3</v>
      </c>
      <c r="H155" s="93">
        <v>8</v>
      </c>
      <c r="I155" s="102">
        <v>123680</v>
      </c>
      <c r="J155" s="103">
        <f>RANK(I155,I$2:$I$284)</f>
        <v>156</v>
      </c>
      <c r="K155" s="93">
        <v>10</v>
      </c>
      <c r="L155" s="55">
        <v>0</v>
      </c>
      <c r="M155" s="104">
        <v>0.92999999999999994</v>
      </c>
      <c r="N155" s="105">
        <v>14</v>
      </c>
      <c r="O155" s="100">
        <v>7</v>
      </c>
      <c r="P155" s="55">
        <v>2</v>
      </c>
      <c r="Q155" s="100">
        <v>0</v>
      </c>
      <c r="R155" s="55">
        <v>2</v>
      </c>
      <c r="S155" s="106">
        <v>0</v>
      </c>
      <c r="T155" s="93" t="s">
        <v>615</v>
      </c>
    </row>
    <row r="156" spans="1:20" x14ac:dyDescent="0.25">
      <c r="A156" s="117">
        <v>540187</v>
      </c>
      <c r="B156" s="100" t="s">
        <v>616</v>
      </c>
      <c r="C156" s="100" t="s">
        <v>255</v>
      </c>
      <c r="D156" s="101" t="s">
        <v>612</v>
      </c>
      <c r="E156" s="100" t="s">
        <v>79</v>
      </c>
      <c r="F156" s="100" t="s">
        <v>613</v>
      </c>
      <c r="G156" s="100">
        <v>3</v>
      </c>
      <c r="H156" s="93">
        <v>11</v>
      </c>
      <c r="I156" s="102">
        <v>299331</v>
      </c>
      <c r="J156" s="103">
        <f>RANK(I156,I$2:$I$284)</f>
        <v>116</v>
      </c>
      <c r="K156" s="93">
        <v>22</v>
      </c>
      <c r="L156" s="55">
        <v>0</v>
      </c>
      <c r="M156" s="104">
        <v>0.84</v>
      </c>
      <c r="N156" s="105">
        <v>14</v>
      </c>
      <c r="O156" s="100">
        <v>4</v>
      </c>
      <c r="P156" s="55">
        <v>3</v>
      </c>
      <c r="Q156" s="100">
        <v>21</v>
      </c>
      <c r="R156" s="55">
        <v>5</v>
      </c>
      <c r="S156" s="106">
        <v>0</v>
      </c>
      <c r="T156" s="93" t="s">
        <v>615</v>
      </c>
    </row>
    <row r="157" spans="1:20" x14ac:dyDescent="0.25">
      <c r="A157" s="117">
        <v>545538</v>
      </c>
      <c r="B157" s="100" t="s">
        <v>616</v>
      </c>
      <c r="C157" s="100" t="s">
        <v>334</v>
      </c>
      <c r="D157" s="101" t="s">
        <v>612</v>
      </c>
      <c r="E157" s="100" t="s">
        <v>57</v>
      </c>
      <c r="F157" s="100" t="s">
        <v>613</v>
      </c>
      <c r="G157" s="100">
        <v>3</v>
      </c>
      <c r="H157" s="93">
        <v>17</v>
      </c>
      <c r="I157" s="102">
        <v>2617150</v>
      </c>
      <c r="J157" s="103">
        <f>RANK(I157,I$2:$I$284)</f>
        <v>33</v>
      </c>
      <c r="K157" s="93">
        <v>138</v>
      </c>
      <c r="L157" s="55">
        <v>0</v>
      </c>
      <c r="M157" s="104">
        <v>0.91</v>
      </c>
      <c r="N157" s="105">
        <v>14</v>
      </c>
      <c r="O157" s="100">
        <v>3</v>
      </c>
      <c r="P157" s="55">
        <v>3</v>
      </c>
      <c r="Q157" s="100">
        <v>11</v>
      </c>
      <c r="R157" s="55">
        <v>6</v>
      </c>
      <c r="S157" s="106">
        <v>0</v>
      </c>
      <c r="T157" s="93" t="s">
        <v>615</v>
      </c>
    </row>
    <row r="158" spans="1:20" x14ac:dyDescent="0.25">
      <c r="A158" s="117">
        <v>540286</v>
      </c>
      <c r="B158" s="100" t="s">
        <v>616</v>
      </c>
      <c r="C158" s="100" t="s">
        <v>325</v>
      </c>
      <c r="D158" s="101" t="s">
        <v>612</v>
      </c>
      <c r="E158" s="100" t="s">
        <v>73</v>
      </c>
      <c r="F158" s="100" t="s">
        <v>613</v>
      </c>
      <c r="G158" s="100">
        <v>3</v>
      </c>
      <c r="H158" s="93">
        <v>13</v>
      </c>
      <c r="I158" s="102">
        <v>1109842</v>
      </c>
      <c r="J158" s="103">
        <f>RANK(I158,I$2:$I$284)</f>
        <v>70</v>
      </c>
      <c r="K158" s="93">
        <v>42</v>
      </c>
      <c r="L158" s="55">
        <v>0</v>
      </c>
      <c r="M158" s="104">
        <v>0.92999999999999994</v>
      </c>
      <c r="N158" s="105">
        <v>14</v>
      </c>
      <c r="O158" s="100">
        <v>3</v>
      </c>
      <c r="P158" s="55">
        <v>19</v>
      </c>
      <c r="Q158" s="100">
        <v>55</v>
      </c>
      <c r="R158" s="55">
        <v>0</v>
      </c>
      <c r="S158" s="106">
        <v>0</v>
      </c>
      <c r="T158" s="93" t="s">
        <v>615</v>
      </c>
    </row>
    <row r="159" spans="1:20" x14ac:dyDescent="0.25">
      <c r="A159" s="117">
        <v>540099</v>
      </c>
      <c r="B159" s="100" t="s">
        <v>616</v>
      </c>
      <c r="C159" s="100" t="s">
        <v>188</v>
      </c>
      <c r="D159" s="101" t="s">
        <v>612</v>
      </c>
      <c r="E159" s="100" t="s">
        <v>45</v>
      </c>
      <c r="F159" s="100" t="s">
        <v>613</v>
      </c>
      <c r="G159" s="100">
        <v>3</v>
      </c>
      <c r="H159" s="93">
        <v>11</v>
      </c>
      <c r="I159" s="102">
        <v>398630</v>
      </c>
      <c r="J159" s="103">
        <f>RANK(I159,I$2:$I$284)</f>
        <v>108</v>
      </c>
      <c r="K159" s="93">
        <v>56</v>
      </c>
      <c r="L159" s="55">
        <v>7</v>
      </c>
      <c r="M159" s="104">
        <v>0.86</v>
      </c>
      <c r="N159" s="105">
        <v>14</v>
      </c>
      <c r="O159" s="100">
        <v>2</v>
      </c>
      <c r="P159" s="55">
        <v>20</v>
      </c>
      <c r="Q159" s="100">
        <v>15</v>
      </c>
      <c r="R159" s="55">
        <v>11</v>
      </c>
      <c r="S159" s="106">
        <v>0</v>
      </c>
      <c r="T159" s="93" t="s">
        <v>615</v>
      </c>
    </row>
    <row r="160" spans="1:20" x14ac:dyDescent="0.25">
      <c r="A160" s="117">
        <v>540163</v>
      </c>
      <c r="B160" s="100" t="s">
        <v>616</v>
      </c>
      <c r="C160" s="100" t="s">
        <v>237</v>
      </c>
      <c r="D160" s="101" t="s">
        <v>612</v>
      </c>
      <c r="E160" s="100" t="s">
        <v>69</v>
      </c>
      <c r="F160" s="100" t="s">
        <v>613</v>
      </c>
      <c r="G160" s="100">
        <v>3</v>
      </c>
      <c r="H160" s="93">
        <v>11</v>
      </c>
      <c r="I160" s="102">
        <v>385170</v>
      </c>
      <c r="J160" s="103">
        <f>RANK(I160,I$2:$I$284)</f>
        <v>109</v>
      </c>
      <c r="K160" s="93">
        <v>33</v>
      </c>
      <c r="L160" s="55">
        <v>6</v>
      </c>
      <c r="M160" s="104">
        <v>0.9</v>
      </c>
      <c r="N160" s="105">
        <v>14</v>
      </c>
      <c r="O160" s="100">
        <v>1</v>
      </c>
      <c r="P160" s="55">
        <v>13</v>
      </c>
      <c r="Q160" s="100">
        <v>1</v>
      </c>
      <c r="R160" s="55">
        <v>2</v>
      </c>
      <c r="S160" s="106">
        <v>0</v>
      </c>
      <c r="T160" s="93" t="s">
        <v>615</v>
      </c>
    </row>
    <row r="161" spans="1:20" x14ac:dyDescent="0.25">
      <c r="A161" s="117">
        <v>540013</v>
      </c>
      <c r="B161" s="100" t="s">
        <v>616</v>
      </c>
      <c r="C161" s="100" t="s">
        <v>123</v>
      </c>
      <c r="D161" s="101" t="s">
        <v>612</v>
      </c>
      <c r="E161" s="100" t="s">
        <v>11</v>
      </c>
      <c r="F161" s="100" t="s">
        <v>613</v>
      </c>
      <c r="G161" s="100">
        <v>3</v>
      </c>
      <c r="H161" s="93">
        <v>8</v>
      </c>
      <c r="I161" s="102">
        <v>715067</v>
      </c>
      <c r="J161" s="103">
        <f>RANK(I161,I$2:$I$284)</f>
        <v>82</v>
      </c>
      <c r="K161" s="93">
        <v>23</v>
      </c>
      <c r="L161" s="55">
        <v>0</v>
      </c>
      <c r="M161" s="104">
        <v>0.8</v>
      </c>
      <c r="N161" s="105">
        <v>13</v>
      </c>
      <c r="O161" s="100">
        <v>5</v>
      </c>
      <c r="P161" s="55">
        <v>0</v>
      </c>
      <c r="Q161" s="100">
        <v>18</v>
      </c>
      <c r="R161" s="55">
        <v>3</v>
      </c>
      <c r="S161" s="106">
        <v>0</v>
      </c>
      <c r="T161" s="93" t="s">
        <v>615</v>
      </c>
    </row>
    <row r="162" spans="1:20" x14ac:dyDescent="0.25">
      <c r="A162" s="117">
        <v>540242</v>
      </c>
      <c r="B162" s="100" t="s">
        <v>616</v>
      </c>
      <c r="C162" s="100" t="s">
        <v>289</v>
      </c>
      <c r="D162" s="101" t="s">
        <v>612</v>
      </c>
      <c r="E162" s="100" t="s">
        <v>33</v>
      </c>
      <c r="F162" s="100" t="s">
        <v>613</v>
      </c>
      <c r="G162" s="100">
        <v>3</v>
      </c>
      <c r="H162" s="93">
        <v>13</v>
      </c>
      <c r="I162" s="102">
        <v>202527</v>
      </c>
      <c r="J162" s="103">
        <f>RANK(I162,I$2:$I$284)</f>
        <v>135</v>
      </c>
      <c r="K162" s="93">
        <v>22</v>
      </c>
      <c r="L162" s="55">
        <v>9</v>
      </c>
      <c r="M162" s="104">
        <v>0.9</v>
      </c>
      <c r="N162" s="105">
        <v>13</v>
      </c>
      <c r="O162" s="100">
        <v>3</v>
      </c>
      <c r="P162" s="55">
        <v>11</v>
      </c>
      <c r="Q162" s="100">
        <v>26</v>
      </c>
      <c r="R162" s="55">
        <v>5</v>
      </c>
      <c r="S162" s="106">
        <v>0</v>
      </c>
      <c r="T162" s="93" t="s">
        <v>615</v>
      </c>
    </row>
    <row r="163" spans="1:20" x14ac:dyDescent="0.25">
      <c r="A163" s="117">
        <v>540066</v>
      </c>
      <c r="B163" s="100" t="s">
        <v>616</v>
      </c>
      <c r="C163" s="100" t="s">
        <v>162</v>
      </c>
      <c r="D163" s="101" t="s">
        <v>612</v>
      </c>
      <c r="E163" s="100" t="s">
        <v>37</v>
      </c>
      <c r="F163" s="100" t="s">
        <v>613</v>
      </c>
      <c r="G163" s="100">
        <v>3</v>
      </c>
      <c r="H163" s="93">
        <v>8</v>
      </c>
      <c r="I163" s="102">
        <v>30848</v>
      </c>
      <c r="J163" s="103">
        <f>RANK(I163,I$2:$I$284)</f>
        <v>201</v>
      </c>
      <c r="K163" s="93">
        <v>3</v>
      </c>
      <c r="L163" s="55">
        <v>0</v>
      </c>
      <c r="M163" s="104">
        <v>0.82000000000000006</v>
      </c>
      <c r="N163" s="105">
        <v>13</v>
      </c>
      <c r="O163" s="100">
        <v>1</v>
      </c>
      <c r="P163" s="55">
        <v>0</v>
      </c>
      <c r="Q163" s="100">
        <v>6</v>
      </c>
      <c r="R163" s="55">
        <v>16</v>
      </c>
      <c r="S163" s="106">
        <v>0</v>
      </c>
      <c r="T163" s="93" t="s">
        <v>615</v>
      </c>
    </row>
    <row r="164" spans="1:20" x14ac:dyDescent="0.25">
      <c r="A164" s="117">
        <v>540170</v>
      </c>
      <c r="B164" s="100" t="s">
        <v>616</v>
      </c>
      <c r="C164" s="100" t="s">
        <v>242</v>
      </c>
      <c r="D164" s="101" t="s">
        <v>612</v>
      </c>
      <c r="E164" s="100" t="s">
        <v>73</v>
      </c>
      <c r="F164" s="100" t="s">
        <v>613</v>
      </c>
      <c r="G164" s="100">
        <v>3</v>
      </c>
      <c r="H164" s="93">
        <v>13</v>
      </c>
      <c r="I164" s="102">
        <v>289318</v>
      </c>
      <c r="J164" s="103">
        <f>RANK(I164,I$2:$I$284)</f>
        <v>120</v>
      </c>
      <c r="K164" s="93">
        <v>27</v>
      </c>
      <c r="L164" s="55">
        <v>7</v>
      </c>
      <c r="M164" s="104">
        <v>0.92999999999999994</v>
      </c>
      <c r="N164" s="105">
        <v>13</v>
      </c>
      <c r="O164" s="100">
        <v>1</v>
      </c>
      <c r="P164" s="55">
        <v>9</v>
      </c>
      <c r="Q164" s="100">
        <v>55</v>
      </c>
      <c r="R164" s="55">
        <v>12</v>
      </c>
      <c r="S164" s="106">
        <v>0</v>
      </c>
      <c r="T164" s="93" t="s">
        <v>615</v>
      </c>
    </row>
    <row r="165" spans="1:20" x14ac:dyDescent="0.25">
      <c r="A165" s="117">
        <v>540250</v>
      </c>
      <c r="B165" s="100" t="s">
        <v>616</v>
      </c>
      <c r="C165" s="100" t="s">
        <v>296</v>
      </c>
      <c r="D165" s="101" t="s">
        <v>612</v>
      </c>
      <c r="E165" s="100" t="s">
        <v>49</v>
      </c>
      <c r="F165" s="100" t="s">
        <v>613</v>
      </c>
      <c r="G165" s="100">
        <v>3</v>
      </c>
      <c r="H165" s="93">
        <v>12</v>
      </c>
      <c r="I165" s="102">
        <v>148008</v>
      </c>
      <c r="J165" s="103">
        <f>RANK(I165,I$2:$I$284)</f>
        <v>149</v>
      </c>
      <c r="K165" s="93">
        <v>31</v>
      </c>
      <c r="L165" s="55">
        <v>7</v>
      </c>
      <c r="M165" s="104">
        <v>0.94</v>
      </c>
      <c r="N165" s="105">
        <v>12</v>
      </c>
      <c r="O165" s="100">
        <v>2</v>
      </c>
      <c r="P165" s="55">
        <v>9</v>
      </c>
      <c r="Q165" s="100">
        <v>4</v>
      </c>
      <c r="R165" s="55">
        <v>2</v>
      </c>
      <c r="S165" s="106">
        <v>0</v>
      </c>
      <c r="T165" s="93" t="s">
        <v>615</v>
      </c>
    </row>
    <row r="166" spans="1:20" x14ac:dyDescent="0.25">
      <c r="A166" s="117">
        <v>540151</v>
      </c>
      <c r="B166" s="100" t="s">
        <v>616</v>
      </c>
      <c r="C166" s="100" t="s">
        <v>228</v>
      </c>
      <c r="D166" s="101" t="s">
        <v>612</v>
      </c>
      <c r="E166" s="100" t="s">
        <v>65</v>
      </c>
      <c r="F166" s="100" t="s">
        <v>613</v>
      </c>
      <c r="G166" s="100">
        <v>3</v>
      </c>
      <c r="H166" s="93">
        <v>10</v>
      </c>
      <c r="I166" s="102">
        <v>20980</v>
      </c>
      <c r="J166" s="103">
        <f>RANK(I166,I$2:$I$284)</f>
        <v>211</v>
      </c>
      <c r="K166" s="93">
        <v>6</v>
      </c>
      <c r="L166" s="55">
        <v>0</v>
      </c>
      <c r="M166" s="104">
        <v>0.81</v>
      </c>
      <c r="N166" s="105">
        <v>11</v>
      </c>
      <c r="O166" s="100">
        <v>9</v>
      </c>
      <c r="P166" s="55">
        <v>0</v>
      </c>
      <c r="Q166" s="100">
        <v>6</v>
      </c>
      <c r="R166" s="55">
        <v>5</v>
      </c>
      <c r="S166" s="106">
        <v>0</v>
      </c>
      <c r="T166" s="93" t="s">
        <v>615</v>
      </c>
    </row>
    <row r="167" spans="1:20" x14ac:dyDescent="0.25">
      <c r="A167" s="117">
        <v>540197</v>
      </c>
      <c r="B167" s="100" t="s">
        <v>616</v>
      </c>
      <c r="C167" s="100" t="s">
        <v>260</v>
      </c>
      <c r="D167" s="101" t="s">
        <v>612</v>
      </c>
      <c r="E167" s="100" t="s">
        <v>103</v>
      </c>
      <c r="F167" s="100" t="s">
        <v>613</v>
      </c>
      <c r="G167" s="100">
        <v>3</v>
      </c>
      <c r="H167" s="93">
        <v>14</v>
      </c>
      <c r="I167" s="102">
        <v>83063</v>
      </c>
      <c r="J167" s="103">
        <f>RANK(I167,I$2:$I$284)</f>
        <v>172</v>
      </c>
      <c r="K167" s="93">
        <v>17</v>
      </c>
      <c r="L167" s="55">
        <v>4</v>
      </c>
      <c r="M167" s="104">
        <v>0.92999999999999994</v>
      </c>
      <c r="N167" s="105">
        <v>11</v>
      </c>
      <c r="O167" s="100">
        <v>8</v>
      </c>
      <c r="P167" s="55">
        <v>4</v>
      </c>
      <c r="Q167" s="100">
        <v>0</v>
      </c>
      <c r="R167" s="55">
        <v>5</v>
      </c>
      <c r="S167" s="106">
        <v>0</v>
      </c>
      <c r="T167" s="93" t="s">
        <v>615</v>
      </c>
    </row>
    <row r="168" spans="1:20" x14ac:dyDescent="0.25">
      <c r="A168" s="117">
        <v>540118</v>
      </c>
      <c r="B168" s="100" t="s">
        <v>616</v>
      </c>
      <c r="C168" s="100" t="s">
        <v>204</v>
      </c>
      <c r="D168" s="101" t="s">
        <v>612</v>
      </c>
      <c r="E168" s="100" t="s">
        <v>51</v>
      </c>
      <c r="F168" s="100" t="s">
        <v>613</v>
      </c>
      <c r="G168" s="100">
        <v>3</v>
      </c>
      <c r="H168" s="93">
        <v>13</v>
      </c>
      <c r="I168" s="102">
        <v>246746</v>
      </c>
      <c r="J168" s="103">
        <f>RANK(I168,I$2:$I$284)</f>
        <v>129</v>
      </c>
      <c r="K168" s="93">
        <v>27</v>
      </c>
      <c r="L168" s="55">
        <v>0</v>
      </c>
      <c r="M168" s="104">
        <v>0.91</v>
      </c>
      <c r="N168" s="105">
        <v>11</v>
      </c>
      <c r="O168" s="100">
        <v>3</v>
      </c>
      <c r="P168" s="55">
        <v>5</v>
      </c>
      <c r="Q168" s="100">
        <v>202</v>
      </c>
      <c r="R168" s="55">
        <v>0</v>
      </c>
      <c r="S168" s="106">
        <v>0</v>
      </c>
      <c r="T168" s="93" t="s">
        <v>615</v>
      </c>
    </row>
    <row r="169" spans="1:20" x14ac:dyDescent="0.25">
      <c r="A169" s="117">
        <v>540135</v>
      </c>
      <c r="B169" s="100" t="s">
        <v>616</v>
      </c>
      <c r="C169" s="100" t="s">
        <v>218</v>
      </c>
      <c r="D169" s="101" t="s">
        <v>612</v>
      </c>
      <c r="E169" s="100" t="s">
        <v>57</v>
      </c>
      <c r="F169" s="100" t="s">
        <v>613</v>
      </c>
      <c r="G169" s="100">
        <v>3</v>
      </c>
      <c r="H169" s="93">
        <v>17</v>
      </c>
      <c r="I169" s="102">
        <v>2229470</v>
      </c>
      <c r="J169" s="103">
        <f>RANK(I169,I$2:$I$284)</f>
        <v>41</v>
      </c>
      <c r="K169" s="93">
        <v>48</v>
      </c>
      <c r="L169" s="55">
        <v>12</v>
      </c>
      <c r="M169" s="104">
        <v>0.91</v>
      </c>
      <c r="N169" s="105">
        <v>11</v>
      </c>
      <c r="O169" s="100">
        <v>1</v>
      </c>
      <c r="P169" s="55">
        <v>12</v>
      </c>
      <c r="Q169" s="100">
        <v>11</v>
      </c>
      <c r="R169" s="55">
        <v>1</v>
      </c>
      <c r="S169" s="106">
        <v>0</v>
      </c>
      <c r="T169" s="93" t="s">
        <v>615</v>
      </c>
    </row>
    <row r="170" spans="1:20" x14ac:dyDescent="0.25">
      <c r="A170" s="117">
        <v>540154</v>
      </c>
      <c r="B170" s="100" t="s">
        <v>616</v>
      </c>
      <c r="C170" s="100" t="s">
        <v>230</v>
      </c>
      <c r="D170" s="101" t="s">
        <v>612</v>
      </c>
      <c r="E170" s="100" t="s">
        <v>67</v>
      </c>
      <c r="F170" s="100" t="s">
        <v>613</v>
      </c>
      <c r="G170" s="100">
        <v>3</v>
      </c>
      <c r="H170" s="93">
        <v>11</v>
      </c>
      <c r="I170" s="102">
        <v>44470</v>
      </c>
      <c r="J170" s="103">
        <f>RANK(I170,I$2:$I$284)</f>
        <v>191</v>
      </c>
      <c r="K170" s="93">
        <v>6</v>
      </c>
      <c r="L170" s="55">
        <v>0</v>
      </c>
      <c r="M170" s="104">
        <v>0.92</v>
      </c>
      <c r="N170" s="105">
        <v>11</v>
      </c>
      <c r="O170" s="100">
        <v>1</v>
      </c>
      <c r="P170" s="55">
        <v>0</v>
      </c>
      <c r="Q170" s="100">
        <v>0</v>
      </c>
      <c r="R170" s="55">
        <v>3</v>
      </c>
      <c r="S170" s="106">
        <v>0</v>
      </c>
      <c r="T170" s="93" t="s">
        <v>615</v>
      </c>
    </row>
    <row r="171" spans="1:20" x14ac:dyDescent="0.25">
      <c r="A171" s="117">
        <v>540221</v>
      </c>
      <c r="B171" s="100" t="s">
        <v>616</v>
      </c>
      <c r="C171" s="100" t="s">
        <v>275</v>
      </c>
      <c r="D171" s="101" t="s">
        <v>612</v>
      </c>
      <c r="E171" s="100" t="s">
        <v>85</v>
      </c>
      <c r="F171" s="100" t="s">
        <v>613</v>
      </c>
      <c r="G171" s="100">
        <v>3</v>
      </c>
      <c r="H171" s="93">
        <v>16</v>
      </c>
      <c r="I171" s="102">
        <v>0</v>
      </c>
      <c r="J171" s="103">
        <f>RANK(I171,I$2:$I$284)</f>
        <v>248</v>
      </c>
      <c r="K171" s="93">
        <v>1</v>
      </c>
      <c r="L171" s="55">
        <v>0</v>
      </c>
      <c r="M171" s="104">
        <v>0.94</v>
      </c>
      <c r="N171" s="105">
        <v>11</v>
      </c>
      <c r="O171" s="100">
        <v>1</v>
      </c>
      <c r="P171" s="55">
        <v>0</v>
      </c>
      <c r="Q171" s="100">
        <v>18</v>
      </c>
      <c r="R171" s="55">
        <v>3</v>
      </c>
      <c r="S171" s="106">
        <v>0</v>
      </c>
      <c r="T171" s="93" t="s">
        <v>615</v>
      </c>
    </row>
    <row r="172" spans="1:20" x14ac:dyDescent="0.25">
      <c r="A172" s="117">
        <v>540167</v>
      </c>
      <c r="B172" s="100" t="s">
        <v>616</v>
      </c>
      <c r="C172" s="100" t="s">
        <v>240</v>
      </c>
      <c r="D172" s="101" t="s">
        <v>612</v>
      </c>
      <c r="E172" s="100" t="s">
        <v>71</v>
      </c>
      <c r="F172" s="100" t="s">
        <v>613</v>
      </c>
      <c r="G172" s="100">
        <v>3</v>
      </c>
      <c r="H172" s="93">
        <v>12</v>
      </c>
      <c r="I172" s="102">
        <v>323812</v>
      </c>
      <c r="J172" s="103">
        <f>RANK(I172,I$2:$I$284)</f>
        <v>115</v>
      </c>
      <c r="K172" s="93">
        <v>16</v>
      </c>
      <c r="L172" s="55">
        <v>7</v>
      </c>
      <c r="M172" s="104">
        <v>0.86</v>
      </c>
      <c r="N172" s="105">
        <v>11</v>
      </c>
      <c r="O172" s="100">
        <v>0</v>
      </c>
      <c r="P172" s="55">
        <v>7</v>
      </c>
      <c r="Q172" s="100">
        <v>10</v>
      </c>
      <c r="R172" s="55">
        <v>24</v>
      </c>
      <c r="S172" s="106">
        <v>0</v>
      </c>
      <c r="T172" s="93" t="s">
        <v>615</v>
      </c>
    </row>
    <row r="173" spans="1:20" x14ac:dyDescent="0.25">
      <c r="A173" s="117">
        <v>540165</v>
      </c>
      <c r="B173" s="100" t="s">
        <v>616</v>
      </c>
      <c r="C173" s="100" t="s">
        <v>238</v>
      </c>
      <c r="D173" s="101" t="s">
        <v>612</v>
      </c>
      <c r="E173" s="100" t="s">
        <v>71</v>
      </c>
      <c r="F173" s="100" t="s">
        <v>613</v>
      </c>
      <c r="G173" s="100">
        <v>3</v>
      </c>
      <c r="H173" s="93">
        <v>12</v>
      </c>
      <c r="I173" s="102">
        <v>14398</v>
      </c>
      <c r="J173" s="103">
        <f>RANK(I173,I$2:$I$284)</f>
        <v>218</v>
      </c>
      <c r="K173" s="93">
        <v>1</v>
      </c>
      <c r="L173" s="55">
        <v>0</v>
      </c>
      <c r="M173" s="104">
        <v>0.86</v>
      </c>
      <c r="N173" s="105">
        <v>10</v>
      </c>
      <c r="O173" s="100">
        <v>9</v>
      </c>
      <c r="P173" s="55">
        <v>0</v>
      </c>
      <c r="Q173" s="100">
        <v>10</v>
      </c>
      <c r="R173" s="55">
        <v>3</v>
      </c>
      <c r="S173" s="106">
        <v>0</v>
      </c>
      <c r="T173" s="93" t="s">
        <v>615</v>
      </c>
    </row>
    <row r="174" spans="1:20" x14ac:dyDescent="0.25">
      <c r="A174" s="117">
        <v>540248</v>
      </c>
      <c r="B174" s="100" t="s">
        <v>616</v>
      </c>
      <c r="C174" s="100" t="s">
        <v>294</v>
      </c>
      <c r="D174" s="101" t="s">
        <v>612</v>
      </c>
      <c r="E174" s="100" t="s">
        <v>49</v>
      </c>
      <c r="F174" s="100" t="s">
        <v>613</v>
      </c>
      <c r="G174" s="100">
        <v>3</v>
      </c>
      <c r="H174" s="93">
        <v>12</v>
      </c>
      <c r="I174" s="102">
        <v>0</v>
      </c>
      <c r="J174" s="103">
        <f>RANK(I174,I$2:$I$284)</f>
        <v>248</v>
      </c>
      <c r="K174" s="93">
        <v>1</v>
      </c>
      <c r="L174" s="55">
        <v>0</v>
      </c>
      <c r="M174" s="104">
        <v>0.94</v>
      </c>
      <c r="N174" s="105">
        <v>10</v>
      </c>
      <c r="O174" s="100">
        <v>5</v>
      </c>
      <c r="P174" s="55">
        <v>0</v>
      </c>
      <c r="Q174" s="100">
        <v>4</v>
      </c>
      <c r="R174" s="55">
        <v>2</v>
      </c>
      <c r="S174" s="106">
        <v>0</v>
      </c>
      <c r="T174" s="93" t="s">
        <v>615</v>
      </c>
    </row>
    <row r="175" spans="1:20" x14ac:dyDescent="0.25">
      <c r="A175" s="117">
        <v>540174</v>
      </c>
      <c r="B175" s="100" t="s">
        <v>616</v>
      </c>
      <c r="C175" s="100" t="s">
        <v>246</v>
      </c>
      <c r="D175" s="101" t="s">
        <v>612</v>
      </c>
      <c r="E175" s="100" t="s">
        <v>73</v>
      </c>
      <c r="F175" s="100" t="s">
        <v>613</v>
      </c>
      <c r="G175" s="100">
        <v>3</v>
      </c>
      <c r="H175" s="93">
        <v>13</v>
      </c>
      <c r="I175" s="102">
        <v>52931</v>
      </c>
      <c r="J175" s="103">
        <f>RANK(I175,I$2:$I$284)</f>
        <v>187</v>
      </c>
      <c r="K175" s="93">
        <v>17</v>
      </c>
      <c r="L175" s="55">
        <v>0</v>
      </c>
      <c r="M175" s="104">
        <v>0.92999999999999994</v>
      </c>
      <c r="N175" s="105">
        <v>10</v>
      </c>
      <c r="O175" s="100">
        <v>2</v>
      </c>
      <c r="P175" s="55">
        <v>6</v>
      </c>
      <c r="Q175" s="100">
        <v>55</v>
      </c>
      <c r="R175" s="55">
        <v>6</v>
      </c>
      <c r="S175" s="106">
        <v>0</v>
      </c>
      <c r="T175" s="93" t="s">
        <v>615</v>
      </c>
    </row>
    <row r="176" spans="1:20" x14ac:dyDescent="0.25">
      <c r="A176" s="117">
        <v>540044</v>
      </c>
      <c r="B176" s="100" t="s">
        <v>616</v>
      </c>
      <c r="C176" s="100" t="s">
        <v>145</v>
      </c>
      <c r="D176" s="101" t="s">
        <v>612</v>
      </c>
      <c r="E176" s="100" t="s">
        <v>27</v>
      </c>
      <c r="F176" s="100" t="s">
        <v>613</v>
      </c>
      <c r="G176" s="100">
        <v>3</v>
      </c>
      <c r="H176" s="93">
        <v>9</v>
      </c>
      <c r="I176" s="102">
        <v>495582</v>
      </c>
      <c r="J176" s="103">
        <f>RANK(I176,I$2:$I$284)</f>
        <v>99</v>
      </c>
      <c r="K176" s="93">
        <v>17</v>
      </c>
      <c r="L176" s="55">
        <v>2</v>
      </c>
      <c r="M176" s="104">
        <v>0.76</v>
      </c>
      <c r="N176" s="105">
        <v>10</v>
      </c>
      <c r="O176" s="100">
        <v>1</v>
      </c>
      <c r="P176" s="55">
        <v>5</v>
      </c>
      <c r="Q176" s="100">
        <v>60</v>
      </c>
      <c r="R176" s="55">
        <v>1</v>
      </c>
      <c r="S176" s="106">
        <v>0</v>
      </c>
      <c r="T176" s="93" t="s">
        <v>615</v>
      </c>
    </row>
    <row r="177" spans="1:20" x14ac:dyDescent="0.25">
      <c r="A177" s="117">
        <v>540095</v>
      </c>
      <c r="B177" s="100" t="s">
        <v>616</v>
      </c>
      <c r="C177" s="100" t="s">
        <v>186</v>
      </c>
      <c r="D177" s="101" t="s">
        <v>612</v>
      </c>
      <c r="E177" s="100" t="s">
        <v>111</v>
      </c>
      <c r="F177" s="100" t="s">
        <v>613</v>
      </c>
      <c r="G177" s="100">
        <v>3</v>
      </c>
      <c r="H177" s="93">
        <v>18</v>
      </c>
      <c r="I177" s="102">
        <v>2361</v>
      </c>
      <c r="J177" s="103">
        <f>RANK(I177,I$2:$I$284)</f>
        <v>237</v>
      </c>
      <c r="K177" s="93">
        <v>8</v>
      </c>
      <c r="L177" s="55">
        <v>0</v>
      </c>
      <c r="M177" s="104">
        <v>0.9</v>
      </c>
      <c r="N177" s="105">
        <v>10</v>
      </c>
      <c r="O177" s="100">
        <v>1</v>
      </c>
      <c r="P177" s="55">
        <v>0</v>
      </c>
      <c r="Q177" s="100">
        <v>65</v>
      </c>
      <c r="R177" s="55">
        <v>2</v>
      </c>
      <c r="S177" s="106">
        <v>0</v>
      </c>
      <c r="T177" s="93" t="s">
        <v>615</v>
      </c>
    </row>
    <row r="178" spans="1:20" x14ac:dyDescent="0.25">
      <c r="A178" s="117">
        <v>540028</v>
      </c>
      <c r="B178" s="100" t="s">
        <v>616</v>
      </c>
      <c r="C178" s="100" t="s">
        <v>133</v>
      </c>
      <c r="D178" s="101" t="s">
        <v>612</v>
      </c>
      <c r="E178" s="100" t="s">
        <v>21</v>
      </c>
      <c r="F178" s="100" t="s">
        <v>613</v>
      </c>
      <c r="G178" s="100">
        <v>3</v>
      </c>
      <c r="H178" s="93">
        <v>11</v>
      </c>
      <c r="I178" s="102">
        <v>8383</v>
      </c>
      <c r="J178" s="103">
        <f>RANK(I178,I$2:$I$284)</f>
        <v>228</v>
      </c>
      <c r="K178" s="93">
        <v>8</v>
      </c>
      <c r="L178" s="55">
        <v>0</v>
      </c>
      <c r="M178" s="104">
        <v>0.91</v>
      </c>
      <c r="N178" s="105">
        <v>10</v>
      </c>
      <c r="O178" s="100">
        <v>0</v>
      </c>
      <c r="P178" s="55">
        <v>0</v>
      </c>
      <c r="Q178" s="100">
        <v>36</v>
      </c>
      <c r="R178" s="55">
        <v>0</v>
      </c>
      <c r="S178" s="106">
        <v>0</v>
      </c>
      <c r="T178" s="93" t="s">
        <v>615</v>
      </c>
    </row>
    <row r="179" spans="1:20" x14ac:dyDescent="0.25">
      <c r="A179" s="117">
        <v>540273</v>
      </c>
      <c r="B179" s="99" t="s">
        <v>611</v>
      </c>
      <c r="C179" s="100" t="s">
        <v>316</v>
      </c>
      <c r="D179" s="101" t="s">
        <v>612</v>
      </c>
      <c r="E179" s="100" t="s">
        <v>59</v>
      </c>
      <c r="F179" s="100" t="s">
        <v>613</v>
      </c>
      <c r="G179" s="100">
        <v>3</v>
      </c>
      <c r="H179" s="93">
        <v>11</v>
      </c>
      <c r="I179" s="102">
        <v>15480</v>
      </c>
      <c r="J179" s="103">
        <f>RANK(I179,I$2:$I$284)</f>
        <v>216</v>
      </c>
      <c r="K179" s="93">
        <v>2</v>
      </c>
      <c r="L179" s="55">
        <v>0</v>
      </c>
      <c r="M179" s="104">
        <v>0.89</v>
      </c>
      <c r="N179" s="105">
        <v>9</v>
      </c>
      <c r="O179" s="100">
        <v>0</v>
      </c>
      <c r="P179" s="55">
        <v>0</v>
      </c>
      <c r="Q179" s="100">
        <v>11</v>
      </c>
      <c r="R179" s="55">
        <v>2</v>
      </c>
      <c r="S179" s="106">
        <v>0</v>
      </c>
      <c r="T179" s="93" t="s">
        <v>615</v>
      </c>
    </row>
    <row r="180" spans="1:20" x14ac:dyDescent="0.25">
      <c r="A180" s="117">
        <v>540292</v>
      </c>
      <c r="B180" s="100" t="s">
        <v>616</v>
      </c>
      <c r="C180" s="100" t="s">
        <v>329</v>
      </c>
      <c r="D180" s="101" t="s">
        <v>612</v>
      </c>
      <c r="E180" s="100" t="s">
        <v>45</v>
      </c>
      <c r="F180" s="100" t="s">
        <v>613</v>
      </c>
      <c r="G180" s="100">
        <v>3</v>
      </c>
      <c r="H180" s="93">
        <v>11</v>
      </c>
      <c r="I180" s="102">
        <v>0</v>
      </c>
      <c r="J180" s="103">
        <f>RANK(I180,I$2:$I$284)</f>
        <v>248</v>
      </c>
      <c r="K180" s="93">
        <v>1</v>
      </c>
      <c r="L180" s="55" t="s">
        <v>614</v>
      </c>
      <c r="M180" s="104">
        <v>0.86</v>
      </c>
      <c r="N180" s="105">
        <v>9</v>
      </c>
      <c r="O180" s="100">
        <v>8</v>
      </c>
      <c r="P180" s="55" t="s">
        <v>614</v>
      </c>
      <c r="Q180" s="100">
        <v>15</v>
      </c>
      <c r="R180" s="55" t="s">
        <v>614</v>
      </c>
      <c r="S180" s="106">
        <v>0</v>
      </c>
      <c r="T180" s="93" t="s">
        <v>615</v>
      </c>
    </row>
    <row r="181" spans="1:20" x14ac:dyDescent="0.25">
      <c r="A181" s="117">
        <v>540072</v>
      </c>
      <c r="B181" s="100" t="s">
        <v>616</v>
      </c>
      <c r="C181" s="100" t="s">
        <v>167</v>
      </c>
      <c r="D181" s="101" t="s">
        <v>612</v>
      </c>
      <c r="E181" s="100" t="s">
        <v>39</v>
      </c>
      <c r="F181" s="100" t="s">
        <v>613</v>
      </c>
      <c r="G181" s="100">
        <v>3</v>
      </c>
      <c r="H181" s="93">
        <v>16</v>
      </c>
      <c r="I181" s="102">
        <v>2763</v>
      </c>
      <c r="J181" s="103">
        <f>RANK(I181,I$2:$I$284)</f>
        <v>236</v>
      </c>
      <c r="K181" s="93">
        <v>3</v>
      </c>
      <c r="L181" s="55">
        <v>0</v>
      </c>
      <c r="M181" s="104">
        <v>0.83</v>
      </c>
      <c r="N181" s="105">
        <v>9</v>
      </c>
      <c r="O181" s="100">
        <v>7</v>
      </c>
      <c r="P181" s="55">
        <v>0</v>
      </c>
      <c r="Q181" s="100">
        <v>169</v>
      </c>
      <c r="R181" s="55">
        <v>3</v>
      </c>
      <c r="S181" s="106">
        <v>0</v>
      </c>
      <c r="T181" s="93" t="s">
        <v>615</v>
      </c>
    </row>
    <row r="182" spans="1:20" x14ac:dyDescent="0.25">
      <c r="A182" s="117">
        <v>540109</v>
      </c>
      <c r="B182" s="100" t="s">
        <v>616</v>
      </c>
      <c r="C182" s="100" t="s">
        <v>197</v>
      </c>
      <c r="D182" s="101" t="s">
        <v>612</v>
      </c>
      <c r="E182" s="100" t="s">
        <v>47</v>
      </c>
      <c r="F182" s="100" t="s">
        <v>613</v>
      </c>
      <c r="G182" s="100">
        <v>3</v>
      </c>
      <c r="H182" s="93">
        <v>12</v>
      </c>
      <c r="I182" s="102">
        <v>263114</v>
      </c>
      <c r="J182" s="103">
        <f>RANK(I182,I$2:$I$284)</f>
        <v>128</v>
      </c>
      <c r="K182" s="93">
        <v>41</v>
      </c>
      <c r="L182" s="55">
        <v>3</v>
      </c>
      <c r="M182" s="104">
        <v>0.86</v>
      </c>
      <c r="N182" s="105">
        <v>9</v>
      </c>
      <c r="O182" s="100">
        <v>7</v>
      </c>
      <c r="P182" s="55">
        <v>12</v>
      </c>
      <c r="Q182" s="100">
        <v>3</v>
      </c>
      <c r="R182" s="55">
        <v>4</v>
      </c>
      <c r="S182" s="106">
        <v>0</v>
      </c>
      <c r="T182" s="93" t="s">
        <v>615</v>
      </c>
    </row>
    <row r="183" spans="1:20" x14ac:dyDescent="0.25">
      <c r="A183" s="117">
        <v>540287</v>
      </c>
      <c r="B183" s="100" t="s">
        <v>616</v>
      </c>
      <c r="C183" s="100" t="s">
        <v>326</v>
      </c>
      <c r="D183" s="101" t="s">
        <v>612</v>
      </c>
      <c r="E183" s="100" t="s">
        <v>47</v>
      </c>
      <c r="F183" s="100" t="s">
        <v>613</v>
      </c>
      <c r="G183" s="100">
        <v>3</v>
      </c>
      <c r="H183" s="93">
        <v>12</v>
      </c>
      <c r="I183" s="102">
        <v>99746</v>
      </c>
      <c r="J183" s="103">
        <f>RANK(I183,I$2:$I$284)</f>
        <v>165</v>
      </c>
      <c r="K183" s="93">
        <v>23</v>
      </c>
      <c r="L183" s="55">
        <v>0</v>
      </c>
      <c r="M183" s="104">
        <v>0.86</v>
      </c>
      <c r="N183" s="105">
        <v>9</v>
      </c>
      <c r="O183" s="100">
        <v>5</v>
      </c>
      <c r="P183" s="55">
        <v>0</v>
      </c>
      <c r="Q183" s="100">
        <v>3</v>
      </c>
      <c r="R183" s="55">
        <v>5</v>
      </c>
      <c r="S183" s="106">
        <v>0</v>
      </c>
      <c r="T183" s="93" t="s">
        <v>615</v>
      </c>
    </row>
    <row r="184" spans="1:20" x14ac:dyDescent="0.25">
      <c r="A184" s="117">
        <v>540206</v>
      </c>
      <c r="B184" s="100" t="s">
        <v>616</v>
      </c>
      <c r="C184" s="100" t="s">
        <v>265</v>
      </c>
      <c r="D184" s="101" t="s">
        <v>612</v>
      </c>
      <c r="E184" s="100" t="s">
        <v>87</v>
      </c>
      <c r="F184" s="100" t="s">
        <v>613</v>
      </c>
      <c r="G184" s="100">
        <v>3</v>
      </c>
      <c r="H184" s="93">
        <v>14</v>
      </c>
      <c r="I184" s="102">
        <v>25435</v>
      </c>
      <c r="J184" s="103">
        <f>RANK(I184,I$2:$I$284)</f>
        <v>206</v>
      </c>
      <c r="K184" s="93">
        <v>6</v>
      </c>
      <c r="L184" s="55">
        <v>0</v>
      </c>
      <c r="M184" s="104">
        <v>0.87</v>
      </c>
      <c r="N184" s="105">
        <v>9</v>
      </c>
      <c r="O184" s="100">
        <v>5</v>
      </c>
      <c r="P184" s="55">
        <v>0</v>
      </c>
      <c r="Q184" s="100">
        <v>0</v>
      </c>
      <c r="R184" s="55">
        <v>1</v>
      </c>
      <c r="S184" s="106">
        <v>0</v>
      </c>
      <c r="T184" s="93" t="s">
        <v>615</v>
      </c>
    </row>
    <row r="185" spans="1:20" x14ac:dyDescent="0.25">
      <c r="A185" s="117">
        <v>540176</v>
      </c>
      <c r="B185" s="100" t="s">
        <v>616</v>
      </c>
      <c r="C185" s="100" t="s">
        <v>247</v>
      </c>
      <c r="D185" s="101" t="s">
        <v>612</v>
      </c>
      <c r="E185" s="100" t="s">
        <v>75</v>
      </c>
      <c r="F185" s="100" t="s">
        <v>613</v>
      </c>
      <c r="G185" s="100">
        <v>3</v>
      </c>
      <c r="H185" s="93">
        <v>11</v>
      </c>
      <c r="I185" s="102">
        <v>19370</v>
      </c>
      <c r="J185" s="103">
        <f>RANK(I185,I$2:$I$284)</f>
        <v>212</v>
      </c>
      <c r="K185" s="93">
        <v>6</v>
      </c>
      <c r="L185" s="55">
        <v>0</v>
      </c>
      <c r="M185" s="104">
        <v>0.9</v>
      </c>
      <c r="N185" s="105">
        <v>9</v>
      </c>
      <c r="O185" s="100">
        <v>4</v>
      </c>
      <c r="P185" s="55">
        <v>0</v>
      </c>
      <c r="Q185" s="100">
        <v>47</v>
      </c>
      <c r="R185" s="55">
        <v>2</v>
      </c>
      <c r="S185" s="106">
        <v>0</v>
      </c>
      <c r="T185" s="93" t="s">
        <v>615</v>
      </c>
    </row>
    <row r="186" spans="1:20" x14ac:dyDescent="0.25">
      <c r="A186" s="117">
        <v>540122</v>
      </c>
      <c r="B186" s="100" t="s">
        <v>616</v>
      </c>
      <c r="C186" s="100" t="s">
        <v>208</v>
      </c>
      <c r="D186" s="101" t="s">
        <v>612</v>
      </c>
      <c r="E186" s="100" t="s">
        <v>51</v>
      </c>
      <c r="F186" s="100" t="s">
        <v>613</v>
      </c>
      <c r="G186" s="100">
        <v>3</v>
      </c>
      <c r="H186" s="93">
        <v>13</v>
      </c>
      <c r="I186" s="102">
        <v>16575</v>
      </c>
      <c r="J186" s="103">
        <f>RANK(I186,I$2:$I$284)</f>
        <v>214</v>
      </c>
      <c r="K186" s="93">
        <v>18</v>
      </c>
      <c r="L186" s="55">
        <v>0</v>
      </c>
      <c r="M186" s="104">
        <v>0.91</v>
      </c>
      <c r="N186" s="105">
        <v>9</v>
      </c>
      <c r="O186" s="100">
        <v>3</v>
      </c>
      <c r="P186" s="55">
        <v>0</v>
      </c>
      <c r="Q186" s="100">
        <v>202</v>
      </c>
      <c r="R186" s="55">
        <v>2</v>
      </c>
      <c r="S186" s="106">
        <v>0</v>
      </c>
      <c r="T186" s="93" t="s">
        <v>615</v>
      </c>
    </row>
    <row r="187" spans="1:20" x14ac:dyDescent="0.25">
      <c r="A187" s="117">
        <v>540092</v>
      </c>
      <c r="B187" s="100" t="s">
        <v>616</v>
      </c>
      <c r="C187" s="100" t="s">
        <v>183</v>
      </c>
      <c r="D187" s="101" t="s">
        <v>612</v>
      </c>
      <c r="E187" s="100" t="s">
        <v>111</v>
      </c>
      <c r="F187" s="100" t="s">
        <v>613</v>
      </c>
      <c r="G187" s="100">
        <v>3</v>
      </c>
      <c r="H187" s="93">
        <v>18</v>
      </c>
      <c r="I187" s="102">
        <v>89200</v>
      </c>
      <c r="J187" s="103">
        <f>RANK(I187,I$2:$I$284)</f>
        <v>169</v>
      </c>
      <c r="K187" s="93">
        <v>31</v>
      </c>
      <c r="L187" s="55">
        <v>2</v>
      </c>
      <c r="M187" s="104">
        <v>0.9</v>
      </c>
      <c r="N187" s="105">
        <v>9</v>
      </c>
      <c r="O187" s="100">
        <v>2</v>
      </c>
      <c r="P187" s="55">
        <v>2</v>
      </c>
      <c r="Q187" s="100">
        <v>65</v>
      </c>
      <c r="R187" s="55">
        <v>4</v>
      </c>
      <c r="S187" s="106">
        <v>0</v>
      </c>
      <c r="T187" s="93" t="s">
        <v>615</v>
      </c>
    </row>
    <row r="188" spans="1:20" x14ac:dyDescent="0.25">
      <c r="A188" s="117">
        <v>540023</v>
      </c>
      <c r="B188" s="100" t="s">
        <v>616</v>
      </c>
      <c r="C188" s="100" t="s">
        <v>130</v>
      </c>
      <c r="D188" s="101" t="s">
        <v>612</v>
      </c>
      <c r="E188" s="100" t="s">
        <v>17</v>
      </c>
      <c r="F188" s="100" t="s">
        <v>613</v>
      </c>
      <c r="G188" s="100">
        <v>3</v>
      </c>
      <c r="H188" s="93">
        <v>14</v>
      </c>
      <c r="I188" s="102">
        <v>168268</v>
      </c>
      <c r="J188" s="103">
        <f>RANK(I188,I$2:$I$284)</f>
        <v>145</v>
      </c>
      <c r="K188" s="93">
        <v>10</v>
      </c>
      <c r="L188" s="55">
        <v>0</v>
      </c>
      <c r="M188" s="104">
        <v>0.88</v>
      </c>
      <c r="N188" s="105">
        <v>9</v>
      </c>
      <c r="O188" s="100">
        <v>0</v>
      </c>
      <c r="P188" s="55">
        <v>0</v>
      </c>
      <c r="Q188" s="100">
        <v>0</v>
      </c>
      <c r="R188" s="55">
        <v>3</v>
      </c>
      <c r="S188" s="106">
        <v>0</v>
      </c>
      <c r="T188" s="93" t="s">
        <v>615</v>
      </c>
    </row>
    <row r="189" spans="1:20" x14ac:dyDescent="0.25">
      <c r="A189" s="117">
        <v>545535</v>
      </c>
      <c r="B189" s="100" t="s">
        <v>616</v>
      </c>
      <c r="C189" s="100" t="s">
        <v>332</v>
      </c>
      <c r="D189" s="101" t="s">
        <v>612</v>
      </c>
      <c r="E189" s="100" t="s">
        <v>111</v>
      </c>
      <c r="F189" s="100" t="s">
        <v>613</v>
      </c>
      <c r="G189" s="100">
        <v>3</v>
      </c>
      <c r="H189" s="93">
        <v>18</v>
      </c>
      <c r="I189" s="102">
        <v>169538</v>
      </c>
      <c r="J189" s="103">
        <f>RANK(I189,I$2:$I$284)</f>
        <v>143</v>
      </c>
      <c r="K189" s="93">
        <v>49</v>
      </c>
      <c r="L189" s="55">
        <v>2</v>
      </c>
      <c r="M189" s="104">
        <v>0.9</v>
      </c>
      <c r="N189" s="105">
        <v>9</v>
      </c>
      <c r="O189" s="100">
        <v>0</v>
      </c>
      <c r="P189" s="55">
        <v>6</v>
      </c>
      <c r="Q189" s="100">
        <v>65</v>
      </c>
      <c r="R189" s="55">
        <v>2</v>
      </c>
      <c r="S189" s="106">
        <v>0</v>
      </c>
      <c r="T189" s="93" t="s">
        <v>615</v>
      </c>
    </row>
    <row r="190" spans="1:20" x14ac:dyDescent="0.25">
      <c r="A190" s="117">
        <v>540274</v>
      </c>
      <c r="B190" s="100" t="s">
        <v>616</v>
      </c>
      <c r="C190" s="100" t="s">
        <v>317</v>
      </c>
      <c r="D190" s="101" t="s">
        <v>612</v>
      </c>
      <c r="E190" s="100" t="s">
        <v>59</v>
      </c>
      <c r="F190" s="100" t="s">
        <v>613</v>
      </c>
      <c r="G190" s="100">
        <v>3</v>
      </c>
      <c r="H190" s="93">
        <v>11</v>
      </c>
      <c r="I190" s="102">
        <v>285632</v>
      </c>
      <c r="J190" s="103">
        <f>RANK(I190,I$2:$I$284)</f>
        <v>121</v>
      </c>
      <c r="K190" s="93">
        <v>23</v>
      </c>
      <c r="L190" s="55">
        <v>7</v>
      </c>
      <c r="M190" s="104">
        <v>0.89</v>
      </c>
      <c r="N190" s="105">
        <v>9</v>
      </c>
      <c r="O190" s="100">
        <v>0</v>
      </c>
      <c r="P190" s="55">
        <v>7</v>
      </c>
      <c r="Q190" s="100">
        <v>11</v>
      </c>
      <c r="R190" s="55">
        <v>5</v>
      </c>
      <c r="S190" s="106">
        <v>0</v>
      </c>
      <c r="T190" s="93" t="s">
        <v>615</v>
      </c>
    </row>
    <row r="191" spans="1:20" x14ac:dyDescent="0.25">
      <c r="A191" s="117">
        <v>540232</v>
      </c>
      <c r="B191" s="100" t="s">
        <v>616</v>
      </c>
      <c r="C191" s="100" t="s">
        <v>282</v>
      </c>
      <c r="D191" s="101" t="s">
        <v>612</v>
      </c>
      <c r="E191" s="100" t="s">
        <v>85</v>
      </c>
      <c r="F191" s="100" t="s">
        <v>613</v>
      </c>
      <c r="G191" s="100">
        <v>3</v>
      </c>
      <c r="H191" s="93">
        <v>16</v>
      </c>
      <c r="I191" s="102">
        <v>118660</v>
      </c>
      <c r="J191" s="103">
        <f>RANK(I191,I$2:$I$284)</f>
        <v>159</v>
      </c>
      <c r="K191" s="93">
        <v>16</v>
      </c>
      <c r="L191" s="55">
        <v>0</v>
      </c>
      <c r="M191" s="104">
        <v>0.94</v>
      </c>
      <c r="N191" s="105">
        <v>8</v>
      </c>
      <c r="O191" s="100">
        <v>7</v>
      </c>
      <c r="P191" s="55">
        <v>3</v>
      </c>
      <c r="Q191" s="100">
        <v>18</v>
      </c>
      <c r="R191" s="55">
        <v>2</v>
      </c>
      <c r="S191" s="106">
        <v>0</v>
      </c>
      <c r="T191" s="93" t="s">
        <v>615</v>
      </c>
    </row>
    <row r="192" spans="1:20" x14ac:dyDescent="0.25">
      <c r="A192" s="117">
        <v>540229</v>
      </c>
      <c r="B192" s="100" t="s">
        <v>616</v>
      </c>
      <c r="C192" s="100" t="s">
        <v>279</v>
      </c>
      <c r="D192" s="101" t="s">
        <v>612</v>
      </c>
      <c r="E192" s="100" t="s">
        <v>7</v>
      </c>
      <c r="F192" s="100" t="s">
        <v>613</v>
      </c>
      <c r="G192" s="100">
        <v>3</v>
      </c>
      <c r="H192" s="93">
        <v>13</v>
      </c>
      <c r="I192" s="102">
        <v>75060</v>
      </c>
      <c r="J192" s="103">
        <f>RANK(I192,I$2:$I$284)</f>
        <v>175</v>
      </c>
      <c r="K192" s="93">
        <v>9</v>
      </c>
      <c r="L192" s="55">
        <v>0</v>
      </c>
      <c r="M192" s="104">
        <v>0.91</v>
      </c>
      <c r="N192" s="105">
        <v>8</v>
      </c>
      <c r="O192" s="100">
        <v>6</v>
      </c>
      <c r="P192" s="55">
        <v>2</v>
      </c>
      <c r="Q192" s="100">
        <v>4</v>
      </c>
      <c r="R192" s="55">
        <v>1</v>
      </c>
      <c r="S192" s="106">
        <v>0</v>
      </c>
      <c r="T192" s="93" t="s">
        <v>615</v>
      </c>
    </row>
    <row r="193" spans="1:20" x14ac:dyDescent="0.25">
      <c r="A193" s="117">
        <v>540059</v>
      </c>
      <c r="B193" s="100" t="s">
        <v>616</v>
      </c>
      <c r="C193" s="100" t="s">
        <v>157</v>
      </c>
      <c r="D193" s="101" t="s">
        <v>612</v>
      </c>
      <c r="E193" s="100" t="s">
        <v>33</v>
      </c>
      <c r="F193" s="100" t="s">
        <v>613</v>
      </c>
      <c r="G193" s="100">
        <v>3</v>
      </c>
      <c r="H193" s="93">
        <v>13</v>
      </c>
      <c r="I193" s="102">
        <v>132413</v>
      </c>
      <c r="J193" s="103">
        <f>RANK(I193,I$2:$I$284)</f>
        <v>153</v>
      </c>
      <c r="K193" s="93">
        <v>23</v>
      </c>
      <c r="L193" s="55">
        <v>0</v>
      </c>
      <c r="M193" s="104">
        <v>0.9</v>
      </c>
      <c r="N193" s="105">
        <v>8</v>
      </c>
      <c r="O193" s="100">
        <v>4</v>
      </c>
      <c r="P193" s="55">
        <v>0</v>
      </c>
      <c r="Q193" s="100">
        <v>26</v>
      </c>
      <c r="R193" s="55">
        <v>5</v>
      </c>
      <c r="S193" s="106">
        <v>0</v>
      </c>
      <c r="T193" s="93" t="s">
        <v>615</v>
      </c>
    </row>
    <row r="194" spans="1:20" x14ac:dyDescent="0.25">
      <c r="A194" s="117">
        <v>540121</v>
      </c>
      <c r="B194" s="100" t="s">
        <v>616</v>
      </c>
      <c r="C194" s="100" t="s">
        <v>207</v>
      </c>
      <c r="D194" s="101" t="s">
        <v>612</v>
      </c>
      <c r="E194" s="100" t="s">
        <v>51</v>
      </c>
      <c r="F194" s="100" t="s">
        <v>613</v>
      </c>
      <c r="G194" s="100">
        <v>3</v>
      </c>
      <c r="H194" s="93">
        <v>13</v>
      </c>
      <c r="I194" s="102">
        <v>263685</v>
      </c>
      <c r="J194" s="103">
        <f>RANK(I194,I$2:$I$284)</f>
        <v>127</v>
      </c>
      <c r="K194" s="93">
        <v>48</v>
      </c>
      <c r="L194" s="55">
        <v>2</v>
      </c>
      <c r="M194" s="104">
        <v>0.91</v>
      </c>
      <c r="N194" s="105">
        <v>8</v>
      </c>
      <c r="O194" s="100">
        <v>4</v>
      </c>
      <c r="P194" s="55">
        <v>17</v>
      </c>
      <c r="Q194" s="100">
        <v>202</v>
      </c>
      <c r="R194" s="55">
        <v>2</v>
      </c>
      <c r="S194" s="106">
        <v>0</v>
      </c>
      <c r="T194" s="93" t="s">
        <v>615</v>
      </c>
    </row>
    <row r="195" spans="1:20" x14ac:dyDescent="0.25">
      <c r="A195" s="117">
        <v>540082</v>
      </c>
      <c r="B195" s="100" t="s">
        <v>616</v>
      </c>
      <c r="C195" s="100" t="s">
        <v>177</v>
      </c>
      <c r="D195" s="101" t="s">
        <v>612</v>
      </c>
      <c r="E195" s="100" t="s">
        <v>39</v>
      </c>
      <c r="F195" s="100" t="s">
        <v>613</v>
      </c>
      <c r="G195" s="100">
        <v>3</v>
      </c>
      <c r="H195" s="93">
        <v>16</v>
      </c>
      <c r="I195" s="102">
        <v>147149</v>
      </c>
      <c r="J195" s="103">
        <f>RANK(I195,I$2:$I$284)</f>
        <v>150</v>
      </c>
      <c r="K195" s="93">
        <v>21</v>
      </c>
      <c r="L195" s="55">
        <v>0</v>
      </c>
      <c r="M195" s="104">
        <v>0.83</v>
      </c>
      <c r="N195" s="105">
        <v>8</v>
      </c>
      <c r="O195" s="100">
        <v>3</v>
      </c>
      <c r="P195" s="55">
        <v>13</v>
      </c>
      <c r="Q195" s="100">
        <v>169</v>
      </c>
      <c r="R195" s="55">
        <v>1</v>
      </c>
      <c r="S195" s="106">
        <v>0</v>
      </c>
      <c r="T195" s="93" t="s">
        <v>615</v>
      </c>
    </row>
    <row r="196" spans="1:20" x14ac:dyDescent="0.25">
      <c r="A196" s="117">
        <v>540033</v>
      </c>
      <c r="B196" s="100" t="s">
        <v>616</v>
      </c>
      <c r="C196" s="100" t="s">
        <v>138</v>
      </c>
      <c r="D196" s="101" t="s">
        <v>612</v>
      </c>
      <c r="E196" s="100" t="s">
        <v>21</v>
      </c>
      <c r="F196" s="100" t="s">
        <v>613</v>
      </c>
      <c r="G196" s="100">
        <v>3</v>
      </c>
      <c r="H196" s="93">
        <v>11</v>
      </c>
      <c r="I196" s="102">
        <v>2349</v>
      </c>
      <c r="J196" s="103">
        <f>RANK(I196,I$2:$I$284)</f>
        <v>238</v>
      </c>
      <c r="K196" s="93">
        <v>3</v>
      </c>
      <c r="L196" s="55">
        <v>0</v>
      </c>
      <c r="M196" s="104">
        <v>0.91</v>
      </c>
      <c r="N196" s="105">
        <v>8</v>
      </c>
      <c r="O196" s="100">
        <v>2</v>
      </c>
      <c r="P196" s="55">
        <v>0</v>
      </c>
      <c r="Q196" s="100">
        <v>36</v>
      </c>
      <c r="R196" s="55">
        <v>4</v>
      </c>
      <c r="S196" s="106">
        <v>0</v>
      </c>
      <c r="T196" s="93" t="s">
        <v>615</v>
      </c>
    </row>
    <row r="197" spans="1:20" x14ac:dyDescent="0.25">
      <c r="A197" s="117">
        <v>540267</v>
      </c>
      <c r="B197" s="100" t="s">
        <v>616</v>
      </c>
      <c r="C197" s="100" t="s">
        <v>310</v>
      </c>
      <c r="D197" s="101" t="s">
        <v>612</v>
      </c>
      <c r="E197" s="100" t="s">
        <v>75</v>
      </c>
      <c r="F197" s="100" t="s">
        <v>613</v>
      </c>
      <c r="G197" s="100">
        <v>3</v>
      </c>
      <c r="H197" s="93">
        <v>11</v>
      </c>
      <c r="I197" s="102">
        <v>136564</v>
      </c>
      <c r="J197" s="103">
        <f>RANK(I197,I$2:$I$284)</f>
        <v>151</v>
      </c>
      <c r="K197" s="93">
        <v>15</v>
      </c>
      <c r="L197" s="55">
        <v>9</v>
      </c>
      <c r="M197" s="104">
        <v>0.9</v>
      </c>
      <c r="N197" s="105">
        <v>8</v>
      </c>
      <c r="O197" s="100">
        <v>1</v>
      </c>
      <c r="P197" s="55">
        <v>9</v>
      </c>
      <c r="Q197" s="100">
        <v>47</v>
      </c>
      <c r="R197" s="55">
        <v>4</v>
      </c>
      <c r="S197" s="106">
        <v>0</v>
      </c>
      <c r="T197" s="93" t="s">
        <v>615</v>
      </c>
    </row>
    <row r="198" spans="1:20" x14ac:dyDescent="0.25">
      <c r="A198" s="117">
        <v>540120</v>
      </c>
      <c r="B198" s="100" t="s">
        <v>616</v>
      </c>
      <c r="C198" s="100" t="s">
        <v>206</v>
      </c>
      <c r="D198" s="101" t="s">
        <v>612</v>
      </c>
      <c r="E198" s="100" t="s">
        <v>51</v>
      </c>
      <c r="F198" s="100" t="s">
        <v>613</v>
      </c>
      <c r="G198" s="100">
        <v>3</v>
      </c>
      <c r="H198" s="93">
        <v>13</v>
      </c>
      <c r="I198" s="102">
        <v>816572</v>
      </c>
      <c r="J198" s="103">
        <f>RANK(I198,I$2:$I$284)</f>
        <v>77</v>
      </c>
      <c r="K198" s="93">
        <v>46</v>
      </c>
      <c r="L198" s="55">
        <v>2</v>
      </c>
      <c r="M198" s="104">
        <v>0.91</v>
      </c>
      <c r="N198" s="105">
        <v>7</v>
      </c>
      <c r="O198" s="100">
        <v>2</v>
      </c>
      <c r="P198" s="55">
        <v>15</v>
      </c>
      <c r="Q198" s="100">
        <v>202</v>
      </c>
      <c r="R198" s="55">
        <v>1</v>
      </c>
      <c r="S198" s="106">
        <v>0</v>
      </c>
      <c r="T198" s="93" t="s">
        <v>615</v>
      </c>
    </row>
    <row r="199" spans="1:20" x14ac:dyDescent="0.25">
      <c r="A199" s="117">
        <v>540251</v>
      </c>
      <c r="B199" s="100" t="s">
        <v>616</v>
      </c>
      <c r="C199" s="100" t="s">
        <v>297</v>
      </c>
      <c r="D199" s="101" t="s">
        <v>612</v>
      </c>
      <c r="E199" s="100" t="s">
        <v>49</v>
      </c>
      <c r="F199" s="100" t="s">
        <v>613</v>
      </c>
      <c r="G199" s="100">
        <v>3</v>
      </c>
      <c r="H199" s="93">
        <v>12</v>
      </c>
      <c r="I199" s="102">
        <v>60549</v>
      </c>
      <c r="J199" s="103">
        <f>RANK(I199,I$2:$I$284)</f>
        <v>181</v>
      </c>
      <c r="K199" s="93">
        <v>20</v>
      </c>
      <c r="L199" s="55">
        <v>2</v>
      </c>
      <c r="M199" s="104">
        <v>0.94</v>
      </c>
      <c r="N199" s="105">
        <v>7</v>
      </c>
      <c r="O199" s="100">
        <v>1</v>
      </c>
      <c r="P199" s="55">
        <v>4</v>
      </c>
      <c r="Q199" s="100">
        <v>4</v>
      </c>
      <c r="R199" s="55">
        <v>0</v>
      </c>
      <c r="S199" s="106">
        <v>0</v>
      </c>
      <c r="T199" s="93" t="s">
        <v>615</v>
      </c>
    </row>
    <row r="200" spans="1:20" x14ac:dyDescent="0.25">
      <c r="A200" s="117">
        <v>540294</v>
      </c>
      <c r="B200" s="100" t="s">
        <v>616</v>
      </c>
      <c r="C200" s="100" t="s">
        <v>331</v>
      </c>
      <c r="D200" s="101" t="s">
        <v>612</v>
      </c>
      <c r="E200" s="100" t="s">
        <v>21</v>
      </c>
      <c r="F200" s="100" t="s">
        <v>613</v>
      </c>
      <c r="G200" s="100">
        <v>3</v>
      </c>
      <c r="H200" s="93">
        <v>11</v>
      </c>
      <c r="I200" s="102">
        <v>88032</v>
      </c>
      <c r="J200" s="103">
        <f>RANK(I200,I$2:$I$284)</f>
        <v>170</v>
      </c>
      <c r="K200" s="93">
        <v>9</v>
      </c>
      <c r="L200" s="55">
        <v>0</v>
      </c>
      <c r="M200" s="104">
        <v>0.91</v>
      </c>
      <c r="N200" s="105">
        <v>7</v>
      </c>
      <c r="O200" s="100">
        <v>0</v>
      </c>
      <c r="P200" s="55">
        <v>3</v>
      </c>
      <c r="Q200" s="100">
        <v>36</v>
      </c>
      <c r="R200" s="55">
        <v>3</v>
      </c>
      <c r="S200" s="106">
        <v>0</v>
      </c>
      <c r="T200" s="93" t="s">
        <v>615</v>
      </c>
    </row>
    <row r="201" spans="1:20" x14ac:dyDescent="0.25">
      <c r="A201" s="117">
        <v>540280</v>
      </c>
      <c r="B201" s="100" t="s">
        <v>616</v>
      </c>
      <c r="C201" s="100" t="s">
        <v>321</v>
      </c>
      <c r="D201" s="101" t="s">
        <v>612</v>
      </c>
      <c r="E201" s="100" t="s">
        <v>21</v>
      </c>
      <c r="F201" s="100" t="s">
        <v>613</v>
      </c>
      <c r="G201" s="100">
        <v>3</v>
      </c>
      <c r="H201" s="93">
        <v>11</v>
      </c>
      <c r="I201" s="102">
        <v>290301</v>
      </c>
      <c r="J201" s="103">
        <f>RANK(I201,I$2:$I$284)</f>
        <v>119</v>
      </c>
      <c r="K201" s="93">
        <v>41</v>
      </c>
      <c r="L201" s="55">
        <v>12</v>
      </c>
      <c r="M201" s="104">
        <v>0.91</v>
      </c>
      <c r="N201" s="105">
        <v>7</v>
      </c>
      <c r="O201" s="100">
        <v>0</v>
      </c>
      <c r="P201" s="55">
        <v>18</v>
      </c>
      <c r="Q201" s="100">
        <v>36</v>
      </c>
      <c r="R201" s="55">
        <v>1</v>
      </c>
      <c r="S201" s="106">
        <v>0</v>
      </c>
      <c r="T201" s="93" t="s">
        <v>615</v>
      </c>
    </row>
    <row r="202" spans="1:20" x14ac:dyDescent="0.25">
      <c r="A202" s="117">
        <v>540098</v>
      </c>
      <c r="B202" s="100" t="s">
        <v>616</v>
      </c>
      <c r="C202" s="100" t="s">
        <v>187</v>
      </c>
      <c r="D202" s="101" t="s">
        <v>612</v>
      </c>
      <c r="E202" s="100" t="s">
        <v>45</v>
      </c>
      <c r="F202" s="100" t="s">
        <v>613</v>
      </c>
      <c r="G202" s="100">
        <v>3</v>
      </c>
      <c r="H202" s="93">
        <v>11</v>
      </c>
      <c r="I202" s="102">
        <v>0</v>
      </c>
      <c r="J202" s="103">
        <f>RANK(I202,I$2:$I$284)</f>
        <v>248</v>
      </c>
      <c r="K202" s="93">
        <v>0</v>
      </c>
      <c r="L202" s="55">
        <v>0</v>
      </c>
      <c r="M202" s="104">
        <v>0.86</v>
      </c>
      <c r="N202" s="105">
        <v>7</v>
      </c>
      <c r="O202" s="100">
        <v>0</v>
      </c>
      <c r="P202" s="55">
        <v>0</v>
      </c>
      <c r="Q202" s="100">
        <v>15</v>
      </c>
      <c r="R202" s="55">
        <v>5</v>
      </c>
      <c r="S202" s="106">
        <v>0</v>
      </c>
      <c r="T202" s="93" t="s">
        <v>615</v>
      </c>
    </row>
    <row r="203" spans="1:20" x14ac:dyDescent="0.25">
      <c r="A203" s="117">
        <v>540210</v>
      </c>
      <c r="B203" s="100" t="s">
        <v>616</v>
      </c>
      <c r="C203" s="100" t="s">
        <v>267</v>
      </c>
      <c r="D203" s="101" t="s">
        <v>612</v>
      </c>
      <c r="E203" s="100" t="s">
        <v>89</v>
      </c>
      <c r="F203" s="100" t="s">
        <v>613</v>
      </c>
      <c r="G203" s="100">
        <v>3</v>
      </c>
      <c r="H203" s="93">
        <v>16</v>
      </c>
      <c r="I203" s="102">
        <v>618481</v>
      </c>
      <c r="J203" s="103">
        <f>RANK(I203,I$2:$I$284)</f>
        <v>90</v>
      </c>
      <c r="K203" s="93">
        <v>48</v>
      </c>
      <c r="L203" s="55">
        <v>3</v>
      </c>
      <c r="M203" s="104">
        <v>0.87</v>
      </c>
      <c r="N203" s="105">
        <v>6</v>
      </c>
      <c r="O203" s="100">
        <v>7</v>
      </c>
      <c r="P203" s="55">
        <v>15</v>
      </c>
      <c r="Q203" s="100">
        <v>15</v>
      </c>
      <c r="R203" s="55">
        <v>2</v>
      </c>
      <c r="S203" s="106">
        <v>0</v>
      </c>
      <c r="T203" s="93" t="s">
        <v>615</v>
      </c>
    </row>
    <row r="204" spans="1:20" x14ac:dyDescent="0.25">
      <c r="A204" s="117">
        <v>540106</v>
      </c>
      <c r="B204" s="100" t="s">
        <v>616</v>
      </c>
      <c r="C204" s="100" t="s">
        <v>195</v>
      </c>
      <c r="D204" s="101" t="s">
        <v>612</v>
      </c>
      <c r="E204" s="100" t="s">
        <v>45</v>
      </c>
      <c r="F204" s="100" t="s">
        <v>613</v>
      </c>
      <c r="G204" s="100">
        <v>3</v>
      </c>
      <c r="H204" s="93">
        <v>11</v>
      </c>
      <c r="I204" s="102">
        <v>121321</v>
      </c>
      <c r="J204" s="103">
        <f>RANK(I204,I$2:$I$284)</f>
        <v>158</v>
      </c>
      <c r="K204" s="93">
        <v>24</v>
      </c>
      <c r="L204" s="55">
        <v>0</v>
      </c>
      <c r="M204" s="104">
        <v>0.86</v>
      </c>
      <c r="N204" s="105">
        <v>6</v>
      </c>
      <c r="O204" s="100">
        <v>5</v>
      </c>
      <c r="P204" s="55">
        <v>5</v>
      </c>
      <c r="Q204" s="100">
        <v>15</v>
      </c>
      <c r="R204" s="55">
        <v>0</v>
      </c>
      <c r="S204" s="106">
        <v>0</v>
      </c>
      <c r="T204" s="93" t="s">
        <v>615</v>
      </c>
    </row>
    <row r="205" spans="1:20" x14ac:dyDescent="0.25">
      <c r="A205" s="117">
        <v>540131</v>
      </c>
      <c r="B205" s="100" t="s">
        <v>616</v>
      </c>
      <c r="C205" s="100" t="s">
        <v>215</v>
      </c>
      <c r="D205" s="101" t="s">
        <v>612</v>
      </c>
      <c r="E205" s="100" t="s">
        <v>55</v>
      </c>
      <c r="F205" s="100" t="s">
        <v>613</v>
      </c>
      <c r="G205" s="100">
        <v>3</v>
      </c>
      <c r="H205" s="93">
        <v>8</v>
      </c>
      <c r="I205" s="102">
        <v>11000</v>
      </c>
      <c r="J205" s="103">
        <f>RANK(I205,I$2:$I$284)</f>
        <v>225</v>
      </c>
      <c r="K205" s="93">
        <v>2</v>
      </c>
      <c r="L205" s="55">
        <v>0</v>
      </c>
      <c r="M205" s="104">
        <v>0.89</v>
      </c>
      <c r="N205" s="105">
        <v>6</v>
      </c>
      <c r="O205" s="100">
        <v>3</v>
      </c>
      <c r="P205" s="55">
        <v>0</v>
      </c>
      <c r="Q205" s="100">
        <v>53</v>
      </c>
      <c r="R205" s="55">
        <v>1</v>
      </c>
      <c r="S205" s="106">
        <v>0</v>
      </c>
      <c r="T205" s="93" t="s">
        <v>615</v>
      </c>
    </row>
    <row r="206" spans="1:20" x14ac:dyDescent="0.25">
      <c r="A206" s="117">
        <v>540161</v>
      </c>
      <c r="B206" s="100" t="s">
        <v>616</v>
      </c>
      <c r="C206" s="100" t="s">
        <v>235</v>
      </c>
      <c r="D206" s="101" t="s">
        <v>612</v>
      </c>
      <c r="E206" s="100" t="s">
        <v>69</v>
      </c>
      <c r="F206" s="100" t="s">
        <v>613</v>
      </c>
      <c r="G206" s="100">
        <v>3</v>
      </c>
      <c r="H206" s="93">
        <v>11</v>
      </c>
      <c r="I206" s="102">
        <v>90312</v>
      </c>
      <c r="J206" s="103">
        <f>RANK(I206,I$2:$I$284)</f>
        <v>167</v>
      </c>
      <c r="K206" s="93">
        <v>11</v>
      </c>
      <c r="L206" s="55">
        <v>0</v>
      </c>
      <c r="M206" s="104">
        <v>0.9</v>
      </c>
      <c r="N206" s="105">
        <v>6</v>
      </c>
      <c r="O206" s="100">
        <v>3</v>
      </c>
      <c r="P206" s="55">
        <v>0</v>
      </c>
      <c r="Q206" s="100">
        <v>1</v>
      </c>
      <c r="R206" s="55">
        <v>1</v>
      </c>
      <c r="S206" s="106">
        <v>0</v>
      </c>
      <c r="T206" s="93" t="s">
        <v>615</v>
      </c>
    </row>
    <row r="207" spans="1:20" x14ac:dyDescent="0.25">
      <c r="A207" s="117">
        <v>540184</v>
      </c>
      <c r="B207" s="100" t="s">
        <v>616</v>
      </c>
      <c r="C207" s="100" t="s">
        <v>253</v>
      </c>
      <c r="D207" s="101" t="s">
        <v>612</v>
      </c>
      <c r="E207" s="100" t="s">
        <v>77</v>
      </c>
      <c r="F207" s="100" t="s">
        <v>613</v>
      </c>
      <c r="G207" s="100">
        <v>3</v>
      </c>
      <c r="H207" s="93">
        <v>15</v>
      </c>
      <c r="I207" s="102">
        <v>280482</v>
      </c>
      <c r="J207" s="103">
        <f>RANK(I207,I$2:$I$284)</f>
        <v>124</v>
      </c>
      <c r="K207" s="93">
        <v>43</v>
      </c>
      <c r="L207" s="55">
        <v>8</v>
      </c>
      <c r="M207" s="104">
        <v>0.85</v>
      </c>
      <c r="N207" s="105">
        <v>6</v>
      </c>
      <c r="O207" s="100">
        <v>3</v>
      </c>
      <c r="P207" s="55">
        <v>25</v>
      </c>
      <c r="Q207" s="100">
        <v>0</v>
      </c>
      <c r="R207" s="55">
        <v>6</v>
      </c>
      <c r="S207" s="106">
        <v>0</v>
      </c>
      <c r="T207" s="93" t="s">
        <v>615</v>
      </c>
    </row>
    <row r="208" spans="1:20" x14ac:dyDescent="0.25">
      <c r="A208" s="117">
        <v>540259</v>
      </c>
      <c r="B208" s="100" t="s">
        <v>616</v>
      </c>
      <c r="C208" s="100" t="s">
        <v>304</v>
      </c>
      <c r="D208" s="101" t="s">
        <v>612</v>
      </c>
      <c r="E208" s="100" t="s">
        <v>103</v>
      </c>
      <c r="F208" s="100" t="s">
        <v>613</v>
      </c>
      <c r="G208" s="100">
        <v>3</v>
      </c>
      <c r="H208" s="93">
        <v>14</v>
      </c>
      <c r="I208" s="102">
        <v>37074</v>
      </c>
      <c r="J208" s="103">
        <f>RANK(I208,I$2:$I$284)</f>
        <v>195</v>
      </c>
      <c r="K208" s="93">
        <v>5</v>
      </c>
      <c r="L208" s="55">
        <v>0</v>
      </c>
      <c r="M208" s="104">
        <v>0.92999999999999994</v>
      </c>
      <c r="N208" s="105">
        <v>6</v>
      </c>
      <c r="O208" s="100">
        <v>3</v>
      </c>
      <c r="P208" s="55">
        <v>0</v>
      </c>
      <c r="Q208" s="100">
        <v>0</v>
      </c>
      <c r="R208" s="55">
        <v>1</v>
      </c>
      <c r="S208" s="106">
        <v>0</v>
      </c>
      <c r="T208" s="93" t="s">
        <v>615</v>
      </c>
    </row>
    <row r="209" spans="1:20" x14ac:dyDescent="0.25">
      <c r="A209" s="117">
        <v>540143</v>
      </c>
      <c r="B209" s="100" t="s">
        <v>616</v>
      </c>
      <c r="C209" s="100" t="s">
        <v>224</v>
      </c>
      <c r="D209" s="101" t="s">
        <v>612</v>
      </c>
      <c r="E209" s="100" t="s">
        <v>105</v>
      </c>
      <c r="F209" s="100" t="s">
        <v>613</v>
      </c>
      <c r="G209" s="100">
        <v>3</v>
      </c>
      <c r="H209" s="93">
        <v>6</v>
      </c>
      <c r="I209" s="102">
        <v>27923</v>
      </c>
      <c r="J209" s="103">
        <f>RANK(I209,I$2:$I$284)</f>
        <v>204</v>
      </c>
      <c r="K209" s="93">
        <v>2</v>
      </c>
      <c r="L209" s="55">
        <v>0</v>
      </c>
      <c r="M209" s="104">
        <v>0.92999999999999994</v>
      </c>
      <c r="N209" s="105">
        <v>6</v>
      </c>
      <c r="O209" s="100">
        <v>2</v>
      </c>
      <c r="P209" s="55">
        <v>0</v>
      </c>
      <c r="Q209" s="100">
        <v>13</v>
      </c>
      <c r="R209" s="55">
        <v>4</v>
      </c>
      <c r="S209" s="106">
        <v>0</v>
      </c>
      <c r="T209" s="93" t="s">
        <v>615</v>
      </c>
    </row>
    <row r="210" spans="1:20" x14ac:dyDescent="0.25">
      <c r="A210" s="117">
        <v>540236</v>
      </c>
      <c r="B210" s="100" t="s">
        <v>616</v>
      </c>
      <c r="C210" s="100" t="s">
        <v>284</v>
      </c>
      <c r="D210" s="101" t="s">
        <v>612</v>
      </c>
      <c r="E210" s="100" t="s">
        <v>9</v>
      </c>
      <c r="F210" s="100" t="s">
        <v>613</v>
      </c>
      <c r="G210" s="100">
        <v>3</v>
      </c>
      <c r="H210" s="93">
        <v>15</v>
      </c>
      <c r="I210" s="102">
        <v>5109</v>
      </c>
      <c r="J210" s="103">
        <f>RANK(I210,I$2:$I$284)</f>
        <v>233</v>
      </c>
      <c r="K210" s="93">
        <v>4</v>
      </c>
      <c r="L210" s="55">
        <v>0</v>
      </c>
      <c r="M210" s="104">
        <v>0.94</v>
      </c>
      <c r="N210" s="105">
        <v>6</v>
      </c>
      <c r="O210" s="100">
        <v>1</v>
      </c>
      <c r="P210" s="55">
        <v>0</v>
      </c>
      <c r="Q210" s="100">
        <v>1</v>
      </c>
      <c r="R210" s="55">
        <v>6</v>
      </c>
      <c r="S210" s="106">
        <v>0</v>
      </c>
      <c r="T210" s="93" t="s">
        <v>615</v>
      </c>
    </row>
    <row r="211" spans="1:20" x14ac:dyDescent="0.25">
      <c r="A211" s="117">
        <v>540291</v>
      </c>
      <c r="B211" s="100" t="s">
        <v>616</v>
      </c>
      <c r="C211" s="100" t="s">
        <v>328</v>
      </c>
      <c r="D211" s="101" t="s">
        <v>612</v>
      </c>
      <c r="E211" s="100" t="s">
        <v>51</v>
      </c>
      <c r="F211" s="100" t="s">
        <v>613</v>
      </c>
      <c r="G211" s="100">
        <v>3</v>
      </c>
      <c r="H211" s="93">
        <v>13</v>
      </c>
      <c r="I211" s="102">
        <v>646</v>
      </c>
      <c r="J211" s="103">
        <f>RANK(I211,I$2:$I$284)</f>
        <v>246</v>
      </c>
      <c r="K211" s="93">
        <v>1</v>
      </c>
      <c r="L211" s="55">
        <v>0</v>
      </c>
      <c r="M211" s="104">
        <v>0.91</v>
      </c>
      <c r="N211" s="105">
        <v>6</v>
      </c>
      <c r="O211" s="100">
        <v>0</v>
      </c>
      <c r="P211" s="55">
        <v>0</v>
      </c>
      <c r="Q211" s="100">
        <v>202</v>
      </c>
      <c r="R211" s="55">
        <v>1</v>
      </c>
      <c r="S211" s="106">
        <v>0</v>
      </c>
      <c r="T211" s="93" t="s">
        <v>615</v>
      </c>
    </row>
    <row r="212" spans="1:20" x14ac:dyDescent="0.25">
      <c r="A212" s="117">
        <v>540148</v>
      </c>
      <c r="B212" s="100" t="s">
        <v>616</v>
      </c>
      <c r="C212" s="100" t="s">
        <v>226</v>
      </c>
      <c r="D212" s="101" t="s">
        <v>612</v>
      </c>
      <c r="E212" s="100" t="s">
        <v>63</v>
      </c>
      <c r="F212" s="100" t="s">
        <v>613</v>
      </c>
      <c r="G212" s="100">
        <v>3</v>
      </c>
      <c r="H212" s="93">
        <v>13</v>
      </c>
      <c r="I212" s="102">
        <v>43540</v>
      </c>
      <c r="J212" s="103">
        <f>RANK(I212,I$2:$I$284)</f>
        <v>192</v>
      </c>
      <c r="K212" s="93">
        <v>5</v>
      </c>
      <c r="L212" s="55">
        <v>2</v>
      </c>
      <c r="M212" s="104">
        <v>0.83</v>
      </c>
      <c r="N212" s="105">
        <v>6</v>
      </c>
      <c r="O212" s="100">
        <v>0</v>
      </c>
      <c r="P212" s="55">
        <v>2</v>
      </c>
      <c r="Q212" s="100">
        <v>14</v>
      </c>
      <c r="R212" s="55">
        <v>8</v>
      </c>
      <c r="S212" s="106">
        <v>0</v>
      </c>
      <c r="T212" s="93" t="s">
        <v>615</v>
      </c>
    </row>
    <row r="213" spans="1:20" x14ac:dyDescent="0.25">
      <c r="A213" s="117">
        <v>540060</v>
      </c>
      <c r="B213" s="100" t="s">
        <v>616</v>
      </c>
      <c r="C213" s="100" t="s">
        <v>158</v>
      </c>
      <c r="D213" s="101" t="s">
        <v>612</v>
      </c>
      <c r="E213" s="100" t="s">
        <v>33</v>
      </c>
      <c r="F213" s="100" t="s">
        <v>613</v>
      </c>
      <c r="G213" s="100">
        <v>3</v>
      </c>
      <c r="H213" s="93">
        <v>13</v>
      </c>
      <c r="I213" s="102">
        <v>172346</v>
      </c>
      <c r="J213" s="103">
        <f>RANK(I213,I$2:$I$284)</f>
        <v>141</v>
      </c>
      <c r="K213" s="93">
        <v>40</v>
      </c>
      <c r="L213" s="55">
        <v>0</v>
      </c>
      <c r="M213" s="104">
        <v>0.9</v>
      </c>
      <c r="N213" s="105">
        <v>5</v>
      </c>
      <c r="O213" s="100">
        <v>3</v>
      </c>
      <c r="P213" s="55">
        <v>17</v>
      </c>
      <c r="Q213" s="100">
        <v>26</v>
      </c>
      <c r="R213" s="55">
        <v>1</v>
      </c>
      <c r="S213" s="106">
        <v>0</v>
      </c>
      <c r="T213" s="93" t="s">
        <v>615</v>
      </c>
    </row>
    <row r="214" spans="1:20" x14ac:dyDescent="0.25">
      <c r="A214" s="117">
        <v>540272</v>
      </c>
      <c r="B214" s="100" t="s">
        <v>616</v>
      </c>
      <c r="C214" s="100" t="s">
        <v>315</v>
      </c>
      <c r="D214" s="101" t="s">
        <v>612</v>
      </c>
      <c r="E214" s="100" t="s">
        <v>59</v>
      </c>
      <c r="F214" s="100" t="s">
        <v>613</v>
      </c>
      <c r="G214" s="100">
        <v>3</v>
      </c>
      <c r="H214" s="93">
        <v>11</v>
      </c>
      <c r="I214" s="102">
        <v>54650</v>
      </c>
      <c r="J214" s="103">
        <f>RANK(I214,I$2:$I$284)</f>
        <v>184</v>
      </c>
      <c r="K214" s="93">
        <v>14</v>
      </c>
      <c r="L214" s="55">
        <v>0</v>
      </c>
      <c r="M214" s="104">
        <v>0.89</v>
      </c>
      <c r="N214" s="105">
        <v>5</v>
      </c>
      <c r="O214" s="100">
        <v>3</v>
      </c>
      <c r="P214" s="55">
        <v>5</v>
      </c>
      <c r="Q214" s="100">
        <v>11</v>
      </c>
      <c r="R214" s="55">
        <v>0</v>
      </c>
      <c r="S214" s="106">
        <v>0</v>
      </c>
      <c r="T214" s="93" t="s">
        <v>615</v>
      </c>
    </row>
    <row r="215" spans="1:20" x14ac:dyDescent="0.25">
      <c r="A215" s="117">
        <v>540252</v>
      </c>
      <c r="B215" s="100" t="s">
        <v>616</v>
      </c>
      <c r="C215" s="100" t="s">
        <v>298</v>
      </c>
      <c r="D215" s="101" t="s">
        <v>612</v>
      </c>
      <c r="E215" s="100" t="s">
        <v>61</v>
      </c>
      <c r="F215" s="100" t="s">
        <v>613</v>
      </c>
      <c r="G215" s="100">
        <v>3</v>
      </c>
      <c r="H215" s="93">
        <v>8</v>
      </c>
      <c r="I215" s="102">
        <v>79551</v>
      </c>
      <c r="J215" s="103">
        <f>RANK(I215,I$2:$I$284)</f>
        <v>173</v>
      </c>
      <c r="K215" s="93">
        <v>6</v>
      </c>
      <c r="L215" s="55">
        <v>0</v>
      </c>
      <c r="M215" s="104">
        <v>0.85</v>
      </c>
      <c r="N215" s="105">
        <v>5</v>
      </c>
      <c r="O215" s="100">
        <v>3</v>
      </c>
      <c r="P215" s="55">
        <v>0</v>
      </c>
      <c r="Q215" s="100">
        <v>10</v>
      </c>
      <c r="R215" s="55">
        <v>7</v>
      </c>
      <c r="S215" s="106">
        <v>0</v>
      </c>
      <c r="T215" s="93" t="s">
        <v>615</v>
      </c>
    </row>
    <row r="216" spans="1:20" x14ac:dyDescent="0.25">
      <c r="A216" s="117">
        <v>540031</v>
      </c>
      <c r="B216" s="100" t="s">
        <v>616</v>
      </c>
      <c r="C216" s="100" t="s">
        <v>136</v>
      </c>
      <c r="D216" s="101" t="s">
        <v>612</v>
      </c>
      <c r="E216" s="100" t="s">
        <v>21</v>
      </c>
      <c r="F216" s="100" t="s">
        <v>613</v>
      </c>
      <c r="G216" s="100">
        <v>3</v>
      </c>
      <c r="H216" s="93">
        <v>11</v>
      </c>
      <c r="I216" s="102">
        <v>55583</v>
      </c>
      <c r="J216" s="103">
        <f>RANK(I216,I$2:$I$284)</f>
        <v>183</v>
      </c>
      <c r="K216" s="93">
        <v>5</v>
      </c>
      <c r="L216" s="55">
        <v>0</v>
      </c>
      <c r="M216" s="104">
        <v>0.91</v>
      </c>
      <c r="N216" s="105">
        <v>5</v>
      </c>
      <c r="O216" s="100">
        <v>2</v>
      </c>
      <c r="P216" s="55">
        <v>0</v>
      </c>
      <c r="Q216" s="100">
        <v>36</v>
      </c>
      <c r="R216" s="55">
        <v>1</v>
      </c>
      <c r="S216" s="106">
        <v>0</v>
      </c>
      <c r="T216" s="93" t="s">
        <v>615</v>
      </c>
    </row>
    <row r="217" spans="1:20" x14ac:dyDescent="0.25">
      <c r="A217" s="117">
        <v>540078</v>
      </c>
      <c r="B217" s="100" t="s">
        <v>616</v>
      </c>
      <c r="C217" s="100" t="s">
        <v>173</v>
      </c>
      <c r="D217" s="101" t="s">
        <v>612</v>
      </c>
      <c r="E217" s="100" t="s">
        <v>39</v>
      </c>
      <c r="F217" s="100" t="s">
        <v>613</v>
      </c>
      <c r="G217" s="100">
        <v>3</v>
      </c>
      <c r="H217" s="93">
        <v>16</v>
      </c>
      <c r="I217" s="102">
        <v>1076</v>
      </c>
      <c r="J217" s="103">
        <f>RANK(I217,I$2:$I$284)</f>
        <v>243</v>
      </c>
      <c r="K217" s="93">
        <v>1</v>
      </c>
      <c r="L217" s="55">
        <v>0</v>
      </c>
      <c r="M217" s="104">
        <v>0.83</v>
      </c>
      <c r="N217" s="105">
        <v>5</v>
      </c>
      <c r="O217" s="100">
        <v>2</v>
      </c>
      <c r="P217" s="55">
        <v>0</v>
      </c>
      <c r="Q217" s="100">
        <v>169</v>
      </c>
      <c r="R217" s="55">
        <v>3</v>
      </c>
      <c r="S217" s="106">
        <v>0</v>
      </c>
      <c r="T217" s="93" t="s">
        <v>615</v>
      </c>
    </row>
    <row r="218" spans="1:20" x14ac:dyDescent="0.25">
      <c r="A218" s="117">
        <v>540189</v>
      </c>
      <c r="B218" s="100" t="s">
        <v>616</v>
      </c>
      <c r="C218" s="100" t="s">
        <v>256</v>
      </c>
      <c r="D218" s="101" t="s">
        <v>612</v>
      </c>
      <c r="E218" s="100" t="s">
        <v>81</v>
      </c>
      <c r="F218" s="100" t="s">
        <v>613</v>
      </c>
      <c r="G218" s="100">
        <v>3</v>
      </c>
      <c r="H218" s="93">
        <v>11</v>
      </c>
      <c r="I218" s="102">
        <v>1485</v>
      </c>
      <c r="J218" s="103">
        <f>RANK(I218,I$2:$I$284)</f>
        <v>241</v>
      </c>
      <c r="K218" s="93">
        <v>2</v>
      </c>
      <c r="L218" s="55">
        <v>0</v>
      </c>
      <c r="M218" s="104">
        <v>0.89</v>
      </c>
      <c r="N218" s="105">
        <v>5</v>
      </c>
      <c r="O218" s="100">
        <v>2</v>
      </c>
      <c r="P218" s="55">
        <v>0</v>
      </c>
      <c r="Q218" s="100">
        <v>3</v>
      </c>
      <c r="R218" s="55">
        <v>2</v>
      </c>
      <c r="S218" s="106">
        <v>0</v>
      </c>
      <c r="T218" s="93" t="s">
        <v>615</v>
      </c>
    </row>
    <row r="219" spans="1:20" x14ac:dyDescent="0.25">
      <c r="A219" s="117">
        <v>540202</v>
      </c>
      <c r="B219" s="100" t="s">
        <v>616</v>
      </c>
      <c r="C219" s="100" t="s">
        <v>262</v>
      </c>
      <c r="D219" s="101" t="s">
        <v>612</v>
      </c>
      <c r="E219" s="100" t="s">
        <v>85</v>
      </c>
      <c r="F219" s="100" t="s">
        <v>613</v>
      </c>
      <c r="G219" s="100">
        <v>3</v>
      </c>
      <c r="H219" s="93">
        <v>16</v>
      </c>
      <c r="I219" s="102">
        <v>197726</v>
      </c>
      <c r="J219" s="103">
        <f>RANK(I219,I$2:$I$284)</f>
        <v>137</v>
      </c>
      <c r="K219" s="93">
        <v>8</v>
      </c>
      <c r="L219" s="55">
        <v>0</v>
      </c>
      <c r="M219" s="104">
        <v>0.94</v>
      </c>
      <c r="N219" s="105">
        <v>5</v>
      </c>
      <c r="O219" s="100">
        <v>2</v>
      </c>
      <c r="P219" s="55">
        <v>3</v>
      </c>
      <c r="Q219" s="100">
        <v>18</v>
      </c>
      <c r="R219" s="55">
        <v>5</v>
      </c>
      <c r="S219" s="106">
        <v>0</v>
      </c>
      <c r="T219" s="93" t="s">
        <v>615</v>
      </c>
    </row>
    <row r="220" spans="1:20" x14ac:dyDescent="0.25">
      <c r="A220" s="117">
        <v>540086</v>
      </c>
      <c r="B220" s="100" t="s">
        <v>616</v>
      </c>
      <c r="C220" s="100" t="s">
        <v>179</v>
      </c>
      <c r="D220" s="101" t="s">
        <v>612</v>
      </c>
      <c r="E220" s="100" t="s">
        <v>41</v>
      </c>
      <c r="F220" s="100" t="s">
        <v>613</v>
      </c>
      <c r="G220" s="100">
        <v>3</v>
      </c>
      <c r="H220" s="93">
        <v>15</v>
      </c>
      <c r="I220" s="102">
        <v>36439</v>
      </c>
      <c r="J220" s="103">
        <f>RANK(I220,I$2:$I$284)</f>
        <v>196</v>
      </c>
      <c r="K220" s="93">
        <v>6</v>
      </c>
      <c r="L220" s="55">
        <v>0</v>
      </c>
      <c r="M220" s="104">
        <v>0.92999999999999994</v>
      </c>
      <c r="N220" s="105">
        <v>5</v>
      </c>
      <c r="O220" s="100">
        <v>1</v>
      </c>
      <c r="P220" s="55">
        <v>0</v>
      </c>
      <c r="Q220" s="100">
        <v>0</v>
      </c>
      <c r="R220" s="55">
        <v>5</v>
      </c>
      <c r="S220" s="106">
        <v>0</v>
      </c>
      <c r="T220" s="93" t="s">
        <v>615</v>
      </c>
    </row>
    <row r="221" spans="1:20" x14ac:dyDescent="0.25">
      <c r="A221" s="117">
        <v>540010</v>
      </c>
      <c r="B221" s="100" t="s">
        <v>616</v>
      </c>
      <c r="C221" s="100" t="s">
        <v>121</v>
      </c>
      <c r="D221" s="101" t="s">
        <v>612</v>
      </c>
      <c r="E221" s="100" t="s">
        <v>9</v>
      </c>
      <c r="F221" s="100" t="s">
        <v>613</v>
      </c>
      <c r="G221" s="100">
        <v>3</v>
      </c>
      <c r="H221" s="93">
        <v>15</v>
      </c>
      <c r="I221" s="102">
        <v>215092</v>
      </c>
      <c r="J221" s="103">
        <f>RANK(I221,I$2:$I$284)</f>
        <v>132</v>
      </c>
      <c r="K221" s="93">
        <v>8</v>
      </c>
      <c r="L221" s="55">
        <v>0</v>
      </c>
      <c r="M221" s="104">
        <v>0.94</v>
      </c>
      <c r="N221" s="105">
        <v>5</v>
      </c>
      <c r="O221" s="100">
        <v>0</v>
      </c>
      <c r="P221" s="55">
        <v>2</v>
      </c>
      <c r="Q221" s="100">
        <v>1</v>
      </c>
      <c r="R221" s="55">
        <v>3</v>
      </c>
      <c r="S221" s="106">
        <v>0</v>
      </c>
      <c r="T221" s="93" t="s">
        <v>615</v>
      </c>
    </row>
    <row r="222" spans="1:20" x14ac:dyDescent="0.25">
      <c r="A222" s="117">
        <v>540293</v>
      </c>
      <c r="B222" s="100" t="s">
        <v>616</v>
      </c>
      <c r="C222" s="100" t="s">
        <v>330</v>
      </c>
      <c r="D222" s="101" t="s">
        <v>612</v>
      </c>
      <c r="E222" s="100" t="s">
        <v>21</v>
      </c>
      <c r="F222" s="100" t="s">
        <v>613</v>
      </c>
      <c r="G222" s="100">
        <v>3</v>
      </c>
      <c r="H222" s="93">
        <v>11</v>
      </c>
      <c r="I222" s="102">
        <v>0</v>
      </c>
      <c r="J222" s="103">
        <f>RANK(I222,I$2:$I$284)</f>
        <v>248</v>
      </c>
      <c r="K222" s="93">
        <v>1</v>
      </c>
      <c r="L222" s="55" t="s">
        <v>614</v>
      </c>
      <c r="M222" s="104">
        <v>0.91</v>
      </c>
      <c r="N222" s="105">
        <v>5</v>
      </c>
      <c r="O222" s="100">
        <v>0</v>
      </c>
      <c r="P222" s="55" t="s">
        <v>614</v>
      </c>
      <c r="Q222" s="100">
        <v>36</v>
      </c>
      <c r="R222" s="55" t="s">
        <v>614</v>
      </c>
      <c r="S222" s="106">
        <v>0</v>
      </c>
      <c r="T222" s="93" t="s">
        <v>615</v>
      </c>
    </row>
    <row r="223" spans="1:20" x14ac:dyDescent="0.25">
      <c r="A223" s="117">
        <v>540281</v>
      </c>
      <c r="B223" s="100" t="s">
        <v>616</v>
      </c>
      <c r="C223" s="100" t="s">
        <v>322</v>
      </c>
      <c r="D223" s="101" t="s">
        <v>612</v>
      </c>
      <c r="E223" s="100" t="s">
        <v>27</v>
      </c>
      <c r="F223" s="100" t="s">
        <v>613</v>
      </c>
      <c r="G223" s="100">
        <v>3</v>
      </c>
      <c r="H223" s="93">
        <v>9</v>
      </c>
      <c r="I223" s="102">
        <v>12000</v>
      </c>
      <c r="J223" s="103">
        <f>RANK(I223,I$2:$I$284)</f>
        <v>221</v>
      </c>
      <c r="K223" s="93">
        <v>1</v>
      </c>
      <c r="L223" s="55">
        <v>0</v>
      </c>
      <c r="M223" s="104">
        <v>0.76</v>
      </c>
      <c r="N223" s="105">
        <v>5</v>
      </c>
      <c r="O223" s="100">
        <v>0</v>
      </c>
      <c r="P223" s="55">
        <v>0</v>
      </c>
      <c r="Q223" s="100">
        <v>60</v>
      </c>
      <c r="R223" s="55">
        <v>0</v>
      </c>
      <c r="S223" s="106">
        <v>0</v>
      </c>
      <c r="T223" s="93" t="s">
        <v>615</v>
      </c>
    </row>
    <row r="224" spans="1:20" x14ac:dyDescent="0.25">
      <c r="A224" s="117">
        <v>545539</v>
      </c>
      <c r="B224" s="100" t="s">
        <v>616</v>
      </c>
      <c r="C224" s="100" t="s">
        <v>335</v>
      </c>
      <c r="D224" s="101" t="s">
        <v>612</v>
      </c>
      <c r="E224" s="100" t="s">
        <v>111</v>
      </c>
      <c r="F224" s="100" t="s">
        <v>613</v>
      </c>
      <c r="G224" s="100">
        <v>3</v>
      </c>
      <c r="H224" s="93">
        <v>18</v>
      </c>
      <c r="I224" s="102">
        <v>28749</v>
      </c>
      <c r="J224" s="103">
        <f>RANK(I224,I$2:$I$284)</f>
        <v>203</v>
      </c>
      <c r="K224" s="93">
        <v>13</v>
      </c>
      <c r="L224" s="55">
        <v>4</v>
      </c>
      <c r="M224" s="104">
        <v>0.9</v>
      </c>
      <c r="N224" s="105">
        <v>5</v>
      </c>
      <c r="O224" s="100">
        <v>0</v>
      </c>
      <c r="P224" s="55">
        <v>4</v>
      </c>
      <c r="Q224" s="100">
        <v>65</v>
      </c>
      <c r="R224" s="55">
        <v>0</v>
      </c>
      <c r="S224" s="106">
        <v>0</v>
      </c>
      <c r="T224" s="93" t="s">
        <v>615</v>
      </c>
    </row>
    <row r="225" spans="1:20" x14ac:dyDescent="0.25">
      <c r="A225" s="117">
        <v>540237</v>
      </c>
      <c r="B225" s="100" t="s">
        <v>616</v>
      </c>
      <c r="C225" s="100" t="s">
        <v>285</v>
      </c>
      <c r="D225" s="101" t="s">
        <v>612</v>
      </c>
      <c r="E225" s="100" t="s">
        <v>9</v>
      </c>
      <c r="F225" s="100" t="s">
        <v>613</v>
      </c>
      <c r="G225" s="100">
        <v>3</v>
      </c>
      <c r="H225" s="93">
        <v>15</v>
      </c>
      <c r="I225" s="102">
        <v>32587</v>
      </c>
      <c r="J225" s="103">
        <f>RANK(I225,I$2:$I$284)</f>
        <v>199</v>
      </c>
      <c r="K225" s="93">
        <v>2</v>
      </c>
      <c r="L225" s="55">
        <v>0</v>
      </c>
      <c r="M225" s="104">
        <v>0.94</v>
      </c>
      <c r="N225" s="105">
        <v>4</v>
      </c>
      <c r="O225" s="100">
        <v>4</v>
      </c>
      <c r="P225" s="55">
        <v>0</v>
      </c>
      <c r="Q225" s="100">
        <v>1</v>
      </c>
      <c r="R225" s="55">
        <v>5</v>
      </c>
      <c r="S225" s="106">
        <v>0</v>
      </c>
      <c r="T225" s="93" t="s">
        <v>615</v>
      </c>
    </row>
    <row r="226" spans="1:20" x14ac:dyDescent="0.25">
      <c r="A226" s="117">
        <v>540125</v>
      </c>
      <c r="B226" s="100" t="s">
        <v>616</v>
      </c>
      <c r="C226" s="100" t="s">
        <v>210</v>
      </c>
      <c r="D226" s="101" t="s">
        <v>612</v>
      </c>
      <c r="E226" s="100" t="s">
        <v>53</v>
      </c>
      <c r="F226" s="100" t="s">
        <v>613</v>
      </c>
      <c r="G226" s="100">
        <v>3</v>
      </c>
      <c r="H226" s="93">
        <v>13</v>
      </c>
      <c r="I226" s="102">
        <v>39528</v>
      </c>
      <c r="J226" s="103">
        <f>RANK(I226,I$2:$I$284)</f>
        <v>193</v>
      </c>
      <c r="K226" s="93">
        <v>9</v>
      </c>
      <c r="L226" s="55">
        <v>2</v>
      </c>
      <c r="M226" s="104">
        <v>0.92999999999999994</v>
      </c>
      <c r="N226" s="105">
        <v>4</v>
      </c>
      <c r="O226" s="100">
        <v>4</v>
      </c>
      <c r="P226" s="55">
        <v>4</v>
      </c>
      <c r="Q226" s="100">
        <v>48</v>
      </c>
      <c r="R226" s="55">
        <v>0</v>
      </c>
      <c r="S226" s="106">
        <v>0</v>
      </c>
      <c r="T226" s="93" t="s">
        <v>615</v>
      </c>
    </row>
    <row r="227" spans="1:20" x14ac:dyDescent="0.25">
      <c r="A227" s="117">
        <v>540058</v>
      </c>
      <c r="B227" s="100" t="s">
        <v>616</v>
      </c>
      <c r="C227" s="100" t="s">
        <v>156</v>
      </c>
      <c r="D227" s="101" t="s">
        <v>612</v>
      </c>
      <c r="E227" s="100" t="s">
        <v>33</v>
      </c>
      <c r="F227" s="100" t="s">
        <v>613</v>
      </c>
      <c r="G227" s="100">
        <v>3</v>
      </c>
      <c r="H227" s="93">
        <v>13</v>
      </c>
      <c r="I227" s="102">
        <v>173021</v>
      </c>
      <c r="J227" s="103">
        <f>RANK(I227,I$2:$I$284)</f>
        <v>140</v>
      </c>
      <c r="K227" s="93">
        <v>24</v>
      </c>
      <c r="L227" s="55">
        <v>2</v>
      </c>
      <c r="M227" s="104">
        <v>0.9</v>
      </c>
      <c r="N227" s="105">
        <v>4</v>
      </c>
      <c r="O227" s="100">
        <v>3</v>
      </c>
      <c r="P227" s="55">
        <v>15</v>
      </c>
      <c r="Q227" s="100">
        <v>26</v>
      </c>
      <c r="R227" s="55">
        <v>1</v>
      </c>
      <c r="S227" s="106">
        <v>0</v>
      </c>
      <c r="T227" s="93" t="s">
        <v>615</v>
      </c>
    </row>
    <row r="228" spans="1:20" x14ac:dyDescent="0.25">
      <c r="A228" s="117">
        <v>540079</v>
      </c>
      <c r="B228" s="100" t="s">
        <v>616</v>
      </c>
      <c r="C228" s="100" t="s">
        <v>174</v>
      </c>
      <c r="D228" s="101" t="s">
        <v>612</v>
      </c>
      <c r="E228" s="100" t="s">
        <v>39</v>
      </c>
      <c r="F228" s="100" t="s">
        <v>613</v>
      </c>
      <c r="G228" s="100">
        <v>3</v>
      </c>
      <c r="H228" s="93">
        <v>16</v>
      </c>
      <c r="I228" s="102">
        <v>18614</v>
      </c>
      <c r="J228" s="103">
        <f>RANK(I228,I$2:$I$284)</f>
        <v>213</v>
      </c>
      <c r="K228" s="93">
        <v>8</v>
      </c>
      <c r="L228" s="55">
        <v>0</v>
      </c>
      <c r="M228" s="104">
        <v>0.83</v>
      </c>
      <c r="N228" s="105">
        <v>4</v>
      </c>
      <c r="O228" s="100">
        <v>2</v>
      </c>
      <c r="P228" s="55">
        <v>2</v>
      </c>
      <c r="Q228" s="100">
        <v>169</v>
      </c>
      <c r="R228" s="55">
        <v>0</v>
      </c>
      <c r="S228" s="106">
        <v>0</v>
      </c>
      <c r="T228" s="93" t="s">
        <v>615</v>
      </c>
    </row>
    <row r="229" spans="1:20" x14ac:dyDescent="0.25">
      <c r="A229" s="117">
        <v>540100</v>
      </c>
      <c r="B229" s="100" t="s">
        <v>616</v>
      </c>
      <c r="C229" s="100" t="s">
        <v>189</v>
      </c>
      <c r="D229" s="101" t="s">
        <v>612</v>
      </c>
      <c r="E229" s="100" t="s">
        <v>45</v>
      </c>
      <c r="F229" s="100" t="s">
        <v>613</v>
      </c>
      <c r="G229" s="100">
        <v>3</v>
      </c>
      <c r="H229" s="93">
        <v>11</v>
      </c>
      <c r="I229" s="102">
        <v>89777</v>
      </c>
      <c r="J229" s="103">
        <f>RANK(I229,I$2:$I$284)</f>
        <v>168</v>
      </c>
      <c r="K229" s="93">
        <v>8</v>
      </c>
      <c r="L229" s="55">
        <v>0</v>
      </c>
      <c r="M229" s="104">
        <v>0.86</v>
      </c>
      <c r="N229" s="105">
        <v>4</v>
      </c>
      <c r="O229" s="100">
        <v>2</v>
      </c>
      <c r="P229" s="55">
        <v>0</v>
      </c>
      <c r="Q229" s="100">
        <v>15</v>
      </c>
      <c r="R229" s="55">
        <v>2</v>
      </c>
      <c r="S229" s="106">
        <v>0</v>
      </c>
      <c r="T229" s="93" t="s">
        <v>615</v>
      </c>
    </row>
    <row r="230" spans="1:20" x14ac:dyDescent="0.25">
      <c r="A230" s="117">
        <v>540025</v>
      </c>
      <c r="B230" s="100" t="s">
        <v>616</v>
      </c>
      <c r="C230" s="100" t="s">
        <v>131</v>
      </c>
      <c r="D230" s="101" t="s">
        <v>612</v>
      </c>
      <c r="E230" s="100" t="s">
        <v>19</v>
      </c>
      <c r="F230" s="100" t="s">
        <v>613</v>
      </c>
      <c r="G230" s="100">
        <v>3</v>
      </c>
      <c r="H230" s="93">
        <v>13</v>
      </c>
      <c r="I230" s="102">
        <v>110421</v>
      </c>
      <c r="J230" s="103">
        <f>RANK(I230,I$2:$I$284)</f>
        <v>161</v>
      </c>
      <c r="K230" s="93">
        <v>16</v>
      </c>
      <c r="L230" s="55">
        <v>0</v>
      </c>
      <c r="M230" s="104">
        <v>0.94</v>
      </c>
      <c r="N230" s="105">
        <v>4</v>
      </c>
      <c r="O230" s="100">
        <v>1</v>
      </c>
      <c r="P230" s="55">
        <v>5</v>
      </c>
      <c r="Q230" s="100">
        <v>0</v>
      </c>
      <c r="R230" s="55">
        <v>4</v>
      </c>
      <c r="S230" s="106">
        <v>0</v>
      </c>
      <c r="T230" s="93" t="s">
        <v>615</v>
      </c>
    </row>
    <row r="231" spans="1:20" x14ac:dyDescent="0.25">
      <c r="A231" s="117">
        <v>540029</v>
      </c>
      <c r="B231" s="100" t="s">
        <v>616</v>
      </c>
      <c r="C231" s="100" t="s">
        <v>134</v>
      </c>
      <c r="D231" s="101" t="s">
        <v>612</v>
      </c>
      <c r="E231" s="100" t="s">
        <v>623</v>
      </c>
      <c r="F231" s="100" t="s">
        <v>613</v>
      </c>
      <c r="G231" s="100">
        <v>3</v>
      </c>
      <c r="H231" s="93">
        <v>13.5</v>
      </c>
      <c r="I231" s="102">
        <v>400</v>
      </c>
      <c r="J231" s="103">
        <f>RANK(I231,I$2:$I$284)</f>
        <v>247</v>
      </c>
      <c r="K231" s="93">
        <v>2</v>
      </c>
      <c r="L231" s="55">
        <v>0</v>
      </c>
      <c r="M231" s="104">
        <v>0.87</v>
      </c>
      <c r="N231" s="105">
        <v>4</v>
      </c>
      <c r="O231" s="100">
        <v>1</v>
      </c>
      <c r="P231" s="55">
        <v>0</v>
      </c>
      <c r="Q231" s="100">
        <v>102.5</v>
      </c>
      <c r="R231" s="55">
        <v>4</v>
      </c>
      <c r="S231" s="106">
        <v>0</v>
      </c>
      <c r="T231" s="93" t="s">
        <v>615</v>
      </c>
    </row>
    <row r="232" spans="1:20" x14ac:dyDescent="0.25">
      <c r="A232" s="117">
        <v>540173</v>
      </c>
      <c r="B232" s="100" t="s">
        <v>616</v>
      </c>
      <c r="C232" s="100" t="s">
        <v>245</v>
      </c>
      <c r="D232" s="101" t="s">
        <v>612</v>
      </c>
      <c r="E232" s="100" t="s">
        <v>73</v>
      </c>
      <c r="F232" s="100" t="s">
        <v>613</v>
      </c>
      <c r="G232" s="100">
        <v>3</v>
      </c>
      <c r="H232" s="93">
        <v>13</v>
      </c>
      <c r="I232" s="102">
        <v>52323</v>
      </c>
      <c r="J232" s="103">
        <f>RANK(I232,I$2:$I$284)</f>
        <v>188</v>
      </c>
      <c r="K232" s="93">
        <v>9</v>
      </c>
      <c r="L232" s="55">
        <v>0</v>
      </c>
      <c r="M232" s="104">
        <v>0.92999999999999994</v>
      </c>
      <c r="N232" s="105">
        <v>3</v>
      </c>
      <c r="O232" s="100">
        <v>3</v>
      </c>
      <c r="P232" s="55">
        <v>3</v>
      </c>
      <c r="Q232" s="100">
        <v>55</v>
      </c>
      <c r="R232" s="55">
        <v>1</v>
      </c>
      <c r="S232" s="106">
        <v>0</v>
      </c>
      <c r="T232" s="93" t="s">
        <v>615</v>
      </c>
    </row>
    <row r="233" spans="1:20" x14ac:dyDescent="0.25">
      <c r="A233" s="117">
        <v>540265</v>
      </c>
      <c r="B233" s="100" t="s">
        <v>616</v>
      </c>
      <c r="C233" s="100" t="s">
        <v>308</v>
      </c>
      <c r="D233" s="101" t="s">
        <v>612</v>
      </c>
      <c r="E233" s="100" t="s">
        <v>75</v>
      </c>
      <c r="F233" s="100" t="s">
        <v>613</v>
      </c>
      <c r="G233" s="100">
        <v>3</v>
      </c>
      <c r="H233" s="93">
        <v>11</v>
      </c>
      <c r="I233" s="102">
        <v>0</v>
      </c>
      <c r="J233" s="103">
        <f>RANK(I233,I$2:$I$284)</f>
        <v>248</v>
      </c>
      <c r="K233" s="93">
        <v>0</v>
      </c>
      <c r="L233" s="55">
        <v>0</v>
      </c>
      <c r="M233" s="104">
        <v>0.9</v>
      </c>
      <c r="N233" s="105">
        <v>3</v>
      </c>
      <c r="O233" s="100">
        <v>2</v>
      </c>
      <c r="P233" s="55">
        <v>0</v>
      </c>
      <c r="Q233" s="100">
        <v>47</v>
      </c>
      <c r="R233" s="55">
        <v>6</v>
      </c>
      <c r="S233" s="106">
        <v>0</v>
      </c>
      <c r="T233" s="93" t="s">
        <v>615</v>
      </c>
    </row>
    <row r="234" spans="1:20" x14ac:dyDescent="0.25">
      <c r="A234" s="117">
        <v>540046</v>
      </c>
      <c r="B234" s="100" t="s">
        <v>616</v>
      </c>
      <c r="C234" s="100" t="s">
        <v>147</v>
      </c>
      <c r="D234" s="101" t="s">
        <v>612</v>
      </c>
      <c r="E234" s="100" t="s">
        <v>101</v>
      </c>
      <c r="F234" s="100" t="s">
        <v>613</v>
      </c>
      <c r="G234" s="100">
        <v>3</v>
      </c>
      <c r="H234" s="93">
        <v>7</v>
      </c>
      <c r="I234" s="102">
        <v>271403</v>
      </c>
      <c r="J234" s="103">
        <f>RANK(I234,I$2:$I$284)</f>
        <v>126</v>
      </c>
      <c r="K234" s="93">
        <v>14</v>
      </c>
      <c r="L234" s="55">
        <v>2</v>
      </c>
      <c r="M234" s="104">
        <v>0.92999999999999994</v>
      </c>
      <c r="N234" s="105">
        <v>3</v>
      </c>
      <c r="O234" s="100">
        <v>1</v>
      </c>
      <c r="P234" s="55">
        <v>8</v>
      </c>
      <c r="Q234" s="100">
        <v>8</v>
      </c>
      <c r="R234" s="55">
        <v>7</v>
      </c>
      <c r="S234" s="106">
        <v>0</v>
      </c>
      <c r="T234" s="93" t="s">
        <v>615</v>
      </c>
    </row>
    <row r="235" spans="1:20" x14ac:dyDescent="0.25">
      <c r="A235" s="117">
        <v>540054</v>
      </c>
      <c r="B235" s="100" t="s">
        <v>616</v>
      </c>
      <c r="C235" s="100" t="s">
        <v>152</v>
      </c>
      <c r="D235" s="101" t="s">
        <v>612</v>
      </c>
      <c r="E235" s="100" t="s">
        <v>33</v>
      </c>
      <c r="F235" s="100" t="s">
        <v>613</v>
      </c>
      <c r="G235" s="100">
        <v>3</v>
      </c>
      <c r="H235" s="93">
        <v>13</v>
      </c>
      <c r="I235" s="102">
        <v>61886</v>
      </c>
      <c r="J235" s="103">
        <f>RANK(I235,I$2:$I$284)</f>
        <v>179</v>
      </c>
      <c r="K235" s="93">
        <v>4</v>
      </c>
      <c r="L235" s="55">
        <v>0</v>
      </c>
      <c r="M235" s="104">
        <v>0.9</v>
      </c>
      <c r="N235" s="105">
        <v>3</v>
      </c>
      <c r="O235" s="100">
        <v>1</v>
      </c>
      <c r="P235" s="55">
        <v>0</v>
      </c>
      <c r="Q235" s="100">
        <v>26</v>
      </c>
      <c r="R235" s="55">
        <v>0</v>
      </c>
      <c r="S235" s="106">
        <v>0</v>
      </c>
      <c r="T235" s="93" t="s">
        <v>615</v>
      </c>
    </row>
    <row r="236" spans="1:20" x14ac:dyDescent="0.25">
      <c r="A236" s="117">
        <v>540061</v>
      </c>
      <c r="B236" s="100" t="s">
        <v>616</v>
      </c>
      <c r="C236" s="100" t="s">
        <v>159</v>
      </c>
      <c r="D236" s="101" t="s">
        <v>612</v>
      </c>
      <c r="E236" s="100" t="s">
        <v>33</v>
      </c>
      <c r="F236" s="100" t="s">
        <v>613</v>
      </c>
      <c r="G236" s="100">
        <v>3</v>
      </c>
      <c r="H236" s="93">
        <v>13</v>
      </c>
      <c r="I236" s="102">
        <v>11677</v>
      </c>
      <c r="J236" s="103">
        <f>RANK(I236,I$2:$I$284)</f>
        <v>223</v>
      </c>
      <c r="K236" s="93">
        <v>4</v>
      </c>
      <c r="L236" s="55">
        <v>2</v>
      </c>
      <c r="M236" s="104">
        <v>0.9</v>
      </c>
      <c r="N236" s="105">
        <v>3</v>
      </c>
      <c r="O236" s="100">
        <v>1</v>
      </c>
      <c r="P236" s="55">
        <v>2</v>
      </c>
      <c r="Q236" s="100">
        <v>26</v>
      </c>
      <c r="R236" s="55">
        <v>4</v>
      </c>
      <c r="S236" s="106">
        <v>0</v>
      </c>
      <c r="T236" s="93" t="s">
        <v>615</v>
      </c>
    </row>
    <row r="237" spans="1:20" x14ac:dyDescent="0.25">
      <c r="A237" s="117">
        <v>540067</v>
      </c>
      <c r="B237" s="100" t="s">
        <v>616</v>
      </c>
      <c r="C237" s="100" t="s">
        <v>163</v>
      </c>
      <c r="D237" s="101" t="s">
        <v>612</v>
      </c>
      <c r="E237" s="100" t="s">
        <v>37</v>
      </c>
      <c r="F237" s="100" t="s">
        <v>613</v>
      </c>
      <c r="G237" s="100">
        <v>3</v>
      </c>
      <c r="H237" s="93">
        <v>8</v>
      </c>
      <c r="I237" s="102">
        <v>703419</v>
      </c>
      <c r="J237" s="103">
        <f>RANK(I237,I$2:$I$284)</f>
        <v>83</v>
      </c>
      <c r="K237" s="93">
        <v>11</v>
      </c>
      <c r="L237" s="55">
        <v>0</v>
      </c>
      <c r="M237" s="104">
        <v>0.82000000000000006</v>
      </c>
      <c r="N237" s="105">
        <v>3</v>
      </c>
      <c r="O237" s="100">
        <v>1</v>
      </c>
      <c r="P237" s="55">
        <v>0</v>
      </c>
      <c r="Q237" s="100">
        <v>6</v>
      </c>
      <c r="R237" s="55">
        <v>6</v>
      </c>
      <c r="S237" s="106">
        <v>0</v>
      </c>
      <c r="T237" s="93" t="s">
        <v>615</v>
      </c>
    </row>
    <row r="238" spans="1:20" x14ac:dyDescent="0.25">
      <c r="A238" s="117">
        <v>540104</v>
      </c>
      <c r="B238" s="100" t="s">
        <v>616</v>
      </c>
      <c r="C238" s="100" t="s">
        <v>193</v>
      </c>
      <c r="D238" s="101" t="s">
        <v>612</v>
      </c>
      <c r="E238" s="100" t="s">
        <v>45</v>
      </c>
      <c r="F238" s="100" t="s">
        <v>613</v>
      </c>
      <c r="G238" s="100">
        <v>3</v>
      </c>
      <c r="H238" s="93">
        <v>11</v>
      </c>
      <c r="I238" s="102">
        <v>2144</v>
      </c>
      <c r="J238" s="103">
        <f>RANK(I238,I$2:$I$284)</f>
        <v>239</v>
      </c>
      <c r="K238" s="93">
        <v>1</v>
      </c>
      <c r="L238" s="55">
        <v>0</v>
      </c>
      <c r="M238" s="104">
        <v>0.86</v>
      </c>
      <c r="N238" s="105">
        <v>3</v>
      </c>
      <c r="O238" s="100">
        <v>1</v>
      </c>
      <c r="P238" s="55">
        <v>0</v>
      </c>
      <c r="Q238" s="100">
        <v>15</v>
      </c>
      <c r="R238" s="55">
        <v>1</v>
      </c>
      <c r="S238" s="106">
        <v>0</v>
      </c>
      <c r="T238" s="93" t="s">
        <v>615</v>
      </c>
    </row>
    <row r="239" spans="1:20" x14ac:dyDescent="0.25">
      <c r="A239" s="117">
        <v>540115</v>
      </c>
      <c r="B239" s="100" t="s">
        <v>616</v>
      </c>
      <c r="C239" s="100" t="s">
        <v>201</v>
      </c>
      <c r="D239" s="101" t="s">
        <v>612</v>
      </c>
      <c r="E239" s="100" t="s">
        <v>51</v>
      </c>
      <c r="F239" s="100" t="s">
        <v>613</v>
      </c>
      <c r="G239" s="100">
        <v>3</v>
      </c>
      <c r="H239" s="93">
        <v>13</v>
      </c>
      <c r="I239" s="102">
        <v>22985</v>
      </c>
      <c r="J239" s="103">
        <f>RANK(I239,I$2:$I$284)</f>
        <v>209</v>
      </c>
      <c r="K239" s="93">
        <v>10</v>
      </c>
      <c r="L239" s="55">
        <v>0</v>
      </c>
      <c r="M239" s="104">
        <v>0.91</v>
      </c>
      <c r="N239" s="105">
        <v>3</v>
      </c>
      <c r="O239" s="100">
        <v>1</v>
      </c>
      <c r="P239" s="55">
        <v>4</v>
      </c>
      <c r="Q239" s="100">
        <v>202</v>
      </c>
      <c r="R239" s="55">
        <v>0</v>
      </c>
      <c r="S239" s="106">
        <v>0</v>
      </c>
      <c r="T239" s="93" t="s">
        <v>615</v>
      </c>
    </row>
    <row r="240" spans="1:20" x14ac:dyDescent="0.25">
      <c r="A240" s="117">
        <v>540158</v>
      </c>
      <c r="B240" s="100" t="s">
        <v>616</v>
      </c>
      <c r="C240" s="100" t="s">
        <v>233</v>
      </c>
      <c r="D240" s="101" t="s">
        <v>612</v>
      </c>
      <c r="E240" s="100" t="s">
        <v>109</v>
      </c>
      <c r="F240" s="100" t="s">
        <v>613</v>
      </c>
      <c r="G240" s="100">
        <v>3</v>
      </c>
      <c r="H240" s="93">
        <v>10</v>
      </c>
      <c r="I240" s="102">
        <v>39249</v>
      </c>
      <c r="J240" s="103">
        <f>RANK(I240,I$2:$I$284)</f>
        <v>194</v>
      </c>
      <c r="K240" s="93">
        <v>5</v>
      </c>
      <c r="L240" s="55">
        <v>0</v>
      </c>
      <c r="M240" s="104">
        <v>0.79</v>
      </c>
      <c r="N240" s="105">
        <v>3</v>
      </c>
      <c r="O240" s="100">
        <v>1</v>
      </c>
      <c r="P240" s="55">
        <v>0</v>
      </c>
      <c r="Q240" s="100">
        <v>9</v>
      </c>
      <c r="R240" s="55">
        <v>0</v>
      </c>
      <c r="S240" s="106">
        <v>0</v>
      </c>
      <c r="T240" s="93" t="s">
        <v>615</v>
      </c>
    </row>
    <row r="241" spans="1:20" x14ac:dyDescent="0.25">
      <c r="A241" s="117">
        <v>540162</v>
      </c>
      <c r="B241" s="100" t="s">
        <v>616</v>
      </c>
      <c r="C241" s="100" t="s">
        <v>236</v>
      </c>
      <c r="D241" s="101" t="s">
        <v>612</v>
      </c>
      <c r="E241" s="100" t="s">
        <v>69</v>
      </c>
      <c r="F241" s="100" t="s">
        <v>613</v>
      </c>
      <c r="G241" s="100">
        <v>3</v>
      </c>
      <c r="H241" s="93">
        <v>11</v>
      </c>
      <c r="I241" s="102">
        <v>23740</v>
      </c>
      <c r="J241" s="103">
        <f>RANK(I241,I$2:$I$284)</f>
        <v>208</v>
      </c>
      <c r="K241" s="93">
        <v>4</v>
      </c>
      <c r="L241" s="55">
        <v>0</v>
      </c>
      <c r="M241" s="104">
        <v>0.9</v>
      </c>
      <c r="N241" s="105">
        <v>3</v>
      </c>
      <c r="O241" s="100">
        <v>1</v>
      </c>
      <c r="P241" s="55">
        <v>0</v>
      </c>
      <c r="Q241" s="100">
        <v>1</v>
      </c>
      <c r="R241" s="55">
        <v>1</v>
      </c>
      <c r="S241" s="106">
        <v>0</v>
      </c>
      <c r="T241" s="93" t="s">
        <v>615</v>
      </c>
    </row>
    <row r="242" spans="1:20" x14ac:dyDescent="0.25">
      <c r="A242" s="117">
        <v>540037</v>
      </c>
      <c r="B242" s="100" t="s">
        <v>616</v>
      </c>
      <c r="C242" s="100" t="s">
        <v>140</v>
      </c>
      <c r="D242" s="101" t="s">
        <v>612</v>
      </c>
      <c r="E242" s="100" t="s">
        <v>23</v>
      </c>
      <c r="F242" s="100" t="s">
        <v>613</v>
      </c>
      <c r="G242" s="100">
        <v>3</v>
      </c>
      <c r="H242" s="93">
        <v>15</v>
      </c>
      <c r="I242" s="102">
        <v>171975</v>
      </c>
      <c r="J242" s="103">
        <f>RANK(I242,I$2:$I$284)</f>
        <v>142</v>
      </c>
      <c r="K242" s="93">
        <v>31</v>
      </c>
      <c r="L242" s="55">
        <v>2</v>
      </c>
      <c r="M242" s="104">
        <v>0.89</v>
      </c>
      <c r="N242" s="105">
        <v>3</v>
      </c>
      <c r="O242" s="100">
        <v>0</v>
      </c>
      <c r="P242" s="55">
        <v>9</v>
      </c>
      <c r="Q242" s="100">
        <v>0</v>
      </c>
      <c r="R242" s="55">
        <v>1</v>
      </c>
      <c r="S242" s="106">
        <v>0</v>
      </c>
      <c r="T242" s="93" t="s">
        <v>615</v>
      </c>
    </row>
    <row r="243" spans="1:20" x14ac:dyDescent="0.25">
      <c r="A243" s="117">
        <v>540030</v>
      </c>
      <c r="B243" s="100" t="s">
        <v>616</v>
      </c>
      <c r="C243" s="100" t="s">
        <v>135</v>
      </c>
      <c r="D243" s="101" t="s">
        <v>612</v>
      </c>
      <c r="E243" s="100" t="s">
        <v>37</v>
      </c>
      <c r="F243" s="100" t="s">
        <v>613</v>
      </c>
      <c r="G243" s="100">
        <v>3</v>
      </c>
      <c r="H243" s="93">
        <v>8</v>
      </c>
      <c r="I243" s="102">
        <v>0</v>
      </c>
      <c r="J243" s="103">
        <f>RANK(I243,I$2:$I$284)</f>
        <v>248</v>
      </c>
      <c r="K243" s="93">
        <v>0</v>
      </c>
      <c r="L243" s="55" t="s">
        <v>614</v>
      </c>
      <c r="M243" s="104">
        <v>0.82000000000000006</v>
      </c>
      <c r="N243" s="105">
        <v>3</v>
      </c>
      <c r="O243" s="100">
        <v>0</v>
      </c>
      <c r="P243" s="55" t="s">
        <v>614</v>
      </c>
      <c r="Q243" s="100">
        <v>6</v>
      </c>
      <c r="R243" s="55" t="s">
        <v>614</v>
      </c>
      <c r="S243" s="106">
        <v>0</v>
      </c>
      <c r="T243" s="93" t="s">
        <v>615</v>
      </c>
    </row>
    <row r="244" spans="1:20" x14ac:dyDescent="0.25">
      <c r="A244" s="117">
        <v>540140</v>
      </c>
      <c r="B244" s="100" t="s">
        <v>616</v>
      </c>
      <c r="C244" s="100" t="s">
        <v>222</v>
      </c>
      <c r="D244" s="101" t="s">
        <v>612</v>
      </c>
      <c r="E244" s="100" t="s">
        <v>59</v>
      </c>
      <c r="F244" s="100" t="s">
        <v>613</v>
      </c>
      <c r="G244" s="100">
        <v>3</v>
      </c>
      <c r="H244" s="93">
        <v>11</v>
      </c>
      <c r="I244" s="102">
        <v>54004</v>
      </c>
      <c r="J244" s="103">
        <f>RANK(I244,I$2:$I$284)</f>
        <v>185</v>
      </c>
      <c r="K244" s="93">
        <v>8</v>
      </c>
      <c r="L244" s="55">
        <v>2</v>
      </c>
      <c r="M244" s="104">
        <v>0.89</v>
      </c>
      <c r="N244" s="105">
        <v>3</v>
      </c>
      <c r="O244" s="100">
        <v>0</v>
      </c>
      <c r="P244" s="55">
        <v>2</v>
      </c>
      <c r="Q244" s="100">
        <v>11</v>
      </c>
      <c r="R244" s="55">
        <v>0</v>
      </c>
      <c r="S244" s="106">
        <v>0</v>
      </c>
      <c r="T244" s="93" t="s">
        <v>615</v>
      </c>
    </row>
    <row r="245" spans="1:20" x14ac:dyDescent="0.25">
      <c r="A245" s="117">
        <v>540205</v>
      </c>
      <c r="B245" s="100" t="s">
        <v>616</v>
      </c>
      <c r="C245" s="100" t="s">
        <v>264</v>
      </c>
      <c r="D245" s="101" t="s">
        <v>612</v>
      </c>
      <c r="E245" s="100" t="s">
        <v>87</v>
      </c>
      <c r="F245" s="100" t="s">
        <v>613</v>
      </c>
      <c r="G245" s="100">
        <v>3</v>
      </c>
      <c r="H245" s="93">
        <v>14</v>
      </c>
      <c r="I245" s="102">
        <v>358382</v>
      </c>
      <c r="J245" s="103">
        <f>RANK(I245,I$2:$I$284)</f>
        <v>113</v>
      </c>
      <c r="K245" s="93">
        <v>21</v>
      </c>
      <c r="L245" s="55">
        <v>0</v>
      </c>
      <c r="M245" s="104">
        <v>0.87</v>
      </c>
      <c r="N245" s="105">
        <v>3</v>
      </c>
      <c r="O245" s="100">
        <v>0</v>
      </c>
      <c r="P245" s="55">
        <v>11</v>
      </c>
      <c r="Q245" s="100">
        <v>0</v>
      </c>
      <c r="R245" s="55">
        <v>0</v>
      </c>
      <c r="S245" s="106">
        <v>0</v>
      </c>
      <c r="T245" s="93" t="s">
        <v>615</v>
      </c>
    </row>
    <row r="246" spans="1:20" x14ac:dyDescent="0.25">
      <c r="A246" s="117">
        <v>540196</v>
      </c>
      <c r="B246" s="100" t="s">
        <v>616</v>
      </c>
      <c r="C246" s="100" t="s">
        <v>259</v>
      </c>
      <c r="D246" s="101" t="s">
        <v>612</v>
      </c>
      <c r="E246" s="100" t="s">
        <v>624</v>
      </c>
      <c r="F246" s="100" t="s">
        <v>613</v>
      </c>
      <c r="G246" s="100">
        <v>3</v>
      </c>
      <c r="H246" s="93">
        <v>15</v>
      </c>
      <c r="I246" s="102">
        <v>0</v>
      </c>
      <c r="J246" s="103">
        <f>RANK(I246,I$2:$I$284)</f>
        <v>248</v>
      </c>
      <c r="K246" s="93">
        <v>1</v>
      </c>
      <c r="L246" s="55">
        <v>0</v>
      </c>
      <c r="M246" s="104">
        <v>0.9</v>
      </c>
      <c r="N246" s="105">
        <v>3</v>
      </c>
      <c r="O246" s="100">
        <v>0</v>
      </c>
      <c r="P246" s="55">
        <v>0</v>
      </c>
      <c r="Q246" s="100">
        <v>15</v>
      </c>
      <c r="R246" s="55">
        <v>2</v>
      </c>
      <c r="S246" s="106">
        <v>0</v>
      </c>
      <c r="T246" s="93" t="s">
        <v>615</v>
      </c>
    </row>
    <row r="247" spans="1:20" x14ac:dyDescent="0.25">
      <c r="A247" s="117">
        <v>540032</v>
      </c>
      <c r="B247" s="100" t="s">
        <v>616</v>
      </c>
      <c r="C247" s="100" t="s">
        <v>137</v>
      </c>
      <c r="D247" s="101" t="s">
        <v>612</v>
      </c>
      <c r="E247" s="100" t="s">
        <v>21</v>
      </c>
      <c r="F247" s="100" t="s">
        <v>613</v>
      </c>
      <c r="G247" s="100">
        <v>3</v>
      </c>
      <c r="H247" s="93">
        <v>11</v>
      </c>
      <c r="I247" s="102">
        <v>203535</v>
      </c>
      <c r="J247" s="103">
        <f>RANK(I247,I$2:$I$284)</f>
        <v>134</v>
      </c>
      <c r="K247" s="93">
        <v>24</v>
      </c>
      <c r="L247" s="55">
        <v>4</v>
      </c>
      <c r="M247" s="104">
        <v>0.91</v>
      </c>
      <c r="N247" s="105">
        <v>2</v>
      </c>
      <c r="O247" s="100">
        <v>2</v>
      </c>
      <c r="P247" s="55">
        <v>8</v>
      </c>
      <c r="Q247" s="100">
        <v>36</v>
      </c>
      <c r="R247" s="55">
        <v>3</v>
      </c>
      <c r="S247" s="106">
        <v>0</v>
      </c>
      <c r="T247" s="93" t="s">
        <v>615</v>
      </c>
    </row>
    <row r="248" spans="1:20" x14ac:dyDescent="0.25">
      <c r="A248" s="117">
        <v>540113</v>
      </c>
      <c r="B248" s="100" t="s">
        <v>616</v>
      </c>
      <c r="C248" s="100" t="s">
        <v>200</v>
      </c>
      <c r="D248" s="101" t="s">
        <v>612</v>
      </c>
      <c r="E248" s="100" t="s">
        <v>49</v>
      </c>
      <c r="F248" s="100" t="s">
        <v>613</v>
      </c>
      <c r="G248" s="100">
        <v>3</v>
      </c>
      <c r="H248" s="93">
        <v>12</v>
      </c>
      <c r="I248" s="102">
        <v>7452</v>
      </c>
      <c r="J248" s="103">
        <f>RANK(I248,I$2:$I$284)</f>
        <v>229</v>
      </c>
      <c r="K248" s="93">
        <v>6</v>
      </c>
      <c r="L248" s="55">
        <v>0</v>
      </c>
      <c r="M248" s="104">
        <v>0.94</v>
      </c>
      <c r="N248" s="105">
        <v>2</v>
      </c>
      <c r="O248" s="100">
        <v>2</v>
      </c>
      <c r="P248" s="55">
        <v>0</v>
      </c>
      <c r="Q248" s="100">
        <v>4</v>
      </c>
      <c r="R248" s="55">
        <v>0</v>
      </c>
      <c r="S248" s="106">
        <v>0</v>
      </c>
      <c r="T248" s="93" t="s">
        <v>615</v>
      </c>
    </row>
    <row r="249" spans="1:20" x14ac:dyDescent="0.25">
      <c r="A249" s="117">
        <v>540094</v>
      </c>
      <c r="B249" s="100" t="s">
        <v>616</v>
      </c>
      <c r="C249" s="100" t="s">
        <v>185</v>
      </c>
      <c r="D249" s="101" t="s">
        <v>612</v>
      </c>
      <c r="E249" s="100" t="s">
        <v>65</v>
      </c>
      <c r="F249" s="100" t="s">
        <v>613</v>
      </c>
      <c r="G249" s="100">
        <v>3</v>
      </c>
      <c r="H249" s="93">
        <v>10</v>
      </c>
      <c r="I249" s="102">
        <v>13522</v>
      </c>
      <c r="J249" s="103">
        <f>RANK(I249,I$2:$I$284)</f>
        <v>220</v>
      </c>
      <c r="K249" s="93">
        <v>2</v>
      </c>
      <c r="L249" s="55" t="s">
        <v>614</v>
      </c>
      <c r="M249" s="104">
        <v>0.81</v>
      </c>
      <c r="N249" s="105">
        <v>2</v>
      </c>
      <c r="O249" s="100">
        <v>2</v>
      </c>
      <c r="P249" s="55" t="s">
        <v>614</v>
      </c>
      <c r="Q249" s="100">
        <v>6</v>
      </c>
      <c r="R249" s="55" t="s">
        <v>614</v>
      </c>
      <c r="S249" s="106">
        <v>0</v>
      </c>
      <c r="T249" s="93" t="s">
        <v>615</v>
      </c>
    </row>
    <row r="250" spans="1:20" x14ac:dyDescent="0.25">
      <c r="A250" s="117">
        <v>540048</v>
      </c>
      <c r="B250" s="100" t="s">
        <v>616</v>
      </c>
      <c r="C250" s="100" t="s">
        <v>148</v>
      </c>
      <c r="D250" s="101" t="s">
        <v>612</v>
      </c>
      <c r="E250" s="100" t="s">
        <v>29</v>
      </c>
      <c r="F250" s="100" t="s">
        <v>613</v>
      </c>
      <c r="G250" s="100">
        <v>3</v>
      </c>
      <c r="H250" s="93">
        <v>7</v>
      </c>
      <c r="I250" s="102">
        <v>47358</v>
      </c>
      <c r="J250" s="103">
        <f>RANK(I250,I$2:$I$284)</f>
        <v>190</v>
      </c>
      <c r="K250" s="93">
        <v>5</v>
      </c>
      <c r="L250" s="55">
        <v>0</v>
      </c>
      <c r="M250" s="104">
        <v>0.72</v>
      </c>
      <c r="N250" s="105">
        <v>2</v>
      </c>
      <c r="O250" s="100">
        <v>1</v>
      </c>
      <c r="P250" s="55">
        <v>0</v>
      </c>
      <c r="Q250" s="100">
        <v>15</v>
      </c>
      <c r="R250" s="55">
        <v>2</v>
      </c>
      <c r="S250" s="106">
        <v>0</v>
      </c>
      <c r="T250" s="93" t="s">
        <v>615</v>
      </c>
    </row>
    <row r="251" spans="1:20" x14ac:dyDescent="0.25">
      <c r="A251" s="117">
        <v>540127</v>
      </c>
      <c r="B251" s="100" t="s">
        <v>616</v>
      </c>
      <c r="C251" s="100" t="s">
        <v>212</v>
      </c>
      <c r="D251" s="101" t="s">
        <v>612</v>
      </c>
      <c r="E251" s="100" t="s">
        <v>53</v>
      </c>
      <c r="F251" s="100" t="s">
        <v>613</v>
      </c>
      <c r="G251" s="100">
        <v>3</v>
      </c>
      <c r="H251" s="93">
        <v>13</v>
      </c>
      <c r="I251" s="102">
        <v>73028</v>
      </c>
      <c r="J251" s="103">
        <f>RANK(I251,I$2:$I$284)</f>
        <v>176</v>
      </c>
      <c r="K251" s="93">
        <v>12</v>
      </c>
      <c r="L251" s="55">
        <v>3</v>
      </c>
      <c r="M251" s="104">
        <v>0.92999999999999994</v>
      </c>
      <c r="N251" s="105">
        <v>2</v>
      </c>
      <c r="O251" s="100">
        <v>1</v>
      </c>
      <c r="P251" s="55">
        <v>5</v>
      </c>
      <c r="Q251" s="100">
        <v>48</v>
      </c>
      <c r="R251" s="55">
        <v>1</v>
      </c>
      <c r="S251" s="106">
        <v>0</v>
      </c>
      <c r="T251" s="93" t="s">
        <v>615</v>
      </c>
    </row>
    <row r="252" spans="1:20" x14ac:dyDescent="0.25">
      <c r="A252" s="117">
        <v>540171</v>
      </c>
      <c r="B252" s="100" t="s">
        <v>616</v>
      </c>
      <c r="C252" s="100" t="s">
        <v>243</v>
      </c>
      <c r="D252" s="101" t="s">
        <v>612</v>
      </c>
      <c r="E252" s="100" t="s">
        <v>73</v>
      </c>
      <c r="F252" s="100" t="s">
        <v>613</v>
      </c>
      <c r="G252" s="100">
        <v>3</v>
      </c>
      <c r="H252" s="93">
        <v>13</v>
      </c>
      <c r="I252" s="102">
        <v>695</v>
      </c>
      <c r="J252" s="103">
        <f>RANK(I252,I$2:$I$284)</f>
        <v>245</v>
      </c>
      <c r="K252" s="93">
        <v>1</v>
      </c>
      <c r="L252" s="55">
        <v>0</v>
      </c>
      <c r="M252" s="104">
        <v>0.92999999999999994</v>
      </c>
      <c r="N252" s="105">
        <v>2</v>
      </c>
      <c r="O252" s="100">
        <v>1</v>
      </c>
      <c r="P252" s="55">
        <v>0</v>
      </c>
      <c r="Q252" s="100">
        <v>55</v>
      </c>
      <c r="R252" s="55">
        <v>2</v>
      </c>
      <c r="S252" s="106">
        <v>0</v>
      </c>
      <c r="T252" s="93" t="s">
        <v>615</v>
      </c>
    </row>
    <row r="253" spans="1:20" x14ac:dyDescent="0.25">
      <c r="A253" s="117">
        <v>540266</v>
      </c>
      <c r="B253" s="100" t="s">
        <v>616</v>
      </c>
      <c r="C253" s="100" t="s">
        <v>309</v>
      </c>
      <c r="D253" s="101" t="s">
        <v>612</v>
      </c>
      <c r="E253" s="100" t="s">
        <v>75</v>
      </c>
      <c r="F253" s="100" t="s">
        <v>613</v>
      </c>
      <c r="G253" s="100">
        <v>3</v>
      </c>
      <c r="H253" s="93">
        <v>11</v>
      </c>
      <c r="I253" s="102">
        <v>9730</v>
      </c>
      <c r="J253" s="103">
        <f>RANK(I253,I$2:$I$284)</f>
        <v>226</v>
      </c>
      <c r="K253" s="93">
        <v>2</v>
      </c>
      <c r="L253" s="55">
        <v>0</v>
      </c>
      <c r="M253" s="104">
        <v>0.9</v>
      </c>
      <c r="N253" s="105">
        <v>2</v>
      </c>
      <c r="O253" s="100">
        <v>1</v>
      </c>
      <c r="P253" s="55">
        <v>0</v>
      </c>
      <c r="Q253" s="100">
        <v>47</v>
      </c>
      <c r="R253" s="55">
        <v>0</v>
      </c>
      <c r="S253" s="106">
        <v>0</v>
      </c>
      <c r="T253" s="93" t="s">
        <v>615</v>
      </c>
    </row>
    <row r="254" spans="1:20" x14ac:dyDescent="0.25">
      <c r="A254" s="117">
        <v>540012</v>
      </c>
      <c r="B254" s="100" t="s">
        <v>616</v>
      </c>
      <c r="C254" s="100" t="s">
        <v>122</v>
      </c>
      <c r="D254" s="101" t="s">
        <v>612</v>
      </c>
      <c r="E254" s="100" t="s">
        <v>11</v>
      </c>
      <c r="F254" s="100" t="s">
        <v>613</v>
      </c>
      <c r="G254" s="100">
        <v>3</v>
      </c>
      <c r="H254" s="93">
        <v>8</v>
      </c>
      <c r="I254" s="102">
        <v>11041</v>
      </c>
      <c r="J254" s="103">
        <f>RANK(I254,I$2:$I$284)</f>
        <v>224</v>
      </c>
      <c r="K254" s="93">
        <v>4</v>
      </c>
      <c r="L254" s="55">
        <v>0</v>
      </c>
      <c r="M254" s="104">
        <v>0.8</v>
      </c>
      <c r="N254" s="105">
        <v>2</v>
      </c>
      <c r="O254" s="100">
        <v>0</v>
      </c>
      <c r="P254" s="55">
        <v>0</v>
      </c>
      <c r="Q254" s="100">
        <v>18</v>
      </c>
      <c r="R254" s="55">
        <v>0</v>
      </c>
      <c r="S254" s="106">
        <v>0</v>
      </c>
      <c r="T254" s="93" t="s">
        <v>615</v>
      </c>
    </row>
    <row r="255" spans="1:20" x14ac:dyDescent="0.25">
      <c r="A255" s="117">
        <v>540243</v>
      </c>
      <c r="B255" s="100" t="s">
        <v>616</v>
      </c>
      <c r="C255" s="100" t="s">
        <v>290</v>
      </c>
      <c r="D255" s="101" t="s">
        <v>612</v>
      </c>
      <c r="E255" s="100" t="s">
        <v>27</v>
      </c>
      <c r="F255" s="100" t="s">
        <v>613</v>
      </c>
      <c r="G255" s="100">
        <v>3</v>
      </c>
      <c r="H255" s="93">
        <v>9</v>
      </c>
      <c r="I255" s="102">
        <v>11733</v>
      </c>
      <c r="J255" s="103">
        <f>RANK(I255,I$2:$I$284)</f>
        <v>222</v>
      </c>
      <c r="K255" s="93">
        <v>1</v>
      </c>
      <c r="L255" s="55">
        <v>0</v>
      </c>
      <c r="M255" s="104">
        <v>0.76</v>
      </c>
      <c r="N255" s="105">
        <v>2</v>
      </c>
      <c r="O255" s="100">
        <v>0</v>
      </c>
      <c r="P255" s="55">
        <v>0</v>
      </c>
      <c r="Q255" s="100">
        <v>60</v>
      </c>
      <c r="R255" s="55">
        <v>0</v>
      </c>
      <c r="S255" s="106">
        <v>0</v>
      </c>
      <c r="T255" s="93" t="s">
        <v>615</v>
      </c>
    </row>
    <row r="256" spans="1:20" x14ac:dyDescent="0.25">
      <c r="A256" s="117">
        <v>540276</v>
      </c>
      <c r="B256" s="100" t="s">
        <v>616</v>
      </c>
      <c r="C256" s="100" t="s">
        <v>319</v>
      </c>
      <c r="D256" s="101" t="s">
        <v>612</v>
      </c>
      <c r="E256" s="100" t="s">
        <v>101</v>
      </c>
      <c r="F256" s="100" t="s">
        <v>613</v>
      </c>
      <c r="G256" s="100">
        <v>3</v>
      </c>
      <c r="H256" s="93">
        <v>7</v>
      </c>
      <c r="I256" s="102">
        <v>101206</v>
      </c>
      <c r="J256" s="103">
        <f>RANK(I256,I$2:$I$284)</f>
        <v>163</v>
      </c>
      <c r="K256" s="93">
        <v>5</v>
      </c>
      <c r="L256" s="55">
        <v>0</v>
      </c>
      <c r="M256" s="104">
        <v>0.92999999999999994</v>
      </c>
      <c r="N256" s="105">
        <v>2</v>
      </c>
      <c r="O256" s="100">
        <v>0</v>
      </c>
      <c r="P256" s="55">
        <v>0</v>
      </c>
      <c r="Q256" s="100">
        <v>8</v>
      </c>
      <c r="R256" s="55">
        <v>1</v>
      </c>
      <c r="S256" s="106">
        <v>0</v>
      </c>
      <c r="T256" s="93" t="s">
        <v>615</v>
      </c>
    </row>
    <row r="257" spans="1:20" x14ac:dyDescent="0.25">
      <c r="A257" s="117">
        <v>540285</v>
      </c>
      <c r="B257" s="100" t="s">
        <v>616</v>
      </c>
      <c r="C257" s="100" t="s">
        <v>324</v>
      </c>
      <c r="D257" s="101" t="s">
        <v>612</v>
      </c>
      <c r="E257" s="100" t="s">
        <v>53</v>
      </c>
      <c r="F257" s="100" t="s">
        <v>613</v>
      </c>
      <c r="G257" s="100">
        <v>3</v>
      </c>
      <c r="H257" s="93">
        <v>13</v>
      </c>
      <c r="I257" s="102">
        <v>129916</v>
      </c>
      <c r="J257" s="103">
        <f>RANK(I257,I$2:$I$284)</f>
        <v>154</v>
      </c>
      <c r="K257" s="93">
        <v>20</v>
      </c>
      <c r="L257" s="55">
        <v>11</v>
      </c>
      <c r="M257" s="104">
        <v>0.92999999999999994</v>
      </c>
      <c r="N257" s="105">
        <v>2</v>
      </c>
      <c r="O257" s="100">
        <v>0</v>
      </c>
      <c r="P257" s="55">
        <v>11</v>
      </c>
      <c r="Q257" s="100">
        <v>48</v>
      </c>
      <c r="R257" s="55">
        <v>3</v>
      </c>
      <c r="S257" s="106">
        <v>0</v>
      </c>
      <c r="T257" s="93" t="s">
        <v>615</v>
      </c>
    </row>
    <row r="258" spans="1:20" x14ac:dyDescent="0.25">
      <c r="A258" s="117">
        <v>540253</v>
      </c>
      <c r="B258" s="100" t="s">
        <v>616</v>
      </c>
      <c r="C258" s="100" t="s">
        <v>299</v>
      </c>
      <c r="D258" s="101" t="s">
        <v>612</v>
      </c>
      <c r="E258" s="100" t="s">
        <v>99</v>
      </c>
      <c r="F258" s="100" t="s">
        <v>613</v>
      </c>
      <c r="G258" s="100">
        <v>3</v>
      </c>
      <c r="H258" s="93">
        <v>8</v>
      </c>
      <c r="I258" s="102">
        <v>114048</v>
      </c>
      <c r="J258" s="103">
        <f>RANK(I258,I$2:$I$284)</f>
        <v>160</v>
      </c>
      <c r="K258" s="93">
        <v>11</v>
      </c>
      <c r="L258" s="55">
        <v>0</v>
      </c>
      <c r="M258" s="104">
        <v>0.92999999999999994</v>
      </c>
      <c r="N258" s="105">
        <v>2</v>
      </c>
      <c r="O258" s="100">
        <v>0</v>
      </c>
      <c r="P258" s="55">
        <v>5</v>
      </c>
      <c r="Q258" s="100">
        <v>0</v>
      </c>
      <c r="R258" s="55">
        <v>9</v>
      </c>
      <c r="S258" s="106">
        <v>0</v>
      </c>
      <c r="T258" s="93" t="s">
        <v>615</v>
      </c>
    </row>
    <row r="259" spans="1:20" x14ac:dyDescent="0.25">
      <c r="A259" s="117">
        <v>540179</v>
      </c>
      <c r="B259" s="100" t="s">
        <v>616</v>
      </c>
      <c r="C259" s="100" t="s">
        <v>250</v>
      </c>
      <c r="D259" s="101" t="s">
        <v>612</v>
      </c>
      <c r="E259" s="100" t="s">
        <v>97</v>
      </c>
      <c r="F259" s="100" t="s">
        <v>613</v>
      </c>
      <c r="G259" s="100">
        <v>3</v>
      </c>
      <c r="H259" s="93">
        <v>11</v>
      </c>
      <c r="I259" s="102">
        <v>63097</v>
      </c>
      <c r="J259" s="103">
        <f>RANK(I259,I$2:$I$284)</f>
        <v>178</v>
      </c>
      <c r="K259" s="93">
        <v>16</v>
      </c>
      <c r="L259" s="55">
        <v>0</v>
      </c>
      <c r="M259" s="104">
        <v>0.95</v>
      </c>
      <c r="N259" s="105">
        <v>2</v>
      </c>
      <c r="O259" s="100">
        <v>0</v>
      </c>
      <c r="P259" s="55">
        <v>0</v>
      </c>
      <c r="Q259" s="100">
        <v>0</v>
      </c>
      <c r="R259" s="55">
        <v>3</v>
      </c>
      <c r="S259" s="106">
        <v>0</v>
      </c>
      <c r="T259" s="93" t="s">
        <v>615</v>
      </c>
    </row>
    <row r="260" spans="1:20" x14ac:dyDescent="0.25">
      <c r="A260" s="117">
        <v>540195</v>
      </c>
      <c r="B260" s="100" t="s">
        <v>616</v>
      </c>
      <c r="C260" s="100" t="s">
        <v>258</v>
      </c>
      <c r="D260" s="101" t="s">
        <v>612</v>
      </c>
      <c r="E260" s="100" t="s">
        <v>103</v>
      </c>
      <c r="F260" s="100" t="s">
        <v>613</v>
      </c>
      <c r="G260" s="100">
        <v>3</v>
      </c>
      <c r="H260" s="93">
        <v>14</v>
      </c>
      <c r="I260" s="102">
        <v>53125</v>
      </c>
      <c r="J260" s="103">
        <f>RANK(I260,I$2:$I$284)</f>
        <v>186</v>
      </c>
      <c r="K260" s="93">
        <v>8</v>
      </c>
      <c r="L260" s="55">
        <v>2</v>
      </c>
      <c r="M260" s="104">
        <v>0.92999999999999994</v>
      </c>
      <c r="N260" s="105">
        <v>2</v>
      </c>
      <c r="O260" s="100">
        <v>0</v>
      </c>
      <c r="P260" s="55">
        <v>2</v>
      </c>
      <c r="Q260" s="100">
        <v>0</v>
      </c>
      <c r="R260" s="55">
        <v>2</v>
      </c>
      <c r="S260" s="106">
        <v>0</v>
      </c>
      <c r="T260" s="93" t="s">
        <v>615</v>
      </c>
    </row>
    <row r="261" spans="1:20" x14ac:dyDescent="0.25">
      <c r="A261" s="117">
        <v>540090</v>
      </c>
      <c r="B261" s="100" t="s">
        <v>616</v>
      </c>
      <c r="C261" s="100" t="s">
        <v>182</v>
      </c>
      <c r="D261" s="101" t="s">
        <v>612</v>
      </c>
      <c r="E261" s="100" t="s">
        <v>43</v>
      </c>
      <c r="F261" s="100" t="s">
        <v>613</v>
      </c>
      <c r="G261" s="100">
        <v>3</v>
      </c>
      <c r="H261" s="93">
        <v>20</v>
      </c>
      <c r="I261" s="102">
        <v>13652</v>
      </c>
      <c r="J261" s="103">
        <f>RANK(I261,I$2:$I$284)</f>
        <v>219</v>
      </c>
      <c r="K261" s="93">
        <v>8</v>
      </c>
      <c r="L261" s="55">
        <v>0</v>
      </c>
      <c r="M261" s="104">
        <v>0.94</v>
      </c>
      <c r="N261" s="105">
        <v>1</v>
      </c>
      <c r="O261" s="100">
        <v>1</v>
      </c>
      <c r="P261" s="55">
        <v>0</v>
      </c>
      <c r="Q261" s="100">
        <v>4</v>
      </c>
      <c r="R261" s="55">
        <v>2</v>
      </c>
      <c r="S261" s="106">
        <v>0</v>
      </c>
      <c r="T261" s="93" t="s">
        <v>615</v>
      </c>
    </row>
    <row r="262" spans="1:20" x14ac:dyDescent="0.25">
      <c r="A262" s="117">
        <v>540102</v>
      </c>
      <c r="B262" s="100" t="s">
        <v>616</v>
      </c>
      <c r="C262" s="100" t="s">
        <v>191</v>
      </c>
      <c r="D262" s="101" t="s">
        <v>612</v>
      </c>
      <c r="E262" s="100" t="s">
        <v>45</v>
      </c>
      <c r="F262" s="100" t="s">
        <v>613</v>
      </c>
      <c r="G262" s="100">
        <v>3</v>
      </c>
      <c r="H262" s="93">
        <v>11</v>
      </c>
      <c r="I262" s="102">
        <v>16118</v>
      </c>
      <c r="J262" s="103">
        <f>RANK(I262,I$2:$I$284)</f>
        <v>215</v>
      </c>
      <c r="K262" s="93">
        <v>4</v>
      </c>
      <c r="L262" s="55">
        <v>0</v>
      </c>
      <c r="M262" s="104">
        <v>0.86</v>
      </c>
      <c r="N262" s="105">
        <v>1</v>
      </c>
      <c r="O262" s="100">
        <v>1</v>
      </c>
      <c r="P262" s="55">
        <v>0</v>
      </c>
      <c r="Q262" s="100">
        <v>15</v>
      </c>
      <c r="R262" s="55">
        <v>1</v>
      </c>
      <c r="S262" s="106">
        <v>0</v>
      </c>
      <c r="T262" s="93" t="s">
        <v>615</v>
      </c>
    </row>
    <row r="263" spans="1:20" x14ac:dyDescent="0.25">
      <c r="A263" s="117">
        <v>540116</v>
      </c>
      <c r="B263" s="100" t="s">
        <v>616</v>
      </c>
      <c r="C263" s="100" t="s">
        <v>202</v>
      </c>
      <c r="D263" s="101" t="s">
        <v>612</v>
      </c>
      <c r="E263" s="100" t="s">
        <v>51</v>
      </c>
      <c r="F263" s="100" t="s">
        <v>613</v>
      </c>
      <c r="G263" s="100">
        <v>3</v>
      </c>
      <c r="H263" s="93">
        <v>13</v>
      </c>
      <c r="I263" s="102">
        <v>97756</v>
      </c>
      <c r="J263" s="103">
        <f>RANK(I263,I$2:$I$284)</f>
        <v>166</v>
      </c>
      <c r="K263" s="93">
        <v>9</v>
      </c>
      <c r="L263" s="55">
        <v>0</v>
      </c>
      <c r="M263" s="104">
        <v>0.91</v>
      </c>
      <c r="N263" s="105">
        <v>1</v>
      </c>
      <c r="O263" s="100">
        <v>1</v>
      </c>
      <c r="P263" s="55">
        <v>3</v>
      </c>
      <c r="Q263" s="100">
        <v>202</v>
      </c>
      <c r="R263" s="55">
        <v>1</v>
      </c>
      <c r="S263" s="106">
        <v>0</v>
      </c>
      <c r="T263" s="93" t="s">
        <v>615</v>
      </c>
    </row>
    <row r="264" spans="1:20" x14ac:dyDescent="0.25">
      <c r="A264" s="117">
        <v>540119</v>
      </c>
      <c r="B264" s="100" t="s">
        <v>616</v>
      </c>
      <c r="C264" s="100" t="s">
        <v>205</v>
      </c>
      <c r="D264" s="101" t="s">
        <v>612</v>
      </c>
      <c r="E264" s="100" t="s">
        <v>51</v>
      </c>
      <c r="F264" s="100" t="s">
        <v>613</v>
      </c>
      <c r="G264" s="100">
        <v>3</v>
      </c>
      <c r="H264" s="93">
        <v>13</v>
      </c>
      <c r="I264" s="102">
        <v>299256</v>
      </c>
      <c r="J264" s="103">
        <f>RANK(I264,I$2:$I$284)</f>
        <v>117</v>
      </c>
      <c r="K264" s="93">
        <v>34</v>
      </c>
      <c r="L264" s="55">
        <v>0</v>
      </c>
      <c r="M264" s="104">
        <v>0.91</v>
      </c>
      <c r="N264" s="105">
        <v>1</v>
      </c>
      <c r="O264" s="100">
        <v>1</v>
      </c>
      <c r="P264" s="55">
        <v>4</v>
      </c>
      <c r="Q264" s="100">
        <v>202</v>
      </c>
      <c r="R264" s="55">
        <v>0</v>
      </c>
      <c r="S264" s="106">
        <v>0</v>
      </c>
      <c r="T264" s="93" t="s">
        <v>615</v>
      </c>
    </row>
    <row r="265" spans="1:20" x14ac:dyDescent="0.25">
      <c r="A265" s="117">
        <v>540126</v>
      </c>
      <c r="B265" s="100" t="s">
        <v>616</v>
      </c>
      <c r="C265" s="100" t="s">
        <v>211</v>
      </c>
      <c r="D265" s="101" t="s">
        <v>612</v>
      </c>
      <c r="E265" s="100" t="s">
        <v>53</v>
      </c>
      <c r="F265" s="100" t="s">
        <v>613</v>
      </c>
      <c r="G265" s="100">
        <v>3</v>
      </c>
      <c r="H265" s="93">
        <v>13</v>
      </c>
      <c r="I265" s="102">
        <v>204961</v>
      </c>
      <c r="J265" s="103">
        <f>RANK(I265,I$2:$I$284)</f>
        <v>133</v>
      </c>
      <c r="K265" s="93">
        <v>31</v>
      </c>
      <c r="L265" s="55">
        <v>0</v>
      </c>
      <c r="M265" s="104">
        <v>0.92999999999999994</v>
      </c>
      <c r="N265" s="105">
        <v>1</v>
      </c>
      <c r="O265" s="100">
        <v>1</v>
      </c>
      <c r="P265" s="55">
        <v>12</v>
      </c>
      <c r="Q265" s="100">
        <v>48</v>
      </c>
      <c r="R265" s="55">
        <v>1</v>
      </c>
      <c r="S265" s="106">
        <v>0</v>
      </c>
      <c r="T265" s="93" t="s">
        <v>615</v>
      </c>
    </row>
    <row r="266" spans="1:20" x14ac:dyDescent="0.25">
      <c r="A266" s="117">
        <v>540268</v>
      </c>
      <c r="B266" s="100" t="s">
        <v>616</v>
      </c>
      <c r="C266" s="100" t="s">
        <v>311</v>
      </c>
      <c r="D266" s="101" t="s">
        <v>612</v>
      </c>
      <c r="E266" s="100" t="s">
        <v>69</v>
      </c>
      <c r="F266" s="100" t="s">
        <v>613</v>
      </c>
      <c r="G266" s="100">
        <v>3</v>
      </c>
      <c r="H266" s="93">
        <v>11</v>
      </c>
      <c r="I266" s="102">
        <v>3776</v>
      </c>
      <c r="J266" s="103">
        <f>RANK(I266,I$2:$I$284)</f>
        <v>234</v>
      </c>
      <c r="K266" s="93">
        <v>2</v>
      </c>
      <c r="L266" s="55">
        <v>0</v>
      </c>
      <c r="M266" s="104">
        <v>0.9</v>
      </c>
      <c r="N266" s="105">
        <v>1</v>
      </c>
      <c r="O266" s="100">
        <v>1</v>
      </c>
      <c r="P266" s="55">
        <v>0</v>
      </c>
      <c r="Q266" s="100">
        <v>1</v>
      </c>
      <c r="R266" s="55">
        <v>1</v>
      </c>
      <c r="S266" s="106">
        <v>0</v>
      </c>
      <c r="T266" s="93" t="s">
        <v>615</v>
      </c>
    </row>
    <row r="267" spans="1:20" x14ac:dyDescent="0.25">
      <c r="A267" s="117">
        <v>540257</v>
      </c>
      <c r="B267" s="100" t="s">
        <v>616</v>
      </c>
      <c r="C267" s="100" t="s">
        <v>302</v>
      </c>
      <c r="D267" s="101" t="s">
        <v>612</v>
      </c>
      <c r="E267" s="100" t="s">
        <v>69</v>
      </c>
      <c r="F267" s="100" t="s">
        <v>613</v>
      </c>
      <c r="G267" s="100">
        <v>3</v>
      </c>
      <c r="H267" s="93">
        <v>11</v>
      </c>
      <c r="I267" s="102">
        <v>0</v>
      </c>
      <c r="J267" s="103">
        <f>RANK(I267,I$2:$I$284)</f>
        <v>248</v>
      </c>
      <c r="K267" s="93">
        <v>1</v>
      </c>
      <c r="L267" s="55">
        <v>0</v>
      </c>
      <c r="M267" s="104">
        <v>0.9</v>
      </c>
      <c r="N267" s="105">
        <v>1</v>
      </c>
      <c r="O267" s="100">
        <v>1</v>
      </c>
      <c r="P267" s="55">
        <v>0</v>
      </c>
      <c r="Q267" s="100">
        <v>1</v>
      </c>
      <c r="R267" s="55">
        <v>0</v>
      </c>
      <c r="S267" s="106">
        <v>0</v>
      </c>
      <c r="T267" s="93" t="s">
        <v>615</v>
      </c>
    </row>
    <row r="268" spans="1:20" x14ac:dyDescent="0.25">
      <c r="A268" s="117">
        <v>540258</v>
      </c>
      <c r="B268" s="100" t="s">
        <v>616</v>
      </c>
      <c r="C268" s="100" t="s">
        <v>303</v>
      </c>
      <c r="D268" s="101" t="s">
        <v>612</v>
      </c>
      <c r="E268" s="100" t="s">
        <v>89</v>
      </c>
      <c r="F268" s="100" t="s">
        <v>613</v>
      </c>
      <c r="G268" s="100">
        <v>3</v>
      </c>
      <c r="H268" s="93">
        <v>16</v>
      </c>
      <c r="I268" s="102">
        <v>50560</v>
      </c>
      <c r="J268" s="103">
        <f>RANK(I268,I$2:$I$284)</f>
        <v>189</v>
      </c>
      <c r="K268" s="93">
        <v>3</v>
      </c>
      <c r="L268" s="55">
        <v>3</v>
      </c>
      <c r="M268" s="104">
        <v>0.87</v>
      </c>
      <c r="N268" s="105">
        <v>1</v>
      </c>
      <c r="O268" s="100">
        <v>1</v>
      </c>
      <c r="P268" s="55">
        <v>3</v>
      </c>
      <c r="Q268" s="100">
        <v>15</v>
      </c>
      <c r="R268" s="55">
        <v>0</v>
      </c>
      <c r="S268" s="106">
        <v>0</v>
      </c>
      <c r="T268" s="93" t="s">
        <v>615</v>
      </c>
    </row>
    <row r="269" spans="1:20" x14ac:dyDescent="0.25">
      <c r="A269" s="117">
        <v>540027</v>
      </c>
      <c r="B269" s="100" t="s">
        <v>616</v>
      </c>
      <c r="C269" s="100" t="s">
        <v>132</v>
      </c>
      <c r="D269" s="101" t="s">
        <v>612</v>
      </c>
      <c r="E269" s="100" t="s">
        <v>21</v>
      </c>
      <c r="F269" s="100" t="s">
        <v>613</v>
      </c>
      <c r="G269" s="100">
        <v>3</v>
      </c>
      <c r="H269" s="93">
        <v>11</v>
      </c>
      <c r="I269" s="102">
        <v>1357</v>
      </c>
      <c r="J269" s="103">
        <f>RANK(I269,I$2:$I$284)</f>
        <v>242</v>
      </c>
      <c r="K269" s="93">
        <v>3</v>
      </c>
      <c r="L269" s="55">
        <v>0</v>
      </c>
      <c r="M269" s="104">
        <v>0.91</v>
      </c>
      <c r="N269" s="105">
        <v>1</v>
      </c>
      <c r="O269" s="100">
        <v>0</v>
      </c>
      <c r="P269" s="55">
        <v>0</v>
      </c>
      <c r="Q269" s="100">
        <v>36</v>
      </c>
      <c r="R269" s="55">
        <v>0</v>
      </c>
      <c r="S269" s="106">
        <v>0</v>
      </c>
      <c r="T269" s="93" t="s">
        <v>615</v>
      </c>
    </row>
    <row r="270" spans="1:20" x14ac:dyDescent="0.25">
      <c r="A270" s="117">
        <v>540240</v>
      </c>
      <c r="B270" s="100" t="s">
        <v>616</v>
      </c>
      <c r="C270" s="100" t="s">
        <v>287</v>
      </c>
      <c r="D270" s="101" t="s">
        <v>612</v>
      </c>
      <c r="E270" s="100" t="s">
        <v>25</v>
      </c>
      <c r="F270" s="100" t="s">
        <v>613</v>
      </c>
      <c r="G270" s="100">
        <v>3</v>
      </c>
      <c r="H270" s="93">
        <v>8</v>
      </c>
      <c r="I270" s="102">
        <v>0</v>
      </c>
      <c r="J270" s="103">
        <f>RANK(I270,I$2:$I$284)</f>
        <v>248</v>
      </c>
      <c r="K270" s="93">
        <v>0</v>
      </c>
      <c r="L270" s="55">
        <v>0</v>
      </c>
      <c r="M270" s="104">
        <v>0.91</v>
      </c>
      <c r="N270" s="105">
        <v>1</v>
      </c>
      <c r="O270" s="100">
        <v>0</v>
      </c>
      <c r="P270" s="55">
        <v>0</v>
      </c>
      <c r="Q270" s="100">
        <v>2</v>
      </c>
      <c r="R270" s="55">
        <v>1</v>
      </c>
      <c r="S270" s="106">
        <v>0</v>
      </c>
      <c r="T270" s="93" t="s">
        <v>615</v>
      </c>
    </row>
    <row r="271" spans="1:20" x14ac:dyDescent="0.25">
      <c r="A271" s="117">
        <v>540155</v>
      </c>
      <c r="B271" s="100" t="s">
        <v>616</v>
      </c>
      <c r="C271" s="100" t="s">
        <v>231</v>
      </c>
      <c r="D271" s="101" t="s">
        <v>612</v>
      </c>
      <c r="E271" s="100" t="s">
        <v>55</v>
      </c>
      <c r="F271" s="100" t="s">
        <v>613</v>
      </c>
      <c r="G271" s="100">
        <v>3</v>
      </c>
      <c r="H271" s="93">
        <v>8</v>
      </c>
      <c r="I271" s="102">
        <v>0</v>
      </c>
      <c r="J271" s="103">
        <f>RANK(I271,I$2:$I$284)</f>
        <v>248</v>
      </c>
      <c r="K271" s="93">
        <v>0</v>
      </c>
      <c r="L271" s="55" t="s">
        <v>614</v>
      </c>
      <c r="M271" s="104">
        <v>0.89</v>
      </c>
      <c r="N271" s="105">
        <v>1</v>
      </c>
      <c r="O271" s="100">
        <v>0</v>
      </c>
      <c r="P271" s="55" t="s">
        <v>614</v>
      </c>
      <c r="Q271" s="100">
        <v>53</v>
      </c>
      <c r="R271" s="55" t="s">
        <v>614</v>
      </c>
      <c r="S271" s="106">
        <v>0</v>
      </c>
      <c r="T271" s="93" t="s">
        <v>615</v>
      </c>
    </row>
    <row r="272" spans="1:20" x14ac:dyDescent="0.25">
      <c r="A272" s="117">
        <v>540269</v>
      </c>
      <c r="B272" s="100" t="s">
        <v>616</v>
      </c>
      <c r="C272" s="100" t="s">
        <v>312</v>
      </c>
      <c r="D272" s="101" t="s">
        <v>612</v>
      </c>
      <c r="E272" s="100" t="s">
        <v>69</v>
      </c>
      <c r="F272" s="100" t="s">
        <v>613</v>
      </c>
      <c r="G272" s="100">
        <v>3</v>
      </c>
      <c r="H272" s="93">
        <v>11</v>
      </c>
      <c r="I272" s="102">
        <v>0</v>
      </c>
      <c r="J272" s="103">
        <f>RANK(I272,I$2:$I$284)</f>
        <v>248</v>
      </c>
      <c r="K272" s="93">
        <v>0</v>
      </c>
      <c r="L272" s="55">
        <v>0</v>
      </c>
      <c r="M272" s="104">
        <v>0.9</v>
      </c>
      <c r="N272" s="105">
        <v>1</v>
      </c>
      <c r="O272" s="100">
        <v>0</v>
      </c>
      <c r="P272" s="55">
        <v>0</v>
      </c>
      <c r="Q272" s="100">
        <v>1</v>
      </c>
      <c r="R272" s="55">
        <v>1</v>
      </c>
      <c r="S272" s="106">
        <v>0</v>
      </c>
      <c r="T272" s="93" t="s">
        <v>615</v>
      </c>
    </row>
    <row r="273" spans="1:20" x14ac:dyDescent="0.25">
      <c r="A273" s="117">
        <v>540137</v>
      </c>
      <c r="B273" s="100" t="s">
        <v>616</v>
      </c>
      <c r="C273" s="100" t="s">
        <v>220</v>
      </c>
      <c r="D273" s="101" t="s">
        <v>612</v>
      </c>
      <c r="E273" s="100" t="s">
        <v>69</v>
      </c>
      <c r="F273" s="100" t="s">
        <v>613</v>
      </c>
      <c r="G273" s="100">
        <v>3</v>
      </c>
      <c r="H273" s="93">
        <v>11</v>
      </c>
      <c r="I273" s="102">
        <v>0</v>
      </c>
      <c r="J273" s="103">
        <f>RANK(I273,I$2:$I$284)</f>
        <v>248</v>
      </c>
      <c r="K273" s="93">
        <v>0</v>
      </c>
      <c r="L273" s="55" t="s">
        <v>614</v>
      </c>
      <c r="M273" s="104">
        <v>0.9</v>
      </c>
      <c r="N273" s="105">
        <v>1</v>
      </c>
      <c r="O273" s="100">
        <v>0</v>
      </c>
      <c r="P273" s="55" t="s">
        <v>614</v>
      </c>
      <c r="Q273" s="100">
        <v>1</v>
      </c>
      <c r="R273" s="55" t="s">
        <v>614</v>
      </c>
      <c r="S273" s="106">
        <v>0</v>
      </c>
      <c r="T273" s="93" t="s">
        <v>615</v>
      </c>
    </row>
    <row r="274" spans="1:20" x14ac:dyDescent="0.25">
      <c r="A274" s="117">
        <v>540178</v>
      </c>
      <c r="B274" s="100" t="s">
        <v>616</v>
      </c>
      <c r="C274" s="100" t="s">
        <v>249</v>
      </c>
      <c r="D274" s="101" t="s">
        <v>612</v>
      </c>
      <c r="E274" s="100" t="s">
        <v>75</v>
      </c>
      <c r="F274" s="100" t="s">
        <v>613</v>
      </c>
      <c r="G274" s="100">
        <v>3</v>
      </c>
      <c r="H274" s="93">
        <v>11</v>
      </c>
      <c r="I274" s="102">
        <v>26577</v>
      </c>
      <c r="J274" s="103">
        <f>RANK(I274,I$2:$I$284)</f>
        <v>205</v>
      </c>
      <c r="K274" s="93">
        <v>3</v>
      </c>
      <c r="L274" s="55">
        <v>0</v>
      </c>
      <c r="M274" s="104">
        <v>0.9</v>
      </c>
      <c r="N274" s="105">
        <v>1</v>
      </c>
      <c r="O274" s="100">
        <v>0</v>
      </c>
      <c r="P274" s="55">
        <v>0</v>
      </c>
      <c r="Q274" s="100">
        <v>47</v>
      </c>
      <c r="R274" s="55">
        <v>3</v>
      </c>
      <c r="S274" s="106">
        <v>0</v>
      </c>
      <c r="T274" s="93" t="s">
        <v>615</v>
      </c>
    </row>
    <row r="275" spans="1:20" x14ac:dyDescent="0.25">
      <c r="A275" s="117">
        <v>540264</v>
      </c>
      <c r="B275" s="100" t="s">
        <v>616</v>
      </c>
      <c r="C275" s="100" t="s">
        <v>307</v>
      </c>
      <c r="D275" s="101" t="s">
        <v>612</v>
      </c>
      <c r="E275" s="100" t="s">
        <v>75</v>
      </c>
      <c r="F275" s="100" t="s">
        <v>613</v>
      </c>
      <c r="G275" s="100">
        <v>3</v>
      </c>
      <c r="H275" s="93">
        <v>11</v>
      </c>
      <c r="I275" s="102">
        <v>2110</v>
      </c>
      <c r="J275" s="103">
        <f>RANK(I275,I$2:$I$284)</f>
        <v>240</v>
      </c>
      <c r="K275" s="93">
        <v>2</v>
      </c>
      <c r="L275" s="55">
        <v>0</v>
      </c>
      <c r="M275" s="104">
        <v>0.9</v>
      </c>
      <c r="N275" s="105">
        <v>1</v>
      </c>
      <c r="O275" s="100">
        <v>0</v>
      </c>
      <c r="P275" s="55">
        <v>0</v>
      </c>
      <c r="Q275" s="100">
        <v>47</v>
      </c>
      <c r="R275" s="55">
        <v>0</v>
      </c>
      <c r="S275" s="106">
        <v>0</v>
      </c>
      <c r="T275" s="93" t="s">
        <v>615</v>
      </c>
    </row>
    <row r="276" spans="1:20" x14ac:dyDescent="0.25">
      <c r="A276" s="117">
        <v>540260</v>
      </c>
      <c r="B276" s="100" t="s">
        <v>616</v>
      </c>
      <c r="C276" s="100" t="s">
        <v>346</v>
      </c>
      <c r="D276" s="101" t="s">
        <v>612</v>
      </c>
      <c r="E276" s="100" t="s">
        <v>113</v>
      </c>
      <c r="F276" s="100" t="s">
        <v>613</v>
      </c>
      <c r="G276" s="100">
        <v>3</v>
      </c>
      <c r="H276" s="93">
        <v>13</v>
      </c>
      <c r="I276" s="102">
        <v>5577</v>
      </c>
      <c r="J276" s="103">
        <f>RANK(I276,I$2:$I$284)</f>
        <v>231</v>
      </c>
      <c r="K276" s="93">
        <v>1</v>
      </c>
      <c r="L276" s="55">
        <v>0</v>
      </c>
      <c r="M276" s="104">
        <v>0.73</v>
      </c>
      <c r="N276" s="105">
        <v>1</v>
      </c>
      <c r="O276" s="100">
        <v>0</v>
      </c>
      <c r="P276" s="55">
        <v>0</v>
      </c>
      <c r="Q276" s="100">
        <v>53</v>
      </c>
      <c r="R276" s="55">
        <v>0</v>
      </c>
      <c r="S276" s="106">
        <v>0</v>
      </c>
      <c r="T276" s="93" t="s">
        <v>615</v>
      </c>
    </row>
    <row r="277" spans="1:20" x14ac:dyDescent="0.25">
      <c r="A277" s="117">
        <v>540261</v>
      </c>
      <c r="B277" s="100" t="s">
        <v>616</v>
      </c>
      <c r="C277" s="100" t="s">
        <v>345</v>
      </c>
      <c r="D277" s="101" t="s">
        <v>612</v>
      </c>
      <c r="E277" s="100" t="s">
        <v>113</v>
      </c>
      <c r="F277" s="100" t="s">
        <v>613</v>
      </c>
      <c r="G277" s="100">
        <v>3</v>
      </c>
      <c r="H277" s="93">
        <v>13</v>
      </c>
      <c r="I277" s="102">
        <v>0</v>
      </c>
      <c r="J277" s="103">
        <f>RANK(I277,I$2:$I$284)</f>
        <v>248</v>
      </c>
      <c r="K277" s="93">
        <v>0</v>
      </c>
      <c r="L277" s="55">
        <v>0</v>
      </c>
      <c r="M277" s="104">
        <v>0.73</v>
      </c>
      <c r="N277" s="105">
        <v>1</v>
      </c>
      <c r="O277" s="100">
        <v>0</v>
      </c>
      <c r="P277" s="55">
        <v>0</v>
      </c>
      <c r="Q277" s="100">
        <v>53</v>
      </c>
      <c r="R277" s="55">
        <v>0</v>
      </c>
      <c r="S277" s="106">
        <v>0</v>
      </c>
      <c r="T277" s="93" t="s">
        <v>615</v>
      </c>
    </row>
    <row r="278" spans="1:20" x14ac:dyDescent="0.25">
      <c r="A278" s="117">
        <v>540003</v>
      </c>
      <c r="B278" s="100" t="s">
        <v>616</v>
      </c>
      <c r="C278" s="100" t="s">
        <v>116</v>
      </c>
      <c r="D278" s="101" t="s">
        <v>612</v>
      </c>
      <c r="E278" s="100" t="s">
        <v>4</v>
      </c>
      <c r="F278" s="100" t="s">
        <v>613</v>
      </c>
      <c r="G278" s="100">
        <v>3</v>
      </c>
      <c r="H278" s="93">
        <v>10</v>
      </c>
      <c r="I278" s="102">
        <v>23836</v>
      </c>
      <c r="J278" s="103">
        <f>RANK(I278,I$2:$I$284)</f>
        <v>207</v>
      </c>
      <c r="K278" s="93">
        <v>5</v>
      </c>
      <c r="L278" s="55">
        <v>0</v>
      </c>
      <c r="M278" s="104">
        <v>0.87</v>
      </c>
      <c r="N278" s="105">
        <v>0</v>
      </c>
      <c r="O278" s="100">
        <v>0</v>
      </c>
      <c r="P278" s="55">
        <v>0</v>
      </c>
      <c r="Q278" s="100">
        <v>37</v>
      </c>
      <c r="R278" s="55">
        <v>0</v>
      </c>
      <c r="S278" s="106">
        <v>0</v>
      </c>
      <c r="T278" s="93" t="s">
        <v>615</v>
      </c>
    </row>
    <row r="279" spans="1:20" x14ac:dyDescent="0.25">
      <c r="A279" s="117">
        <v>540244</v>
      </c>
      <c r="B279" s="100" t="s">
        <v>616</v>
      </c>
      <c r="C279" s="100" t="s">
        <v>291</v>
      </c>
      <c r="D279" s="101" t="s">
        <v>612</v>
      </c>
      <c r="E279" s="100" t="s">
        <v>27</v>
      </c>
      <c r="F279" s="100" t="s">
        <v>613</v>
      </c>
      <c r="G279" s="100">
        <v>3</v>
      </c>
      <c r="H279" s="93">
        <v>9</v>
      </c>
      <c r="I279" s="102">
        <v>3216</v>
      </c>
      <c r="J279" s="103">
        <f>RANK(I279,I$2:$I$284)</f>
        <v>235</v>
      </c>
      <c r="K279" s="93">
        <v>1</v>
      </c>
      <c r="L279" s="55">
        <v>0</v>
      </c>
      <c r="M279" s="104">
        <v>0.76</v>
      </c>
      <c r="N279" s="105">
        <v>0</v>
      </c>
      <c r="O279" s="100">
        <v>0</v>
      </c>
      <c r="P279" s="55">
        <v>0</v>
      </c>
      <c r="Q279" s="100">
        <v>60</v>
      </c>
      <c r="R279" s="55">
        <v>0</v>
      </c>
      <c r="S279" s="106">
        <v>0</v>
      </c>
      <c r="T279" s="93" t="s">
        <v>615</v>
      </c>
    </row>
    <row r="280" spans="1:20" x14ac:dyDescent="0.25">
      <c r="A280" s="117">
        <v>540062</v>
      </c>
      <c r="B280" s="100" t="s">
        <v>616</v>
      </c>
      <c r="C280" s="100" t="s">
        <v>160</v>
      </c>
      <c r="D280" s="101" t="s">
        <v>612</v>
      </c>
      <c r="E280" s="100" t="s">
        <v>33</v>
      </c>
      <c r="F280" s="100" t="s">
        <v>613</v>
      </c>
      <c r="G280" s="100">
        <v>3</v>
      </c>
      <c r="H280" s="93">
        <v>13</v>
      </c>
      <c r="I280" s="102">
        <v>22776</v>
      </c>
      <c r="J280" s="103">
        <f>RANK(I280,I$2:$I$284)</f>
        <v>210</v>
      </c>
      <c r="K280" s="93">
        <v>3</v>
      </c>
      <c r="L280" s="55">
        <v>0</v>
      </c>
      <c r="M280" s="104">
        <v>0.9</v>
      </c>
      <c r="N280" s="105">
        <v>0</v>
      </c>
      <c r="O280" s="100">
        <v>0</v>
      </c>
      <c r="P280" s="55">
        <v>0</v>
      </c>
      <c r="Q280" s="100">
        <v>26</v>
      </c>
      <c r="R280" s="55">
        <v>1</v>
      </c>
      <c r="S280" s="106">
        <v>0</v>
      </c>
      <c r="T280" s="93" t="s">
        <v>615</v>
      </c>
    </row>
    <row r="281" spans="1:20" x14ac:dyDescent="0.25">
      <c r="A281" s="117">
        <v>540105</v>
      </c>
      <c r="B281" s="100" t="s">
        <v>616</v>
      </c>
      <c r="C281" s="100" t="s">
        <v>194</v>
      </c>
      <c r="D281" s="101" t="s">
        <v>612</v>
      </c>
      <c r="E281" s="100" t="s">
        <v>45</v>
      </c>
      <c r="F281" s="100" t="s">
        <v>613</v>
      </c>
      <c r="G281" s="100">
        <v>3</v>
      </c>
      <c r="H281" s="93">
        <v>11</v>
      </c>
      <c r="I281" s="102">
        <v>5966</v>
      </c>
      <c r="J281" s="103">
        <f>RANK(I281,I$2:$I$284)</f>
        <v>230</v>
      </c>
      <c r="K281" s="93">
        <v>1</v>
      </c>
      <c r="L281" s="55">
        <v>0</v>
      </c>
      <c r="M281" s="104">
        <v>0.86</v>
      </c>
      <c r="N281" s="105">
        <v>0</v>
      </c>
      <c r="O281" s="100">
        <v>0</v>
      </c>
      <c r="P281" s="55">
        <v>0</v>
      </c>
      <c r="Q281" s="100">
        <v>15</v>
      </c>
      <c r="R281" s="55">
        <v>0</v>
      </c>
      <c r="S281" s="106">
        <v>0</v>
      </c>
      <c r="T281" s="93" t="s">
        <v>615</v>
      </c>
    </row>
    <row r="282" spans="1:20" x14ac:dyDescent="0.25">
      <c r="A282" s="117">
        <v>540254</v>
      </c>
      <c r="B282" s="100" t="s">
        <v>616</v>
      </c>
      <c r="C282" s="100" t="s">
        <v>300</v>
      </c>
      <c r="D282" s="101" t="s">
        <v>612</v>
      </c>
      <c r="E282" s="100" t="s">
        <v>69</v>
      </c>
      <c r="F282" s="100" t="s">
        <v>613</v>
      </c>
      <c r="G282" s="100">
        <v>3</v>
      </c>
      <c r="H282" s="93">
        <v>11</v>
      </c>
      <c r="I282" s="102">
        <v>0</v>
      </c>
      <c r="J282" s="103">
        <f>RANK(I282,I$2:$I$284)</f>
        <v>248</v>
      </c>
      <c r="K282" s="93">
        <v>1</v>
      </c>
      <c r="L282" s="55">
        <v>0</v>
      </c>
      <c r="M282" s="104">
        <v>0.9</v>
      </c>
      <c r="N282" s="105">
        <v>0</v>
      </c>
      <c r="O282" s="100">
        <v>0</v>
      </c>
      <c r="P282" s="55">
        <v>0</v>
      </c>
      <c r="Q282" s="100">
        <v>1</v>
      </c>
      <c r="R282" s="55">
        <v>0</v>
      </c>
      <c r="S282" s="106">
        <v>0</v>
      </c>
      <c r="T282" s="93" t="s">
        <v>615</v>
      </c>
    </row>
    <row r="283" spans="1:20" x14ac:dyDescent="0.25">
      <c r="A283" s="117">
        <v>540222</v>
      </c>
      <c r="B283" s="100" t="s">
        <v>616</v>
      </c>
      <c r="C283" s="100" t="s">
        <v>276</v>
      </c>
      <c r="D283" s="101" t="s">
        <v>612</v>
      </c>
      <c r="E283" s="100" t="s">
        <v>71</v>
      </c>
      <c r="F283" s="100" t="s">
        <v>613</v>
      </c>
      <c r="G283" s="100">
        <v>3</v>
      </c>
      <c r="H283" s="93">
        <v>12</v>
      </c>
      <c r="I283" s="102">
        <v>5243</v>
      </c>
      <c r="J283" s="103">
        <f>RANK(I283,I$2:$I$284)</f>
        <v>232</v>
      </c>
      <c r="K283" s="93">
        <v>2</v>
      </c>
      <c r="L283" s="55">
        <v>0</v>
      </c>
      <c r="M283" s="104">
        <v>0.86</v>
      </c>
      <c r="N283" s="105">
        <v>0</v>
      </c>
      <c r="O283" s="100">
        <v>0</v>
      </c>
      <c r="P283" s="55">
        <v>0</v>
      </c>
      <c r="Q283" s="100">
        <v>10</v>
      </c>
      <c r="R283" s="55">
        <v>22</v>
      </c>
      <c r="S283" s="106">
        <v>0</v>
      </c>
      <c r="T283" s="93" t="s">
        <v>615</v>
      </c>
    </row>
    <row r="284" spans="1:20" x14ac:dyDescent="0.25">
      <c r="A284" s="117">
        <v>540180</v>
      </c>
      <c r="B284" s="100" t="s">
        <v>616</v>
      </c>
      <c r="C284" s="100" t="s">
        <v>251</v>
      </c>
      <c r="D284" s="101" t="s">
        <v>612</v>
      </c>
      <c r="E284" s="100" t="s">
        <v>97</v>
      </c>
      <c r="F284" s="100" t="s">
        <v>613</v>
      </c>
      <c r="G284" s="100">
        <v>3</v>
      </c>
      <c r="H284" s="93">
        <v>11</v>
      </c>
      <c r="I284" s="102">
        <v>9033</v>
      </c>
      <c r="J284" s="103">
        <f>RANK(I284,I$2:$I$284)</f>
        <v>227</v>
      </c>
      <c r="K284" s="93">
        <v>1</v>
      </c>
      <c r="L284" s="55">
        <v>0</v>
      </c>
      <c r="M284" s="104">
        <v>0.95</v>
      </c>
      <c r="N284" s="105">
        <v>0</v>
      </c>
      <c r="O284" s="100">
        <v>0</v>
      </c>
      <c r="P284" s="55">
        <v>0</v>
      </c>
      <c r="Q284" s="100">
        <v>0</v>
      </c>
      <c r="R284" s="55">
        <v>0</v>
      </c>
      <c r="S284" s="106">
        <v>0</v>
      </c>
      <c r="T284" s="93" t="s">
        <v>615</v>
      </c>
    </row>
  </sheetData>
  <hyperlinks>
    <hyperlink ref="W3" r:id="rId1"/>
  </hyperlinks>
  <pageMargins left="0.7" right="0.7" top="0.75" bottom="0.75" header="0.3" footer="0.3"/>
  <pageSetup orientation="portrait" horizontalDpi="4294967295" verticalDpi="4294967295"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91"/>
  <sheetViews>
    <sheetView workbookViewId="0">
      <pane xSplit="2" ySplit="1" topLeftCell="BC2" activePane="bottomRight" state="frozen"/>
      <selection pane="topRight" activeCell="D1" sqref="D1"/>
      <selection pane="bottomLeft" activeCell="A7" sqref="A7"/>
      <selection pane="bottomRight" activeCell="BO2" sqref="BO2:BP3"/>
    </sheetView>
  </sheetViews>
  <sheetFormatPr defaultColWidth="8.85546875" defaultRowHeight="15" zeroHeight="1" x14ac:dyDescent="0.25"/>
  <cols>
    <col min="1" max="1" width="7" bestFit="1" customWidth="1"/>
    <col min="2" max="2" width="36" bestFit="1" customWidth="1"/>
    <col min="3" max="3" width="36" customWidth="1"/>
    <col min="4" max="4" width="21.42578125" customWidth="1"/>
    <col min="5" max="5" width="15.28515625" bestFit="1" customWidth="1"/>
    <col min="6" max="6" width="7.5703125" bestFit="1" customWidth="1"/>
    <col min="7" max="7" width="9" bestFit="1" customWidth="1"/>
    <col min="8" max="8" width="8.28515625" bestFit="1" customWidth="1"/>
    <col min="9" max="9" width="11" bestFit="1" customWidth="1"/>
    <col min="10" max="10" width="15.7109375" bestFit="1" customWidth="1"/>
    <col min="11" max="11" width="10.85546875" bestFit="1" customWidth="1"/>
    <col min="12" max="12" width="15.7109375" style="76" bestFit="1" customWidth="1"/>
    <col min="13" max="13" width="9.7109375" bestFit="1" customWidth="1"/>
    <col min="14" max="14" width="15.7109375" bestFit="1" customWidth="1"/>
    <col min="15" max="15" width="10.5703125" bestFit="1" customWidth="1"/>
    <col min="16" max="16" width="15.7109375" style="135" bestFit="1" customWidth="1"/>
    <col min="17" max="17" width="10.42578125" bestFit="1" customWidth="1"/>
    <col min="18" max="18" width="14.140625" style="136" bestFit="1" customWidth="1"/>
    <col min="19" max="19" width="10.42578125" bestFit="1" customWidth="1"/>
    <col min="20" max="20" width="11" style="137" bestFit="1" customWidth="1"/>
    <col min="21" max="21" width="11" bestFit="1" customWidth="1"/>
    <col min="22" max="22" width="15.7109375" style="76" bestFit="1" customWidth="1"/>
    <col min="23" max="23" width="10.140625" bestFit="1" customWidth="1"/>
    <col min="24" max="24" width="15.7109375" style="76" bestFit="1" customWidth="1"/>
    <col min="25" max="25" width="10.140625" bestFit="1" customWidth="1"/>
    <col min="26" max="27" width="10.5703125" bestFit="1" customWidth="1"/>
    <col min="28" max="29" width="10.140625" bestFit="1" customWidth="1"/>
    <col min="30" max="30" width="15.7109375" style="138" bestFit="1" customWidth="1"/>
    <col min="31" max="31" width="10.140625" bestFit="1" customWidth="1"/>
    <col min="32" max="32" width="15.7109375" style="76" bestFit="1" customWidth="1"/>
    <col min="33" max="33" width="11" bestFit="1" customWidth="1"/>
    <col min="34" max="34" width="9.28515625" style="76" bestFit="1" customWidth="1"/>
    <col min="35" max="35" width="9.28515625" bestFit="1" customWidth="1"/>
    <col min="36" max="36" width="10.85546875" style="76" bestFit="1" customWidth="1"/>
    <col min="37" max="37" width="10.85546875" bestFit="1" customWidth="1"/>
    <col min="38" max="38" width="10.5703125" style="139" bestFit="1" customWidth="1"/>
    <col min="39" max="39" width="9.7109375" bestFit="1" customWidth="1"/>
    <col min="40" max="41" width="11" bestFit="1" customWidth="1"/>
    <col min="42" max="43" width="10.140625" bestFit="1" customWidth="1"/>
    <col min="44" max="44" width="15.7109375" style="76" bestFit="1" customWidth="1"/>
    <col min="45" max="45" width="11" bestFit="1" customWidth="1"/>
    <col min="46" max="46" width="10.42578125" style="41" bestFit="1" customWidth="1"/>
    <col min="47" max="47" width="10.42578125" bestFit="1" customWidth="1"/>
    <col min="48" max="48" width="10.7109375" style="76" bestFit="1" customWidth="1"/>
    <col min="49" max="49" width="10.7109375" bestFit="1" customWidth="1"/>
    <col min="50" max="51" width="11" bestFit="1" customWidth="1"/>
    <col min="52" max="52" width="10.5703125" style="140" bestFit="1" customWidth="1"/>
    <col min="53" max="53" width="10.5703125" bestFit="1" customWidth="1"/>
    <col min="54" max="54" width="15.7109375" style="139" bestFit="1" customWidth="1"/>
    <col min="55" max="55" width="11.140625" bestFit="1" customWidth="1"/>
    <col min="56" max="56" width="15.7109375" style="141" bestFit="1" customWidth="1"/>
    <col min="57" max="57" width="10" bestFit="1" customWidth="1"/>
    <col min="58" max="58" width="15.7109375" style="76" bestFit="1" customWidth="1"/>
    <col min="59" max="59" width="10.85546875" bestFit="1" customWidth="1"/>
    <col min="60" max="60" width="10.42578125" customWidth="1"/>
    <col min="61" max="61" width="10.7109375" bestFit="1" customWidth="1"/>
    <col min="62" max="63" width="11" bestFit="1" customWidth="1"/>
    <col min="64" max="64" width="12.28515625" hidden="1" customWidth="1"/>
    <col min="65" max="65" width="10.5703125" bestFit="1" customWidth="1"/>
    <col min="66" max="66" width="2.85546875" style="134" customWidth="1"/>
    <col min="67" max="67" width="8.85546875" customWidth="1"/>
    <col min="68" max="68" width="90.7109375" bestFit="1" customWidth="1"/>
    <col min="69" max="70" width="8.85546875" customWidth="1"/>
    <col min="16384" max="16384" width="22.5703125" customWidth="1"/>
  </cols>
  <sheetData>
    <row r="1" spans="1:68" s="155" customFormat="1" ht="120" x14ac:dyDescent="0.25">
      <c r="A1" s="143" t="s">
        <v>0</v>
      </c>
      <c r="B1" s="143" t="s">
        <v>1</v>
      </c>
      <c r="C1" s="143" t="s">
        <v>596</v>
      </c>
      <c r="D1" s="143" t="s">
        <v>5</v>
      </c>
      <c r="E1" s="143" t="s">
        <v>594</v>
      </c>
      <c r="F1" s="143" t="s">
        <v>482</v>
      </c>
      <c r="G1" s="143" t="s">
        <v>597</v>
      </c>
      <c r="H1" s="143" t="s">
        <v>1253</v>
      </c>
      <c r="I1" s="143" t="s">
        <v>1254</v>
      </c>
      <c r="J1" s="143" t="s">
        <v>1255</v>
      </c>
      <c r="K1" s="143" t="s">
        <v>1256</v>
      </c>
      <c r="L1" s="144" t="s">
        <v>602</v>
      </c>
      <c r="M1" s="143" t="s">
        <v>1257</v>
      </c>
      <c r="N1" s="145" t="s">
        <v>1258</v>
      </c>
      <c r="O1" s="145" t="s">
        <v>1259</v>
      </c>
      <c r="P1" s="146" t="s">
        <v>1260</v>
      </c>
      <c r="Q1" s="143" t="s">
        <v>1261</v>
      </c>
      <c r="R1" s="147" t="s">
        <v>1262</v>
      </c>
      <c r="S1" s="143" t="s">
        <v>1263</v>
      </c>
      <c r="T1" s="148" t="s">
        <v>603</v>
      </c>
      <c r="U1" s="144" t="s">
        <v>1264</v>
      </c>
      <c r="V1" s="144" t="s">
        <v>608</v>
      </c>
      <c r="W1" s="143" t="s">
        <v>1265</v>
      </c>
      <c r="X1" s="144" t="s">
        <v>1266</v>
      </c>
      <c r="Y1" s="143" t="s">
        <v>1267</v>
      </c>
      <c r="Z1" s="144" t="s">
        <v>598</v>
      </c>
      <c r="AA1" s="143" t="s">
        <v>1268</v>
      </c>
      <c r="AB1" s="144" t="s">
        <v>605</v>
      </c>
      <c r="AC1" s="143" t="s">
        <v>1269</v>
      </c>
      <c r="AD1" s="149" t="s">
        <v>1270</v>
      </c>
      <c r="AE1" s="143" t="s">
        <v>1271</v>
      </c>
      <c r="AF1" s="144" t="s">
        <v>606</v>
      </c>
      <c r="AG1" s="143" t="s">
        <v>1272</v>
      </c>
      <c r="AH1" s="144" t="s">
        <v>1273</v>
      </c>
      <c r="AI1" s="143" t="s">
        <v>1274</v>
      </c>
      <c r="AJ1" s="143" t="s">
        <v>1275</v>
      </c>
      <c r="AK1" s="143" t="s">
        <v>1276</v>
      </c>
      <c r="AL1" s="150" t="s">
        <v>1277</v>
      </c>
      <c r="AM1" s="143" t="s">
        <v>1278</v>
      </c>
      <c r="AN1" s="144" t="s">
        <v>607</v>
      </c>
      <c r="AO1" s="143" t="s">
        <v>1279</v>
      </c>
      <c r="AP1" s="143" t="s">
        <v>605</v>
      </c>
      <c r="AQ1" s="143" t="s">
        <v>1269</v>
      </c>
      <c r="AR1" s="143" t="s">
        <v>606</v>
      </c>
      <c r="AS1" s="143" t="s">
        <v>1272</v>
      </c>
      <c r="AT1" s="151" t="s">
        <v>1280</v>
      </c>
      <c r="AU1" s="143" t="s">
        <v>1281</v>
      </c>
      <c r="AV1" s="143" t="s">
        <v>1282</v>
      </c>
      <c r="AW1" s="143" t="s">
        <v>1283</v>
      </c>
      <c r="AX1" s="144" t="s">
        <v>610</v>
      </c>
      <c r="AY1" s="143" t="s">
        <v>1284</v>
      </c>
      <c r="AZ1" s="143" t="s">
        <v>609</v>
      </c>
      <c r="BA1" s="143" t="s">
        <v>1285</v>
      </c>
      <c r="BB1" s="152" t="s">
        <v>1286</v>
      </c>
      <c r="BC1" s="143" t="s">
        <v>1287</v>
      </c>
      <c r="BD1" s="150" t="s">
        <v>1288</v>
      </c>
      <c r="BE1" s="143" t="s">
        <v>1289</v>
      </c>
      <c r="BF1" s="144" t="s">
        <v>1290</v>
      </c>
      <c r="BG1" s="143" t="s">
        <v>1291</v>
      </c>
      <c r="BH1" s="143" t="s">
        <v>1292</v>
      </c>
      <c r="BI1" s="143" t="s">
        <v>1293</v>
      </c>
      <c r="BJ1" s="144" t="s">
        <v>607</v>
      </c>
      <c r="BK1" s="143" t="s">
        <v>1294</v>
      </c>
      <c r="BL1" s="153" t="s">
        <v>1295</v>
      </c>
      <c r="BM1" s="153" t="s">
        <v>1296</v>
      </c>
      <c r="BN1" s="154"/>
    </row>
    <row r="2" spans="1:68" x14ac:dyDescent="0.25">
      <c r="A2" s="2">
        <v>540237</v>
      </c>
      <c r="B2" s="2" t="s">
        <v>285</v>
      </c>
      <c r="C2" s="2" t="s">
        <v>9</v>
      </c>
      <c r="D2" s="2" t="s">
        <v>612</v>
      </c>
      <c r="E2" s="2" t="s">
        <v>616</v>
      </c>
      <c r="F2" s="2" t="s">
        <v>613</v>
      </c>
      <c r="G2" s="2">
        <v>3</v>
      </c>
      <c r="H2" s="2">
        <v>0</v>
      </c>
      <c r="I2" s="2">
        <v>2</v>
      </c>
      <c r="J2" s="2">
        <v>4.4000000000000004</v>
      </c>
      <c r="K2" s="2">
        <v>205</v>
      </c>
      <c r="L2" s="55">
        <v>0</v>
      </c>
      <c r="M2" s="2">
        <v>118</v>
      </c>
      <c r="N2" s="2">
        <v>12</v>
      </c>
      <c r="O2" s="2">
        <v>1</v>
      </c>
      <c r="P2" s="156">
        <v>32587</v>
      </c>
      <c r="Q2" s="2">
        <v>199</v>
      </c>
      <c r="R2" s="157">
        <v>0.60204035499999997</v>
      </c>
      <c r="S2" s="2">
        <v>83</v>
      </c>
      <c r="T2" s="158">
        <v>0.94</v>
      </c>
      <c r="U2" s="2">
        <v>11</v>
      </c>
      <c r="V2" s="55">
        <v>5</v>
      </c>
      <c r="W2" s="2">
        <v>121</v>
      </c>
      <c r="X2" s="55">
        <v>2</v>
      </c>
      <c r="Y2" s="2">
        <v>225</v>
      </c>
      <c r="Z2" s="2">
        <v>15</v>
      </c>
      <c r="AA2" s="2">
        <v>44</v>
      </c>
      <c r="AB2" s="2">
        <v>4</v>
      </c>
      <c r="AC2" s="2">
        <v>139</v>
      </c>
      <c r="AD2" s="105">
        <v>4</v>
      </c>
      <c r="AE2" s="2">
        <v>206</v>
      </c>
      <c r="AF2" s="55">
        <v>0</v>
      </c>
      <c r="AG2" s="2">
        <v>184</v>
      </c>
      <c r="AH2" s="55">
        <v>0</v>
      </c>
      <c r="AI2" s="2">
        <v>135</v>
      </c>
      <c r="AJ2" s="55">
        <v>0.61029999999999995</v>
      </c>
      <c r="AK2" s="2">
        <v>187</v>
      </c>
      <c r="AL2" s="30">
        <v>42543</v>
      </c>
      <c r="AM2" s="2">
        <v>161</v>
      </c>
      <c r="AN2" s="2">
        <v>1</v>
      </c>
      <c r="AO2" s="2">
        <v>36</v>
      </c>
      <c r="AP2" s="2">
        <v>4</v>
      </c>
      <c r="AQ2" s="2">
        <v>139</v>
      </c>
      <c r="AR2" s="55">
        <v>0</v>
      </c>
      <c r="AS2" s="2">
        <v>184</v>
      </c>
      <c r="AT2" s="159">
        <v>0</v>
      </c>
      <c r="AU2" s="2">
        <v>81</v>
      </c>
      <c r="AV2" s="55">
        <v>1</v>
      </c>
      <c r="AW2" s="2">
        <v>1</v>
      </c>
      <c r="AX2" s="2" t="s">
        <v>615</v>
      </c>
      <c r="AY2" s="2">
        <v>999999</v>
      </c>
      <c r="AZ2" s="106">
        <v>0</v>
      </c>
      <c r="BA2" s="2">
        <v>14</v>
      </c>
      <c r="BB2" s="30">
        <v>43438</v>
      </c>
      <c r="BC2" s="2">
        <v>239</v>
      </c>
      <c r="BD2" s="160">
        <v>41806</v>
      </c>
      <c r="BE2" s="2">
        <v>1</v>
      </c>
      <c r="BF2" s="55">
        <v>1</v>
      </c>
      <c r="BG2" s="2">
        <v>1</v>
      </c>
      <c r="BH2" s="2">
        <v>2</v>
      </c>
      <c r="BI2" s="2">
        <v>68</v>
      </c>
      <c r="BJ2" s="2">
        <v>1</v>
      </c>
      <c r="BK2" s="2">
        <v>231</v>
      </c>
      <c r="BL2" s="161">
        <v>965864.37037037022</v>
      </c>
      <c r="BM2" s="2" t="str">
        <f t="shared" ref="BM2:BM65" si="0">CONCATENATE(RANK(BL2,$BL$2:$BL$284,1),"/",283)</f>
        <v>142/283</v>
      </c>
      <c r="BN2" s="142"/>
      <c r="BO2" s="206" t="s">
        <v>1325</v>
      </c>
      <c r="BP2" s="201" t="s">
        <v>1358</v>
      </c>
    </row>
    <row r="3" spans="1:68" x14ac:dyDescent="0.25">
      <c r="A3" s="2">
        <v>540236</v>
      </c>
      <c r="B3" s="2" t="s">
        <v>284</v>
      </c>
      <c r="C3" s="2" t="s">
        <v>9</v>
      </c>
      <c r="D3" s="2" t="s">
        <v>612</v>
      </c>
      <c r="E3" s="2" t="s">
        <v>616</v>
      </c>
      <c r="F3" s="2" t="s">
        <v>613</v>
      </c>
      <c r="G3" s="2">
        <v>3</v>
      </c>
      <c r="H3" s="2">
        <v>0</v>
      </c>
      <c r="I3" s="2">
        <v>2</v>
      </c>
      <c r="J3" s="2">
        <v>4.4000000000000004</v>
      </c>
      <c r="K3" s="2">
        <v>205</v>
      </c>
      <c r="L3" s="55">
        <v>0</v>
      </c>
      <c r="M3" s="2">
        <v>118</v>
      </c>
      <c r="N3" s="2">
        <v>12</v>
      </c>
      <c r="O3" s="2">
        <v>1</v>
      </c>
      <c r="P3" s="156">
        <v>5109</v>
      </c>
      <c r="Q3" s="2">
        <v>233</v>
      </c>
      <c r="R3" s="157">
        <v>0.60204035499999997</v>
      </c>
      <c r="S3" s="2">
        <v>83</v>
      </c>
      <c r="T3" s="158">
        <v>0.94</v>
      </c>
      <c r="U3" s="2">
        <v>11</v>
      </c>
      <c r="V3" s="55">
        <v>6</v>
      </c>
      <c r="W3" s="2">
        <v>113</v>
      </c>
      <c r="X3" s="55">
        <v>4</v>
      </c>
      <c r="Y3" s="2">
        <v>211</v>
      </c>
      <c r="Z3" s="2">
        <v>15</v>
      </c>
      <c r="AA3" s="2">
        <v>44</v>
      </c>
      <c r="AB3" s="2">
        <v>1</v>
      </c>
      <c r="AC3" s="2">
        <v>186</v>
      </c>
      <c r="AD3" s="105">
        <v>6</v>
      </c>
      <c r="AE3" s="2">
        <v>184</v>
      </c>
      <c r="AF3" s="55">
        <v>0</v>
      </c>
      <c r="AG3" s="2">
        <v>184</v>
      </c>
      <c r="AH3" s="55">
        <v>118</v>
      </c>
      <c r="AI3" s="2">
        <v>119</v>
      </c>
      <c r="AJ3" s="55">
        <v>0.61029999999999995</v>
      </c>
      <c r="AK3" s="2">
        <v>187</v>
      </c>
      <c r="AL3" s="30">
        <v>42543</v>
      </c>
      <c r="AM3" s="2">
        <v>161</v>
      </c>
      <c r="AN3" s="2">
        <v>1</v>
      </c>
      <c r="AO3" s="2">
        <v>36</v>
      </c>
      <c r="AP3" s="2">
        <v>1</v>
      </c>
      <c r="AQ3" s="2">
        <v>186</v>
      </c>
      <c r="AR3" s="55">
        <v>0</v>
      </c>
      <c r="AS3" s="2">
        <v>184</v>
      </c>
      <c r="AT3" s="159">
        <v>-8.4745762711864394</v>
      </c>
      <c r="AU3" s="2">
        <v>256</v>
      </c>
      <c r="AV3" s="55">
        <v>1</v>
      </c>
      <c r="AW3" s="2">
        <v>1</v>
      </c>
      <c r="AX3" s="2" t="s">
        <v>615</v>
      </c>
      <c r="AY3" s="2">
        <v>999999</v>
      </c>
      <c r="AZ3" s="106">
        <v>0</v>
      </c>
      <c r="BA3" s="2">
        <v>14</v>
      </c>
      <c r="BB3" s="30">
        <v>43438</v>
      </c>
      <c r="BC3" s="2">
        <v>239</v>
      </c>
      <c r="BD3" s="160">
        <v>41806</v>
      </c>
      <c r="BE3" s="2">
        <v>1</v>
      </c>
      <c r="BF3" s="55">
        <v>1</v>
      </c>
      <c r="BG3" s="2">
        <v>1</v>
      </c>
      <c r="BH3" s="2">
        <v>1</v>
      </c>
      <c r="BI3" s="2">
        <v>151</v>
      </c>
      <c r="BJ3" s="2">
        <v>1</v>
      </c>
      <c r="BK3" s="2">
        <v>231</v>
      </c>
      <c r="BL3" s="161">
        <v>966178.29629629618</v>
      </c>
      <c r="BM3" s="2" t="str">
        <f t="shared" si="0"/>
        <v>192/283</v>
      </c>
      <c r="BN3" s="142"/>
      <c r="BO3" s="206" t="s">
        <v>1326</v>
      </c>
      <c r="BP3" s="232" t="s">
        <v>1359</v>
      </c>
    </row>
    <row r="4" spans="1:68" x14ac:dyDescent="0.25">
      <c r="A4" s="162">
        <v>545536</v>
      </c>
      <c r="B4" s="162" t="s">
        <v>110</v>
      </c>
      <c r="C4" s="162" t="s">
        <v>111</v>
      </c>
      <c r="D4" s="162" t="s">
        <v>617</v>
      </c>
      <c r="E4" s="162" t="s">
        <v>616</v>
      </c>
      <c r="F4" s="162" t="s">
        <v>613</v>
      </c>
      <c r="G4" s="162">
        <v>3</v>
      </c>
      <c r="H4" s="162">
        <v>0</v>
      </c>
      <c r="I4" s="162">
        <v>2</v>
      </c>
      <c r="J4" s="162">
        <v>4</v>
      </c>
      <c r="K4" s="162">
        <v>210</v>
      </c>
      <c r="L4" s="163">
        <v>109</v>
      </c>
      <c r="M4" s="162">
        <v>1</v>
      </c>
      <c r="N4" s="162">
        <v>12</v>
      </c>
      <c r="O4" s="162">
        <v>1</v>
      </c>
      <c r="P4" s="164">
        <v>30843738</v>
      </c>
      <c r="Q4" s="162">
        <v>1</v>
      </c>
      <c r="R4" s="165">
        <v>-0.456714493</v>
      </c>
      <c r="S4" s="162">
        <v>183</v>
      </c>
      <c r="T4" s="166">
        <v>0.9</v>
      </c>
      <c r="U4" s="162">
        <v>107</v>
      </c>
      <c r="V4" s="163">
        <v>123</v>
      </c>
      <c r="W4" s="162">
        <v>10</v>
      </c>
      <c r="X4" s="163">
        <v>2235</v>
      </c>
      <c r="Y4" s="162">
        <v>2</v>
      </c>
      <c r="Z4" s="162">
        <v>18</v>
      </c>
      <c r="AA4" s="162">
        <v>4</v>
      </c>
      <c r="AB4" s="162">
        <v>210</v>
      </c>
      <c r="AC4" s="162">
        <v>3</v>
      </c>
      <c r="AD4" s="167">
        <v>547</v>
      </c>
      <c r="AE4" s="162">
        <v>3</v>
      </c>
      <c r="AF4" s="163">
        <v>798</v>
      </c>
      <c r="AG4" s="162">
        <v>2</v>
      </c>
      <c r="AH4" s="163">
        <v>2682</v>
      </c>
      <c r="AI4" s="162">
        <v>16</v>
      </c>
      <c r="AJ4" s="163">
        <v>0.64470000000000005</v>
      </c>
      <c r="AK4" s="162">
        <v>214</v>
      </c>
      <c r="AL4" s="168">
        <v>43145</v>
      </c>
      <c r="AM4" s="162">
        <v>26</v>
      </c>
      <c r="AN4" s="162">
        <v>65</v>
      </c>
      <c r="AO4" s="162">
        <v>245</v>
      </c>
      <c r="AP4" s="162">
        <v>210</v>
      </c>
      <c r="AQ4" s="162">
        <v>3</v>
      </c>
      <c r="AR4" s="163">
        <v>798</v>
      </c>
      <c r="AS4" s="162">
        <v>2</v>
      </c>
      <c r="AT4" s="169">
        <v>-8.5756897837434742</v>
      </c>
      <c r="AU4" s="162">
        <v>257</v>
      </c>
      <c r="AV4" s="163">
        <v>1</v>
      </c>
      <c r="AW4" s="162">
        <v>1</v>
      </c>
      <c r="AX4" s="162" t="s">
        <v>615</v>
      </c>
      <c r="AY4" s="162">
        <v>999999</v>
      </c>
      <c r="AZ4" s="170">
        <v>0</v>
      </c>
      <c r="BA4" s="162">
        <v>14</v>
      </c>
      <c r="BB4" s="168">
        <v>43388</v>
      </c>
      <c r="BC4" s="162">
        <v>224</v>
      </c>
      <c r="BD4" s="171">
        <v>43530</v>
      </c>
      <c r="BE4" s="162">
        <v>51</v>
      </c>
      <c r="BF4" s="163">
        <v>1</v>
      </c>
      <c r="BG4" s="162">
        <v>1</v>
      </c>
      <c r="BH4" s="162">
        <v>12</v>
      </c>
      <c r="BI4" s="162">
        <v>8</v>
      </c>
      <c r="BJ4" s="162">
        <v>65</v>
      </c>
      <c r="BK4" s="162">
        <v>34</v>
      </c>
      <c r="BL4" s="161">
        <v>964524.88888888888</v>
      </c>
      <c r="BM4" s="162" t="str">
        <f t="shared" si="0"/>
        <v>17/283</v>
      </c>
      <c r="BN4" s="142"/>
    </row>
    <row r="5" spans="1:68" x14ac:dyDescent="0.25">
      <c r="A5" s="2">
        <v>540223</v>
      </c>
      <c r="B5" s="2" t="s">
        <v>277</v>
      </c>
      <c r="C5" s="2" t="s">
        <v>39</v>
      </c>
      <c r="D5" s="2" t="s">
        <v>612</v>
      </c>
      <c r="E5" s="2" t="s">
        <v>616</v>
      </c>
      <c r="F5" s="2" t="s">
        <v>613</v>
      </c>
      <c r="G5" s="2">
        <v>3</v>
      </c>
      <c r="H5" s="2">
        <v>0</v>
      </c>
      <c r="I5" s="2">
        <v>2</v>
      </c>
      <c r="J5" s="2">
        <v>105.4</v>
      </c>
      <c r="K5" s="2">
        <v>25</v>
      </c>
      <c r="L5" s="55">
        <v>6</v>
      </c>
      <c r="M5" s="2">
        <v>56</v>
      </c>
      <c r="N5" s="2">
        <v>10</v>
      </c>
      <c r="O5" s="2">
        <v>4</v>
      </c>
      <c r="P5" s="156">
        <v>1346989</v>
      </c>
      <c r="Q5" s="2">
        <v>64</v>
      </c>
      <c r="R5" s="157">
        <v>-0.91478383900000004</v>
      </c>
      <c r="S5" s="2">
        <v>270</v>
      </c>
      <c r="T5" s="158">
        <v>0.83</v>
      </c>
      <c r="U5" s="2">
        <v>228</v>
      </c>
      <c r="V5" s="55">
        <v>20</v>
      </c>
      <c r="W5" s="2">
        <v>69</v>
      </c>
      <c r="X5" s="55">
        <v>47</v>
      </c>
      <c r="Y5" s="2">
        <v>99</v>
      </c>
      <c r="Z5" s="2">
        <v>16</v>
      </c>
      <c r="AA5" s="2">
        <v>20</v>
      </c>
      <c r="AB5" s="2">
        <v>63</v>
      </c>
      <c r="AC5" s="2">
        <v>28</v>
      </c>
      <c r="AD5" s="105">
        <v>81</v>
      </c>
      <c r="AE5" s="2">
        <v>53</v>
      </c>
      <c r="AF5" s="55">
        <v>20</v>
      </c>
      <c r="AG5" s="2">
        <v>67</v>
      </c>
      <c r="AH5" s="55">
        <v>824</v>
      </c>
      <c r="AI5" s="2">
        <v>60</v>
      </c>
      <c r="AJ5" s="55">
        <v>0.47560000000000002</v>
      </c>
      <c r="AK5" s="2">
        <v>127</v>
      </c>
      <c r="AL5" s="30">
        <v>42543</v>
      </c>
      <c r="AM5" s="2">
        <v>161</v>
      </c>
      <c r="AN5" s="2">
        <v>169</v>
      </c>
      <c r="AO5" s="2">
        <v>259</v>
      </c>
      <c r="AP5" s="2">
        <v>63</v>
      </c>
      <c r="AQ5" s="2">
        <v>28</v>
      </c>
      <c r="AR5" s="55">
        <v>20</v>
      </c>
      <c r="AS5" s="2">
        <v>67</v>
      </c>
      <c r="AT5" s="159">
        <v>1.6990291262135921</v>
      </c>
      <c r="AU5" s="2">
        <v>69</v>
      </c>
      <c r="AV5" s="55">
        <v>1</v>
      </c>
      <c r="AW5" s="2">
        <v>1</v>
      </c>
      <c r="AX5" s="2" t="s">
        <v>615</v>
      </c>
      <c r="AY5" s="2">
        <v>999999</v>
      </c>
      <c r="AZ5" s="106">
        <v>0</v>
      </c>
      <c r="BA5" s="2">
        <v>14</v>
      </c>
      <c r="BB5" s="30">
        <v>42338</v>
      </c>
      <c r="BC5" s="2">
        <v>103</v>
      </c>
      <c r="BD5" s="160">
        <v>41806</v>
      </c>
      <c r="BE5" s="2">
        <v>1</v>
      </c>
      <c r="BF5" s="55">
        <v>1</v>
      </c>
      <c r="BG5" s="2">
        <v>1</v>
      </c>
      <c r="BH5" s="2">
        <v>2</v>
      </c>
      <c r="BI5" s="2">
        <v>68</v>
      </c>
      <c r="BJ5" s="2">
        <v>169</v>
      </c>
      <c r="BK5" s="2">
        <v>12</v>
      </c>
      <c r="BL5" s="161">
        <v>964843.62962962943</v>
      </c>
      <c r="BM5" s="2" t="str">
        <f t="shared" si="0"/>
        <v>28/283</v>
      </c>
      <c r="BN5" s="142"/>
    </row>
    <row r="6" spans="1:68" x14ac:dyDescent="0.25">
      <c r="A6" s="2">
        <v>540002</v>
      </c>
      <c r="B6" s="2" t="s">
        <v>114</v>
      </c>
      <c r="C6" s="2" t="s">
        <v>4</v>
      </c>
      <c r="D6" s="2" t="s">
        <v>612</v>
      </c>
      <c r="E6" s="2" t="s">
        <v>616</v>
      </c>
      <c r="F6" s="2" t="s">
        <v>613</v>
      </c>
      <c r="G6" s="2">
        <v>3</v>
      </c>
      <c r="H6" s="2">
        <v>0</v>
      </c>
      <c r="I6" s="2">
        <v>2</v>
      </c>
      <c r="J6" s="2">
        <v>9</v>
      </c>
      <c r="K6" s="2">
        <v>175</v>
      </c>
      <c r="L6" s="55">
        <v>6</v>
      </c>
      <c r="M6" s="2">
        <v>56</v>
      </c>
      <c r="N6" s="2">
        <v>8</v>
      </c>
      <c r="O6" s="2">
        <v>5</v>
      </c>
      <c r="P6" s="156">
        <v>537610</v>
      </c>
      <c r="Q6" s="2">
        <v>95</v>
      </c>
      <c r="R6" s="157">
        <v>5.6266027709999999</v>
      </c>
      <c r="S6" s="2">
        <v>3</v>
      </c>
      <c r="T6" s="158">
        <v>0.87</v>
      </c>
      <c r="U6" s="2">
        <v>177</v>
      </c>
      <c r="V6" s="55">
        <v>11</v>
      </c>
      <c r="W6" s="2">
        <v>88</v>
      </c>
      <c r="X6" s="55">
        <v>55</v>
      </c>
      <c r="Y6" s="2">
        <v>88</v>
      </c>
      <c r="Z6" s="2">
        <v>10</v>
      </c>
      <c r="AA6" s="2">
        <v>216</v>
      </c>
      <c r="AB6" s="2">
        <v>3</v>
      </c>
      <c r="AC6" s="2">
        <v>149</v>
      </c>
      <c r="AD6" s="105">
        <v>22</v>
      </c>
      <c r="AE6" s="2">
        <v>112</v>
      </c>
      <c r="AF6" s="55">
        <v>21</v>
      </c>
      <c r="AG6" s="2">
        <v>65</v>
      </c>
      <c r="AH6" s="55">
        <v>0</v>
      </c>
      <c r="AI6" s="2">
        <v>135</v>
      </c>
      <c r="AJ6" s="55">
        <v>0.6613</v>
      </c>
      <c r="AK6" s="2">
        <v>220</v>
      </c>
      <c r="AL6" s="30">
        <v>42066</v>
      </c>
      <c r="AM6" s="2">
        <v>243</v>
      </c>
      <c r="AN6" s="2">
        <v>37</v>
      </c>
      <c r="AO6" s="2">
        <v>199</v>
      </c>
      <c r="AP6" s="2">
        <v>3</v>
      </c>
      <c r="AQ6" s="2">
        <v>149</v>
      </c>
      <c r="AR6" s="55">
        <v>21</v>
      </c>
      <c r="AS6" s="2">
        <v>65</v>
      </c>
      <c r="AT6" s="159">
        <v>0</v>
      </c>
      <c r="AU6" s="2">
        <v>81</v>
      </c>
      <c r="AV6" s="55">
        <v>0</v>
      </c>
      <c r="AW6" s="2">
        <v>194</v>
      </c>
      <c r="AX6" s="2" t="s">
        <v>615</v>
      </c>
      <c r="AY6" s="2">
        <v>999999</v>
      </c>
      <c r="AZ6" s="106">
        <v>0</v>
      </c>
      <c r="BA6" s="2">
        <v>14</v>
      </c>
      <c r="BB6" s="30">
        <v>40724</v>
      </c>
      <c r="BC6" s="2">
        <v>67</v>
      </c>
      <c r="BD6" s="160">
        <v>43558</v>
      </c>
      <c r="BE6" s="2">
        <v>58</v>
      </c>
      <c r="BF6" s="55">
        <v>1</v>
      </c>
      <c r="BG6" s="2">
        <v>1</v>
      </c>
      <c r="BH6" s="2">
        <v>3</v>
      </c>
      <c r="BI6" s="2">
        <v>46</v>
      </c>
      <c r="BJ6" s="2">
        <v>37</v>
      </c>
      <c r="BK6" s="2">
        <v>82</v>
      </c>
      <c r="BL6" s="161">
        <v>965641.92592592584</v>
      </c>
      <c r="BM6" s="2" t="str">
        <f t="shared" si="0"/>
        <v>111/283</v>
      </c>
      <c r="BN6" s="142"/>
    </row>
    <row r="7" spans="1:68" x14ac:dyDescent="0.25">
      <c r="A7" s="2">
        <v>540004</v>
      </c>
      <c r="B7" s="2" t="s">
        <v>117</v>
      </c>
      <c r="C7" s="2" t="s">
        <v>4</v>
      </c>
      <c r="D7" s="2" t="s">
        <v>612</v>
      </c>
      <c r="E7" s="2" t="s">
        <v>616</v>
      </c>
      <c r="F7" s="2" t="s">
        <v>613</v>
      </c>
      <c r="G7" s="2">
        <v>3</v>
      </c>
      <c r="H7" s="2">
        <v>0</v>
      </c>
      <c r="I7" s="2">
        <v>2</v>
      </c>
      <c r="J7" s="2">
        <v>9</v>
      </c>
      <c r="K7" s="2">
        <v>175</v>
      </c>
      <c r="L7" s="55">
        <v>9</v>
      </c>
      <c r="M7" s="2">
        <v>39</v>
      </c>
      <c r="N7" s="2">
        <v>8</v>
      </c>
      <c r="O7" s="2">
        <v>5</v>
      </c>
      <c r="P7" s="156">
        <v>2675619</v>
      </c>
      <c r="Q7" s="2">
        <v>31</v>
      </c>
      <c r="R7" s="157">
        <v>5.6266027709999999</v>
      </c>
      <c r="S7" s="2">
        <v>3</v>
      </c>
      <c r="T7" s="158">
        <v>0.87</v>
      </c>
      <c r="U7" s="2">
        <v>177</v>
      </c>
      <c r="V7" s="55">
        <v>2</v>
      </c>
      <c r="W7" s="2">
        <v>170</v>
      </c>
      <c r="X7" s="55">
        <v>266</v>
      </c>
      <c r="Y7" s="2">
        <v>26</v>
      </c>
      <c r="Z7" s="2">
        <v>10</v>
      </c>
      <c r="AA7" s="2">
        <v>216</v>
      </c>
      <c r="AB7" s="2">
        <v>40</v>
      </c>
      <c r="AC7" s="2">
        <v>46</v>
      </c>
      <c r="AD7" s="105">
        <v>69</v>
      </c>
      <c r="AE7" s="2">
        <v>60</v>
      </c>
      <c r="AF7" s="55">
        <v>49</v>
      </c>
      <c r="AG7" s="2">
        <v>35</v>
      </c>
      <c r="AH7" s="55">
        <v>0</v>
      </c>
      <c r="AI7" s="2">
        <v>135</v>
      </c>
      <c r="AJ7" s="55">
        <v>0.6613</v>
      </c>
      <c r="AK7" s="2">
        <v>220</v>
      </c>
      <c r="AL7" s="30">
        <v>42066</v>
      </c>
      <c r="AM7" s="2">
        <v>243</v>
      </c>
      <c r="AN7" s="2">
        <v>37</v>
      </c>
      <c r="AO7" s="2">
        <v>199</v>
      </c>
      <c r="AP7" s="2">
        <v>40</v>
      </c>
      <c r="AQ7" s="2">
        <v>46</v>
      </c>
      <c r="AR7" s="55">
        <v>49</v>
      </c>
      <c r="AS7" s="2">
        <v>35</v>
      </c>
      <c r="AT7" s="159">
        <v>0</v>
      </c>
      <c r="AU7" s="2">
        <v>81</v>
      </c>
      <c r="AV7" s="55">
        <v>1</v>
      </c>
      <c r="AW7" s="2">
        <v>1</v>
      </c>
      <c r="AX7" s="2">
        <v>8</v>
      </c>
      <c r="AY7" s="2">
        <v>3</v>
      </c>
      <c r="AZ7" s="106">
        <v>1</v>
      </c>
      <c r="BA7" s="2">
        <v>1</v>
      </c>
      <c r="BB7" s="30">
        <v>40724</v>
      </c>
      <c r="BC7" s="2">
        <v>67</v>
      </c>
      <c r="BD7" s="160">
        <v>43558</v>
      </c>
      <c r="BE7" s="2">
        <v>58</v>
      </c>
      <c r="BF7" s="55">
        <v>1</v>
      </c>
      <c r="BG7" s="2">
        <v>1</v>
      </c>
      <c r="BH7" s="2">
        <v>2</v>
      </c>
      <c r="BI7" s="2">
        <v>68</v>
      </c>
      <c r="BJ7" s="2">
        <v>37</v>
      </c>
      <c r="BK7" s="2">
        <v>82</v>
      </c>
      <c r="BL7" s="161">
        <v>2140.666666666667</v>
      </c>
      <c r="BM7" s="2" t="str">
        <f t="shared" si="0"/>
        <v>10/283</v>
      </c>
      <c r="BN7" s="142"/>
    </row>
    <row r="8" spans="1:68" x14ac:dyDescent="0.25">
      <c r="A8" s="2">
        <v>540010</v>
      </c>
      <c r="B8" s="2" t="s">
        <v>121</v>
      </c>
      <c r="C8" s="2" t="s">
        <v>9</v>
      </c>
      <c r="D8" s="2" t="s">
        <v>612</v>
      </c>
      <c r="E8" s="2" t="s">
        <v>616</v>
      </c>
      <c r="F8" s="2" t="s">
        <v>613</v>
      </c>
      <c r="G8" s="2">
        <v>3</v>
      </c>
      <c r="H8" s="2">
        <v>0</v>
      </c>
      <c r="I8" s="2">
        <v>2</v>
      </c>
      <c r="J8" s="2">
        <v>4.4000000000000004</v>
      </c>
      <c r="K8" s="2">
        <v>205</v>
      </c>
      <c r="L8" s="55">
        <v>0</v>
      </c>
      <c r="M8" s="2">
        <v>118</v>
      </c>
      <c r="N8" s="2">
        <v>8</v>
      </c>
      <c r="O8" s="2">
        <v>5</v>
      </c>
      <c r="P8" s="156">
        <v>215092</v>
      </c>
      <c r="Q8" s="2">
        <v>132</v>
      </c>
      <c r="R8" s="157">
        <v>0.60204035499999997</v>
      </c>
      <c r="S8" s="2">
        <v>83</v>
      </c>
      <c r="T8" s="158">
        <v>0.94</v>
      </c>
      <c r="U8" s="2">
        <v>11</v>
      </c>
      <c r="V8" s="55">
        <v>3</v>
      </c>
      <c r="W8" s="2">
        <v>153</v>
      </c>
      <c r="X8" s="55">
        <v>8</v>
      </c>
      <c r="Y8" s="2">
        <v>188</v>
      </c>
      <c r="Z8" s="2">
        <v>15</v>
      </c>
      <c r="AA8" s="2">
        <v>44</v>
      </c>
      <c r="AB8" s="2">
        <v>0</v>
      </c>
      <c r="AC8" s="2">
        <v>222</v>
      </c>
      <c r="AD8" s="105">
        <v>5</v>
      </c>
      <c r="AE8" s="2">
        <v>194</v>
      </c>
      <c r="AF8" s="55">
        <v>2</v>
      </c>
      <c r="AG8" s="2">
        <v>164</v>
      </c>
      <c r="AH8" s="55">
        <v>0</v>
      </c>
      <c r="AI8" s="2">
        <v>135</v>
      </c>
      <c r="AJ8" s="55">
        <v>0.61029999999999995</v>
      </c>
      <c r="AK8" s="2">
        <v>187</v>
      </c>
      <c r="AL8" s="30">
        <v>42543</v>
      </c>
      <c r="AM8" s="2">
        <v>161</v>
      </c>
      <c r="AN8" s="2">
        <v>1</v>
      </c>
      <c r="AO8" s="2">
        <v>36</v>
      </c>
      <c r="AP8" s="2">
        <v>0</v>
      </c>
      <c r="AQ8" s="2">
        <v>222</v>
      </c>
      <c r="AR8" s="55">
        <v>2</v>
      </c>
      <c r="AS8" s="2">
        <v>164</v>
      </c>
      <c r="AT8" s="159">
        <v>0</v>
      </c>
      <c r="AU8" s="2">
        <v>81</v>
      </c>
      <c r="AV8" s="55">
        <v>1</v>
      </c>
      <c r="AW8" s="2">
        <v>1</v>
      </c>
      <c r="AX8" s="2" t="s">
        <v>615</v>
      </c>
      <c r="AY8" s="2">
        <v>999999</v>
      </c>
      <c r="AZ8" s="106">
        <v>0</v>
      </c>
      <c r="BA8" s="2">
        <v>14</v>
      </c>
      <c r="BB8" s="30">
        <v>33373</v>
      </c>
      <c r="BC8" s="2">
        <v>14</v>
      </c>
      <c r="BD8" s="160">
        <v>41806</v>
      </c>
      <c r="BE8" s="2">
        <v>1</v>
      </c>
      <c r="BF8" s="55">
        <v>1</v>
      </c>
      <c r="BG8" s="2">
        <v>1</v>
      </c>
      <c r="BH8" s="2">
        <v>1</v>
      </c>
      <c r="BI8" s="2">
        <v>151</v>
      </c>
      <c r="BJ8" s="2">
        <v>1</v>
      </c>
      <c r="BK8" s="2">
        <v>231</v>
      </c>
      <c r="BL8" s="161">
        <v>965771.92592592584</v>
      </c>
      <c r="BM8" s="2" t="str">
        <f t="shared" si="0"/>
        <v>130/283</v>
      </c>
      <c r="BN8" s="142"/>
    </row>
    <row r="9" spans="1:68" x14ac:dyDescent="0.25">
      <c r="A9" s="2">
        <v>540019</v>
      </c>
      <c r="B9" s="2" t="s">
        <v>128</v>
      </c>
      <c r="C9" s="2" t="s">
        <v>13</v>
      </c>
      <c r="D9" s="2" t="s">
        <v>612</v>
      </c>
      <c r="E9" s="2" t="s">
        <v>616</v>
      </c>
      <c r="F9" s="2" t="s">
        <v>613</v>
      </c>
      <c r="G9" s="2">
        <v>3</v>
      </c>
      <c r="H9" s="2">
        <v>0</v>
      </c>
      <c r="I9" s="2">
        <v>2</v>
      </c>
      <c r="J9" s="2">
        <v>93</v>
      </c>
      <c r="K9" s="2">
        <v>44</v>
      </c>
      <c r="L9" s="55">
        <v>11</v>
      </c>
      <c r="M9" s="2">
        <v>35</v>
      </c>
      <c r="N9" s="2">
        <v>8</v>
      </c>
      <c r="O9" s="2">
        <v>5</v>
      </c>
      <c r="P9" s="156">
        <v>2478986</v>
      </c>
      <c r="Q9" s="2">
        <v>34</v>
      </c>
      <c r="R9" s="157">
        <v>-0.91433686300000006</v>
      </c>
      <c r="S9" s="2">
        <v>267</v>
      </c>
      <c r="T9" s="158">
        <v>0.9</v>
      </c>
      <c r="U9" s="2">
        <v>107</v>
      </c>
      <c r="V9" s="55">
        <v>26</v>
      </c>
      <c r="W9" s="2">
        <v>56</v>
      </c>
      <c r="X9" s="55">
        <v>184</v>
      </c>
      <c r="Y9" s="2">
        <v>40</v>
      </c>
      <c r="Z9" s="2">
        <v>17</v>
      </c>
      <c r="AA9" s="2">
        <v>10</v>
      </c>
      <c r="AB9" s="2">
        <v>49</v>
      </c>
      <c r="AC9" s="2">
        <v>39</v>
      </c>
      <c r="AD9" s="105">
        <v>93</v>
      </c>
      <c r="AE9" s="2">
        <v>47</v>
      </c>
      <c r="AF9" s="55">
        <v>57</v>
      </c>
      <c r="AG9" s="2">
        <v>31</v>
      </c>
      <c r="AH9" s="55">
        <v>324</v>
      </c>
      <c r="AI9" s="2">
        <v>82</v>
      </c>
      <c r="AJ9" s="55">
        <v>0.63129999999999997</v>
      </c>
      <c r="AK9" s="2">
        <v>205</v>
      </c>
      <c r="AL9" s="30">
        <v>43145</v>
      </c>
      <c r="AM9" s="2">
        <v>26</v>
      </c>
      <c r="AN9" s="2">
        <v>32</v>
      </c>
      <c r="AO9" s="2">
        <v>185</v>
      </c>
      <c r="AP9" s="2">
        <v>49</v>
      </c>
      <c r="AQ9" s="2">
        <v>39</v>
      </c>
      <c r="AR9" s="55">
        <v>57</v>
      </c>
      <c r="AS9" s="2">
        <v>31</v>
      </c>
      <c r="AT9" s="159">
        <v>5.2469135802469129</v>
      </c>
      <c r="AU9" s="2">
        <v>50</v>
      </c>
      <c r="AV9" s="55">
        <v>1</v>
      </c>
      <c r="AW9" s="2">
        <v>1</v>
      </c>
      <c r="AX9" s="2" t="s">
        <v>615</v>
      </c>
      <c r="AY9" s="2">
        <v>999999</v>
      </c>
      <c r="AZ9" s="106">
        <v>0</v>
      </c>
      <c r="BA9" s="2">
        <v>14</v>
      </c>
      <c r="BB9" s="30">
        <v>43329</v>
      </c>
      <c r="BC9" s="2">
        <v>222</v>
      </c>
      <c r="BD9" s="160">
        <v>42324</v>
      </c>
      <c r="BE9" s="2">
        <v>35</v>
      </c>
      <c r="BF9" s="55">
        <v>0</v>
      </c>
      <c r="BG9" s="2">
        <v>183</v>
      </c>
      <c r="BH9" s="2">
        <v>8</v>
      </c>
      <c r="BI9" s="2">
        <v>14</v>
      </c>
      <c r="BJ9" s="2">
        <v>32</v>
      </c>
      <c r="BK9" s="2">
        <v>97</v>
      </c>
      <c r="BL9" s="161">
        <v>964790.66666666663</v>
      </c>
      <c r="BM9" s="2" t="str">
        <f t="shared" si="0"/>
        <v>27/283</v>
      </c>
      <c r="BN9" s="142"/>
    </row>
    <row r="10" spans="1:68" x14ac:dyDescent="0.25">
      <c r="A10" s="162">
        <v>540022</v>
      </c>
      <c r="B10" s="162" t="s">
        <v>16</v>
      </c>
      <c r="C10" s="162" t="s">
        <v>17</v>
      </c>
      <c r="D10" s="162" t="s">
        <v>617</v>
      </c>
      <c r="E10" s="162" t="s">
        <v>616</v>
      </c>
      <c r="F10" s="162" t="s">
        <v>613</v>
      </c>
      <c r="G10" s="162">
        <v>3</v>
      </c>
      <c r="H10" s="162">
        <v>0</v>
      </c>
      <c r="I10" s="162">
        <v>2</v>
      </c>
      <c r="J10" s="162">
        <v>12.8</v>
      </c>
      <c r="K10" s="162">
        <v>168</v>
      </c>
      <c r="L10" s="163">
        <v>9</v>
      </c>
      <c r="M10" s="162">
        <v>39</v>
      </c>
      <c r="N10" s="162">
        <v>8</v>
      </c>
      <c r="O10" s="162">
        <v>5</v>
      </c>
      <c r="P10" s="164">
        <v>1429447</v>
      </c>
      <c r="Q10" s="162">
        <v>57</v>
      </c>
      <c r="R10" s="165">
        <v>-0.14945271600000001</v>
      </c>
      <c r="S10" s="162">
        <v>144</v>
      </c>
      <c r="T10" s="166">
        <v>0.88</v>
      </c>
      <c r="U10" s="162">
        <v>175</v>
      </c>
      <c r="V10" s="163">
        <v>47</v>
      </c>
      <c r="W10" s="162">
        <v>33</v>
      </c>
      <c r="X10" s="163">
        <v>59</v>
      </c>
      <c r="Y10" s="162">
        <v>84</v>
      </c>
      <c r="Z10" s="162">
        <v>14</v>
      </c>
      <c r="AA10" s="162">
        <v>59</v>
      </c>
      <c r="AB10" s="162">
        <v>37</v>
      </c>
      <c r="AC10" s="162">
        <v>48</v>
      </c>
      <c r="AD10" s="167">
        <v>162</v>
      </c>
      <c r="AE10" s="162">
        <v>24</v>
      </c>
      <c r="AF10" s="163">
        <v>11</v>
      </c>
      <c r="AG10" s="162">
        <v>101</v>
      </c>
      <c r="AH10" s="163">
        <v>795</v>
      </c>
      <c r="AI10" s="162">
        <v>62</v>
      </c>
      <c r="AJ10" s="163">
        <v>0.68510000000000004</v>
      </c>
      <c r="AK10" s="162">
        <v>228</v>
      </c>
      <c r="AL10" s="168">
        <v>42543</v>
      </c>
      <c r="AM10" s="162">
        <v>161</v>
      </c>
      <c r="AN10" s="162">
        <v>0</v>
      </c>
      <c r="AO10" s="162">
        <v>1</v>
      </c>
      <c r="AP10" s="162">
        <v>37</v>
      </c>
      <c r="AQ10" s="162">
        <v>48</v>
      </c>
      <c r="AR10" s="163">
        <v>11</v>
      </c>
      <c r="AS10" s="162">
        <v>101</v>
      </c>
      <c r="AT10" s="169">
        <v>3.0188679245283021</v>
      </c>
      <c r="AU10" s="162">
        <v>63</v>
      </c>
      <c r="AV10" s="163">
        <v>1</v>
      </c>
      <c r="AW10" s="162">
        <v>1</v>
      </c>
      <c r="AX10" s="162" t="s">
        <v>615</v>
      </c>
      <c r="AY10" s="162">
        <v>999999</v>
      </c>
      <c r="AZ10" s="170">
        <v>0</v>
      </c>
      <c r="BA10" s="162">
        <v>14</v>
      </c>
      <c r="BB10" s="168">
        <v>43313</v>
      </c>
      <c r="BC10" s="162">
        <v>219</v>
      </c>
      <c r="BD10" s="171">
        <v>43516</v>
      </c>
      <c r="BE10" s="162">
        <v>46</v>
      </c>
      <c r="BF10" s="163">
        <v>0</v>
      </c>
      <c r="BG10" s="162">
        <v>183</v>
      </c>
      <c r="BH10" s="162">
        <v>3</v>
      </c>
      <c r="BI10" s="162">
        <v>46</v>
      </c>
      <c r="BJ10" s="162">
        <v>0</v>
      </c>
      <c r="BK10" s="162">
        <v>249</v>
      </c>
      <c r="BL10" s="161">
        <v>965233.62962962955</v>
      </c>
      <c r="BM10" s="162" t="str">
        <f t="shared" si="0"/>
        <v>61/283</v>
      </c>
      <c r="BN10" s="142"/>
    </row>
    <row r="11" spans="1:68" x14ac:dyDescent="0.25">
      <c r="A11" s="77">
        <v>540030</v>
      </c>
      <c r="B11" s="77" t="s">
        <v>135</v>
      </c>
      <c r="C11" s="77" t="s">
        <v>37</v>
      </c>
      <c r="D11" s="77" t="s">
        <v>612</v>
      </c>
      <c r="E11" s="77" t="s">
        <v>616</v>
      </c>
      <c r="F11" s="77" t="s">
        <v>613</v>
      </c>
      <c r="G11" s="77">
        <v>3</v>
      </c>
      <c r="H11" s="77">
        <v>0</v>
      </c>
      <c r="I11" s="77">
        <v>2</v>
      </c>
      <c r="J11" s="77">
        <v>204.6</v>
      </c>
      <c r="K11" s="77">
        <v>5</v>
      </c>
      <c r="L11" s="172" t="s">
        <v>614</v>
      </c>
      <c r="M11" s="77">
        <v>999999</v>
      </c>
      <c r="N11" s="77">
        <v>8</v>
      </c>
      <c r="O11" s="77">
        <v>5</v>
      </c>
      <c r="P11" s="173">
        <v>0</v>
      </c>
      <c r="Q11" s="77">
        <v>248</v>
      </c>
      <c r="R11" s="174">
        <v>2.5737324519999998</v>
      </c>
      <c r="S11" s="77">
        <v>26</v>
      </c>
      <c r="T11" s="175">
        <v>0.82000000000000006</v>
      </c>
      <c r="U11" s="77">
        <v>245</v>
      </c>
      <c r="V11" s="172" t="s">
        <v>614</v>
      </c>
      <c r="W11" s="77">
        <v>999999</v>
      </c>
      <c r="X11" s="172">
        <v>0</v>
      </c>
      <c r="Y11" s="77">
        <v>256</v>
      </c>
      <c r="Z11" s="77">
        <v>8</v>
      </c>
      <c r="AA11" s="77">
        <v>243</v>
      </c>
      <c r="AB11" s="77">
        <v>0</v>
      </c>
      <c r="AC11" s="77">
        <v>222</v>
      </c>
      <c r="AD11" s="176">
        <v>3</v>
      </c>
      <c r="AE11" s="77">
        <v>213</v>
      </c>
      <c r="AF11" s="172" t="s">
        <v>614</v>
      </c>
      <c r="AG11" s="77">
        <v>999999</v>
      </c>
      <c r="AH11" s="172">
        <v>0</v>
      </c>
      <c r="AI11" s="77">
        <v>135</v>
      </c>
      <c r="AJ11" s="172">
        <v>0.23849999999999999</v>
      </c>
      <c r="AK11" s="77">
        <v>14</v>
      </c>
      <c r="AL11" s="177">
        <v>43248</v>
      </c>
      <c r="AM11" s="77">
        <v>1</v>
      </c>
      <c r="AN11" s="77">
        <v>6</v>
      </c>
      <c r="AO11" s="77">
        <v>81</v>
      </c>
      <c r="AP11" s="77">
        <v>0</v>
      </c>
      <c r="AQ11" s="77">
        <v>222</v>
      </c>
      <c r="AR11" s="172" t="s">
        <v>614</v>
      </c>
      <c r="AS11" s="77">
        <v>999999</v>
      </c>
      <c r="AT11" s="178">
        <v>0</v>
      </c>
      <c r="AU11" s="77">
        <v>81</v>
      </c>
      <c r="AV11" s="172">
        <v>0</v>
      </c>
      <c r="AW11" s="77">
        <v>194</v>
      </c>
      <c r="AX11" s="77" t="s">
        <v>615</v>
      </c>
      <c r="AY11" s="77">
        <v>999999</v>
      </c>
      <c r="AZ11" s="179">
        <v>0</v>
      </c>
      <c r="BA11" s="77">
        <v>14</v>
      </c>
      <c r="BB11" s="177">
        <v>39713</v>
      </c>
      <c r="BC11" s="77">
        <v>32</v>
      </c>
      <c r="BD11" s="180">
        <v>41806</v>
      </c>
      <c r="BE11" s="77">
        <v>1</v>
      </c>
      <c r="BF11" s="172">
        <v>1</v>
      </c>
      <c r="BG11" s="77">
        <v>1</v>
      </c>
      <c r="BH11" s="77">
        <v>1</v>
      </c>
      <c r="BI11" s="77">
        <v>151</v>
      </c>
      <c r="BJ11" s="77">
        <v>6</v>
      </c>
      <c r="BK11" s="77">
        <v>191</v>
      </c>
      <c r="BL11" s="161">
        <v>4817295.4074074076</v>
      </c>
      <c r="BM11" s="77" t="str">
        <f t="shared" si="0"/>
        <v>265/283</v>
      </c>
      <c r="BN11" s="142"/>
    </row>
    <row r="12" spans="1:68" x14ac:dyDescent="0.25">
      <c r="A12" s="77">
        <v>540067</v>
      </c>
      <c r="B12" s="77" t="s">
        <v>163</v>
      </c>
      <c r="C12" s="77" t="s">
        <v>37</v>
      </c>
      <c r="D12" s="77" t="s">
        <v>612</v>
      </c>
      <c r="E12" s="77" t="s">
        <v>616</v>
      </c>
      <c r="F12" s="77" t="s">
        <v>613</v>
      </c>
      <c r="G12" s="77">
        <v>3</v>
      </c>
      <c r="H12" s="77">
        <v>0</v>
      </c>
      <c r="I12" s="77">
        <v>2</v>
      </c>
      <c r="J12" s="77">
        <v>204.6</v>
      </c>
      <c r="K12" s="77">
        <v>5</v>
      </c>
      <c r="L12" s="172">
        <v>0</v>
      </c>
      <c r="M12" s="77">
        <v>118</v>
      </c>
      <c r="N12" s="77">
        <v>8</v>
      </c>
      <c r="O12" s="77">
        <v>5</v>
      </c>
      <c r="P12" s="173">
        <v>703419</v>
      </c>
      <c r="Q12" s="77">
        <v>83</v>
      </c>
      <c r="R12" s="174">
        <v>2.5737324519999998</v>
      </c>
      <c r="S12" s="77">
        <v>26</v>
      </c>
      <c r="T12" s="175">
        <v>0.82000000000000006</v>
      </c>
      <c r="U12" s="77">
        <v>245</v>
      </c>
      <c r="V12" s="172">
        <v>6</v>
      </c>
      <c r="W12" s="77">
        <v>113</v>
      </c>
      <c r="X12" s="172">
        <v>11</v>
      </c>
      <c r="Y12" s="77">
        <v>173</v>
      </c>
      <c r="Z12" s="77">
        <v>8</v>
      </c>
      <c r="AA12" s="77">
        <v>243</v>
      </c>
      <c r="AB12" s="77">
        <v>1</v>
      </c>
      <c r="AC12" s="77">
        <v>186</v>
      </c>
      <c r="AD12" s="176">
        <v>3</v>
      </c>
      <c r="AE12" s="77">
        <v>213</v>
      </c>
      <c r="AF12" s="172">
        <v>0</v>
      </c>
      <c r="AG12" s="77">
        <v>184</v>
      </c>
      <c r="AH12" s="172">
        <v>0</v>
      </c>
      <c r="AI12" s="77">
        <v>135</v>
      </c>
      <c r="AJ12" s="172">
        <v>0.23849999999999999</v>
      </c>
      <c r="AK12" s="77">
        <v>14</v>
      </c>
      <c r="AL12" s="177">
        <v>43248</v>
      </c>
      <c r="AM12" s="77">
        <v>1</v>
      </c>
      <c r="AN12" s="77">
        <v>6</v>
      </c>
      <c r="AO12" s="77">
        <v>81</v>
      </c>
      <c r="AP12" s="77">
        <v>1</v>
      </c>
      <c r="AQ12" s="77">
        <v>186</v>
      </c>
      <c r="AR12" s="172">
        <v>0</v>
      </c>
      <c r="AS12" s="77">
        <v>184</v>
      </c>
      <c r="AT12" s="178">
        <v>0</v>
      </c>
      <c r="AU12" s="77">
        <v>81</v>
      </c>
      <c r="AV12" s="172">
        <v>1</v>
      </c>
      <c r="AW12" s="77">
        <v>1</v>
      </c>
      <c r="AX12" s="77" t="s">
        <v>615</v>
      </c>
      <c r="AY12" s="77">
        <v>999999</v>
      </c>
      <c r="AZ12" s="179">
        <v>0</v>
      </c>
      <c r="BA12" s="77">
        <v>14</v>
      </c>
      <c r="BB12" s="177">
        <v>41165</v>
      </c>
      <c r="BC12" s="77">
        <v>81</v>
      </c>
      <c r="BD12" s="180">
        <v>41806</v>
      </c>
      <c r="BE12" s="77">
        <v>1</v>
      </c>
      <c r="BF12" s="172">
        <v>1</v>
      </c>
      <c r="BG12" s="77">
        <v>1</v>
      </c>
      <c r="BH12" s="77">
        <v>2</v>
      </c>
      <c r="BI12" s="77">
        <v>68</v>
      </c>
      <c r="BJ12" s="77">
        <v>6</v>
      </c>
      <c r="BK12" s="77">
        <v>191</v>
      </c>
      <c r="BL12" s="161">
        <v>965497.48148148134</v>
      </c>
      <c r="BM12" s="77" t="str">
        <f t="shared" si="0"/>
        <v>97/283</v>
      </c>
      <c r="BN12" s="142"/>
    </row>
    <row r="13" spans="1:68" x14ac:dyDescent="0.25">
      <c r="A13" s="162">
        <v>540070</v>
      </c>
      <c r="B13" s="162" t="s">
        <v>38</v>
      </c>
      <c r="C13" s="162" t="s">
        <v>39</v>
      </c>
      <c r="D13" s="162" t="s">
        <v>617</v>
      </c>
      <c r="E13" s="162" t="s">
        <v>616</v>
      </c>
      <c r="F13" s="162" t="s">
        <v>613</v>
      </c>
      <c r="G13" s="162">
        <v>3</v>
      </c>
      <c r="H13" s="162">
        <v>0</v>
      </c>
      <c r="I13" s="162">
        <v>2</v>
      </c>
      <c r="J13" s="162">
        <v>105.4</v>
      </c>
      <c r="K13" s="162">
        <v>25</v>
      </c>
      <c r="L13" s="163">
        <v>105</v>
      </c>
      <c r="M13" s="162">
        <v>2</v>
      </c>
      <c r="N13" s="162">
        <v>8</v>
      </c>
      <c r="O13" s="162">
        <v>5</v>
      </c>
      <c r="P13" s="164">
        <v>27187478</v>
      </c>
      <c r="Q13" s="162">
        <v>3</v>
      </c>
      <c r="R13" s="165">
        <v>-0.91478383900000004</v>
      </c>
      <c r="S13" s="162">
        <v>270</v>
      </c>
      <c r="T13" s="166">
        <v>0.83</v>
      </c>
      <c r="U13" s="162">
        <v>228</v>
      </c>
      <c r="V13" s="163">
        <v>420</v>
      </c>
      <c r="W13" s="162">
        <v>1</v>
      </c>
      <c r="X13" s="163">
        <v>1512</v>
      </c>
      <c r="Y13" s="162">
        <v>3</v>
      </c>
      <c r="Z13" s="162">
        <v>16</v>
      </c>
      <c r="AA13" s="162">
        <v>20</v>
      </c>
      <c r="AB13" s="162">
        <v>709</v>
      </c>
      <c r="AC13" s="162">
        <v>1</v>
      </c>
      <c r="AD13" s="167">
        <v>1609</v>
      </c>
      <c r="AE13" s="162">
        <v>1</v>
      </c>
      <c r="AF13" s="163">
        <v>505</v>
      </c>
      <c r="AG13" s="162">
        <v>3</v>
      </c>
      <c r="AH13" s="163">
        <v>7657</v>
      </c>
      <c r="AI13" s="162">
        <v>1</v>
      </c>
      <c r="AJ13" s="163">
        <v>0.47560000000000002</v>
      </c>
      <c r="AK13" s="162">
        <v>127</v>
      </c>
      <c r="AL13" s="168">
        <v>42543</v>
      </c>
      <c r="AM13" s="162">
        <v>161</v>
      </c>
      <c r="AN13" s="162">
        <v>169</v>
      </c>
      <c r="AO13" s="162">
        <v>259</v>
      </c>
      <c r="AP13" s="162">
        <v>709</v>
      </c>
      <c r="AQ13" s="162">
        <v>1</v>
      </c>
      <c r="AR13" s="163">
        <v>505</v>
      </c>
      <c r="AS13" s="162">
        <v>3</v>
      </c>
      <c r="AT13" s="169">
        <v>-1.6194331983805668</v>
      </c>
      <c r="AU13" s="162">
        <v>231</v>
      </c>
      <c r="AV13" s="163">
        <v>1</v>
      </c>
      <c r="AW13" s="162">
        <v>1</v>
      </c>
      <c r="AX13" s="162">
        <v>9</v>
      </c>
      <c r="AY13" s="162">
        <v>8</v>
      </c>
      <c r="AZ13" s="170">
        <v>1</v>
      </c>
      <c r="BA13" s="162">
        <v>1</v>
      </c>
      <c r="BB13" s="168">
        <v>43125</v>
      </c>
      <c r="BC13" s="162">
        <v>169</v>
      </c>
      <c r="BD13" s="171">
        <v>42570</v>
      </c>
      <c r="BE13" s="162">
        <v>37</v>
      </c>
      <c r="BF13" s="163">
        <v>1</v>
      </c>
      <c r="BG13" s="162">
        <v>1</v>
      </c>
      <c r="BH13" s="162">
        <v>8</v>
      </c>
      <c r="BI13" s="162">
        <v>14</v>
      </c>
      <c r="BJ13" s="162">
        <v>169</v>
      </c>
      <c r="BK13" s="162">
        <v>12</v>
      </c>
      <c r="BL13" s="161">
        <v>1529.1851851851852</v>
      </c>
      <c r="BM13" s="162" t="str">
        <f t="shared" si="0"/>
        <v>3/283</v>
      </c>
      <c r="BN13" s="142"/>
    </row>
    <row r="14" spans="1:68" x14ac:dyDescent="0.25">
      <c r="A14" s="2">
        <v>540071</v>
      </c>
      <c r="B14" s="2" t="s">
        <v>166</v>
      </c>
      <c r="C14" s="2" t="s">
        <v>39</v>
      </c>
      <c r="D14" s="2" t="s">
        <v>612</v>
      </c>
      <c r="E14" s="2" t="s">
        <v>616</v>
      </c>
      <c r="F14" s="2" t="s">
        <v>613</v>
      </c>
      <c r="G14" s="2">
        <v>3</v>
      </c>
      <c r="H14" s="2">
        <v>0</v>
      </c>
      <c r="I14" s="2">
        <v>2</v>
      </c>
      <c r="J14" s="2">
        <v>105.4</v>
      </c>
      <c r="K14" s="2">
        <v>25</v>
      </c>
      <c r="L14" s="55">
        <v>0</v>
      </c>
      <c r="M14" s="2">
        <v>118</v>
      </c>
      <c r="N14" s="2">
        <v>8</v>
      </c>
      <c r="O14" s="2">
        <v>5</v>
      </c>
      <c r="P14" s="156">
        <v>122507</v>
      </c>
      <c r="Q14" s="2">
        <v>157</v>
      </c>
      <c r="R14" s="157">
        <v>-0.91478383900000004</v>
      </c>
      <c r="S14" s="2">
        <v>270</v>
      </c>
      <c r="T14" s="158">
        <v>0.83</v>
      </c>
      <c r="U14" s="2">
        <v>228</v>
      </c>
      <c r="V14" s="55">
        <v>14</v>
      </c>
      <c r="W14" s="2">
        <v>81</v>
      </c>
      <c r="X14" s="55">
        <v>11</v>
      </c>
      <c r="Y14" s="2">
        <v>173</v>
      </c>
      <c r="Z14" s="2">
        <v>16</v>
      </c>
      <c r="AA14" s="2">
        <v>20</v>
      </c>
      <c r="AB14" s="2">
        <v>11</v>
      </c>
      <c r="AC14" s="2">
        <v>100</v>
      </c>
      <c r="AD14" s="105">
        <v>20</v>
      </c>
      <c r="AE14" s="2">
        <v>117</v>
      </c>
      <c r="AF14" s="55">
        <v>0</v>
      </c>
      <c r="AG14" s="2">
        <v>184</v>
      </c>
      <c r="AH14" s="55">
        <v>264</v>
      </c>
      <c r="AI14" s="2">
        <v>89</v>
      </c>
      <c r="AJ14" s="55">
        <v>0.47560000000000002</v>
      </c>
      <c r="AK14" s="2">
        <v>127</v>
      </c>
      <c r="AL14" s="30">
        <v>42543</v>
      </c>
      <c r="AM14" s="2">
        <v>161</v>
      </c>
      <c r="AN14" s="2">
        <v>169</v>
      </c>
      <c r="AO14" s="2">
        <v>259</v>
      </c>
      <c r="AP14" s="2">
        <v>11</v>
      </c>
      <c r="AQ14" s="2">
        <v>100</v>
      </c>
      <c r="AR14" s="55">
        <v>0</v>
      </c>
      <c r="AS14" s="2">
        <v>184</v>
      </c>
      <c r="AT14" s="159">
        <v>-9.0909090909090917</v>
      </c>
      <c r="AU14" s="2">
        <v>259</v>
      </c>
      <c r="AV14" s="55">
        <v>0</v>
      </c>
      <c r="AW14" s="2">
        <v>194</v>
      </c>
      <c r="AX14" s="2" t="s">
        <v>615</v>
      </c>
      <c r="AY14" s="2">
        <v>999999</v>
      </c>
      <c r="AZ14" s="106">
        <v>0</v>
      </c>
      <c r="BA14" s="2">
        <v>14</v>
      </c>
      <c r="BB14" s="30">
        <v>40288</v>
      </c>
      <c r="BC14" s="2">
        <v>37</v>
      </c>
      <c r="BD14" s="160">
        <v>43502</v>
      </c>
      <c r="BE14" s="2">
        <v>45</v>
      </c>
      <c r="BF14" s="55">
        <v>1</v>
      </c>
      <c r="BG14" s="2">
        <v>1</v>
      </c>
      <c r="BH14" s="2">
        <v>3</v>
      </c>
      <c r="BI14" s="2">
        <v>46</v>
      </c>
      <c r="BJ14" s="2">
        <v>169</v>
      </c>
      <c r="BK14" s="2">
        <v>12</v>
      </c>
      <c r="BL14" s="161">
        <v>965856.66666666674</v>
      </c>
      <c r="BM14" s="2" t="str">
        <f t="shared" si="0"/>
        <v>141/283</v>
      </c>
      <c r="BN14" s="142"/>
    </row>
    <row r="15" spans="1:68" x14ac:dyDescent="0.25">
      <c r="A15" s="2">
        <v>540072</v>
      </c>
      <c r="B15" s="2" t="s">
        <v>167</v>
      </c>
      <c r="C15" s="2" t="s">
        <v>39</v>
      </c>
      <c r="D15" s="2" t="s">
        <v>612</v>
      </c>
      <c r="E15" s="2" t="s">
        <v>616</v>
      </c>
      <c r="F15" s="2" t="s">
        <v>613</v>
      </c>
      <c r="G15" s="2">
        <v>3</v>
      </c>
      <c r="H15" s="2">
        <v>0</v>
      </c>
      <c r="I15" s="2">
        <v>2</v>
      </c>
      <c r="J15" s="2">
        <v>105.4</v>
      </c>
      <c r="K15" s="2">
        <v>25</v>
      </c>
      <c r="L15" s="55">
        <v>0</v>
      </c>
      <c r="M15" s="2">
        <v>118</v>
      </c>
      <c r="N15" s="2">
        <v>8</v>
      </c>
      <c r="O15" s="2">
        <v>5</v>
      </c>
      <c r="P15" s="156">
        <v>2763</v>
      </c>
      <c r="Q15" s="2">
        <v>236</v>
      </c>
      <c r="R15" s="157">
        <v>-0.91478383900000004</v>
      </c>
      <c r="S15" s="2">
        <v>270</v>
      </c>
      <c r="T15" s="158">
        <v>0.83</v>
      </c>
      <c r="U15" s="2">
        <v>228</v>
      </c>
      <c r="V15" s="55">
        <v>3</v>
      </c>
      <c r="W15" s="2">
        <v>153</v>
      </c>
      <c r="X15" s="55">
        <v>3</v>
      </c>
      <c r="Y15" s="2">
        <v>218</v>
      </c>
      <c r="Z15" s="2">
        <v>16</v>
      </c>
      <c r="AA15" s="2">
        <v>20</v>
      </c>
      <c r="AB15" s="2">
        <v>7</v>
      </c>
      <c r="AC15" s="2">
        <v>120</v>
      </c>
      <c r="AD15" s="105">
        <v>9</v>
      </c>
      <c r="AE15" s="2">
        <v>160</v>
      </c>
      <c r="AF15" s="55">
        <v>0</v>
      </c>
      <c r="AG15" s="2">
        <v>184</v>
      </c>
      <c r="AH15" s="55">
        <v>0</v>
      </c>
      <c r="AI15" s="2">
        <v>135</v>
      </c>
      <c r="AJ15" s="55">
        <v>0.47560000000000002</v>
      </c>
      <c r="AK15" s="2">
        <v>127</v>
      </c>
      <c r="AL15" s="30">
        <v>42543</v>
      </c>
      <c r="AM15" s="2">
        <v>161</v>
      </c>
      <c r="AN15" s="2">
        <v>169</v>
      </c>
      <c r="AO15" s="2">
        <v>259</v>
      </c>
      <c r="AP15" s="2">
        <v>7</v>
      </c>
      <c r="AQ15" s="2">
        <v>120</v>
      </c>
      <c r="AR15" s="55">
        <v>0</v>
      </c>
      <c r="AS15" s="2">
        <v>184</v>
      </c>
      <c r="AT15" s="159">
        <v>0</v>
      </c>
      <c r="AU15" s="2">
        <v>81</v>
      </c>
      <c r="AV15" s="55">
        <v>0</v>
      </c>
      <c r="AW15" s="2">
        <v>194</v>
      </c>
      <c r="AX15" s="2" t="s">
        <v>615</v>
      </c>
      <c r="AY15" s="2">
        <v>999999</v>
      </c>
      <c r="AZ15" s="106">
        <v>0</v>
      </c>
      <c r="BA15" s="2">
        <v>14</v>
      </c>
      <c r="BB15" s="30">
        <v>40288</v>
      </c>
      <c r="BC15" s="2">
        <v>37</v>
      </c>
      <c r="BD15" s="160">
        <v>41806</v>
      </c>
      <c r="BE15" s="2">
        <v>1</v>
      </c>
      <c r="BF15" s="55">
        <v>1</v>
      </c>
      <c r="BG15" s="2">
        <v>1</v>
      </c>
      <c r="BH15" s="2">
        <v>2</v>
      </c>
      <c r="BI15" s="2">
        <v>68</v>
      </c>
      <c r="BJ15" s="2">
        <v>169</v>
      </c>
      <c r="BK15" s="2">
        <v>12</v>
      </c>
      <c r="BL15" s="161">
        <v>965977.03703703696</v>
      </c>
      <c r="BM15" s="2" t="str">
        <f t="shared" si="0"/>
        <v>157/283</v>
      </c>
      <c r="BN15" s="142"/>
    </row>
    <row r="16" spans="1:68" x14ac:dyDescent="0.25">
      <c r="A16" s="2">
        <v>540073</v>
      </c>
      <c r="B16" s="2" t="s">
        <v>168</v>
      </c>
      <c r="C16" s="2" t="s">
        <v>39</v>
      </c>
      <c r="D16" s="2" t="s">
        <v>612</v>
      </c>
      <c r="E16" s="2" t="s">
        <v>616</v>
      </c>
      <c r="F16" s="2" t="s">
        <v>613</v>
      </c>
      <c r="G16" s="2">
        <v>3</v>
      </c>
      <c r="H16" s="2">
        <v>0</v>
      </c>
      <c r="I16" s="2">
        <v>2</v>
      </c>
      <c r="J16" s="2">
        <v>105.4</v>
      </c>
      <c r="K16" s="2">
        <v>25</v>
      </c>
      <c r="L16" s="55">
        <v>16</v>
      </c>
      <c r="M16" s="2">
        <v>24</v>
      </c>
      <c r="N16" s="2">
        <v>8</v>
      </c>
      <c r="O16" s="2">
        <v>5</v>
      </c>
      <c r="P16" s="156">
        <v>1781585</v>
      </c>
      <c r="Q16" s="2">
        <v>51</v>
      </c>
      <c r="R16" s="157">
        <v>-0.91478383900000004</v>
      </c>
      <c r="S16" s="2">
        <v>270</v>
      </c>
      <c r="T16" s="158">
        <v>0.83</v>
      </c>
      <c r="U16" s="2">
        <v>228</v>
      </c>
      <c r="V16" s="55">
        <v>153</v>
      </c>
      <c r="W16" s="2">
        <v>6</v>
      </c>
      <c r="X16" s="55">
        <v>339</v>
      </c>
      <c r="Y16" s="2">
        <v>16</v>
      </c>
      <c r="Z16" s="2">
        <v>16</v>
      </c>
      <c r="AA16" s="2">
        <v>20</v>
      </c>
      <c r="AB16" s="2">
        <v>191</v>
      </c>
      <c r="AC16" s="2">
        <v>5</v>
      </c>
      <c r="AD16" s="105">
        <v>343</v>
      </c>
      <c r="AE16" s="2">
        <v>4</v>
      </c>
      <c r="AF16" s="55">
        <v>58</v>
      </c>
      <c r="AG16" s="2">
        <v>30</v>
      </c>
      <c r="AH16" s="55">
        <v>3019</v>
      </c>
      <c r="AI16" s="2">
        <v>12</v>
      </c>
      <c r="AJ16" s="55">
        <v>0.47560000000000002</v>
      </c>
      <c r="AK16" s="2">
        <v>127</v>
      </c>
      <c r="AL16" s="30">
        <v>42543</v>
      </c>
      <c r="AM16" s="2">
        <v>161</v>
      </c>
      <c r="AN16" s="2">
        <v>169</v>
      </c>
      <c r="AO16" s="2">
        <v>259</v>
      </c>
      <c r="AP16" s="2">
        <v>191</v>
      </c>
      <c r="AQ16" s="2">
        <v>5</v>
      </c>
      <c r="AR16" s="55">
        <v>58</v>
      </c>
      <c r="AS16" s="2">
        <v>30</v>
      </c>
      <c r="AT16" s="159">
        <v>7.4859224908910242</v>
      </c>
      <c r="AU16" s="2">
        <v>42</v>
      </c>
      <c r="AV16" s="55">
        <v>1</v>
      </c>
      <c r="AW16" s="2">
        <v>1</v>
      </c>
      <c r="AX16" s="2">
        <v>9</v>
      </c>
      <c r="AY16" s="2">
        <v>8</v>
      </c>
      <c r="AZ16" s="106">
        <v>1</v>
      </c>
      <c r="BA16" s="2">
        <v>1</v>
      </c>
      <c r="BB16" s="30">
        <v>42940</v>
      </c>
      <c r="BC16" s="2">
        <v>122</v>
      </c>
      <c r="BD16" s="160">
        <v>43530</v>
      </c>
      <c r="BE16" s="2">
        <v>51</v>
      </c>
      <c r="BF16" s="55">
        <v>0</v>
      </c>
      <c r="BG16" s="2">
        <v>183</v>
      </c>
      <c r="BH16" s="2">
        <v>18</v>
      </c>
      <c r="BI16" s="2">
        <v>3</v>
      </c>
      <c r="BJ16" s="2">
        <v>169</v>
      </c>
      <c r="BK16" s="2">
        <v>12</v>
      </c>
      <c r="BL16" s="161">
        <v>1637.9999999999998</v>
      </c>
      <c r="BM16" s="2" t="str">
        <f t="shared" si="0"/>
        <v>4/283</v>
      </c>
      <c r="BN16" s="142"/>
    </row>
    <row r="17" spans="1:66" x14ac:dyDescent="0.25">
      <c r="A17" s="2">
        <v>540074</v>
      </c>
      <c r="B17" s="2" t="s">
        <v>169</v>
      </c>
      <c r="C17" s="2" t="s">
        <v>39</v>
      </c>
      <c r="D17" s="2" t="s">
        <v>612</v>
      </c>
      <c r="E17" s="2" t="s">
        <v>616</v>
      </c>
      <c r="F17" s="2" t="s">
        <v>613</v>
      </c>
      <c r="G17" s="2">
        <v>3</v>
      </c>
      <c r="H17" s="2">
        <v>0</v>
      </c>
      <c r="I17" s="2">
        <v>2</v>
      </c>
      <c r="J17" s="2">
        <v>105.4</v>
      </c>
      <c r="K17" s="2">
        <v>25</v>
      </c>
      <c r="L17" s="55">
        <v>2</v>
      </c>
      <c r="M17" s="2">
        <v>84</v>
      </c>
      <c r="N17" s="2">
        <v>8</v>
      </c>
      <c r="O17" s="2">
        <v>5</v>
      </c>
      <c r="P17" s="156">
        <v>32648</v>
      </c>
      <c r="Q17" s="2">
        <v>198</v>
      </c>
      <c r="R17" s="157">
        <v>-0.91478383900000004</v>
      </c>
      <c r="S17" s="2">
        <v>270</v>
      </c>
      <c r="T17" s="158">
        <v>0.83</v>
      </c>
      <c r="U17" s="2">
        <v>228</v>
      </c>
      <c r="V17" s="55">
        <v>7</v>
      </c>
      <c r="W17" s="2">
        <v>105</v>
      </c>
      <c r="X17" s="55">
        <v>9</v>
      </c>
      <c r="Y17" s="2">
        <v>182</v>
      </c>
      <c r="Z17" s="2">
        <v>16</v>
      </c>
      <c r="AA17" s="2">
        <v>20</v>
      </c>
      <c r="AB17" s="2">
        <v>13</v>
      </c>
      <c r="AC17" s="2">
        <v>93</v>
      </c>
      <c r="AD17" s="105">
        <v>23</v>
      </c>
      <c r="AE17" s="2">
        <v>110</v>
      </c>
      <c r="AF17" s="55">
        <v>2</v>
      </c>
      <c r="AG17" s="2">
        <v>164</v>
      </c>
      <c r="AH17" s="55">
        <v>352</v>
      </c>
      <c r="AI17" s="2">
        <v>78</v>
      </c>
      <c r="AJ17" s="55">
        <v>0.47560000000000002</v>
      </c>
      <c r="AK17" s="2">
        <v>127</v>
      </c>
      <c r="AL17" s="30">
        <v>42543</v>
      </c>
      <c r="AM17" s="2">
        <v>161</v>
      </c>
      <c r="AN17" s="2">
        <v>169</v>
      </c>
      <c r="AO17" s="2">
        <v>259</v>
      </c>
      <c r="AP17" s="2">
        <v>13</v>
      </c>
      <c r="AQ17" s="2">
        <v>93</v>
      </c>
      <c r="AR17" s="55">
        <v>2</v>
      </c>
      <c r="AS17" s="2">
        <v>164</v>
      </c>
      <c r="AT17" s="159">
        <v>-3.125</v>
      </c>
      <c r="AU17" s="2">
        <v>239</v>
      </c>
      <c r="AV17" s="55">
        <v>0</v>
      </c>
      <c r="AW17" s="2">
        <v>194</v>
      </c>
      <c r="AX17" s="2" t="s">
        <v>615</v>
      </c>
      <c r="AY17" s="2">
        <v>999999</v>
      </c>
      <c r="AZ17" s="106">
        <v>0</v>
      </c>
      <c r="BA17" s="2">
        <v>14</v>
      </c>
      <c r="BB17" s="30">
        <v>40289</v>
      </c>
      <c r="BC17" s="2">
        <v>41</v>
      </c>
      <c r="BD17" s="160">
        <v>41806</v>
      </c>
      <c r="BE17" s="2">
        <v>1</v>
      </c>
      <c r="BF17" s="55">
        <v>1</v>
      </c>
      <c r="BG17" s="2">
        <v>1</v>
      </c>
      <c r="BH17" s="2">
        <v>2</v>
      </c>
      <c r="BI17" s="2">
        <v>68</v>
      </c>
      <c r="BJ17" s="2">
        <v>169</v>
      </c>
      <c r="BK17" s="2">
        <v>12</v>
      </c>
      <c r="BL17" s="161">
        <v>965789.2592592591</v>
      </c>
      <c r="BM17" s="2" t="str">
        <f t="shared" si="0"/>
        <v>133/283</v>
      </c>
      <c r="BN17" s="142"/>
    </row>
    <row r="18" spans="1:66" x14ac:dyDescent="0.25">
      <c r="A18" s="2">
        <v>540075</v>
      </c>
      <c r="B18" s="2" t="s">
        <v>170</v>
      </c>
      <c r="C18" s="2" t="s">
        <v>39</v>
      </c>
      <c r="D18" s="2" t="s">
        <v>612</v>
      </c>
      <c r="E18" s="2" t="s">
        <v>616</v>
      </c>
      <c r="F18" s="2" t="s">
        <v>613</v>
      </c>
      <c r="G18" s="2">
        <v>3</v>
      </c>
      <c r="H18" s="2">
        <v>0</v>
      </c>
      <c r="I18" s="2">
        <v>2</v>
      </c>
      <c r="J18" s="2">
        <v>105.4</v>
      </c>
      <c r="K18" s="2">
        <v>25</v>
      </c>
      <c r="L18" s="55">
        <v>2</v>
      </c>
      <c r="M18" s="2">
        <v>84</v>
      </c>
      <c r="N18" s="2">
        <v>8</v>
      </c>
      <c r="O18" s="2">
        <v>5</v>
      </c>
      <c r="P18" s="156">
        <v>6556124</v>
      </c>
      <c r="Q18" s="2">
        <v>12</v>
      </c>
      <c r="R18" s="157">
        <v>-0.91478383900000004</v>
      </c>
      <c r="S18" s="2">
        <v>270</v>
      </c>
      <c r="T18" s="158">
        <v>0.83</v>
      </c>
      <c r="U18" s="2">
        <v>228</v>
      </c>
      <c r="V18" s="55">
        <v>5</v>
      </c>
      <c r="W18" s="2">
        <v>121</v>
      </c>
      <c r="X18" s="55">
        <v>119</v>
      </c>
      <c r="Y18" s="2">
        <v>61</v>
      </c>
      <c r="Z18" s="2">
        <v>16</v>
      </c>
      <c r="AA18" s="2">
        <v>20</v>
      </c>
      <c r="AB18" s="2">
        <v>38</v>
      </c>
      <c r="AC18" s="2">
        <v>47</v>
      </c>
      <c r="AD18" s="105">
        <v>94</v>
      </c>
      <c r="AE18" s="2">
        <v>46</v>
      </c>
      <c r="AF18" s="55">
        <v>15</v>
      </c>
      <c r="AG18" s="2">
        <v>81</v>
      </c>
      <c r="AH18" s="55">
        <v>0</v>
      </c>
      <c r="AI18" s="2">
        <v>135</v>
      </c>
      <c r="AJ18" s="55">
        <v>0.47560000000000002</v>
      </c>
      <c r="AK18" s="2">
        <v>127</v>
      </c>
      <c r="AL18" s="30">
        <v>42543</v>
      </c>
      <c r="AM18" s="2">
        <v>161</v>
      </c>
      <c r="AN18" s="2">
        <v>169</v>
      </c>
      <c r="AO18" s="2">
        <v>259</v>
      </c>
      <c r="AP18" s="2">
        <v>38</v>
      </c>
      <c r="AQ18" s="2">
        <v>47</v>
      </c>
      <c r="AR18" s="55">
        <v>15</v>
      </c>
      <c r="AS18" s="2">
        <v>81</v>
      </c>
      <c r="AT18" s="159">
        <v>0</v>
      </c>
      <c r="AU18" s="2">
        <v>81</v>
      </c>
      <c r="AV18" s="55">
        <v>0</v>
      </c>
      <c r="AW18" s="2">
        <v>194</v>
      </c>
      <c r="AX18" s="2" t="s">
        <v>615</v>
      </c>
      <c r="AY18" s="2">
        <v>999999</v>
      </c>
      <c r="AZ18" s="106">
        <v>0</v>
      </c>
      <c r="BA18" s="2">
        <v>14</v>
      </c>
      <c r="BB18" s="30">
        <v>43382</v>
      </c>
      <c r="BC18" s="2">
        <v>223</v>
      </c>
      <c r="BD18" s="160">
        <v>42570</v>
      </c>
      <c r="BE18" s="2">
        <v>37</v>
      </c>
      <c r="BF18" s="55">
        <v>1</v>
      </c>
      <c r="BG18" s="2">
        <v>1</v>
      </c>
      <c r="BH18" s="2">
        <v>31</v>
      </c>
      <c r="BI18" s="2">
        <v>1</v>
      </c>
      <c r="BJ18" s="2">
        <v>169</v>
      </c>
      <c r="BK18" s="2">
        <v>12</v>
      </c>
      <c r="BL18" s="161">
        <v>965247.11111111112</v>
      </c>
      <c r="BM18" s="2" t="str">
        <f t="shared" si="0"/>
        <v>67/283</v>
      </c>
      <c r="BN18" s="142"/>
    </row>
    <row r="19" spans="1:66" x14ac:dyDescent="0.25">
      <c r="A19" s="2">
        <v>540079</v>
      </c>
      <c r="B19" s="2" t="s">
        <v>174</v>
      </c>
      <c r="C19" s="2" t="s">
        <v>39</v>
      </c>
      <c r="D19" s="2" t="s">
        <v>612</v>
      </c>
      <c r="E19" s="2" t="s">
        <v>616</v>
      </c>
      <c r="F19" s="2" t="s">
        <v>613</v>
      </c>
      <c r="G19" s="2">
        <v>3</v>
      </c>
      <c r="H19" s="2">
        <v>0</v>
      </c>
      <c r="I19" s="2">
        <v>2</v>
      </c>
      <c r="J19" s="2">
        <v>105.4</v>
      </c>
      <c r="K19" s="2">
        <v>25</v>
      </c>
      <c r="L19" s="55">
        <v>0</v>
      </c>
      <c r="M19" s="2">
        <v>118</v>
      </c>
      <c r="N19" s="2">
        <v>8</v>
      </c>
      <c r="O19" s="2">
        <v>5</v>
      </c>
      <c r="P19" s="156">
        <v>18614</v>
      </c>
      <c r="Q19" s="2">
        <v>213</v>
      </c>
      <c r="R19" s="157">
        <v>-0.91478383900000004</v>
      </c>
      <c r="S19" s="2">
        <v>270</v>
      </c>
      <c r="T19" s="158">
        <v>0.83</v>
      </c>
      <c r="U19" s="2">
        <v>228</v>
      </c>
      <c r="V19" s="55">
        <v>0</v>
      </c>
      <c r="W19" s="2">
        <v>230</v>
      </c>
      <c r="X19" s="55">
        <v>8</v>
      </c>
      <c r="Y19" s="2">
        <v>188</v>
      </c>
      <c r="Z19" s="2">
        <v>16</v>
      </c>
      <c r="AA19" s="2">
        <v>20</v>
      </c>
      <c r="AB19" s="2">
        <v>2</v>
      </c>
      <c r="AC19" s="2">
        <v>168</v>
      </c>
      <c r="AD19" s="105">
        <v>4</v>
      </c>
      <c r="AE19" s="2">
        <v>206</v>
      </c>
      <c r="AF19" s="55">
        <v>2</v>
      </c>
      <c r="AG19" s="2">
        <v>164</v>
      </c>
      <c r="AH19" s="55">
        <v>147</v>
      </c>
      <c r="AI19" s="2">
        <v>111</v>
      </c>
      <c r="AJ19" s="55">
        <v>0.47560000000000002</v>
      </c>
      <c r="AK19" s="2">
        <v>127</v>
      </c>
      <c r="AL19" s="30">
        <v>42543</v>
      </c>
      <c r="AM19" s="2">
        <v>161</v>
      </c>
      <c r="AN19" s="2">
        <v>169</v>
      </c>
      <c r="AO19" s="2">
        <v>259</v>
      </c>
      <c r="AP19" s="2">
        <v>2</v>
      </c>
      <c r="AQ19" s="2">
        <v>168</v>
      </c>
      <c r="AR19" s="55">
        <v>2</v>
      </c>
      <c r="AS19" s="2">
        <v>164</v>
      </c>
      <c r="AT19" s="159">
        <v>-29.251700680272108</v>
      </c>
      <c r="AU19" s="2">
        <v>276</v>
      </c>
      <c r="AV19" s="55">
        <v>1</v>
      </c>
      <c r="AW19" s="2">
        <v>1</v>
      </c>
      <c r="AX19" s="2" t="s">
        <v>615</v>
      </c>
      <c r="AY19" s="2">
        <v>999999</v>
      </c>
      <c r="AZ19" s="106">
        <v>0</v>
      </c>
      <c r="BA19" s="2">
        <v>14</v>
      </c>
      <c r="BB19" s="30">
        <v>40289</v>
      </c>
      <c r="BC19" s="2">
        <v>41</v>
      </c>
      <c r="BD19" s="160">
        <v>41806</v>
      </c>
      <c r="BE19" s="2">
        <v>1</v>
      </c>
      <c r="BF19" s="55">
        <v>1</v>
      </c>
      <c r="BG19" s="2">
        <v>1</v>
      </c>
      <c r="BH19" s="2">
        <v>2</v>
      </c>
      <c r="BI19" s="2">
        <v>68</v>
      </c>
      <c r="BJ19" s="2">
        <v>169</v>
      </c>
      <c r="BK19" s="2">
        <v>12</v>
      </c>
      <c r="BL19" s="161">
        <v>966081.03703703696</v>
      </c>
      <c r="BM19" s="2" t="str">
        <f t="shared" si="0"/>
        <v>177/283</v>
      </c>
      <c r="BN19" s="142"/>
    </row>
    <row r="20" spans="1:66" x14ac:dyDescent="0.25">
      <c r="A20" s="2">
        <v>540082</v>
      </c>
      <c r="B20" s="2" t="s">
        <v>177</v>
      </c>
      <c r="C20" s="2" t="s">
        <v>39</v>
      </c>
      <c r="D20" s="2" t="s">
        <v>612</v>
      </c>
      <c r="E20" s="2" t="s">
        <v>616</v>
      </c>
      <c r="F20" s="2" t="s">
        <v>613</v>
      </c>
      <c r="G20" s="2">
        <v>3</v>
      </c>
      <c r="H20" s="2">
        <v>0</v>
      </c>
      <c r="I20" s="2">
        <v>2</v>
      </c>
      <c r="J20" s="2">
        <v>105.4</v>
      </c>
      <c r="K20" s="2">
        <v>25</v>
      </c>
      <c r="L20" s="55">
        <v>0</v>
      </c>
      <c r="M20" s="2">
        <v>118</v>
      </c>
      <c r="N20" s="2">
        <v>8</v>
      </c>
      <c r="O20" s="2">
        <v>5</v>
      </c>
      <c r="P20" s="156">
        <v>147149</v>
      </c>
      <c r="Q20" s="2">
        <v>150</v>
      </c>
      <c r="R20" s="157">
        <v>-0.91478383900000004</v>
      </c>
      <c r="S20" s="2">
        <v>270</v>
      </c>
      <c r="T20" s="158">
        <v>0.83</v>
      </c>
      <c r="U20" s="2">
        <v>228</v>
      </c>
      <c r="V20" s="55">
        <v>1</v>
      </c>
      <c r="W20" s="2">
        <v>197</v>
      </c>
      <c r="X20" s="55">
        <v>21</v>
      </c>
      <c r="Y20" s="2">
        <v>145</v>
      </c>
      <c r="Z20" s="2">
        <v>16</v>
      </c>
      <c r="AA20" s="2">
        <v>20</v>
      </c>
      <c r="AB20" s="2">
        <v>3</v>
      </c>
      <c r="AC20" s="2">
        <v>149</v>
      </c>
      <c r="AD20" s="105">
        <v>8</v>
      </c>
      <c r="AE20" s="2">
        <v>172</v>
      </c>
      <c r="AF20" s="55">
        <v>13</v>
      </c>
      <c r="AG20" s="2">
        <v>88</v>
      </c>
      <c r="AH20" s="55">
        <v>0</v>
      </c>
      <c r="AI20" s="2">
        <v>135</v>
      </c>
      <c r="AJ20" s="55">
        <v>0.47560000000000002</v>
      </c>
      <c r="AK20" s="2">
        <v>127</v>
      </c>
      <c r="AL20" s="30">
        <v>42543</v>
      </c>
      <c r="AM20" s="2">
        <v>161</v>
      </c>
      <c r="AN20" s="2">
        <v>169</v>
      </c>
      <c r="AO20" s="2">
        <v>259</v>
      </c>
      <c r="AP20" s="2">
        <v>3</v>
      </c>
      <c r="AQ20" s="2">
        <v>149</v>
      </c>
      <c r="AR20" s="55">
        <v>13</v>
      </c>
      <c r="AS20" s="2">
        <v>88</v>
      </c>
      <c r="AT20" s="159">
        <v>0</v>
      </c>
      <c r="AU20" s="2">
        <v>81</v>
      </c>
      <c r="AV20" s="55">
        <v>0</v>
      </c>
      <c r="AW20" s="2">
        <v>194</v>
      </c>
      <c r="AX20" s="2" t="s">
        <v>615</v>
      </c>
      <c r="AY20" s="2">
        <v>999999</v>
      </c>
      <c r="AZ20" s="106">
        <v>0</v>
      </c>
      <c r="BA20" s="2">
        <v>14</v>
      </c>
      <c r="BB20" s="30">
        <v>40396</v>
      </c>
      <c r="BC20" s="2">
        <v>61</v>
      </c>
      <c r="BD20" s="160">
        <v>41806</v>
      </c>
      <c r="BE20" s="2">
        <v>1</v>
      </c>
      <c r="BF20" s="55">
        <v>1</v>
      </c>
      <c r="BG20" s="2">
        <v>1</v>
      </c>
      <c r="BH20" s="2">
        <v>1</v>
      </c>
      <c r="BI20" s="2">
        <v>151</v>
      </c>
      <c r="BJ20" s="2">
        <v>169</v>
      </c>
      <c r="BK20" s="2">
        <v>12</v>
      </c>
      <c r="BL20" s="161">
        <v>965851.85185185191</v>
      </c>
      <c r="BM20" s="2" t="str">
        <f t="shared" si="0"/>
        <v>140/283</v>
      </c>
      <c r="BN20" s="142"/>
    </row>
    <row r="21" spans="1:66" x14ac:dyDescent="0.25">
      <c r="A21" s="2">
        <v>545537</v>
      </c>
      <c r="B21" s="2" t="s">
        <v>333</v>
      </c>
      <c r="C21" s="2" t="s">
        <v>111</v>
      </c>
      <c r="D21" s="2" t="s">
        <v>612</v>
      </c>
      <c r="E21" s="2" t="s">
        <v>616</v>
      </c>
      <c r="F21" s="2" t="s">
        <v>613</v>
      </c>
      <c r="G21" s="2">
        <v>3</v>
      </c>
      <c r="H21" s="2">
        <v>0</v>
      </c>
      <c r="I21" s="2">
        <v>2</v>
      </c>
      <c r="J21" s="2">
        <v>4</v>
      </c>
      <c r="K21" s="2">
        <v>210</v>
      </c>
      <c r="L21" s="55">
        <v>2</v>
      </c>
      <c r="M21" s="2">
        <v>84</v>
      </c>
      <c r="N21" s="2">
        <v>8</v>
      </c>
      <c r="O21" s="2">
        <v>5</v>
      </c>
      <c r="P21" s="156">
        <v>34429</v>
      </c>
      <c r="Q21" s="2">
        <v>197</v>
      </c>
      <c r="R21" s="157">
        <v>-0.456714493</v>
      </c>
      <c r="S21" s="2">
        <v>183</v>
      </c>
      <c r="T21" s="158">
        <v>0.9</v>
      </c>
      <c r="U21" s="2">
        <v>107</v>
      </c>
      <c r="V21" s="55">
        <v>5</v>
      </c>
      <c r="W21" s="2">
        <v>121</v>
      </c>
      <c r="X21" s="55">
        <v>16</v>
      </c>
      <c r="Y21" s="2">
        <v>158</v>
      </c>
      <c r="Z21" s="2">
        <v>18</v>
      </c>
      <c r="AA21" s="2">
        <v>4</v>
      </c>
      <c r="AB21" s="2">
        <v>8</v>
      </c>
      <c r="AC21" s="2">
        <v>109</v>
      </c>
      <c r="AD21" s="105">
        <v>26</v>
      </c>
      <c r="AE21" s="2">
        <v>103</v>
      </c>
      <c r="AF21" s="55">
        <v>2</v>
      </c>
      <c r="AG21" s="2">
        <v>164</v>
      </c>
      <c r="AH21" s="55">
        <v>0</v>
      </c>
      <c r="AI21" s="2">
        <v>135</v>
      </c>
      <c r="AJ21" s="55">
        <v>0.64470000000000005</v>
      </c>
      <c r="AK21" s="2">
        <v>214</v>
      </c>
      <c r="AL21" s="30">
        <v>43145</v>
      </c>
      <c r="AM21" s="2">
        <v>26</v>
      </c>
      <c r="AN21" s="2">
        <v>65</v>
      </c>
      <c r="AO21" s="2">
        <v>245</v>
      </c>
      <c r="AP21" s="2">
        <v>8</v>
      </c>
      <c r="AQ21" s="2">
        <v>109</v>
      </c>
      <c r="AR21" s="55">
        <v>2</v>
      </c>
      <c r="AS21" s="2">
        <v>164</v>
      </c>
      <c r="AT21" s="159">
        <v>0</v>
      </c>
      <c r="AU21" s="2">
        <v>81</v>
      </c>
      <c r="AV21" s="55">
        <v>1</v>
      </c>
      <c r="AW21" s="2">
        <v>1</v>
      </c>
      <c r="AX21" s="2" t="s">
        <v>615</v>
      </c>
      <c r="AY21" s="2">
        <v>999999</v>
      </c>
      <c r="AZ21" s="106">
        <v>0</v>
      </c>
      <c r="BA21" s="2">
        <v>14</v>
      </c>
      <c r="BB21" s="30">
        <v>43445</v>
      </c>
      <c r="BC21" s="2">
        <v>246</v>
      </c>
      <c r="BD21" s="160">
        <v>43524</v>
      </c>
      <c r="BE21" s="2">
        <v>51</v>
      </c>
      <c r="BF21" s="55">
        <v>1</v>
      </c>
      <c r="BG21" s="2">
        <v>1</v>
      </c>
      <c r="BH21" s="2">
        <v>2</v>
      </c>
      <c r="BI21" s="2">
        <v>68</v>
      </c>
      <c r="BJ21" s="2">
        <v>65</v>
      </c>
      <c r="BK21" s="2">
        <v>34</v>
      </c>
      <c r="BL21" s="161">
        <v>965691.03703703696</v>
      </c>
      <c r="BM21" s="2" t="str">
        <f t="shared" si="0"/>
        <v>116/283</v>
      </c>
      <c r="BN21" s="142"/>
    </row>
    <row r="22" spans="1:66" x14ac:dyDescent="0.25">
      <c r="A22" s="2">
        <v>540103</v>
      </c>
      <c r="B22" s="2" t="s">
        <v>192</v>
      </c>
      <c r="C22" s="2" t="s">
        <v>45</v>
      </c>
      <c r="D22" s="2" t="s">
        <v>612</v>
      </c>
      <c r="E22" s="2" t="s">
        <v>616</v>
      </c>
      <c r="F22" s="2" t="s">
        <v>613</v>
      </c>
      <c r="G22" s="2">
        <v>3</v>
      </c>
      <c r="H22" s="2">
        <v>0</v>
      </c>
      <c r="I22" s="2">
        <v>2</v>
      </c>
      <c r="J22" s="2">
        <v>13.4</v>
      </c>
      <c r="K22" s="2">
        <v>146</v>
      </c>
      <c r="L22" s="55">
        <v>0</v>
      </c>
      <c r="M22" s="2">
        <v>118</v>
      </c>
      <c r="N22" s="2">
        <v>8</v>
      </c>
      <c r="O22" s="2">
        <v>5</v>
      </c>
      <c r="P22" s="156">
        <v>1329352</v>
      </c>
      <c r="Q22" s="2">
        <v>65</v>
      </c>
      <c r="R22" s="157">
        <v>-0.439666047</v>
      </c>
      <c r="S22" s="2">
        <v>171</v>
      </c>
      <c r="T22" s="158">
        <v>0.86</v>
      </c>
      <c r="U22" s="2">
        <v>191</v>
      </c>
      <c r="V22" s="55">
        <v>5</v>
      </c>
      <c r="W22" s="2">
        <v>121</v>
      </c>
      <c r="X22" s="55">
        <v>77</v>
      </c>
      <c r="Y22" s="2">
        <v>74</v>
      </c>
      <c r="Z22" s="2">
        <v>11</v>
      </c>
      <c r="AA22" s="2">
        <v>155</v>
      </c>
      <c r="AB22" s="2">
        <v>27</v>
      </c>
      <c r="AC22" s="2">
        <v>63</v>
      </c>
      <c r="AD22" s="105">
        <v>56</v>
      </c>
      <c r="AE22" s="2">
        <v>72</v>
      </c>
      <c r="AF22" s="55">
        <v>3</v>
      </c>
      <c r="AG22" s="2">
        <v>152</v>
      </c>
      <c r="AH22" s="55">
        <v>0</v>
      </c>
      <c r="AI22" s="2">
        <v>135</v>
      </c>
      <c r="AJ22" s="55">
        <v>0.34639999999999999</v>
      </c>
      <c r="AK22" s="2">
        <v>49</v>
      </c>
      <c r="AL22" s="30">
        <v>42944</v>
      </c>
      <c r="AM22" s="2">
        <v>135</v>
      </c>
      <c r="AN22" s="2">
        <v>15</v>
      </c>
      <c r="AO22" s="2">
        <v>134</v>
      </c>
      <c r="AP22" s="2">
        <v>27</v>
      </c>
      <c r="AQ22" s="2">
        <v>63</v>
      </c>
      <c r="AR22" s="55">
        <v>3</v>
      </c>
      <c r="AS22" s="2">
        <v>152</v>
      </c>
      <c r="AT22" s="159">
        <v>0</v>
      </c>
      <c r="AU22" s="2">
        <v>81</v>
      </c>
      <c r="AV22" s="55">
        <v>1</v>
      </c>
      <c r="AW22" s="2">
        <v>1</v>
      </c>
      <c r="AX22" s="2" t="s">
        <v>615</v>
      </c>
      <c r="AY22" s="2">
        <v>999999</v>
      </c>
      <c r="AZ22" s="106">
        <v>0</v>
      </c>
      <c r="BA22" s="2">
        <v>14</v>
      </c>
      <c r="BB22" s="30">
        <v>43294</v>
      </c>
      <c r="BC22" s="2">
        <v>214</v>
      </c>
      <c r="BD22" s="160">
        <v>41806</v>
      </c>
      <c r="BE22" s="2">
        <v>1</v>
      </c>
      <c r="BF22" s="55">
        <v>1</v>
      </c>
      <c r="BG22" s="2">
        <v>1</v>
      </c>
      <c r="BH22" s="2">
        <v>4</v>
      </c>
      <c r="BI22" s="2">
        <v>34</v>
      </c>
      <c r="BJ22" s="2">
        <v>15</v>
      </c>
      <c r="BK22" s="2">
        <v>130</v>
      </c>
      <c r="BL22" s="161">
        <v>965347.25925925921</v>
      </c>
      <c r="BM22" s="2" t="str">
        <f t="shared" si="0"/>
        <v>82/283</v>
      </c>
      <c r="BN22" s="142"/>
    </row>
    <row r="23" spans="1:66" x14ac:dyDescent="0.25">
      <c r="A23" s="162">
        <v>540112</v>
      </c>
      <c r="B23" s="162" t="s">
        <v>48</v>
      </c>
      <c r="C23" s="162" t="s">
        <v>49</v>
      </c>
      <c r="D23" s="162" t="s">
        <v>617</v>
      </c>
      <c r="E23" s="162" t="s">
        <v>616</v>
      </c>
      <c r="F23" s="162" t="s">
        <v>613</v>
      </c>
      <c r="G23" s="162">
        <v>3</v>
      </c>
      <c r="H23" s="162">
        <v>0</v>
      </c>
      <c r="I23" s="162">
        <v>2</v>
      </c>
      <c r="J23" s="162">
        <v>2.4</v>
      </c>
      <c r="K23" s="162">
        <v>237</v>
      </c>
      <c r="L23" s="163">
        <v>2</v>
      </c>
      <c r="M23" s="162">
        <v>84</v>
      </c>
      <c r="N23" s="162">
        <v>8</v>
      </c>
      <c r="O23" s="162">
        <v>5</v>
      </c>
      <c r="P23" s="164">
        <v>926195</v>
      </c>
      <c r="Q23" s="162">
        <v>75</v>
      </c>
      <c r="R23" s="165">
        <v>1.3221522400000001</v>
      </c>
      <c r="S23" s="162">
        <v>50</v>
      </c>
      <c r="T23" s="166">
        <v>0.94</v>
      </c>
      <c r="U23" s="162">
        <v>11</v>
      </c>
      <c r="V23" s="163">
        <v>36</v>
      </c>
      <c r="W23" s="162">
        <v>45</v>
      </c>
      <c r="X23" s="163">
        <v>103</v>
      </c>
      <c r="Y23" s="162">
        <v>63</v>
      </c>
      <c r="Z23" s="162">
        <v>12</v>
      </c>
      <c r="AA23" s="162">
        <v>133</v>
      </c>
      <c r="AB23" s="162">
        <v>22</v>
      </c>
      <c r="AC23" s="162">
        <v>70</v>
      </c>
      <c r="AD23" s="167">
        <v>91</v>
      </c>
      <c r="AE23" s="162">
        <v>49</v>
      </c>
      <c r="AF23" s="163">
        <v>36</v>
      </c>
      <c r="AG23" s="162">
        <v>48</v>
      </c>
      <c r="AH23" s="163">
        <v>1717</v>
      </c>
      <c r="AI23" s="162">
        <v>30</v>
      </c>
      <c r="AJ23" s="163">
        <v>0.61060000000000003</v>
      </c>
      <c r="AK23" s="162">
        <v>192</v>
      </c>
      <c r="AL23" s="168">
        <v>43145</v>
      </c>
      <c r="AM23" s="162">
        <v>26</v>
      </c>
      <c r="AN23" s="162">
        <v>4</v>
      </c>
      <c r="AO23" s="162">
        <v>66</v>
      </c>
      <c r="AP23" s="162">
        <v>22</v>
      </c>
      <c r="AQ23" s="162">
        <v>70</v>
      </c>
      <c r="AR23" s="163">
        <v>36</v>
      </c>
      <c r="AS23" s="162">
        <v>48</v>
      </c>
      <c r="AT23" s="169">
        <v>4.4263249854397202</v>
      </c>
      <c r="AU23" s="162">
        <v>52</v>
      </c>
      <c r="AV23" s="163">
        <v>0</v>
      </c>
      <c r="AW23" s="162">
        <v>194</v>
      </c>
      <c r="AX23" s="162" t="s">
        <v>615</v>
      </c>
      <c r="AY23" s="162">
        <v>999999</v>
      </c>
      <c r="AZ23" s="170">
        <v>0</v>
      </c>
      <c r="BA23" s="162">
        <v>14</v>
      </c>
      <c r="BB23" s="168">
        <v>43286</v>
      </c>
      <c r="BC23" s="162">
        <v>202</v>
      </c>
      <c r="BD23" s="171">
        <v>43530</v>
      </c>
      <c r="BE23" s="162">
        <v>51</v>
      </c>
      <c r="BF23" s="163">
        <v>1</v>
      </c>
      <c r="BG23" s="162">
        <v>1</v>
      </c>
      <c r="BH23" s="162">
        <v>7</v>
      </c>
      <c r="BI23" s="162">
        <v>17</v>
      </c>
      <c r="BJ23" s="162">
        <v>4</v>
      </c>
      <c r="BK23" s="162">
        <v>204</v>
      </c>
      <c r="BL23" s="161">
        <v>964923.5555555555</v>
      </c>
      <c r="BM23" s="162" t="str">
        <f t="shared" si="0"/>
        <v>34/283</v>
      </c>
      <c r="BN23" s="142"/>
    </row>
    <row r="24" spans="1:66" x14ac:dyDescent="0.25">
      <c r="A24" s="2">
        <v>540247</v>
      </c>
      <c r="B24" s="2" t="s">
        <v>293</v>
      </c>
      <c r="C24" s="2" t="s">
        <v>49</v>
      </c>
      <c r="D24" s="2" t="s">
        <v>612</v>
      </c>
      <c r="E24" s="2" t="s">
        <v>616</v>
      </c>
      <c r="F24" s="2" t="s">
        <v>613</v>
      </c>
      <c r="G24" s="2">
        <v>3</v>
      </c>
      <c r="H24" s="2">
        <v>0</v>
      </c>
      <c r="I24" s="2">
        <v>2</v>
      </c>
      <c r="J24" s="2">
        <v>2.4</v>
      </c>
      <c r="K24" s="2">
        <v>237</v>
      </c>
      <c r="L24" s="55">
        <v>0</v>
      </c>
      <c r="M24" s="2">
        <v>118</v>
      </c>
      <c r="N24" s="2">
        <v>8</v>
      </c>
      <c r="O24" s="2">
        <v>5</v>
      </c>
      <c r="P24" s="156">
        <v>0</v>
      </c>
      <c r="Q24" s="2">
        <v>248</v>
      </c>
      <c r="R24" s="157">
        <v>1.3221522400000001</v>
      </c>
      <c r="S24" s="2">
        <v>50</v>
      </c>
      <c r="T24" s="158">
        <v>0.94</v>
      </c>
      <c r="U24" s="2">
        <v>11</v>
      </c>
      <c r="V24" s="55">
        <v>3</v>
      </c>
      <c r="W24" s="2">
        <v>153</v>
      </c>
      <c r="X24" s="55">
        <v>0</v>
      </c>
      <c r="Y24" s="2">
        <v>256</v>
      </c>
      <c r="Z24" s="2">
        <v>12</v>
      </c>
      <c r="AA24" s="2">
        <v>133</v>
      </c>
      <c r="AB24" s="2">
        <v>3</v>
      </c>
      <c r="AC24" s="2">
        <v>149</v>
      </c>
      <c r="AD24" s="105">
        <v>24</v>
      </c>
      <c r="AE24" s="2">
        <v>108</v>
      </c>
      <c r="AF24" s="55">
        <v>0</v>
      </c>
      <c r="AG24" s="2">
        <v>184</v>
      </c>
      <c r="AH24" s="55">
        <v>0</v>
      </c>
      <c r="AI24" s="2">
        <v>135</v>
      </c>
      <c r="AJ24" s="55">
        <v>0.61060000000000003</v>
      </c>
      <c r="AK24" s="2">
        <v>192</v>
      </c>
      <c r="AL24" s="30">
        <v>43145</v>
      </c>
      <c r="AM24" s="2">
        <v>26</v>
      </c>
      <c r="AN24" s="2">
        <v>4</v>
      </c>
      <c r="AO24" s="2">
        <v>66</v>
      </c>
      <c r="AP24" s="2">
        <v>3</v>
      </c>
      <c r="AQ24" s="2">
        <v>149</v>
      </c>
      <c r="AR24" s="55">
        <v>0</v>
      </c>
      <c r="AS24" s="2">
        <v>184</v>
      </c>
      <c r="AT24" s="159">
        <v>0</v>
      </c>
      <c r="AU24" s="2">
        <v>81</v>
      </c>
      <c r="AV24" s="55">
        <v>0</v>
      </c>
      <c r="AW24" s="2">
        <v>194</v>
      </c>
      <c r="AX24" s="2" t="s">
        <v>615</v>
      </c>
      <c r="AY24" s="2">
        <v>999999</v>
      </c>
      <c r="AZ24" s="106">
        <v>0</v>
      </c>
      <c r="BA24" s="2">
        <v>14</v>
      </c>
      <c r="BB24" s="30">
        <v>30406</v>
      </c>
      <c r="BC24" s="2">
        <v>3</v>
      </c>
      <c r="BD24" s="160">
        <v>41806</v>
      </c>
      <c r="BE24" s="2">
        <v>1</v>
      </c>
      <c r="BF24" s="55">
        <v>1</v>
      </c>
      <c r="BG24" s="2">
        <v>1</v>
      </c>
      <c r="BH24" s="2">
        <v>1</v>
      </c>
      <c r="BI24" s="2">
        <v>151</v>
      </c>
      <c r="BJ24" s="2">
        <v>4</v>
      </c>
      <c r="BK24" s="2">
        <v>204</v>
      </c>
      <c r="BL24" s="161">
        <v>965901.92592592572</v>
      </c>
      <c r="BM24" s="2" t="str">
        <f t="shared" si="0"/>
        <v>152/283</v>
      </c>
      <c r="BN24" s="142"/>
    </row>
    <row r="25" spans="1:66" x14ac:dyDescent="0.25">
      <c r="A25" s="2">
        <v>540113</v>
      </c>
      <c r="B25" s="2" t="s">
        <v>200</v>
      </c>
      <c r="C25" s="2" t="s">
        <v>49</v>
      </c>
      <c r="D25" s="2" t="s">
        <v>612</v>
      </c>
      <c r="E25" s="2" t="s">
        <v>616</v>
      </c>
      <c r="F25" s="2" t="s">
        <v>613</v>
      </c>
      <c r="G25" s="2">
        <v>3</v>
      </c>
      <c r="H25" s="2">
        <v>0</v>
      </c>
      <c r="I25" s="2">
        <v>2</v>
      </c>
      <c r="J25" s="2">
        <v>2.4</v>
      </c>
      <c r="K25" s="2">
        <v>237</v>
      </c>
      <c r="L25" s="55">
        <v>0</v>
      </c>
      <c r="M25" s="2">
        <v>118</v>
      </c>
      <c r="N25" s="2">
        <v>8</v>
      </c>
      <c r="O25" s="2">
        <v>5</v>
      </c>
      <c r="P25" s="156">
        <v>7452</v>
      </c>
      <c r="Q25" s="2">
        <v>229</v>
      </c>
      <c r="R25" s="157">
        <v>1.3221522400000001</v>
      </c>
      <c r="S25" s="2">
        <v>50</v>
      </c>
      <c r="T25" s="158">
        <v>0.94</v>
      </c>
      <c r="U25" s="2">
        <v>11</v>
      </c>
      <c r="V25" s="55">
        <v>0</v>
      </c>
      <c r="W25" s="2">
        <v>230</v>
      </c>
      <c r="X25" s="55">
        <v>6</v>
      </c>
      <c r="Y25" s="2">
        <v>197</v>
      </c>
      <c r="Z25" s="2">
        <v>12</v>
      </c>
      <c r="AA25" s="2">
        <v>133</v>
      </c>
      <c r="AB25" s="2">
        <v>2</v>
      </c>
      <c r="AC25" s="2">
        <v>168</v>
      </c>
      <c r="AD25" s="105">
        <v>2</v>
      </c>
      <c r="AE25" s="2">
        <v>228</v>
      </c>
      <c r="AF25" s="55">
        <v>0</v>
      </c>
      <c r="AG25" s="2">
        <v>184</v>
      </c>
      <c r="AH25" s="55">
        <v>0</v>
      </c>
      <c r="AI25" s="2">
        <v>135</v>
      </c>
      <c r="AJ25" s="55">
        <v>0.61060000000000003</v>
      </c>
      <c r="AK25" s="2">
        <v>192</v>
      </c>
      <c r="AL25" s="30">
        <v>43145</v>
      </c>
      <c r="AM25" s="2">
        <v>26</v>
      </c>
      <c r="AN25" s="2">
        <v>4</v>
      </c>
      <c r="AO25" s="2">
        <v>66</v>
      </c>
      <c r="AP25" s="2">
        <v>2</v>
      </c>
      <c r="AQ25" s="2">
        <v>168</v>
      </c>
      <c r="AR25" s="55">
        <v>0</v>
      </c>
      <c r="AS25" s="2">
        <v>184</v>
      </c>
      <c r="AT25" s="159">
        <v>0</v>
      </c>
      <c r="AU25" s="2">
        <v>81</v>
      </c>
      <c r="AV25" s="55">
        <v>0</v>
      </c>
      <c r="AW25" s="2">
        <v>194</v>
      </c>
      <c r="AX25" s="2" t="s">
        <v>615</v>
      </c>
      <c r="AY25" s="2">
        <v>999999</v>
      </c>
      <c r="AZ25" s="106">
        <v>0</v>
      </c>
      <c r="BA25" s="2">
        <v>14</v>
      </c>
      <c r="BB25" s="30">
        <v>43286</v>
      </c>
      <c r="BC25" s="2">
        <v>202</v>
      </c>
      <c r="BD25" s="160">
        <v>41806</v>
      </c>
      <c r="BE25" s="2">
        <v>1</v>
      </c>
      <c r="BF25" s="55">
        <v>1</v>
      </c>
      <c r="BG25" s="2">
        <v>1</v>
      </c>
      <c r="BH25" s="2">
        <v>1</v>
      </c>
      <c r="BI25" s="2">
        <v>151</v>
      </c>
      <c r="BJ25" s="2">
        <v>4</v>
      </c>
      <c r="BK25" s="2">
        <v>204</v>
      </c>
      <c r="BL25" s="161">
        <v>966244.74074074056</v>
      </c>
      <c r="BM25" s="2" t="str">
        <f t="shared" si="0"/>
        <v>208/283</v>
      </c>
      <c r="BN25" s="142"/>
    </row>
    <row r="26" spans="1:66" x14ac:dyDescent="0.25">
      <c r="A26" s="2">
        <v>540248</v>
      </c>
      <c r="B26" s="2" t="s">
        <v>294</v>
      </c>
      <c r="C26" s="2" t="s">
        <v>49</v>
      </c>
      <c r="D26" s="2" t="s">
        <v>612</v>
      </c>
      <c r="E26" s="2" t="s">
        <v>616</v>
      </c>
      <c r="F26" s="2" t="s">
        <v>613</v>
      </c>
      <c r="G26" s="2">
        <v>3</v>
      </c>
      <c r="H26" s="2">
        <v>0</v>
      </c>
      <c r="I26" s="2">
        <v>2</v>
      </c>
      <c r="J26" s="2">
        <v>2.4</v>
      </c>
      <c r="K26" s="2">
        <v>237</v>
      </c>
      <c r="L26" s="55">
        <v>0</v>
      </c>
      <c r="M26" s="2">
        <v>118</v>
      </c>
      <c r="N26" s="2">
        <v>8</v>
      </c>
      <c r="O26" s="2">
        <v>5</v>
      </c>
      <c r="P26" s="156">
        <v>0</v>
      </c>
      <c r="Q26" s="2">
        <v>248</v>
      </c>
      <c r="R26" s="157">
        <v>1.3221522400000001</v>
      </c>
      <c r="S26" s="2">
        <v>50</v>
      </c>
      <c r="T26" s="158">
        <v>0.94</v>
      </c>
      <c r="U26" s="2">
        <v>11</v>
      </c>
      <c r="V26" s="55">
        <v>2</v>
      </c>
      <c r="W26" s="2">
        <v>170</v>
      </c>
      <c r="X26" s="55">
        <v>1</v>
      </c>
      <c r="Y26" s="2">
        <v>237</v>
      </c>
      <c r="Z26" s="2">
        <v>12</v>
      </c>
      <c r="AA26" s="2">
        <v>133</v>
      </c>
      <c r="AB26" s="2">
        <v>5</v>
      </c>
      <c r="AC26" s="2">
        <v>129</v>
      </c>
      <c r="AD26" s="105">
        <v>10</v>
      </c>
      <c r="AE26" s="2">
        <v>154</v>
      </c>
      <c r="AF26" s="55">
        <v>0</v>
      </c>
      <c r="AG26" s="2">
        <v>184</v>
      </c>
      <c r="AH26" s="55">
        <v>0</v>
      </c>
      <c r="AI26" s="2">
        <v>135</v>
      </c>
      <c r="AJ26" s="55">
        <v>0.61060000000000003</v>
      </c>
      <c r="AK26" s="2">
        <v>192</v>
      </c>
      <c r="AL26" s="30">
        <v>43145</v>
      </c>
      <c r="AM26" s="2">
        <v>26</v>
      </c>
      <c r="AN26" s="2">
        <v>4</v>
      </c>
      <c r="AO26" s="2">
        <v>66</v>
      </c>
      <c r="AP26" s="2">
        <v>5</v>
      </c>
      <c r="AQ26" s="2">
        <v>129</v>
      </c>
      <c r="AR26" s="55">
        <v>0</v>
      </c>
      <c r="AS26" s="2">
        <v>184</v>
      </c>
      <c r="AT26" s="159">
        <v>0</v>
      </c>
      <c r="AU26" s="2">
        <v>81</v>
      </c>
      <c r="AV26" s="55">
        <v>0</v>
      </c>
      <c r="AW26" s="2">
        <v>194</v>
      </c>
      <c r="AX26" s="2" t="s">
        <v>615</v>
      </c>
      <c r="AY26" s="2">
        <v>999999</v>
      </c>
      <c r="AZ26" s="106">
        <v>0</v>
      </c>
      <c r="BA26" s="2">
        <v>14</v>
      </c>
      <c r="BB26" s="30">
        <v>43286</v>
      </c>
      <c r="BC26" s="2">
        <v>202</v>
      </c>
      <c r="BD26" s="160">
        <v>41806</v>
      </c>
      <c r="BE26" s="2">
        <v>1</v>
      </c>
      <c r="BF26" s="55">
        <v>1</v>
      </c>
      <c r="BG26" s="2">
        <v>1</v>
      </c>
      <c r="BH26" s="2">
        <v>2</v>
      </c>
      <c r="BI26" s="2">
        <v>68</v>
      </c>
      <c r="BJ26" s="2">
        <v>4</v>
      </c>
      <c r="BK26" s="2">
        <v>204</v>
      </c>
      <c r="BL26" s="161">
        <v>966017.48148148134</v>
      </c>
      <c r="BM26" s="2" t="str">
        <f t="shared" si="0"/>
        <v>163/283</v>
      </c>
      <c r="BN26" s="142"/>
    </row>
    <row r="27" spans="1:66" x14ac:dyDescent="0.25">
      <c r="A27" s="2">
        <v>540249</v>
      </c>
      <c r="B27" s="2" t="s">
        <v>295</v>
      </c>
      <c r="C27" s="2" t="s">
        <v>49</v>
      </c>
      <c r="D27" s="2" t="s">
        <v>612</v>
      </c>
      <c r="E27" s="2" t="s">
        <v>616</v>
      </c>
      <c r="F27" s="2" t="s">
        <v>613</v>
      </c>
      <c r="G27" s="2">
        <v>3</v>
      </c>
      <c r="H27" s="2">
        <v>0</v>
      </c>
      <c r="I27" s="2">
        <v>2</v>
      </c>
      <c r="J27" s="2">
        <v>2.4</v>
      </c>
      <c r="K27" s="2">
        <v>237</v>
      </c>
      <c r="L27" s="55">
        <v>5</v>
      </c>
      <c r="M27" s="2">
        <v>61</v>
      </c>
      <c r="N27" s="2">
        <v>8</v>
      </c>
      <c r="O27" s="2">
        <v>5</v>
      </c>
      <c r="P27" s="156">
        <v>100399</v>
      </c>
      <c r="Q27" s="2">
        <v>164</v>
      </c>
      <c r="R27" s="157">
        <v>1.3221522400000001</v>
      </c>
      <c r="S27" s="2">
        <v>50</v>
      </c>
      <c r="T27" s="158">
        <v>0.94</v>
      </c>
      <c r="U27" s="2">
        <v>11</v>
      </c>
      <c r="V27" s="55">
        <v>7</v>
      </c>
      <c r="W27" s="2">
        <v>105</v>
      </c>
      <c r="X27" s="55">
        <v>11</v>
      </c>
      <c r="Y27" s="2">
        <v>173</v>
      </c>
      <c r="Z27" s="2">
        <v>12</v>
      </c>
      <c r="AA27" s="2">
        <v>133</v>
      </c>
      <c r="AB27" s="2">
        <v>5</v>
      </c>
      <c r="AC27" s="2">
        <v>129</v>
      </c>
      <c r="AD27" s="105">
        <v>17</v>
      </c>
      <c r="AE27" s="2">
        <v>129</v>
      </c>
      <c r="AF27" s="55">
        <v>5</v>
      </c>
      <c r="AG27" s="2">
        <v>130</v>
      </c>
      <c r="AH27" s="55">
        <v>188</v>
      </c>
      <c r="AI27" s="2">
        <v>102</v>
      </c>
      <c r="AJ27" s="55">
        <v>0.61060000000000003</v>
      </c>
      <c r="AK27" s="2">
        <v>192</v>
      </c>
      <c r="AL27" s="30">
        <v>43145</v>
      </c>
      <c r="AM27" s="2">
        <v>26</v>
      </c>
      <c r="AN27" s="2">
        <v>4</v>
      </c>
      <c r="AO27" s="2">
        <v>66</v>
      </c>
      <c r="AP27" s="2">
        <v>5</v>
      </c>
      <c r="AQ27" s="2">
        <v>129</v>
      </c>
      <c r="AR27" s="55">
        <v>5</v>
      </c>
      <c r="AS27" s="2">
        <v>130</v>
      </c>
      <c r="AT27" s="159">
        <v>-3.1914893617021276</v>
      </c>
      <c r="AU27" s="2">
        <v>240</v>
      </c>
      <c r="AV27" s="55">
        <v>0</v>
      </c>
      <c r="AW27" s="2">
        <v>194</v>
      </c>
      <c r="AX27" s="2" t="s">
        <v>615</v>
      </c>
      <c r="AY27" s="2">
        <v>999999</v>
      </c>
      <c r="AZ27" s="106">
        <v>0</v>
      </c>
      <c r="BA27" s="2">
        <v>14</v>
      </c>
      <c r="BB27" s="30">
        <v>30468</v>
      </c>
      <c r="BC27" s="2">
        <v>4</v>
      </c>
      <c r="BD27" s="160">
        <v>41806</v>
      </c>
      <c r="BE27" s="2">
        <v>1</v>
      </c>
      <c r="BF27" s="55">
        <v>1</v>
      </c>
      <c r="BG27" s="2">
        <v>1</v>
      </c>
      <c r="BH27" s="2">
        <v>0</v>
      </c>
      <c r="BI27" s="2">
        <v>239</v>
      </c>
      <c r="BJ27" s="2">
        <v>4</v>
      </c>
      <c r="BK27" s="2">
        <v>204</v>
      </c>
      <c r="BL27" s="161">
        <v>965724.74074074067</v>
      </c>
      <c r="BM27" s="2" t="str">
        <f t="shared" si="0"/>
        <v>121/283</v>
      </c>
      <c r="BN27" s="142"/>
    </row>
    <row r="28" spans="1:66" x14ac:dyDescent="0.25">
      <c r="A28" s="2">
        <v>540250</v>
      </c>
      <c r="B28" s="2" t="s">
        <v>296</v>
      </c>
      <c r="C28" s="2" t="s">
        <v>49</v>
      </c>
      <c r="D28" s="2" t="s">
        <v>612</v>
      </c>
      <c r="E28" s="2" t="s">
        <v>616</v>
      </c>
      <c r="F28" s="2" t="s">
        <v>613</v>
      </c>
      <c r="G28" s="2">
        <v>3</v>
      </c>
      <c r="H28" s="2">
        <v>0</v>
      </c>
      <c r="I28" s="2">
        <v>2</v>
      </c>
      <c r="J28" s="2">
        <v>2.4</v>
      </c>
      <c r="K28" s="2">
        <v>237</v>
      </c>
      <c r="L28" s="55">
        <v>7</v>
      </c>
      <c r="M28" s="2">
        <v>48</v>
      </c>
      <c r="N28" s="2">
        <v>8</v>
      </c>
      <c r="O28" s="2">
        <v>5</v>
      </c>
      <c r="P28" s="156">
        <v>148008</v>
      </c>
      <c r="Q28" s="2">
        <v>149</v>
      </c>
      <c r="R28" s="157">
        <v>1.3221522400000001</v>
      </c>
      <c r="S28" s="2">
        <v>50</v>
      </c>
      <c r="T28" s="158">
        <v>0.94</v>
      </c>
      <c r="U28" s="2">
        <v>11</v>
      </c>
      <c r="V28" s="55">
        <v>2</v>
      </c>
      <c r="W28" s="2">
        <v>170</v>
      </c>
      <c r="X28" s="55">
        <v>31</v>
      </c>
      <c r="Y28" s="2">
        <v>123</v>
      </c>
      <c r="Z28" s="2">
        <v>12</v>
      </c>
      <c r="AA28" s="2">
        <v>133</v>
      </c>
      <c r="AB28" s="2">
        <v>2</v>
      </c>
      <c r="AC28" s="2">
        <v>168</v>
      </c>
      <c r="AD28" s="105">
        <v>12</v>
      </c>
      <c r="AE28" s="2">
        <v>146</v>
      </c>
      <c r="AF28" s="55">
        <v>9</v>
      </c>
      <c r="AG28" s="2">
        <v>112</v>
      </c>
      <c r="AH28" s="55">
        <v>167</v>
      </c>
      <c r="AI28" s="2">
        <v>108</v>
      </c>
      <c r="AJ28" s="55">
        <v>0.61060000000000003</v>
      </c>
      <c r="AK28" s="2">
        <v>192</v>
      </c>
      <c r="AL28" s="30">
        <v>43145</v>
      </c>
      <c r="AM28" s="2">
        <v>26</v>
      </c>
      <c r="AN28" s="2">
        <v>4</v>
      </c>
      <c r="AO28" s="2">
        <v>66</v>
      </c>
      <c r="AP28" s="2">
        <v>2</v>
      </c>
      <c r="AQ28" s="2">
        <v>168</v>
      </c>
      <c r="AR28" s="55">
        <v>9</v>
      </c>
      <c r="AS28" s="2">
        <v>112</v>
      </c>
      <c r="AT28" s="159">
        <v>-21.556886227544911</v>
      </c>
      <c r="AU28" s="2">
        <v>271</v>
      </c>
      <c r="AV28" s="55">
        <v>0</v>
      </c>
      <c r="AW28" s="2">
        <v>194</v>
      </c>
      <c r="AX28" s="2" t="s">
        <v>615</v>
      </c>
      <c r="AY28" s="2">
        <v>999999</v>
      </c>
      <c r="AZ28" s="106">
        <v>0</v>
      </c>
      <c r="BA28" s="2">
        <v>14</v>
      </c>
      <c r="BB28" s="30">
        <v>43286</v>
      </c>
      <c r="BC28" s="2">
        <v>202</v>
      </c>
      <c r="BD28" s="160">
        <v>41848</v>
      </c>
      <c r="BE28" s="2">
        <v>29</v>
      </c>
      <c r="BF28" s="55">
        <v>0</v>
      </c>
      <c r="BG28" s="2">
        <v>183</v>
      </c>
      <c r="BH28" s="2">
        <v>1</v>
      </c>
      <c r="BI28" s="2">
        <v>151</v>
      </c>
      <c r="BJ28" s="2">
        <v>4</v>
      </c>
      <c r="BK28" s="2">
        <v>204</v>
      </c>
      <c r="BL28" s="161">
        <v>966112.81481481483</v>
      </c>
      <c r="BM28" s="2" t="str">
        <f t="shared" si="0"/>
        <v>183/283</v>
      </c>
      <c r="BN28" s="142"/>
    </row>
    <row r="29" spans="1:66" x14ac:dyDescent="0.25">
      <c r="A29" s="162">
        <v>540124</v>
      </c>
      <c r="B29" s="162" t="s">
        <v>52</v>
      </c>
      <c r="C29" s="162" t="s">
        <v>53</v>
      </c>
      <c r="D29" s="162" t="s">
        <v>617</v>
      </c>
      <c r="E29" s="162" t="s">
        <v>616</v>
      </c>
      <c r="F29" s="162" t="s">
        <v>613</v>
      </c>
      <c r="G29" s="162">
        <v>3</v>
      </c>
      <c r="H29" s="162">
        <v>0</v>
      </c>
      <c r="I29" s="162">
        <v>2</v>
      </c>
      <c r="J29" s="162">
        <v>13.4</v>
      </c>
      <c r="K29" s="162">
        <v>146</v>
      </c>
      <c r="L29" s="163">
        <v>44</v>
      </c>
      <c r="M29" s="162">
        <v>4</v>
      </c>
      <c r="N29" s="162">
        <v>8</v>
      </c>
      <c r="O29" s="162">
        <v>5</v>
      </c>
      <c r="P29" s="164">
        <v>2189786</v>
      </c>
      <c r="Q29" s="162">
        <v>43</v>
      </c>
      <c r="R29" s="165">
        <v>-0.55309814800000001</v>
      </c>
      <c r="S29" s="162">
        <v>195</v>
      </c>
      <c r="T29" s="166">
        <v>0.92999999999999994</v>
      </c>
      <c r="U29" s="162">
        <v>38</v>
      </c>
      <c r="V29" s="163">
        <v>80</v>
      </c>
      <c r="W29" s="162">
        <v>18</v>
      </c>
      <c r="X29" s="163">
        <v>295</v>
      </c>
      <c r="Y29" s="162">
        <v>19</v>
      </c>
      <c r="Z29" s="162">
        <v>13</v>
      </c>
      <c r="AA29" s="162">
        <v>78</v>
      </c>
      <c r="AB29" s="162">
        <v>75</v>
      </c>
      <c r="AC29" s="162">
        <v>21</v>
      </c>
      <c r="AD29" s="167">
        <v>199</v>
      </c>
      <c r="AE29" s="162">
        <v>13</v>
      </c>
      <c r="AF29" s="163">
        <v>100</v>
      </c>
      <c r="AG29" s="162">
        <v>14</v>
      </c>
      <c r="AH29" s="163">
        <v>3418</v>
      </c>
      <c r="AI29" s="162">
        <v>9</v>
      </c>
      <c r="AJ29" s="163">
        <v>0.7631</v>
      </c>
      <c r="AK29" s="162">
        <v>248</v>
      </c>
      <c r="AL29" s="168">
        <v>42066</v>
      </c>
      <c r="AM29" s="162">
        <v>243</v>
      </c>
      <c r="AN29" s="162">
        <v>48</v>
      </c>
      <c r="AO29" s="162">
        <v>213</v>
      </c>
      <c r="AP29" s="162">
        <v>75</v>
      </c>
      <c r="AQ29" s="162">
        <v>21</v>
      </c>
      <c r="AR29" s="163">
        <v>100</v>
      </c>
      <c r="AS29" s="162">
        <v>14</v>
      </c>
      <c r="AT29" s="169">
        <v>-7.0216500877706256</v>
      </c>
      <c r="AU29" s="162">
        <v>252</v>
      </c>
      <c r="AV29" s="163">
        <v>1</v>
      </c>
      <c r="AW29" s="162">
        <v>1</v>
      </c>
      <c r="AX29" s="162" t="s">
        <v>615</v>
      </c>
      <c r="AY29" s="162">
        <v>999999</v>
      </c>
      <c r="AZ29" s="170">
        <v>0</v>
      </c>
      <c r="BA29" s="162">
        <v>14</v>
      </c>
      <c r="BB29" s="168">
        <v>43138</v>
      </c>
      <c r="BC29" s="162">
        <v>175</v>
      </c>
      <c r="BD29" s="171">
        <v>43530</v>
      </c>
      <c r="BE29" s="162">
        <v>51</v>
      </c>
      <c r="BF29" s="163">
        <v>1</v>
      </c>
      <c r="BG29" s="162">
        <v>1</v>
      </c>
      <c r="BH29" s="162">
        <v>2</v>
      </c>
      <c r="BI29" s="162">
        <v>68</v>
      </c>
      <c r="BJ29" s="162">
        <v>48</v>
      </c>
      <c r="BK29" s="162">
        <v>65</v>
      </c>
      <c r="BL29" s="161">
        <v>964858.07407407404</v>
      </c>
      <c r="BM29" s="162" t="str">
        <f t="shared" si="0"/>
        <v>30/283</v>
      </c>
      <c r="BN29" s="142"/>
    </row>
    <row r="30" spans="1:66" x14ac:dyDescent="0.25">
      <c r="A30" s="2">
        <v>540126</v>
      </c>
      <c r="B30" s="2" t="s">
        <v>211</v>
      </c>
      <c r="C30" s="2" t="s">
        <v>53</v>
      </c>
      <c r="D30" s="2" t="s">
        <v>612</v>
      </c>
      <c r="E30" s="2" t="s">
        <v>616</v>
      </c>
      <c r="F30" s="2" t="s">
        <v>613</v>
      </c>
      <c r="G30" s="2">
        <v>3</v>
      </c>
      <c r="H30" s="2">
        <v>0</v>
      </c>
      <c r="I30" s="2">
        <v>2</v>
      </c>
      <c r="J30" s="2">
        <v>13.4</v>
      </c>
      <c r="K30" s="2">
        <v>146</v>
      </c>
      <c r="L30" s="55">
        <v>0</v>
      </c>
      <c r="M30" s="2">
        <v>118</v>
      </c>
      <c r="N30" s="2">
        <v>8</v>
      </c>
      <c r="O30" s="2">
        <v>5</v>
      </c>
      <c r="P30" s="156">
        <v>204961</v>
      </c>
      <c r="Q30" s="2">
        <v>133</v>
      </c>
      <c r="R30" s="157">
        <v>-0.55309814800000001</v>
      </c>
      <c r="S30" s="2">
        <v>195</v>
      </c>
      <c r="T30" s="158">
        <v>0.92999999999999994</v>
      </c>
      <c r="U30" s="2">
        <v>38</v>
      </c>
      <c r="V30" s="55">
        <v>1</v>
      </c>
      <c r="W30" s="2">
        <v>197</v>
      </c>
      <c r="X30" s="55">
        <v>31</v>
      </c>
      <c r="Y30" s="2">
        <v>123</v>
      </c>
      <c r="Z30" s="2">
        <v>13</v>
      </c>
      <c r="AA30" s="2">
        <v>78</v>
      </c>
      <c r="AB30" s="2">
        <v>1</v>
      </c>
      <c r="AC30" s="2">
        <v>186</v>
      </c>
      <c r="AD30" s="105">
        <v>1</v>
      </c>
      <c r="AE30" s="2">
        <v>242</v>
      </c>
      <c r="AF30" s="55">
        <v>12</v>
      </c>
      <c r="AG30" s="2">
        <v>94</v>
      </c>
      <c r="AH30" s="55">
        <v>0</v>
      </c>
      <c r="AI30" s="2">
        <v>135</v>
      </c>
      <c r="AJ30" s="55">
        <v>0.7631</v>
      </c>
      <c r="AK30" s="2">
        <v>248</v>
      </c>
      <c r="AL30" s="30">
        <v>42066</v>
      </c>
      <c r="AM30" s="2">
        <v>243</v>
      </c>
      <c r="AN30" s="2">
        <v>48</v>
      </c>
      <c r="AO30" s="2">
        <v>213</v>
      </c>
      <c r="AP30" s="2">
        <v>1</v>
      </c>
      <c r="AQ30" s="2">
        <v>186</v>
      </c>
      <c r="AR30" s="55">
        <v>12</v>
      </c>
      <c r="AS30" s="2">
        <v>94</v>
      </c>
      <c r="AT30" s="159">
        <v>0</v>
      </c>
      <c r="AU30" s="2">
        <v>81</v>
      </c>
      <c r="AV30" s="55">
        <v>1</v>
      </c>
      <c r="AW30" s="2">
        <v>1</v>
      </c>
      <c r="AX30" s="2" t="s">
        <v>615</v>
      </c>
      <c r="AY30" s="2">
        <v>999999</v>
      </c>
      <c r="AZ30" s="106">
        <v>0</v>
      </c>
      <c r="BA30" s="2">
        <v>14</v>
      </c>
      <c r="BB30" s="30">
        <v>43137</v>
      </c>
      <c r="BC30" s="2">
        <v>170</v>
      </c>
      <c r="BD30" s="160">
        <v>41806</v>
      </c>
      <c r="BE30" s="2">
        <v>1</v>
      </c>
      <c r="BF30" s="55">
        <v>0</v>
      </c>
      <c r="BG30" s="2">
        <v>183</v>
      </c>
      <c r="BH30" s="2">
        <v>1</v>
      </c>
      <c r="BI30" s="2">
        <v>151</v>
      </c>
      <c r="BJ30" s="2">
        <v>48</v>
      </c>
      <c r="BK30" s="2">
        <v>65</v>
      </c>
      <c r="BL30" s="161">
        <v>966178.29629629641</v>
      </c>
      <c r="BM30" s="2" t="str">
        <f t="shared" si="0"/>
        <v>194/283</v>
      </c>
      <c r="BN30" s="142"/>
    </row>
    <row r="31" spans="1:66" x14ac:dyDescent="0.25">
      <c r="A31" s="162">
        <v>540133</v>
      </c>
      <c r="B31" s="162" t="s">
        <v>56</v>
      </c>
      <c r="C31" s="162" t="s">
        <v>57</v>
      </c>
      <c r="D31" s="162" t="s">
        <v>617</v>
      </c>
      <c r="E31" s="162" t="s">
        <v>616</v>
      </c>
      <c r="F31" s="162" t="s">
        <v>613</v>
      </c>
      <c r="G31" s="162">
        <v>3</v>
      </c>
      <c r="H31" s="162">
        <v>0</v>
      </c>
      <c r="I31" s="162">
        <v>2</v>
      </c>
      <c r="J31" s="162">
        <v>0.4</v>
      </c>
      <c r="K31" s="162">
        <v>269</v>
      </c>
      <c r="L31" s="163">
        <v>32</v>
      </c>
      <c r="M31" s="162">
        <v>8</v>
      </c>
      <c r="N31" s="162">
        <v>8</v>
      </c>
      <c r="O31" s="162">
        <v>5</v>
      </c>
      <c r="P31" s="164">
        <v>12342669</v>
      </c>
      <c r="Q31" s="162">
        <v>5</v>
      </c>
      <c r="R31" s="165">
        <v>2.8587882360000001</v>
      </c>
      <c r="S31" s="162">
        <v>20</v>
      </c>
      <c r="T31" s="166">
        <v>0.91</v>
      </c>
      <c r="U31" s="162">
        <v>70</v>
      </c>
      <c r="V31" s="163">
        <v>65</v>
      </c>
      <c r="W31" s="162">
        <v>28</v>
      </c>
      <c r="X31" s="163">
        <v>918</v>
      </c>
      <c r="Y31" s="162">
        <v>4</v>
      </c>
      <c r="Z31" s="162">
        <v>17</v>
      </c>
      <c r="AA31" s="162">
        <v>10</v>
      </c>
      <c r="AB31" s="162">
        <v>60</v>
      </c>
      <c r="AC31" s="162">
        <v>30</v>
      </c>
      <c r="AD31" s="167">
        <v>340</v>
      </c>
      <c r="AE31" s="162">
        <v>5</v>
      </c>
      <c r="AF31" s="163">
        <v>167</v>
      </c>
      <c r="AG31" s="162">
        <v>7</v>
      </c>
      <c r="AH31" s="163">
        <v>2111</v>
      </c>
      <c r="AI31" s="162">
        <v>23</v>
      </c>
      <c r="AJ31" s="163">
        <v>0.71279999999999999</v>
      </c>
      <c r="AK31" s="162">
        <v>235</v>
      </c>
      <c r="AL31" s="168">
        <v>42097</v>
      </c>
      <c r="AM31" s="162">
        <v>232</v>
      </c>
      <c r="AN31" s="162">
        <v>11</v>
      </c>
      <c r="AO31" s="162">
        <v>113</v>
      </c>
      <c r="AP31" s="162">
        <v>60</v>
      </c>
      <c r="AQ31" s="162">
        <v>30</v>
      </c>
      <c r="AR31" s="163">
        <v>167</v>
      </c>
      <c r="AS31" s="162">
        <v>7</v>
      </c>
      <c r="AT31" s="169">
        <v>8.4793936522974906</v>
      </c>
      <c r="AU31" s="162">
        <v>38</v>
      </c>
      <c r="AV31" s="163">
        <v>1</v>
      </c>
      <c r="AW31" s="162">
        <v>1</v>
      </c>
      <c r="AX31" s="162" t="s">
        <v>615</v>
      </c>
      <c r="AY31" s="162">
        <v>999999</v>
      </c>
      <c r="AZ31" s="170">
        <v>0</v>
      </c>
      <c r="BA31" s="162">
        <v>14</v>
      </c>
      <c r="BB31" s="168">
        <v>43230</v>
      </c>
      <c r="BC31" s="162">
        <v>189</v>
      </c>
      <c r="BD31" s="171">
        <v>42853</v>
      </c>
      <c r="BE31" s="162">
        <v>37</v>
      </c>
      <c r="BF31" s="163">
        <v>1</v>
      </c>
      <c r="BG31" s="162">
        <v>1</v>
      </c>
      <c r="BH31" s="162">
        <v>2</v>
      </c>
      <c r="BI31" s="162">
        <v>68</v>
      </c>
      <c r="BJ31" s="162">
        <v>11</v>
      </c>
      <c r="BK31" s="162">
        <v>160</v>
      </c>
      <c r="BL31" s="161">
        <v>964511.40740740742</v>
      </c>
      <c r="BM31" s="162" t="str">
        <f t="shared" si="0"/>
        <v>15/283</v>
      </c>
      <c r="BN31" s="142"/>
    </row>
    <row r="32" spans="1:66" x14ac:dyDescent="0.25">
      <c r="A32" s="2">
        <v>540134</v>
      </c>
      <c r="B32" s="2" t="s">
        <v>217</v>
      </c>
      <c r="C32" s="2" t="s">
        <v>57</v>
      </c>
      <c r="D32" s="2" t="s">
        <v>612</v>
      </c>
      <c r="E32" s="2" t="s">
        <v>616</v>
      </c>
      <c r="F32" s="2" t="s">
        <v>613</v>
      </c>
      <c r="G32" s="2">
        <v>3</v>
      </c>
      <c r="H32" s="2">
        <v>0</v>
      </c>
      <c r="I32" s="2">
        <v>2</v>
      </c>
      <c r="J32" s="2">
        <v>0.4</v>
      </c>
      <c r="K32" s="2">
        <v>269</v>
      </c>
      <c r="L32" s="55">
        <v>0</v>
      </c>
      <c r="M32" s="2">
        <v>118</v>
      </c>
      <c r="N32" s="2">
        <v>8</v>
      </c>
      <c r="O32" s="2">
        <v>5</v>
      </c>
      <c r="P32" s="156">
        <v>347144</v>
      </c>
      <c r="Q32" s="2">
        <v>114</v>
      </c>
      <c r="R32" s="157">
        <v>2.8587882360000001</v>
      </c>
      <c r="S32" s="2">
        <v>20</v>
      </c>
      <c r="T32" s="158">
        <v>0.91</v>
      </c>
      <c r="U32" s="2">
        <v>70</v>
      </c>
      <c r="V32" s="55">
        <v>5</v>
      </c>
      <c r="W32" s="2">
        <v>121</v>
      </c>
      <c r="X32" s="55">
        <v>37</v>
      </c>
      <c r="Y32" s="2">
        <v>115</v>
      </c>
      <c r="Z32" s="2">
        <v>17</v>
      </c>
      <c r="AA32" s="2">
        <v>10</v>
      </c>
      <c r="AB32" s="2">
        <v>4</v>
      </c>
      <c r="AC32" s="2">
        <v>139</v>
      </c>
      <c r="AD32" s="105">
        <v>20</v>
      </c>
      <c r="AE32" s="2">
        <v>117</v>
      </c>
      <c r="AF32" s="55">
        <v>2</v>
      </c>
      <c r="AG32" s="2">
        <v>164</v>
      </c>
      <c r="AH32" s="55">
        <v>0</v>
      </c>
      <c r="AI32" s="2">
        <v>135</v>
      </c>
      <c r="AJ32" s="55">
        <v>0.71279999999999999</v>
      </c>
      <c r="AK32" s="2">
        <v>235</v>
      </c>
      <c r="AL32" s="30">
        <v>42097</v>
      </c>
      <c r="AM32" s="2">
        <v>232</v>
      </c>
      <c r="AN32" s="2">
        <v>11</v>
      </c>
      <c r="AO32" s="2">
        <v>113</v>
      </c>
      <c r="AP32" s="2">
        <v>4</v>
      </c>
      <c r="AQ32" s="2">
        <v>139</v>
      </c>
      <c r="AR32" s="55">
        <v>2</v>
      </c>
      <c r="AS32" s="2">
        <v>164</v>
      </c>
      <c r="AT32" s="159">
        <v>0</v>
      </c>
      <c r="AU32" s="2">
        <v>81</v>
      </c>
      <c r="AV32" s="55">
        <v>1</v>
      </c>
      <c r="AW32" s="2">
        <v>1</v>
      </c>
      <c r="AX32" s="2" t="s">
        <v>615</v>
      </c>
      <c r="AY32" s="2">
        <v>999999</v>
      </c>
      <c r="AZ32" s="106">
        <v>0</v>
      </c>
      <c r="BA32" s="2">
        <v>14</v>
      </c>
      <c r="BB32" s="30">
        <v>43230</v>
      </c>
      <c r="BC32" s="2">
        <v>189</v>
      </c>
      <c r="BD32" s="160">
        <v>42417</v>
      </c>
      <c r="BE32" s="2">
        <v>35</v>
      </c>
      <c r="BF32" s="55">
        <v>1</v>
      </c>
      <c r="BG32" s="2">
        <v>1</v>
      </c>
      <c r="BH32" s="2">
        <v>0</v>
      </c>
      <c r="BI32" s="2">
        <v>239</v>
      </c>
      <c r="BJ32" s="2">
        <v>11</v>
      </c>
      <c r="BK32" s="2">
        <v>160</v>
      </c>
      <c r="BL32" s="161">
        <v>965850.88888888888</v>
      </c>
      <c r="BM32" s="2" t="str">
        <f t="shared" si="0"/>
        <v>139/283</v>
      </c>
      <c r="BN32" s="142"/>
    </row>
    <row r="33" spans="1:66" x14ac:dyDescent="0.25">
      <c r="A33" s="2">
        <v>540135</v>
      </c>
      <c r="B33" s="2" t="s">
        <v>218</v>
      </c>
      <c r="C33" s="2" t="s">
        <v>57</v>
      </c>
      <c r="D33" s="2" t="s">
        <v>612</v>
      </c>
      <c r="E33" s="2" t="s">
        <v>616</v>
      </c>
      <c r="F33" s="2" t="s">
        <v>613</v>
      </c>
      <c r="G33" s="2">
        <v>3</v>
      </c>
      <c r="H33" s="2">
        <v>0</v>
      </c>
      <c r="I33" s="2">
        <v>2</v>
      </c>
      <c r="J33" s="2">
        <v>0.4</v>
      </c>
      <c r="K33" s="2">
        <v>269</v>
      </c>
      <c r="L33" s="55">
        <v>12</v>
      </c>
      <c r="M33" s="2">
        <v>30</v>
      </c>
      <c r="N33" s="2">
        <v>8</v>
      </c>
      <c r="O33" s="2">
        <v>5</v>
      </c>
      <c r="P33" s="156">
        <v>2229470</v>
      </c>
      <c r="Q33" s="2">
        <v>41</v>
      </c>
      <c r="R33" s="157">
        <v>2.8587882360000001</v>
      </c>
      <c r="S33" s="2">
        <v>20</v>
      </c>
      <c r="T33" s="158">
        <v>0.91</v>
      </c>
      <c r="U33" s="2">
        <v>70</v>
      </c>
      <c r="V33" s="55">
        <v>1</v>
      </c>
      <c r="W33" s="2">
        <v>197</v>
      </c>
      <c r="X33" s="55">
        <v>48</v>
      </c>
      <c r="Y33" s="2">
        <v>92</v>
      </c>
      <c r="Z33" s="2">
        <v>17</v>
      </c>
      <c r="AA33" s="2">
        <v>10</v>
      </c>
      <c r="AB33" s="2">
        <v>1</v>
      </c>
      <c r="AC33" s="2">
        <v>186</v>
      </c>
      <c r="AD33" s="105">
        <v>11</v>
      </c>
      <c r="AE33" s="2">
        <v>147</v>
      </c>
      <c r="AF33" s="55">
        <v>12</v>
      </c>
      <c r="AG33" s="2">
        <v>94</v>
      </c>
      <c r="AH33" s="55">
        <v>0</v>
      </c>
      <c r="AI33" s="2">
        <v>135</v>
      </c>
      <c r="AJ33" s="55">
        <v>0.71279999999999999</v>
      </c>
      <c r="AK33" s="2">
        <v>235</v>
      </c>
      <c r="AL33" s="30">
        <v>42097</v>
      </c>
      <c r="AM33" s="2">
        <v>232</v>
      </c>
      <c r="AN33" s="2">
        <v>11</v>
      </c>
      <c r="AO33" s="2">
        <v>113</v>
      </c>
      <c r="AP33" s="2">
        <v>1</v>
      </c>
      <c r="AQ33" s="2">
        <v>186</v>
      </c>
      <c r="AR33" s="55">
        <v>12</v>
      </c>
      <c r="AS33" s="2">
        <v>94</v>
      </c>
      <c r="AT33" s="159">
        <v>0</v>
      </c>
      <c r="AU33" s="2">
        <v>81</v>
      </c>
      <c r="AV33" s="55">
        <v>1</v>
      </c>
      <c r="AW33" s="2">
        <v>1</v>
      </c>
      <c r="AX33" s="2" t="s">
        <v>615</v>
      </c>
      <c r="AY33" s="2">
        <v>999999</v>
      </c>
      <c r="AZ33" s="106">
        <v>0</v>
      </c>
      <c r="BA33" s="2">
        <v>14</v>
      </c>
      <c r="BB33" s="30">
        <v>43231</v>
      </c>
      <c r="BC33" s="2">
        <v>193</v>
      </c>
      <c r="BD33" s="160">
        <v>42417</v>
      </c>
      <c r="BE33" s="2">
        <v>35</v>
      </c>
      <c r="BF33" s="55">
        <v>1</v>
      </c>
      <c r="BG33" s="2">
        <v>1</v>
      </c>
      <c r="BH33" s="2">
        <v>0</v>
      </c>
      <c r="BI33" s="2">
        <v>239</v>
      </c>
      <c r="BJ33" s="2">
        <v>11</v>
      </c>
      <c r="BK33" s="2">
        <v>160</v>
      </c>
      <c r="BL33" s="161">
        <v>965735.33333333337</v>
      </c>
      <c r="BM33" s="2" t="str">
        <f t="shared" si="0"/>
        <v>126/283</v>
      </c>
      <c r="BN33" s="142"/>
    </row>
    <row r="34" spans="1:66" x14ac:dyDescent="0.25">
      <c r="A34" s="2">
        <v>540136</v>
      </c>
      <c r="B34" s="2" t="s">
        <v>219</v>
      </c>
      <c r="C34" s="2" t="s">
        <v>57</v>
      </c>
      <c r="D34" s="2" t="s">
        <v>612</v>
      </c>
      <c r="E34" s="2" t="s">
        <v>616</v>
      </c>
      <c r="F34" s="2" t="s">
        <v>613</v>
      </c>
      <c r="G34" s="2">
        <v>3</v>
      </c>
      <c r="H34" s="2">
        <v>0</v>
      </c>
      <c r="I34" s="2">
        <v>2</v>
      </c>
      <c r="J34" s="2">
        <v>0.4</v>
      </c>
      <c r="K34" s="2">
        <v>269</v>
      </c>
      <c r="L34" s="55">
        <v>2</v>
      </c>
      <c r="M34" s="2">
        <v>84</v>
      </c>
      <c r="N34" s="2">
        <v>8</v>
      </c>
      <c r="O34" s="2">
        <v>5</v>
      </c>
      <c r="P34" s="156">
        <v>452214</v>
      </c>
      <c r="Q34" s="2">
        <v>103</v>
      </c>
      <c r="R34" s="157">
        <v>2.8587882360000001</v>
      </c>
      <c r="S34" s="2">
        <v>20</v>
      </c>
      <c r="T34" s="158">
        <v>0.91</v>
      </c>
      <c r="U34" s="2">
        <v>70</v>
      </c>
      <c r="V34" s="55">
        <v>1</v>
      </c>
      <c r="W34" s="2">
        <v>197</v>
      </c>
      <c r="X34" s="55">
        <v>32</v>
      </c>
      <c r="Y34" s="2">
        <v>121</v>
      </c>
      <c r="Z34" s="2">
        <v>17</v>
      </c>
      <c r="AA34" s="2">
        <v>10</v>
      </c>
      <c r="AB34" s="2">
        <v>5</v>
      </c>
      <c r="AC34" s="2">
        <v>129</v>
      </c>
      <c r="AD34" s="105">
        <v>24</v>
      </c>
      <c r="AE34" s="2">
        <v>108</v>
      </c>
      <c r="AF34" s="55">
        <v>7</v>
      </c>
      <c r="AG34" s="2">
        <v>121</v>
      </c>
      <c r="AH34" s="55">
        <v>0</v>
      </c>
      <c r="AI34" s="2">
        <v>135</v>
      </c>
      <c r="AJ34" s="55">
        <v>0.71279999999999999</v>
      </c>
      <c r="AK34" s="2">
        <v>235</v>
      </c>
      <c r="AL34" s="30">
        <v>42097</v>
      </c>
      <c r="AM34" s="2">
        <v>232</v>
      </c>
      <c r="AN34" s="2">
        <v>11</v>
      </c>
      <c r="AO34" s="2">
        <v>113</v>
      </c>
      <c r="AP34" s="2">
        <v>5</v>
      </c>
      <c r="AQ34" s="2">
        <v>129</v>
      </c>
      <c r="AR34" s="55">
        <v>7</v>
      </c>
      <c r="AS34" s="2">
        <v>121</v>
      </c>
      <c r="AT34" s="159">
        <v>0</v>
      </c>
      <c r="AU34" s="2">
        <v>81</v>
      </c>
      <c r="AV34" s="55">
        <v>1</v>
      </c>
      <c r="AW34" s="2">
        <v>1</v>
      </c>
      <c r="AX34" s="2" t="s">
        <v>615</v>
      </c>
      <c r="AY34" s="2">
        <v>999999</v>
      </c>
      <c r="AZ34" s="106">
        <v>0</v>
      </c>
      <c r="BA34" s="2">
        <v>14</v>
      </c>
      <c r="BB34" s="30">
        <v>43230</v>
      </c>
      <c r="BC34" s="2">
        <v>189</v>
      </c>
      <c r="BD34" s="160">
        <v>42417</v>
      </c>
      <c r="BE34" s="2">
        <v>35</v>
      </c>
      <c r="BF34" s="55">
        <v>1</v>
      </c>
      <c r="BG34" s="2">
        <v>1</v>
      </c>
      <c r="BH34" s="2">
        <v>1</v>
      </c>
      <c r="BI34" s="2">
        <v>151</v>
      </c>
      <c r="BJ34" s="2">
        <v>11</v>
      </c>
      <c r="BK34" s="2">
        <v>160</v>
      </c>
      <c r="BL34" s="161">
        <v>965691.03703703708</v>
      </c>
      <c r="BM34" s="2" t="str">
        <f t="shared" si="0"/>
        <v>117/283</v>
      </c>
      <c r="BN34" s="142"/>
    </row>
    <row r="35" spans="1:66" x14ac:dyDescent="0.25">
      <c r="A35" s="2">
        <v>545538</v>
      </c>
      <c r="B35" s="2" t="s">
        <v>334</v>
      </c>
      <c r="C35" s="2" t="s">
        <v>57</v>
      </c>
      <c r="D35" s="2" t="s">
        <v>612</v>
      </c>
      <c r="E35" s="2" t="s">
        <v>616</v>
      </c>
      <c r="F35" s="2" t="s">
        <v>613</v>
      </c>
      <c r="G35" s="2">
        <v>3</v>
      </c>
      <c r="H35" s="2">
        <v>0</v>
      </c>
      <c r="I35" s="2">
        <v>2</v>
      </c>
      <c r="J35" s="2">
        <v>0.4</v>
      </c>
      <c r="K35" s="2">
        <v>269</v>
      </c>
      <c r="L35" s="55">
        <v>0</v>
      </c>
      <c r="M35" s="2">
        <v>118</v>
      </c>
      <c r="N35" s="2">
        <v>8</v>
      </c>
      <c r="O35" s="2">
        <v>5</v>
      </c>
      <c r="P35" s="156">
        <v>2617150</v>
      </c>
      <c r="Q35" s="2">
        <v>33</v>
      </c>
      <c r="R35" s="157">
        <v>2.8587882360000001</v>
      </c>
      <c r="S35" s="2">
        <v>20</v>
      </c>
      <c r="T35" s="158">
        <v>0.91</v>
      </c>
      <c r="U35" s="2">
        <v>70</v>
      </c>
      <c r="V35" s="55">
        <v>6</v>
      </c>
      <c r="W35" s="2">
        <v>113</v>
      </c>
      <c r="X35" s="55">
        <v>138</v>
      </c>
      <c r="Y35" s="2">
        <v>57</v>
      </c>
      <c r="Z35" s="2">
        <v>17</v>
      </c>
      <c r="AA35" s="2">
        <v>10</v>
      </c>
      <c r="AB35" s="2">
        <v>3</v>
      </c>
      <c r="AC35" s="2">
        <v>149</v>
      </c>
      <c r="AD35" s="105">
        <v>14</v>
      </c>
      <c r="AE35" s="2">
        <v>133</v>
      </c>
      <c r="AF35" s="55">
        <v>3</v>
      </c>
      <c r="AG35" s="2">
        <v>152</v>
      </c>
      <c r="AH35" s="55">
        <v>0</v>
      </c>
      <c r="AI35" s="2">
        <v>135</v>
      </c>
      <c r="AJ35" s="55">
        <v>0.71279999999999999</v>
      </c>
      <c r="AK35" s="2">
        <v>235</v>
      </c>
      <c r="AL35" s="30">
        <v>42097</v>
      </c>
      <c r="AM35" s="2">
        <v>232</v>
      </c>
      <c r="AN35" s="2">
        <v>11</v>
      </c>
      <c r="AO35" s="2">
        <v>113</v>
      </c>
      <c r="AP35" s="2">
        <v>3</v>
      </c>
      <c r="AQ35" s="2">
        <v>149</v>
      </c>
      <c r="AR35" s="55">
        <v>3</v>
      </c>
      <c r="AS35" s="2">
        <v>152</v>
      </c>
      <c r="AT35" s="159">
        <v>0</v>
      </c>
      <c r="AU35" s="2">
        <v>81</v>
      </c>
      <c r="AV35" s="55">
        <v>1</v>
      </c>
      <c r="AW35" s="2">
        <v>1</v>
      </c>
      <c r="AX35" s="2" t="s">
        <v>615</v>
      </c>
      <c r="AY35" s="2">
        <v>999999</v>
      </c>
      <c r="AZ35" s="106">
        <v>0</v>
      </c>
      <c r="BA35" s="2">
        <v>14</v>
      </c>
      <c r="BB35" s="30">
        <v>43231</v>
      </c>
      <c r="BC35" s="2">
        <v>193</v>
      </c>
      <c r="BD35" s="160">
        <v>42417</v>
      </c>
      <c r="BE35" s="2">
        <v>35</v>
      </c>
      <c r="BF35" s="55">
        <v>1</v>
      </c>
      <c r="BG35" s="2">
        <v>1</v>
      </c>
      <c r="BH35" s="2">
        <v>0</v>
      </c>
      <c r="BI35" s="2">
        <v>239</v>
      </c>
      <c r="BJ35" s="2">
        <v>11</v>
      </c>
      <c r="BK35" s="2">
        <v>160</v>
      </c>
      <c r="BL35" s="161">
        <v>965724.74074074067</v>
      </c>
      <c r="BM35" s="2" t="str">
        <f t="shared" si="0"/>
        <v>121/283</v>
      </c>
      <c r="BN35" s="142"/>
    </row>
    <row r="36" spans="1:66" x14ac:dyDescent="0.25">
      <c r="A36" s="2">
        <v>540138</v>
      </c>
      <c r="B36" s="2" t="s">
        <v>221</v>
      </c>
      <c r="C36" s="2" t="s">
        <v>57</v>
      </c>
      <c r="D36" s="2" t="s">
        <v>612</v>
      </c>
      <c r="E36" s="2" t="s">
        <v>616</v>
      </c>
      <c r="F36" s="2" t="s">
        <v>613</v>
      </c>
      <c r="G36" s="2">
        <v>3</v>
      </c>
      <c r="H36" s="2">
        <v>0</v>
      </c>
      <c r="I36" s="2">
        <v>2</v>
      </c>
      <c r="J36" s="2">
        <v>0.4</v>
      </c>
      <c r="K36" s="2">
        <v>269</v>
      </c>
      <c r="L36" s="55">
        <v>0</v>
      </c>
      <c r="M36" s="2">
        <v>118</v>
      </c>
      <c r="N36" s="2">
        <v>8</v>
      </c>
      <c r="O36" s="2">
        <v>5</v>
      </c>
      <c r="P36" s="156">
        <v>11929533</v>
      </c>
      <c r="Q36" s="2">
        <v>6</v>
      </c>
      <c r="R36" s="157">
        <v>2.8587882360000001</v>
      </c>
      <c r="S36" s="2">
        <v>20</v>
      </c>
      <c r="T36" s="158">
        <v>0.91</v>
      </c>
      <c r="U36" s="2">
        <v>70</v>
      </c>
      <c r="V36" s="55">
        <v>13</v>
      </c>
      <c r="W36" s="2">
        <v>82</v>
      </c>
      <c r="X36" s="55">
        <v>529</v>
      </c>
      <c r="Y36" s="2">
        <v>9</v>
      </c>
      <c r="Z36" s="2">
        <v>17</v>
      </c>
      <c r="AA36" s="2">
        <v>10</v>
      </c>
      <c r="AB36" s="2">
        <v>4</v>
      </c>
      <c r="AC36" s="2">
        <v>139</v>
      </c>
      <c r="AD36" s="105">
        <v>26</v>
      </c>
      <c r="AE36" s="2">
        <v>103</v>
      </c>
      <c r="AF36" s="55">
        <v>30</v>
      </c>
      <c r="AG36" s="2">
        <v>56</v>
      </c>
      <c r="AH36" s="55">
        <v>237</v>
      </c>
      <c r="AI36" s="2">
        <v>91</v>
      </c>
      <c r="AJ36" s="55">
        <v>0.71279999999999999</v>
      </c>
      <c r="AK36" s="2">
        <v>235</v>
      </c>
      <c r="AL36" s="30">
        <v>42097</v>
      </c>
      <c r="AM36" s="2">
        <v>232</v>
      </c>
      <c r="AN36" s="2">
        <v>11</v>
      </c>
      <c r="AO36" s="2">
        <v>113</v>
      </c>
      <c r="AP36" s="2">
        <v>4</v>
      </c>
      <c r="AQ36" s="2">
        <v>139</v>
      </c>
      <c r="AR36" s="55">
        <v>30</v>
      </c>
      <c r="AS36" s="2">
        <v>56</v>
      </c>
      <c r="AT36" s="159">
        <v>3.3755274261603372</v>
      </c>
      <c r="AU36" s="2">
        <v>61</v>
      </c>
      <c r="AV36" s="55">
        <v>1</v>
      </c>
      <c r="AW36" s="2">
        <v>1</v>
      </c>
      <c r="AX36" s="2" t="s">
        <v>615</v>
      </c>
      <c r="AY36" s="2">
        <v>999999</v>
      </c>
      <c r="AZ36" s="106">
        <v>0</v>
      </c>
      <c r="BA36" s="2">
        <v>14</v>
      </c>
      <c r="BB36" s="30">
        <v>43230</v>
      </c>
      <c r="BC36" s="2">
        <v>189</v>
      </c>
      <c r="BD36" s="160">
        <v>42417</v>
      </c>
      <c r="BE36" s="2">
        <v>35</v>
      </c>
      <c r="BF36" s="55">
        <v>1</v>
      </c>
      <c r="BG36" s="2">
        <v>1</v>
      </c>
      <c r="BH36" s="2">
        <v>1</v>
      </c>
      <c r="BI36" s="2">
        <v>151</v>
      </c>
      <c r="BJ36" s="2">
        <v>11</v>
      </c>
      <c r="BK36" s="2">
        <v>160</v>
      </c>
      <c r="BL36" s="161">
        <v>965239.40740740742</v>
      </c>
      <c r="BM36" s="2" t="str">
        <f t="shared" si="0"/>
        <v>63/283</v>
      </c>
      <c r="BN36" s="142"/>
    </row>
    <row r="37" spans="1:66" x14ac:dyDescent="0.25">
      <c r="A37" s="162">
        <v>540225</v>
      </c>
      <c r="B37" s="162" t="s">
        <v>98</v>
      </c>
      <c r="C37" s="162" t="s">
        <v>99</v>
      </c>
      <c r="D37" s="162" t="s">
        <v>617</v>
      </c>
      <c r="E37" s="162" t="s">
        <v>616</v>
      </c>
      <c r="F37" s="162" t="s">
        <v>613</v>
      </c>
      <c r="G37" s="162">
        <v>3</v>
      </c>
      <c r="H37" s="162">
        <v>0</v>
      </c>
      <c r="I37" s="162">
        <v>2</v>
      </c>
      <c r="J37" s="162">
        <v>5.6</v>
      </c>
      <c r="K37" s="162">
        <v>191</v>
      </c>
      <c r="L37" s="163">
        <v>0</v>
      </c>
      <c r="M37" s="162">
        <v>118</v>
      </c>
      <c r="N37" s="162">
        <v>8</v>
      </c>
      <c r="O37" s="162">
        <v>5</v>
      </c>
      <c r="P37" s="164">
        <v>465607</v>
      </c>
      <c r="Q37" s="162">
        <v>102</v>
      </c>
      <c r="R37" s="165">
        <v>0.149243029</v>
      </c>
      <c r="S37" s="162">
        <v>129</v>
      </c>
      <c r="T37" s="166">
        <v>0.92999999999999994</v>
      </c>
      <c r="U37" s="162">
        <v>38</v>
      </c>
      <c r="V37" s="163">
        <v>11</v>
      </c>
      <c r="W37" s="162">
        <v>88</v>
      </c>
      <c r="X37" s="163">
        <v>39</v>
      </c>
      <c r="Y37" s="162">
        <v>113</v>
      </c>
      <c r="Z37" s="162">
        <v>8</v>
      </c>
      <c r="AA37" s="162">
        <v>243</v>
      </c>
      <c r="AB37" s="162">
        <v>7</v>
      </c>
      <c r="AC37" s="162">
        <v>120</v>
      </c>
      <c r="AD37" s="167">
        <v>27</v>
      </c>
      <c r="AE37" s="162">
        <v>101</v>
      </c>
      <c r="AF37" s="163">
        <v>10</v>
      </c>
      <c r="AG37" s="162">
        <v>108</v>
      </c>
      <c r="AH37" s="163">
        <v>1077</v>
      </c>
      <c r="AI37" s="162">
        <v>50</v>
      </c>
      <c r="AJ37" s="163">
        <v>0.42380000000000001</v>
      </c>
      <c r="AK37" s="162">
        <v>104</v>
      </c>
      <c r="AL37" s="168">
        <v>43145</v>
      </c>
      <c r="AM37" s="162">
        <v>26</v>
      </c>
      <c r="AN37" s="162">
        <v>0</v>
      </c>
      <c r="AO37" s="162">
        <v>1</v>
      </c>
      <c r="AP37" s="162">
        <v>7</v>
      </c>
      <c r="AQ37" s="162">
        <v>120</v>
      </c>
      <c r="AR37" s="163">
        <v>10</v>
      </c>
      <c r="AS37" s="162">
        <v>108</v>
      </c>
      <c r="AT37" s="169">
        <v>12.720519962859797</v>
      </c>
      <c r="AU37" s="162">
        <v>17</v>
      </c>
      <c r="AV37" s="163">
        <v>1</v>
      </c>
      <c r="AW37" s="162">
        <v>1</v>
      </c>
      <c r="AX37" s="162" t="s">
        <v>615</v>
      </c>
      <c r="AY37" s="162">
        <v>999999</v>
      </c>
      <c r="AZ37" s="170">
        <v>0</v>
      </c>
      <c r="BA37" s="162">
        <v>14</v>
      </c>
      <c r="BB37" s="168">
        <v>43018</v>
      </c>
      <c r="BC37" s="162">
        <v>143</v>
      </c>
      <c r="BD37" s="171">
        <v>41806</v>
      </c>
      <c r="BE37" s="162">
        <v>1</v>
      </c>
      <c r="BF37" s="163">
        <v>0</v>
      </c>
      <c r="BG37" s="162">
        <v>183</v>
      </c>
      <c r="BH37" s="162">
        <v>1</v>
      </c>
      <c r="BI37" s="162">
        <v>151</v>
      </c>
      <c r="BJ37" s="162">
        <v>0</v>
      </c>
      <c r="BK37" s="162">
        <v>249</v>
      </c>
      <c r="BL37" s="161">
        <v>965392.51851851842</v>
      </c>
      <c r="BM37" s="162" t="str">
        <f t="shared" si="0"/>
        <v>87/283</v>
      </c>
      <c r="BN37" s="142"/>
    </row>
    <row r="38" spans="1:66" x14ac:dyDescent="0.25">
      <c r="A38" s="2">
        <v>540162</v>
      </c>
      <c r="B38" s="2" t="s">
        <v>236</v>
      </c>
      <c r="C38" s="2" t="s">
        <v>69</v>
      </c>
      <c r="D38" s="2" t="s">
        <v>612</v>
      </c>
      <c r="E38" s="2" t="s">
        <v>616</v>
      </c>
      <c r="F38" s="2" t="s">
        <v>613</v>
      </c>
      <c r="G38" s="2">
        <v>3</v>
      </c>
      <c r="H38" s="2">
        <v>0</v>
      </c>
      <c r="I38" s="2">
        <v>2</v>
      </c>
      <c r="J38" s="2">
        <v>2.8</v>
      </c>
      <c r="K38" s="2">
        <v>226</v>
      </c>
      <c r="L38" s="55">
        <v>0</v>
      </c>
      <c r="M38" s="2">
        <v>118</v>
      </c>
      <c r="N38" s="2">
        <v>8</v>
      </c>
      <c r="O38" s="2">
        <v>5</v>
      </c>
      <c r="P38" s="156">
        <v>23740</v>
      </c>
      <c r="Q38" s="2">
        <v>208</v>
      </c>
      <c r="R38" s="157">
        <v>0.79634212299999996</v>
      </c>
      <c r="S38" s="2">
        <v>60</v>
      </c>
      <c r="T38" s="158">
        <v>0.9</v>
      </c>
      <c r="U38" s="2">
        <v>107</v>
      </c>
      <c r="V38" s="55">
        <v>1</v>
      </c>
      <c r="W38" s="2">
        <v>197</v>
      </c>
      <c r="X38" s="55">
        <v>4</v>
      </c>
      <c r="Y38" s="2">
        <v>211</v>
      </c>
      <c r="Z38" s="2">
        <v>11</v>
      </c>
      <c r="AA38" s="2">
        <v>155</v>
      </c>
      <c r="AB38" s="2">
        <v>1</v>
      </c>
      <c r="AC38" s="2">
        <v>186</v>
      </c>
      <c r="AD38" s="105">
        <v>3</v>
      </c>
      <c r="AE38" s="2">
        <v>213</v>
      </c>
      <c r="AF38" s="55">
        <v>0</v>
      </c>
      <c r="AG38" s="2">
        <v>184</v>
      </c>
      <c r="AH38" s="55">
        <v>0</v>
      </c>
      <c r="AI38" s="2">
        <v>135</v>
      </c>
      <c r="AJ38" s="55">
        <v>0.49469999999999997</v>
      </c>
      <c r="AK38" s="2">
        <v>145</v>
      </c>
      <c r="AL38" s="30">
        <v>43145</v>
      </c>
      <c r="AM38" s="2">
        <v>26</v>
      </c>
      <c r="AN38" s="2">
        <v>1</v>
      </c>
      <c r="AO38" s="2">
        <v>36</v>
      </c>
      <c r="AP38" s="2">
        <v>1</v>
      </c>
      <c r="AQ38" s="2">
        <v>186</v>
      </c>
      <c r="AR38" s="55">
        <v>0</v>
      </c>
      <c r="AS38" s="2">
        <v>184</v>
      </c>
      <c r="AT38" s="159">
        <v>0</v>
      </c>
      <c r="AU38" s="2">
        <v>81</v>
      </c>
      <c r="AV38" s="55">
        <v>1</v>
      </c>
      <c r="AW38" s="2">
        <v>1</v>
      </c>
      <c r="AX38" s="2" t="s">
        <v>615</v>
      </c>
      <c r="AY38" s="2">
        <v>999999</v>
      </c>
      <c r="AZ38" s="106">
        <v>0</v>
      </c>
      <c r="BA38" s="2">
        <v>14</v>
      </c>
      <c r="BB38" s="30">
        <v>43026</v>
      </c>
      <c r="BC38" s="2">
        <v>152</v>
      </c>
      <c r="BD38" s="160">
        <v>41806</v>
      </c>
      <c r="BE38" s="2">
        <v>1</v>
      </c>
      <c r="BF38" s="55">
        <v>0</v>
      </c>
      <c r="BG38" s="2">
        <v>183</v>
      </c>
      <c r="BH38" s="2">
        <v>2</v>
      </c>
      <c r="BI38" s="2">
        <v>68</v>
      </c>
      <c r="BJ38" s="2">
        <v>1</v>
      </c>
      <c r="BK38" s="2">
        <v>231</v>
      </c>
      <c r="BL38" s="161">
        <v>966152.29629629618</v>
      </c>
      <c r="BM38" s="2" t="str">
        <f t="shared" si="0"/>
        <v>189/283</v>
      </c>
      <c r="BN38" s="142"/>
    </row>
    <row r="39" spans="1:66" x14ac:dyDescent="0.25">
      <c r="A39" s="2">
        <v>540271</v>
      </c>
      <c r="B39" s="2" t="s">
        <v>314</v>
      </c>
      <c r="C39" s="2" t="s">
        <v>71</v>
      </c>
      <c r="D39" s="2" t="s">
        <v>612</v>
      </c>
      <c r="E39" s="2" t="s">
        <v>616</v>
      </c>
      <c r="F39" s="2" t="s">
        <v>613</v>
      </c>
      <c r="G39" s="2">
        <v>3</v>
      </c>
      <c r="H39" s="2">
        <v>0</v>
      </c>
      <c r="I39" s="2">
        <v>2</v>
      </c>
      <c r="J39" s="2">
        <v>107</v>
      </c>
      <c r="K39" s="2">
        <v>18</v>
      </c>
      <c r="L39" s="55">
        <v>0</v>
      </c>
      <c r="M39" s="2">
        <v>118</v>
      </c>
      <c r="N39" s="2">
        <v>8</v>
      </c>
      <c r="O39" s="2">
        <v>5</v>
      </c>
      <c r="P39" s="156">
        <v>14742</v>
      </c>
      <c r="Q39" s="2">
        <v>217</v>
      </c>
      <c r="R39" s="157">
        <v>0.40393937000000002</v>
      </c>
      <c r="S39" s="2">
        <v>95</v>
      </c>
      <c r="T39" s="158">
        <v>0.86</v>
      </c>
      <c r="U39" s="2">
        <v>191</v>
      </c>
      <c r="V39" s="55">
        <v>34</v>
      </c>
      <c r="W39" s="2">
        <v>47</v>
      </c>
      <c r="X39" s="55">
        <v>4</v>
      </c>
      <c r="Y39" s="2">
        <v>211</v>
      </c>
      <c r="Z39" s="2">
        <v>12</v>
      </c>
      <c r="AA39" s="2">
        <v>133</v>
      </c>
      <c r="AB39" s="2">
        <v>2</v>
      </c>
      <c r="AC39" s="2">
        <v>168</v>
      </c>
      <c r="AD39" s="105">
        <v>44</v>
      </c>
      <c r="AE39" s="2">
        <v>80</v>
      </c>
      <c r="AF39" s="55">
        <v>0</v>
      </c>
      <c r="AG39" s="2">
        <v>184</v>
      </c>
      <c r="AH39" s="55">
        <v>217</v>
      </c>
      <c r="AI39" s="2">
        <v>97</v>
      </c>
      <c r="AJ39" s="55">
        <v>3.7199999999999997E-2</v>
      </c>
      <c r="AK39" s="2">
        <v>1</v>
      </c>
      <c r="AL39" s="30">
        <v>42066</v>
      </c>
      <c r="AM39" s="2">
        <v>243</v>
      </c>
      <c r="AN39" s="2">
        <v>10</v>
      </c>
      <c r="AO39" s="2">
        <v>103</v>
      </c>
      <c r="AP39" s="2">
        <v>2</v>
      </c>
      <c r="AQ39" s="2">
        <v>168</v>
      </c>
      <c r="AR39" s="55">
        <v>0</v>
      </c>
      <c r="AS39" s="2">
        <v>184</v>
      </c>
      <c r="AT39" s="159">
        <v>-7.8341013824884786</v>
      </c>
      <c r="AU39" s="2">
        <v>254</v>
      </c>
      <c r="AV39" s="55">
        <v>1</v>
      </c>
      <c r="AW39" s="2">
        <v>1</v>
      </c>
      <c r="AX39" s="2" t="s">
        <v>615</v>
      </c>
      <c r="AY39" s="2">
        <v>999999</v>
      </c>
      <c r="AZ39" s="106">
        <v>0</v>
      </c>
      <c r="BA39" s="2">
        <v>14</v>
      </c>
      <c r="BB39" s="30">
        <v>40374</v>
      </c>
      <c r="BC39" s="2">
        <v>59</v>
      </c>
      <c r="BD39" s="160">
        <v>43257</v>
      </c>
      <c r="BE39" s="2">
        <v>40</v>
      </c>
      <c r="BF39" s="55">
        <v>0</v>
      </c>
      <c r="BG39" s="2">
        <v>183</v>
      </c>
      <c r="BH39" s="2">
        <v>0</v>
      </c>
      <c r="BI39" s="2">
        <v>239</v>
      </c>
      <c r="BJ39" s="2">
        <v>10</v>
      </c>
      <c r="BK39" s="2">
        <v>172</v>
      </c>
      <c r="BL39" s="161">
        <v>966067.55555555562</v>
      </c>
      <c r="BM39" s="2" t="str">
        <f t="shared" si="0"/>
        <v>173/283</v>
      </c>
      <c r="BN39" s="142"/>
    </row>
    <row r="40" spans="1:66" x14ac:dyDescent="0.25">
      <c r="A40" s="2">
        <v>540286</v>
      </c>
      <c r="B40" s="2" t="s">
        <v>325</v>
      </c>
      <c r="C40" s="2" t="s">
        <v>73</v>
      </c>
      <c r="D40" s="2" t="s">
        <v>612</v>
      </c>
      <c r="E40" s="2" t="s">
        <v>616</v>
      </c>
      <c r="F40" s="2" t="s">
        <v>613</v>
      </c>
      <c r="G40" s="2">
        <v>3</v>
      </c>
      <c r="H40" s="2">
        <v>0</v>
      </c>
      <c r="I40" s="2">
        <v>2</v>
      </c>
      <c r="J40" s="2">
        <v>112.4</v>
      </c>
      <c r="K40" s="2">
        <v>12</v>
      </c>
      <c r="L40" s="55">
        <v>0</v>
      </c>
      <c r="M40" s="2">
        <v>118</v>
      </c>
      <c r="N40" s="2">
        <v>8</v>
      </c>
      <c r="O40" s="2">
        <v>5</v>
      </c>
      <c r="P40" s="156">
        <v>1109842</v>
      </c>
      <c r="Q40" s="2">
        <v>70</v>
      </c>
      <c r="R40" s="157">
        <v>-0.63161085699999997</v>
      </c>
      <c r="S40" s="2">
        <v>213</v>
      </c>
      <c r="T40" s="158">
        <v>0.92999999999999994</v>
      </c>
      <c r="U40" s="2">
        <v>38</v>
      </c>
      <c r="V40" s="55">
        <v>0</v>
      </c>
      <c r="W40" s="2">
        <v>230</v>
      </c>
      <c r="X40" s="55">
        <v>42</v>
      </c>
      <c r="Y40" s="2">
        <v>107</v>
      </c>
      <c r="Z40" s="2">
        <v>13</v>
      </c>
      <c r="AA40" s="2">
        <v>78</v>
      </c>
      <c r="AB40" s="2">
        <v>3</v>
      </c>
      <c r="AC40" s="2">
        <v>149</v>
      </c>
      <c r="AD40" s="105">
        <v>14</v>
      </c>
      <c r="AE40" s="2">
        <v>133</v>
      </c>
      <c r="AF40" s="55">
        <v>19</v>
      </c>
      <c r="AG40" s="2">
        <v>71</v>
      </c>
      <c r="AH40" s="55">
        <v>0</v>
      </c>
      <c r="AI40" s="2">
        <v>135</v>
      </c>
      <c r="AJ40" s="55">
        <v>0.77490000000000003</v>
      </c>
      <c r="AK40" s="2">
        <v>265</v>
      </c>
      <c r="AL40" s="30">
        <v>42066</v>
      </c>
      <c r="AM40" s="2">
        <v>243</v>
      </c>
      <c r="AN40" s="2">
        <v>55</v>
      </c>
      <c r="AO40" s="2">
        <v>231</v>
      </c>
      <c r="AP40" s="2">
        <v>3</v>
      </c>
      <c r="AQ40" s="2">
        <v>149</v>
      </c>
      <c r="AR40" s="55">
        <v>19</v>
      </c>
      <c r="AS40" s="2">
        <v>71</v>
      </c>
      <c r="AT40" s="159">
        <v>0</v>
      </c>
      <c r="AU40" s="2">
        <v>81</v>
      </c>
      <c r="AV40" s="55">
        <v>0</v>
      </c>
      <c r="AW40" s="2">
        <v>194</v>
      </c>
      <c r="AX40" s="2" t="s">
        <v>615</v>
      </c>
      <c r="AY40" s="2">
        <v>999999</v>
      </c>
      <c r="AZ40" s="106">
        <v>0</v>
      </c>
      <c r="BA40" s="2">
        <v>14</v>
      </c>
      <c r="BB40" s="30">
        <v>43411</v>
      </c>
      <c r="BC40" s="2">
        <v>231</v>
      </c>
      <c r="BD40" s="160">
        <v>41806</v>
      </c>
      <c r="BE40" s="2">
        <v>1</v>
      </c>
      <c r="BF40" s="55">
        <v>1</v>
      </c>
      <c r="BG40" s="2">
        <v>1</v>
      </c>
      <c r="BH40" s="2">
        <v>2</v>
      </c>
      <c r="BI40" s="2">
        <v>68</v>
      </c>
      <c r="BJ40" s="2">
        <v>55</v>
      </c>
      <c r="BK40" s="2">
        <v>48</v>
      </c>
      <c r="BL40" s="161">
        <v>965808.51851851842</v>
      </c>
      <c r="BM40" s="2" t="str">
        <f t="shared" si="0"/>
        <v>136/283</v>
      </c>
      <c r="BN40" s="142"/>
    </row>
    <row r="41" spans="1:66" x14ac:dyDescent="0.25">
      <c r="A41" s="162">
        <v>540175</v>
      </c>
      <c r="B41" s="162" t="s">
        <v>74</v>
      </c>
      <c r="C41" s="162" t="s">
        <v>75</v>
      </c>
      <c r="D41" s="162" t="s">
        <v>617</v>
      </c>
      <c r="E41" s="162" t="s">
        <v>616</v>
      </c>
      <c r="F41" s="162" t="s">
        <v>613</v>
      </c>
      <c r="G41" s="162">
        <v>3</v>
      </c>
      <c r="H41" s="162">
        <v>0</v>
      </c>
      <c r="I41" s="162">
        <v>2</v>
      </c>
      <c r="J41" s="162">
        <v>5</v>
      </c>
      <c r="K41" s="162">
        <v>197</v>
      </c>
      <c r="L41" s="163">
        <v>27</v>
      </c>
      <c r="M41" s="162">
        <v>12</v>
      </c>
      <c r="N41" s="162">
        <v>8</v>
      </c>
      <c r="O41" s="162">
        <v>5</v>
      </c>
      <c r="P41" s="164">
        <v>2787425</v>
      </c>
      <c r="Q41" s="162">
        <v>30</v>
      </c>
      <c r="R41" s="165">
        <v>-0.63248252199999999</v>
      </c>
      <c r="S41" s="162">
        <v>219</v>
      </c>
      <c r="T41" s="166">
        <v>0.9</v>
      </c>
      <c r="U41" s="162">
        <v>107</v>
      </c>
      <c r="V41" s="163">
        <v>126</v>
      </c>
      <c r="W41" s="162">
        <v>9</v>
      </c>
      <c r="X41" s="163">
        <v>286</v>
      </c>
      <c r="Y41" s="162">
        <v>21</v>
      </c>
      <c r="Z41" s="162">
        <v>11</v>
      </c>
      <c r="AA41" s="162">
        <v>155</v>
      </c>
      <c r="AB41" s="162">
        <v>63</v>
      </c>
      <c r="AC41" s="162">
        <v>28</v>
      </c>
      <c r="AD41" s="167">
        <v>159</v>
      </c>
      <c r="AE41" s="162">
        <v>26</v>
      </c>
      <c r="AF41" s="163">
        <v>104</v>
      </c>
      <c r="AG41" s="162">
        <v>12</v>
      </c>
      <c r="AH41" s="163">
        <v>2350</v>
      </c>
      <c r="AI41" s="162">
        <v>18</v>
      </c>
      <c r="AJ41" s="163">
        <v>0.54759999999999998</v>
      </c>
      <c r="AK41" s="162">
        <v>159</v>
      </c>
      <c r="AL41" s="168">
        <v>42944</v>
      </c>
      <c r="AM41" s="162">
        <v>135</v>
      </c>
      <c r="AN41" s="162">
        <v>47</v>
      </c>
      <c r="AO41" s="162">
        <v>203</v>
      </c>
      <c r="AP41" s="162">
        <v>63</v>
      </c>
      <c r="AQ41" s="162">
        <v>28</v>
      </c>
      <c r="AR41" s="163">
        <v>104</v>
      </c>
      <c r="AS41" s="162">
        <v>12</v>
      </c>
      <c r="AT41" s="169">
        <v>10.085106382978722</v>
      </c>
      <c r="AU41" s="162">
        <v>25</v>
      </c>
      <c r="AV41" s="163">
        <v>1</v>
      </c>
      <c r="AW41" s="162">
        <v>1</v>
      </c>
      <c r="AX41" s="162" t="s">
        <v>615</v>
      </c>
      <c r="AY41" s="162">
        <v>999999</v>
      </c>
      <c r="AZ41" s="170">
        <v>0</v>
      </c>
      <c r="BA41" s="162">
        <v>14</v>
      </c>
      <c r="BB41" s="168">
        <v>42996</v>
      </c>
      <c r="BC41" s="162">
        <v>135</v>
      </c>
      <c r="BD41" s="171">
        <v>41806</v>
      </c>
      <c r="BE41" s="162">
        <v>1</v>
      </c>
      <c r="BF41" s="163">
        <v>1</v>
      </c>
      <c r="BG41" s="162">
        <v>1</v>
      </c>
      <c r="BH41" s="162">
        <v>2</v>
      </c>
      <c r="BI41" s="162">
        <v>68</v>
      </c>
      <c r="BJ41" s="162">
        <v>47</v>
      </c>
      <c r="BK41" s="162">
        <v>72</v>
      </c>
      <c r="BL41" s="161">
        <v>964592.29629629606</v>
      </c>
      <c r="BM41" s="162" t="str">
        <f t="shared" si="0"/>
        <v>19/283</v>
      </c>
      <c r="BN41" s="142"/>
    </row>
    <row r="42" spans="1:66" x14ac:dyDescent="0.25">
      <c r="A42" s="2">
        <v>540265</v>
      </c>
      <c r="B42" s="2" t="s">
        <v>308</v>
      </c>
      <c r="C42" s="2" t="s">
        <v>75</v>
      </c>
      <c r="D42" s="2" t="s">
        <v>612</v>
      </c>
      <c r="E42" s="2" t="s">
        <v>616</v>
      </c>
      <c r="F42" s="2" t="s">
        <v>613</v>
      </c>
      <c r="G42" s="2">
        <v>3</v>
      </c>
      <c r="H42" s="2">
        <v>0</v>
      </c>
      <c r="I42" s="2">
        <v>2</v>
      </c>
      <c r="J42" s="2">
        <v>5</v>
      </c>
      <c r="K42" s="2">
        <v>197</v>
      </c>
      <c r="L42" s="55">
        <v>0</v>
      </c>
      <c r="M42" s="2">
        <v>118</v>
      </c>
      <c r="N42" s="2">
        <v>8</v>
      </c>
      <c r="O42" s="2">
        <v>5</v>
      </c>
      <c r="P42" s="156">
        <v>0</v>
      </c>
      <c r="Q42" s="2">
        <v>248</v>
      </c>
      <c r="R42" s="157">
        <v>-0.63248252199999999</v>
      </c>
      <c r="S42" s="2">
        <v>219</v>
      </c>
      <c r="T42" s="158">
        <v>0.9</v>
      </c>
      <c r="U42" s="2">
        <v>107</v>
      </c>
      <c r="V42" s="55">
        <v>6</v>
      </c>
      <c r="W42" s="2">
        <v>113</v>
      </c>
      <c r="X42" s="55">
        <v>0</v>
      </c>
      <c r="Y42" s="2">
        <v>256</v>
      </c>
      <c r="Z42" s="2">
        <v>11</v>
      </c>
      <c r="AA42" s="2">
        <v>155</v>
      </c>
      <c r="AB42" s="2">
        <v>2</v>
      </c>
      <c r="AC42" s="2">
        <v>168</v>
      </c>
      <c r="AD42" s="105">
        <v>3</v>
      </c>
      <c r="AE42" s="2">
        <v>213</v>
      </c>
      <c r="AF42" s="55">
        <v>0</v>
      </c>
      <c r="AG42" s="2">
        <v>184</v>
      </c>
      <c r="AH42" s="55">
        <v>0</v>
      </c>
      <c r="AI42" s="2">
        <v>135</v>
      </c>
      <c r="AJ42" s="55">
        <v>0.54759999999999998</v>
      </c>
      <c r="AK42" s="2">
        <v>159</v>
      </c>
      <c r="AL42" s="30">
        <v>42944</v>
      </c>
      <c r="AM42" s="2">
        <v>135</v>
      </c>
      <c r="AN42" s="2">
        <v>47</v>
      </c>
      <c r="AO42" s="2">
        <v>203</v>
      </c>
      <c r="AP42" s="2">
        <v>2</v>
      </c>
      <c r="AQ42" s="2">
        <v>168</v>
      </c>
      <c r="AR42" s="55">
        <v>0</v>
      </c>
      <c r="AS42" s="2">
        <v>184</v>
      </c>
      <c r="AT42" s="159">
        <v>0</v>
      </c>
      <c r="AU42" s="2">
        <v>81</v>
      </c>
      <c r="AV42" s="55">
        <v>1</v>
      </c>
      <c r="AW42" s="2">
        <v>1</v>
      </c>
      <c r="AX42" s="2" t="s">
        <v>615</v>
      </c>
      <c r="AY42" s="2">
        <v>999999</v>
      </c>
      <c r="AZ42" s="106">
        <v>0</v>
      </c>
      <c r="BA42" s="2">
        <v>14</v>
      </c>
      <c r="BB42" s="30">
        <v>40393</v>
      </c>
      <c r="BC42" s="2">
        <v>60</v>
      </c>
      <c r="BD42" s="160">
        <v>41806</v>
      </c>
      <c r="BE42" s="2">
        <v>1</v>
      </c>
      <c r="BF42" s="55">
        <v>0</v>
      </c>
      <c r="BG42" s="2">
        <v>183</v>
      </c>
      <c r="BH42" s="2">
        <v>1</v>
      </c>
      <c r="BI42" s="2">
        <v>151</v>
      </c>
      <c r="BJ42" s="2">
        <v>47</v>
      </c>
      <c r="BK42" s="2">
        <v>72</v>
      </c>
      <c r="BL42" s="161">
        <v>966361.25925925921</v>
      </c>
      <c r="BM42" s="2" t="str">
        <f t="shared" si="0"/>
        <v>220/283</v>
      </c>
      <c r="BN42" s="142"/>
    </row>
    <row r="43" spans="1:66" x14ac:dyDescent="0.25">
      <c r="A43" s="2">
        <v>540216</v>
      </c>
      <c r="B43" s="2" t="s">
        <v>271</v>
      </c>
      <c r="C43" s="2" t="s">
        <v>93</v>
      </c>
      <c r="D43" s="2" t="s">
        <v>612</v>
      </c>
      <c r="E43" s="2" t="s">
        <v>616</v>
      </c>
      <c r="F43" s="2" t="s">
        <v>613</v>
      </c>
      <c r="G43" s="2">
        <v>3</v>
      </c>
      <c r="H43" s="2">
        <v>0</v>
      </c>
      <c r="I43" s="2">
        <v>2</v>
      </c>
      <c r="J43" s="2">
        <v>96</v>
      </c>
      <c r="K43" s="2">
        <v>39</v>
      </c>
      <c r="L43" s="55">
        <v>4</v>
      </c>
      <c r="M43" s="2">
        <v>67</v>
      </c>
      <c r="N43" s="2">
        <v>8</v>
      </c>
      <c r="O43" s="2">
        <v>5</v>
      </c>
      <c r="P43" s="156">
        <v>865123</v>
      </c>
      <c r="Q43" s="2">
        <v>76</v>
      </c>
      <c r="R43" s="157">
        <v>-0.76612294999999997</v>
      </c>
      <c r="S43" s="2">
        <v>240</v>
      </c>
      <c r="T43" s="158">
        <v>0.89</v>
      </c>
      <c r="U43" s="2">
        <v>153</v>
      </c>
      <c r="V43" s="55">
        <v>5</v>
      </c>
      <c r="W43" s="2">
        <v>121</v>
      </c>
      <c r="X43" s="55">
        <v>56</v>
      </c>
      <c r="Y43" s="2">
        <v>85</v>
      </c>
      <c r="Z43" s="2">
        <v>9</v>
      </c>
      <c r="AA43" s="2">
        <v>230</v>
      </c>
      <c r="AB43" s="2">
        <v>8</v>
      </c>
      <c r="AC43" s="2">
        <v>109</v>
      </c>
      <c r="AD43" s="105">
        <v>20</v>
      </c>
      <c r="AE43" s="2">
        <v>117</v>
      </c>
      <c r="AF43" s="55">
        <v>34</v>
      </c>
      <c r="AG43" s="2">
        <v>52</v>
      </c>
      <c r="AH43" s="55">
        <v>291</v>
      </c>
      <c r="AI43" s="2">
        <v>87</v>
      </c>
      <c r="AJ43" s="55">
        <v>0.36930000000000002</v>
      </c>
      <c r="AK43" s="2">
        <v>71</v>
      </c>
      <c r="AL43" s="30">
        <v>43145</v>
      </c>
      <c r="AM43" s="2">
        <v>26</v>
      </c>
      <c r="AN43" s="2">
        <v>18</v>
      </c>
      <c r="AO43" s="2">
        <v>156</v>
      </c>
      <c r="AP43" s="2">
        <v>8</v>
      </c>
      <c r="AQ43" s="2">
        <v>109</v>
      </c>
      <c r="AR43" s="55">
        <v>34</v>
      </c>
      <c r="AS43" s="2">
        <v>52</v>
      </c>
      <c r="AT43" s="159">
        <v>8.934707903780069</v>
      </c>
      <c r="AU43" s="2">
        <v>34</v>
      </c>
      <c r="AV43" s="55">
        <v>0</v>
      </c>
      <c r="AW43" s="2">
        <v>194</v>
      </c>
      <c r="AX43" s="2" t="s">
        <v>615</v>
      </c>
      <c r="AY43" s="2">
        <v>999999</v>
      </c>
      <c r="AZ43" s="106">
        <v>0</v>
      </c>
      <c r="BA43" s="2">
        <v>14</v>
      </c>
      <c r="BB43" s="30">
        <v>43390</v>
      </c>
      <c r="BC43" s="2">
        <v>226</v>
      </c>
      <c r="BD43" s="160">
        <v>41806</v>
      </c>
      <c r="BE43" s="2">
        <v>1</v>
      </c>
      <c r="BF43" s="55">
        <v>1</v>
      </c>
      <c r="BG43" s="2">
        <v>1</v>
      </c>
      <c r="BH43" s="2">
        <v>2</v>
      </c>
      <c r="BI43" s="2">
        <v>68</v>
      </c>
      <c r="BJ43" s="2">
        <v>18</v>
      </c>
      <c r="BK43" s="2">
        <v>114</v>
      </c>
      <c r="BL43" s="161">
        <v>965318.37037037022</v>
      </c>
      <c r="BM43" s="2" t="str">
        <f t="shared" si="0"/>
        <v>76/283</v>
      </c>
      <c r="BN43" s="142"/>
    </row>
    <row r="44" spans="1:66" x14ac:dyDescent="0.25">
      <c r="A44" s="162">
        <v>540001</v>
      </c>
      <c r="B44" s="162" t="s">
        <v>3</v>
      </c>
      <c r="C44" s="162" t="s">
        <v>4</v>
      </c>
      <c r="D44" s="162" t="s">
        <v>617</v>
      </c>
      <c r="E44" s="162" t="s">
        <v>616</v>
      </c>
      <c r="F44" s="162" t="s">
        <v>613</v>
      </c>
      <c r="G44" s="162">
        <v>3</v>
      </c>
      <c r="H44" s="162">
        <v>0</v>
      </c>
      <c r="I44" s="162">
        <v>2</v>
      </c>
      <c r="J44" s="162">
        <v>9</v>
      </c>
      <c r="K44" s="162">
        <v>175</v>
      </c>
      <c r="L44" s="163">
        <v>5</v>
      </c>
      <c r="M44" s="162">
        <v>61</v>
      </c>
      <c r="N44" s="162">
        <v>6</v>
      </c>
      <c r="O44" s="162">
        <v>43</v>
      </c>
      <c r="P44" s="164">
        <v>298375</v>
      </c>
      <c r="Q44" s="162">
        <v>118</v>
      </c>
      <c r="R44" s="165">
        <v>5.6266027709999999</v>
      </c>
      <c r="S44" s="162">
        <v>3</v>
      </c>
      <c r="T44" s="166">
        <v>0.87</v>
      </c>
      <c r="U44" s="162">
        <v>177</v>
      </c>
      <c r="V44" s="163">
        <v>21</v>
      </c>
      <c r="W44" s="162">
        <v>66</v>
      </c>
      <c r="X44" s="163">
        <v>42</v>
      </c>
      <c r="Y44" s="162">
        <v>107</v>
      </c>
      <c r="Z44" s="162">
        <v>10</v>
      </c>
      <c r="AA44" s="162">
        <v>216</v>
      </c>
      <c r="AB44" s="162">
        <v>10</v>
      </c>
      <c r="AC44" s="162">
        <v>103</v>
      </c>
      <c r="AD44" s="167">
        <v>34</v>
      </c>
      <c r="AE44" s="162">
        <v>93</v>
      </c>
      <c r="AF44" s="163">
        <v>5</v>
      </c>
      <c r="AG44" s="162">
        <v>130</v>
      </c>
      <c r="AH44" s="163">
        <v>1673</v>
      </c>
      <c r="AI44" s="162">
        <v>31</v>
      </c>
      <c r="AJ44" s="163">
        <v>0.6613</v>
      </c>
      <c r="AK44" s="162">
        <v>220</v>
      </c>
      <c r="AL44" s="168">
        <v>42066</v>
      </c>
      <c r="AM44" s="162">
        <v>243</v>
      </c>
      <c r="AN44" s="162">
        <v>37</v>
      </c>
      <c r="AO44" s="162">
        <v>199</v>
      </c>
      <c r="AP44" s="162">
        <v>10</v>
      </c>
      <c r="AQ44" s="162">
        <v>103</v>
      </c>
      <c r="AR44" s="163">
        <v>5</v>
      </c>
      <c r="AS44" s="162">
        <v>130</v>
      </c>
      <c r="AT44" s="169">
        <v>2.8093245666467421</v>
      </c>
      <c r="AU44" s="162">
        <v>65</v>
      </c>
      <c r="AV44" s="163">
        <v>1</v>
      </c>
      <c r="AW44" s="162">
        <v>1</v>
      </c>
      <c r="AX44" s="162" t="s">
        <v>615</v>
      </c>
      <c r="AY44" s="162">
        <v>999999</v>
      </c>
      <c r="AZ44" s="170">
        <v>0</v>
      </c>
      <c r="BA44" s="162">
        <v>14</v>
      </c>
      <c r="BB44" s="168">
        <v>40008</v>
      </c>
      <c r="BC44" s="162">
        <v>34</v>
      </c>
      <c r="BD44" s="171">
        <v>43558</v>
      </c>
      <c r="BE44" s="162">
        <v>58</v>
      </c>
      <c r="BF44" s="163">
        <v>1</v>
      </c>
      <c r="BG44" s="162">
        <v>1</v>
      </c>
      <c r="BH44" s="162">
        <v>1</v>
      </c>
      <c r="BI44" s="162">
        <v>151</v>
      </c>
      <c r="BJ44" s="162">
        <v>37</v>
      </c>
      <c r="BK44" s="162">
        <v>82</v>
      </c>
      <c r="BL44" s="161">
        <v>965488.81481481483</v>
      </c>
      <c r="BM44" s="162" t="str">
        <f t="shared" si="0"/>
        <v>96/283</v>
      </c>
      <c r="BN44" s="142"/>
    </row>
    <row r="45" spans="1:66" x14ac:dyDescent="0.25">
      <c r="A45" s="2">
        <v>540021</v>
      </c>
      <c r="B45" s="2" t="s">
        <v>129</v>
      </c>
      <c r="C45" s="2" t="s">
        <v>15</v>
      </c>
      <c r="D45" s="2" t="s">
        <v>612</v>
      </c>
      <c r="E45" s="2" t="s">
        <v>616</v>
      </c>
      <c r="F45" s="2" t="s">
        <v>613</v>
      </c>
      <c r="G45" s="2">
        <v>3</v>
      </c>
      <c r="H45" s="2">
        <v>0</v>
      </c>
      <c r="I45" s="2">
        <v>2</v>
      </c>
      <c r="J45" s="2" t="s">
        <v>614</v>
      </c>
      <c r="K45" s="2">
        <v>999999</v>
      </c>
      <c r="L45" s="55">
        <v>2</v>
      </c>
      <c r="M45" s="2">
        <v>84</v>
      </c>
      <c r="N45" s="2">
        <v>6</v>
      </c>
      <c r="O45" s="2">
        <v>43</v>
      </c>
      <c r="P45" s="156">
        <v>1371887</v>
      </c>
      <c r="Q45" s="2">
        <v>60</v>
      </c>
      <c r="R45" s="157">
        <v>0.230783511</v>
      </c>
      <c r="S45" s="2">
        <v>126</v>
      </c>
      <c r="T45" s="158">
        <v>0.9</v>
      </c>
      <c r="U45" s="2">
        <v>107</v>
      </c>
      <c r="V45" s="55">
        <v>2</v>
      </c>
      <c r="W45" s="2">
        <v>170</v>
      </c>
      <c r="X45" s="55">
        <v>145</v>
      </c>
      <c r="Y45" s="2">
        <v>51</v>
      </c>
      <c r="Z45" s="2">
        <v>13</v>
      </c>
      <c r="AA45" s="2">
        <v>78</v>
      </c>
      <c r="AB45" s="2">
        <v>13</v>
      </c>
      <c r="AC45" s="2">
        <v>93</v>
      </c>
      <c r="AD45" s="105">
        <v>18</v>
      </c>
      <c r="AE45" s="2">
        <v>123</v>
      </c>
      <c r="AF45" s="55">
        <v>48</v>
      </c>
      <c r="AG45" s="2">
        <v>39</v>
      </c>
      <c r="AH45" s="55">
        <v>0</v>
      </c>
      <c r="AI45" s="2">
        <v>135</v>
      </c>
      <c r="AJ45" s="55">
        <v>0.4753</v>
      </c>
      <c r="AK45" s="2">
        <v>125</v>
      </c>
      <c r="AL45" s="30">
        <v>43145</v>
      </c>
      <c r="AM45" s="2">
        <v>26</v>
      </c>
      <c r="AN45" s="2">
        <v>1</v>
      </c>
      <c r="AO45" s="2">
        <v>36</v>
      </c>
      <c r="AP45" s="2">
        <v>13</v>
      </c>
      <c r="AQ45" s="2">
        <v>93</v>
      </c>
      <c r="AR45" s="55">
        <v>48</v>
      </c>
      <c r="AS45" s="2">
        <v>39</v>
      </c>
      <c r="AT45" s="159">
        <v>0</v>
      </c>
      <c r="AU45" s="2">
        <v>81</v>
      </c>
      <c r="AV45" s="55">
        <v>1</v>
      </c>
      <c r="AW45" s="2">
        <v>1</v>
      </c>
      <c r="AX45" s="2" t="s">
        <v>615</v>
      </c>
      <c r="AY45" s="2">
        <v>999999</v>
      </c>
      <c r="AZ45" s="106">
        <v>0</v>
      </c>
      <c r="BA45" s="2">
        <v>14</v>
      </c>
      <c r="BB45" s="30">
        <v>43446</v>
      </c>
      <c r="BC45" s="2">
        <v>247</v>
      </c>
      <c r="BD45" s="160">
        <v>41806</v>
      </c>
      <c r="BE45" s="2">
        <v>1</v>
      </c>
      <c r="BF45" s="55">
        <v>1</v>
      </c>
      <c r="BG45" s="2">
        <v>1</v>
      </c>
      <c r="BH45" s="2">
        <v>18</v>
      </c>
      <c r="BI45" s="2">
        <v>3</v>
      </c>
      <c r="BJ45" s="2">
        <v>1</v>
      </c>
      <c r="BK45" s="2">
        <v>231</v>
      </c>
      <c r="BL45" s="161">
        <v>1927856.6666666667</v>
      </c>
      <c r="BM45" s="2" t="str">
        <f t="shared" si="0"/>
        <v>242/283</v>
      </c>
      <c r="BN45" s="142"/>
    </row>
    <row r="46" spans="1:66" x14ac:dyDescent="0.25">
      <c r="A46" s="2">
        <v>540048</v>
      </c>
      <c r="B46" s="2" t="s">
        <v>148</v>
      </c>
      <c r="C46" s="2" t="s">
        <v>29</v>
      </c>
      <c r="D46" s="2" t="s">
        <v>612</v>
      </c>
      <c r="E46" s="2" t="s">
        <v>616</v>
      </c>
      <c r="F46" s="2" t="s">
        <v>613</v>
      </c>
      <c r="G46" s="2">
        <v>3</v>
      </c>
      <c r="H46" s="2">
        <v>0</v>
      </c>
      <c r="I46" s="2">
        <v>2</v>
      </c>
      <c r="J46" s="2">
        <v>16</v>
      </c>
      <c r="K46" s="2">
        <v>135</v>
      </c>
      <c r="L46" s="55">
        <v>0</v>
      </c>
      <c r="M46" s="2">
        <v>118</v>
      </c>
      <c r="N46" s="2">
        <v>6</v>
      </c>
      <c r="O46" s="2">
        <v>43</v>
      </c>
      <c r="P46" s="156">
        <v>47358</v>
      </c>
      <c r="Q46" s="2">
        <v>190</v>
      </c>
      <c r="R46" s="157">
        <v>-0.54211957799999999</v>
      </c>
      <c r="S46" s="2">
        <v>192</v>
      </c>
      <c r="T46" s="158">
        <v>0.72</v>
      </c>
      <c r="U46" s="2">
        <v>281</v>
      </c>
      <c r="V46" s="55">
        <v>2</v>
      </c>
      <c r="W46" s="2">
        <v>170</v>
      </c>
      <c r="X46" s="55">
        <v>5</v>
      </c>
      <c r="Y46" s="2">
        <v>204</v>
      </c>
      <c r="Z46" s="2">
        <v>7</v>
      </c>
      <c r="AA46" s="2">
        <v>275</v>
      </c>
      <c r="AB46" s="2">
        <v>1</v>
      </c>
      <c r="AC46" s="2">
        <v>186</v>
      </c>
      <c r="AD46" s="105">
        <v>2</v>
      </c>
      <c r="AE46" s="2">
        <v>228</v>
      </c>
      <c r="AF46" s="55">
        <v>0</v>
      </c>
      <c r="AG46" s="2">
        <v>184</v>
      </c>
      <c r="AH46" s="55">
        <v>129</v>
      </c>
      <c r="AI46" s="2">
        <v>115</v>
      </c>
      <c r="AJ46" s="55">
        <v>0.33329999999999999</v>
      </c>
      <c r="AK46" s="2">
        <v>44</v>
      </c>
      <c r="AL46" s="30">
        <v>43145</v>
      </c>
      <c r="AM46" s="2">
        <v>26</v>
      </c>
      <c r="AN46" s="2">
        <v>15</v>
      </c>
      <c r="AO46" s="2">
        <v>134</v>
      </c>
      <c r="AP46" s="2">
        <v>1</v>
      </c>
      <c r="AQ46" s="2">
        <v>186</v>
      </c>
      <c r="AR46" s="55">
        <v>0</v>
      </c>
      <c r="AS46" s="2">
        <v>184</v>
      </c>
      <c r="AT46" s="159">
        <v>-113.17829457364341</v>
      </c>
      <c r="AU46" s="2">
        <v>283</v>
      </c>
      <c r="AV46" s="55">
        <v>0</v>
      </c>
      <c r="AW46" s="2">
        <v>194</v>
      </c>
      <c r="AX46" s="2" t="s">
        <v>615</v>
      </c>
      <c r="AY46" s="2">
        <v>999999</v>
      </c>
      <c r="AZ46" s="106">
        <v>0</v>
      </c>
      <c r="BA46" s="2">
        <v>14</v>
      </c>
      <c r="BB46" s="30">
        <v>43272</v>
      </c>
      <c r="BC46" s="2">
        <v>198</v>
      </c>
      <c r="BD46" s="160">
        <v>41806</v>
      </c>
      <c r="BE46" s="2">
        <v>1</v>
      </c>
      <c r="BF46" s="55">
        <v>0</v>
      </c>
      <c r="BG46" s="2">
        <v>183</v>
      </c>
      <c r="BH46" s="2">
        <v>2</v>
      </c>
      <c r="BI46" s="2">
        <v>68</v>
      </c>
      <c r="BJ46" s="2">
        <v>15</v>
      </c>
      <c r="BK46" s="2">
        <v>130</v>
      </c>
      <c r="BL46" s="161">
        <v>966781.11111111112</v>
      </c>
      <c r="BM46" s="2" t="str">
        <f t="shared" si="0"/>
        <v>237/283</v>
      </c>
      <c r="BN46" s="142"/>
    </row>
    <row r="47" spans="1:66" x14ac:dyDescent="0.25">
      <c r="A47" s="77">
        <v>540069</v>
      </c>
      <c r="B47" s="77" t="s">
        <v>165</v>
      </c>
      <c r="C47" s="77" t="s">
        <v>37</v>
      </c>
      <c r="D47" s="77" t="s">
        <v>612</v>
      </c>
      <c r="E47" s="77" t="s">
        <v>616</v>
      </c>
      <c r="F47" s="77" t="s">
        <v>613</v>
      </c>
      <c r="G47" s="77">
        <v>3</v>
      </c>
      <c r="H47" s="77">
        <v>0</v>
      </c>
      <c r="I47" s="77">
        <v>2</v>
      </c>
      <c r="J47" s="77">
        <v>204.6</v>
      </c>
      <c r="K47" s="77">
        <v>5</v>
      </c>
      <c r="L47" s="172">
        <v>0</v>
      </c>
      <c r="M47" s="77">
        <v>118</v>
      </c>
      <c r="N47" s="77">
        <v>6</v>
      </c>
      <c r="O47" s="77">
        <v>43</v>
      </c>
      <c r="P47" s="173">
        <v>0</v>
      </c>
      <c r="Q47" s="77">
        <v>248</v>
      </c>
      <c r="R47" s="174">
        <v>2.5737324519999998</v>
      </c>
      <c r="S47" s="77">
        <v>26</v>
      </c>
      <c r="T47" s="175">
        <v>0.82000000000000006</v>
      </c>
      <c r="U47" s="77">
        <v>245</v>
      </c>
      <c r="V47" s="172">
        <v>15</v>
      </c>
      <c r="W47" s="77">
        <v>79</v>
      </c>
      <c r="X47" s="172">
        <v>2</v>
      </c>
      <c r="Y47" s="77">
        <v>225</v>
      </c>
      <c r="Z47" s="77">
        <v>8</v>
      </c>
      <c r="AA47" s="77">
        <v>243</v>
      </c>
      <c r="AB47" s="77">
        <v>12</v>
      </c>
      <c r="AC47" s="77">
        <v>96</v>
      </c>
      <c r="AD47" s="176">
        <v>22</v>
      </c>
      <c r="AE47" s="77">
        <v>112</v>
      </c>
      <c r="AF47" s="172">
        <v>0</v>
      </c>
      <c r="AG47" s="77">
        <v>184</v>
      </c>
      <c r="AH47" s="172">
        <v>0</v>
      </c>
      <c r="AI47" s="77">
        <v>135</v>
      </c>
      <c r="AJ47" s="172">
        <v>0.23849999999999999</v>
      </c>
      <c r="AK47" s="77">
        <v>14</v>
      </c>
      <c r="AL47" s="177">
        <v>43248</v>
      </c>
      <c r="AM47" s="77">
        <v>1</v>
      </c>
      <c r="AN47" s="77">
        <v>6</v>
      </c>
      <c r="AO47" s="77">
        <v>81</v>
      </c>
      <c r="AP47" s="77">
        <v>12</v>
      </c>
      <c r="AQ47" s="77">
        <v>96</v>
      </c>
      <c r="AR47" s="172">
        <v>0</v>
      </c>
      <c r="AS47" s="77">
        <v>184</v>
      </c>
      <c r="AT47" s="178">
        <v>0</v>
      </c>
      <c r="AU47" s="77">
        <v>81</v>
      </c>
      <c r="AV47" s="172">
        <v>0</v>
      </c>
      <c r="AW47" s="77">
        <v>194</v>
      </c>
      <c r="AX47" s="77" t="s">
        <v>615</v>
      </c>
      <c r="AY47" s="77">
        <v>999999</v>
      </c>
      <c r="AZ47" s="179">
        <v>0</v>
      </c>
      <c r="BA47" s="77">
        <v>14</v>
      </c>
      <c r="BB47" s="177">
        <v>40632</v>
      </c>
      <c r="BC47" s="77">
        <v>64</v>
      </c>
      <c r="BD47" s="180">
        <v>41806</v>
      </c>
      <c r="BE47" s="77">
        <v>1</v>
      </c>
      <c r="BF47" s="172">
        <v>1</v>
      </c>
      <c r="BG47" s="77">
        <v>1</v>
      </c>
      <c r="BH47" s="77">
        <v>1</v>
      </c>
      <c r="BI47" s="77">
        <v>151</v>
      </c>
      <c r="BJ47" s="77">
        <v>6</v>
      </c>
      <c r="BK47" s="77">
        <v>191</v>
      </c>
      <c r="BL47" s="161">
        <v>965689.11111111112</v>
      </c>
      <c r="BM47" s="77" t="str">
        <f t="shared" si="0"/>
        <v>115/283</v>
      </c>
      <c r="BN47" s="142"/>
    </row>
    <row r="48" spans="1:66" x14ac:dyDescent="0.25">
      <c r="A48" s="2">
        <v>540083</v>
      </c>
      <c r="B48" s="2" t="s">
        <v>178</v>
      </c>
      <c r="C48" s="2" t="s">
        <v>39</v>
      </c>
      <c r="D48" s="2" t="s">
        <v>612</v>
      </c>
      <c r="E48" s="2" t="s">
        <v>616</v>
      </c>
      <c r="F48" s="2" t="s">
        <v>613</v>
      </c>
      <c r="G48" s="2">
        <v>3</v>
      </c>
      <c r="H48" s="2">
        <v>0</v>
      </c>
      <c r="I48" s="2">
        <v>2</v>
      </c>
      <c r="J48" s="2">
        <v>105.4</v>
      </c>
      <c r="K48" s="2">
        <v>25</v>
      </c>
      <c r="L48" s="55">
        <v>5</v>
      </c>
      <c r="M48" s="2">
        <v>61</v>
      </c>
      <c r="N48" s="2">
        <v>6</v>
      </c>
      <c r="O48" s="2">
        <v>43</v>
      </c>
      <c r="P48" s="156">
        <v>370199</v>
      </c>
      <c r="Q48" s="2">
        <v>111</v>
      </c>
      <c r="R48" s="157">
        <v>-0.91478383900000004</v>
      </c>
      <c r="S48" s="2">
        <v>270</v>
      </c>
      <c r="T48" s="158">
        <v>0.83</v>
      </c>
      <c r="U48" s="2">
        <v>228</v>
      </c>
      <c r="V48" s="55">
        <v>28</v>
      </c>
      <c r="W48" s="2">
        <v>54</v>
      </c>
      <c r="X48" s="55">
        <v>48</v>
      </c>
      <c r="Y48" s="2">
        <v>92</v>
      </c>
      <c r="Z48" s="2">
        <v>16</v>
      </c>
      <c r="AA48" s="2">
        <v>20</v>
      </c>
      <c r="AB48" s="2">
        <v>36</v>
      </c>
      <c r="AC48" s="2">
        <v>49</v>
      </c>
      <c r="AD48" s="105">
        <v>63</v>
      </c>
      <c r="AE48" s="2">
        <v>65</v>
      </c>
      <c r="AF48" s="55">
        <v>5</v>
      </c>
      <c r="AG48" s="2">
        <v>130</v>
      </c>
      <c r="AH48" s="55">
        <v>741</v>
      </c>
      <c r="AI48" s="2">
        <v>63</v>
      </c>
      <c r="AJ48" s="55">
        <v>0.47560000000000002</v>
      </c>
      <c r="AK48" s="2">
        <v>127</v>
      </c>
      <c r="AL48" s="30">
        <v>42543</v>
      </c>
      <c r="AM48" s="2">
        <v>161</v>
      </c>
      <c r="AN48" s="2">
        <v>169</v>
      </c>
      <c r="AO48" s="2">
        <v>259</v>
      </c>
      <c r="AP48" s="2">
        <v>36</v>
      </c>
      <c r="AQ48" s="2">
        <v>49</v>
      </c>
      <c r="AR48" s="55">
        <v>5</v>
      </c>
      <c r="AS48" s="2">
        <v>130</v>
      </c>
      <c r="AT48" s="159">
        <v>0.1349527665317139</v>
      </c>
      <c r="AU48" s="2">
        <v>79</v>
      </c>
      <c r="AV48" s="55">
        <v>0</v>
      </c>
      <c r="AW48" s="2">
        <v>194</v>
      </c>
      <c r="AX48" s="2" t="s">
        <v>615</v>
      </c>
      <c r="AY48" s="2">
        <v>999999</v>
      </c>
      <c r="AZ48" s="106">
        <v>0</v>
      </c>
      <c r="BA48" s="2">
        <v>14</v>
      </c>
      <c r="BB48" s="30">
        <v>42452</v>
      </c>
      <c r="BC48" s="2">
        <v>107</v>
      </c>
      <c r="BD48" s="160">
        <v>41806</v>
      </c>
      <c r="BE48" s="2">
        <v>1</v>
      </c>
      <c r="BF48" s="55">
        <v>1</v>
      </c>
      <c r="BG48" s="2">
        <v>1</v>
      </c>
      <c r="BH48" s="2">
        <v>7</v>
      </c>
      <c r="BI48" s="2">
        <v>17</v>
      </c>
      <c r="BJ48" s="2">
        <v>169</v>
      </c>
      <c r="BK48" s="2">
        <v>12</v>
      </c>
      <c r="BL48" s="161">
        <v>965236.51851851842</v>
      </c>
      <c r="BM48" s="2" t="str">
        <f t="shared" si="0"/>
        <v>62/283</v>
      </c>
      <c r="BN48" s="142"/>
    </row>
    <row r="49" spans="1:66" x14ac:dyDescent="0.25">
      <c r="A49" s="2">
        <v>545556</v>
      </c>
      <c r="B49" s="2" t="s">
        <v>337</v>
      </c>
      <c r="C49" s="2" t="s">
        <v>45</v>
      </c>
      <c r="D49" s="2" t="s">
        <v>612</v>
      </c>
      <c r="E49" s="2" t="s">
        <v>611</v>
      </c>
      <c r="F49" s="2" t="s">
        <v>613</v>
      </c>
      <c r="G49" s="2">
        <v>3</v>
      </c>
      <c r="H49" s="2">
        <v>0</v>
      </c>
      <c r="I49" s="2">
        <v>0</v>
      </c>
      <c r="J49" s="2">
        <v>13.4</v>
      </c>
      <c r="K49" s="2">
        <v>146</v>
      </c>
      <c r="L49" s="55" t="s">
        <v>614</v>
      </c>
      <c r="M49" s="2">
        <v>999999</v>
      </c>
      <c r="N49" s="2">
        <v>6</v>
      </c>
      <c r="O49" s="2">
        <v>43</v>
      </c>
      <c r="P49" s="156" t="s">
        <v>614</v>
      </c>
      <c r="Q49" s="2">
        <v>999999</v>
      </c>
      <c r="R49" s="157">
        <v>-0.439666047</v>
      </c>
      <c r="S49" s="2">
        <v>171</v>
      </c>
      <c r="T49" s="158">
        <v>0.86</v>
      </c>
      <c r="U49" s="2">
        <v>191</v>
      </c>
      <c r="V49" s="55" t="s">
        <v>614</v>
      </c>
      <c r="W49" s="2">
        <v>999999</v>
      </c>
      <c r="X49" s="55" t="s">
        <v>614</v>
      </c>
      <c r="Y49" s="2">
        <v>999999</v>
      </c>
      <c r="Z49" s="2">
        <v>11</v>
      </c>
      <c r="AA49" s="2">
        <v>155</v>
      </c>
      <c r="AB49" s="2">
        <v>0</v>
      </c>
      <c r="AC49" s="2">
        <v>222</v>
      </c>
      <c r="AD49" s="105" t="s">
        <v>614</v>
      </c>
      <c r="AE49" s="2">
        <v>999999</v>
      </c>
      <c r="AF49" s="55" t="s">
        <v>614</v>
      </c>
      <c r="AG49" s="2">
        <v>999999</v>
      </c>
      <c r="AH49" s="55">
        <v>0</v>
      </c>
      <c r="AI49" s="2">
        <v>135</v>
      </c>
      <c r="AJ49" s="55">
        <v>0.34639999999999999</v>
      </c>
      <c r="AK49" s="2">
        <v>49</v>
      </c>
      <c r="AL49" s="30">
        <v>42944</v>
      </c>
      <c r="AM49" s="2">
        <v>135</v>
      </c>
      <c r="AN49" s="2">
        <v>15</v>
      </c>
      <c r="AO49" s="2">
        <v>134</v>
      </c>
      <c r="AP49" s="2">
        <v>0</v>
      </c>
      <c r="AQ49" s="2">
        <v>222</v>
      </c>
      <c r="AR49" s="55" t="s">
        <v>614</v>
      </c>
      <c r="AS49" s="2">
        <v>999999</v>
      </c>
      <c r="AT49" s="159">
        <v>0</v>
      </c>
      <c r="AU49" s="2">
        <v>81</v>
      </c>
      <c r="AV49" s="55">
        <v>0</v>
      </c>
      <c r="AW49" s="2">
        <v>194</v>
      </c>
      <c r="AX49" s="2" t="s">
        <v>615</v>
      </c>
      <c r="AY49" s="2">
        <v>999999</v>
      </c>
      <c r="AZ49" s="106">
        <v>0</v>
      </c>
      <c r="BA49" s="2">
        <v>14</v>
      </c>
      <c r="BB49" s="30">
        <v>42990</v>
      </c>
      <c r="BC49" s="2">
        <v>132</v>
      </c>
      <c r="BD49" s="160" t="s">
        <v>614</v>
      </c>
      <c r="BE49" s="2">
        <v>999999</v>
      </c>
      <c r="BF49" s="55">
        <v>0</v>
      </c>
      <c r="BG49" s="2">
        <v>183</v>
      </c>
      <c r="BH49" s="2">
        <v>0</v>
      </c>
      <c r="BI49" s="2">
        <v>239</v>
      </c>
      <c r="BJ49" s="2">
        <v>15</v>
      </c>
      <c r="BK49" s="2">
        <v>130</v>
      </c>
      <c r="BL49" s="161">
        <v>8669138.5925925933</v>
      </c>
      <c r="BM49" s="2" t="str">
        <f t="shared" si="0"/>
        <v>277/283</v>
      </c>
      <c r="BN49" s="142"/>
    </row>
    <row r="50" spans="1:66" x14ac:dyDescent="0.25">
      <c r="A50" s="162">
        <v>540114</v>
      </c>
      <c r="B50" s="162" t="s">
        <v>50</v>
      </c>
      <c r="C50" s="162" t="s">
        <v>51</v>
      </c>
      <c r="D50" s="162" t="s">
        <v>617</v>
      </c>
      <c r="E50" s="162" t="s">
        <v>616</v>
      </c>
      <c r="F50" s="162" t="s">
        <v>613</v>
      </c>
      <c r="G50" s="162">
        <v>3</v>
      </c>
      <c r="H50" s="162">
        <v>0</v>
      </c>
      <c r="I50" s="162">
        <v>2</v>
      </c>
      <c r="J50" s="162">
        <v>7.8</v>
      </c>
      <c r="K50" s="162">
        <v>180</v>
      </c>
      <c r="L50" s="163">
        <v>23</v>
      </c>
      <c r="M50" s="162">
        <v>17</v>
      </c>
      <c r="N50" s="162">
        <v>6</v>
      </c>
      <c r="O50" s="162">
        <v>43</v>
      </c>
      <c r="P50" s="164">
        <v>3278111</v>
      </c>
      <c r="Q50" s="162">
        <v>25</v>
      </c>
      <c r="R50" s="165">
        <v>1.5608767809999999</v>
      </c>
      <c r="S50" s="162">
        <v>39</v>
      </c>
      <c r="T50" s="166">
        <v>0.91</v>
      </c>
      <c r="U50" s="162">
        <v>70</v>
      </c>
      <c r="V50" s="163">
        <v>10</v>
      </c>
      <c r="W50" s="162">
        <v>95</v>
      </c>
      <c r="X50" s="163">
        <v>565</v>
      </c>
      <c r="Y50" s="162">
        <v>8</v>
      </c>
      <c r="Z50" s="162">
        <v>13</v>
      </c>
      <c r="AA50" s="162">
        <v>78</v>
      </c>
      <c r="AB50" s="162">
        <v>42</v>
      </c>
      <c r="AC50" s="162">
        <v>44</v>
      </c>
      <c r="AD50" s="167">
        <v>125</v>
      </c>
      <c r="AE50" s="162">
        <v>34</v>
      </c>
      <c r="AF50" s="163">
        <v>83</v>
      </c>
      <c r="AG50" s="162">
        <v>19</v>
      </c>
      <c r="AH50" s="163">
        <v>2365</v>
      </c>
      <c r="AI50" s="162">
        <v>17</v>
      </c>
      <c r="AJ50" s="163">
        <v>0.93889999999999996</v>
      </c>
      <c r="AK50" s="162">
        <v>273</v>
      </c>
      <c r="AL50" s="168">
        <v>42066</v>
      </c>
      <c r="AM50" s="162">
        <v>243</v>
      </c>
      <c r="AN50" s="162">
        <v>202</v>
      </c>
      <c r="AO50" s="162">
        <v>273</v>
      </c>
      <c r="AP50" s="162">
        <v>42</v>
      </c>
      <c r="AQ50" s="162">
        <v>44</v>
      </c>
      <c r="AR50" s="163">
        <v>83</v>
      </c>
      <c r="AS50" s="162">
        <v>19</v>
      </c>
      <c r="AT50" s="169">
        <v>6.9344608879492604</v>
      </c>
      <c r="AU50" s="162">
        <v>45</v>
      </c>
      <c r="AV50" s="163">
        <v>1</v>
      </c>
      <c r="AW50" s="162">
        <v>1</v>
      </c>
      <c r="AX50" s="162" t="s">
        <v>615</v>
      </c>
      <c r="AY50" s="162">
        <v>999999</v>
      </c>
      <c r="AZ50" s="170">
        <v>0</v>
      </c>
      <c r="BA50" s="162">
        <v>14</v>
      </c>
      <c r="BB50" s="168">
        <v>40752</v>
      </c>
      <c r="BC50" s="162">
        <v>69</v>
      </c>
      <c r="BD50" s="171">
        <v>41806</v>
      </c>
      <c r="BE50" s="162">
        <v>1</v>
      </c>
      <c r="BF50" s="163">
        <v>0</v>
      </c>
      <c r="BG50" s="162">
        <v>183</v>
      </c>
      <c r="BH50" s="162">
        <v>3</v>
      </c>
      <c r="BI50" s="162">
        <v>46</v>
      </c>
      <c r="BJ50" s="162">
        <v>202</v>
      </c>
      <c r="BK50" s="162">
        <v>1</v>
      </c>
      <c r="BL50" s="161">
        <v>964773.33333333337</v>
      </c>
      <c r="BM50" s="162" t="str">
        <f t="shared" si="0"/>
        <v>25/283</v>
      </c>
      <c r="BN50" s="142"/>
    </row>
    <row r="51" spans="1:66" x14ac:dyDescent="0.25">
      <c r="A51" s="2">
        <v>540163</v>
      </c>
      <c r="B51" s="2" t="s">
        <v>237</v>
      </c>
      <c r="C51" s="2" t="s">
        <v>69</v>
      </c>
      <c r="D51" s="2" t="s">
        <v>612</v>
      </c>
      <c r="E51" s="2" t="s">
        <v>616</v>
      </c>
      <c r="F51" s="2" t="s">
        <v>613</v>
      </c>
      <c r="G51" s="2">
        <v>3</v>
      </c>
      <c r="H51" s="2">
        <v>0</v>
      </c>
      <c r="I51" s="2">
        <v>2</v>
      </c>
      <c r="J51" s="2">
        <v>2.8</v>
      </c>
      <c r="K51" s="2">
        <v>226</v>
      </c>
      <c r="L51" s="55">
        <v>6</v>
      </c>
      <c r="M51" s="2">
        <v>56</v>
      </c>
      <c r="N51" s="2">
        <v>6</v>
      </c>
      <c r="O51" s="2">
        <v>43</v>
      </c>
      <c r="P51" s="156">
        <v>385170</v>
      </c>
      <c r="Q51" s="2">
        <v>109</v>
      </c>
      <c r="R51" s="157">
        <v>0.79634212299999996</v>
      </c>
      <c r="S51" s="2">
        <v>60</v>
      </c>
      <c r="T51" s="158">
        <v>0.9</v>
      </c>
      <c r="U51" s="2">
        <v>107</v>
      </c>
      <c r="V51" s="55">
        <v>2</v>
      </c>
      <c r="W51" s="2">
        <v>170</v>
      </c>
      <c r="X51" s="55">
        <v>33</v>
      </c>
      <c r="Y51" s="2">
        <v>120</v>
      </c>
      <c r="Z51" s="2">
        <v>11</v>
      </c>
      <c r="AA51" s="2">
        <v>155</v>
      </c>
      <c r="AB51" s="2">
        <v>1</v>
      </c>
      <c r="AC51" s="2">
        <v>186</v>
      </c>
      <c r="AD51" s="105">
        <v>14</v>
      </c>
      <c r="AE51" s="2">
        <v>133</v>
      </c>
      <c r="AF51" s="55">
        <v>13</v>
      </c>
      <c r="AG51" s="2">
        <v>88</v>
      </c>
      <c r="AH51" s="55">
        <v>0</v>
      </c>
      <c r="AI51" s="2">
        <v>135</v>
      </c>
      <c r="AJ51" s="55">
        <v>0.49469999999999997</v>
      </c>
      <c r="AK51" s="2">
        <v>145</v>
      </c>
      <c r="AL51" s="30">
        <v>43145</v>
      </c>
      <c r="AM51" s="2">
        <v>26</v>
      </c>
      <c r="AN51" s="2">
        <v>1</v>
      </c>
      <c r="AO51" s="2">
        <v>36</v>
      </c>
      <c r="AP51" s="2">
        <v>1</v>
      </c>
      <c r="AQ51" s="2">
        <v>186</v>
      </c>
      <c r="AR51" s="55">
        <v>13</v>
      </c>
      <c r="AS51" s="2">
        <v>88</v>
      </c>
      <c r="AT51" s="159">
        <v>0</v>
      </c>
      <c r="AU51" s="2">
        <v>81</v>
      </c>
      <c r="AV51" s="55">
        <v>0</v>
      </c>
      <c r="AW51" s="2">
        <v>194</v>
      </c>
      <c r="AX51" s="2" t="s">
        <v>615</v>
      </c>
      <c r="AY51" s="2">
        <v>999999</v>
      </c>
      <c r="AZ51" s="106">
        <v>0</v>
      </c>
      <c r="BA51" s="2">
        <v>14</v>
      </c>
      <c r="BB51" s="30">
        <v>43025</v>
      </c>
      <c r="BC51" s="2">
        <v>151</v>
      </c>
      <c r="BD51" s="160">
        <v>41806</v>
      </c>
      <c r="BE51" s="2">
        <v>1</v>
      </c>
      <c r="BF51" s="55">
        <v>1</v>
      </c>
      <c r="BG51" s="2">
        <v>1</v>
      </c>
      <c r="BH51" s="2">
        <v>2</v>
      </c>
      <c r="BI51" s="2">
        <v>68</v>
      </c>
      <c r="BJ51" s="2">
        <v>1</v>
      </c>
      <c r="BK51" s="2">
        <v>231</v>
      </c>
      <c r="BL51" s="161">
        <v>965667.92592592584</v>
      </c>
      <c r="BM51" s="2" t="str">
        <f t="shared" si="0"/>
        <v>113/283</v>
      </c>
      <c r="BN51" s="142"/>
    </row>
    <row r="52" spans="1:66" x14ac:dyDescent="0.25">
      <c r="A52" s="2">
        <v>540221</v>
      </c>
      <c r="B52" s="2" t="s">
        <v>275</v>
      </c>
      <c r="C52" s="2" t="s">
        <v>85</v>
      </c>
      <c r="D52" s="2" t="s">
        <v>612</v>
      </c>
      <c r="E52" s="2" t="s">
        <v>616</v>
      </c>
      <c r="F52" s="2" t="s">
        <v>613</v>
      </c>
      <c r="G52" s="2">
        <v>3</v>
      </c>
      <c r="H52" s="2">
        <v>0</v>
      </c>
      <c r="I52" s="2">
        <v>2</v>
      </c>
      <c r="J52" s="2">
        <v>20.6</v>
      </c>
      <c r="K52" s="2">
        <v>114</v>
      </c>
      <c r="L52" s="55">
        <v>0</v>
      </c>
      <c r="M52" s="2">
        <v>118</v>
      </c>
      <c r="N52" s="2">
        <v>6</v>
      </c>
      <c r="O52" s="2">
        <v>43</v>
      </c>
      <c r="P52" s="156">
        <v>0</v>
      </c>
      <c r="Q52" s="2">
        <v>248</v>
      </c>
      <c r="R52" s="157">
        <v>-0.80735002499999997</v>
      </c>
      <c r="S52" s="2">
        <v>245</v>
      </c>
      <c r="T52" s="158">
        <v>0.94</v>
      </c>
      <c r="U52" s="2">
        <v>11</v>
      </c>
      <c r="V52" s="55">
        <v>3</v>
      </c>
      <c r="W52" s="2">
        <v>153</v>
      </c>
      <c r="X52" s="55">
        <v>1</v>
      </c>
      <c r="Y52" s="2">
        <v>237</v>
      </c>
      <c r="Z52" s="2">
        <v>16</v>
      </c>
      <c r="AA52" s="2">
        <v>20</v>
      </c>
      <c r="AB52" s="2">
        <v>1</v>
      </c>
      <c r="AC52" s="2">
        <v>186</v>
      </c>
      <c r="AD52" s="105">
        <v>11</v>
      </c>
      <c r="AE52" s="2">
        <v>147</v>
      </c>
      <c r="AF52" s="55">
        <v>0</v>
      </c>
      <c r="AG52" s="2">
        <v>184</v>
      </c>
      <c r="AH52" s="55">
        <v>88</v>
      </c>
      <c r="AI52" s="2">
        <v>126</v>
      </c>
      <c r="AJ52" s="55">
        <v>0.64019999999999999</v>
      </c>
      <c r="AK52" s="2">
        <v>209</v>
      </c>
      <c r="AL52" s="30">
        <v>43145</v>
      </c>
      <c r="AM52" s="2">
        <v>26</v>
      </c>
      <c r="AN52" s="2">
        <v>18</v>
      </c>
      <c r="AO52" s="2">
        <v>156</v>
      </c>
      <c r="AP52" s="2">
        <v>1</v>
      </c>
      <c r="AQ52" s="2">
        <v>186</v>
      </c>
      <c r="AR52" s="55">
        <v>0</v>
      </c>
      <c r="AS52" s="2">
        <v>184</v>
      </c>
      <c r="AT52" s="159">
        <v>-37.5</v>
      </c>
      <c r="AU52" s="2">
        <v>280</v>
      </c>
      <c r="AV52" s="55">
        <v>1</v>
      </c>
      <c r="AW52" s="2">
        <v>1</v>
      </c>
      <c r="AX52" s="2" t="s">
        <v>615</v>
      </c>
      <c r="AY52" s="2">
        <v>999999</v>
      </c>
      <c r="AZ52" s="106">
        <v>0</v>
      </c>
      <c r="BA52" s="2">
        <v>14</v>
      </c>
      <c r="BB52" s="30">
        <v>43287</v>
      </c>
      <c r="BC52" s="2">
        <v>206</v>
      </c>
      <c r="BD52" s="160">
        <v>41806</v>
      </c>
      <c r="BE52" s="2">
        <v>1</v>
      </c>
      <c r="BF52" s="55">
        <v>1</v>
      </c>
      <c r="BG52" s="2">
        <v>1</v>
      </c>
      <c r="BH52" s="2">
        <v>3</v>
      </c>
      <c r="BI52" s="2">
        <v>46</v>
      </c>
      <c r="BJ52" s="2">
        <v>18</v>
      </c>
      <c r="BK52" s="2">
        <v>114</v>
      </c>
      <c r="BL52" s="161">
        <v>966097.4074074073</v>
      </c>
      <c r="BM52" s="2" t="str">
        <f t="shared" si="0"/>
        <v>180/283</v>
      </c>
      <c r="BN52" s="142"/>
    </row>
    <row r="53" spans="1:66" x14ac:dyDescent="0.25">
      <c r="A53" s="2">
        <v>540258</v>
      </c>
      <c r="B53" s="2" t="s">
        <v>303</v>
      </c>
      <c r="C53" s="2" t="s">
        <v>89</v>
      </c>
      <c r="D53" s="2" t="s">
        <v>612</v>
      </c>
      <c r="E53" s="2" t="s">
        <v>616</v>
      </c>
      <c r="F53" s="2" t="s">
        <v>613</v>
      </c>
      <c r="G53" s="2">
        <v>3</v>
      </c>
      <c r="H53" s="2">
        <v>0</v>
      </c>
      <c r="I53" s="2">
        <v>2</v>
      </c>
      <c r="J53" s="2">
        <v>14.4</v>
      </c>
      <c r="K53" s="2">
        <v>139</v>
      </c>
      <c r="L53" s="55">
        <v>3</v>
      </c>
      <c r="M53" s="2">
        <v>77</v>
      </c>
      <c r="N53" s="2">
        <v>6</v>
      </c>
      <c r="O53" s="2">
        <v>43</v>
      </c>
      <c r="P53" s="156">
        <v>50560</v>
      </c>
      <c r="Q53" s="2">
        <v>189</v>
      </c>
      <c r="R53" s="157">
        <v>-0.65594159799999996</v>
      </c>
      <c r="S53" s="2">
        <v>227</v>
      </c>
      <c r="T53" s="158">
        <v>0.87</v>
      </c>
      <c r="U53" s="2">
        <v>177</v>
      </c>
      <c r="V53" s="55">
        <v>0</v>
      </c>
      <c r="W53" s="2">
        <v>230</v>
      </c>
      <c r="X53" s="55">
        <v>3</v>
      </c>
      <c r="Y53" s="2">
        <v>218</v>
      </c>
      <c r="Z53" s="2">
        <v>16</v>
      </c>
      <c r="AA53" s="2">
        <v>20</v>
      </c>
      <c r="AB53" s="2">
        <v>1</v>
      </c>
      <c r="AC53" s="2">
        <v>186</v>
      </c>
      <c r="AD53" s="105">
        <v>1</v>
      </c>
      <c r="AE53" s="2">
        <v>242</v>
      </c>
      <c r="AF53" s="55">
        <v>3</v>
      </c>
      <c r="AG53" s="2">
        <v>152</v>
      </c>
      <c r="AH53" s="55">
        <v>0</v>
      </c>
      <c r="AI53" s="2">
        <v>135</v>
      </c>
      <c r="AJ53" s="55">
        <v>0.46039999999999998</v>
      </c>
      <c r="AK53" s="2">
        <v>120</v>
      </c>
      <c r="AL53" s="30">
        <v>43145</v>
      </c>
      <c r="AM53" s="2">
        <v>26</v>
      </c>
      <c r="AN53" s="2">
        <v>15</v>
      </c>
      <c r="AO53" s="2">
        <v>134</v>
      </c>
      <c r="AP53" s="2">
        <v>1</v>
      </c>
      <c r="AQ53" s="2">
        <v>186</v>
      </c>
      <c r="AR53" s="55">
        <v>3</v>
      </c>
      <c r="AS53" s="2">
        <v>152</v>
      </c>
      <c r="AT53" s="159">
        <v>0</v>
      </c>
      <c r="AU53" s="2">
        <v>81</v>
      </c>
      <c r="AV53" s="55">
        <v>1</v>
      </c>
      <c r="AW53" s="2">
        <v>1</v>
      </c>
      <c r="AX53" s="2" t="s">
        <v>615</v>
      </c>
      <c r="AY53" s="2">
        <v>999999</v>
      </c>
      <c r="AZ53" s="106">
        <v>0</v>
      </c>
      <c r="BA53" s="2">
        <v>14</v>
      </c>
      <c r="BB53" s="30">
        <v>42997</v>
      </c>
      <c r="BC53" s="2">
        <v>137</v>
      </c>
      <c r="BD53" s="160">
        <v>41806</v>
      </c>
      <c r="BE53" s="2">
        <v>1</v>
      </c>
      <c r="BF53" s="55">
        <v>1</v>
      </c>
      <c r="BG53" s="2">
        <v>1</v>
      </c>
      <c r="BH53" s="2">
        <v>0</v>
      </c>
      <c r="BI53" s="2">
        <v>239</v>
      </c>
      <c r="BJ53" s="2">
        <v>15</v>
      </c>
      <c r="BK53" s="2">
        <v>130</v>
      </c>
      <c r="BL53" s="161">
        <v>966098.37037037045</v>
      </c>
      <c r="BM53" s="2" t="str">
        <f t="shared" si="0"/>
        <v>181/283</v>
      </c>
      <c r="BN53" s="142"/>
    </row>
    <row r="54" spans="1:66" x14ac:dyDescent="0.25">
      <c r="A54" s="2">
        <v>540003</v>
      </c>
      <c r="B54" s="2" t="s">
        <v>116</v>
      </c>
      <c r="C54" s="2" t="s">
        <v>4</v>
      </c>
      <c r="D54" s="2" t="s">
        <v>612</v>
      </c>
      <c r="E54" s="2" t="s">
        <v>616</v>
      </c>
      <c r="F54" s="2" t="s">
        <v>613</v>
      </c>
      <c r="G54" s="2">
        <v>3</v>
      </c>
      <c r="H54" s="2">
        <v>0</v>
      </c>
      <c r="I54" s="2">
        <v>2</v>
      </c>
      <c r="J54" s="2">
        <v>9</v>
      </c>
      <c r="K54" s="2">
        <v>175</v>
      </c>
      <c r="L54" s="55">
        <v>0</v>
      </c>
      <c r="M54" s="2">
        <v>118</v>
      </c>
      <c r="N54" s="2">
        <v>4</v>
      </c>
      <c r="O54" s="2">
        <v>53</v>
      </c>
      <c r="P54" s="156">
        <v>23836</v>
      </c>
      <c r="Q54" s="2">
        <v>207</v>
      </c>
      <c r="R54" s="157">
        <v>5.6266027709999999</v>
      </c>
      <c r="S54" s="2">
        <v>3</v>
      </c>
      <c r="T54" s="158">
        <v>0.87</v>
      </c>
      <c r="U54" s="2">
        <v>177</v>
      </c>
      <c r="V54" s="55">
        <v>0</v>
      </c>
      <c r="W54" s="2">
        <v>230</v>
      </c>
      <c r="X54" s="55">
        <v>5</v>
      </c>
      <c r="Y54" s="2">
        <v>204</v>
      </c>
      <c r="Z54" s="2">
        <v>10</v>
      </c>
      <c r="AA54" s="2">
        <v>216</v>
      </c>
      <c r="AB54" s="2">
        <v>0</v>
      </c>
      <c r="AC54" s="2">
        <v>222</v>
      </c>
      <c r="AD54" s="105">
        <v>0</v>
      </c>
      <c r="AE54" s="2">
        <v>259</v>
      </c>
      <c r="AF54" s="55">
        <v>0</v>
      </c>
      <c r="AG54" s="2">
        <v>184</v>
      </c>
      <c r="AH54" s="55">
        <v>0</v>
      </c>
      <c r="AI54" s="2">
        <v>135</v>
      </c>
      <c r="AJ54" s="55">
        <v>0.6613</v>
      </c>
      <c r="AK54" s="2">
        <v>220</v>
      </c>
      <c r="AL54" s="30">
        <v>42066</v>
      </c>
      <c r="AM54" s="2">
        <v>243</v>
      </c>
      <c r="AN54" s="2">
        <v>37</v>
      </c>
      <c r="AO54" s="2">
        <v>199</v>
      </c>
      <c r="AP54" s="2">
        <v>0</v>
      </c>
      <c r="AQ54" s="2">
        <v>222</v>
      </c>
      <c r="AR54" s="55">
        <v>0</v>
      </c>
      <c r="AS54" s="2">
        <v>184</v>
      </c>
      <c r="AT54" s="159">
        <v>0</v>
      </c>
      <c r="AU54" s="2">
        <v>81</v>
      </c>
      <c r="AV54" s="55">
        <v>1</v>
      </c>
      <c r="AW54" s="2">
        <v>1</v>
      </c>
      <c r="AX54" s="2" t="s">
        <v>615</v>
      </c>
      <c r="AY54" s="2">
        <v>999999</v>
      </c>
      <c r="AZ54" s="106">
        <v>0</v>
      </c>
      <c r="BA54" s="2">
        <v>14</v>
      </c>
      <c r="BB54" s="30">
        <v>40562</v>
      </c>
      <c r="BC54" s="2">
        <v>63</v>
      </c>
      <c r="BD54" s="160">
        <v>43558</v>
      </c>
      <c r="BE54" s="2">
        <v>58</v>
      </c>
      <c r="BF54" s="55">
        <v>1</v>
      </c>
      <c r="BG54" s="2">
        <v>1</v>
      </c>
      <c r="BH54" s="2">
        <v>2</v>
      </c>
      <c r="BI54" s="2">
        <v>68</v>
      </c>
      <c r="BJ54" s="2">
        <v>37</v>
      </c>
      <c r="BK54" s="2">
        <v>82</v>
      </c>
      <c r="BL54" s="161">
        <v>966446.9629629628</v>
      </c>
      <c r="BM54" s="2" t="str">
        <f t="shared" si="0"/>
        <v>228/283</v>
      </c>
      <c r="BN54" s="142"/>
    </row>
    <row r="55" spans="1:66" x14ac:dyDescent="0.25">
      <c r="A55" s="162">
        <v>540009</v>
      </c>
      <c r="B55" s="162" t="s">
        <v>8</v>
      </c>
      <c r="C55" s="162" t="s">
        <v>9</v>
      </c>
      <c r="D55" s="162" t="s">
        <v>617</v>
      </c>
      <c r="E55" s="162" t="s">
        <v>616</v>
      </c>
      <c r="F55" s="162" t="s">
        <v>613</v>
      </c>
      <c r="G55" s="162">
        <v>3</v>
      </c>
      <c r="H55" s="162">
        <v>0</v>
      </c>
      <c r="I55" s="162">
        <v>2</v>
      </c>
      <c r="J55" s="162">
        <v>4.4000000000000004</v>
      </c>
      <c r="K55" s="162">
        <v>205</v>
      </c>
      <c r="L55" s="163">
        <v>4</v>
      </c>
      <c r="M55" s="162">
        <v>67</v>
      </c>
      <c r="N55" s="162">
        <v>4</v>
      </c>
      <c r="O55" s="162">
        <v>53</v>
      </c>
      <c r="P55" s="164">
        <v>418756</v>
      </c>
      <c r="Q55" s="162">
        <v>106</v>
      </c>
      <c r="R55" s="165">
        <v>0.60204035499999997</v>
      </c>
      <c r="S55" s="162">
        <v>83</v>
      </c>
      <c r="T55" s="166">
        <v>0.94</v>
      </c>
      <c r="U55" s="162">
        <v>11</v>
      </c>
      <c r="V55" s="163">
        <v>41</v>
      </c>
      <c r="W55" s="162">
        <v>39</v>
      </c>
      <c r="X55" s="163">
        <v>30</v>
      </c>
      <c r="Y55" s="162">
        <v>127</v>
      </c>
      <c r="Z55" s="162">
        <v>15</v>
      </c>
      <c r="AA55" s="162">
        <v>44</v>
      </c>
      <c r="AB55" s="162">
        <v>22</v>
      </c>
      <c r="AC55" s="162">
        <v>70</v>
      </c>
      <c r="AD55" s="167">
        <v>64</v>
      </c>
      <c r="AE55" s="162">
        <v>63</v>
      </c>
      <c r="AF55" s="163">
        <v>13</v>
      </c>
      <c r="AG55" s="162">
        <v>88</v>
      </c>
      <c r="AH55" s="163">
        <v>1223</v>
      </c>
      <c r="AI55" s="162">
        <v>43</v>
      </c>
      <c r="AJ55" s="163">
        <v>0.61029999999999995</v>
      </c>
      <c r="AK55" s="162">
        <v>187</v>
      </c>
      <c r="AL55" s="168">
        <v>42543</v>
      </c>
      <c r="AM55" s="162">
        <v>161</v>
      </c>
      <c r="AN55" s="162">
        <v>1</v>
      </c>
      <c r="AO55" s="162">
        <v>36</v>
      </c>
      <c r="AP55" s="162">
        <v>22</v>
      </c>
      <c r="AQ55" s="162">
        <v>70</v>
      </c>
      <c r="AR55" s="163">
        <v>13</v>
      </c>
      <c r="AS55" s="162">
        <v>88</v>
      </c>
      <c r="AT55" s="169">
        <v>-17.825020441537205</v>
      </c>
      <c r="AU55" s="162">
        <v>268</v>
      </c>
      <c r="AV55" s="163">
        <v>1</v>
      </c>
      <c r="AW55" s="162">
        <v>1</v>
      </c>
      <c r="AX55" s="162" t="s">
        <v>615</v>
      </c>
      <c r="AY55" s="162">
        <v>999999</v>
      </c>
      <c r="AZ55" s="170">
        <v>0</v>
      </c>
      <c r="BA55" s="162">
        <v>14</v>
      </c>
      <c r="BB55" s="168">
        <v>43440</v>
      </c>
      <c r="BC55" s="162">
        <v>245</v>
      </c>
      <c r="BD55" s="171">
        <v>43558</v>
      </c>
      <c r="BE55" s="162">
        <v>58</v>
      </c>
      <c r="BF55" s="163">
        <v>1</v>
      </c>
      <c r="BG55" s="162">
        <v>1</v>
      </c>
      <c r="BH55" s="162">
        <v>13</v>
      </c>
      <c r="BI55" s="162">
        <v>7</v>
      </c>
      <c r="BJ55" s="162">
        <v>1</v>
      </c>
      <c r="BK55" s="162">
        <v>231</v>
      </c>
      <c r="BL55" s="161">
        <v>965240.37037037045</v>
      </c>
      <c r="BM55" s="162" t="str">
        <f t="shared" si="0"/>
        <v>64/283</v>
      </c>
      <c r="BN55" s="142"/>
    </row>
    <row r="56" spans="1:66" x14ac:dyDescent="0.25">
      <c r="A56" s="2">
        <v>540013</v>
      </c>
      <c r="B56" s="2" t="s">
        <v>123</v>
      </c>
      <c r="C56" s="2" t="s">
        <v>11</v>
      </c>
      <c r="D56" s="2" t="s">
        <v>612</v>
      </c>
      <c r="E56" s="2" t="s">
        <v>616</v>
      </c>
      <c r="F56" s="2" t="s">
        <v>613</v>
      </c>
      <c r="G56" s="2">
        <v>3</v>
      </c>
      <c r="H56" s="2">
        <v>0</v>
      </c>
      <c r="I56" s="2">
        <v>2</v>
      </c>
      <c r="J56" s="2">
        <v>11.8</v>
      </c>
      <c r="K56" s="2">
        <v>170</v>
      </c>
      <c r="L56" s="55">
        <v>0</v>
      </c>
      <c r="M56" s="2">
        <v>118</v>
      </c>
      <c r="N56" s="2">
        <v>4</v>
      </c>
      <c r="O56" s="2">
        <v>53</v>
      </c>
      <c r="P56" s="156">
        <v>715067</v>
      </c>
      <c r="Q56" s="2">
        <v>82</v>
      </c>
      <c r="R56" s="157">
        <v>3.0438956990000001</v>
      </c>
      <c r="S56" s="2">
        <v>12</v>
      </c>
      <c r="T56" s="158">
        <v>0.8</v>
      </c>
      <c r="U56" s="2">
        <v>258</v>
      </c>
      <c r="V56" s="55">
        <v>3</v>
      </c>
      <c r="W56" s="2">
        <v>153</v>
      </c>
      <c r="X56" s="55">
        <v>23</v>
      </c>
      <c r="Y56" s="2">
        <v>139</v>
      </c>
      <c r="Z56" s="2">
        <v>8</v>
      </c>
      <c r="AA56" s="2">
        <v>243</v>
      </c>
      <c r="AB56" s="2">
        <v>5</v>
      </c>
      <c r="AC56" s="2">
        <v>129</v>
      </c>
      <c r="AD56" s="105">
        <v>13</v>
      </c>
      <c r="AE56" s="2">
        <v>142</v>
      </c>
      <c r="AF56" s="55">
        <v>0</v>
      </c>
      <c r="AG56" s="2">
        <v>184</v>
      </c>
      <c r="AH56" s="55">
        <v>73</v>
      </c>
      <c r="AI56" s="2">
        <v>130</v>
      </c>
      <c r="AJ56" s="55">
        <v>0.26740000000000003</v>
      </c>
      <c r="AK56" s="2">
        <v>21</v>
      </c>
      <c r="AL56" s="30">
        <v>43145</v>
      </c>
      <c r="AM56" s="2">
        <v>26</v>
      </c>
      <c r="AN56" s="2">
        <v>18</v>
      </c>
      <c r="AO56" s="2">
        <v>156</v>
      </c>
      <c r="AP56" s="2">
        <v>5</v>
      </c>
      <c r="AQ56" s="2">
        <v>129</v>
      </c>
      <c r="AR56" s="55">
        <v>0</v>
      </c>
      <c r="AS56" s="2">
        <v>184</v>
      </c>
      <c r="AT56" s="159">
        <v>12.328767123287671</v>
      </c>
      <c r="AU56" s="2">
        <v>19</v>
      </c>
      <c r="AV56" s="55">
        <v>1</v>
      </c>
      <c r="AW56" s="2">
        <v>1</v>
      </c>
      <c r="AX56" s="2" t="s">
        <v>615</v>
      </c>
      <c r="AY56" s="2">
        <v>999999</v>
      </c>
      <c r="AZ56" s="106">
        <v>0</v>
      </c>
      <c r="BA56" s="2">
        <v>14</v>
      </c>
      <c r="BB56" s="30">
        <v>43096</v>
      </c>
      <c r="BC56" s="2">
        <v>163</v>
      </c>
      <c r="BD56" s="160">
        <v>43530</v>
      </c>
      <c r="BE56" s="2">
        <v>51</v>
      </c>
      <c r="BF56" s="55">
        <v>1</v>
      </c>
      <c r="BG56" s="2">
        <v>1</v>
      </c>
      <c r="BH56" s="2">
        <v>17</v>
      </c>
      <c r="BI56" s="2">
        <v>6</v>
      </c>
      <c r="BJ56" s="2">
        <v>18</v>
      </c>
      <c r="BK56" s="2">
        <v>114</v>
      </c>
      <c r="BL56" s="161">
        <v>965560.07407407404</v>
      </c>
      <c r="BM56" s="2" t="str">
        <f t="shared" si="0"/>
        <v>103/283</v>
      </c>
      <c r="BN56" s="142"/>
    </row>
    <row r="57" spans="1:66" x14ac:dyDescent="0.25">
      <c r="A57" s="2">
        <v>540057</v>
      </c>
      <c r="B57" s="2" t="s">
        <v>155</v>
      </c>
      <c r="C57" s="2" t="s">
        <v>33</v>
      </c>
      <c r="D57" s="2" t="s">
        <v>612</v>
      </c>
      <c r="E57" s="2" t="s">
        <v>616</v>
      </c>
      <c r="F57" s="2" t="s">
        <v>613</v>
      </c>
      <c r="G57" s="2">
        <v>3</v>
      </c>
      <c r="H57" s="2">
        <v>0</v>
      </c>
      <c r="I57" s="2">
        <v>2</v>
      </c>
      <c r="J57" s="2">
        <v>65.400000000000006</v>
      </c>
      <c r="K57" s="2">
        <v>56</v>
      </c>
      <c r="L57" s="55">
        <v>0</v>
      </c>
      <c r="M57" s="2">
        <v>118</v>
      </c>
      <c r="N57" s="2">
        <v>4</v>
      </c>
      <c r="O57" s="2">
        <v>53</v>
      </c>
      <c r="P57" s="156">
        <v>695268</v>
      </c>
      <c r="Q57" s="2">
        <v>84</v>
      </c>
      <c r="R57" s="157">
        <v>-0.57059303299999997</v>
      </c>
      <c r="S57" s="2">
        <v>202</v>
      </c>
      <c r="T57" s="158">
        <v>0.9</v>
      </c>
      <c r="U57" s="2">
        <v>107</v>
      </c>
      <c r="V57" s="55">
        <v>17</v>
      </c>
      <c r="W57" s="2">
        <v>77</v>
      </c>
      <c r="X57" s="55">
        <v>89</v>
      </c>
      <c r="Y57" s="2">
        <v>65</v>
      </c>
      <c r="Z57" s="2">
        <v>13</v>
      </c>
      <c r="AA57" s="2">
        <v>78</v>
      </c>
      <c r="AB57" s="2">
        <v>8</v>
      </c>
      <c r="AC57" s="2">
        <v>109</v>
      </c>
      <c r="AD57" s="105">
        <v>18</v>
      </c>
      <c r="AE57" s="2">
        <v>123</v>
      </c>
      <c r="AF57" s="55">
        <v>15</v>
      </c>
      <c r="AG57" s="2">
        <v>81</v>
      </c>
      <c r="AH57" s="55">
        <v>0</v>
      </c>
      <c r="AI57" s="2">
        <v>135</v>
      </c>
      <c r="AJ57" s="55">
        <v>0.40079999999999999</v>
      </c>
      <c r="AK57" s="2">
        <v>90</v>
      </c>
      <c r="AL57" s="30">
        <v>43145</v>
      </c>
      <c r="AM57" s="2">
        <v>26</v>
      </c>
      <c r="AN57" s="2">
        <v>26</v>
      </c>
      <c r="AO57" s="2">
        <v>174</v>
      </c>
      <c r="AP57" s="2">
        <v>8</v>
      </c>
      <c r="AQ57" s="2">
        <v>109</v>
      </c>
      <c r="AR57" s="55">
        <v>15</v>
      </c>
      <c r="AS57" s="2">
        <v>81</v>
      </c>
      <c r="AT57" s="159">
        <v>0</v>
      </c>
      <c r="AU57" s="2">
        <v>81</v>
      </c>
      <c r="AV57" s="55">
        <v>1</v>
      </c>
      <c r="AW57" s="2">
        <v>1</v>
      </c>
      <c r="AX57" s="2" t="s">
        <v>615</v>
      </c>
      <c r="AY57" s="2">
        <v>999999</v>
      </c>
      <c r="AZ57" s="106">
        <v>0</v>
      </c>
      <c r="BA57" s="2">
        <v>14</v>
      </c>
      <c r="BB57" s="30">
        <v>33126</v>
      </c>
      <c r="BC57" s="2">
        <v>9</v>
      </c>
      <c r="BD57" s="160">
        <v>41806</v>
      </c>
      <c r="BE57" s="2">
        <v>1</v>
      </c>
      <c r="BF57" s="55">
        <v>1</v>
      </c>
      <c r="BG57" s="2">
        <v>1</v>
      </c>
      <c r="BH57" s="2">
        <v>1</v>
      </c>
      <c r="BI57" s="2">
        <v>151</v>
      </c>
      <c r="BJ57" s="2">
        <v>26</v>
      </c>
      <c r="BK57" s="2">
        <v>100</v>
      </c>
      <c r="BL57" s="161">
        <v>965009.2592592591</v>
      </c>
      <c r="BM57" s="2" t="str">
        <f t="shared" si="0"/>
        <v>42/283</v>
      </c>
      <c r="BN57" s="142"/>
    </row>
    <row r="58" spans="1:66" x14ac:dyDescent="0.25">
      <c r="A58" s="77">
        <v>540068</v>
      </c>
      <c r="B58" s="77" t="s">
        <v>164</v>
      </c>
      <c r="C58" s="77" t="s">
        <v>37</v>
      </c>
      <c r="D58" s="77" t="s">
        <v>612</v>
      </c>
      <c r="E58" s="77" t="s">
        <v>616</v>
      </c>
      <c r="F58" s="77" t="s">
        <v>613</v>
      </c>
      <c r="G58" s="77">
        <v>3</v>
      </c>
      <c r="H58" s="77">
        <v>0</v>
      </c>
      <c r="I58" s="77">
        <v>2</v>
      </c>
      <c r="J58" s="77">
        <v>204.6</v>
      </c>
      <c r="K58" s="77">
        <v>5</v>
      </c>
      <c r="L58" s="172">
        <v>0</v>
      </c>
      <c r="M58" s="77">
        <v>118</v>
      </c>
      <c r="N58" s="77">
        <v>4</v>
      </c>
      <c r="O58" s="77">
        <v>53</v>
      </c>
      <c r="P58" s="173">
        <v>56128</v>
      </c>
      <c r="Q58" s="77">
        <v>182</v>
      </c>
      <c r="R58" s="174">
        <v>2.5737324519999998</v>
      </c>
      <c r="S58" s="77">
        <v>26</v>
      </c>
      <c r="T58" s="175">
        <v>0.82000000000000006</v>
      </c>
      <c r="U58" s="77">
        <v>245</v>
      </c>
      <c r="V58" s="172">
        <v>13</v>
      </c>
      <c r="W58" s="77">
        <v>82</v>
      </c>
      <c r="X58" s="172">
        <v>20</v>
      </c>
      <c r="Y58" s="77">
        <v>147</v>
      </c>
      <c r="Z58" s="77">
        <v>8</v>
      </c>
      <c r="AA58" s="77">
        <v>243</v>
      </c>
      <c r="AB58" s="77">
        <v>14</v>
      </c>
      <c r="AC58" s="77">
        <v>90</v>
      </c>
      <c r="AD58" s="176">
        <v>28</v>
      </c>
      <c r="AE58" s="77">
        <v>100</v>
      </c>
      <c r="AF58" s="172">
        <v>5</v>
      </c>
      <c r="AG58" s="77">
        <v>130</v>
      </c>
      <c r="AH58" s="172">
        <v>543</v>
      </c>
      <c r="AI58" s="77">
        <v>71</v>
      </c>
      <c r="AJ58" s="172">
        <v>0.23849999999999999</v>
      </c>
      <c r="AK58" s="77">
        <v>14</v>
      </c>
      <c r="AL58" s="177">
        <v>43248</v>
      </c>
      <c r="AM58" s="77">
        <v>1</v>
      </c>
      <c r="AN58" s="77">
        <v>6</v>
      </c>
      <c r="AO58" s="77">
        <v>81</v>
      </c>
      <c r="AP58" s="77">
        <v>14</v>
      </c>
      <c r="AQ58" s="77">
        <v>90</v>
      </c>
      <c r="AR58" s="172">
        <v>5</v>
      </c>
      <c r="AS58" s="77">
        <v>130</v>
      </c>
      <c r="AT58" s="178">
        <v>33.885819521178639</v>
      </c>
      <c r="AU58" s="77">
        <v>2</v>
      </c>
      <c r="AV58" s="172">
        <v>1</v>
      </c>
      <c r="AW58" s="77">
        <v>1</v>
      </c>
      <c r="AX58" s="77" t="s">
        <v>615</v>
      </c>
      <c r="AY58" s="77">
        <v>999999</v>
      </c>
      <c r="AZ58" s="179">
        <v>0</v>
      </c>
      <c r="BA58" s="77">
        <v>14</v>
      </c>
      <c r="BB58" s="177">
        <v>40246</v>
      </c>
      <c r="BC58" s="77">
        <v>36</v>
      </c>
      <c r="BD58" s="180">
        <v>43530</v>
      </c>
      <c r="BE58" s="77">
        <v>51</v>
      </c>
      <c r="BF58" s="172">
        <v>1</v>
      </c>
      <c r="BG58" s="77">
        <v>1</v>
      </c>
      <c r="BH58" s="77">
        <v>1</v>
      </c>
      <c r="BI58" s="77">
        <v>151</v>
      </c>
      <c r="BJ58" s="77">
        <v>6</v>
      </c>
      <c r="BK58" s="77">
        <v>191</v>
      </c>
      <c r="BL58" s="161">
        <v>965133.48148148146</v>
      </c>
      <c r="BM58" s="77" t="str">
        <f t="shared" si="0"/>
        <v>51/283</v>
      </c>
      <c r="BN58" s="142"/>
    </row>
    <row r="59" spans="1:66" x14ac:dyDescent="0.25">
      <c r="A59" s="2">
        <v>540089</v>
      </c>
      <c r="B59" s="2" t="s">
        <v>181</v>
      </c>
      <c r="C59" s="2" t="s">
        <v>43</v>
      </c>
      <c r="D59" s="2" t="s">
        <v>612</v>
      </c>
      <c r="E59" s="2" t="s">
        <v>616</v>
      </c>
      <c r="F59" s="2" t="s">
        <v>613</v>
      </c>
      <c r="G59" s="2">
        <v>3</v>
      </c>
      <c r="H59" s="2">
        <v>0</v>
      </c>
      <c r="I59" s="2">
        <v>2</v>
      </c>
      <c r="J59" s="2">
        <v>13.2</v>
      </c>
      <c r="K59" s="2">
        <v>165</v>
      </c>
      <c r="L59" s="55">
        <v>0</v>
      </c>
      <c r="M59" s="2">
        <v>118</v>
      </c>
      <c r="N59" s="2">
        <v>4</v>
      </c>
      <c r="O59" s="2">
        <v>53</v>
      </c>
      <c r="P59" s="156">
        <v>179619</v>
      </c>
      <c r="Q59" s="2">
        <v>138</v>
      </c>
      <c r="R59" s="157">
        <v>0.58880869800000002</v>
      </c>
      <c r="S59" s="2">
        <v>88</v>
      </c>
      <c r="T59" s="158">
        <v>0.94</v>
      </c>
      <c r="U59" s="2">
        <v>11</v>
      </c>
      <c r="V59" s="55">
        <v>8</v>
      </c>
      <c r="W59" s="2">
        <v>101</v>
      </c>
      <c r="X59" s="55">
        <v>48</v>
      </c>
      <c r="Y59" s="2">
        <v>92</v>
      </c>
      <c r="Z59" s="2">
        <v>20</v>
      </c>
      <c r="AA59" s="2">
        <v>1</v>
      </c>
      <c r="AB59" s="2">
        <v>17</v>
      </c>
      <c r="AC59" s="2">
        <v>81</v>
      </c>
      <c r="AD59" s="105">
        <v>21</v>
      </c>
      <c r="AE59" s="2">
        <v>115</v>
      </c>
      <c r="AF59" s="55">
        <v>6</v>
      </c>
      <c r="AG59" s="2">
        <v>124</v>
      </c>
      <c r="AH59" s="55">
        <v>195</v>
      </c>
      <c r="AI59" s="2">
        <v>99</v>
      </c>
      <c r="AJ59" s="55">
        <v>0.53300000000000003</v>
      </c>
      <c r="AK59" s="2">
        <v>156</v>
      </c>
      <c r="AL59" s="30">
        <v>43145</v>
      </c>
      <c r="AM59" s="2">
        <v>26</v>
      </c>
      <c r="AN59" s="2">
        <v>4</v>
      </c>
      <c r="AO59" s="2">
        <v>66</v>
      </c>
      <c r="AP59" s="2">
        <v>17</v>
      </c>
      <c r="AQ59" s="2">
        <v>81</v>
      </c>
      <c r="AR59" s="55">
        <v>6</v>
      </c>
      <c r="AS59" s="2">
        <v>124</v>
      </c>
      <c r="AT59" s="159">
        <v>13.333333333333334</v>
      </c>
      <c r="AU59" s="2">
        <v>15</v>
      </c>
      <c r="AV59" s="55">
        <v>1</v>
      </c>
      <c r="AW59" s="2">
        <v>1</v>
      </c>
      <c r="AX59" s="2" t="s">
        <v>615</v>
      </c>
      <c r="AY59" s="2">
        <v>999999</v>
      </c>
      <c r="AZ59" s="106">
        <v>0</v>
      </c>
      <c r="BA59" s="2">
        <v>14</v>
      </c>
      <c r="BB59" s="30">
        <v>35227</v>
      </c>
      <c r="BC59" s="2">
        <v>28</v>
      </c>
      <c r="BD59" s="160">
        <v>41806</v>
      </c>
      <c r="BE59" s="2">
        <v>1</v>
      </c>
      <c r="BF59" s="55">
        <v>1</v>
      </c>
      <c r="BG59" s="2">
        <v>1</v>
      </c>
      <c r="BH59" s="2">
        <v>1</v>
      </c>
      <c r="BI59" s="2">
        <v>151</v>
      </c>
      <c r="BJ59" s="2">
        <v>4</v>
      </c>
      <c r="BK59" s="2">
        <v>204</v>
      </c>
      <c r="BL59" s="161">
        <v>964939.92592592584</v>
      </c>
      <c r="BM59" s="2" t="str">
        <f t="shared" si="0"/>
        <v>37/283</v>
      </c>
      <c r="BN59" s="142"/>
    </row>
    <row r="60" spans="1:66" x14ac:dyDescent="0.25">
      <c r="A60" s="2">
        <v>540100</v>
      </c>
      <c r="B60" s="2" t="s">
        <v>189</v>
      </c>
      <c r="C60" s="2" t="s">
        <v>45</v>
      </c>
      <c r="D60" s="2" t="s">
        <v>612</v>
      </c>
      <c r="E60" s="2" t="s">
        <v>616</v>
      </c>
      <c r="F60" s="2" t="s">
        <v>613</v>
      </c>
      <c r="G60" s="2">
        <v>3</v>
      </c>
      <c r="H60" s="2">
        <v>0</v>
      </c>
      <c r="I60" s="2">
        <v>2</v>
      </c>
      <c r="J60" s="2">
        <v>13.4</v>
      </c>
      <c r="K60" s="2">
        <v>146</v>
      </c>
      <c r="L60" s="55">
        <v>0</v>
      </c>
      <c r="M60" s="2">
        <v>118</v>
      </c>
      <c r="N60" s="2">
        <v>4</v>
      </c>
      <c r="O60" s="2">
        <v>53</v>
      </c>
      <c r="P60" s="156">
        <v>89777</v>
      </c>
      <c r="Q60" s="2">
        <v>168</v>
      </c>
      <c r="R60" s="157">
        <v>-0.439666047</v>
      </c>
      <c r="S60" s="2">
        <v>171</v>
      </c>
      <c r="T60" s="158">
        <v>0.86</v>
      </c>
      <c r="U60" s="2">
        <v>191</v>
      </c>
      <c r="V60" s="55">
        <v>2</v>
      </c>
      <c r="W60" s="2">
        <v>170</v>
      </c>
      <c r="X60" s="55">
        <v>8</v>
      </c>
      <c r="Y60" s="2">
        <v>188</v>
      </c>
      <c r="Z60" s="2">
        <v>11</v>
      </c>
      <c r="AA60" s="2">
        <v>155</v>
      </c>
      <c r="AB60" s="2">
        <v>2</v>
      </c>
      <c r="AC60" s="2">
        <v>168</v>
      </c>
      <c r="AD60" s="105">
        <v>4</v>
      </c>
      <c r="AE60" s="2">
        <v>206</v>
      </c>
      <c r="AF60" s="55">
        <v>0</v>
      </c>
      <c r="AG60" s="2">
        <v>184</v>
      </c>
      <c r="AH60" s="55">
        <v>0</v>
      </c>
      <c r="AI60" s="2">
        <v>135</v>
      </c>
      <c r="AJ60" s="55">
        <v>0.34639999999999999</v>
      </c>
      <c r="AK60" s="2">
        <v>49</v>
      </c>
      <c r="AL60" s="30">
        <v>42944</v>
      </c>
      <c r="AM60" s="2">
        <v>135</v>
      </c>
      <c r="AN60" s="2">
        <v>15</v>
      </c>
      <c r="AO60" s="2">
        <v>134</v>
      </c>
      <c r="AP60" s="2">
        <v>2</v>
      </c>
      <c r="AQ60" s="2">
        <v>168</v>
      </c>
      <c r="AR60" s="55">
        <v>0</v>
      </c>
      <c r="AS60" s="2">
        <v>184</v>
      </c>
      <c r="AT60" s="159">
        <v>0</v>
      </c>
      <c r="AU60" s="2">
        <v>81</v>
      </c>
      <c r="AV60" s="55">
        <v>1</v>
      </c>
      <c r="AW60" s="2">
        <v>1</v>
      </c>
      <c r="AX60" s="2" t="s">
        <v>615</v>
      </c>
      <c r="AY60" s="2">
        <v>999999</v>
      </c>
      <c r="AZ60" s="106">
        <v>0</v>
      </c>
      <c r="BA60" s="2">
        <v>14</v>
      </c>
      <c r="BB60" s="30">
        <v>43294</v>
      </c>
      <c r="BC60" s="2">
        <v>214</v>
      </c>
      <c r="BD60" s="160">
        <v>41806</v>
      </c>
      <c r="BE60" s="2">
        <v>1</v>
      </c>
      <c r="BF60" s="55">
        <v>1</v>
      </c>
      <c r="BG60" s="2">
        <v>1</v>
      </c>
      <c r="BH60" s="2">
        <v>0</v>
      </c>
      <c r="BI60" s="2">
        <v>239</v>
      </c>
      <c r="BJ60" s="2">
        <v>15</v>
      </c>
      <c r="BK60" s="2">
        <v>130</v>
      </c>
      <c r="BL60" s="161">
        <v>966239.92592592596</v>
      </c>
      <c r="BM60" s="2" t="str">
        <f t="shared" si="0"/>
        <v>207/283</v>
      </c>
      <c r="BN60" s="142"/>
    </row>
    <row r="61" spans="1:66" x14ac:dyDescent="0.25">
      <c r="A61" s="2">
        <v>540109</v>
      </c>
      <c r="B61" s="2" t="s">
        <v>197</v>
      </c>
      <c r="C61" s="2" t="s">
        <v>47</v>
      </c>
      <c r="D61" s="2" t="s">
        <v>612</v>
      </c>
      <c r="E61" s="2" t="s">
        <v>616</v>
      </c>
      <c r="F61" s="2" t="s">
        <v>613</v>
      </c>
      <c r="G61" s="2">
        <v>3</v>
      </c>
      <c r="H61" s="2">
        <v>0</v>
      </c>
      <c r="I61" s="2">
        <v>2</v>
      </c>
      <c r="J61" s="2">
        <v>1.4</v>
      </c>
      <c r="K61" s="2">
        <v>250</v>
      </c>
      <c r="L61" s="55">
        <v>3</v>
      </c>
      <c r="M61" s="2">
        <v>77</v>
      </c>
      <c r="N61" s="2">
        <v>4</v>
      </c>
      <c r="O61" s="2">
        <v>53</v>
      </c>
      <c r="P61" s="156">
        <v>263114</v>
      </c>
      <c r="Q61" s="2">
        <v>128</v>
      </c>
      <c r="R61" s="157">
        <v>-0.18995964400000001</v>
      </c>
      <c r="S61" s="2">
        <v>150</v>
      </c>
      <c r="T61" s="158">
        <v>0.86</v>
      </c>
      <c r="U61" s="2">
        <v>191</v>
      </c>
      <c r="V61" s="55">
        <v>4</v>
      </c>
      <c r="W61" s="2">
        <v>142</v>
      </c>
      <c r="X61" s="55">
        <v>41</v>
      </c>
      <c r="Y61" s="2">
        <v>110</v>
      </c>
      <c r="Z61" s="2">
        <v>12</v>
      </c>
      <c r="AA61" s="2">
        <v>133</v>
      </c>
      <c r="AB61" s="2">
        <v>7</v>
      </c>
      <c r="AC61" s="2">
        <v>120</v>
      </c>
      <c r="AD61" s="105">
        <v>9</v>
      </c>
      <c r="AE61" s="2">
        <v>160</v>
      </c>
      <c r="AF61" s="55">
        <v>12</v>
      </c>
      <c r="AG61" s="2">
        <v>94</v>
      </c>
      <c r="AH61" s="55">
        <v>340</v>
      </c>
      <c r="AI61" s="2">
        <v>80</v>
      </c>
      <c r="AJ61" s="55">
        <v>0.18820000000000001</v>
      </c>
      <c r="AK61" s="2">
        <v>8</v>
      </c>
      <c r="AL61" s="30">
        <v>43145</v>
      </c>
      <c r="AM61" s="2">
        <v>26</v>
      </c>
      <c r="AN61" s="2">
        <v>3</v>
      </c>
      <c r="AO61" s="2">
        <v>57</v>
      </c>
      <c r="AP61" s="2">
        <v>7</v>
      </c>
      <c r="AQ61" s="2">
        <v>120</v>
      </c>
      <c r="AR61" s="55">
        <v>12</v>
      </c>
      <c r="AS61" s="2">
        <v>94</v>
      </c>
      <c r="AT61" s="159">
        <v>-18.823529411764707</v>
      </c>
      <c r="AU61" s="2">
        <v>269</v>
      </c>
      <c r="AV61" s="55">
        <v>1</v>
      </c>
      <c r="AW61" s="2">
        <v>1</v>
      </c>
      <c r="AX61" s="2" t="s">
        <v>615</v>
      </c>
      <c r="AY61" s="2">
        <v>999999</v>
      </c>
      <c r="AZ61" s="106">
        <v>0</v>
      </c>
      <c r="BA61" s="2">
        <v>14</v>
      </c>
      <c r="BB61" s="30">
        <v>43082</v>
      </c>
      <c r="BC61" s="2">
        <v>162</v>
      </c>
      <c r="BD61" s="160">
        <v>43530</v>
      </c>
      <c r="BE61" s="2">
        <v>51</v>
      </c>
      <c r="BF61" s="55">
        <v>0</v>
      </c>
      <c r="BG61" s="2">
        <v>183</v>
      </c>
      <c r="BH61" s="2">
        <v>2</v>
      </c>
      <c r="BI61" s="2">
        <v>68</v>
      </c>
      <c r="BJ61" s="2">
        <v>3</v>
      </c>
      <c r="BK61" s="2">
        <v>219</v>
      </c>
      <c r="BL61" s="161">
        <v>965812.37037037034</v>
      </c>
      <c r="BM61" s="2" t="str">
        <f t="shared" si="0"/>
        <v>137/283</v>
      </c>
      <c r="BN61" s="142"/>
    </row>
    <row r="62" spans="1:66" x14ac:dyDescent="0.25">
      <c r="A62" s="2">
        <v>540251</v>
      </c>
      <c r="B62" s="2" t="s">
        <v>297</v>
      </c>
      <c r="C62" s="2" t="s">
        <v>49</v>
      </c>
      <c r="D62" s="2" t="s">
        <v>612</v>
      </c>
      <c r="E62" s="2" t="s">
        <v>616</v>
      </c>
      <c r="F62" s="2" t="s">
        <v>613</v>
      </c>
      <c r="G62" s="2">
        <v>3</v>
      </c>
      <c r="H62" s="2">
        <v>0</v>
      </c>
      <c r="I62" s="2">
        <v>2</v>
      </c>
      <c r="J62" s="2">
        <v>2.4</v>
      </c>
      <c r="K62" s="2">
        <v>237</v>
      </c>
      <c r="L62" s="55">
        <v>2</v>
      </c>
      <c r="M62" s="2">
        <v>84</v>
      </c>
      <c r="N62" s="2">
        <v>4</v>
      </c>
      <c r="O62" s="2">
        <v>53</v>
      </c>
      <c r="P62" s="156">
        <v>60549</v>
      </c>
      <c r="Q62" s="2">
        <v>181</v>
      </c>
      <c r="R62" s="157">
        <v>1.3221522400000001</v>
      </c>
      <c r="S62" s="2">
        <v>50</v>
      </c>
      <c r="T62" s="158">
        <v>0.94</v>
      </c>
      <c r="U62" s="2">
        <v>11</v>
      </c>
      <c r="V62" s="55">
        <v>0</v>
      </c>
      <c r="W62" s="2">
        <v>230</v>
      </c>
      <c r="X62" s="55">
        <v>20</v>
      </c>
      <c r="Y62" s="2">
        <v>147</v>
      </c>
      <c r="Z62" s="2">
        <v>12</v>
      </c>
      <c r="AA62" s="2">
        <v>133</v>
      </c>
      <c r="AB62" s="2">
        <v>1</v>
      </c>
      <c r="AC62" s="2">
        <v>186</v>
      </c>
      <c r="AD62" s="105">
        <v>7</v>
      </c>
      <c r="AE62" s="2">
        <v>179</v>
      </c>
      <c r="AF62" s="55">
        <v>4</v>
      </c>
      <c r="AG62" s="2">
        <v>142</v>
      </c>
      <c r="AH62" s="55">
        <v>0</v>
      </c>
      <c r="AI62" s="2">
        <v>135</v>
      </c>
      <c r="AJ62" s="55">
        <v>0.61060000000000003</v>
      </c>
      <c r="AK62" s="2">
        <v>192</v>
      </c>
      <c r="AL62" s="30">
        <v>43145</v>
      </c>
      <c r="AM62" s="2">
        <v>26</v>
      </c>
      <c r="AN62" s="2">
        <v>4</v>
      </c>
      <c r="AO62" s="2">
        <v>66</v>
      </c>
      <c r="AP62" s="2">
        <v>1</v>
      </c>
      <c r="AQ62" s="2">
        <v>186</v>
      </c>
      <c r="AR62" s="55">
        <v>4</v>
      </c>
      <c r="AS62" s="2">
        <v>142</v>
      </c>
      <c r="AT62" s="159">
        <v>0</v>
      </c>
      <c r="AU62" s="2">
        <v>81</v>
      </c>
      <c r="AV62" s="55">
        <v>0</v>
      </c>
      <c r="AW62" s="2">
        <v>194</v>
      </c>
      <c r="AX62" s="2" t="s">
        <v>615</v>
      </c>
      <c r="AY62" s="2">
        <v>999999</v>
      </c>
      <c r="AZ62" s="106">
        <v>0</v>
      </c>
      <c r="BA62" s="2">
        <v>14</v>
      </c>
      <c r="BB62" s="30">
        <v>42440</v>
      </c>
      <c r="BC62" s="2">
        <v>106</v>
      </c>
      <c r="BD62" s="160">
        <v>41806</v>
      </c>
      <c r="BE62" s="2">
        <v>1</v>
      </c>
      <c r="BF62" s="55">
        <v>1</v>
      </c>
      <c r="BG62" s="2">
        <v>1</v>
      </c>
      <c r="BH62" s="2">
        <v>1</v>
      </c>
      <c r="BI62" s="2">
        <v>151</v>
      </c>
      <c r="BJ62" s="2">
        <v>4</v>
      </c>
      <c r="BK62" s="2">
        <v>204</v>
      </c>
      <c r="BL62" s="161">
        <v>965978</v>
      </c>
      <c r="BM62" s="2" t="str">
        <f t="shared" si="0"/>
        <v>158/283</v>
      </c>
      <c r="BN62" s="142"/>
    </row>
    <row r="63" spans="1:66" x14ac:dyDescent="0.25">
      <c r="A63" s="2">
        <v>540127</v>
      </c>
      <c r="B63" s="2" t="s">
        <v>212</v>
      </c>
      <c r="C63" s="2" t="s">
        <v>53</v>
      </c>
      <c r="D63" s="2" t="s">
        <v>612</v>
      </c>
      <c r="E63" s="2" t="s">
        <v>616</v>
      </c>
      <c r="F63" s="2" t="s">
        <v>613</v>
      </c>
      <c r="G63" s="2">
        <v>3</v>
      </c>
      <c r="H63" s="2">
        <v>0</v>
      </c>
      <c r="I63" s="2">
        <v>2</v>
      </c>
      <c r="J63" s="2">
        <v>13.4</v>
      </c>
      <c r="K63" s="2">
        <v>146</v>
      </c>
      <c r="L63" s="55">
        <v>3</v>
      </c>
      <c r="M63" s="2">
        <v>77</v>
      </c>
      <c r="N63" s="2">
        <v>4</v>
      </c>
      <c r="O63" s="2">
        <v>53</v>
      </c>
      <c r="P63" s="156">
        <v>73028</v>
      </c>
      <c r="Q63" s="2">
        <v>176</v>
      </c>
      <c r="R63" s="157">
        <v>-0.55309814800000001</v>
      </c>
      <c r="S63" s="2">
        <v>195</v>
      </c>
      <c r="T63" s="158">
        <v>0.92999999999999994</v>
      </c>
      <c r="U63" s="2">
        <v>38</v>
      </c>
      <c r="V63" s="55">
        <v>1</v>
      </c>
      <c r="W63" s="2">
        <v>197</v>
      </c>
      <c r="X63" s="55">
        <v>12</v>
      </c>
      <c r="Y63" s="2">
        <v>169</v>
      </c>
      <c r="Z63" s="2">
        <v>13</v>
      </c>
      <c r="AA63" s="2">
        <v>78</v>
      </c>
      <c r="AB63" s="2">
        <v>1</v>
      </c>
      <c r="AC63" s="2">
        <v>186</v>
      </c>
      <c r="AD63" s="105">
        <v>2</v>
      </c>
      <c r="AE63" s="2">
        <v>228</v>
      </c>
      <c r="AF63" s="55">
        <v>5</v>
      </c>
      <c r="AG63" s="2">
        <v>130</v>
      </c>
      <c r="AH63" s="55">
        <v>0</v>
      </c>
      <c r="AI63" s="2">
        <v>135</v>
      </c>
      <c r="AJ63" s="55">
        <v>0.7631</v>
      </c>
      <c r="AK63" s="2">
        <v>248</v>
      </c>
      <c r="AL63" s="30">
        <v>42066</v>
      </c>
      <c r="AM63" s="2">
        <v>243</v>
      </c>
      <c r="AN63" s="2">
        <v>48</v>
      </c>
      <c r="AO63" s="2">
        <v>213</v>
      </c>
      <c r="AP63" s="2">
        <v>1</v>
      </c>
      <c r="AQ63" s="2">
        <v>186</v>
      </c>
      <c r="AR63" s="55">
        <v>5</v>
      </c>
      <c r="AS63" s="2">
        <v>130</v>
      </c>
      <c r="AT63" s="159">
        <v>0</v>
      </c>
      <c r="AU63" s="2">
        <v>81</v>
      </c>
      <c r="AV63" s="55">
        <v>1</v>
      </c>
      <c r="AW63" s="2">
        <v>1</v>
      </c>
      <c r="AX63" s="2" t="s">
        <v>615</v>
      </c>
      <c r="AY63" s="2">
        <v>999999</v>
      </c>
      <c r="AZ63" s="106">
        <v>0</v>
      </c>
      <c r="BA63" s="2">
        <v>14</v>
      </c>
      <c r="BB63" s="30">
        <v>43137</v>
      </c>
      <c r="BC63" s="2">
        <v>170</v>
      </c>
      <c r="BD63" s="160">
        <v>41806</v>
      </c>
      <c r="BE63" s="2">
        <v>1</v>
      </c>
      <c r="BF63" s="55">
        <v>1</v>
      </c>
      <c r="BG63" s="2">
        <v>1</v>
      </c>
      <c r="BH63" s="2">
        <v>1</v>
      </c>
      <c r="BI63" s="2">
        <v>151</v>
      </c>
      <c r="BJ63" s="2">
        <v>48</v>
      </c>
      <c r="BK63" s="2">
        <v>65</v>
      </c>
      <c r="BL63" s="161">
        <v>966151.33333333326</v>
      </c>
      <c r="BM63" s="2" t="str">
        <f t="shared" si="0"/>
        <v>188/283</v>
      </c>
      <c r="BN63" s="142"/>
    </row>
    <row r="64" spans="1:66" x14ac:dyDescent="0.25">
      <c r="A64" s="2">
        <v>540165</v>
      </c>
      <c r="B64" s="2" t="s">
        <v>238</v>
      </c>
      <c r="C64" s="2" t="s">
        <v>71</v>
      </c>
      <c r="D64" s="2" t="s">
        <v>612</v>
      </c>
      <c r="E64" s="2" t="s">
        <v>616</v>
      </c>
      <c r="F64" s="2" t="s">
        <v>613</v>
      </c>
      <c r="G64" s="2">
        <v>3</v>
      </c>
      <c r="H64" s="2">
        <v>0</v>
      </c>
      <c r="I64" s="2">
        <v>2</v>
      </c>
      <c r="J64" s="2">
        <v>107</v>
      </c>
      <c r="K64" s="2">
        <v>18</v>
      </c>
      <c r="L64" s="55">
        <v>0</v>
      </c>
      <c r="M64" s="2">
        <v>118</v>
      </c>
      <c r="N64" s="2">
        <v>4</v>
      </c>
      <c r="O64" s="2">
        <v>53</v>
      </c>
      <c r="P64" s="156">
        <v>14398</v>
      </c>
      <c r="Q64" s="2">
        <v>218</v>
      </c>
      <c r="R64" s="157">
        <v>0.40393937000000002</v>
      </c>
      <c r="S64" s="2">
        <v>95</v>
      </c>
      <c r="T64" s="158">
        <v>0.86</v>
      </c>
      <c r="U64" s="2">
        <v>191</v>
      </c>
      <c r="V64" s="55">
        <v>3</v>
      </c>
      <c r="W64" s="2">
        <v>153</v>
      </c>
      <c r="X64" s="55">
        <v>1</v>
      </c>
      <c r="Y64" s="2">
        <v>237</v>
      </c>
      <c r="Z64" s="2">
        <v>12</v>
      </c>
      <c r="AA64" s="2">
        <v>133</v>
      </c>
      <c r="AB64" s="2">
        <v>9</v>
      </c>
      <c r="AC64" s="2">
        <v>105</v>
      </c>
      <c r="AD64" s="105">
        <v>10</v>
      </c>
      <c r="AE64" s="2">
        <v>154</v>
      </c>
      <c r="AF64" s="55">
        <v>0</v>
      </c>
      <c r="AG64" s="2">
        <v>184</v>
      </c>
      <c r="AH64" s="55">
        <v>0</v>
      </c>
      <c r="AI64" s="2">
        <v>135</v>
      </c>
      <c r="AJ64" s="55">
        <v>3.7199999999999997E-2</v>
      </c>
      <c r="AK64" s="2">
        <v>1</v>
      </c>
      <c r="AL64" s="30">
        <v>42066</v>
      </c>
      <c r="AM64" s="2">
        <v>243</v>
      </c>
      <c r="AN64" s="2">
        <v>10</v>
      </c>
      <c r="AO64" s="2">
        <v>103</v>
      </c>
      <c r="AP64" s="2">
        <v>9</v>
      </c>
      <c r="AQ64" s="2">
        <v>105</v>
      </c>
      <c r="AR64" s="55">
        <v>0</v>
      </c>
      <c r="AS64" s="2">
        <v>184</v>
      </c>
      <c r="AT64" s="159">
        <v>0</v>
      </c>
      <c r="AU64" s="2">
        <v>81</v>
      </c>
      <c r="AV64" s="55">
        <v>1</v>
      </c>
      <c r="AW64" s="2">
        <v>1</v>
      </c>
      <c r="AX64" s="2" t="s">
        <v>615</v>
      </c>
      <c r="AY64" s="2">
        <v>999999</v>
      </c>
      <c r="AZ64" s="106">
        <v>0</v>
      </c>
      <c r="BA64" s="2">
        <v>14</v>
      </c>
      <c r="BB64" s="30">
        <v>33723</v>
      </c>
      <c r="BC64" s="2">
        <v>21</v>
      </c>
      <c r="BD64" s="160">
        <v>41806</v>
      </c>
      <c r="BE64" s="2">
        <v>1</v>
      </c>
      <c r="BF64" s="55">
        <v>1</v>
      </c>
      <c r="BG64" s="2">
        <v>1</v>
      </c>
      <c r="BH64" s="2">
        <v>0</v>
      </c>
      <c r="BI64" s="2">
        <v>239</v>
      </c>
      <c r="BJ64" s="2">
        <v>10</v>
      </c>
      <c r="BK64" s="2">
        <v>172</v>
      </c>
      <c r="BL64" s="161">
        <v>965812.37037037034</v>
      </c>
      <c r="BM64" s="2" t="str">
        <f t="shared" si="0"/>
        <v>137/283</v>
      </c>
      <c r="BN64" s="142"/>
    </row>
    <row r="65" spans="1:66" x14ac:dyDescent="0.25">
      <c r="A65" s="2">
        <v>540081</v>
      </c>
      <c r="B65" s="2" t="s">
        <v>176</v>
      </c>
      <c r="C65" s="2" t="s">
        <v>619</v>
      </c>
      <c r="D65" s="2" t="s">
        <v>612</v>
      </c>
      <c r="E65" s="2" t="s">
        <v>616</v>
      </c>
      <c r="F65" s="2" t="s">
        <v>613</v>
      </c>
      <c r="G65" s="2">
        <v>3</v>
      </c>
      <c r="H65" s="2">
        <v>0</v>
      </c>
      <c r="I65" s="2">
        <v>2</v>
      </c>
      <c r="J65" s="2">
        <v>123.58333335</v>
      </c>
      <c r="K65" s="2">
        <v>11</v>
      </c>
      <c r="L65" s="55">
        <v>2</v>
      </c>
      <c r="M65" s="2">
        <v>84</v>
      </c>
      <c r="N65" s="2">
        <v>4</v>
      </c>
      <c r="O65" s="2">
        <v>53</v>
      </c>
      <c r="P65" s="156">
        <v>161664</v>
      </c>
      <c r="Q65" s="2">
        <v>148</v>
      </c>
      <c r="R65" s="157">
        <v>-0.10216889380000001</v>
      </c>
      <c r="S65" s="2">
        <v>140</v>
      </c>
      <c r="T65" s="158">
        <v>0.84499999999999997</v>
      </c>
      <c r="U65" s="2">
        <v>224</v>
      </c>
      <c r="V65" s="55">
        <v>49</v>
      </c>
      <c r="W65" s="2">
        <v>32</v>
      </c>
      <c r="X65" s="55">
        <v>44</v>
      </c>
      <c r="Y65" s="2">
        <v>103</v>
      </c>
      <c r="Z65" s="2">
        <v>14</v>
      </c>
      <c r="AA65" s="2">
        <v>59</v>
      </c>
      <c r="AB65" s="2">
        <v>88</v>
      </c>
      <c r="AC65" s="2">
        <v>13</v>
      </c>
      <c r="AD65" s="105">
        <v>119</v>
      </c>
      <c r="AE65" s="2">
        <v>39</v>
      </c>
      <c r="AF65" s="55">
        <v>11</v>
      </c>
      <c r="AG65" s="2">
        <v>101</v>
      </c>
      <c r="AH65" s="55">
        <v>488</v>
      </c>
      <c r="AI65" s="2">
        <v>73</v>
      </c>
      <c r="AJ65" s="55">
        <v>0.25640000000000002</v>
      </c>
      <c r="AK65" s="2">
        <v>20</v>
      </c>
      <c r="AL65" s="30">
        <v>42543</v>
      </c>
      <c r="AM65" s="2">
        <v>161</v>
      </c>
      <c r="AN65" s="2">
        <v>89.5</v>
      </c>
      <c r="AO65" s="2">
        <v>253</v>
      </c>
      <c r="AP65" s="2">
        <v>88</v>
      </c>
      <c r="AQ65" s="2">
        <v>13</v>
      </c>
      <c r="AR65" s="55">
        <v>11</v>
      </c>
      <c r="AS65" s="2">
        <v>101</v>
      </c>
      <c r="AT65" s="159">
        <v>-11.68032786885246</v>
      </c>
      <c r="AU65" s="2">
        <v>263</v>
      </c>
      <c r="AV65" s="55">
        <v>0</v>
      </c>
      <c r="AW65" s="2">
        <v>194</v>
      </c>
      <c r="AX65" s="2" t="s">
        <v>615</v>
      </c>
      <c r="AY65" s="2">
        <v>999999</v>
      </c>
      <c r="AZ65" s="106">
        <v>0</v>
      </c>
      <c r="BA65" s="2">
        <v>14</v>
      </c>
      <c r="BB65" s="30">
        <v>40297</v>
      </c>
      <c r="BC65" s="2">
        <v>43</v>
      </c>
      <c r="BD65" s="160">
        <v>41806</v>
      </c>
      <c r="BE65" s="2">
        <v>1</v>
      </c>
      <c r="BF65" s="55">
        <v>1</v>
      </c>
      <c r="BG65" s="2">
        <v>1</v>
      </c>
      <c r="BH65" s="2">
        <v>3</v>
      </c>
      <c r="BI65" s="2">
        <v>46</v>
      </c>
      <c r="BJ65" s="2">
        <v>89.5</v>
      </c>
      <c r="BK65" s="2">
        <v>31</v>
      </c>
      <c r="BL65" s="161">
        <v>965100.74074074067</v>
      </c>
      <c r="BM65" s="2" t="str">
        <f t="shared" si="0"/>
        <v>47/283</v>
      </c>
      <c r="BN65" s="142"/>
    </row>
    <row r="66" spans="1:66" x14ac:dyDescent="0.25">
      <c r="A66" s="2">
        <v>540177</v>
      </c>
      <c r="B66" s="2" t="s">
        <v>248</v>
      </c>
      <c r="C66" s="2" t="s">
        <v>75</v>
      </c>
      <c r="D66" s="2" t="s">
        <v>612</v>
      </c>
      <c r="E66" s="2" t="s">
        <v>616</v>
      </c>
      <c r="F66" s="2" t="s">
        <v>613</v>
      </c>
      <c r="G66" s="2">
        <v>3</v>
      </c>
      <c r="H66" s="2">
        <v>0</v>
      </c>
      <c r="I66" s="2">
        <v>2</v>
      </c>
      <c r="J66" s="2">
        <v>5</v>
      </c>
      <c r="K66" s="2">
        <v>197</v>
      </c>
      <c r="L66" s="55">
        <v>39</v>
      </c>
      <c r="M66" s="2">
        <v>5</v>
      </c>
      <c r="N66" s="2">
        <v>4</v>
      </c>
      <c r="O66" s="2">
        <v>53</v>
      </c>
      <c r="P66" s="156">
        <v>1716650</v>
      </c>
      <c r="Q66" s="2">
        <v>54</v>
      </c>
      <c r="R66" s="157">
        <v>-0.63248252199999999</v>
      </c>
      <c r="S66" s="2">
        <v>219</v>
      </c>
      <c r="T66" s="158">
        <v>0.9</v>
      </c>
      <c r="U66" s="2">
        <v>107</v>
      </c>
      <c r="V66" s="55">
        <v>46</v>
      </c>
      <c r="W66" s="2">
        <v>35</v>
      </c>
      <c r="X66" s="55">
        <v>222</v>
      </c>
      <c r="Y66" s="2">
        <v>33</v>
      </c>
      <c r="Z66" s="2">
        <v>11</v>
      </c>
      <c r="AA66" s="2">
        <v>155</v>
      </c>
      <c r="AB66" s="2">
        <v>24</v>
      </c>
      <c r="AC66" s="2">
        <v>68</v>
      </c>
      <c r="AD66" s="105">
        <v>61</v>
      </c>
      <c r="AE66" s="2">
        <v>67</v>
      </c>
      <c r="AF66" s="55">
        <v>81</v>
      </c>
      <c r="AG66" s="2">
        <v>20</v>
      </c>
      <c r="AH66" s="55">
        <v>589</v>
      </c>
      <c r="AI66" s="2">
        <v>69</v>
      </c>
      <c r="AJ66" s="55">
        <v>0.54759999999999998</v>
      </c>
      <c r="AK66" s="2">
        <v>159</v>
      </c>
      <c r="AL66" s="30">
        <v>42944</v>
      </c>
      <c r="AM66" s="2">
        <v>135</v>
      </c>
      <c r="AN66" s="2">
        <v>47</v>
      </c>
      <c r="AO66" s="2">
        <v>203</v>
      </c>
      <c r="AP66" s="2">
        <v>24</v>
      </c>
      <c r="AQ66" s="2">
        <v>68</v>
      </c>
      <c r="AR66" s="55">
        <v>81</v>
      </c>
      <c r="AS66" s="2">
        <v>20</v>
      </c>
      <c r="AT66" s="159">
        <v>17.147707979626485</v>
      </c>
      <c r="AU66" s="2">
        <v>9</v>
      </c>
      <c r="AV66" s="55">
        <v>1</v>
      </c>
      <c r="AW66" s="2">
        <v>1</v>
      </c>
      <c r="AX66" s="2" t="s">
        <v>615</v>
      </c>
      <c r="AY66" s="2">
        <v>999999</v>
      </c>
      <c r="AZ66" s="106">
        <v>0</v>
      </c>
      <c r="BA66" s="2">
        <v>14</v>
      </c>
      <c r="BB66" s="30">
        <v>43038</v>
      </c>
      <c r="BC66" s="2">
        <v>159</v>
      </c>
      <c r="BD66" s="160">
        <v>43558</v>
      </c>
      <c r="BE66" s="2">
        <v>58</v>
      </c>
      <c r="BF66" s="55">
        <v>1</v>
      </c>
      <c r="BG66" s="2">
        <v>1</v>
      </c>
      <c r="BH66" s="2">
        <v>2</v>
      </c>
      <c r="BI66" s="2">
        <v>68</v>
      </c>
      <c r="BJ66" s="2">
        <v>47</v>
      </c>
      <c r="BK66" s="2">
        <v>72</v>
      </c>
      <c r="BL66" s="161">
        <v>964935.11111111101</v>
      </c>
      <c r="BM66" s="2" t="str">
        <f t="shared" ref="BM66:BM129" si="1">CONCATENATE(RANK(BL66,$BL$2:$BL$284,1),"/",283)</f>
        <v>36/283</v>
      </c>
      <c r="BN66" s="142"/>
    </row>
    <row r="67" spans="1:66" x14ac:dyDescent="0.25">
      <c r="A67" s="2">
        <v>540180</v>
      </c>
      <c r="B67" s="2" t="s">
        <v>251</v>
      </c>
      <c r="C67" s="2" t="s">
        <v>97</v>
      </c>
      <c r="D67" s="2" t="s">
        <v>612</v>
      </c>
      <c r="E67" s="2" t="s">
        <v>616</v>
      </c>
      <c r="F67" s="2" t="s">
        <v>613</v>
      </c>
      <c r="G67" s="2">
        <v>3</v>
      </c>
      <c r="H67" s="2">
        <v>0</v>
      </c>
      <c r="I67" s="2">
        <v>2</v>
      </c>
      <c r="J67" s="2">
        <v>17.600000000000001</v>
      </c>
      <c r="K67" s="2">
        <v>123</v>
      </c>
      <c r="L67" s="55">
        <v>0</v>
      </c>
      <c r="M67" s="2">
        <v>118</v>
      </c>
      <c r="N67" s="2">
        <v>4</v>
      </c>
      <c r="O67" s="2">
        <v>53</v>
      </c>
      <c r="P67" s="156">
        <v>9033</v>
      </c>
      <c r="Q67" s="2">
        <v>227</v>
      </c>
      <c r="R67" s="157">
        <v>0.40080429400000001</v>
      </c>
      <c r="S67" s="2">
        <v>102</v>
      </c>
      <c r="T67" s="158">
        <v>0.95</v>
      </c>
      <c r="U67" s="2">
        <v>1</v>
      </c>
      <c r="V67" s="55">
        <v>0</v>
      </c>
      <c r="W67" s="2">
        <v>230</v>
      </c>
      <c r="X67" s="55">
        <v>1</v>
      </c>
      <c r="Y67" s="2">
        <v>237</v>
      </c>
      <c r="Z67" s="2">
        <v>11</v>
      </c>
      <c r="AA67" s="2">
        <v>155</v>
      </c>
      <c r="AB67" s="2">
        <v>0</v>
      </c>
      <c r="AC67" s="2">
        <v>222</v>
      </c>
      <c r="AD67" s="105">
        <v>0</v>
      </c>
      <c r="AE67" s="2">
        <v>259</v>
      </c>
      <c r="AF67" s="55">
        <v>0</v>
      </c>
      <c r="AG67" s="2">
        <v>184</v>
      </c>
      <c r="AH67" s="55">
        <v>0</v>
      </c>
      <c r="AI67" s="2">
        <v>135</v>
      </c>
      <c r="AJ67" s="55">
        <v>0.38900000000000001</v>
      </c>
      <c r="AK67" s="2">
        <v>83</v>
      </c>
      <c r="AL67" s="30">
        <v>43145</v>
      </c>
      <c r="AM67" s="2">
        <v>26</v>
      </c>
      <c r="AN67" s="2">
        <v>0</v>
      </c>
      <c r="AO67" s="2">
        <v>1</v>
      </c>
      <c r="AP67" s="2">
        <v>0</v>
      </c>
      <c r="AQ67" s="2">
        <v>222</v>
      </c>
      <c r="AR67" s="55">
        <v>0</v>
      </c>
      <c r="AS67" s="2">
        <v>184</v>
      </c>
      <c r="AT67" s="159">
        <v>0</v>
      </c>
      <c r="AU67" s="2">
        <v>81</v>
      </c>
      <c r="AV67" s="55">
        <v>1</v>
      </c>
      <c r="AW67" s="2">
        <v>1</v>
      </c>
      <c r="AX67" s="2" t="s">
        <v>615</v>
      </c>
      <c r="AY67" s="2">
        <v>999999</v>
      </c>
      <c r="AZ67" s="106">
        <v>0</v>
      </c>
      <c r="BA67" s="2">
        <v>14</v>
      </c>
      <c r="BB67" s="30">
        <v>43536</v>
      </c>
      <c r="BC67" s="2">
        <v>256</v>
      </c>
      <c r="BD67" s="160">
        <v>41806</v>
      </c>
      <c r="BE67" s="2">
        <v>1</v>
      </c>
      <c r="BF67" s="55">
        <v>0</v>
      </c>
      <c r="BG67" s="2">
        <v>183</v>
      </c>
      <c r="BH67" s="2">
        <v>0</v>
      </c>
      <c r="BI67" s="2">
        <v>239</v>
      </c>
      <c r="BJ67" s="2">
        <v>0</v>
      </c>
      <c r="BK67" s="2">
        <v>249</v>
      </c>
      <c r="BL67" s="161">
        <v>966415.18518518517</v>
      </c>
      <c r="BM67" s="2" t="str">
        <f t="shared" si="1"/>
        <v>225/283</v>
      </c>
      <c r="BN67" s="142"/>
    </row>
    <row r="68" spans="1:66" x14ac:dyDescent="0.25">
      <c r="A68" s="162">
        <v>540203</v>
      </c>
      <c r="B68" s="162" t="s">
        <v>86</v>
      </c>
      <c r="C68" s="162" t="s">
        <v>87</v>
      </c>
      <c r="D68" s="162" t="s">
        <v>617</v>
      </c>
      <c r="E68" s="162" t="s">
        <v>616</v>
      </c>
      <c r="F68" s="162" t="s">
        <v>613</v>
      </c>
      <c r="G68" s="162">
        <v>3</v>
      </c>
      <c r="H68" s="162">
        <v>0</v>
      </c>
      <c r="I68" s="162">
        <v>2</v>
      </c>
      <c r="J68" s="162">
        <v>0</v>
      </c>
      <c r="K68" s="162">
        <v>275</v>
      </c>
      <c r="L68" s="163">
        <v>7</v>
      </c>
      <c r="M68" s="162">
        <v>48</v>
      </c>
      <c r="N68" s="162">
        <v>4</v>
      </c>
      <c r="O68" s="162">
        <v>53</v>
      </c>
      <c r="P68" s="164">
        <v>1892045</v>
      </c>
      <c r="Q68" s="162">
        <v>49</v>
      </c>
      <c r="R68" s="165">
        <v>0.71184354500000002</v>
      </c>
      <c r="S68" s="162">
        <v>73</v>
      </c>
      <c r="T68" s="166">
        <v>0.87</v>
      </c>
      <c r="U68" s="162">
        <v>177</v>
      </c>
      <c r="V68" s="163">
        <v>13</v>
      </c>
      <c r="W68" s="162">
        <v>82</v>
      </c>
      <c r="X68" s="163">
        <v>140</v>
      </c>
      <c r="Y68" s="162">
        <v>55</v>
      </c>
      <c r="Z68" s="162">
        <v>14</v>
      </c>
      <c r="AA68" s="162">
        <v>59</v>
      </c>
      <c r="AB68" s="162">
        <v>34</v>
      </c>
      <c r="AC68" s="162">
        <v>52</v>
      </c>
      <c r="AD68" s="167">
        <v>117</v>
      </c>
      <c r="AE68" s="162">
        <v>41</v>
      </c>
      <c r="AF68" s="163">
        <v>30</v>
      </c>
      <c r="AG68" s="162">
        <v>56</v>
      </c>
      <c r="AH68" s="163">
        <v>1117</v>
      </c>
      <c r="AI68" s="162">
        <v>47</v>
      </c>
      <c r="AJ68" s="163">
        <v>0.71630000000000005</v>
      </c>
      <c r="AK68" s="162">
        <v>241</v>
      </c>
      <c r="AL68" s="168">
        <v>42543</v>
      </c>
      <c r="AM68" s="162">
        <v>161</v>
      </c>
      <c r="AN68" s="162">
        <v>0</v>
      </c>
      <c r="AO68" s="162">
        <v>1</v>
      </c>
      <c r="AP68" s="162">
        <v>34</v>
      </c>
      <c r="AQ68" s="162">
        <v>52</v>
      </c>
      <c r="AR68" s="163">
        <v>30</v>
      </c>
      <c r="AS68" s="162">
        <v>56</v>
      </c>
      <c r="AT68" s="169">
        <v>13.160250671441363</v>
      </c>
      <c r="AU68" s="162">
        <v>16</v>
      </c>
      <c r="AV68" s="163">
        <v>1</v>
      </c>
      <c r="AW68" s="162">
        <v>1</v>
      </c>
      <c r="AX68" s="162" t="s">
        <v>615</v>
      </c>
      <c r="AY68" s="162">
        <v>999999</v>
      </c>
      <c r="AZ68" s="170">
        <v>0</v>
      </c>
      <c r="BA68" s="162">
        <v>14</v>
      </c>
      <c r="BB68" s="168">
        <v>43438</v>
      </c>
      <c r="BC68" s="162">
        <v>239</v>
      </c>
      <c r="BD68" s="171">
        <v>43516</v>
      </c>
      <c r="BE68" s="162">
        <v>46</v>
      </c>
      <c r="BF68" s="163">
        <v>1</v>
      </c>
      <c r="BG68" s="162">
        <v>1</v>
      </c>
      <c r="BH68" s="162">
        <v>5</v>
      </c>
      <c r="BI68" s="162">
        <v>26</v>
      </c>
      <c r="BJ68" s="162">
        <v>0</v>
      </c>
      <c r="BK68" s="162">
        <v>249</v>
      </c>
      <c r="BL68" s="161">
        <v>965051.62962962966</v>
      </c>
      <c r="BM68" s="162" t="str">
        <f t="shared" si="1"/>
        <v>45/283</v>
      </c>
      <c r="BN68" s="142"/>
    </row>
    <row r="69" spans="1:66" x14ac:dyDescent="0.25">
      <c r="A69" s="2">
        <v>540014</v>
      </c>
      <c r="B69" s="2" t="s">
        <v>124</v>
      </c>
      <c r="C69" s="2" t="s">
        <v>621</v>
      </c>
      <c r="D69" s="2" t="s">
        <v>612</v>
      </c>
      <c r="E69" s="2" t="s">
        <v>616</v>
      </c>
      <c r="F69" s="2" t="s">
        <v>613</v>
      </c>
      <c r="G69" s="2">
        <v>3</v>
      </c>
      <c r="H69" s="2">
        <v>0</v>
      </c>
      <c r="I69" s="2">
        <v>2</v>
      </c>
      <c r="J69" s="2">
        <v>15.083333329999999</v>
      </c>
      <c r="K69" s="2">
        <v>138</v>
      </c>
      <c r="L69" s="55">
        <v>16</v>
      </c>
      <c r="M69" s="2">
        <v>24</v>
      </c>
      <c r="N69" s="2">
        <v>3</v>
      </c>
      <c r="O69" s="2">
        <v>68</v>
      </c>
      <c r="P69" s="156">
        <v>2150173</v>
      </c>
      <c r="Q69" s="2">
        <v>44</v>
      </c>
      <c r="R69" s="157">
        <v>0.5003552242</v>
      </c>
      <c r="S69" s="2">
        <v>94</v>
      </c>
      <c r="T69" s="158">
        <v>0.76</v>
      </c>
      <c r="U69" s="2">
        <v>266</v>
      </c>
      <c r="V69" s="55">
        <v>26</v>
      </c>
      <c r="W69" s="2">
        <v>56</v>
      </c>
      <c r="X69" s="55">
        <v>166</v>
      </c>
      <c r="Y69" s="2">
        <v>42</v>
      </c>
      <c r="Z69" s="2">
        <v>7.5</v>
      </c>
      <c r="AA69" s="2">
        <v>273</v>
      </c>
      <c r="AB69" s="2">
        <v>29</v>
      </c>
      <c r="AC69" s="2">
        <v>61</v>
      </c>
      <c r="AD69" s="105">
        <v>54</v>
      </c>
      <c r="AE69" s="2">
        <v>75</v>
      </c>
      <c r="AF69" s="55">
        <v>40</v>
      </c>
      <c r="AG69" s="2">
        <v>44</v>
      </c>
      <c r="AH69" s="55">
        <v>1142</v>
      </c>
      <c r="AI69" s="2">
        <v>45</v>
      </c>
      <c r="AJ69" s="55">
        <v>0.30035000000000001</v>
      </c>
      <c r="AK69" s="2">
        <v>34</v>
      </c>
      <c r="AL69" s="30">
        <v>43145</v>
      </c>
      <c r="AM69" s="2">
        <v>26</v>
      </c>
      <c r="AN69" s="2">
        <v>16.5</v>
      </c>
      <c r="AO69" s="2">
        <v>155</v>
      </c>
      <c r="AP69" s="2">
        <v>29</v>
      </c>
      <c r="AQ69" s="2">
        <v>61</v>
      </c>
      <c r="AR69" s="55">
        <v>40</v>
      </c>
      <c r="AS69" s="2">
        <v>44</v>
      </c>
      <c r="AT69" s="159">
        <v>-6.3922942206654998</v>
      </c>
      <c r="AU69" s="2">
        <v>249</v>
      </c>
      <c r="AV69" s="55">
        <v>1</v>
      </c>
      <c r="AW69" s="2">
        <v>1</v>
      </c>
      <c r="AX69" s="2" t="s">
        <v>615</v>
      </c>
      <c r="AY69" s="2">
        <v>999999</v>
      </c>
      <c r="AZ69" s="106">
        <v>0</v>
      </c>
      <c r="BA69" s="2">
        <v>14</v>
      </c>
      <c r="BB69" s="30">
        <v>43273</v>
      </c>
      <c r="BC69" s="2">
        <v>201</v>
      </c>
      <c r="BD69" s="160">
        <v>41806</v>
      </c>
      <c r="BE69" s="2">
        <v>1</v>
      </c>
      <c r="BF69" s="55">
        <v>0</v>
      </c>
      <c r="BG69" s="2">
        <v>183</v>
      </c>
      <c r="BH69" s="2">
        <v>2</v>
      </c>
      <c r="BI69" s="2">
        <v>68</v>
      </c>
      <c r="BJ69" s="2">
        <v>16.5</v>
      </c>
      <c r="BK69" s="2">
        <v>129</v>
      </c>
      <c r="BL69" s="161">
        <v>965269.2592592591</v>
      </c>
      <c r="BM69" s="2" t="str">
        <f t="shared" si="1"/>
        <v>71/283</v>
      </c>
      <c r="BN69" s="142"/>
    </row>
    <row r="70" spans="1:66" x14ac:dyDescent="0.25">
      <c r="A70" s="2">
        <v>540060</v>
      </c>
      <c r="B70" s="2" t="s">
        <v>158</v>
      </c>
      <c r="C70" s="2" t="s">
        <v>33</v>
      </c>
      <c r="D70" s="2" t="s">
        <v>612</v>
      </c>
      <c r="E70" s="2" t="s">
        <v>616</v>
      </c>
      <c r="F70" s="2" t="s">
        <v>613</v>
      </c>
      <c r="G70" s="2">
        <v>3</v>
      </c>
      <c r="H70" s="2">
        <v>0</v>
      </c>
      <c r="I70" s="2">
        <v>2</v>
      </c>
      <c r="J70" s="2">
        <v>65.400000000000006</v>
      </c>
      <c r="K70" s="2">
        <v>56</v>
      </c>
      <c r="L70" s="55">
        <v>0</v>
      </c>
      <c r="M70" s="2">
        <v>118</v>
      </c>
      <c r="N70" s="2">
        <v>3</v>
      </c>
      <c r="O70" s="2">
        <v>68</v>
      </c>
      <c r="P70" s="156">
        <v>172346</v>
      </c>
      <c r="Q70" s="2">
        <v>141</v>
      </c>
      <c r="R70" s="157">
        <v>-0.57059303299999997</v>
      </c>
      <c r="S70" s="2">
        <v>202</v>
      </c>
      <c r="T70" s="158">
        <v>0.9</v>
      </c>
      <c r="U70" s="2">
        <v>107</v>
      </c>
      <c r="V70" s="55">
        <v>1</v>
      </c>
      <c r="W70" s="2">
        <v>197</v>
      </c>
      <c r="X70" s="55">
        <v>40</v>
      </c>
      <c r="Y70" s="2">
        <v>112</v>
      </c>
      <c r="Z70" s="2">
        <v>13</v>
      </c>
      <c r="AA70" s="2">
        <v>78</v>
      </c>
      <c r="AB70" s="2">
        <v>3</v>
      </c>
      <c r="AC70" s="2">
        <v>149</v>
      </c>
      <c r="AD70" s="105">
        <v>5</v>
      </c>
      <c r="AE70" s="2">
        <v>194</v>
      </c>
      <c r="AF70" s="55">
        <v>17</v>
      </c>
      <c r="AG70" s="2">
        <v>74</v>
      </c>
      <c r="AH70" s="55">
        <v>348</v>
      </c>
      <c r="AI70" s="2">
        <v>79</v>
      </c>
      <c r="AJ70" s="55">
        <v>0.40079999999999999</v>
      </c>
      <c r="AK70" s="2">
        <v>90</v>
      </c>
      <c r="AL70" s="30">
        <v>43145</v>
      </c>
      <c r="AM70" s="2">
        <v>26</v>
      </c>
      <c r="AN70" s="2">
        <v>26</v>
      </c>
      <c r="AO70" s="2">
        <v>174</v>
      </c>
      <c r="AP70" s="2">
        <v>3</v>
      </c>
      <c r="AQ70" s="2">
        <v>149</v>
      </c>
      <c r="AR70" s="55">
        <v>17</v>
      </c>
      <c r="AS70" s="2">
        <v>74</v>
      </c>
      <c r="AT70" s="159">
        <v>10.344827586206897</v>
      </c>
      <c r="AU70" s="2">
        <v>24</v>
      </c>
      <c r="AV70" s="55">
        <v>1</v>
      </c>
      <c r="AW70" s="2">
        <v>1</v>
      </c>
      <c r="AX70" s="2" t="s">
        <v>615</v>
      </c>
      <c r="AY70" s="2">
        <v>999999</v>
      </c>
      <c r="AZ70" s="106">
        <v>0</v>
      </c>
      <c r="BA70" s="2">
        <v>14</v>
      </c>
      <c r="BB70" s="30">
        <v>43027</v>
      </c>
      <c r="BC70" s="2">
        <v>153</v>
      </c>
      <c r="BD70" s="160">
        <v>41806</v>
      </c>
      <c r="BE70" s="2">
        <v>1</v>
      </c>
      <c r="BF70" s="55">
        <v>1</v>
      </c>
      <c r="BG70" s="2">
        <v>1</v>
      </c>
      <c r="BH70" s="2">
        <v>0</v>
      </c>
      <c r="BI70" s="2">
        <v>239</v>
      </c>
      <c r="BJ70" s="2">
        <v>26</v>
      </c>
      <c r="BK70" s="2">
        <v>100</v>
      </c>
      <c r="BL70" s="161">
        <v>965485.92592592584</v>
      </c>
      <c r="BM70" s="2" t="str">
        <f t="shared" si="1"/>
        <v>95/283</v>
      </c>
      <c r="BN70" s="142"/>
    </row>
    <row r="71" spans="1:66" x14ac:dyDescent="0.25">
      <c r="A71" s="2">
        <v>540130</v>
      </c>
      <c r="B71" s="2" t="s">
        <v>214</v>
      </c>
      <c r="C71" s="2" t="s">
        <v>55</v>
      </c>
      <c r="D71" s="2" t="s">
        <v>612</v>
      </c>
      <c r="E71" s="2" t="s">
        <v>616</v>
      </c>
      <c r="F71" s="2" t="s">
        <v>613</v>
      </c>
      <c r="G71" s="2">
        <v>3</v>
      </c>
      <c r="H71" s="2">
        <v>0</v>
      </c>
      <c r="I71" s="2">
        <v>2</v>
      </c>
      <c r="J71" s="2">
        <v>43.2</v>
      </c>
      <c r="K71" s="2">
        <v>74</v>
      </c>
      <c r="L71" s="55">
        <v>9</v>
      </c>
      <c r="M71" s="2">
        <v>39</v>
      </c>
      <c r="N71" s="2">
        <v>3</v>
      </c>
      <c r="O71" s="2">
        <v>68</v>
      </c>
      <c r="P71" s="156">
        <v>1132423</v>
      </c>
      <c r="Q71" s="2">
        <v>69</v>
      </c>
      <c r="R71" s="157">
        <v>-6.5435336999999996E-2</v>
      </c>
      <c r="S71" s="2">
        <v>135</v>
      </c>
      <c r="T71" s="158">
        <v>0.89</v>
      </c>
      <c r="U71" s="2">
        <v>153</v>
      </c>
      <c r="V71" s="55">
        <v>6</v>
      </c>
      <c r="W71" s="2">
        <v>113</v>
      </c>
      <c r="X71" s="55">
        <v>121</v>
      </c>
      <c r="Y71" s="2">
        <v>60</v>
      </c>
      <c r="Z71" s="2">
        <v>8</v>
      </c>
      <c r="AA71" s="2">
        <v>243</v>
      </c>
      <c r="AB71" s="2">
        <v>51</v>
      </c>
      <c r="AC71" s="2">
        <v>36</v>
      </c>
      <c r="AD71" s="105">
        <v>61</v>
      </c>
      <c r="AE71" s="2">
        <v>67</v>
      </c>
      <c r="AF71" s="55">
        <v>45</v>
      </c>
      <c r="AG71" s="2">
        <v>40</v>
      </c>
      <c r="AH71" s="55">
        <v>32</v>
      </c>
      <c r="AI71" s="2">
        <v>134</v>
      </c>
      <c r="AJ71" s="55">
        <v>0.62460000000000004</v>
      </c>
      <c r="AK71" s="2">
        <v>200</v>
      </c>
      <c r="AL71" s="30">
        <v>43248</v>
      </c>
      <c r="AM71" s="2">
        <v>1</v>
      </c>
      <c r="AN71" s="2">
        <v>53</v>
      </c>
      <c r="AO71" s="2">
        <v>220</v>
      </c>
      <c r="AP71" s="2">
        <v>51</v>
      </c>
      <c r="AQ71" s="2">
        <v>36</v>
      </c>
      <c r="AR71" s="55">
        <v>45</v>
      </c>
      <c r="AS71" s="2">
        <v>40</v>
      </c>
      <c r="AT71" s="159">
        <v>-21.875</v>
      </c>
      <c r="AU71" s="2">
        <v>273</v>
      </c>
      <c r="AV71" s="55">
        <v>1</v>
      </c>
      <c r="AW71" s="2">
        <v>1</v>
      </c>
      <c r="AX71" s="2" t="s">
        <v>615</v>
      </c>
      <c r="AY71" s="2">
        <v>999999</v>
      </c>
      <c r="AZ71" s="106">
        <v>0</v>
      </c>
      <c r="BA71" s="2">
        <v>14</v>
      </c>
      <c r="BB71" s="30">
        <v>42143</v>
      </c>
      <c r="BC71" s="2">
        <v>91</v>
      </c>
      <c r="BD71" s="160">
        <v>43502</v>
      </c>
      <c r="BE71" s="2">
        <v>45</v>
      </c>
      <c r="BF71" s="55">
        <v>1</v>
      </c>
      <c r="BG71" s="2">
        <v>1</v>
      </c>
      <c r="BH71" s="2">
        <v>5</v>
      </c>
      <c r="BI71" s="2">
        <v>26</v>
      </c>
      <c r="BJ71" s="2">
        <v>53</v>
      </c>
      <c r="BK71" s="2">
        <v>54</v>
      </c>
      <c r="BL71" s="161">
        <v>965112.29629629629</v>
      </c>
      <c r="BM71" s="2" t="str">
        <f t="shared" si="1"/>
        <v>50/283</v>
      </c>
      <c r="BN71" s="142"/>
    </row>
    <row r="72" spans="1:66" x14ac:dyDescent="0.25">
      <c r="A72" s="2">
        <v>540131</v>
      </c>
      <c r="B72" s="2" t="s">
        <v>215</v>
      </c>
      <c r="C72" s="2" t="s">
        <v>55</v>
      </c>
      <c r="D72" s="2" t="s">
        <v>612</v>
      </c>
      <c r="E72" s="2" t="s">
        <v>616</v>
      </c>
      <c r="F72" s="2" t="s">
        <v>613</v>
      </c>
      <c r="G72" s="2">
        <v>3</v>
      </c>
      <c r="H72" s="2">
        <v>0</v>
      </c>
      <c r="I72" s="2">
        <v>2</v>
      </c>
      <c r="J72" s="2">
        <v>43.2</v>
      </c>
      <c r="K72" s="2">
        <v>74</v>
      </c>
      <c r="L72" s="55">
        <v>0</v>
      </c>
      <c r="M72" s="2">
        <v>118</v>
      </c>
      <c r="N72" s="2">
        <v>3</v>
      </c>
      <c r="O72" s="2">
        <v>68</v>
      </c>
      <c r="P72" s="156">
        <v>11000</v>
      </c>
      <c r="Q72" s="2">
        <v>225</v>
      </c>
      <c r="R72" s="157">
        <v>-6.5435336999999996E-2</v>
      </c>
      <c r="S72" s="2">
        <v>135</v>
      </c>
      <c r="T72" s="158">
        <v>0.89</v>
      </c>
      <c r="U72" s="2">
        <v>153</v>
      </c>
      <c r="V72" s="55">
        <v>1</v>
      </c>
      <c r="W72" s="2">
        <v>197</v>
      </c>
      <c r="X72" s="55">
        <v>2</v>
      </c>
      <c r="Y72" s="2">
        <v>225</v>
      </c>
      <c r="Z72" s="2">
        <v>8</v>
      </c>
      <c r="AA72" s="2">
        <v>243</v>
      </c>
      <c r="AB72" s="2">
        <v>3</v>
      </c>
      <c r="AC72" s="2">
        <v>149</v>
      </c>
      <c r="AD72" s="105">
        <v>6</v>
      </c>
      <c r="AE72" s="2">
        <v>184</v>
      </c>
      <c r="AF72" s="55">
        <v>0</v>
      </c>
      <c r="AG72" s="2">
        <v>184</v>
      </c>
      <c r="AH72" s="55">
        <v>0</v>
      </c>
      <c r="AI72" s="2">
        <v>135</v>
      </c>
      <c r="AJ72" s="55">
        <v>0.62460000000000004</v>
      </c>
      <c r="AK72" s="2">
        <v>200</v>
      </c>
      <c r="AL72" s="30">
        <v>43248</v>
      </c>
      <c r="AM72" s="2">
        <v>1</v>
      </c>
      <c r="AN72" s="2">
        <v>53</v>
      </c>
      <c r="AO72" s="2">
        <v>220</v>
      </c>
      <c r="AP72" s="2">
        <v>3</v>
      </c>
      <c r="AQ72" s="2">
        <v>149</v>
      </c>
      <c r="AR72" s="55">
        <v>0</v>
      </c>
      <c r="AS72" s="2">
        <v>184</v>
      </c>
      <c r="AT72" s="159">
        <v>0</v>
      </c>
      <c r="AU72" s="2">
        <v>81</v>
      </c>
      <c r="AV72" s="55">
        <v>1</v>
      </c>
      <c r="AW72" s="2">
        <v>1</v>
      </c>
      <c r="AX72" s="2" t="s">
        <v>615</v>
      </c>
      <c r="AY72" s="2">
        <v>999999</v>
      </c>
      <c r="AZ72" s="106">
        <v>0</v>
      </c>
      <c r="BA72" s="2">
        <v>14</v>
      </c>
      <c r="BB72" s="30">
        <v>42144</v>
      </c>
      <c r="BC72" s="2">
        <v>96</v>
      </c>
      <c r="BD72" s="160">
        <v>41806</v>
      </c>
      <c r="BE72" s="2">
        <v>1</v>
      </c>
      <c r="BF72" s="55">
        <v>1</v>
      </c>
      <c r="BG72" s="2">
        <v>1</v>
      </c>
      <c r="BH72" s="2">
        <v>1</v>
      </c>
      <c r="BI72" s="2">
        <v>151</v>
      </c>
      <c r="BJ72" s="2">
        <v>53</v>
      </c>
      <c r="BK72" s="2">
        <v>54</v>
      </c>
      <c r="BL72" s="161">
        <v>966084.88888888876</v>
      </c>
      <c r="BM72" s="2" t="str">
        <f t="shared" si="1"/>
        <v>179/283</v>
      </c>
      <c r="BN72" s="142"/>
    </row>
    <row r="73" spans="1:66" x14ac:dyDescent="0.25">
      <c r="A73" s="2">
        <v>540229</v>
      </c>
      <c r="B73" s="2" t="s">
        <v>279</v>
      </c>
      <c r="C73" s="2" t="s">
        <v>7</v>
      </c>
      <c r="D73" s="2" t="s">
        <v>612</v>
      </c>
      <c r="E73" s="2" t="s">
        <v>616</v>
      </c>
      <c r="F73" s="2" t="s">
        <v>613</v>
      </c>
      <c r="G73" s="2">
        <v>3</v>
      </c>
      <c r="H73" s="2">
        <v>0</v>
      </c>
      <c r="I73" s="2">
        <v>2</v>
      </c>
      <c r="J73" s="2">
        <v>17</v>
      </c>
      <c r="K73" s="2">
        <v>130</v>
      </c>
      <c r="L73" s="55">
        <v>0</v>
      </c>
      <c r="M73" s="2">
        <v>118</v>
      </c>
      <c r="N73" s="2">
        <v>2</v>
      </c>
      <c r="O73" s="2">
        <v>72</v>
      </c>
      <c r="P73" s="156">
        <v>75060</v>
      </c>
      <c r="Q73" s="2">
        <v>175</v>
      </c>
      <c r="R73" s="157">
        <v>-0.43773889700000002</v>
      </c>
      <c r="S73" s="2">
        <v>166</v>
      </c>
      <c r="T73" s="158">
        <v>0.91</v>
      </c>
      <c r="U73" s="2">
        <v>70</v>
      </c>
      <c r="V73" s="55">
        <v>1</v>
      </c>
      <c r="W73" s="2">
        <v>197</v>
      </c>
      <c r="X73" s="55">
        <v>9</v>
      </c>
      <c r="Y73" s="2">
        <v>182</v>
      </c>
      <c r="Z73" s="2">
        <v>13</v>
      </c>
      <c r="AA73" s="2">
        <v>78</v>
      </c>
      <c r="AB73" s="2">
        <v>6</v>
      </c>
      <c r="AC73" s="2">
        <v>128</v>
      </c>
      <c r="AD73" s="105">
        <v>8</v>
      </c>
      <c r="AE73" s="2">
        <v>172</v>
      </c>
      <c r="AF73" s="55">
        <v>2</v>
      </c>
      <c r="AG73" s="2">
        <v>164</v>
      </c>
      <c r="AH73" s="55">
        <v>0</v>
      </c>
      <c r="AI73" s="2">
        <v>135</v>
      </c>
      <c r="AJ73" s="55">
        <v>0.69789999999999996</v>
      </c>
      <c r="AK73" s="2">
        <v>230</v>
      </c>
      <c r="AL73" s="30">
        <v>42097</v>
      </c>
      <c r="AM73" s="2">
        <v>232</v>
      </c>
      <c r="AN73" s="2">
        <v>4</v>
      </c>
      <c r="AO73" s="2">
        <v>66</v>
      </c>
      <c r="AP73" s="2">
        <v>6</v>
      </c>
      <c r="AQ73" s="2">
        <v>128</v>
      </c>
      <c r="AR73" s="55">
        <v>2</v>
      </c>
      <c r="AS73" s="2">
        <v>164</v>
      </c>
      <c r="AT73" s="159">
        <v>0</v>
      </c>
      <c r="AU73" s="2">
        <v>81</v>
      </c>
      <c r="AV73" s="55">
        <v>1</v>
      </c>
      <c r="AW73" s="2">
        <v>1</v>
      </c>
      <c r="AX73" s="2" t="s">
        <v>615</v>
      </c>
      <c r="AY73" s="2">
        <v>999999</v>
      </c>
      <c r="AZ73" s="106">
        <v>0</v>
      </c>
      <c r="BA73" s="2">
        <v>14</v>
      </c>
      <c r="BB73" s="30">
        <v>33549</v>
      </c>
      <c r="BC73" s="2">
        <v>18</v>
      </c>
      <c r="BD73" s="160">
        <v>43530</v>
      </c>
      <c r="BE73" s="2">
        <v>51</v>
      </c>
      <c r="BF73" s="55">
        <v>1</v>
      </c>
      <c r="BG73" s="2">
        <v>1</v>
      </c>
      <c r="BH73" s="2">
        <v>0</v>
      </c>
      <c r="BI73" s="2">
        <v>239</v>
      </c>
      <c r="BJ73" s="2">
        <v>4</v>
      </c>
      <c r="BK73" s="2">
        <v>204</v>
      </c>
      <c r="BL73" s="161">
        <v>966058.88888888888</v>
      </c>
      <c r="BM73" s="2" t="str">
        <f t="shared" si="1"/>
        <v>171/283</v>
      </c>
    </row>
    <row r="74" spans="1:66" x14ac:dyDescent="0.25">
      <c r="A74" s="2">
        <v>540012</v>
      </c>
      <c r="B74" s="2" t="s">
        <v>122</v>
      </c>
      <c r="C74" s="2" t="s">
        <v>11</v>
      </c>
      <c r="D74" s="2" t="s">
        <v>612</v>
      </c>
      <c r="E74" s="2" t="s">
        <v>616</v>
      </c>
      <c r="F74" s="2" t="s">
        <v>613</v>
      </c>
      <c r="G74" s="2">
        <v>3</v>
      </c>
      <c r="H74" s="2">
        <v>0</v>
      </c>
      <c r="I74" s="2">
        <v>2</v>
      </c>
      <c r="J74" s="2">
        <v>11.8</v>
      </c>
      <c r="K74" s="2">
        <v>170</v>
      </c>
      <c r="L74" s="55">
        <v>0</v>
      </c>
      <c r="M74" s="2">
        <v>118</v>
      </c>
      <c r="N74" s="2">
        <v>2</v>
      </c>
      <c r="O74" s="2">
        <v>72</v>
      </c>
      <c r="P74" s="156">
        <v>11041</v>
      </c>
      <c r="Q74" s="2">
        <v>224</v>
      </c>
      <c r="R74" s="157">
        <v>3.0438956990000001</v>
      </c>
      <c r="S74" s="2">
        <v>12</v>
      </c>
      <c r="T74" s="158">
        <v>0.8</v>
      </c>
      <c r="U74" s="2">
        <v>258</v>
      </c>
      <c r="V74" s="55">
        <v>0</v>
      </c>
      <c r="W74" s="2">
        <v>230</v>
      </c>
      <c r="X74" s="55">
        <v>4</v>
      </c>
      <c r="Y74" s="2">
        <v>211</v>
      </c>
      <c r="Z74" s="2">
        <v>8</v>
      </c>
      <c r="AA74" s="2">
        <v>243</v>
      </c>
      <c r="AB74" s="2">
        <v>0</v>
      </c>
      <c r="AC74" s="2">
        <v>222</v>
      </c>
      <c r="AD74" s="105">
        <v>2</v>
      </c>
      <c r="AE74" s="2">
        <v>228</v>
      </c>
      <c r="AF74" s="55">
        <v>0</v>
      </c>
      <c r="AG74" s="2">
        <v>184</v>
      </c>
      <c r="AH74" s="55">
        <v>0</v>
      </c>
      <c r="AI74" s="2">
        <v>135</v>
      </c>
      <c r="AJ74" s="55">
        <v>0.26740000000000003</v>
      </c>
      <c r="AK74" s="2">
        <v>21</v>
      </c>
      <c r="AL74" s="30">
        <v>43145</v>
      </c>
      <c r="AM74" s="2">
        <v>26</v>
      </c>
      <c r="AN74" s="2">
        <v>18</v>
      </c>
      <c r="AO74" s="2">
        <v>156</v>
      </c>
      <c r="AP74" s="2">
        <v>0</v>
      </c>
      <c r="AQ74" s="2">
        <v>222</v>
      </c>
      <c r="AR74" s="55">
        <v>0</v>
      </c>
      <c r="AS74" s="2">
        <v>184</v>
      </c>
      <c r="AT74" s="159">
        <v>0</v>
      </c>
      <c r="AU74" s="2">
        <v>81</v>
      </c>
      <c r="AV74" s="55">
        <v>0</v>
      </c>
      <c r="AW74" s="2">
        <v>194</v>
      </c>
      <c r="AX74" s="2" t="s">
        <v>615</v>
      </c>
      <c r="AY74" s="2">
        <v>999999</v>
      </c>
      <c r="AZ74" s="106">
        <v>0</v>
      </c>
      <c r="BA74" s="2">
        <v>14</v>
      </c>
      <c r="BB74" s="30">
        <v>42510</v>
      </c>
      <c r="BC74" s="2">
        <v>108</v>
      </c>
      <c r="BD74" s="160">
        <v>41806</v>
      </c>
      <c r="BE74" s="2">
        <v>1</v>
      </c>
      <c r="BF74" s="55">
        <v>1</v>
      </c>
      <c r="BG74" s="2">
        <v>1</v>
      </c>
      <c r="BH74" s="2">
        <v>1</v>
      </c>
      <c r="BI74" s="2">
        <v>151</v>
      </c>
      <c r="BJ74" s="2">
        <v>18</v>
      </c>
      <c r="BK74" s="2">
        <v>114</v>
      </c>
      <c r="BL74" s="161">
        <v>966409.4074074073</v>
      </c>
      <c r="BM74" s="2" t="str">
        <f t="shared" si="1"/>
        <v>223/283</v>
      </c>
    </row>
    <row r="75" spans="1:66" x14ac:dyDescent="0.25">
      <c r="A75" s="162">
        <v>540016</v>
      </c>
      <c r="B75" s="162" t="s">
        <v>12</v>
      </c>
      <c r="C75" s="162" t="s">
        <v>13</v>
      </c>
      <c r="D75" s="162" t="s">
        <v>617</v>
      </c>
      <c r="E75" s="162" t="s">
        <v>616</v>
      </c>
      <c r="F75" s="162" t="s">
        <v>613</v>
      </c>
      <c r="G75" s="162">
        <v>3</v>
      </c>
      <c r="H75" s="162">
        <v>0</v>
      </c>
      <c r="I75" s="162">
        <v>2</v>
      </c>
      <c r="J75" s="162">
        <v>93</v>
      </c>
      <c r="K75" s="162">
        <v>44</v>
      </c>
      <c r="L75" s="163">
        <v>21</v>
      </c>
      <c r="M75" s="162">
        <v>18</v>
      </c>
      <c r="N75" s="162">
        <v>2</v>
      </c>
      <c r="O75" s="162">
        <v>72</v>
      </c>
      <c r="P75" s="164">
        <v>2442903</v>
      </c>
      <c r="Q75" s="162">
        <v>36</v>
      </c>
      <c r="R75" s="165">
        <v>-0.91433686300000006</v>
      </c>
      <c r="S75" s="162">
        <v>267</v>
      </c>
      <c r="T75" s="166">
        <v>0.9</v>
      </c>
      <c r="U75" s="162">
        <v>107</v>
      </c>
      <c r="V75" s="163">
        <v>212</v>
      </c>
      <c r="W75" s="162">
        <v>3</v>
      </c>
      <c r="X75" s="163">
        <v>250</v>
      </c>
      <c r="Y75" s="162">
        <v>28</v>
      </c>
      <c r="Z75" s="162">
        <v>17</v>
      </c>
      <c r="AA75" s="162">
        <v>10</v>
      </c>
      <c r="AB75" s="162">
        <v>77</v>
      </c>
      <c r="AC75" s="162">
        <v>19</v>
      </c>
      <c r="AD75" s="167">
        <v>268</v>
      </c>
      <c r="AE75" s="162">
        <v>11</v>
      </c>
      <c r="AF75" s="163">
        <v>74</v>
      </c>
      <c r="AG75" s="162">
        <v>22</v>
      </c>
      <c r="AH75" s="163">
        <v>2693</v>
      </c>
      <c r="AI75" s="162">
        <v>15</v>
      </c>
      <c r="AJ75" s="163">
        <v>0.63129999999999997</v>
      </c>
      <c r="AK75" s="162">
        <v>205</v>
      </c>
      <c r="AL75" s="168">
        <v>43145</v>
      </c>
      <c r="AM75" s="162">
        <v>26</v>
      </c>
      <c r="AN75" s="162">
        <v>32</v>
      </c>
      <c r="AO75" s="162">
        <v>185</v>
      </c>
      <c r="AP75" s="162">
        <v>77</v>
      </c>
      <c r="AQ75" s="162">
        <v>19</v>
      </c>
      <c r="AR75" s="163">
        <v>74</v>
      </c>
      <c r="AS75" s="162">
        <v>22</v>
      </c>
      <c r="AT75" s="169">
        <v>-2.7849981433345712</v>
      </c>
      <c r="AU75" s="162">
        <v>238</v>
      </c>
      <c r="AV75" s="163">
        <v>1</v>
      </c>
      <c r="AW75" s="162">
        <v>1</v>
      </c>
      <c r="AX75" s="162" t="s">
        <v>615</v>
      </c>
      <c r="AY75" s="162">
        <v>999999</v>
      </c>
      <c r="AZ75" s="170">
        <v>0</v>
      </c>
      <c r="BA75" s="162">
        <v>14</v>
      </c>
      <c r="BB75" s="168">
        <v>42404</v>
      </c>
      <c r="BC75" s="162">
        <v>104</v>
      </c>
      <c r="BD75" s="171">
        <v>43530</v>
      </c>
      <c r="BE75" s="162">
        <v>51</v>
      </c>
      <c r="BF75" s="163">
        <v>1</v>
      </c>
      <c r="BG75" s="162">
        <v>1</v>
      </c>
      <c r="BH75" s="162">
        <v>1</v>
      </c>
      <c r="BI75" s="162">
        <v>151</v>
      </c>
      <c r="BJ75" s="162">
        <v>32</v>
      </c>
      <c r="BK75" s="162">
        <v>97</v>
      </c>
      <c r="BL75" s="161">
        <v>964662.5925925927</v>
      </c>
      <c r="BM75" s="162" t="str">
        <f t="shared" si="1"/>
        <v>20/283</v>
      </c>
      <c r="BN75" s="142"/>
    </row>
    <row r="76" spans="1:66" x14ac:dyDescent="0.25">
      <c r="A76" s="2">
        <v>540017</v>
      </c>
      <c r="B76" s="2" t="s">
        <v>126</v>
      </c>
      <c r="C76" s="2" t="s">
        <v>13</v>
      </c>
      <c r="D76" s="2" t="s">
        <v>612</v>
      </c>
      <c r="E76" s="2" t="s">
        <v>616</v>
      </c>
      <c r="F76" s="2" t="s">
        <v>613</v>
      </c>
      <c r="G76" s="2">
        <v>3</v>
      </c>
      <c r="H76" s="2">
        <v>0</v>
      </c>
      <c r="I76" s="2">
        <v>2</v>
      </c>
      <c r="J76" s="2">
        <v>93</v>
      </c>
      <c r="K76" s="2">
        <v>44</v>
      </c>
      <c r="L76" s="55">
        <v>0</v>
      </c>
      <c r="M76" s="2">
        <v>118</v>
      </c>
      <c r="N76" s="2">
        <v>2</v>
      </c>
      <c r="O76" s="2">
        <v>72</v>
      </c>
      <c r="P76" s="156">
        <v>31133</v>
      </c>
      <c r="Q76" s="2">
        <v>200</v>
      </c>
      <c r="R76" s="157">
        <v>-0.91433686300000006</v>
      </c>
      <c r="S76" s="2">
        <v>267</v>
      </c>
      <c r="T76" s="158">
        <v>0.9</v>
      </c>
      <c r="U76" s="2">
        <v>107</v>
      </c>
      <c r="V76" s="55">
        <v>28</v>
      </c>
      <c r="W76" s="2">
        <v>54</v>
      </c>
      <c r="X76" s="55">
        <v>12</v>
      </c>
      <c r="Y76" s="2">
        <v>169</v>
      </c>
      <c r="Z76" s="2">
        <v>17</v>
      </c>
      <c r="AA76" s="2">
        <v>10</v>
      </c>
      <c r="AB76" s="2">
        <v>3</v>
      </c>
      <c r="AC76" s="2">
        <v>149</v>
      </c>
      <c r="AD76" s="105">
        <v>23</v>
      </c>
      <c r="AE76" s="2">
        <v>110</v>
      </c>
      <c r="AF76" s="55">
        <v>0</v>
      </c>
      <c r="AG76" s="2">
        <v>184</v>
      </c>
      <c r="AH76" s="55">
        <v>327</v>
      </c>
      <c r="AI76" s="2">
        <v>81</v>
      </c>
      <c r="AJ76" s="55">
        <v>0.63129999999999997</v>
      </c>
      <c r="AK76" s="2">
        <v>205</v>
      </c>
      <c r="AL76" s="30">
        <v>43145</v>
      </c>
      <c r="AM76" s="2">
        <v>26</v>
      </c>
      <c r="AN76" s="2">
        <v>32</v>
      </c>
      <c r="AO76" s="2">
        <v>185</v>
      </c>
      <c r="AP76" s="2">
        <v>3</v>
      </c>
      <c r="AQ76" s="2">
        <v>149</v>
      </c>
      <c r="AR76" s="55">
        <v>0</v>
      </c>
      <c r="AS76" s="2">
        <v>184</v>
      </c>
      <c r="AT76" s="159">
        <v>9.4801223241590211</v>
      </c>
      <c r="AU76" s="2">
        <v>30</v>
      </c>
      <c r="AV76" s="55">
        <v>1</v>
      </c>
      <c r="AW76" s="2">
        <v>1</v>
      </c>
      <c r="AX76" s="2" t="s">
        <v>615</v>
      </c>
      <c r="AY76" s="2">
        <v>999999</v>
      </c>
      <c r="AZ76" s="106">
        <v>0</v>
      </c>
      <c r="BA76" s="2">
        <v>14</v>
      </c>
      <c r="BB76" s="30">
        <v>33722</v>
      </c>
      <c r="BC76" s="2">
        <v>20</v>
      </c>
      <c r="BD76" s="160">
        <v>43530</v>
      </c>
      <c r="BE76" s="2">
        <v>51</v>
      </c>
      <c r="BF76" s="55">
        <v>1</v>
      </c>
      <c r="BG76" s="2">
        <v>1</v>
      </c>
      <c r="BH76" s="2">
        <v>3</v>
      </c>
      <c r="BI76" s="2">
        <v>46</v>
      </c>
      <c r="BJ76" s="2">
        <v>32</v>
      </c>
      <c r="BK76" s="2">
        <v>97</v>
      </c>
      <c r="BL76" s="161">
        <v>965440.66666666663</v>
      </c>
      <c r="BM76" s="2" t="str">
        <f t="shared" si="1"/>
        <v>91/283</v>
      </c>
      <c r="BN76" s="142"/>
    </row>
    <row r="77" spans="1:66" x14ac:dyDescent="0.25">
      <c r="A77" s="2">
        <v>540023</v>
      </c>
      <c r="B77" s="2" t="s">
        <v>130</v>
      </c>
      <c r="C77" s="2" t="s">
        <v>17</v>
      </c>
      <c r="D77" s="2" t="s">
        <v>612</v>
      </c>
      <c r="E77" s="2" t="s">
        <v>616</v>
      </c>
      <c r="F77" s="2" t="s">
        <v>613</v>
      </c>
      <c r="G77" s="2">
        <v>3</v>
      </c>
      <c r="H77" s="2">
        <v>0</v>
      </c>
      <c r="I77" s="2">
        <v>2</v>
      </c>
      <c r="J77" s="2">
        <v>12.8</v>
      </c>
      <c r="K77" s="2">
        <v>168</v>
      </c>
      <c r="L77" s="55">
        <v>0</v>
      </c>
      <c r="M77" s="2">
        <v>118</v>
      </c>
      <c r="N77" s="2">
        <v>2</v>
      </c>
      <c r="O77" s="2">
        <v>72</v>
      </c>
      <c r="P77" s="156">
        <v>168268</v>
      </c>
      <c r="Q77" s="2">
        <v>145</v>
      </c>
      <c r="R77" s="157">
        <v>-0.14945271600000001</v>
      </c>
      <c r="S77" s="2">
        <v>144</v>
      </c>
      <c r="T77" s="158">
        <v>0.88</v>
      </c>
      <c r="U77" s="2">
        <v>175</v>
      </c>
      <c r="V77" s="55">
        <v>3</v>
      </c>
      <c r="W77" s="2">
        <v>153</v>
      </c>
      <c r="X77" s="55">
        <v>10</v>
      </c>
      <c r="Y77" s="2">
        <v>178</v>
      </c>
      <c r="Z77" s="2">
        <v>14</v>
      </c>
      <c r="AA77" s="2">
        <v>59</v>
      </c>
      <c r="AB77" s="2">
        <v>0</v>
      </c>
      <c r="AC77" s="2">
        <v>222</v>
      </c>
      <c r="AD77" s="105">
        <v>9</v>
      </c>
      <c r="AE77" s="2">
        <v>160</v>
      </c>
      <c r="AF77" s="55">
        <v>0</v>
      </c>
      <c r="AG77" s="2">
        <v>184</v>
      </c>
      <c r="AH77" s="55">
        <v>0</v>
      </c>
      <c r="AI77" s="2">
        <v>135</v>
      </c>
      <c r="AJ77" s="55">
        <v>0.68510000000000004</v>
      </c>
      <c r="AK77" s="2">
        <v>228</v>
      </c>
      <c r="AL77" s="30">
        <v>42543</v>
      </c>
      <c r="AM77" s="2">
        <v>161</v>
      </c>
      <c r="AN77" s="2">
        <v>0</v>
      </c>
      <c r="AO77" s="2">
        <v>1</v>
      </c>
      <c r="AP77" s="2">
        <v>0</v>
      </c>
      <c r="AQ77" s="2">
        <v>222</v>
      </c>
      <c r="AR77" s="55">
        <v>0</v>
      </c>
      <c r="AS77" s="2">
        <v>184</v>
      </c>
      <c r="AT77" s="159">
        <v>0</v>
      </c>
      <c r="AU77" s="2">
        <v>81</v>
      </c>
      <c r="AV77" s="55">
        <v>1</v>
      </c>
      <c r="AW77" s="2">
        <v>1</v>
      </c>
      <c r="AX77" s="2" t="s">
        <v>615</v>
      </c>
      <c r="AY77" s="2">
        <v>999999</v>
      </c>
      <c r="AZ77" s="106">
        <v>0</v>
      </c>
      <c r="BA77" s="2">
        <v>14</v>
      </c>
      <c r="BB77" s="30">
        <v>43397</v>
      </c>
      <c r="BC77" s="2">
        <v>228</v>
      </c>
      <c r="BD77" s="160">
        <v>41806</v>
      </c>
      <c r="BE77" s="2">
        <v>1</v>
      </c>
      <c r="BF77" s="55">
        <v>0</v>
      </c>
      <c r="BG77" s="2">
        <v>183</v>
      </c>
      <c r="BH77" s="2">
        <v>7</v>
      </c>
      <c r="BI77" s="2">
        <v>17</v>
      </c>
      <c r="BJ77" s="2">
        <v>0</v>
      </c>
      <c r="BK77" s="2">
        <v>249</v>
      </c>
      <c r="BL77" s="161">
        <v>966315.99999999988</v>
      </c>
      <c r="BM77" s="2" t="str">
        <f t="shared" si="1"/>
        <v>216/283</v>
      </c>
      <c r="BN77" s="142"/>
    </row>
    <row r="78" spans="1:66" x14ac:dyDescent="0.25">
      <c r="A78" s="2">
        <v>540280</v>
      </c>
      <c r="B78" s="2" t="s">
        <v>321</v>
      </c>
      <c r="C78" s="2" t="s">
        <v>21</v>
      </c>
      <c r="D78" s="2" t="s">
        <v>612</v>
      </c>
      <c r="E78" s="2" t="s">
        <v>616</v>
      </c>
      <c r="F78" s="2" t="s">
        <v>613</v>
      </c>
      <c r="G78" s="2">
        <v>3</v>
      </c>
      <c r="H78" s="2">
        <v>0</v>
      </c>
      <c r="I78" s="2">
        <v>2</v>
      </c>
      <c r="J78" s="2">
        <v>36</v>
      </c>
      <c r="K78" s="2">
        <v>85</v>
      </c>
      <c r="L78" s="55">
        <v>12</v>
      </c>
      <c r="M78" s="2">
        <v>30</v>
      </c>
      <c r="N78" s="2">
        <v>2</v>
      </c>
      <c r="O78" s="2">
        <v>72</v>
      </c>
      <c r="P78" s="156">
        <v>290301</v>
      </c>
      <c r="Q78" s="2">
        <v>119</v>
      </c>
      <c r="R78" s="157">
        <v>-0.85845514599999995</v>
      </c>
      <c r="S78" s="2">
        <v>250</v>
      </c>
      <c r="T78" s="158">
        <v>0.91</v>
      </c>
      <c r="U78" s="2">
        <v>70</v>
      </c>
      <c r="V78" s="55">
        <v>1</v>
      </c>
      <c r="W78" s="2">
        <v>197</v>
      </c>
      <c r="X78" s="55">
        <v>41</v>
      </c>
      <c r="Y78" s="2">
        <v>110</v>
      </c>
      <c r="Z78" s="2">
        <v>11</v>
      </c>
      <c r="AA78" s="2">
        <v>155</v>
      </c>
      <c r="AB78" s="2">
        <v>0</v>
      </c>
      <c r="AC78" s="2">
        <v>222</v>
      </c>
      <c r="AD78" s="105">
        <v>7</v>
      </c>
      <c r="AE78" s="2">
        <v>179</v>
      </c>
      <c r="AF78" s="55">
        <v>18</v>
      </c>
      <c r="AG78" s="2">
        <v>72</v>
      </c>
      <c r="AH78" s="55">
        <v>0</v>
      </c>
      <c r="AI78" s="2">
        <v>135</v>
      </c>
      <c r="AJ78" s="55">
        <v>0.77170000000000005</v>
      </c>
      <c r="AK78" s="2">
        <v>255</v>
      </c>
      <c r="AL78" s="30">
        <v>42543</v>
      </c>
      <c r="AM78" s="2">
        <v>161</v>
      </c>
      <c r="AN78" s="2">
        <v>36</v>
      </c>
      <c r="AO78" s="2">
        <v>188</v>
      </c>
      <c r="AP78" s="2">
        <v>0</v>
      </c>
      <c r="AQ78" s="2">
        <v>222</v>
      </c>
      <c r="AR78" s="55">
        <v>18</v>
      </c>
      <c r="AS78" s="2">
        <v>72</v>
      </c>
      <c r="AT78" s="159">
        <v>0</v>
      </c>
      <c r="AU78" s="2">
        <v>81</v>
      </c>
      <c r="AV78" s="55">
        <v>0</v>
      </c>
      <c r="AW78" s="2">
        <v>194</v>
      </c>
      <c r="AX78" s="2" t="s">
        <v>615</v>
      </c>
      <c r="AY78" s="2">
        <v>999999</v>
      </c>
      <c r="AZ78" s="106">
        <v>0</v>
      </c>
      <c r="BA78" s="2">
        <v>14</v>
      </c>
      <c r="BB78" s="30">
        <v>43032</v>
      </c>
      <c r="BC78" s="2">
        <v>156</v>
      </c>
      <c r="BD78" s="160">
        <v>41806</v>
      </c>
      <c r="BE78" s="2">
        <v>1</v>
      </c>
      <c r="BF78" s="55">
        <v>1</v>
      </c>
      <c r="BG78" s="2">
        <v>1</v>
      </c>
      <c r="BH78" s="2">
        <v>1</v>
      </c>
      <c r="BI78" s="2">
        <v>151</v>
      </c>
      <c r="BJ78" s="2">
        <v>36</v>
      </c>
      <c r="BK78" s="2">
        <v>87</v>
      </c>
      <c r="BL78" s="161">
        <v>966119.55555555562</v>
      </c>
      <c r="BM78" s="2" t="str">
        <f t="shared" si="1"/>
        <v>184/283</v>
      </c>
      <c r="BN78" s="142"/>
    </row>
    <row r="79" spans="1:66" x14ac:dyDescent="0.25">
      <c r="A79" s="162">
        <v>540051</v>
      </c>
      <c r="B79" s="162" t="s">
        <v>30</v>
      </c>
      <c r="C79" s="162" t="s">
        <v>31</v>
      </c>
      <c r="D79" s="162" t="s">
        <v>617</v>
      </c>
      <c r="E79" s="162" t="s">
        <v>616</v>
      </c>
      <c r="F79" s="162" t="s">
        <v>613</v>
      </c>
      <c r="G79" s="162">
        <v>3</v>
      </c>
      <c r="H79" s="162">
        <v>0</v>
      </c>
      <c r="I79" s="162">
        <v>2</v>
      </c>
      <c r="J79" s="162">
        <v>38.6</v>
      </c>
      <c r="K79" s="162">
        <v>82</v>
      </c>
      <c r="L79" s="163">
        <v>0</v>
      </c>
      <c r="M79" s="162">
        <v>118</v>
      </c>
      <c r="N79" s="162">
        <v>2</v>
      </c>
      <c r="O79" s="162">
        <v>72</v>
      </c>
      <c r="P79" s="164">
        <v>479350</v>
      </c>
      <c r="Q79" s="162">
        <v>101</v>
      </c>
      <c r="R79" s="165">
        <v>3.9800386940000001</v>
      </c>
      <c r="S79" s="162">
        <v>9</v>
      </c>
      <c r="T79" s="166">
        <v>0.94</v>
      </c>
      <c r="U79" s="162">
        <v>11</v>
      </c>
      <c r="V79" s="163">
        <v>22</v>
      </c>
      <c r="W79" s="162">
        <v>63</v>
      </c>
      <c r="X79" s="163">
        <v>48</v>
      </c>
      <c r="Y79" s="162">
        <v>92</v>
      </c>
      <c r="Z79" s="162">
        <v>8</v>
      </c>
      <c r="AA79" s="162">
        <v>243</v>
      </c>
      <c r="AB79" s="162">
        <v>9</v>
      </c>
      <c r="AC79" s="162">
        <v>105</v>
      </c>
      <c r="AD79" s="167">
        <v>65</v>
      </c>
      <c r="AE79" s="162">
        <v>62</v>
      </c>
      <c r="AF79" s="163">
        <v>4</v>
      </c>
      <c r="AG79" s="162">
        <v>142</v>
      </c>
      <c r="AH79" s="163">
        <v>986</v>
      </c>
      <c r="AI79" s="162">
        <v>54</v>
      </c>
      <c r="AJ79" s="163">
        <v>0.58069999999999999</v>
      </c>
      <c r="AK79" s="162">
        <v>178</v>
      </c>
      <c r="AL79" s="168">
        <v>43248</v>
      </c>
      <c r="AM79" s="162">
        <v>1</v>
      </c>
      <c r="AN79" s="162">
        <v>12</v>
      </c>
      <c r="AO79" s="162">
        <v>125</v>
      </c>
      <c r="AP79" s="162">
        <v>9</v>
      </c>
      <c r="AQ79" s="162">
        <v>105</v>
      </c>
      <c r="AR79" s="163">
        <v>4</v>
      </c>
      <c r="AS79" s="162">
        <v>142</v>
      </c>
      <c r="AT79" s="169">
        <v>7.0993914807302234</v>
      </c>
      <c r="AU79" s="162">
        <v>44</v>
      </c>
      <c r="AV79" s="163">
        <v>1</v>
      </c>
      <c r="AW79" s="162">
        <v>1</v>
      </c>
      <c r="AX79" s="162" t="s">
        <v>615</v>
      </c>
      <c r="AY79" s="162">
        <v>999999</v>
      </c>
      <c r="AZ79" s="170">
        <v>0</v>
      </c>
      <c r="BA79" s="162">
        <v>14</v>
      </c>
      <c r="BB79" s="168">
        <v>42998</v>
      </c>
      <c r="BC79" s="162">
        <v>138</v>
      </c>
      <c r="BD79" s="171">
        <v>43530</v>
      </c>
      <c r="BE79" s="162">
        <v>51</v>
      </c>
      <c r="BF79" s="163">
        <v>0</v>
      </c>
      <c r="BG79" s="162">
        <v>183</v>
      </c>
      <c r="BH79" s="162">
        <v>6</v>
      </c>
      <c r="BI79" s="162">
        <v>24</v>
      </c>
      <c r="BJ79" s="162">
        <v>12</v>
      </c>
      <c r="BK79" s="162">
        <v>157</v>
      </c>
      <c r="BL79" s="161">
        <v>965193.18518518528</v>
      </c>
      <c r="BM79" s="162" t="str">
        <f t="shared" si="1"/>
        <v>58/283</v>
      </c>
      <c r="BN79" s="142"/>
    </row>
    <row r="80" spans="1:66" x14ac:dyDescent="0.25">
      <c r="A80" s="2">
        <v>540052</v>
      </c>
      <c r="B80" s="2" t="s">
        <v>151</v>
      </c>
      <c r="C80" s="2" t="s">
        <v>31</v>
      </c>
      <c r="D80" s="2" t="s">
        <v>612</v>
      </c>
      <c r="E80" s="2" t="s">
        <v>616</v>
      </c>
      <c r="F80" s="2" t="s">
        <v>613</v>
      </c>
      <c r="G80" s="2">
        <v>3</v>
      </c>
      <c r="H80" s="2">
        <v>0</v>
      </c>
      <c r="I80" s="2">
        <v>2</v>
      </c>
      <c r="J80" s="2">
        <v>38.6</v>
      </c>
      <c r="K80" s="2">
        <v>82</v>
      </c>
      <c r="L80" s="55">
        <v>0</v>
      </c>
      <c r="M80" s="2">
        <v>118</v>
      </c>
      <c r="N80" s="2">
        <v>2</v>
      </c>
      <c r="O80" s="2">
        <v>72</v>
      </c>
      <c r="P80" s="156">
        <v>3131237</v>
      </c>
      <c r="Q80" s="2">
        <v>26</v>
      </c>
      <c r="R80" s="157">
        <v>3.9800386940000001</v>
      </c>
      <c r="S80" s="2">
        <v>9</v>
      </c>
      <c r="T80" s="158">
        <v>0.94</v>
      </c>
      <c r="U80" s="2">
        <v>11</v>
      </c>
      <c r="V80" s="55">
        <v>10</v>
      </c>
      <c r="W80" s="2">
        <v>95</v>
      </c>
      <c r="X80" s="55">
        <v>146</v>
      </c>
      <c r="Y80" s="2">
        <v>50</v>
      </c>
      <c r="Z80" s="2">
        <v>8</v>
      </c>
      <c r="AA80" s="2">
        <v>243</v>
      </c>
      <c r="AB80" s="2">
        <v>3</v>
      </c>
      <c r="AC80" s="2">
        <v>149</v>
      </c>
      <c r="AD80" s="105">
        <v>60</v>
      </c>
      <c r="AE80" s="2">
        <v>70</v>
      </c>
      <c r="AF80" s="55">
        <v>4</v>
      </c>
      <c r="AG80" s="2">
        <v>142</v>
      </c>
      <c r="AH80" s="55">
        <v>115</v>
      </c>
      <c r="AI80" s="2">
        <v>121</v>
      </c>
      <c r="AJ80" s="55">
        <v>0.58069999999999999</v>
      </c>
      <c r="AK80" s="2">
        <v>178</v>
      </c>
      <c r="AL80" s="30">
        <v>43248</v>
      </c>
      <c r="AM80" s="2">
        <v>1</v>
      </c>
      <c r="AN80" s="2">
        <v>12</v>
      </c>
      <c r="AO80" s="2">
        <v>125</v>
      </c>
      <c r="AP80" s="2">
        <v>3</v>
      </c>
      <c r="AQ80" s="2">
        <v>149</v>
      </c>
      <c r="AR80" s="55">
        <v>4</v>
      </c>
      <c r="AS80" s="2">
        <v>142</v>
      </c>
      <c r="AT80" s="159">
        <v>14.782608695652174</v>
      </c>
      <c r="AU80" s="2">
        <v>12</v>
      </c>
      <c r="AV80" s="55">
        <v>1</v>
      </c>
      <c r="AW80" s="2">
        <v>1</v>
      </c>
      <c r="AX80" s="2" t="s">
        <v>615</v>
      </c>
      <c r="AY80" s="2">
        <v>999999</v>
      </c>
      <c r="AZ80" s="106">
        <v>0</v>
      </c>
      <c r="BA80" s="2">
        <v>14</v>
      </c>
      <c r="BB80" s="30">
        <v>42998</v>
      </c>
      <c r="BC80" s="2">
        <v>138</v>
      </c>
      <c r="BD80" s="160">
        <v>43350</v>
      </c>
      <c r="BE80" s="2">
        <v>42</v>
      </c>
      <c r="BF80" s="55">
        <v>0</v>
      </c>
      <c r="BG80" s="2">
        <v>183</v>
      </c>
      <c r="BH80" s="2">
        <v>3</v>
      </c>
      <c r="BI80" s="2">
        <v>46</v>
      </c>
      <c r="BJ80" s="2">
        <v>12</v>
      </c>
      <c r="BK80" s="2">
        <v>157</v>
      </c>
      <c r="BL80" s="161">
        <v>965250.00000000012</v>
      </c>
      <c r="BM80" s="2" t="str">
        <f t="shared" si="1"/>
        <v>68/283</v>
      </c>
      <c r="BN80" s="142"/>
    </row>
    <row r="81" spans="1:66" x14ac:dyDescent="0.25">
      <c r="A81" s="2">
        <v>540245</v>
      </c>
      <c r="B81" s="2" t="s">
        <v>292</v>
      </c>
      <c r="C81" s="2" t="s">
        <v>31</v>
      </c>
      <c r="D81" s="2" t="s">
        <v>612</v>
      </c>
      <c r="E81" s="2" t="s">
        <v>616</v>
      </c>
      <c r="F81" s="2" t="s">
        <v>613</v>
      </c>
      <c r="G81" s="2">
        <v>3</v>
      </c>
      <c r="H81" s="2">
        <v>0</v>
      </c>
      <c r="I81" s="2">
        <v>0</v>
      </c>
      <c r="J81" s="2">
        <v>38.6</v>
      </c>
      <c r="K81" s="2">
        <v>82</v>
      </c>
      <c r="L81" s="55">
        <v>0</v>
      </c>
      <c r="M81" s="2">
        <v>118</v>
      </c>
      <c r="N81" s="2">
        <v>2</v>
      </c>
      <c r="O81" s="2">
        <v>72</v>
      </c>
      <c r="P81" s="156" t="s">
        <v>614</v>
      </c>
      <c r="Q81" s="2">
        <v>999999</v>
      </c>
      <c r="R81" s="157">
        <v>3.9800386940000001</v>
      </c>
      <c r="S81" s="2">
        <v>9</v>
      </c>
      <c r="T81" s="158">
        <v>0.94</v>
      </c>
      <c r="U81" s="2">
        <v>11</v>
      </c>
      <c r="V81" s="55">
        <v>2</v>
      </c>
      <c r="W81" s="2">
        <v>170</v>
      </c>
      <c r="X81" s="55" t="s">
        <v>614</v>
      </c>
      <c r="Y81" s="2">
        <v>999999</v>
      </c>
      <c r="Z81" s="2">
        <v>8</v>
      </c>
      <c r="AA81" s="2">
        <v>243</v>
      </c>
      <c r="AB81" s="2">
        <v>0</v>
      </c>
      <c r="AC81" s="2">
        <v>222</v>
      </c>
      <c r="AD81" s="105" t="s">
        <v>614</v>
      </c>
      <c r="AE81" s="2">
        <v>999999</v>
      </c>
      <c r="AF81" s="55">
        <v>0</v>
      </c>
      <c r="AG81" s="2">
        <v>184</v>
      </c>
      <c r="AH81" s="55">
        <v>0</v>
      </c>
      <c r="AI81" s="2">
        <v>135</v>
      </c>
      <c r="AJ81" s="55">
        <v>0.58069999999999999</v>
      </c>
      <c r="AK81" s="2">
        <v>178</v>
      </c>
      <c r="AL81" s="30">
        <v>43248</v>
      </c>
      <c r="AM81" s="2">
        <v>1</v>
      </c>
      <c r="AN81" s="2">
        <v>12</v>
      </c>
      <c r="AO81" s="2">
        <v>125</v>
      </c>
      <c r="AP81" s="2">
        <v>0</v>
      </c>
      <c r="AQ81" s="2">
        <v>222</v>
      </c>
      <c r="AR81" s="55">
        <v>0</v>
      </c>
      <c r="AS81" s="2">
        <v>184</v>
      </c>
      <c r="AT81" s="159">
        <v>0</v>
      </c>
      <c r="AU81" s="2">
        <v>81</v>
      </c>
      <c r="AV81" s="55">
        <v>1</v>
      </c>
      <c r="AW81" s="2">
        <v>1</v>
      </c>
      <c r="AX81" s="2" t="s">
        <v>615</v>
      </c>
      <c r="AY81" s="2">
        <v>999999</v>
      </c>
      <c r="AZ81" s="106">
        <v>0</v>
      </c>
      <c r="BA81" s="2">
        <v>14</v>
      </c>
      <c r="BB81" s="30">
        <v>42998</v>
      </c>
      <c r="BC81" s="2">
        <v>138</v>
      </c>
      <c r="BD81" s="160">
        <v>43350</v>
      </c>
      <c r="BE81" s="2">
        <v>42</v>
      </c>
      <c r="BF81" s="55">
        <v>0</v>
      </c>
      <c r="BG81" s="2">
        <v>183</v>
      </c>
      <c r="BH81" s="2">
        <v>3</v>
      </c>
      <c r="BI81" s="2">
        <v>46</v>
      </c>
      <c r="BJ81" s="2">
        <v>12</v>
      </c>
      <c r="BK81" s="2">
        <v>157</v>
      </c>
      <c r="BL81" s="161">
        <v>3854369.0370370368</v>
      </c>
      <c r="BM81" s="2" t="str">
        <f t="shared" si="1"/>
        <v>260/283</v>
      </c>
      <c r="BN81" s="142"/>
    </row>
    <row r="82" spans="1:66" x14ac:dyDescent="0.25">
      <c r="A82" s="181">
        <v>540065</v>
      </c>
      <c r="B82" s="181" t="s">
        <v>36</v>
      </c>
      <c r="C82" s="181" t="s">
        <v>37</v>
      </c>
      <c r="D82" s="181" t="s">
        <v>617</v>
      </c>
      <c r="E82" s="181" t="s">
        <v>616</v>
      </c>
      <c r="F82" s="181" t="s">
        <v>613</v>
      </c>
      <c r="G82" s="181">
        <v>3</v>
      </c>
      <c r="H82" s="181">
        <v>0</v>
      </c>
      <c r="I82" s="181">
        <v>2</v>
      </c>
      <c r="J82" s="181">
        <v>204.6</v>
      </c>
      <c r="K82" s="181">
        <v>5</v>
      </c>
      <c r="L82" s="182">
        <v>16</v>
      </c>
      <c r="M82" s="181">
        <v>24</v>
      </c>
      <c r="N82" s="181">
        <v>2</v>
      </c>
      <c r="O82" s="181">
        <v>72</v>
      </c>
      <c r="P82" s="183">
        <v>1617488</v>
      </c>
      <c r="Q82" s="181">
        <v>55</v>
      </c>
      <c r="R82" s="184">
        <v>2.5737324519999998</v>
      </c>
      <c r="S82" s="181">
        <v>26</v>
      </c>
      <c r="T82" s="185">
        <v>0.82000000000000006</v>
      </c>
      <c r="U82" s="181">
        <v>245</v>
      </c>
      <c r="V82" s="182">
        <v>140</v>
      </c>
      <c r="W82" s="181">
        <v>7</v>
      </c>
      <c r="X82" s="182">
        <v>126</v>
      </c>
      <c r="Y82" s="181">
        <v>59</v>
      </c>
      <c r="Z82" s="181">
        <v>8</v>
      </c>
      <c r="AA82" s="181">
        <v>243</v>
      </c>
      <c r="AB82" s="181">
        <v>64</v>
      </c>
      <c r="AC82" s="181">
        <v>25</v>
      </c>
      <c r="AD82" s="186">
        <v>175</v>
      </c>
      <c r="AE82" s="181">
        <v>20</v>
      </c>
      <c r="AF82" s="182">
        <v>43</v>
      </c>
      <c r="AG82" s="181">
        <v>42</v>
      </c>
      <c r="AH82" s="182">
        <v>3888</v>
      </c>
      <c r="AI82" s="181">
        <v>8</v>
      </c>
      <c r="AJ82" s="182">
        <v>0.23849999999999999</v>
      </c>
      <c r="AK82" s="181">
        <v>14</v>
      </c>
      <c r="AL82" s="187">
        <v>43248</v>
      </c>
      <c r="AM82" s="181">
        <v>1</v>
      </c>
      <c r="AN82" s="181">
        <v>6</v>
      </c>
      <c r="AO82" s="181">
        <v>81</v>
      </c>
      <c r="AP82" s="181">
        <v>64</v>
      </c>
      <c r="AQ82" s="181">
        <v>25</v>
      </c>
      <c r="AR82" s="182">
        <v>43</v>
      </c>
      <c r="AS82" s="181">
        <v>42</v>
      </c>
      <c r="AT82" s="188">
        <v>24.665637860082303</v>
      </c>
      <c r="AU82" s="181">
        <v>5</v>
      </c>
      <c r="AV82" s="182">
        <v>0</v>
      </c>
      <c r="AW82" s="181">
        <v>194</v>
      </c>
      <c r="AX82" s="181">
        <v>6</v>
      </c>
      <c r="AY82" s="181">
        <v>1</v>
      </c>
      <c r="AZ82" s="189">
        <v>1</v>
      </c>
      <c r="BA82" s="181">
        <v>1</v>
      </c>
      <c r="BB82" s="187">
        <v>39888</v>
      </c>
      <c r="BC82" s="181">
        <v>33</v>
      </c>
      <c r="BD82" s="190">
        <v>43502</v>
      </c>
      <c r="BE82" s="181">
        <v>45</v>
      </c>
      <c r="BF82" s="182">
        <v>1</v>
      </c>
      <c r="BG82" s="181">
        <v>1</v>
      </c>
      <c r="BH82" s="181">
        <v>3</v>
      </c>
      <c r="BI82" s="181">
        <v>46</v>
      </c>
      <c r="BJ82" s="181">
        <v>6</v>
      </c>
      <c r="BK82" s="181">
        <v>191</v>
      </c>
      <c r="BL82" s="191">
        <v>1455.0370370370372</v>
      </c>
      <c r="BM82" s="181" t="str">
        <f t="shared" si="1"/>
        <v>2/283</v>
      </c>
      <c r="BN82" s="142"/>
    </row>
    <row r="83" spans="1:66" x14ac:dyDescent="0.25">
      <c r="A83" s="77">
        <v>540066</v>
      </c>
      <c r="B83" s="77" t="s">
        <v>162</v>
      </c>
      <c r="C83" s="77" t="s">
        <v>37</v>
      </c>
      <c r="D83" s="77" t="s">
        <v>612</v>
      </c>
      <c r="E83" s="77" t="s">
        <v>616</v>
      </c>
      <c r="F83" s="77" t="s">
        <v>613</v>
      </c>
      <c r="G83" s="77">
        <v>3</v>
      </c>
      <c r="H83" s="77">
        <v>0</v>
      </c>
      <c r="I83" s="77">
        <v>2</v>
      </c>
      <c r="J83" s="77">
        <v>204.6</v>
      </c>
      <c r="K83" s="77">
        <v>5</v>
      </c>
      <c r="L83" s="172">
        <v>0</v>
      </c>
      <c r="M83" s="77">
        <v>118</v>
      </c>
      <c r="N83" s="77">
        <v>2</v>
      </c>
      <c r="O83" s="77">
        <v>72</v>
      </c>
      <c r="P83" s="173">
        <v>30848</v>
      </c>
      <c r="Q83" s="77">
        <v>201</v>
      </c>
      <c r="R83" s="174">
        <v>2.5737324519999998</v>
      </c>
      <c r="S83" s="77">
        <v>26</v>
      </c>
      <c r="T83" s="175">
        <v>0.82000000000000006</v>
      </c>
      <c r="U83" s="77">
        <v>245</v>
      </c>
      <c r="V83" s="172">
        <v>16</v>
      </c>
      <c r="W83" s="77">
        <v>78</v>
      </c>
      <c r="X83" s="172">
        <v>3</v>
      </c>
      <c r="Y83" s="77">
        <v>218</v>
      </c>
      <c r="Z83" s="77">
        <v>8</v>
      </c>
      <c r="AA83" s="77">
        <v>243</v>
      </c>
      <c r="AB83" s="77">
        <v>1</v>
      </c>
      <c r="AC83" s="77">
        <v>186</v>
      </c>
      <c r="AD83" s="176">
        <v>13</v>
      </c>
      <c r="AE83" s="77">
        <v>142</v>
      </c>
      <c r="AF83" s="172">
        <v>0</v>
      </c>
      <c r="AG83" s="77">
        <v>184</v>
      </c>
      <c r="AH83" s="172">
        <v>595</v>
      </c>
      <c r="AI83" s="77">
        <v>68</v>
      </c>
      <c r="AJ83" s="172">
        <v>0.23849999999999999</v>
      </c>
      <c r="AK83" s="77">
        <v>14</v>
      </c>
      <c r="AL83" s="177">
        <v>43248</v>
      </c>
      <c r="AM83" s="77">
        <v>1</v>
      </c>
      <c r="AN83" s="77">
        <v>6</v>
      </c>
      <c r="AO83" s="77">
        <v>81</v>
      </c>
      <c r="AP83" s="77">
        <v>1</v>
      </c>
      <c r="AQ83" s="77">
        <v>186</v>
      </c>
      <c r="AR83" s="172">
        <v>0</v>
      </c>
      <c r="AS83" s="77">
        <v>184</v>
      </c>
      <c r="AT83" s="178">
        <v>31.764705882352938</v>
      </c>
      <c r="AU83" s="77">
        <v>3</v>
      </c>
      <c r="AV83" s="172">
        <v>1</v>
      </c>
      <c r="AW83" s="77">
        <v>1</v>
      </c>
      <c r="AX83" s="77" t="s">
        <v>615</v>
      </c>
      <c r="AY83" s="77">
        <v>999999</v>
      </c>
      <c r="AZ83" s="179">
        <v>0</v>
      </c>
      <c r="BA83" s="77">
        <v>14</v>
      </c>
      <c r="BB83" s="177">
        <v>34585</v>
      </c>
      <c r="BC83" s="77">
        <v>23</v>
      </c>
      <c r="BD83" s="180">
        <v>42997</v>
      </c>
      <c r="BE83" s="77">
        <v>38</v>
      </c>
      <c r="BF83" s="172">
        <v>0</v>
      </c>
      <c r="BG83" s="77">
        <v>183</v>
      </c>
      <c r="BH83" s="77">
        <v>1</v>
      </c>
      <c r="BI83" s="77">
        <v>151</v>
      </c>
      <c r="BJ83" s="77">
        <v>6</v>
      </c>
      <c r="BK83" s="77">
        <v>191</v>
      </c>
      <c r="BL83" s="161">
        <v>965712.22222222236</v>
      </c>
      <c r="BM83" s="77" t="str">
        <f t="shared" si="1"/>
        <v>119/283</v>
      </c>
      <c r="BN83" s="142"/>
    </row>
    <row r="84" spans="1:66" x14ac:dyDescent="0.25">
      <c r="A84" s="2">
        <v>540076</v>
      </c>
      <c r="B84" s="2" t="s">
        <v>171</v>
      </c>
      <c r="C84" s="2" t="s">
        <v>39</v>
      </c>
      <c r="D84" s="2" t="s">
        <v>612</v>
      </c>
      <c r="E84" s="2" t="s">
        <v>616</v>
      </c>
      <c r="F84" s="2" t="s">
        <v>613</v>
      </c>
      <c r="G84" s="2">
        <v>3</v>
      </c>
      <c r="H84" s="2">
        <v>0</v>
      </c>
      <c r="I84" s="2">
        <v>2</v>
      </c>
      <c r="J84" s="2">
        <v>105.4</v>
      </c>
      <c r="K84" s="2">
        <v>25</v>
      </c>
      <c r="L84" s="55">
        <v>4</v>
      </c>
      <c r="M84" s="2">
        <v>67</v>
      </c>
      <c r="N84" s="2">
        <v>2</v>
      </c>
      <c r="O84" s="2">
        <v>72</v>
      </c>
      <c r="P84" s="156">
        <v>134126</v>
      </c>
      <c r="Q84" s="2">
        <v>152</v>
      </c>
      <c r="R84" s="157">
        <v>-0.91478383900000004</v>
      </c>
      <c r="S84" s="2">
        <v>270</v>
      </c>
      <c r="T84" s="158">
        <v>0.83</v>
      </c>
      <c r="U84" s="2">
        <v>228</v>
      </c>
      <c r="V84" s="55">
        <v>81</v>
      </c>
      <c r="W84" s="2">
        <v>17</v>
      </c>
      <c r="X84" s="55">
        <v>53</v>
      </c>
      <c r="Y84" s="2">
        <v>89</v>
      </c>
      <c r="Z84" s="2">
        <v>16</v>
      </c>
      <c r="AA84" s="2">
        <v>20</v>
      </c>
      <c r="AB84" s="2">
        <v>192</v>
      </c>
      <c r="AC84" s="2">
        <v>4</v>
      </c>
      <c r="AD84" s="105">
        <v>228</v>
      </c>
      <c r="AE84" s="2">
        <v>12</v>
      </c>
      <c r="AF84" s="55">
        <v>12</v>
      </c>
      <c r="AG84" s="2">
        <v>94</v>
      </c>
      <c r="AH84" s="55">
        <v>433</v>
      </c>
      <c r="AI84" s="2">
        <v>75</v>
      </c>
      <c r="AJ84" s="55">
        <v>0.47560000000000002</v>
      </c>
      <c r="AK84" s="2">
        <v>127</v>
      </c>
      <c r="AL84" s="30">
        <v>42543</v>
      </c>
      <c r="AM84" s="2">
        <v>161</v>
      </c>
      <c r="AN84" s="2">
        <v>169</v>
      </c>
      <c r="AO84" s="2">
        <v>259</v>
      </c>
      <c r="AP84" s="2">
        <v>192</v>
      </c>
      <c r="AQ84" s="2">
        <v>4</v>
      </c>
      <c r="AR84" s="55">
        <v>12</v>
      </c>
      <c r="AS84" s="2">
        <v>94</v>
      </c>
      <c r="AT84" s="159">
        <v>0.46189376443418012</v>
      </c>
      <c r="AU84" s="2">
        <v>76</v>
      </c>
      <c r="AV84" s="55">
        <v>1</v>
      </c>
      <c r="AW84" s="2">
        <v>1</v>
      </c>
      <c r="AX84" s="2" t="s">
        <v>615</v>
      </c>
      <c r="AY84" s="2">
        <v>999999</v>
      </c>
      <c r="AZ84" s="106">
        <v>0</v>
      </c>
      <c r="BA84" s="2">
        <v>14</v>
      </c>
      <c r="BB84" s="30">
        <v>40689</v>
      </c>
      <c r="BC84" s="2">
        <v>65</v>
      </c>
      <c r="BD84" s="160">
        <v>41806</v>
      </c>
      <c r="BE84" s="2">
        <v>1</v>
      </c>
      <c r="BF84" s="55">
        <v>0</v>
      </c>
      <c r="BG84" s="2">
        <v>183</v>
      </c>
      <c r="BH84" s="2">
        <v>1</v>
      </c>
      <c r="BI84" s="2">
        <v>151</v>
      </c>
      <c r="BJ84" s="2">
        <v>169</v>
      </c>
      <c r="BK84" s="2">
        <v>12</v>
      </c>
      <c r="BL84" s="161">
        <v>965150.81481481483</v>
      </c>
      <c r="BM84" s="2" t="str">
        <f t="shared" si="1"/>
        <v>53/283</v>
      </c>
      <c r="BN84" s="142"/>
    </row>
    <row r="85" spans="1:66" x14ac:dyDescent="0.25">
      <c r="A85" s="2">
        <v>540077</v>
      </c>
      <c r="B85" s="2" t="s">
        <v>172</v>
      </c>
      <c r="C85" s="2" t="s">
        <v>39</v>
      </c>
      <c r="D85" s="2" t="s">
        <v>612</v>
      </c>
      <c r="E85" s="2" t="s">
        <v>616</v>
      </c>
      <c r="F85" s="2" t="s">
        <v>613</v>
      </c>
      <c r="G85" s="2">
        <v>3</v>
      </c>
      <c r="H85" s="2">
        <v>0</v>
      </c>
      <c r="I85" s="2">
        <v>2</v>
      </c>
      <c r="J85" s="2">
        <v>105.4</v>
      </c>
      <c r="K85" s="2">
        <v>25</v>
      </c>
      <c r="L85" s="55">
        <v>0</v>
      </c>
      <c r="M85" s="2">
        <v>118</v>
      </c>
      <c r="N85" s="2">
        <v>2</v>
      </c>
      <c r="O85" s="2">
        <v>72</v>
      </c>
      <c r="P85" s="156">
        <v>0</v>
      </c>
      <c r="Q85" s="2">
        <v>248</v>
      </c>
      <c r="R85" s="157">
        <v>-0.91478383900000004</v>
      </c>
      <c r="S85" s="2">
        <v>270</v>
      </c>
      <c r="T85" s="158">
        <v>0.83</v>
      </c>
      <c r="U85" s="2">
        <v>228</v>
      </c>
      <c r="V85" s="55">
        <v>5</v>
      </c>
      <c r="W85" s="2">
        <v>121</v>
      </c>
      <c r="X85" s="55">
        <v>0</v>
      </c>
      <c r="Y85" s="2">
        <v>256</v>
      </c>
      <c r="Z85" s="2">
        <v>16</v>
      </c>
      <c r="AA85" s="2">
        <v>20</v>
      </c>
      <c r="AB85" s="2">
        <v>7</v>
      </c>
      <c r="AC85" s="2">
        <v>120</v>
      </c>
      <c r="AD85" s="105">
        <v>15</v>
      </c>
      <c r="AE85" s="2">
        <v>130</v>
      </c>
      <c r="AF85" s="55">
        <v>0</v>
      </c>
      <c r="AG85" s="2">
        <v>184</v>
      </c>
      <c r="AH85" s="55">
        <v>0</v>
      </c>
      <c r="AI85" s="2">
        <v>135</v>
      </c>
      <c r="AJ85" s="55">
        <v>0.47560000000000002</v>
      </c>
      <c r="AK85" s="2">
        <v>127</v>
      </c>
      <c r="AL85" s="30">
        <v>42543</v>
      </c>
      <c r="AM85" s="2">
        <v>161</v>
      </c>
      <c r="AN85" s="2">
        <v>169</v>
      </c>
      <c r="AO85" s="2">
        <v>259</v>
      </c>
      <c r="AP85" s="2">
        <v>7</v>
      </c>
      <c r="AQ85" s="2">
        <v>120</v>
      </c>
      <c r="AR85" s="55">
        <v>0</v>
      </c>
      <c r="AS85" s="2">
        <v>184</v>
      </c>
      <c r="AT85" s="159">
        <v>0</v>
      </c>
      <c r="AU85" s="2">
        <v>81</v>
      </c>
      <c r="AV85" s="55">
        <v>0</v>
      </c>
      <c r="AW85" s="2">
        <v>194</v>
      </c>
      <c r="AX85" s="2" t="s">
        <v>615</v>
      </c>
      <c r="AY85" s="2">
        <v>999999</v>
      </c>
      <c r="AZ85" s="106">
        <v>0</v>
      </c>
      <c r="BA85" s="2">
        <v>14</v>
      </c>
      <c r="BB85" s="30">
        <v>43413</v>
      </c>
      <c r="BC85" s="2">
        <v>234</v>
      </c>
      <c r="BD85" s="160">
        <v>41806</v>
      </c>
      <c r="BE85" s="2">
        <v>1</v>
      </c>
      <c r="BF85" s="55">
        <v>1</v>
      </c>
      <c r="BG85" s="2">
        <v>1</v>
      </c>
      <c r="BH85" s="2">
        <v>2</v>
      </c>
      <c r="BI85" s="2">
        <v>68</v>
      </c>
      <c r="BJ85" s="2">
        <v>169</v>
      </c>
      <c r="BK85" s="2">
        <v>12</v>
      </c>
      <c r="BL85" s="161">
        <v>966219.70370370359</v>
      </c>
      <c r="BM85" s="2" t="str">
        <f t="shared" si="1"/>
        <v>203/283</v>
      </c>
      <c r="BN85" s="142"/>
    </row>
    <row r="86" spans="1:66" x14ac:dyDescent="0.25">
      <c r="A86" s="2">
        <v>540078</v>
      </c>
      <c r="B86" s="2" t="s">
        <v>173</v>
      </c>
      <c r="C86" s="2" t="s">
        <v>39</v>
      </c>
      <c r="D86" s="2" t="s">
        <v>612</v>
      </c>
      <c r="E86" s="2" t="s">
        <v>616</v>
      </c>
      <c r="F86" s="2" t="s">
        <v>613</v>
      </c>
      <c r="G86" s="2">
        <v>3</v>
      </c>
      <c r="H86" s="2">
        <v>0</v>
      </c>
      <c r="I86" s="2">
        <v>2</v>
      </c>
      <c r="J86" s="2">
        <v>105.4</v>
      </c>
      <c r="K86" s="2">
        <v>25</v>
      </c>
      <c r="L86" s="55">
        <v>0</v>
      </c>
      <c r="M86" s="2">
        <v>118</v>
      </c>
      <c r="N86" s="2">
        <v>2</v>
      </c>
      <c r="O86" s="2">
        <v>72</v>
      </c>
      <c r="P86" s="156">
        <v>1076</v>
      </c>
      <c r="Q86" s="2">
        <v>243</v>
      </c>
      <c r="R86" s="157">
        <v>-0.91478383900000004</v>
      </c>
      <c r="S86" s="2">
        <v>270</v>
      </c>
      <c r="T86" s="158">
        <v>0.83</v>
      </c>
      <c r="U86" s="2">
        <v>228</v>
      </c>
      <c r="V86" s="55">
        <v>3</v>
      </c>
      <c r="W86" s="2">
        <v>153</v>
      </c>
      <c r="X86" s="55">
        <v>1</v>
      </c>
      <c r="Y86" s="2">
        <v>237</v>
      </c>
      <c r="Z86" s="2">
        <v>16</v>
      </c>
      <c r="AA86" s="2">
        <v>20</v>
      </c>
      <c r="AB86" s="2">
        <v>2</v>
      </c>
      <c r="AC86" s="2">
        <v>168</v>
      </c>
      <c r="AD86" s="105">
        <v>5</v>
      </c>
      <c r="AE86" s="2">
        <v>194</v>
      </c>
      <c r="AF86" s="55">
        <v>0</v>
      </c>
      <c r="AG86" s="2">
        <v>184</v>
      </c>
      <c r="AH86" s="55">
        <v>0</v>
      </c>
      <c r="AI86" s="2">
        <v>135</v>
      </c>
      <c r="AJ86" s="55">
        <v>0.47560000000000002</v>
      </c>
      <c r="AK86" s="2">
        <v>127</v>
      </c>
      <c r="AL86" s="30">
        <v>42543</v>
      </c>
      <c r="AM86" s="2">
        <v>161</v>
      </c>
      <c r="AN86" s="2">
        <v>169</v>
      </c>
      <c r="AO86" s="2">
        <v>259</v>
      </c>
      <c r="AP86" s="2">
        <v>2</v>
      </c>
      <c r="AQ86" s="2">
        <v>168</v>
      </c>
      <c r="AR86" s="55">
        <v>0</v>
      </c>
      <c r="AS86" s="2">
        <v>184</v>
      </c>
      <c r="AT86" s="159">
        <v>0</v>
      </c>
      <c r="AU86" s="2">
        <v>81</v>
      </c>
      <c r="AV86" s="55">
        <v>0</v>
      </c>
      <c r="AW86" s="2">
        <v>194</v>
      </c>
      <c r="AX86" s="2" t="s">
        <v>615</v>
      </c>
      <c r="AY86" s="2">
        <v>999999</v>
      </c>
      <c r="AZ86" s="106">
        <v>0</v>
      </c>
      <c r="BA86" s="2">
        <v>14</v>
      </c>
      <c r="BB86" s="30">
        <v>40288</v>
      </c>
      <c r="BC86" s="2">
        <v>37</v>
      </c>
      <c r="BD86" s="160">
        <v>41806</v>
      </c>
      <c r="BE86" s="2">
        <v>1</v>
      </c>
      <c r="BF86" s="55">
        <v>1</v>
      </c>
      <c r="BG86" s="2">
        <v>1</v>
      </c>
      <c r="BH86" s="2">
        <v>2</v>
      </c>
      <c r="BI86" s="2">
        <v>68</v>
      </c>
      <c r="BJ86" s="2">
        <v>169</v>
      </c>
      <c r="BK86" s="2">
        <v>12</v>
      </c>
      <c r="BL86" s="161">
        <v>966191.77777777775</v>
      </c>
      <c r="BM86" s="2" t="str">
        <f t="shared" si="1"/>
        <v>199/283</v>
      </c>
      <c r="BN86" s="142"/>
    </row>
    <row r="87" spans="1:66" x14ac:dyDescent="0.25">
      <c r="A87" s="2">
        <v>540279</v>
      </c>
      <c r="B87" s="2" t="s">
        <v>320</v>
      </c>
      <c r="C87" s="2" t="s">
        <v>39</v>
      </c>
      <c r="D87" s="2" t="s">
        <v>612</v>
      </c>
      <c r="E87" s="2" t="s">
        <v>616</v>
      </c>
      <c r="F87" s="2" t="s">
        <v>613</v>
      </c>
      <c r="G87" s="2">
        <v>3</v>
      </c>
      <c r="H87" s="2">
        <v>0</v>
      </c>
      <c r="I87" s="2">
        <v>0</v>
      </c>
      <c r="J87" s="2">
        <v>105.4</v>
      </c>
      <c r="K87" s="2">
        <v>25</v>
      </c>
      <c r="L87" s="55">
        <v>0</v>
      </c>
      <c r="M87" s="2">
        <v>118</v>
      </c>
      <c r="N87" s="2">
        <v>2</v>
      </c>
      <c r="O87" s="2">
        <v>72</v>
      </c>
      <c r="P87" s="156" t="s">
        <v>614</v>
      </c>
      <c r="Q87" s="2">
        <v>999999</v>
      </c>
      <c r="R87" s="157">
        <v>-0.91478383900000004</v>
      </c>
      <c r="S87" s="2">
        <v>270</v>
      </c>
      <c r="T87" s="158">
        <v>0.83</v>
      </c>
      <c r="U87" s="2">
        <v>228</v>
      </c>
      <c r="V87" s="55">
        <v>2</v>
      </c>
      <c r="W87" s="2">
        <v>170</v>
      </c>
      <c r="X87" s="55" t="s">
        <v>614</v>
      </c>
      <c r="Y87" s="2">
        <v>999999</v>
      </c>
      <c r="Z87" s="2">
        <v>16</v>
      </c>
      <c r="AA87" s="2">
        <v>20</v>
      </c>
      <c r="AB87" s="2">
        <v>0</v>
      </c>
      <c r="AC87" s="2">
        <v>222</v>
      </c>
      <c r="AD87" s="105" t="s">
        <v>614</v>
      </c>
      <c r="AE87" s="2">
        <v>999999</v>
      </c>
      <c r="AF87" s="55">
        <v>0</v>
      </c>
      <c r="AG87" s="2">
        <v>184</v>
      </c>
      <c r="AH87" s="55">
        <v>0</v>
      </c>
      <c r="AI87" s="2">
        <v>135</v>
      </c>
      <c r="AJ87" s="55">
        <v>0.47560000000000002</v>
      </c>
      <c r="AK87" s="2">
        <v>127</v>
      </c>
      <c r="AL87" s="30">
        <v>42543</v>
      </c>
      <c r="AM87" s="2">
        <v>161</v>
      </c>
      <c r="AN87" s="2">
        <v>169</v>
      </c>
      <c r="AO87" s="2">
        <v>259</v>
      </c>
      <c r="AP87" s="2">
        <v>0</v>
      </c>
      <c r="AQ87" s="2">
        <v>222</v>
      </c>
      <c r="AR87" s="55">
        <v>0</v>
      </c>
      <c r="AS87" s="2">
        <v>184</v>
      </c>
      <c r="AT87" s="159">
        <v>0</v>
      </c>
      <c r="AU87" s="2">
        <v>81</v>
      </c>
      <c r="AV87" s="55">
        <v>0</v>
      </c>
      <c r="AW87" s="2">
        <v>194</v>
      </c>
      <c r="AX87" s="2" t="s">
        <v>615</v>
      </c>
      <c r="AY87" s="2">
        <v>999999</v>
      </c>
      <c r="AZ87" s="106">
        <v>0</v>
      </c>
      <c r="BA87" s="2">
        <v>14</v>
      </c>
      <c r="BB87" s="30">
        <v>43413</v>
      </c>
      <c r="BC87" s="2">
        <v>234</v>
      </c>
      <c r="BD87" s="160">
        <v>41806</v>
      </c>
      <c r="BE87" s="2">
        <v>1</v>
      </c>
      <c r="BF87" s="55">
        <v>1</v>
      </c>
      <c r="BG87" s="2">
        <v>1</v>
      </c>
      <c r="BH87" s="2">
        <v>2</v>
      </c>
      <c r="BI87" s="2">
        <v>68</v>
      </c>
      <c r="BJ87" s="2">
        <v>169</v>
      </c>
      <c r="BK87" s="2">
        <v>12</v>
      </c>
      <c r="BL87" s="161">
        <v>3854738.8148148148</v>
      </c>
      <c r="BM87" s="2" t="str">
        <f t="shared" si="1"/>
        <v>263/283</v>
      </c>
      <c r="BN87" s="142"/>
    </row>
    <row r="88" spans="1:66" x14ac:dyDescent="0.25">
      <c r="A88" s="162">
        <v>540097</v>
      </c>
      <c r="B88" s="162" t="s">
        <v>44</v>
      </c>
      <c r="C88" s="162" t="s">
        <v>45</v>
      </c>
      <c r="D88" s="162" t="s">
        <v>617</v>
      </c>
      <c r="E88" s="162" t="s">
        <v>616</v>
      </c>
      <c r="F88" s="162" t="s">
        <v>613</v>
      </c>
      <c r="G88" s="162">
        <v>3</v>
      </c>
      <c r="H88" s="162">
        <v>0</v>
      </c>
      <c r="I88" s="162">
        <v>2</v>
      </c>
      <c r="J88" s="162">
        <v>13.4</v>
      </c>
      <c r="K88" s="162">
        <v>146</v>
      </c>
      <c r="L88" s="163">
        <v>12</v>
      </c>
      <c r="M88" s="162">
        <v>30</v>
      </c>
      <c r="N88" s="162">
        <v>2</v>
      </c>
      <c r="O88" s="162">
        <v>72</v>
      </c>
      <c r="P88" s="164">
        <v>3712415</v>
      </c>
      <c r="Q88" s="162">
        <v>21</v>
      </c>
      <c r="R88" s="165">
        <v>-0.439666047</v>
      </c>
      <c r="S88" s="162">
        <v>171</v>
      </c>
      <c r="T88" s="166">
        <v>0.86</v>
      </c>
      <c r="U88" s="162">
        <v>191</v>
      </c>
      <c r="V88" s="163">
        <v>76</v>
      </c>
      <c r="W88" s="162">
        <v>22</v>
      </c>
      <c r="X88" s="163">
        <v>187</v>
      </c>
      <c r="Y88" s="162">
        <v>39</v>
      </c>
      <c r="Z88" s="162">
        <v>11</v>
      </c>
      <c r="AA88" s="162">
        <v>155</v>
      </c>
      <c r="AB88" s="162">
        <v>81</v>
      </c>
      <c r="AC88" s="162">
        <v>17</v>
      </c>
      <c r="AD88" s="167">
        <v>183</v>
      </c>
      <c r="AE88" s="162">
        <v>19</v>
      </c>
      <c r="AF88" s="163">
        <v>27</v>
      </c>
      <c r="AG88" s="162">
        <v>59</v>
      </c>
      <c r="AH88" s="163">
        <v>3997</v>
      </c>
      <c r="AI88" s="162">
        <v>5</v>
      </c>
      <c r="AJ88" s="163">
        <v>0.34639999999999999</v>
      </c>
      <c r="AK88" s="162">
        <v>49</v>
      </c>
      <c r="AL88" s="168">
        <v>42944</v>
      </c>
      <c r="AM88" s="162">
        <v>135</v>
      </c>
      <c r="AN88" s="162">
        <v>15</v>
      </c>
      <c r="AO88" s="162">
        <v>134</v>
      </c>
      <c r="AP88" s="162">
        <v>81</v>
      </c>
      <c r="AQ88" s="162">
        <v>17</v>
      </c>
      <c r="AR88" s="163">
        <v>27</v>
      </c>
      <c r="AS88" s="162">
        <v>59</v>
      </c>
      <c r="AT88" s="169">
        <v>1.4010507880910683</v>
      </c>
      <c r="AU88" s="162">
        <v>70</v>
      </c>
      <c r="AV88" s="163">
        <v>1</v>
      </c>
      <c r="AW88" s="162">
        <v>1</v>
      </c>
      <c r="AX88" s="162" t="s">
        <v>615</v>
      </c>
      <c r="AY88" s="162">
        <v>999999</v>
      </c>
      <c r="AZ88" s="170">
        <v>0</v>
      </c>
      <c r="BA88" s="162">
        <v>14</v>
      </c>
      <c r="BB88" s="168">
        <v>42986</v>
      </c>
      <c r="BC88" s="162">
        <v>130</v>
      </c>
      <c r="BD88" s="171">
        <v>42990</v>
      </c>
      <c r="BE88" s="162">
        <v>37</v>
      </c>
      <c r="BF88" s="163">
        <v>1</v>
      </c>
      <c r="BG88" s="162">
        <v>1</v>
      </c>
      <c r="BH88" s="162">
        <v>1</v>
      </c>
      <c r="BI88" s="162">
        <v>151</v>
      </c>
      <c r="BJ88" s="162">
        <v>15</v>
      </c>
      <c r="BK88" s="162">
        <v>130</v>
      </c>
      <c r="BL88" s="161">
        <v>964767.55555555562</v>
      </c>
      <c r="BM88" s="162" t="str">
        <f t="shared" si="1"/>
        <v>24/283</v>
      </c>
      <c r="BN88" s="142"/>
    </row>
    <row r="89" spans="1:66" x14ac:dyDescent="0.25">
      <c r="A89" s="2">
        <v>540108</v>
      </c>
      <c r="B89" s="2" t="s">
        <v>196</v>
      </c>
      <c r="C89" s="2" t="s">
        <v>47</v>
      </c>
      <c r="D89" s="2" t="s">
        <v>612</v>
      </c>
      <c r="E89" s="2" t="s">
        <v>616</v>
      </c>
      <c r="F89" s="2" t="s">
        <v>613</v>
      </c>
      <c r="G89" s="2">
        <v>3</v>
      </c>
      <c r="H89" s="2">
        <v>0</v>
      </c>
      <c r="I89" s="2">
        <v>2</v>
      </c>
      <c r="J89" s="2">
        <v>1.4</v>
      </c>
      <c r="K89" s="2">
        <v>250</v>
      </c>
      <c r="L89" s="55">
        <v>7</v>
      </c>
      <c r="M89" s="2">
        <v>48</v>
      </c>
      <c r="N89" s="2">
        <v>2</v>
      </c>
      <c r="O89" s="2">
        <v>72</v>
      </c>
      <c r="P89" s="156">
        <v>974717</v>
      </c>
      <c r="Q89" s="2">
        <v>73</v>
      </c>
      <c r="R89" s="157">
        <v>-0.18995964400000001</v>
      </c>
      <c r="S89" s="2">
        <v>150</v>
      </c>
      <c r="T89" s="158">
        <v>0.86</v>
      </c>
      <c r="U89" s="2">
        <v>191</v>
      </c>
      <c r="V89" s="55">
        <v>4</v>
      </c>
      <c r="W89" s="2">
        <v>142</v>
      </c>
      <c r="X89" s="55">
        <v>84</v>
      </c>
      <c r="Y89" s="2">
        <v>69</v>
      </c>
      <c r="Z89" s="2">
        <v>12</v>
      </c>
      <c r="AA89" s="2">
        <v>133</v>
      </c>
      <c r="AB89" s="2">
        <v>31</v>
      </c>
      <c r="AC89" s="2">
        <v>58</v>
      </c>
      <c r="AD89" s="105">
        <v>41</v>
      </c>
      <c r="AE89" s="2">
        <v>84</v>
      </c>
      <c r="AF89" s="55">
        <v>30</v>
      </c>
      <c r="AG89" s="2">
        <v>56</v>
      </c>
      <c r="AH89" s="55">
        <v>236</v>
      </c>
      <c r="AI89" s="2">
        <v>92</v>
      </c>
      <c r="AJ89" s="55">
        <v>0.18820000000000001</v>
      </c>
      <c r="AK89" s="2">
        <v>8</v>
      </c>
      <c r="AL89" s="30">
        <v>43145</v>
      </c>
      <c r="AM89" s="2">
        <v>26</v>
      </c>
      <c r="AN89" s="2">
        <v>3</v>
      </c>
      <c r="AO89" s="2">
        <v>57</v>
      </c>
      <c r="AP89" s="2">
        <v>31</v>
      </c>
      <c r="AQ89" s="2">
        <v>58</v>
      </c>
      <c r="AR89" s="55">
        <v>30</v>
      </c>
      <c r="AS89" s="2">
        <v>56</v>
      </c>
      <c r="AT89" s="159">
        <v>-13.559322033898304</v>
      </c>
      <c r="AU89" s="2">
        <v>265</v>
      </c>
      <c r="AV89" s="55">
        <v>0</v>
      </c>
      <c r="AW89" s="2">
        <v>194</v>
      </c>
      <c r="AX89" s="2" t="s">
        <v>615</v>
      </c>
      <c r="AY89" s="2">
        <v>999999</v>
      </c>
      <c r="AZ89" s="106">
        <v>0</v>
      </c>
      <c r="BA89" s="2">
        <v>14</v>
      </c>
      <c r="BB89" s="30">
        <v>43479</v>
      </c>
      <c r="BC89" s="2">
        <v>251</v>
      </c>
      <c r="BD89" s="160">
        <v>41806</v>
      </c>
      <c r="BE89" s="2">
        <v>1</v>
      </c>
      <c r="BF89" s="55">
        <v>1</v>
      </c>
      <c r="BG89" s="2">
        <v>1</v>
      </c>
      <c r="BH89" s="2">
        <v>2</v>
      </c>
      <c r="BI89" s="2">
        <v>68</v>
      </c>
      <c r="BJ89" s="2">
        <v>3</v>
      </c>
      <c r="BK89" s="2">
        <v>219</v>
      </c>
      <c r="BL89" s="161">
        <v>965500.37037037022</v>
      </c>
      <c r="BM89" s="2" t="str">
        <f t="shared" si="1"/>
        <v>98/283</v>
      </c>
      <c r="BN89" s="142"/>
    </row>
    <row r="90" spans="1:66" x14ac:dyDescent="0.25">
      <c r="A90" s="2">
        <v>540110</v>
      </c>
      <c r="B90" s="2" t="s">
        <v>198</v>
      </c>
      <c r="C90" s="2" t="s">
        <v>47</v>
      </c>
      <c r="D90" s="2" t="s">
        <v>612</v>
      </c>
      <c r="E90" s="2" t="s">
        <v>616</v>
      </c>
      <c r="F90" s="2" t="s">
        <v>613</v>
      </c>
      <c r="G90" s="2">
        <v>3</v>
      </c>
      <c r="H90" s="2">
        <v>0</v>
      </c>
      <c r="I90" s="2">
        <v>2</v>
      </c>
      <c r="J90" s="2">
        <v>1.4</v>
      </c>
      <c r="K90" s="2">
        <v>250</v>
      </c>
      <c r="L90" s="55">
        <v>0</v>
      </c>
      <c r="M90" s="2">
        <v>118</v>
      </c>
      <c r="N90" s="2">
        <v>2</v>
      </c>
      <c r="O90" s="2">
        <v>72</v>
      </c>
      <c r="P90" s="156">
        <v>418680</v>
      </c>
      <c r="Q90" s="2">
        <v>107</v>
      </c>
      <c r="R90" s="157">
        <v>-0.18995964400000001</v>
      </c>
      <c r="S90" s="2">
        <v>150</v>
      </c>
      <c r="T90" s="158">
        <v>0.86</v>
      </c>
      <c r="U90" s="2">
        <v>191</v>
      </c>
      <c r="V90" s="55">
        <v>20</v>
      </c>
      <c r="W90" s="2">
        <v>69</v>
      </c>
      <c r="X90" s="55">
        <v>43</v>
      </c>
      <c r="Y90" s="2">
        <v>105</v>
      </c>
      <c r="Z90" s="2">
        <v>12</v>
      </c>
      <c r="AA90" s="2">
        <v>133</v>
      </c>
      <c r="AB90" s="2">
        <v>22</v>
      </c>
      <c r="AC90" s="2">
        <v>70</v>
      </c>
      <c r="AD90" s="105">
        <v>33</v>
      </c>
      <c r="AE90" s="2">
        <v>95</v>
      </c>
      <c r="AF90" s="55">
        <v>4</v>
      </c>
      <c r="AG90" s="2">
        <v>142</v>
      </c>
      <c r="AH90" s="55">
        <v>138</v>
      </c>
      <c r="AI90" s="2">
        <v>113</v>
      </c>
      <c r="AJ90" s="55">
        <v>0.18820000000000001</v>
      </c>
      <c r="AK90" s="2">
        <v>8</v>
      </c>
      <c r="AL90" s="30">
        <v>43145</v>
      </c>
      <c r="AM90" s="2">
        <v>26</v>
      </c>
      <c r="AN90" s="2">
        <v>3</v>
      </c>
      <c r="AO90" s="2">
        <v>57</v>
      </c>
      <c r="AP90" s="2">
        <v>22</v>
      </c>
      <c r="AQ90" s="2">
        <v>70</v>
      </c>
      <c r="AR90" s="55">
        <v>4</v>
      </c>
      <c r="AS90" s="2">
        <v>142</v>
      </c>
      <c r="AT90" s="159">
        <v>10.869565217391305</v>
      </c>
      <c r="AU90" s="2">
        <v>23</v>
      </c>
      <c r="AV90" s="55">
        <v>1</v>
      </c>
      <c r="AW90" s="2">
        <v>1</v>
      </c>
      <c r="AX90" s="2" t="s">
        <v>615</v>
      </c>
      <c r="AY90" s="2">
        <v>999999</v>
      </c>
      <c r="AZ90" s="106">
        <v>0</v>
      </c>
      <c r="BA90" s="2">
        <v>14</v>
      </c>
      <c r="BB90" s="30">
        <v>43214</v>
      </c>
      <c r="BC90" s="2">
        <v>184</v>
      </c>
      <c r="BD90" s="160">
        <v>41806</v>
      </c>
      <c r="BE90" s="2">
        <v>1</v>
      </c>
      <c r="BF90" s="55">
        <v>1</v>
      </c>
      <c r="BG90" s="2">
        <v>1</v>
      </c>
      <c r="BH90" s="2">
        <v>5</v>
      </c>
      <c r="BI90" s="2">
        <v>26</v>
      </c>
      <c r="BJ90" s="2">
        <v>3</v>
      </c>
      <c r="BK90" s="2">
        <v>219</v>
      </c>
      <c r="BL90" s="161">
        <v>965260.59259259258</v>
      </c>
      <c r="BM90" s="2" t="str">
        <f t="shared" si="1"/>
        <v>70/283</v>
      </c>
      <c r="BN90" s="142"/>
    </row>
    <row r="91" spans="1:66" x14ac:dyDescent="0.25">
      <c r="A91" s="2">
        <v>540115</v>
      </c>
      <c r="B91" s="2" t="s">
        <v>201</v>
      </c>
      <c r="C91" s="2" t="s">
        <v>51</v>
      </c>
      <c r="D91" s="2" t="s">
        <v>612</v>
      </c>
      <c r="E91" s="2" t="s">
        <v>616</v>
      </c>
      <c r="F91" s="2" t="s">
        <v>613</v>
      </c>
      <c r="G91" s="2">
        <v>3</v>
      </c>
      <c r="H91" s="2">
        <v>0</v>
      </c>
      <c r="I91" s="2">
        <v>2</v>
      </c>
      <c r="J91" s="2">
        <v>7.8</v>
      </c>
      <c r="K91" s="2">
        <v>180</v>
      </c>
      <c r="L91" s="55">
        <v>0</v>
      </c>
      <c r="M91" s="2">
        <v>118</v>
      </c>
      <c r="N91" s="2">
        <v>2</v>
      </c>
      <c r="O91" s="2">
        <v>72</v>
      </c>
      <c r="P91" s="156">
        <v>22985</v>
      </c>
      <c r="Q91" s="2">
        <v>209</v>
      </c>
      <c r="R91" s="157">
        <v>1.5608767809999999</v>
      </c>
      <c r="S91" s="2">
        <v>39</v>
      </c>
      <c r="T91" s="158">
        <v>0.91</v>
      </c>
      <c r="U91" s="2">
        <v>70</v>
      </c>
      <c r="V91" s="55">
        <v>0</v>
      </c>
      <c r="W91" s="2">
        <v>230</v>
      </c>
      <c r="X91" s="55">
        <v>10</v>
      </c>
      <c r="Y91" s="2">
        <v>178</v>
      </c>
      <c r="Z91" s="2">
        <v>13</v>
      </c>
      <c r="AA91" s="2">
        <v>78</v>
      </c>
      <c r="AB91" s="2">
        <v>1</v>
      </c>
      <c r="AC91" s="2">
        <v>186</v>
      </c>
      <c r="AD91" s="105">
        <v>3</v>
      </c>
      <c r="AE91" s="2">
        <v>213</v>
      </c>
      <c r="AF91" s="55">
        <v>4</v>
      </c>
      <c r="AG91" s="2">
        <v>142</v>
      </c>
      <c r="AH91" s="55">
        <v>0</v>
      </c>
      <c r="AI91" s="2">
        <v>135</v>
      </c>
      <c r="AJ91" s="55">
        <v>0.93889999999999996</v>
      </c>
      <c r="AK91" s="2">
        <v>273</v>
      </c>
      <c r="AL91" s="30">
        <v>42066</v>
      </c>
      <c r="AM91" s="2">
        <v>243</v>
      </c>
      <c r="AN91" s="2">
        <v>202</v>
      </c>
      <c r="AO91" s="2">
        <v>273</v>
      </c>
      <c r="AP91" s="2">
        <v>1</v>
      </c>
      <c r="AQ91" s="2">
        <v>186</v>
      </c>
      <c r="AR91" s="55">
        <v>4</v>
      </c>
      <c r="AS91" s="2">
        <v>142</v>
      </c>
      <c r="AT91" s="159">
        <v>0</v>
      </c>
      <c r="AU91" s="2">
        <v>81</v>
      </c>
      <c r="AV91" s="55">
        <v>0</v>
      </c>
      <c r="AW91" s="2">
        <v>194</v>
      </c>
      <c r="AX91" s="2" t="s">
        <v>615</v>
      </c>
      <c r="AY91" s="2">
        <v>999999</v>
      </c>
      <c r="AZ91" s="106">
        <v>0</v>
      </c>
      <c r="BA91" s="2">
        <v>14</v>
      </c>
      <c r="BB91" s="30">
        <v>40366</v>
      </c>
      <c r="BC91" s="2">
        <v>45</v>
      </c>
      <c r="BD91" s="160">
        <v>41806</v>
      </c>
      <c r="BE91" s="2">
        <v>1</v>
      </c>
      <c r="BF91" s="55">
        <v>0</v>
      </c>
      <c r="BG91" s="2">
        <v>183</v>
      </c>
      <c r="BH91" s="2">
        <v>2</v>
      </c>
      <c r="BI91" s="2">
        <v>68</v>
      </c>
      <c r="BJ91" s="2">
        <v>202</v>
      </c>
      <c r="BK91" s="2">
        <v>1</v>
      </c>
      <c r="BL91" s="161">
        <v>966384.37037037045</v>
      </c>
      <c r="BM91" s="2" t="str">
        <f t="shared" si="1"/>
        <v>222/283</v>
      </c>
      <c r="BN91" s="142"/>
    </row>
    <row r="92" spans="1:66" x14ac:dyDescent="0.25">
      <c r="A92" s="2">
        <v>540291</v>
      </c>
      <c r="B92" s="2" t="s">
        <v>328</v>
      </c>
      <c r="C92" s="2" t="s">
        <v>51</v>
      </c>
      <c r="D92" s="2" t="s">
        <v>612</v>
      </c>
      <c r="E92" s="2" t="s">
        <v>616</v>
      </c>
      <c r="F92" s="2" t="s">
        <v>613</v>
      </c>
      <c r="G92" s="2">
        <v>3</v>
      </c>
      <c r="H92" s="2">
        <v>0</v>
      </c>
      <c r="I92" s="2">
        <v>2</v>
      </c>
      <c r="J92" s="2">
        <v>7.8</v>
      </c>
      <c r="K92" s="2">
        <v>180</v>
      </c>
      <c r="L92" s="55">
        <v>0</v>
      </c>
      <c r="M92" s="2">
        <v>118</v>
      </c>
      <c r="N92" s="2">
        <v>2</v>
      </c>
      <c r="O92" s="2">
        <v>72</v>
      </c>
      <c r="P92" s="156">
        <v>646</v>
      </c>
      <c r="Q92" s="2">
        <v>246</v>
      </c>
      <c r="R92" s="157">
        <v>1.5608767809999999</v>
      </c>
      <c r="S92" s="2">
        <v>39</v>
      </c>
      <c r="T92" s="158">
        <v>0.91</v>
      </c>
      <c r="U92" s="2">
        <v>70</v>
      </c>
      <c r="V92" s="55">
        <v>1</v>
      </c>
      <c r="W92" s="2">
        <v>197</v>
      </c>
      <c r="X92" s="55">
        <v>1</v>
      </c>
      <c r="Y92" s="2">
        <v>237</v>
      </c>
      <c r="Z92" s="2">
        <v>13</v>
      </c>
      <c r="AA92" s="2">
        <v>78</v>
      </c>
      <c r="AB92" s="2">
        <v>0</v>
      </c>
      <c r="AC92" s="2">
        <v>222</v>
      </c>
      <c r="AD92" s="105">
        <v>6</v>
      </c>
      <c r="AE92" s="2">
        <v>184</v>
      </c>
      <c r="AF92" s="55">
        <v>0</v>
      </c>
      <c r="AG92" s="2">
        <v>184</v>
      </c>
      <c r="AH92" s="55">
        <v>0</v>
      </c>
      <c r="AI92" s="2">
        <v>135</v>
      </c>
      <c r="AJ92" s="55">
        <v>0.93889999999999996</v>
      </c>
      <c r="AK92" s="2">
        <v>273</v>
      </c>
      <c r="AL92" s="30">
        <v>42066</v>
      </c>
      <c r="AM92" s="2">
        <v>243</v>
      </c>
      <c r="AN92" s="2">
        <v>202</v>
      </c>
      <c r="AO92" s="2">
        <v>273</v>
      </c>
      <c r="AP92" s="2">
        <v>0</v>
      </c>
      <c r="AQ92" s="2">
        <v>222</v>
      </c>
      <c r="AR92" s="55">
        <v>0</v>
      </c>
      <c r="AS92" s="2">
        <v>184</v>
      </c>
      <c r="AT92" s="159">
        <v>0</v>
      </c>
      <c r="AU92" s="2">
        <v>81</v>
      </c>
      <c r="AV92" s="55">
        <v>0</v>
      </c>
      <c r="AW92" s="2">
        <v>194</v>
      </c>
      <c r="AX92" s="2" t="s">
        <v>615</v>
      </c>
      <c r="AY92" s="2">
        <v>999999</v>
      </c>
      <c r="AZ92" s="106">
        <v>0</v>
      </c>
      <c r="BA92" s="2">
        <v>14</v>
      </c>
      <c r="BB92" s="30">
        <v>40366</v>
      </c>
      <c r="BC92" s="2">
        <v>45</v>
      </c>
      <c r="BD92" s="160">
        <v>41806</v>
      </c>
      <c r="BE92" s="2">
        <v>1</v>
      </c>
      <c r="BF92" s="55">
        <v>0</v>
      </c>
      <c r="BG92" s="2">
        <v>183</v>
      </c>
      <c r="BH92" s="2">
        <v>2</v>
      </c>
      <c r="BI92" s="2">
        <v>68</v>
      </c>
      <c r="BJ92" s="2">
        <v>202</v>
      </c>
      <c r="BK92" s="2">
        <v>1</v>
      </c>
      <c r="BL92" s="161">
        <v>966567.33333333337</v>
      </c>
      <c r="BM92" s="2" t="str">
        <f t="shared" si="1"/>
        <v>233/283</v>
      </c>
      <c r="BN92" s="142"/>
    </row>
    <row r="93" spans="1:66" x14ac:dyDescent="0.25">
      <c r="A93" s="2">
        <v>540116</v>
      </c>
      <c r="B93" s="2" t="s">
        <v>202</v>
      </c>
      <c r="C93" s="2" t="s">
        <v>51</v>
      </c>
      <c r="D93" s="2" t="s">
        <v>612</v>
      </c>
      <c r="E93" s="2" t="s">
        <v>616</v>
      </c>
      <c r="F93" s="2" t="s">
        <v>613</v>
      </c>
      <c r="G93" s="2">
        <v>3</v>
      </c>
      <c r="H93" s="2">
        <v>0</v>
      </c>
      <c r="I93" s="2">
        <v>2</v>
      </c>
      <c r="J93" s="2">
        <v>7.8</v>
      </c>
      <c r="K93" s="2">
        <v>180</v>
      </c>
      <c r="L93" s="55">
        <v>0</v>
      </c>
      <c r="M93" s="2">
        <v>118</v>
      </c>
      <c r="N93" s="2">
        <v>2</v>
      </c>
      <c r="O93" s="2">
        <v>72</v>
      </c>
      <c r="P93" s="156">
        <v>97756</v>
      </c>
      <c r="Q93" s="2">
        <v>166</v>
      </c>
      <c r="R93" s="157">
        <v>1.5608767809999999</v>
      </c>
      <c r="S93" s="2">
        <v>39</v>
      </c>
      <c r="T93" s="158">
        <v>0.91</v>
      </c>
      <c r="U93" s="2">
        <v>70</v>
      </c>
      <c r="V93" s="55">
        <v>1</v>
      </c>
      <c r="W93" s="2">
        <v>197</v>
      </c>
      <c r="X93" s="55">
        <v>9</v>
      </c>
      <c r="Y93" s="2">
        <v>182</v>
      </c>
      <c r="Z93" s="2">
        <v>13</v>
      </c>
      <c r="AA93" s="2">
        <v>78</v>
      </c>
      <c r="AB93" s="2">
        <v>1</v>
      </c>
      <c r="AC93" s="2">
        <v>186</v>
      </c>
      <c r="AD93" s="105">
        <v>1</v>
      </c>
      <c r="AE93" s="2">
        <v>242</v>
      </c>
      <c r="AF93" s="55">
        <v>3</v>
      </c>
      <c r="AG93" s="2">
        <v>152</v>
      </c>
      <c r="AH93" s="55">
        <v>0</v>
      </c>
      <c r="AI93" s="2">
        <v>135</v>
      </c>
      <c r="AJ93" s="55">
        <v>0.93889999999999996</v>
      </c>
      <c r="AK93" s="2">
        <v>273</v>
      </c>
      <c r="AL93" s="30">
        <v>42066</v>
      </c>
      <c r="AM93" s="2">
        <v>243</v>
      </c>
      <c r="AN93" s="2">
        <v>202</v>
      </c>
      <c r="AO93" s="2">
        <v>273</v>
      </c>
      <c r="AP93" s="2">
        <v>1</v>
      </c>
      <c r="AQ93" s="2">
        <v>186</v>
      </c>
      <c r="AR93" s="55">
        <v>3</v>
      </c>
      <c r="AS93" s="2">
        <v>152</v>
      </c>
      <c r="AT93" s="159">
        <v>0</v>
      </c>
      <c r="AU93" s="2">
        <v>81</v>
      </c>
      <c r="AV93" s="55">
        <v>0</v>
      </c>
      <c r="AW93" s="2">
        <v>194</v>
      </c>
      <c r="AX93" s="2" t="s">
        <v>615</v>
      </c>
      <c r="AY93" s="2">
        <v>999999</v>
      </c>
      <c r="AZ93" s="106">
        <v>0</v>
      </c>
      <c r="BA93" s="2">
        <v>14</v>
      </c>
      <c r="BB93" s="30">
        <v>40366</v>
      </c>
      <c r="BC93" s="2">
        <v>45</v>
      </c>
      <c r="BD93" s="160">
        <v>41806</v>
      </c>
      <c r="BE93" s="2">
        <v>1</v>
      </c>
      <c r="BF93" s="55">
        <v>1</v>
      </c>
      <c r="BG93" s="2">
        <v>1</v>
      </c>
      <c r="BH93" s="2">
        <v>2</v>
      </c>
      <c r="BI93" s="2">
        <v>68</v>
      </c>
      <c r="BJ93" s="2">
        <v>202</v>
      </c>
      <c r="BK93" s="2">
        <v>1</v>
      </c>
      <c r="BL93" s="161">
        <v>966186.96296296292</v>
      </c>
      <c r="BM93" s="2" t="str">
        <f t="shared" si="1"/>
        <v>198/283</v>
      </c>
      <c r="BN93" s="142"/>
    </row>
    <row r="94" spans="1:66" x14ac:dyDescent="0.25">
      <c r="A94" s="2">
        <v>540117</v>
      </c>
      <c r="B94" s="2" t="s">
        <v>203</v>
      </c>
      <c r="C94" s="2" t="s">
        <v>51</v>
      </c>
      <c r="D94" s="2" t="s">
        <v>612</v>
      </c>
      <c r="E94" s="2" t="s">
        <v>616</v>
      </c>
      <c r="F94" s="2" t="s">
        <v>613</v>
      </c>
      <c r="G94" s="2">
        <v>3</v>
      </c>
      <c r="H94" s="2">
        <v>0</v>
      </c>
      <c r="I94" s="2">
        <v>2</v>
      </c>
      <c r="J94" s="2">
        <v>7.8</v>
      </c>
      <c r="K94" s="2">
        <v>180</v>
      </c>
      <c r="L94" s="55">
        <v>0</v>
      </c>
      <c r="M94" s="2">
        <v>118</v>
      </c>
      <c r="N94" s="2">
        <v>2</v>
      </c>
      <c r="O94" s="2">
        <v>72</v>
      </c>
      <c r="P94" s="156">
        <v>107171</v>
      </c>
      <c r="Q94" s="2">
        <v>162</v>
      </c>
      <c r="R94" s="157">
        <v>1.5608767809999999</v>
      </c>
      <c r="S94" s="2">
        <v>39</v>
      </c>
      <c r="T94" s="158">
        <v>0.91</v>
      </c>
      <c r="U94" s="2">
        <v>70</v>
      </c>
      <c r="V94" s="55">
        <v>3</v>
      </c>
      <c r="W94" s="2">
        <v>153</v>
      </c>
      <c r="X94" s="55">
        <v>25</v>
      </c>
      <c r="Y94" s="2">
        <v>135</v>
      </c>
      <c r="Z94" s="2">
        <v>13</v>
      </c>
      <c r="AA94" s="2">
        <v>78</v>
      </c>
      <c r="AB94" s="2">
        <v>7</v>
      </c>
      <c r="AC94" s="2">
        <v>120</v>
      </c>
      <c r="AD94" s="105">
        <v>14</v>
      </c>
      <c r="AE94" s="2">
        <v>133</v>
      </c>
      <c r="AF94" s="55">
        <v>3</v>
      </c>
      <c r="AG94" s="2">
        <v>152</v>
      </c>
      <c r="AH94" s="55">
        <v>0</v>
      </c>
      <c r="AI94" s="2">
        <v>135</v>
      </c>
      <c r="AJ94" s="55">
        <v>0.93889999999999996</v>
      </c>
      <c r="AK94" s="2">
        <v>273</v>
      </c>
      <c r="AL94" s="30">
        <v>42066</v>
      </c>
      <c r="AM94" s="2">
        <v>243</v>
      </c>
      <c r="AN94" s="2">
        <v>202</v>
      </c>
      <c r="AO94" s="2">
        <v>273</v>
      </c>
      <c r="AP94" s="2">
        <v>7</v>
      </c>
      <c r="AQ94" s="2">
        <v>120</v>
      </c>
      <c r="AR94" s="55">
        <v>3</v>
      </c>
      <c r="AS94" s="2">
        <v>152</v>
      </c>
      <c r="AT94" s="159">
        <v>0</v>
      </c>
      <c r="AU94" s="2">
        <v>81</v>
      </c>
      <c r="AV94" s="55">
        <v>0</v>
      </c>
      <c r="AW94" s="2">
        <v>194</v>
      </c>
      <c r="AX94" s="2" t="s">
        <v>615</v>
      </c>
      <c r="AY94" s="2">
        <v>999999</v>
      </c>
      <c r="AZ94" s="106">
        <v>0</v>
      </c>
      <c r="BA94" s="2">
        <v>14</v>
      </c>
      <c r="BB94" s="30">
        <v>40366</v>
      </c>
      <c r="BC94" s="2">
        <v>45</v>
      </c>
      <c r="BD94" s="160">
        <v>41806</v>
      </c>
      <c r="BE94" s="2">
        <v>1</v>
      </c>
      <c r="BF94" s="55">
        <v>0</v>
      </c>
      <c r="BG94" s="2">
        <v>183</v>
      </c>
      <c r="BH94" s="2">
        <v>2</v>
      </c>
      <c r="BI94" s="2">
        <v>68</v>
      </c>
      <c r="BJ94" s="2">
        <v>202</v>
      </c>
      <c r="BK94" s="2">
        <v>1</v>
      </c>
      <c r="BL94" s="161">
        <v>966038.66666666663</v>
      </c>
      <c r="BM94" s="2" t="str">
        <f t="shared" si="1"/>
        <v>168/283</v>
      </c>
      <c r="BN94" s="142"/>
    </row>
    <row r="95" spans="1:66" x14ac:dyDescent="0.25">
      <c r="A95" s="2">
        <v>540118</v>
      </c>
      <c r="B95" s="2" t="s">
        <v>204</v>
      </c>
      <c r="C95" s="2" t="s">
        <v>51</v>
      </c>
      <c r="D95" s="2" t="s">
        <v>612</v>
      </c>
      <c r="E95" s="2" t="s">
        <v>616</v>
      </c>
      <c r="F95" s="2" t="s">
        <v>613</v>
      </c>
      <c r="G95" s="2">
        <v>3</v>
      </c>
      <c r="H95" s="2">
        <v>0</v>
      </c>
      <c r="I95" s="2">
        <v>2</v>
      </c>
      <c r="J95" s="2">
        <v>7.8</v>
      </c>
      <c r="K95" s="2">
        <v>180</v>
      </c>
      <c r="L95" s="55">
        <v>0</v>
      </c>
      <c r="M95" s="2">
        <v>118</v>
      </c>
      <c r="N95" s="2">
        <v>2</v>
      </c>
      <c r="O95" s="2">
        <v>72</v>
      </c>
      <c r="P95" s="156">
        <v>246746</v>
      </c>
      <c r="Q95" s="2">
        <v>129</v>
      </c>
      <c r="R95" s="157">
        <v>1.5608767809999999</v>
      </c>
      <c r="S95" s="2">
        <v>39</v>
      </c>
      <c r="T95" s="158">
        <v>0.91</v>
      </c>
      <c r="U95" s="2">
        <v>70</v>
      </c>
      <c r="V95" s="55">
        <v>0</v>
      </c>
      <c r="W95" s="2">
        <v>230</v>
      </c>
      <c r="X95" s="55">
        <v>27</v>
      </c>
      <c r="Y95" s="2">
        <v>132</v>
      </c>
      <c r="Z95" s="2">
        <v>13</v>
      </c>
      <c r="AA95" s="2">
        <v>78</v>
      </c>
      <c r="AB95" s="2">
        <v>3</v>
      </c>
      <c r="AC95" s="2">
        <v>149</v>
      </c>
      <c r="AD95" s="105">
        <v>11</v>
      </c>
      <c r="AE95" s="2">
        <v>147</v>
      </c>
      <c r="AF95" s="55">
        <v>5</v>
      </c>
      <c r="AG95" s="2">
        <v>130</v>
      </c>
      <c r="AH95" s="55">
        <v>0</v>
      </c>
      <c r="AI95" s="2">
        <v>135</v>
      </c>
      <c r="AJ95" s="55">
        <v>0.93889999999999996</v>
      </c>
      <c r="AK95" s="2">
        <v>273</v>
      </c>
      <c r="AL95" s="30">
        <v>42066</v>
      </c>
      <c r="AM95" s="2">
        <v>243</v>
      </c>
      <c r="AN95" s="2">
        <v>202</v>
      </c>
      <c r="AO95" s="2">
        <v>273</v>
      </c>
      <c r="AP95" s="2">
        <v>3</v>
      </c>
      <c r="AQ95" s="2">
        <v>149</v>
      </c>
      <c r="AR95" s="55">
        <v>5</v>
      </c>
      <c r="AS95" s="2">
        <v>130</v>
      </c>
      <c r="AT95" s="159">
        <v>0</v>
      </c>
      <c r="AU95" s="2">
        <v>81</v>
      </c>
      <c r="AV95" s="55">
        <v>0</v>
      </c>
      <c r="AW95" s="2">
        <v>194</v>
      </c>
      <c r="AX95" s="2" t="s">
        <v>615</v>
      </c>
      <c r="AY95" s="2">
        <v>999999</v>
      </c>
      <c r="AZ95" s="106">
        <v>0</v>
      </c>
      <c r="BA95" s="2">
        <v>14</v>
      </c>
      <c r="BB95" s="30">
        <v>40366</v>
      </c>
      <c r="BC95" s="2">
        <v>45</v>
      </c>
      <c r="BD95" s="160">
        <v>41806</v>
      </c>
      <c r="BE95" s="2">
        <v>1</v>
      </c>
      <c r="BF95" s="55">
        <v>0</v>
      </c>
      <c r="BG95" s="2">
        <v>183</v>
      </c>
      <c r="BH95" s="2">
        <v>2</v>
      </c>
      <c r="BI95" s="2">
        <v>68</v>
      </c>
      <c r="BJ95" s="2">
        <v>202</v>
      </c>
      <c r="BK95" s="2">
        <v>1</v>
      </c>
      <c r="BL95" s="161">
        <v>966105.11111111112</v>
      </c>
      <c r="BM95" s="2" t="str">
        <f t="shared" si="1"/>
        <v>182/283</v>
      </c>
      <c r="BN95" s="142"/>
    </row>
    <row r="96" spans="1:66" x14ac:dyDescent="0.25">
      <c r="A96" s="2">
        <v>540121</v>
      </c>
      <c r="B96" s="2" t="s">
        <v>207</v>
      </c>
      <c r="C96" s="2" t="s">
        <v>51</v>
      </c>
      <c r="D96" s="2" t="s">
        <v>612</v>
      </c>
      <c r="E96" s="2" t="s">
        <v>616</v>
      </c>
      <c r="F96" s="2" t="s">
        <v>613</v>
      </c>
      <c r="G96" s="2">
        <v>3</v>
      </c>
      <c r="H96" s="2">
        <v>0</v>
      </c>
      <c r="I96" s="2">
        <v>2</v>
      </c>
      <c r="J96" s="2">
        <v>7.8</v>
      </c>
      <c r="K96" s="2">
        <v>180</v>
      </c>
      <c r="L96" s="55">
        <v>2</v>
      </c>
      <c r="M96" s="2">
        <v>84</v>
      </c>
      <c r="N96" s="2">
        <v>2</v>
      </c>
      <c r="O96" s="2">
        <v>72</v>
      </c>
      <c r="P96" s="156">
        <v>263685</v>
      </c>
      <c r="Q96" s="2">
        <v>127</v>
      </c>
      <c r="R96" s="157">
        <v>1.5608767809999999</v>
      </c>
      <c r="S96" s="2">
        <v>39</v>
      </c>
      <c r="T96" s="158">
        <v>0.91</v>
      </c>
      <c r="U96" s="2">
        <v>70</v>
      </c>
      <c r="V96" s="55">
        <v>2</v>
      </c>
      <c r="W96" s="2">
        <v>170</v>
      </c>
      <c r="X96" s="55">
        <v>48</v>
      </c>
      <c r="Y96" s="2">
        <v>92</v>
      </c>
      <c r="Z96" s="2">
        <v>13</v>
      </c>
      <c r="AA96" s="2">
        <v>78</v>
      </c>
      <c r="AB96" s="2">
        <v>4</v>
      </c>
      <c r="AC96" s="2">
        <v>139</v>
      </c>
      <c r="AD96" s="105">
        <v>8</v>
      </c>
      <c r="AE96" s="2">
        <v>172</v>
      </c>
      <c r="AF96" s="55">
        <v>17</v>
      </c>
      <c r="AG96" s="2">
        <v>74</v>
      </c>
      <c r="AH96" s="55">
        <v>0</v>
      </c>
      <c r="AI96" s="2">
        <v>135</v>
      </c>
      <c r="AJ96" s="55">
        <v>0.93889999999999996</v>
      </c>
      <c r="AK96" s="2">
        <v>273</v>
      </c>
      <c r="AL96" s="30">
        <v>42066</v>
      </c>
      <c r="AM96" s="2">
        <v>243</v>
      </c>
      <c r="AN96" s="2">
        <v>202</v>
      </c>
      <c r="AO96" s="2">
        <v>273</v>
      </c>
      <c r="AP96" s="2">
        <v>4</v>
      </c>
      <c r="AQ96" s="2">
        <v>139</v>
      </c>
      <c r="AR96" s="55">
        <v>17</v>
      </c>
      <c r="AS96" s="2">
        <v>74</v>
      </c>
      <c r="AT96" s="159">
        <v>0</v>
      </c>
      <c r="AU96" s="2">
        <v>81</v>
      </c>
      <c r="AV96" s="55">
        <v>0</v>
      </c>
      <c r="AW96" s="2">
        <v>194</v>
      </c>
      <c r="AX96" s="2" t="s">
        <v>615</v>
      </c>
      <c r="AY96" s="2">
        <v>999999</v>
      </c>
      <c r="AZ96" s="106">
        <v>0</v>
      </c>
      <c r="BA96" s="2">
        <v>14</v>
      </c>
      <c r="BB96" s="30">
        <v>40366</v>
      </c>
      <c r="BC96" s="2">
        <v>45</v>
      </c>
      <c r="BD96" s="160">
        <v>41806</v>
      </c>
      <c r="BE96" s="2">
        <v>1</v>
      </c>
      <c r="BF96" s="55">
        <v>0</v>
      </c>
      <c r="BG96" s="2">
        <v>183</v>
      </c>
      <c r="BH96" s="2">
        <v>2</v>
      </c>
      <c r="BI96" s="2">
        <v>68</v>
      </c>
      <c r="BJ96" s="2">
        <v>202</v>
      </c>
      <c r="BK96" s="2">
        <v>1</v>
      </c>
      <c r="BL96" s="161">
        <v>965871.11111111101</v>
      </c>
      <c r="BM96" s="2" t="str">
        <f t="shared" si="1"/>
        <v>144/283</v>
      </c>
      <c r="BN96" s="142"/>
    </row>
    <row r="97" spans="1:66" x14ac:dyDescent="0.25">
      <c r="A97" s="2">
        <v>540122</v>
      </c>
      <c r="B97" s="2" t="s">
        <v>208</v>
      </c>
      <c r="C97" s="2" t="s">
        <v>51</v>
      </c>
      <c r="D97" s="2" t="s">
        <v>612</v>
      </c>
      <c r="E97" s="2" t="s">
        <v>616</v>
      </c>
      <c r="F97" s="2" t="s">
        <v>613</v>
      </c>
      <c r="G97" s="2">
        <v>3</v>
      </c>
      <c r="H97" s="2">
        <v>0</v>
      </c>
      <c r="I97" s="2">
        <v>2</v>
      </c>
      <c r="J97" s="2">
        <v>7.8</v>
      </c>
      <c r="K97" s="2">
        <v>180</v>
      </c>
      <c r="L97" s="55">
        <v>0</v>
      </c>
      <c r="M97" s="2">
        <v>118</v>
      </c>
      <c r="N97" s="2">
        <v>2</v>
      </c>
      <c r="O97" s="2">
        <v>72</v>
      </c>
      <c r="P97" s="156">
        <v>16575</v>
      </c>
      <c r="Q97" s="2">
        <v>214</v>
      </c>
      <c r="R97" s="157">
        <v>1.5608767809999999</v>
      </c>
      <c r="S97" s="2">
        <v>39</v>
      </c>
      <c r="T97" s="158">
        <v>0.91</v>
      </c>
      <c r="U97" s="2">
        <v>70</v>
      </c>
      <c r="V97" s="55">
        <v>2</v>
      </c>
      <c r="W97" s="2">
        <v>170</v>
      </c>
      <c r="X97" s="55">
        <v>18</v>
      </c>
      <c r="Y97" s="2">
        <v>151</v>
      </c>
      <c r="Z97" s="2">
        <v>13</v>
      </c>
      <c r="AA97" s="2">
        <v>78</v>
      </c>
      <c r="AB97" s="2">
        <v>3</v>
      </c>
      <c r="AC97" s="2">
        <v>149</v>
      </c>
      <c r="AD97" s="105">
        <v>9</v>
      </c>
      <c r="AE97" s="2">
        <v>160</v>
      </c>
      <c r="AF97" s="55">
        <v>0</v>
      </c>
      <c r="AG97" s="2">
        <v>184</v>
      </c>
      <c r="AH97" s="55">
        <v>0</v>
      </c>
      <c r="AI97" s="2">
        <v>135</v>
      </c>
      <c r="AJ97" s="55">
        <v>0.93889999999999996</v>
      </c>
      <c r="AK97" s="2">
        <v>273</v>
      </c>
      <c r="AL97" s="30">
        <v>42066</v>
      </c>
      <c r="AM97" s="2">
        <v>243</v>
      </c>
      <c r="AN97" s="2">
        <v>202</v>
      </c>
      <c r="AO97" s="2">
        <v>273</v>
      </c>
      <c r="AP97" s="2">
        <v>3</v>
      </c>
      <c r="AQ97" s="2">
        <v>149</v>
      </c>
      <c r="AR97" s="55">
        <v>0</v>
      </c>
      <c r="AS97" s="2">
        <v>184</v>
      </c>
      <c r="AT97" s="159">
        <v>0</v>
      </c>
      <c r="AU97" s="2">
        <v>81</v>
      </c>
      <c r="AV97" s="55">
        <v>0</v>
      </c>
      <c r="AW97" s="2">
        <v>194</v>
      </c>
      <c r="AX97" s="2" t="s">
        <v>615</v>
      </c>
      <c r="AY97" s="2">
        <v>999999</v>
      </c>
      <c r="AZ97" s="106">
        <v>0</v>
      </c>
      <c r="BA97" s="2">
        <v>14</v>
      </c>
      <c r="BB97" s="30">
        <v>40366</v>
      </c>
      <c r="BC97" s="2">
        <v>45</v>
      </c>
      <c r="BD97" s="160">
        <v>41806</v>
      </c>
      <c r="BE97" s="2">
        <v>1</v>
      </c>
      <c r="BF97" s="55">
        <v>0</v>
      </c>
      <c r="BG97" s="2">
        <v>183</v>
      </c>
      <c r="BH97" s="2">
        <v>2</v>
      </c>
      <c r="BI97" s="2">
        <v>68</v>
      </c>
      <c r="BJ97" s="2">
        <v>202</v>
      </c>
      <c r="BK97" s="2">
        <v>1</v>
      </c>
      <c r="BL97" s="161">
        <v>966264</v>
      </c>
      <c r="BM97" s="2" t="str">
        <f t="shared" si="1"/>
        <v>209/283</v>
      </c>
      <c r="BN97" s="142"/>
    </row>
    <row r="98" spans="1:66" x14ac:dyDescent="0.25">
      <c r="A98" s="2">
        <v>540123</v>
      </c>
      <c r="B98" s="2" t="s">
        <v>209</v>
      </c>
      <c r="C98" s="2" t="s">
        <v>51</v>
      </c>
      <c r="D98" s="2" t="s">
        <v>612</v>
      </c>
      <c r="E98" s="2" t="s">
        <v>616</v>
      </c>
      <c r="F98" s="2" t="s">
        <v>613</v>
      </c>
      <c r="G98" s="2">
        <v>3</v>
      </c>
      <c r="H98" s="2">
        <v>0</v>
      </c>
      <c r="I98" s="2">
        <v>2</v>
      </c>
      <c r="J98" s="2">
        <v>7.8</v>
      </c>
      <c r="K98" s="2">
        <v>180</v>
      </c>
      <c r="L98" s="55">
        <v>26</v>
      </c>
      <c r="M98" s="2">
        <v>13</v>
      </c>
      <c r="N98" s="2">
        <v>2</v>
      </c>
      <c r="O98" s="2">
        <v>72</v>
      </c>
      <c r="P98" s="156">
        <v>2006605</v>
      </c>
      <c r="Q98" s="2">
        <v>47</v>
      </c>
      <c r="R98" s="157">
        <v>1.5608767809999999</v>
      </c>
      <c r="S98" s="2">
        <v>39</v>
      </c>
      <c r="T98" s="158">
        <v>0.91</v>
      </c>
      <c r="U98" s="2">
        <v>70</v>
      </c>
      <c r="V98" s="55">
        <v>8</v>
      </c>
      <c r="W98" s="2">
        <v>101</v>
      </c>
      <c r="X98" s="55">
        <v>256</v>
      </c>
      <c r="Y98" s="2">
        <v>27</v>
      </c>
      <c r="Z98" s="2">
        <v>13</v>
      </c>
      <c r="AA98" s="2">
        <v>78</v>
      </c>
      <c r="AB98" s="2">
        <v>51</v>
      </c>
      <c r="AC98" s="2">
        <v>36</v>
      </c>
      <c r="AD98" s="105">
        <v>103</v>
      </c>
      <c r="AE98" s="2">
        <v>45</v>
      </c>
      <c r="AF98" s="55">
        <v>71</v>
      </c>
      <c r="AG98" s="2">
        <v>25</v>
      </c>
      <c r="AH98" s="55">
        <v>0</v>
      </c>
      <c r="AI98" s="2">
        <v>135</v>
      </c>
      <c r="AJ98" s="55">
        <v>0.93889999999999996</v>
      </c>
      <c r="AK98" s="2">
        <v>273</v>
      </c>
      <c r="AL98" s="30">
        <v>42066</v>
      </c>
      <c r="AM98" s="2">
        <v>243</v>
      </c>
      <c r="AN98" s="2">
        <v>202</v>
      </c>
      <c r="AO98" s="2">
        <v>273</v>
      </c>
      <c r="AP98" s="2">
        <v>51</v>
      </c>
      <c r="AQ98" s="2">
        <v>36</v>
      </c>
      <c r="AR98" s="55">
        <v>71</v>
      </c>
      <c r="AS98" s="2">
        <v>25</v>
      </c>
      <c r="AT98" s="159">
        <v>0</v>
      </c>
      <c r="AU98" s="2">
        <v>81</v>
      </c>
      <c r="AV98" s="55">
        <v>0</v>
      </c>
      <c r="AW98" s="2">
        <v>194</v>
      </c>
      <c r="AX98" s="2" t="s">
        <v>615</v>
      </c>
      <c r="AY98" s="2">
        <v>999999</v>
      </c>
      <c r="AZ98" s="106">
        <v>0</v>
      </c>
      <c r="BA98" s="2">
        <v>14</v>
      </c>
      <c r="BB98" s="30">
        <v>40366</v>
      </c>
      <c r="BC98" s="2">
        <v>45</v>
      </c>
      <c r="BD98" s="160">
        <v>41806</v>
      </c>
      <c r="BE98" s="2">
        <v>1</v>
      </c>
      <c r="BF98" s="55">
        <v>0</v>
      </c>
      <c r="BG98" s="2">
        <v>183</v>
      </c>
      <c r="BH98" s="2">
        <v>2</v>
      </c>
      <c r="BI98" s="2">
        <v>68</v>
      </c>
      <c r="BJ98" s="2">
        <v>202</v>
      </c>
      <c r="BK98" s="2">
        <v>1</v>
      </c>
      <c r="BL98" s="161">
        <v>965181.62962962955</v>
      </c>
      <c r="BM98" s="2" t="str">
        <f t="shared" si="1"/>
        <v>57/283</v>
      </c>
      <c r="BN98" s="142"/>
    </row>
    <row r="99" spans="1:66" x14ac:dyDescent="0.25">
      <c r="A99" s="2">
        <v>540172</v>
      </c>
      <c r="B99" s="2" t="s">
        <v>244</v>
      </c>
      <c r="C99" s="2" t="s">
        <v>53</v>
      </c>
      <c r="D99" s="2" t="s">
        <v>612</v>
      </c>
      <c r="E99" s="2" t="s">
        <v>616</v>
      </c>
      <c r="F99" s="2" t="s">
        <v>613</v>
      </c>
      <c r="G99" s="2">
        <v>3</v>
      </c>
      <c r="H99" s="2">
        <v>0</v>
      </c>
      <c r="I99" s="2">
        <v>0</v>
      </c>
      <c r="J99" s="2">
        <v>13.4</v>
      </c>
      <c r="K99" s="2">
        <v>146</v>
      </c>
      <c r="L99" s="55" t="s">
        <v>614</v>
      </c>
      <c r="M99" s="2">
        <v>999999</v>
      </c>
      <c r="N99" s="2">
        <v>2</v>
      </c>
      <c r="O99" s="2">
        <v>72</v>
      </c>
      <c r="P99" s="156" t="s">
        <v>614</v>
      </c>
      <c r="Q99" s="2">
        <v>999999</v>
      </c>
      <c r="R99" s="157">
        <v>-0.55309814800000001</v>
      </c>
      <c r="S99" s="2">
        <v>195</v>
      </c>
      <c r="T99" s="158">
        <v>0.92999999999999994</v>
      </c>
      <c r="U99" s="2">
        <v>38</v>
      </c>
      <c r="V99" s="55" t="s">
        <v>614</v>
      </c>
      <c r="W99" s="2">
        <v>999999</v>
      </c>
      <c r="X99" s="55" t="s">
        <v>614</v>
      </c>
      <c r="Y99" s="2">
        <v>999999</v>
      </c>
      <c r="Z99" s="2">
        <v>13</v>
      </c>
      <c r="AA99" s="2">
        <v>78</v>
      </c>
      <c r="AB99" s="2">
        <v>0</v>
      </c>
      <c r="AC99" s="2">
        <v>222</v>
      </c>
      <c r="AD99" s="105" t="s">
        <v>614</v>
      </c>
      <c r="AE99" s="2">
        <v>999999</v>
      </c>
      <c r="AF99" s="55" t="s">
        <v>614</v>
      </c>
      <c r="AG99" s="2">
        <v>999999</v>
      </c>
      <c r="AH99" s="55">
        <v>0</v>
      </c>
      <c r="AI99" s="2">
        <v>135</v>
      </c>
      <c r="AJ99" s="55">
        <v>0.7631</v>
      </c>
      <c r="AK99" s="2">
        <v>248</v>
      </c>
      <c r="AL99" s="30">
        <v>42066</v>
      </c>
      <c r="AM99" s="2">
        <v>243</v>
      </c>
      <c r="AN99" s="2">
        <v>48</v>
      </c>
      <c r="AO99" s="2">
        <v>213</v>
      </c>
      <c r="AP99" s="2">
        <v>0</v>
      </c>
      <c r="AQ99" s="2">
        <v>222</v>
      </c>
      <c r="AR99" s="55" t="s">
        <v>614</v>
      </c>
      <c r="AS99" s="2">
        <v>999999</v>
      </c>
      <c r="AT99" s="159">
        <v>0</v>
      </c>
      <c r="AU99" s="2">
        <v>81</v>
      </c>
      <c r="AV99" s="55">
        <v>0</v>
      </c>
      <c r="AW99" s="2">
        <v>194</v>
      </c>
      <c r="AX99" s="2" t="s">
        <v>615</v>
      </c>
      <c r="AY99" s="2">
        <v>999999</v>
      </c>
      <c r="AZ99" s="106">
        <v>0</v>
      </c>
      <c r="BA99" s="2">
        <v>14</v>
      </c>
      <c r="BB99" s="30">
        <v>43137</v>
      </c>
      <c r="BC99" s="2">
        <v>170</v>
      </c>
      <c r="BD99" s="160">
        <v>41806</v>
      </c>
      <c r="BE99" s="2">
        <v>1</v>
      </c>
      <c r="BF99" s="55">
        <v>0</v>
      </c>
      <c r="BG99" s="2">
        <v>183</v>
      </c>
      <c r="BH99" s="2">
        <v>1</v>
      </c>
      <c r="BI99" s="2">
        <v>151</v>
      </c>
      <c r="BJ99" s="2">
        <v>48</v>
      </c>
      <c r="BK99" s="2">
        <v>65</v>
      </c>
      <c r="BL99" s="161">
        <v>7706268.0740740718</v>
      </c>
      <c r="BM99" s="2" t="str">
        <f t="shared" si="1"/>
        <v>275/283</v>
      </c>
      <c r="BN99" s="142"/>
    </row>
    <row r="100" spans="1:66" x14ac:dyDescent="0.25">
      <c r="A100" s="2">
        <v>540285</v>
      </c>
      <c r="B100" s="2" t="s">
        <v>324</v>
      </c>
      <c r="C100" s="2" t="s">
        <v>53</v>
      </c>
      <c r="D100" s="2" t="s">
        <v>612</v>
      </c>
      <c r="E100" s="2" t="s">
        <v>616</v>
      </c>
      <c r="F100" s="2" t="s">
        <v>613</v>
      </c>
      <c r="G100" s="2">
        <v>3</v>
      </c>
      <c r="H100" s="2">
        <v>0</v>
      </c>
      <c r="I100" s="2">
        <v>2</v>
      </c>
      <c r="J100" s="2">
        <v>13.4</v>
      </c>
      <c r="K100" s="2">
        <v>146</v>
      </c>
      <c r="L100" s="55">
        <v>11</v>
      </c>
      <c r="M100" s="2">
        <v>35</v>
      </c>
      <c r="N100" s="2">
        <v>2</v>
      </c>
      <c r="O100" s="2">
        <v>72</v>
      </c>
      <c r="P100" s="156">
        <v>129916</v>
      </c>
      <c r="Q100" s="2">
        <v>154</v>
      </c>
      <c r="R100" s="157">
        <v>-0.55309814800000001</v>
      </c>
      <c r="S100" s="2">
        <v>195</v>
      </c>
      <c r="T100" s="158">
        <v>0.92999999999999994</v>
      </c>
      <c r="U100" s="2">
        <v>38</v>
      </c>
      <c r="V100" s="55">
        <v>3</v>
      </c>
      <c r="W100" s="2">
        <v>153</v>
      </c>
      <c r="X100" s="55">
        <v>20</v>
      </c>
      <c r="Y100" s="2">
        <v>147</v>
      </c>
      <c r="Z100" s="2">
        <v>13</v>
      </c>
      <c r="AA100" s="2">
        <v>78</v>
      </c>
      <c r="AB100" s="2">
        <v>0</v>
      </c>
      <c r="AC100" s="2">
        <v>222</v>
      </c>
      <c r="AD100" s="105">
        <v>2</v>
      </c>
      <c r="AE100" s="2">
        <v>228</v>
      </c>
      <c r="AF100" s="55">
        <v>11</v>
      </c>
      <c r="AG100" s="2">
        <v>101</v>
      </c>
      <c r="AH100" s="55">
        <v>57</v>
      </c>
      <c r="AI100" s="2">
        <v>132</v>
      </c>
      <c r="AJ100" s="55">
        <v>0.7631</v>
      </c>
      <c r="AK100" s="2">
        <v>248</v>
      </c>
      <c r="AL100" s="30">
        <v>42066</v>
      </c>
      <c r="AM100" s="2">
        <v>243</v>
      </c>
      <c r="AN100" s="2">
        <v>48</v>
      </c>
      <c r="AO100" s="2">
        <v>213</v>
      </c>
      <c r="AP100" s="2">
        <v>0</v>
      </c>
      <c r="AQ100" s="2">
        <v>222</v>
      </c>
      <c r="AR100" s="55">
        <v>11</v>
      </c>
      <c r="AS100" s="2">
        <v>101</v>
      </c>
      <c r="AT100" s="159">
        <v>3.5087719298245612</v>
      </c>
      <c r="AU100" s="2">
        <v>59</v>
      </c>
      <c r="AV100" s="55">
        <v>1</v>
      </c>
      <c r="AW100" s="2">
        <v>1</v>
      </c>
      <c r="AX100" s="2" t="s">
        <v>615</v>
      </c>
      <c r="AY100" s="2">
        <v>999999</v>
      </c>
      <c r="AZ100" s="106">
        <v>0</v>
      </c>
      <c r="BA100" s="2">
        <v>14</v>
      </c>
      <c r="BB100" s="30">
        <v>43137</v>
      </c>
      <c r="BC100" s="2">
        <v>170</v>
      </c>
      <c r="BD100" s="160">
        <v>42417</v>
      </c>
      <c r="BE100" s="2">
        <v>35</v>
      </c>
      <c r="BF100" s="55">
        <v>1</v>
      </c>
      <c r="BG100" s="2">
        <v>1</v>
      </c>
      <c r="BH100" s="2">
        <v>1</v>
      </c>
      <c r="BI100" s="2">
        <v>151</v>
      </c>
      <c r="BJ100" s="2">
        <v>48</v>
      </c>
      <c r="BK100" s="2">
        <v>65</v>
      </c>
      <c r="BL100" s="161">
        <v>966066.59259259258</v>
      </c>
      <c r="BM100" s="2" t="str">
        <f t="shared" si="1"/>
        <v>172/283</v>
      </c>
      <c r="BN100" s="142"/>
    </row>
    <row r="101" spans="1:66" x14ac:dyDescent="0.25">
      <c r="A101" s="2">
        <v>540125</v>
      </c>
      <c r="B101" s="2" t="s">
        <v>210</v>
      </c>
      <c r="C101" s="2" t="s">
        <v>53</v>
      </c>
      <c r="D101" s="2" t="s">
        <v>612</v>
      </c>
      <c r="E101" s="2" t="s">
        <v>616</v>
      </c>
      <c r="F101" s="2" t="s">
        <v>613</v>
      </c>
      <c r="G101" s="2">
        <v>3</v>
      </c>
      <c r="H101" s="2">
        <v>0</v>
      </c>
      <c r="I101" s="2">
        <v>2</v>
      </c>
      <c r="J101" s="2">
        <v>13.4</v>
      </c>
      <c r="K101" s="2">
        <v>146</v>
      </c>
      <c r="L101" s="55">
        <v>2</v>
      </c>
      <c r="M101" s="2">
        <v>84</v>
      </c>
      <c r="N101" s="2">
        <v>2</v>
      </c>
      <c r="O101" s="2">
        <v>72</v>
      </c>
      <c r="P101" s="156">
        <v>39528</v>
      </c>
      <c r="Q101" s="2">
        <v>193</v>
      </c>
      <c r="R101" s="157">
        <v>-0.55309814800000001</v>
      </c>
      <c r="S101" s="2">
        <v>195</v>
      </c>
      <c r="T101" s="158">
        <v>0.92999999999999994</v>
      </c>
      <c r="U101" s="2">
        <v>38</v>
      </c>
      <c r="V101" s="55">
        <v>0</v>
      </c>
      <c r="W101" s="2">
        <v>230</v>
      </c>
      <c r="X101" s="55">
        <v>9</v>
      </c>
      <c r="Y101" s="2">
        <v>182</v>
      </c>
      <c r="Z101" s="2">
        <v>13</v>
      </c>
      <c r="AA101" s="2">
        <v>78</v>
      </c>
      <c r="AB101" s="2">
        <v>4</v>
      </c>
      <c r="AC101" s="2">
        <v>139</v>
      </c>
      <c r="AD101" s="105">
        <v>4</v>
      </c>
      <c r="AE101" s="2">
        <v>206</v>
      </c>
      <c r="AF101" s="55">
        <v>4</v>
      </c>
      <c r="AG101" s="2">
        <v>142</v>
      </c>
      <c r="AH101" s="55">
        <v>0</v>
      </c>
      <c r="AI101" s="2">
        <v>135</v>
      </c>
      <c r="AJ101" s="55">
        <v>0.7631</v>
      </c>
      <c r="AK101" s="2">
        <v>248</v>
      </c>
      <c r="AL101" s="30">
        <v>42066</v>
      </c>
      <c r="AM101" s="2">
        <v>243</v>
      </c>
      <c r="AN101" s="2">
        <v>48</v>
      </c>
      <c r="AO101" s="2">
        <v>213</v>
      </c>
      <c r="AP101" s="2">
        <v>4</v>
      </c>
      <c r="AQ101" s="2">
        <v>139</v>
      </c>
      <c r="AR101" s="55">
        <v>4</v>
      </c>
      <c r="AS101" s="2">
        <v>142</v>
      </c>
      <c r="AT101" s="159">
        <v>0</v>
      </c>
      <c r="AU101" s="2">
        <v>81</v>
      </c>
      <c r="AV101" s="55">
        <v>1</v>
      </c>
      <c r="AW101" s="2">
        <v>1</v>
      </c>
      <c r="AX101" s="2" t="s">
        <v>615</v>
      </c>
      <c r="AY101" s="2">
        <v>999999</v>
      </c>
      <c r="AZ101" s="106">
        <v>0</v>
      </c>
      <c r="BA101" s="2">
        <v>14</v>
      </c>
      <c r="BB101" s="30">
        <v>43139</v>
      </c>
      <c r="BC101" s="2">
        <v>176</v>
      </c>
      <c r="BD101" s="160">
        <v>41806</v>
      </c>
      <c r="BE101" s="2">
        <v>1</v>
      </c>
      <c r="BF101" s="55">
        <v>0</v>
      </c>
      <c r="BG101" s="2">
        <v>183</v>
      </c>
      <c r="BH101" s="2">
        <v>1</v>
      </c>
      <c r="BI101" s="2">
        <v>151</v>
      </c>
      <c r="BJ101" s="2">
        <v>48</v>
      </c>
      <c r="BK101" s="2">
        <v>65</v>
      </c>
      <c r="BL101" s="161">
        <v>966329.48148148146</v>
      </c>
      <c r="BM101" s="2" t="str">
        <f t="shared" si="1"/>
        <v>217/283</v>
      </c>
      <c r="BN101" s="142"/>
    </row>
    <row r="102" spans="1:66" x14ac:dyDescent="0.25">
      <c r="A102" s="2">
        <v>540128</v>
      </c>
      <c r="B102" s="2" t="s">
        <v>213</v>
      </c>
      <c r="C102" s="2" t="s">
        <v>53</v>
      </c>
      <c r="D102" s="2" t="s">
        <v>612</v>
      </c>
      <c r="E102" s="2" t="s">
        <v>616</v>
      </c>
      <c r="F102" s="2" t="s">
        <v>613</v>
      </c>
      <c r="G102" s="2">
        <v>3</v>
      </c>
      <c r="H102" s="2">
        <v>0</v>
      </c>
      <c r="I102" s="2">
        <v>2</v>
      </c>
      <c r="J102" s="2">
        <v>13.4</v>
      </c>
      <c r="K102" s="2">
        <v>146</v>
      </c>
      <c r="L102" s="55">
        <v>0</v>
      </c>
      <c r="M102" s="2">
        <v>118</v>
      </c>
      <c r="N102" s="2">
        <v>2</v>
      </c>
      <c r="O102" s="2">
        <v>72</v>
      </c>
      <c r="P102" s="156">
        <v>1195097</v>
      </c>
      <c r="Q102" s="2">
        <v>67</v>
      </c>
      <c r="R102" s="157">
        <v>-0.55309814800000001</v>
      </c>
      <c r="S102" s="2">
        <v>195</v>
      </c>
      <c r="T102" s="158">
        <v>0.92999999999999994</v>
      </c>
      <c r="U102" s="2">
        <v>38</v>
      </c>
      <c r="V102" s="55">
        <v>35</v>
      </c>
      <c r="W102" s="2">
        <v>46</v>
      </c>
      <c r="X102" s="55">
        <v>44</v>
      </c>
      <c r="Y102" s="2">
        <v>103</v>
      </c>
      <c r="Z102" s="2">
        <v>13</v>
      </c>
      <c r="AA102" s="2">
        <v>78</v>
      </c>
      <c r="AB102" s="2">
        <v>11</v>
      </c>
      <c r="AC102" s="2">
        <v>100</v>
      </c>
      <c r="AD102" s="105">
        <v>68</v>
      </c>
      <c r="AE102" s="2">
        <v>61</v>
      </c>
      <c r="AF102" s="55">
        <v>13</v>
      </c>
      <c r="AG102" s="2">
        <v>88</v>
      </c>
      <c r="AH102" s="55">
        <v>393</v>
      </c>
      <c r="AI102" s="2">
        <v>77</v>
      </c>
      <c r="AJ102" s="55">
        <v>0.7631</v>
      </c>
      <c r="AK102" s="2">
        <v>248</v>
      </c>
      <c r="AL102" s="30">
        <v>42066</v>
      </c>
      <c r="AM102" s="2">
        <v>243</v>
      </c>
      <c r="AN102" s="2">
        <v>48</v>
      </c>
      <c r="AO102" s="2">
        <v>213</v>
      </c>
      <c r="AP102" s="2">
        <v>11</v>
      </c>
      <c r="AQ102" s="2">
        <v>100</v>
      </c>
      <c r="AR102" s="55">
        <v>13</v>
      </c>
      <c r="AS102" s="2">
        <v>88</v>
      </c>
      <c r="AT102" s="159">
        <v>28.498727735368956</v>
      </c>
      <c r="AU102" s="2">
        <v>4</v>
      </c>
      <c r="AV102" s="55">
        <v>1</v>
      </c>
      <c r="AW102" s="2">
        <v>1</v>
      </c>
      <c r="AX102" s="2" t="s">
        <v>615</v>
      </c>
      <c r="AY102" s="2">
        <v>999999</v>
      </c>
      <c r="AZ102" s="106">
        <v>0</v>
      </c>
      <c r="BA102" s="2">
        <v>14</v>
      </c>
      <c r="BB102" s="30">
        <v>43137</v>
      </c>
      <c r="BC102" s="2">
        <v>170</v>
      </c>
      <c r="BD102" s="160">
        <v>42417</v>
      </c>
      <c r="BE102" s="2">
        <v>35</v>
      </c>
      <c r="BF102" s="55">
        <v>0</v>
      </c>
      <c r="BG102" s="2">
        <v>183</v>
      </c>
      <c r="BH102" s="2">
        <v>0</v>
      </c>
      <c r="BI102" s="2">
        <v>239</v>
      </c>
      <c r="BJ102" s="2">
        <v>48</v>
      </c>
      <c r="BK102" s="2">
        <v>65</v>
      </c>
      <c r="BL102" s="161">
        <v>965650.59259259282</v>
      </c>
      <c r="BM102" s="2" t="str">
        <f t="shared" si="1"/>
        <v>112/283</v>
      </c>
      <c r="BN102" s="142"/>
    </row>
    <row r="103" spans="1:66" x14ac:dyDescent="0.25">
      <c r="A103" s="2">
        <v>540274</v>
      </c>
      <c r="B103" s="2" t="s">
        <v>317</v>
      </c>
      <c r="C103" s="2" t="s">
        <v>59</v>
      </c>
      <c r="D103" s="2" t="s">
        <v>612</v>
      </c>
      <c r="E103" s="2" t="s">
        <v>616</v>
      </c>
      <c r="F103" s="2" t="s">
        <v>613</v>
      </c>
      <c r="G103" s="2">
        <v>3</v>
      </c>
      <c r="H103" s="2">
        <v>0</v>
      </c>
      <c r="I103" s="2">
        <v>2</v>
      </c>
      <c r="J103" s="2">
        <v>33.200000000000003</v>
      </c>
      <c r="K103" s="2">
        <v>95</v>
      </c>
      <c r="L103" s="55">
        <v>7</v>
      </c>
      <c r="M103" s="2">
        <v>48</v>
      </c>
      <c r="N103" s="2">
        <v>2</v>
      </c>
      <c r="O103" s="2">
        <v>72</v>
      </c>
      <c r="P103" s="156">
        <v>285632</v>
      </c>
      <c r="Q103" s="2">
        <v>121</v>
      </c>
      <c r="R103" s="157">
        <v>-0.74558806099999997</v>
      </c>
      <c r="S103" s="2">
        <v>234</v>
      </c>
      <c r="T103" s="158">
        <v>0.89</v>
      </c>
      <c r="U103" s="2">
        <v>153</v>
      </c>
      <c r="V103" s="55">
        <v>5</v>
      </c>
      <c r="W103" s="2">
        <v>121</v>
      </c>
      <c r="X103" s="55">
        <v>23</v>
      </c>
      <c r="Y103" s="2">
        <v>139</v>
      </c>
      <c r="Z103" s="2">
        <v>11</v>
      </c>
      <c r="AA103" s="2">
        <v>155</v>
      </c>
      <c r="AB103" s="2">
        <v>0</v>
      </c>
      <c r="AC103" s="2">
        <v>222</v>
      </c>
      <c r="AD103" s="105">
        <v>9</v>
      </c>
      <c r="AE103" s="2">
        <v>160</v>
      </c>
      <c r="AF103" s="55">
        <v>7</v>
      </c>
      <c r="AG103" s="2">
        <v>121</v>
      </c>
      <c r="AH103" s="55">
        <v>209</v>
      </c>
      <c r="AI103" s="2">
        <v>98</v>
      </c>
      <c r="AJ103" s="55">
        <v>0.35560000000000003</v>
      </c>
      <c r="AK103" s="2">
        <v>61</v>
      </c>
      <c r="AL103" s="30">
        <v>43145</v>
      </c>
      <c r="AM103" s="2">
        <v>26</v>
      </c>
      <c r="AN103" s="2">
        <v>11</v>
      </c>
      <c r="AO103" s="2">
        <v>113</v>
      </c>
      <c r="AP103" s="2">
        <v>0</v>
      </c>
      <c r="AQ103" s="2">
        <v>222</v>
      </c>
      <c r="AR103" s="55">
        <v>7</v>
      </c>
      <c r="AS103" s="2">
        <v>121</v>
      </c>
      <c r="AT103" s="159">
        <v>1.9138755980861244</v>
      </c>
      <c r="AU103" s="2">
        <v>68</v>
      </c>
      <c r="AV103" s="55">
        <v>1</v>
      </c>
      <c r="AW103" s="2">
        <v>1</v>
      </c>
      <c r="AX103" s="2" t="s">
        <v>615</v>
      </c>
      <c r="AY103" s="2">
        <v>999999</v>
      </c>
      <c r="AZ103" s="106">
        <v>0</v>
      </c>
      <c r="BA103" s="2">
        <v>14</v>
      </c>
      <c r="BB103" s="30">
        <v>32996</v>
      </c>
      <c r="BC103" s="2">
        <v>8</v>
      </c>
      <c r="BD103" s="160">
        <v>41806</v>
      </c>
      <c r="BE103" s="2">
        <v>1</v>
      </c>
      <c r="BF103" s="55">
        <v>1</v>
      </c>
      <c r="BG103" s="2">
        <v>1</v>
      </c>
      <c r="BH103" s="2">
        <v>2</v>
      </c>
      <c r="BI103" s="2">
        <v>68</v>
      </c>
      <c r="BJ103" s="2">
        <v>11</v>
      </c>
      <c r="BK103" s="2">
        <v>160</v>
      </c>
      <c r="BL103" s="161">
        <v>965468.59259259258</v>
      </c>
      <c r="BM103" s="2" t="str">
        <f t="shared" si="1"/>
        <v>94/283</v>
      </c>
      <c r="BN103" s="142"/>
    </row>
    <row r="104" spans="1:66" x14ac:dyDescent="0.25">
      <c r="A104" s="162">
        <v>540278</v>
      </c>
      <c r="B104" s="162" t="s">
        <v>104</v>
      </c>
      <c r="C104" s="162" t="s">
        <v>105</v>
      </c>
      <c r="D104" s="162" t="s">
        <v>617</v>
      </c>
      <c r="E104" s="162" t="s">
        <v>616</v>
      </c>
      <c r="F104" s="162" t="s">
        <v>613</v>
      </c>
      <c r="G104" s="162">
        <v>3</v>
      </c>
      <c r="H104" s="162">
        <v>0</v>
      </c>
      <c r="I104" s="162">
        <v>2</v>
      </c>
      <c r="J104" s="162">
        <v>0</v>
      </c>
      <c r="K104" s="162">
        <v>275</v>
      </c>
      <c r="L104" s="163">
        <v>0</v>
      </c>
      <c r="M104" s="162">
        <v>118</v>
      </c>
      <c r="N104" s="162">
        <v>2</v>
      </c>
      <c r="O104" s="162">
        <v>72</v>
      </c>
      <c r="P104" s="164">
        <v>527559</v>
      </c>
      <c r="Q104" s="162">
        <v>96</v>
      </c>
      <c r="R104" s="165">
        <v>0.28838290799999999</v>
      </c>
      <c r="S104" s="162">
        <v>118</v>
      </c>
      <c r="T104" s="166">
        <v>0.92999999999999994</v>
      </c>
      <c r="U104" s="162">
        <v>38</v>
      </c>
      <c r="V104" s="163">
        <v>18</v>
      </c>
      <c r="W104" s="162">
        <v>75</v>
      </c>
      <c r="X104" s="163">
        <v>28</v>
      </c>
      <c r="Y104" s="162">
        <v>131</v>
      </c>
      <c r="Z104" s="162">
        <v>6</v>
      </c>
      <c r="AA104" s="162">
        <v>281</v>
      </c>
      <c r="AB104" s="162">
        <v>16</v>
      </c>
      <c r="AC104" s="162">
        <v>85</v>
      </c>
      <c r="AD104" s="167">
        <v>39</v>
      </c>
      <c r="AE104" s="162">
        <v>86</v>
      </c>
      <c r="AF104" s="163">
        <v>0</v>
      </c>
      <c r="AG104" s="162">
        <v>184</v>
      </c>
      <c r="AH104" s="163">
        <v>1131</v>
      </c>
      <c r="AI104" s="162">
        <v>46</v>
      </c>
      <c r="AJ104" s="163">
        <v>0.43809999999999999</v>
      </c>
      <c r="AK104" s="162">
        <v>107</v>
      </c>
      <c r="AL104" s="168">
        <v>42543</v>
      </c>
      <c r="AM104" s="162">
        <v>161</v>
      </c>
      <c r="AN104" s="162">
        <v>13</v>
      </c>
      <c r="AO104" s="162">
        <v>128</v>
      </c>
      <c r="AP104" s="162">
        <v>16</v>
      </c>
      <c r="AQ104" s="162">
        <v>85</v>
      </c>
      <c r="AR104" s="163">
        <v>0</v>
      </c>
      <c r="AS104" s="162">
        <v>184</v>
      </c>
      <c r="AT104" s="169">
        <v>1.1494252873563218</v>
      </c>
      <c r="AU104" s="162">
        <v>71</v>
      </c>
      <c r="AV104" s="163">
        <v>1</v>
      </c>
      <c r="AW104" s="162">
        <v>1</v>
      </c>
      <c r="AX104" s="162" t="s">
        <v>615</v>
      </c>
      <c r="AY104" s="162">
        <v>999999</v>
      </c>
      <c r="AZ104" s="170">
        <v>0</v>
      </c>
      <c r="BA104" s="162">
        <v>14</v>
      </c>
      <c r="BB104" s="168">
        <v>43158</v>
      </c>
      <c r="BC104" s="162">
        <v>178</v>
      </c>
      <c r="BD104" s="171">
        <v>42661</v>
      </c>
      <c r="BE104" s="162">
        <v>37</v>
      </c>
      <c r="BF104" s="163">
        <v>1</v>
      </c>
      <c r="BG104" s="162">
        <v>1</v>
      </c>
      <c r="BH104" s="162">
        <v>1</v>
      </c>
      <c r="BI104" s="162">
        <v>151</v>
      </c>
      <c r="BJ104" s="162">
        <v>13</v>
      </c>
      <c r="BK104" s="162">
        <v>154</v>
      </c>
      <c r="BL104" s="161">
        <v>965732.44444444438</v>
      </c>
      <c r="BM104" s="162" t="str">
        <f t="shared" si="1"/>
        <v>124/283</v>
      </c>
      <c r="BN104" s="142"/>
    </row>
    <row r="105" spans="1:66" x14ac:dyDescent="0.25">
      <c r="A105" s="2">
        <v>540147</v>
      </c>
      <c r="B105" s="2" t="s">
        <v>225</v>
      </c>
      <c r="C105" s="2" t="s">
        <v>63</v>
      </c>
      <c r="D105" s="2" t="s">
        <v>612</v>
      </c>
      <c r="E105" s="2" t="s">
        <v>616</v>
      </c>
      <c r="F105" s="2" t="s">
        <v>613</v>
      </c>
      <c r="G105" s="2">
        <v>3</v>
      </c>
      <c r="H105" s="2">
        <v>0</v>
      </c>
      <c r="I105" s="2">
        <v>2</v>
      </c>
      <c r="J105" s="2">
        <v>1</v>
      </c>
      <c r="K105" s="2">
        <v>263</v>
      </c>
      <c r="L105" s="55">
        <v>3</v>
      </c>
      <c r="M105" s="2">
        <v>77</v>
      </c>
      <c r="N105" s="2">
        <v>2</v>
      </c>
      <c r="O105" s="2">
        <v>72</v>
      </c>
      <c r="P105" s="156">
        <v>6750487</v>
      </c>
      <c r="Q105" s="2">
        <v>11</v>
      </c>
      <c r="R105" s="157">
        <v>0.65404686099999998</v>
      </c>
      <c r="S105" s="2">
        <v>77</v>
      </c>
      <c r="T105" s="158">
        <v>0.83</v>
      </c>
      <c r="U105" s="2">
        <v>228</v>
      </c>
      <c r="V105" s="55">
        <v>0</v>
      </c>
      <c r="W105" s="2">
        <v>230</v>
      </c>
      <c r="X105" s="55">
        <v>144</v>
      </c>
      <c r="Y105" s="2">
        <v>52</v>
      </c>
      <c r="Z105" s="2">
        <v>13</v>
      </c>
      <c r="AA105" s="2">
        <v>78</v>
      </c>
      <c r="AB105" s="2">
        <v>25</v>
      </c>
      <c r="AC105" s="2">
        <v>67</v>
      </c>
      <c r="AD105" s="105">
        <v>72</v>
      </c>
      <c r="AE105" s="2">
        <v>57</v>
      </c>
      <c r="AF105" s="55">
        <v>21</v>
      </c>
      <c r="AG105" s="2">
        <v>65</v>
      </c>
      <c r="AH105" s="55">
        <v>0</v>
      </c>
      <c r="AI105" s="2">
        <v>135</v>
      </c>
      <c r="AJ105" s="55">
        <v>0.44600000000000001</v>
      </c>
      <c r="AK105" s="2">
        <v>110</v>
      </c>
      <c r="AL105" s="30">
        <v>42543</v>
      </c>
      <c r="AM105" s="2">
        <v>161</v>
      </c>
      <c r="AN105" s="2">
        <v>14</v>
      </c>
      <c r="AO105" s="2">
        <v>131</v>
      </c>
      <c r="AP105" s="2">
        <v>25</v>
      </c>
      <c r="AQ105" s="2">
        <v>67</v>
      </c>
      <c r="AR105" s="55">
        <v>21</v>
      </c>
      <c r="AS105" s="2">
        <v>65</v>
      </c>
      <c r="AT105" s="159">
        <v>0</v>
      </c>
      <c r="AU105" s="2">
        <v>81</v>
      </c>
      <c r="AV105" s="55">
        <v>1</v>
      </c>
      <c r="AW105" s="2">
        <v>1</v>
      </c>
      <c r="AX105" s="2" t="s">
        <v>615</v>
      </c>
      <c r="AY105" s="2">
        <v>999999</v>
      </c>
      <c r="AZ105" s="106">
        <v>0</v>
      </c>
      <c r="BA105" s="2">
        <v>14</v>
      </c>
      <c r="BB105" s="30">
        <v>42976</v>
      </c>
      <c r="BC105" s="2">
        <v>127</v>
      </c>
      <c r="BD105" s="160">
        <v>43558</v>
      </c>
      <c r="BE105" s="2">
        <v>58</v>
      </c>
      <c r="BF105" s="55">
        <v>1</v>
      </c>
      <c r="BG105" s="2">
        <v>1</v>
      </c>
      <c r="BH105" s="2">
        <v>19</v>
      </c>
      <c r="BI105" s="2">
        <v>2</v>
      </c>
      <c r="BJ105" s="2">
        <v>14</v>
      </c>
      <c r="BK105" s="2">
        <v>151</v>
      </c>
      <c r="BL105" s="161">
        <v>965254.81481481483</v>
      </c>
      <c r="BM105" s="2" t="str">
        <f t="shared" si="1"/>
        <v>69/283</v>
      </c>
      <c r="BN105" s="142"/>
    </row>
    <row r="106" spans="1:66" x14ac:dyDescent="0.25">
      <c r="A106" s="2">
        <v>540161</v>
      </c>
      <c r="B106" s="2" t="s">
        <v>235</v>
      </c>
      <c r="C106" s="2" t="s">
        <v>69</v>
      </c>
      <c r="D106" s="2" t="s">
        <v>612</v>
      </c>
      <c r="E106" s="2" t="s">
        <v>616</v>
      </c>
      <c r="F106" s="2" t="s">
        <v>613</v>
      </c>
      <c r="G106" s="2">
        <v>3</v>
      </c>
      <c r="H106" s="2">
        <v>0</v>
      </c>
      <c r="I106" s="2">
        <v>2</v>
      </c>
      <c r="J106" s="2">
        <v>2.8</v>
      </c>
      <c r="K106" s="2">
        <v>226</v>
      </c>
      <c r="L106" s="55">
        <v>0</v>
      </c>
      <c r="M106" s="2">
        <v>118</v>
      </c>
      <c r="N106" s="2">
        <v>2</v>
      </c>
      <c r="O106" s="2">
        <v>72</v>
      </c>
      <c r="P106" s="156">
        <v>90312</v>
      </c>
      <c r="Q106" s="2">
        <v>167</v>
      </c>
      <c r="R106" s="157">
        <v>0.79634212299999996</v>
      </c>
      <c r="S106" s="2">
        <v>60</v>
      </c>
      <c r="T106" s="158">
        <v>0.9</v>
      </c>
      <c r="U106" s="2">
        <v>107</v>
      </c>
      <c r="V106" s="55">
        <v>1</v>
      </c>
      <c r="W106" s="2">
        <v>197</v>
      </c>
      <c r="X106" s="55">
        <v>11</v>
      </c>
      <c r="Y106" s="2">
        <v>173</v>
      </c>
      <c r="Z106" s="2">
        <v>11</v>
      </c>
      <c r="AA106" s="2">
        <v>155</v>
      </c>
      <c r="AB106" s="2">
        <v>3</v>
      </c>
      <c r="AC106" s="2">
        <v>149</v>
      </c>
      <c r="AD106" s="105">
        <v>6</v>
      </c>
      <c r="AE106" s="2">
        <v>184</v>
      </c>
      <c r="AF106" s="55">
        <v>0</v>
      </c>
      <c r="AG106" s="2">
        <v>184</v>
      </c>
      <c r="AH106" s="55">
        <v>0</v>
      </c>
      <c r="AI106" s="2">
        <v>135</v>
      </c>
      <c r="AJ106" s="55">
        <v>0.49469999999999997</v>
      </c>
      <c r="AK106" s="2">
        <v>145</v>
      </c>
      <c r="AL106" s="30">
        <v>43145</v>
      </c>
      <c r="AM106" s="2">
        <v>26</v>
      </c>
      <c r="AN106" s="2">
        <v>1</v>
      </c>
      <c r="AO106" s="2">
        <v>36</v>
      </c>
      <c r="AP106" s="2">
        <v>3</v>
      </c>
      <c r="AQ106" s="2">
        <v>149</v>
      </c>
      <c r="AR106" s="55">
        <v>0</v>
      </c>
      <c r="AS106" s="2">
        <v>184</v>
      </c>
      <c r="AT106" s="159">
        <v>0</v>
      </c>
      <c r="AU106" s="2">
        <v>81</v>
      </c>
      <c r="AV106" s="55">
        <v>1</v>
      </c>
      <c r="AW106" s="2">
        <v>1</v>
      </c>
      <c r="AX106" s="2" t="s">
        <v>615</v>
      </c>
      <c r="AY106" s="2">
        <v>999999</v>
      </c>
      <c r="AZ106" s="106">
        <v>0</v>
      </c>
      <c r="BA106" s="2">
        <v>14</v>
      </c>
      <c r="BB106" s="30">
        <v>39149</v>
      </c>
      <c r="BC106" s="2">
        <v>30</v>
      </c>
      <c r="BD106" s="160">
        <v>41806</v>
      </c>
      <c r="BE106" s="2">
        <v>1</v>
      </c>
      <c r="BF106" s="55">
        <v>0</v>
      </c>
      <c r="BG106" s="2">
        <v>183</v>
      </c>
      <c r="BH106" s="2">
        <v>3</v>
      </c>
      <c r="BI106" s="2">
        <v>46</v>
      </c>
      <c r="BJ106" s="2">
        <v>1</v>
      </c>
      <c r="BK106" s="2">
        <v>231</v>
      </c>
      <c r="BL106" s="161">
        <v>965902.88888888876</v>
      </c>
      <c r="BM106" s="2" t="str">
        <f t="shared" si="1"/>
        <v>153/283</v>
      </c>
      <c r="BN106" s="142"/>
    </row>
    <row r="107" spans="1:66" x14ac:dyDescent="0.25">
      <c r="A107" s="2">
        <v>540269</v>
      </c>
      <c r="B107" s="2" t="s">
        <v>312</v>
      </c>
      <c r="C107" s="2" t="s">
        <v>69</v>
      </c>
      <c r="D107" s="2" t="s">
        <v>612</v>
      </c>
      <c r="E107" s="2" t="s">
        <v>616</v>
      </c>
      <c r="F107" s="2" t="s">
        <v>613</v>
      </c>
      <c r="G107" s="2">
        <v>3</v>
      </c>
      <c r="H107" s="2">
        <v>0</v>
      </c>
      <c r="I107" s="2">
        <v>2</v>
      </c>
      <c r="J107" s="2">
        <v>2.8</v>
      </c>
      <c r="K107" s="2">
        <v>226</v>
      </c>
      <c r="L107" s="55">
        <v>0</v>
      </c>
      <c r="M107" s="2">
        <v>118</v>
      </c>
      <c r="N107" s="2">
        <v>2</v>
      </c>
      <c r="O107" s="2">
        <v>72</v>
      </c>
      <c r="P107" s="156">
        <v>0</v>
      </c>
      <c r="Q107" s="2">
        <v>248</v>
      </c>
      <c r="R107" s="157">
        <v>0.79634212299999996</v>
      </c>
      <c r="S107" s="2">
        <v>60</v>
      </c>
      <c r="T107" s="158">
        <v>0.9</v>
      </c>
      <c r="U107" s="2">
        <v>107</v>
      </c>
      <c r="V107" s="55">
        <v>1</v>
      </c>
      <c r="W107" s="2">
        <v>197</v>
      </c>
      <c r="X107" s="55">
        <v>0</v>
      </c>
      <c r="Y107" s="2">
        <v>256</v>
      </c>
      <c r="Z107" s="2">
        <v>11</v>
      </c>
      <c r="AA107" s="2">
        <v>155</v>
      </c>
      <c r="AB107" s="2">
        <v>0</v>
      </c>
      <c r="AC107" s="2">
        <v>222</v>
      </c>
      <c r="AD107" s="105">
        <v>1</v>
      </c>
      <c r="AE107" s="2">
        <v>242</v>
      </c>
      <c r="AF107" s="55">
        <v>0</v>
      </c>
      <c r="AG107" s="2">
        <v>184</v>
      </c>
      <c r="AH107" s="55">
        <v>0</v>
      </c>
      <c r="AI107" s="2">
        <v>135</v>
      </c>
      <c r="AJ107" s="55">
        <v>0.49469999999999997</v>
      </c>
      <c r="AK107" s="2">
        <v>145</v>
      </c>
      <c r="AL107" s="30">
        <v>43145</v>
      </c>
      <c r="AM107" s="2">
        <v>26</v>
      </c>
      <c r="AN107" s="2">
        <v>1</v>
      </c>
      <c r="AO107" s="2">
        <v>36</v>
      </c>
      <c r="AP107" s="2">
        <v>0</v>
      </c>
      <c r="AQ107" s="2">
        <v>222</v>
      </c>
      <c r="AR107" s="55">
        <v>0</v>
      </c>
      <c r="AS107" s="2">
        <v>184</v>
      </c>
      <c r="AT107" s="159">
        <v>0</v>
      </c>
      <c r="AU107" s="2">
        <v>81</v>
      </c>
      <c r="AV107" s="55">
        <v>1</v>
      </c>
      <c r="AW107" s="2">
        <v>1</v>
      </c>
      <c r="AX107" s="2" t="s">
        <v>615</v>
      </c>
      <c r="AY107" s="2">
        <v>999999</v>
      </c>
      <c r="AZ107" s="106">
        <v>0</v>
      </c>
      <c r="BA107" s="2">
        <v>14</v>
      </c>
      <c r="BB107" s="30">
        <v>35122</v>
      </c>
      <c r="BC107" s="2">
        <v>26</v>
      </c>
      <c r="BD107" s="160">
        <v>43502</v>
      </c>
      <c r="BE107" s="2">
        <v>45</v>
      </c>
      <c r="BF107" s="55">
        <v>0</v>
      </c>
      <c r="BG107" s="2">
        <v>183</v>
      </c>
      <c r="BH107" s="2">
        <v>3</v>
      </c>
      <c r="BI107" s="2">
        <v>46</v>
      </c>
      <c r="BJ107" s="2">
        <v>1</v>
      </c>
      <c r="BK107" s="2">
        <v>231</v>
      </c>
      <c r="BL107" s="161">
        <v>966295.77777777787</v>
      </c>
      <c r="BM107" s="2" t="str">
        <f t="shared" si="1"/>
        <v>213/283</v>
      </c>
      <c r="BN107" s="142"/>
    </row>
    <row r="108" spans="1:66" x14ac:dyDescent="0.25">
      <c r="A108" s="2">
        <v>540168</v>
      </c>
      <c r="B108" s="2" t="s">
        <v>241</v>
      </c>
      <c r="C108" s="2" t="s">
        <v>71</v>
      </c>
      <c r="D108" s="2" t="s">
        <v>612</v>
      </c>
      <c r="E108" s="2" t="s">
        <v>616</v>
      </c>
      <c r="F108" s="2" t="s">
        <v>613</v>
      </c>
      <c r="G108" s="2">
        <v>3</v>
      </c>
      <c r="H108" s="2">
        <v>0</v>
      </c>
      <c r="I108" s="2">
        <v>2</v>
      </c>
      <c r="J108" s="2">
        <v>107</v>
      </c>
      <c r="K108" s="2">
        <v>18</v>
      </c>
      <c r="L108" s="55">
        <v>0</v>
      </c>
      <c r="M108" s="2">
        <v>118</v>
      </c>
      <c r="N108" s="2">
        <v>2</v>
      </c>
      <c r="O108" s="2">
        <v>72</v>
      </c>
      <c r="P108" s="156">
        <v>28751</v>
      </c>
      <c r="Q108" s="2">
        <v>202</v>
      </c>
      <c r="R108" s="157">
        <v>0.40393937000000002</v>
      </c>
      <c r="S108" s="2">
        <v>95</v>
      </c>
      <c r="T108" s="158">
        <v>0.86</v>
      </c>
      <c r="U108" s="2">
        <v>191</v>
      </c>
      <c r="V108" s="55">
        <v>19</v>
      </c>
      <c r="W108" s="2">
        <v>73</v>
      </c>
      <c r="X108" s="55">
        <v>17</v>
      </c>
      <c r="Y108" s="2">
        <v>154</v>
      </c>
      <c r="Z108" s="2">
        <v>12</v>
      </c>
      <c r="AA108" s="2">
        <v>133</v>
      </c>
      <c r="AB108" s="2">
        <v>12</v>
      </c>
      <c r="AC108" s="2">
        <v>96</v>
      </c>
      <c r="AD108" s="105">
        <v>22</v>
      </c>
      <c r="AE108" s="2">
        <v>112</v>
      </c>
      <c r="AF108" s="55">
        <v>2</v>
      </c>
      <c r="AG108" s="2">
        <v>164</v>
      </c>
      <c r="AH108" s="55">
        <v>0</v>
      </c>
      <c r="AI108" s="2">
        <v>135</v>
      </c>
      <c r="AJ108" s="55">
        <v>3.7199999999999997E-2</v>
      </c>
      <c r="AK108" s="2">
        <v>1</v>
      </c>
      <c r="AL108" s="30">
        <v>42066</v>
      </c>
      <c r="AM108" s="2">
        <v>243</v>
      </c>
      <c r="AN108" s="2">
        <v>10</v>
      </c>
      <c r="AO108" s="2">
        <v>103</v>
      </c>
      <c r="AP108" s="2">
        <v>12</v>
      </c>
      <c r="AQ108" s="2">
        <v>96</v>
      </c>
      <c r="AR108" s="55">
        <v>2</v>
      </c>
      <c r="AS108" s="2">
        <v>164</v>
      </c>
      <c r="AT108" s="159">
        <v>0</v>
      </c>
      <c r="AU108" s="2">
        <v>81</v>
      </c>
      <c r="AV108" s="55">
        <v>1</v>
      </c>
      <c r="AW108" s="2">
        <v>1</v>
      </c>
      <c r="AX108" s="2" t="s">
        <v>615</v>
      </c>
      <c r="AY108" s="2">
        <v>999999</v>
      </c>
      <c r="AZ108" s="106">
        <v>0</v>
      </c>
      <c r="BA108" s="2">
        <v>14</v>
      </c>
      <c r="BB108" s="30">
        <v>33721</v>
      </c>
      <c r="BC108" s="2">
        <v>19</v>
      </c>
      <c r="BD108" s="160">
        <v>41806</v>
      </c>
      <c r="BE108" s="2">
        <v>1</v>
      </c>
      <c r="BF108" s="55">
        <v>1</v>
      </c>
      <c r="BG108" s="2">
        <v>1</v>
      </c>
      <c r="BH108" s="2">
        <v>2</v>
      </c>
      <c r="BI108" s="2">
        <v>68</v>
      </c>
      <c r="BJ108" s="2">
        <v>10</v>
      </c>
      <c r="BK108" s="2">
        <v>172</v>
      </c>
      <c r="BL108" s="161">
        <v>965395.40740740742</v>
      </c>
      <c r="BM108" s="2" t="str">
        <f t="shared" si="1"/>
        <v>88/283</v>
      </c>
      <c r="BN108" s="142"/>
    </row>
    <row r="109" spans="1:66" x14ac:dyDescent="0.25">
      <c r="A109" s="2">
        <v>540170</v>
      </c>
      <c r="B109" s="2" t="s">
        <v>242</v>
      </c>
      <c r="C109" s="2" t="s">
        <v>73</v>
      </c>
      <c r="D109" s="2" t="s">
        <v>612</v>
      </c>
      <c r="E109" s="2" t="s">
        <v>616</v>
      </c>
      <c r="F109" s="2" t="s">
        <v>613</v>
      </c>
      <c r="G109" s="2">
        <v>3</v>
      </c>
      <c r="H109" s="2">
        <v>0</v>
      </c>
      <c r="I109" s="2">
        <v>2</v>
      </c>
      <c r="J109" s="2">
        <v>112.4</v>
      </c>
      <c r="K109" s="2">
        <v>12</v>
      </c>
      <c r="L109" s="55">
        <v>7</v>
      </c>
      <c r="M109" s="2">
        <v>48</v>
      </c>
      <c r="N109" s="2">
        <v>2</v>
      </c>
      <c r="O109" s="2">
        <v>72</v>
      </c>
      <c r="P109" s="156">
        <v>289318</v>
      </c>
      <c r="Q109" s="2">
        <v>120</v>
      </c>
      <c r="R109" s="157">
        <v>-0.63161085699999997</v>
      </c>
      <c r="S109" s="2">
        <v>213</v>
      </c>
      <c r="T109" s="158">
        <v>0.92999999999999994</v>
      </c>
      <c r="U109" s="2">
        <v>38</v>
      </c>
      <c r="V109" s="55">
        <v>12</v>
      </c>
      <c r="W109" s="2">
        <v>85</v>
      </c>
      <c r="X109" s="55">
        <v>27</v>
      </c>
      <c r="Y109" s="2">
        <v>132</v>
      </c>
      <c r="Z109" s="2">
        <v>13</v>
      </c>
      <c r="AA109" s="2">
        <v>78</v>
      </c>
      <c r="AB109" s="2">
        <v>1</v>
      </c>
      <c r="AC109" s="2">
        <v>186</v>
      </c>
      <c r="AD109" s="105">
        <v>13</v>
      </c>
      <c r="AE109" s="2">
        <v>142</v>
      </c>
      <c r="AF109" s="55">
        <v>9</v>
      </c>
      <c r="AG109" s="2">
        <v>112</v>
      </c>
      <c r="AH109" s="55">
        <v>611</v>
      </c>
      <c r="AI109" s="2">
        <v>67</v>
      </c>
      <c r="AJ109" s="55">
        <v>0.77490000000000003</v>
      </c>
      <c r="AK109" s="2">
        <v>265</v>
      </c>
      <c r="AL109" s="30">
        <v>42066</v>
      </c>
      <c r="AM109" s="2">
        <v>243</v>
      </c>
      <c r="AN109" s="2">
        <v>55</v>
      </c>
      <c r="AO109" s="2">
        <v>231</v>
      </c>
      <c r="AP109" s="2">
        <v>1</v>
      </c>
      <c r="AQ109" s="2">
        <v>186</v>
      </c>
      <c r="AR109" s="55">
        <v>9</v>
      </c>
      <c r="AS109" s="2">
        <v>112</v>
      </c>
      <c r="AT109" s="159">
        <v>9.9836333878887071</v>
      </c>
      <c r="AU109" s="2">
        <v>27</v>
      </c>
      <c r="AV109" s="55">
        <v>0</v>
      </c>
      <c r="AW109" s="2">
        <v>194</v>
      </c>
      <c r="AX109" s="2" t="s">
        <v>615</v>
      </c>
      <c r="AY109" s="2">
        <v>999999</v>
      </c>
      <c r="AZ109" s="106">
        <v>0</v>
      </c>
      <c r="BA109" s="2">
        <v>14</v>
      </c>
      <c r="BB109" s="30">
        <v>43411</v>
      </c>
      <c r="BC109" s="2">
        <v>231</v>
      </c>
      <c r="BD109" s="160">
        <v>41806</v>
      </c>
      <c r="BE109" s="2">
        <v>1</v>
      </c>
      <c r="BF109" s="55">
        <v>0</v>
      </c>
      <c r="BG109" s="2">
        <v>183</v>
      </c>
      <c r="BH109" s="2">
        <v>1</v>
      </c>
      <c r="BI109" s="2">
        <v>151</v>
      </c>
      <c r="BJ109" s="2">
        <v>55</v>
      </c>
      <c r="BK109" s="2">
        <v>48</v>
      </c>
      <c r="BL109" s="161">
        <v>966034.81481481495</v>
      </c>
      <c r="BM109" s="2" t="str">
        <f t="shared" si="1"/>
        <v>167/283</v>
      </c>
      <c r="BN109" s="142"/>
    </row>
    <row r="110" spans="1:66" x14ac:dyDescent="0.25">
      <c r="A110" s="2">
        <v>540173</v>
      </c>
      <c r="B110" s="2" t="s">
        <v>245</v>
      </c>
      <c r="C110" s="2" t="s">
        <v>73</v>
      </c>
      <c r="D110" s="2" t="s">
        <v>612</v>
      </c>
      <c r="E110" s="2" t="s">
        <v>616</v>
      </c>
      <c r="F110" s="2" t="s">
        <v>613</v>
      </c>
      <c r="G110" s="2">
        <v>3</v>
      </c>
      <c r="H110" s="2">
        <v>0</v>
      </c>
      <c r="I110" s="2">
        <v>2</v>
      </c>
      <c r="J110" s="2">
        <v>112.4</v>
      </c>
      <c r="K110" s="2">
        <v>12</v>
      </c>
      <c r="L110" s="55">
        <v>0</v>
      </c>
      <c r="M110" s="2">
        <v>118</v>
      </c>
      <c r="N110" s="2">
        <v>2</v>
      </c>
      <c r="O110" s="2">
        <v>72</v>
      </c>
      <c r="P110" s="156">
        <v>52323</v>
      </c>
      <c r="Q110" s="2">
        <v>188</v>
      </c>
      <c r="R110" s="157">
        <v>-0.63161085699999997</v>
      </c>
      <c r="S110" s="2">
        <v>213</v>
      </c>
      <c r="T110" s="158">
        <v>0.92999999999999994</v>
      </c>
      <c r="U110" s="2">
        <v>38</v>
      </c>
      <c r="V110" s="55">
        <v>1</v>
      </c>
      <c r="W110" s="2">
        <v>197</v>
      </c>
      <c r="X110" s="55">
        <v>9</v>
      </c>
      <c r="Y110" s="2">
        <v>182</v>
      </c>
      <c r="Z110" s="2">
        <v>13</v>
      </c>
      <c r="AA110" s="2">
        <v>78</v>
      </c>
      <c r="AB110" s="2">
        <v>3</v>
      </c>
      <c r="AC110" s="2">
        <v>149</v>
      </c>
      <c r="AD110" s="105">
        <v>3</v>
      </c>
      <c r="AE110" s="2">
        <v>213</v>
      </c>
      <c r="AF110" s="55">
        <v>3</v>
      </c>
      <c r="AG110" s="2">
        <v>152</v>
      </c>
      <c r="AH110" s="55">
        <v>0</v>
      </c>
      <c r="AI110" s="2">
        <v>135</v>
      </c>
      <c r="AJ110" s="55">
        <v>0.77490000000000003</v>
      </c>
      <c r="AK110" s="2">
        <v>265</v>
      </c>
      <c r="AL110" s="30">
        <v>42066</v>
      </c>
      <c r="AM110" s="2">
        <v>243</v>
      </c>
      <c r="AN110" s="2">
        <v>55</v>
      </c>
      <c r="AO110" s="2">
        <v>231</v>
      </c>
      <c r="AP110" s="2">
        <v>3</v>
      </c>
      <c r="AQ110" s="2">
        <v>149</v>
      </c>
      <c r="AR110" s="55">
        <v>3</v>
      </c>
      <c r="AS110" s="2">
        <v>152</v>
      </c>
      <c r="AT110" s="159">
        <v>0</v>
      </c>
      <c r="AU110" s="2">
        <v>81</v>
      </c>
      <c r="AV110" s="55">
        <v>0</v>
      </c>
      <c r="AW110" s="2">
        <v>194</v>
      </c>
      <c r="AX110" s="2" t="s">
        <v>615</v>
      </c>
      <c r="AY110" s="2">
        <v>999999</v>
      </c>
      <c r="AZ110" s="106">
        <v>0</v>
      </c>
      <c r="BA110" s="2">
        <v>14</v>
      </c>
      <c r="BB110" s="30">
        <v>40044</v>
      </c>
      <c r="BC110" s="2">
        <v>35</v>
      </c>
      <c r="BD110" s="160">
        <v>41806</v>
      </c>
      <c r="BE110" s="2">
        <v>1</v>
      </c>
      <c r="BF110" s="55">
        <v>1</v>
      </c>
      <c r="BG110" s="2">
        <v>1</v>
      </c>
      <c r="BH110" s="2">
        <v>2</v>
      </c>
      <c r="BI110" s="2">
        <v>68</v>
      </c>
      <c r="BJ110" s="2">
        <v>55</v>
      </c>
      <c r="BK110" s="2">
        <v>48</v>
      </c>
      <c r="BL110" s="161">
        <v>966071.4074074073</v>
      </c>
      <c r="BM110" s="2" t="str">
        <f t="shared" si="1"/>
        <v>174/283</v>
      </c>
      <c r="BN110" s="142"/>
    </row>
    <row r="111" spans="1:66" x14ac:dyDescent="0.25">
      <c r="A111" s="2">
        <v>540174</v>
      </c>
      <c r="B111" s="2" t="s">
        <v>246</v>
      </c>
      <c r="C111" s="2" t="s">
        <v>73</v>
      </c>
      <c r="D111" s="2" t="s">
        <v>612</v>
      </c>
      <c r="E111" s="2" t="s">
        <v>616</v>
      </c>
      <c r="F111" s="2" t="s">
        <v>613</v>
      </c>
      <c r="G111" s="2">
        <v>3</v>
      </c>
      <c r="H111" s="2">
        <v>0</v>
      </c>
      <c r="I111" s="2">
        <v>2</v>
      </c>
      <c r="J111" s="2">
        <v>112.4</v>
      </c>
      <c r="K111" s="2">
        <v>12</v>
      </c>
      <c r="L111" s="55">
        <v>0</v>
      </c>
      <c r="M111" s="2">
        <v>118</v>
      </c>
      <c r="N111" s="2">
        <v>2</v>
      </c>
      <c r="O111" s="2">
        <v>72</v>
      </c>
      <c r="P111" s="156">
        <v>52931</v>
      </c>
      <c r="Q111" s="2">
        <v>187</v>
      </c>
      <c r="R111" s="157">
        <v>-0.63161085699999997</v>
      </c>
      <c r="S111" s="2">
        <v>213</v>
      </c>
      <c r="T111" s="158">
        <v>0.92999999999999994</v>
      </c>
      <c r="U111" s="2">
        <v>38</v>
      </c>
      <c r="V111" s="55">
        <v>6</v>
      </c>
      <c r="W111" s="2">
        <v>113</v>
      </c>
      <c r="X111" s="55">
        <v>17</v>
      </c>
      <c r="Y111" s="2">
        <v>154</v>
      </c>
      <c r="Z111" s="2">
        <v>13</v>
      </c>
      <c r="AA111" s="2">
        <v>78</v>
      </c>
      <c r="AB111" s="2">
        <v>2</v>
      </c>
      <c r="AC111" s="2">
        <v>168</v>
      </c>
      <c r="AD111" s="105">
        <v>10</v>
      </c>
      <c r="AE111" s="2">
        <v>154</v>
      </c>
      <c r="AF111" s="55">
        <v>6</v>
      </c>
      <c r="AG111" s="2">
        <v>124</v>
      </c>
      <c r="AH111" s="55">
        <v>0</v>
      </c>
      <c r="AI111" s="2">
        <v>135</v>
      </c>
      <c r="AJ111" s="55">
        <v>0.77490000000000003</v>
      </c>
      <c r="AK111" s="2">
        <v>265</v>
      </c>
      <c r="AL111" s="30">
        <v>42066</v>
      </c>
      <c r="AM111" s="2">
        <v>243</v>
      </c>
      <c r="AN111" s="2">
        <v>55</v>
      </c>
      <c r="AO111" s="2">
        <v>231</v>
      </c>
      <c r="AP111" s="2">
        <v>2</v>
      </c>
      <c r="AQ111" s="2">
        <v>168</v>
      </c>
      <c r="AR111" s="55">
        <v>6</v>
      </c>
      <c r="AS111" s="2">
        <v>124</v>
      </c>
      <c r="AT111" s="159">
        <v>0</v>
      </c>
      <c r="AU111" s="2">
        <v>81</v>
      </c>
      <c r="AV111" s="55">
        <v>0</v>
      </c>
      <c r="AW111" s="2">
        <v>194</v>
      </c>
      <c r="AX111" s="2" t="s">
        <v>615</v>
      </c>
      <c r="AY111" s="2">
        <v>999999</v>
      </c>
      <c r="AZ111" s="106">
        <v>0</v>
      </c>
      <c r="BA111" s="2">
        <v>14</v>
      </c>
      <c r="BB111" s="30">
        <v>43411</v>
      </c>
      <c r="BC111" s="2">
        <v>231</v>
      </c>
      <c r="BD111" s="160">
        <v>41806</v>
      </c>
      <c r="BE111" s="2">
        <v>1</v>
      </c>
      <c r="BF111" s="55">
        <v>1</v>
      </c>
      <c r="BG111" s="2">
        <v>1</v>
      </c>
      <c r="BH111" s="2">
        <v>2</v>
      </c>
      <c r="BI111" s="2">
        <v>68</v>
      </c>
      <c r="BJ111" s="2">
        <v>55</v>
      </c>
      <c r="BK111" s="2">
        <v>48</v>
      </c>
      <c r="BL111" s="161">
        <v>966077.18518518517</v>
      </c>
      <c r="BM111" s="2" t="str">
        <f t="shared" si="1"/>
        <v>176/283</v>
      </c>
      <c r="BN111" s="142"/>
    </row>
    <row r="112" spans="1:66" x14ac:dyDescent="0.25">
      <c r="A112" s="162">
        <v>540188</v>
      </c>
      <c r="B112" s="162" t="s">
        <v>80</v>
      </c>
      <c r="C112" s="162" t="s">
        <v>81</v>
      </c>
      <c r="D112" s="162" t="s">
        <v>617</v>
      </c>
      <c r="E112" s="162" t="s">
        <v>616</v>
      </c>
      <c r="F112" s="162" t="s">
        <v>613</v>
      </c>
      <c r="G112" s="162">
        <v>3</v>
      </c>
      <c r="H112" s="162">
        <v>0</v>
      </c>
      <c r="I112" s="162">
        <v>2</v>
      </c>
      <c r="J112" s="162">
        <v>2.4</v>
      </c>
      <c r="K112" s="162">
        <v>237</v>
      </c>
      <c r="L112" s="163">
        <v>3</v>
      </c>
      <c r="M112" s="162">
        <v>77</v>
      </c>
      <c r="N112" s="162">
        <v>2</v>
      </c>
      <c r="O112" s="162">
        <v>72</v>
      </c>
      <c r="P112" s="164">
        <v>483547</v>
      </c>
      <c r="Q112" s="162">
        <v>100</v>
      </c>
      <c r="R112" s="165">
        <v>-0.534417684</v>
      </c>
      <c r="S112" s="162">
        <v>189</v>
      </c>
      <c r="T112" s="166">
        <v>0.89</v>
      </c>
      <c r="U112" s="162">
        <v>153</v>
      </c>
      <c r="V112" s="163">
        <v>12</v>
      </c>
      <c r="W112" s="162">
        <v>85</v>
      </c>
      <c r="X112" s="163">
        <v>36</v>
      </c>
      <c r="Y112" s="162">
        <v>116</v>
      </c>
      <c r="Z112" s="162">
        <v>11</v>
      </c>
      <c r="AA112" s="162">
        <v>155</v>
      </c>
      <c r="AB112" s="162">
        <v>8</v>
      </c>
      <c r="AC112" s="162">
        <v>109</v>
      </c>
      <c r="AD112" s="167">
        <v>19</v>
      </c>
      <c r="AE112" s="162">
        <v>122</v>
      </c>
      <c r="AF112" s="163">
        <v>11</v>
      </c>
      <c r="AG112" s="162">
        <v>101</v>
      </c>
      <c r="AH112" s="163">
        <v>1314</v>
      </c>
      <c r="AI112" s="162">
        <v>40</v>
      </c>
      <c r="AJ112" s="163">
        <v>0.44640000000000002</v>
      </c>
      <c r="AK112" s="162">
        <v>113</v>
      </c>
      <c r="AL112" s="168">
        <v>43145</v>
      </c>
      <c r="AM112" s="162">
        <v>26</v>
      </c>
      <c r="AN112" s="162">
        <v>3</v>
      </c>
      <c r="AO112" s="162">
        <v>57</v>
      </c>
      <c r="AP112" s="162">
        <v>8</v>
      </c>
      <c r="AQ112" s="162">
        <v>109</v>
      </c>
      <c r="AR112" s="163">
        <v>11</v>
      </c>
      <c r="AS112" s="162">
        <v>101</v>
      </c>
      <c r="AT112" s="169">
        <v>4.10958904109589</v>
      </c>
      <c r="AU112" s="162">
        <v>54</v>
      </c>
      <c r="AV112" s="163">
        <v>1</v>
      </c>
      <c r="AW112" s="162">
        <v>1</v>
      </c>
      <c r="AX112" s="162" t="s">
        <v>615</v>
      </c>
      <c r="AY112" s="162">
        <v>999999</v>
      </c>
      <c r="AZ112" s="170">
        <v>0</v>
      </c>
      <c r="BA112" s="162">
        <v>14</v>
      </c>
      <c r="BB112" s="168">
        <v>43389</v>
      </c>
      <c r="BC112" s="162">
        <v>225</v>
      </c>
      <c r="BD112" s="171">
        <v>41806</v>
      </c>
      <c r="BE112" s="162">
        <v>1</v>
      </c>
      <c r="BF112" s="163">
        <v>1</v>
      </c>
      <c r="BG112" s="162">
        <v>1</v>
      </c>
      <c r="BH112" s="162">
        <v>0</v>
      </c>
      <c r="BI112" s="162">
        <v>239</v>
      </c>
      <c r="BJ112" s="162">
        <v>3</v>
      </c>
      <c r="BK112" s="162">
        <v>219</v>
      </c>
      <c r="BL112" s="161">
        <v>965577.4074074073</v>
      </c>
      <c r="BM112" s="162" t="str">
        <f t="shared" si="1"/>
        <v>106/283</v>
      </c>
      <c r="BN112" s="142"/>
    </row>
    <row r="113" spans="1:66" x14ac:dyDescent="0.25">
      <c r="A113" s="2">
        <v>540196</v>
      </c>
      <c r="B113" s="2" t="s">
        <v>259</v>
      </c>
      <c r="C113" s="2" t="s">
        <v>624</v>
      </c>
      <c r="D113" s="2" t="s">
        <v>612</v>
      </c>
      <c r="E113" s="2" t="s">
        <v>616</v>
      </c>
      <c r="F113" s="2" t="s">
        <v>613</v>
      </c>
      <c r="G113" s="2">
        <v>3</v>
      </c>
      <c r="H113" s="2">
        <v>0</v>
      </c>
      <c r="I113" s="2">
        <v>2</v>
      </c>
      <c r="J113" s="2">
        <v>7.8333333349999998</v>
      </c>
      <c r="K113" s="2">
        <v>179</v>
      </c>
      <c r="L113" s="55">
        <v>0</v>
      </c>
      <c r="M113" s="2">
        <v>118</v>
      </c>
      <c r="N113" s="2">
        <v>2</v>
      </c>
      <c r="O113" s="2">
        <v>72</v>
      </c>
      <c r="P113" s="156">
        <v>0</v>
      </c>
      <c r="Q113" s="2">
        <v>248</v>
      </c>
      <c r="R113" s="157">
        <v>0.21121919499999997</v>
      </c>
      <c r="S113" s="2">
        <v>128</v>
      </c>
      <c r="T113" s="158">
        <v>0.9</v>
      </c>
      <c r="U113" s="2">
        <v>107</v>
      </c>
      <c r="V113" s="55">
        <v>2</v>
      </c>
      <c r="W113" s="2">
        <v>170</v>
      </c>
      <c r="X113" s="55">
        <v>1</v>
      </c>
      <c r="Y113" s="2">
        <v>237</v>
      </c>
      <c r="Z113" s="2">
        <v>15</v>
      </c>
      <c r="AA113" s="2">
        <v>44</v>
      </c>
      <c r="AB113" s="2">
        <v>0</v>
      </c>
      <c r="AC113" s="2">
        <v>222</v>
      </c>
      <c r="AD113" s="105">
        <v>3</v>
      </c>
      <c r="AE113" s="2">
        <v>213</v>
      </c>
      <c r="AF113" s="55">
        <v>0</v>
      </c>
      <c r="AG113" s="2">
        <v>184</v>
      </c>
      <c r="AH113" s="55">
        <v>294</v>
      </c>
      <c r="AI113" s="2">
        <v>86</v>
      </c>
      <c r="AJ113" s="55">
        <v>0.41469999999999996</v>
      </c>
      <c r="AK113" s="2">
        <v>101</v>
      </c>
      <c r="AL113" s="30">
        <v>43145</v>
      </c>
      <c r="AM113" s="2">
        <v>26</v>
      </c>
      <c r="AN113" s="2">
        <v>15</v>
      </c>
      <c r="AO113" s="2">
        <v>134</v>
      </c>
      <c r="AP113" s="2">
        <v>0</v>
      </c>
      <c r="AQ113" s="2">
        <v>222</v>
      </c>
      <c r="AR113" s="55">
        <v>0</v>
      </c>
      <c r="AS113" s="2">
        <v>184</v>
      </c>
      <c r="AT113" s="159">
        <v>8.5034013605442169</v>
      </c>
      <c r="AU113" s="2">
        <v>37</v>
      </c>
      <c r="AV113" s="55">
        <v>1</v>
      </c>
      <c r="AW113" s="2">
        <v>1</v>
      </c>
      <c r="AX113" s="2" t="s">
        <v>615</v>
      </c>
      <c r="AY113" s="2">
        <v>999999</v>
      </c>
      <c r="AZ113" s="106">
        <v>0</v>
      </c>
      <c r="BA113" s="2">
        <v>14</v>
      </c>
      <c r="BB113" s="30">
        <v>43040</v>
      </c>
      <c r="BC113" s="2">
        <v>160</v>
      </c>
      <c r="BD113" s="160">
        <v>41806</v>
      </c>
      <c r="BE113" s="2">
        <v>1</v>
      </c>
      <c r="BF113" s="55">
        <v>1</v>
      </c>
      <c r="BG113" s="2">
        <v>1</v>
      </c>
      <c r="BH113" s="2">
        <v>1</v>
      </c>
      <c r="BI113" s="2">
        <v>151</v>
      </c>
      <c r="BJ113" s="2">
        <v>15</v>
      </c>
      <c r="BK113" s="2">
        <v>130</v>
      </c>
      <c r="BL113" s="161">
        <v>966014.59259259247</v>
      </c>
      <c r="BM113" s="2" t="str">
        <f t="shared" si="1"/>
        <v>162/283</v>
      </c>
      <c r="BN113" s="142"/>
    </row>
    <row r="114" spans="1:66" x14ac:dyDescent="0.25">
      <c r="A114" s="2">
        <v>540219</v>
      </c>
      <c r="B114" s="2" t="s">
        <v>273</v>
      </c>
      <c r="C114" s="2" t="s">
        <v>95</v>
      </c>
      <c r="D114" s="2" t="s">
        <v>612</v>
      </c>
      <c r="E114" s="2" t="s">
        <v>616</v>
      </c>
      <c r="F114" s="2" t="s">
        <v>613</v>
      </c>
      <c r="G114" s="2">
        <v>3</v>
      </c>
      <c r="H114" s="2">
        <v>0</v>
      </c>
      <c r="I114" s="2">
        <v>2</v>
      </c>
      <c r="J114" s="2">
        <v>1.2</v>
      </c>
      <c r="K114" s="2">
        <v>259</v>
      </c>
      <c r="L114" s="55">
        <v>0</v>
      </c>
      <c r="M114" s="2">
        <v>118</v>
      </c>
      <c r="N114" s="2">
        <v>2</v>
      </c>
      <c r="O114" s="2">
        <v>72</v>
      </c>
      <c r="P114" s="156">
        <v>177452</v>
      </c>
      <c r="Q114" s="2">
        <v>139</v>
      </c>
      <c r="R114" s="157">
        <v>-0.152763335</v>
      </c>
      <c r="S114" s="2">
        <v>146</v>
      </c>
      <c r="T114" s="158">
        <v>0.9</v>
      </c>
      <c r="U114" s="2">
        <v>107</v>
      </c>
      <c r="V114" s="55">
        <v>1</v>
      </c>
      <c r="W114" s="2">
        <v>197</v>
      </c>
      <c r="X114" s="55">
        <v>34</v>
      </c>
      <c r="Y114" s="2">
        <v>117</v>
      </c>
      <c r="Z114" s="2">
        <v>14</v>
      </c>
      <c r="AA114" s="2">
        <v>59</v>
      </c>
      <c r="AB114" s="2">
        <v>17</v>
      </c>
      <c r="AC114" s="2">
        <v>81</v>
      </c>
      <c r="AD114" s="105">
        <v>50</v>
      </c>
      <c r="AE114" s="2">
        <v>78</v>
      </c>
      <c r="AF114" s="55">
        <v>10</v>
      </c>
      <c r="AG114" s="2">
        <v>108</v>
      </c>
      <c r="AH114" s="55">
        <v>0</v>
      </c>
      <c r="AI114" s="2">
        <v>135</v>
      </c>
      <c r="AJ114" s="55">
        <v>0.67879999999999996</v>
      </c>
      <c r="AK114" s="2">
        <v>224</v>
      </c>
      <c r="AL114" s="30">
        <v>42066</v>
      </c>
      <c r="AM114" s="2">
        <v>243</v>
      </c>
      <c r="AN114" s="2">
        <v>146</v>
      </c>
      <c r="AO114" s="2">
        <v>255</v>
      </c>
      <c r="AP114" s="2">
        <v>17</v>
      </c>
      <c r="AQ114" s="2">
        <v>81</v>
      </c>
      <c r="AR114" s="55">
        <v>10</v>
      </c>
      <c r="AS114" s="2">
        <v>108</v>
      </c>
      <c r="AT114" s="159">
        <v>0</v>
      </c>
      <c r="AU114" s="2">
        <v>81</v>
      </c>
      <c r="AV114" s="55">
        <v>0</v>
      </c>
      <c r="AW114" s="2">
        <v>194</v>
      </c>
      <c r="AX114" s="2" t="s">
        <v>615</v>
      </c>
      <c r="AY114" s="2">
        <v>999999</v>
      </c>
      <c r="AZ114" s="106">
        <v>0</v>
      </c>
      <c r="BA114" s="2">
        <v>14</v>
      </c>
      <c r="BB114" s="30">
        <v>40367</v>
      </c>
      <c r="BC114" s="2">
        <v>55</v>
      </c>
      <c r="BD114" s="160">
        <v>41806</v>
      </c>
      <c r="BE114" s="2">
        <v>1</v>
      </c>
      <c r="BF114" s="55">
        <v>1</v>
      </c>
      <c r="BG114" s="2">
        <v>1</v>
      </c>
      <c r="BH114" s="2">
        <v>0</v>
      </c>
      <c r="BI114" s="2">
        <v>239</v>
      </c>
      <c r="BJ114" s="2">
        <v>146</v>
      </c>
      <c r="BK114" s="2">
        <v>26</v>
      </c>
      <c r="BL114" s="161">
        <v>965983.77777777764</v>
      </c>
      <c r="BM114" s="2" t="str">
        <f t="shared" si="1"/>
        <v>159/283</v>
      </c>
      <c r="BN114" s="142"/>
    </row>
    <row r="115" spans="1:66" x14ac:dyDescent="0.25">
      <c r="A115" s="2">
        <v>540220</v>
      </c>
      <c r="B115" s="2" t="s">
        <v>274</v>
      </c>
      <c r="C115" s="2" t="s">
        <v>95</v>
      </c>
      <c r="D115" s="2" t="s">
        <v>612</v>
      </c>
      <c r="E115" s="2" t="s">
        <v>616</v>
      </c>
      <c r="F115" s="2" t="s">
        <v>613</v>
      </c>
      <c r="G115" s="2">
        <v>3</v>
      </c>
      <c r="H115" s="2">
        <v>0</v>
      </c>
      <c r="I115" s="2">
        <v>2</v>
      </c>
      <c r="J115" s="2">
        <v>1.2</v>
      </c>
      <c r="K115" s="2">
        <v>259</v>
      </c>
      <c r="L115" s="55">
        <v>4</v>
      </c>
      <c r="M115" s="2">
        <v>67</v>
      </c>
      <c r="N115" s="2">
        <v>2</v>
      </c>
      <c r="O115" s="2">
        <v>72</v>
      </c>
      <c r="P115" s="156">
        <v>629561</v>
      </c>
      <c r="Q115" s="2">
        <v>89</v>
      </c>
      <c r="R115" s="157">
        <v>-0.152763335</v>
      </c>
      <c r="S115" s="2">
        <v>146</v>
      </c>
      <c r="T115" s="158">
        <v>0.9</v>
      </c>
      <c r="U115" s="2">
        <v>107</v>
      </c>
      <c r="V115" s="55">
        <v>1</v>
      </c>
      <c r="W115" s="2">
        <v>197</v>
      </c>
      <c r="X115" s="55">
        <v>47</v>
      </c>
      <c r="Y115" s="2">
        <v>99</v>
      </c>
      <c r="Z115" s="2">
        <v>14</v>
      </c>
      <c r="AA115" s="2">
        <v>59</v>
      </c>
      <c r="AB115" s="2">
        <v>17</v>
      </c>
      <c r="AC115" s="2">
        <v>81</v>
      </c>
      <c r="AD115" s="105">
        <v>27</v>
      </c>
      <c r="AE115" s="2">
        <v>101</v>
      </c>
      <c r="AF115" s="55">
        <v>12</v>
      </c>
      <c r="AG115" s="2">
        <v>94</v>
      </c>
      <c r="AH115" s="55">
        <v>0</v>
      </c>
      <c r="AI115" s="2">
        <v>135</v>
      </c>
      <c r="AJ115" s="55">
        <v>0.67879999999999996</v>
      </c>
      <c r="AK115" s="2">
        <v>224</v>
      </c>
      <c r="AL115" s="30">
        <v>42066</v>
      </c>
      <c r="AM115" s="2">
        <v>243</v>
      </c>
      <c r="AN115" s="2">
        <v>146</v>
      </c>
      <c r="AO115" s="2">
        <v>255</v>
      </c>
      <c r="AP115" s="2">
        <v>17</v>
      </c>
      <c r="AQ115" s="2">
        <v>81</v>
      </c>
      <c r="AR115" s="55">
        <v>12</v>
      </c>
      <c r="AS115" s="2">
        <v>94</v>
      </c>
      <c r="AT115" s="159">
        <v>0</v>
      </c>
      <c r="AU115" s="2">
        <v>81</v>
      </c>
      <c r="AV115" s="55">
        <v>0</v>
      </c>
      <c r="AW115" s="2">
        <v>194</v>
      </c>
      <c r="AX115" s="2" t="s">
        <v>615</v>
      </c>
      <c r="AY115" s="2">
        <v>999999</v>
      </c>
      <c r="AZ115" s="106">
        <v>0</v>
      </c>
      <c r="BA115" s="2">
        <v>14</v>
      </c>
      <c r="BB115" s="30">
        <v>40367</v>
      </c>
      <c r="BC115" s="2">
        <v>55</v>
      </c>
      <c r="BD115" s="160">
        <v>41806</v>
      </c>
      <c r="BE115" s="2">
        <v>1</v>
      </c>
      <c r="BF115" s="55">
        <v>1</v>
      </c>
      <c r="BG115" s="2">
        <v>1</v>
      </c>
      <c r="BH115" s="2">
        <v>0</v>
      </c>
      <c r="BI115" s="2">
        <v>239</v>
      </c>
      <c r="BJ115" s="2">
        <v>146</v>
      </c>
      <c r="BK115" s="2">
        <v>26</v>
      </c>
      <c r="BL115" s="161">
        <v>965864.37037037034</v>
      </c>
      <c r="BM115" s="2" t="str">
        <f t="shared" si="1"/>
        <v>143/283</v>
      </c>
      <c r="BN115" s="142"/>
    </row>
    <row r="116" spans="1:66" x14ac:dyDescent="0.25">
      <c r="A116" s="2">
        <v>540015</v>
      </c>
      <c r="B116" s="2" t="s">
        <v>125</v>
      </c>
      <c r="C116" s="2" t="s">
        <v>11</v>
      </c>
      <c r="D116" s="2" t="s">
        <v>612</v>
      </c>
      <c r="E116" s="2" t="s">
        <v>616</v>
      </c>
      <c r="F116" s="2" t="s">
        <v>613</v>
      </c>
      <c r="G116" s="2">
        <v>3</v>
      </c>
      <c r="H116" s="2">
        <v>0</v>
      </c>
      <c r="I116" s="2">
        <v>2</v>
      </c>
      <c r="J116" s="2">
        <v>11.8</v>
      </c>
      <c r="K116" s="2">
        <v>170</v>
      </c>
      <c r="L116" s="55">
        <v>2</v>
      </c>
      <c r="M116" s="2">
        <v>84</v>
      </c>
      <c r="N116" s="2">
        <v>1</v>
      </c>
      <c r="O116" s="2">
        <v>115</v>
      </c>
      <c r="P116" s="156">
        <v>4004094</v>
      </c>
      <c r="Q116" s="2">
        <v>19</v>
      </c>
      <c r="R116" s="157">
        <v>3.0438956990000001</v>
      </c>
      <c r="S116" s="2">
        <v>12</v>
      </c>
      <c r="T116" s="158">
        <v>0.8</v>
      </c>
      <c r="U116" s="2">
        <v>258</v>
      </c>
      <c r="V116" s="55">
        <v>9</v>
      </c>
      <c r="W116" s="2">
        <v>99</v>
      </c>
      <c r="X116" s="55">
        <v>370</v>
      </c>
      <c r="Y116" s="2">
        <v>14</v>
      </c>
      <c r="Z116" s="2">
        <v>8</v>
      </c>
      <c r="AA116" s="2">
        <v>243</v>
      </c>
      <c r="AB116" s="2">
        <v>161</v>
      </c>
      <c r="AC116" s="2">
        <v>7</v>
      </c>
      <c r="AD116" s="105">
        <v>190</v>
      </c>
      <c r="AE116" s="2">
        <v>16</v>
      </c>
      <c r="AF116" s="55">
        <v>126</v>
      </c>
      <c r="AG116" s="2">
        <v>10</v>
      </c>
      <c r="AH116" s="55">
        <v>127</v>
      </c>
      <c r="AI116" s="2">
        <v>117</v>
      </c>
      <c r="AJ116" s="55">
        <v>0.26740000000000003</v>
      </c>
      <c r="AK116" s="2">
        <v>21</v>
      </c>
      <c r="AL116" s="30">
        <v>43145</v>
      </c>
      <c r="AM116" s="2">
        <v>26</v>
      </c>
      <c r="AN116" s="2">
        <v>18</v>
      </c>
      <c r="AO116" s="2">
        <v>156</v>
      </c>
      <c r="AP116" s="2">
        <v>161</v>
      </c>
      <c r="AQ116" s="2">
        <v>7</v>
      </c>
      <c r="AR116" s="55">
        <v>126</v>
      </c>
      <c r="AS116" s="2">
        <v>10</v>
      </c>
      <c r="AT116" s="159">
        <v>-62.99212598425197</v>
      </c>
      <c r="AU116" s="2">
        <v>282</v>
      </c>
      <c r="AV116" s="55">
        <v>0</v>
      </c>
      <c r="AW116" s="2">
        <v>194</v>
      </c>
      <c r="AX116" s="2" t="s">
        <v>615</v>
      </c>
      <c r="AY116" s="2">
        <v>999999</v>
      </c>
      <c r="AZ116" s="106">
        <v>0</v>
      </c>
      <c r="BA116" s="2">
        <v>14</v>
      </c>
      <c r="BB116" s="30">
        <v>43172</v>
      </c>
      <c r="BC116" s="2">
        <v>180</v>
      </c>
      <c r="BD116" s="160">
        <v>41848</v>
      </c>
      <c r="BE116" s="2">
        <v>29</v>
      </c>
      <c r="BF116" s="55">
        <v>0</v>
      </c>
      <c r="BG116" s="2">
        <v>183</v>
      </c>
      <c r="BH116" s="2">
        <v>4</v>
      </c>
      <c r="BI116" s="2">
        <v>34</v>
      </c>
      <c r="BJ116" s="2">
        <v>18</v>
      </c>
      <c r="BK116" s="2">
        <v>114</v>
      </c>
      <c r="BL116" s="161">
        <v>965286.59259259293</v>
      </c>
      <c r="BM116" s="2" t="str">
        <f t="shared" si="1"/>
        <v>72/283</v>
      </c>
      <c r="BN116" s="142"/>
    </row>
    <row r="117" spans="1:66" x14ac:dyDescent="0.25">
      <c r="A117" s="2">
        <v>540294</v>
      </c>
      <c r="B117" s="2" t="s">
        <v>331</v>
      </c>
      <c r="C117" s="2" t="s">
        <v>21</v>
      </c>
      <c r="D117" s="2" t="s">
        <v>612</v>
      </c>
      <c r="E117" s="2" t="s">
        <v>616</v>
      </c>
      <c r="F117" s="2" t="s">
        <v>613</v>
      </c>
      <c r="G117" s="2">
        <v>3</v>
      </c>
      <c r="H117" s="2">
        <v>0</v>
      </c>
      <c r="I117" s="2">
        <v>2</v>
      </c>
      <c r="J117" s="2">
        <v>36</v>
      </c>
      <c r="K117" s="2">
        <v>85</v>
      </c>
      <c r="L117" s="55">
        <v>0</v>
      </c>
      <c r="M117" s="2">
        <v>118</v>
      </c>
      <c r="N117" s="2">
        <v>1</v>
      </c>
      <c r="O117" s="2">
        <v>115</v>
      </c>
      <c r="P117" s="156">
        <v>88032</v>
      </c>
      <c r="Q117" s="2">
        <v>170</v>
      </c>
      <c r="R117" s="157">
        <v>-0.85845514599999995</v>
      </c>
      <c r="S117" s="2">
        <v>250</v>
      </c>
      <c r="T117" s="158">
        <v>0.91</v>
      </c>
      <c r="U117" s="2">
        <v>70</v>
      </c>
      <c r="V117" s="55">
        <v>3</v>
      </c>
      <c r="W117" s="2">
        <v>153</v>
      </c>
      <c r="X117" s="55">
        <v>9</v>
      </c>
      <c r="Y117" s="2">
        <v>182</v>
      </c>
      <c r="Z117" s="2">
        <v>11</v>
      </c>
      <c r="AA117" s="2">
        <v>155</v>
      </c>
      <c r="AB117" s="2">
        <v>0</v>
      </c>
      <c r="AC117" s="2">
        <v>222</v>
      </c>
      <c r="AD117" s="105">
        <v>7</v>
      </c>
      <c r="AE117" s="2">
        <v>179</v>
      </c>
      <c r="AF117" s="55">
        <v>3</v>
      </c>
      <c r="AG117" s="2">
        <v>152</v>
      </c>
      <c r="AH117" s="55">
        <v>0</v>
      </c>
      <c r="AI117" s="2">
        <v>135</v>
      </c>
      <c r="AJ117" s="55">
        <v>0.77170000000000005</v>
      </c>
      <c r="AK117" s="2">
        <v>255</v>
      </c>
      <c r="AL117" s="30">
        <v>42543</v>
      </c>
      <c r="AM117" s="2">
        <v>161</v>
      </c>
      <c r="AN117" s="2">
        <v>36</v>
      </c>
      <c r="AO117" s="2">
        <v>188</v>
      </c>
      <c r="AP117" s="2">
        <v>0</v>
      </c>
      <c r="AQ117" s="2">
        <v>222</v>
      </c>
      <c r="AR117" s="55">
        <v>3</v>
      </c>
      <c r="AS117" s="2">
        <v>152</v>
      </c>
      <c r="AT117" s="159">
        <v>0</v>
      </c>
      <c r="AU117" s="2">
        <v>81</v>
      </c>
      <c r="AV117" s="55">
        <v>1</v>
      </c>
      <c r="AW117" s="2">
        <v>1</v>
      </c>
      <c r="AX117" s="2" t="s">
        <v>615</v>
      </c>
      <c r="AY117" s="2">
        <v>999999</v>
      </c>
      <c r="AZ117" s="106">
        <v>0</v>
      </c>
      <c r="BA117" s="2">
        <v>14</v>
      </c>
      <c r="BB117" s="30">
        <v>42143</v>
      </c>
      <c r="BC117" s="2">
        <v>91</v>
      </c>
      <c r="BD117" s="160">
        <v>41806</v>
      </c>
      <c r="BE117" s="2">
        <v>1</v>
      </c>
      <c r="BF117" s="55">
        <v>1</v>
      </c>
      <c r="BG117" s="2">
        <v>1</v>
      </c>
      <c r="BH117" s="2">
        <v>2</v>
      </c>
      <c r="BI117" s="2">
        <v>68</v>
      </c>
      <c r="BJ117" s="2">
        <v>36</v>
      </c>
      <c r="BK117" s="2">
        <v>87</v>
      </c>
      <c r="BL117" s="161">
        <v>966147.48148148146</v>
      </c>
      <c r="BM117" s="2" t="str">
        <f t="shared" si="1"/>
        <v>187/283</v>
      </c>
      <c r="BN117" s="142"/>
    </row>
    <row r="118" spans="1:66" x14ac:dyDescent="0.25">
      <c r="A118" s="162">
        <v>540035</v>
      </c>
      <c r="B118" s="162" t="s">
        <v>22</v>
      </c>
      <c r="C118" s="162" t="s">
        <v>23</v>
      </c>
      <c r="D118" s="162" t="s">
        <v>617</v>
      </c>
      <c r="E118" s="162" t="s">
        <v>616</v>
      </c>
      <c r="F118" s="162" t="s">
        <v>613</v>
      </c>
      <c r="G118" s="162">
        <v>3</v>
      </c>
      <c r="H118" s="162">
        <v>0</v>
      </c>
      <c r="I118" s="162">
        <v>2</v>
      </c>
      <c r="J118" s="162">
        <v>5.4</v>
      </c>
      <c r="K118" s="162">
        <v>194</v>
      </c>
      <c r="L118" s="163">
        <v>6</v>
      </c>
      <c r="M118" s="162">
        <v>56</v>
      </c>
      <c r="N118" s="162">
        <v>1</v>
      </c>
      <c r="O118" s="162">
        <v>115</v>
      </c>
      <c r="P118" s="164">
        <v>1506153</v>
      </c>
      <c r="Q118" s="162">
        <v>56</v>
      </c>
      <c r="R118" s="165">
        <v>0.60482032799999996</v>
      </c>
      <c r="S118" s="162">
        <v>80</v>
      </c>
      <c r="T118" s="166">
        <v>0.89</v>
      </c>
      <c r="U118" s="162">
        <v>153</v>
      </c>
      <c r="V118" s="163">
        <v>44</v>
      </c>
      <c r="W118" s="162">
        <v>37</v>
      </c>
      <c r="X118" s="163">
        <v>159</v>
      </c>
      <c r="Y118" s="162">
        <v>44</v>
      </c>
      <c r="Z118" s="162">
        <v>15</v>
      </c>
      <c r="AA118" s="162">
        <v>44</v>
      </c>
      <c r="AB118" s="162">
        <v>34</v>
      </c>
      <c r="AC118" s="162">
        <v>52</v>
      </c>
      <c r="AD118" s="167">
        <v>78</v>
      </c>
      <c r="AE118" s="162">
        <v>54</v>
      </c>
      <c r="AF118" s="163">
        <v>49</v>
      </c>
      <c r="AG118" s="162">
        <v>35</v>
      </c>
      <c r="AH118" s="163">
        <v>1004</v>
      </c>
      <c r="AI118" s="162">
        <v>53</v>
      </c>
      <c r="AJ118" s="163">
        <v>0.75390000000000001</v>
      </c>
      <c r="AK118" s="162">
        <v>245</v>
      </c>
      <c r="AL118" s="168">
        <v>42543</v>
      </c>
      <c r="AM118" s="162">
        <v>161</v>
      </c>
      <c r="AN118" s="162">
        <v>0</v>
      </c>
      <c r="AO118" s="162">
        <v>1</v>
      </c>
      <c r="AP118" s="162">
        <v>34</v>
      </c>
      <c r="AQ118" s="162">
        <v>52</v>
      </c>
      <c r="AR118" s="163">
        <v>49</v>
      </c>
      <c r="AS118" s="162">
        <v>35</v>
      </c>
      <c r="AT118" s="169">
        <v>9.860557768924302</v>
      </c>
      <c r="AU118" s="162">
        <v>28</v>
      </c>
      <c r="AV118" s="163">
        <v>1</v>
      </c>
      <c r="AW118" s="162">
        <v>1</v>
      </c>
      <c r="AX118" s="162" t="s">
        <v>615</v>
      </c>
      <c r="AY118" s="162">
        <v>999999</v>
      </c>
      <c r="AZ118" s="170">
        <v>0</v>
      </c>
      <c r="BA118" s="162">
        <v>14</v>
      </c>
      <c r="BB118" s="168">
        <v>43452</v>
      </c>
      <c r="BC118" s="162">
        <v>249</v>
      </c>
      <c r="BD118" s="171">
        <v>43558</v>
      </c>
      <c r="BE118" s="162">
        <v>58</v>
      </c>
      <c r="BF118" s="163">
        <v>1</v>
      </c>
      <c r="BG118" s="162">
        <v>1</v>
      </c>
      <c r="BH118" s="162">
        <v>1</v>
      </c>
      <c r="BI118" s="162">
        <v>151</v>
      </c>
      <c r="BJ118" s="162">
        <v>0</v>
      </c>
      <c r="BK118" s="162">
        <v>249</v>
      </c>
      <c r="BL118" s="161">
        <v>965097.85185185168</v>
      </c>
      <c r="BM118" s="162" t="str">
        <f t="shared" si="1"/>
        <v>46/283</v>
      </c>
      <c r="BN118" s="142"/>
    </row>
    <row r="119" spans="1:66" x14ac:dyDescent="0.25">
      <c r="A119" s="162">
        <v>540053</v>
      </c>
      <c r="B119" s="162" t="s">
        <v>32</v>
      </c>
      <c r="C119" s="162" t="s">
        <v>33</v>
      </c>
      <c r="D119" s="162" t="s">
        <v>617</v>
      </c>
      <c r="E119" s="162" t="s">
        <v>616</v>
      </c>
      <c r="F119" s="162" t="s">
        <v>613</v>
      </c>
      <c r="G119" s="162">
        <v>3</v>
      </c>
      <c r="H119" s="162">
        <v>0</v>
      </c>
      <c r="I119" s="162">
        <v>2</v>
      </c>
      <c r="J119" s="162">
        <v>65.400000000000006</v>
      </c>
      <c r="K119" s="162">
        <v>56</v>
      </c>
      <c r="L119" s="163">
        <v>18</v>
      </c>
      <c r="M119" s="162">
        <v>20</v>
      </c>
      <c r="N119" s="162">
        <v>1</v>
      </c>
      <c r="O119" s="162">
        <v>115</v>
      </c>
      <c r="P119" s="164">
        <v>1281142</v>
      </c>
      <c r="Q119" s="162">
        <v>66</v>
      </c>
      <c r="R119" s="165">
        <v>-0.57059303299999997</v>
      </c>
      <c r="S119" s="162">
        <v>202</v>
      </c>
      <c r="T119" s="166">
        <v>0.9</v>
      </c>
      <c r="U119" s="162">
        <v>107</v>
      </c>
      <c r="V119" s="163">
        <v>75</v>
      </c>
      <c r="W119" s="162">
        <v>23</v>
      </c>
      <c r="X119" s="163">
        <v>169</v>
      </c>
      <c r="Y119" s="162">
        <v>41</v>
      </c>
      <c r="Z119" s="162">
        <v>13</v>
      </c>
      <c r="AA119" s="162">
        <v>78</v>
      </c>
      <c r="AB119" s="162">
        <v>51</v>
      </c>
      <c r="AC119" s="162">
        <v>36</v>
      </c>
      <c r="AD119" s="167">
        <v>143</v>
      </c>
      <c r="AE119" s="162">
        <v>30</v>
      </c>
      <c r="AF119" s="163">
        <v>49</v>
      </c>
      <c r="AG119" s="162">
        <v>35</v>
      </c>
      <c r="AH119" s="163">
        <v>4170</v>
      </c>
      <c r="AI119" s="162">
        <v>4</v>
      </c>
      <c r="AJ119" s="163">
        <v>0.40079999999999999</v>
      </c>
      <c r="AK119" s="162">
        <v>90</v>
      </c>
      <c r="AL119" s="168">
        <v>43145</v>
      </c>
      <c r="AM119" s="162">
        <v>26</v>
      </c>
      <c r="AN119" s="162">
        <v>26</v>
      </c>
      <c r="AO119" s="162">
        <v>174</v>
      </c>
      <c r="AP119" s="162">
        <v>51</v>
      </c>
      <c r="AQ119" s="162">
        <v>36</v>
      </c>
      <c r="AR119" s="163">
        <v>49</v>
      </c>
      <c r="AS119" s="162">
        <v>35</v>
      </c>
      <c r="AT119" s="169">
        <v>11.96642685851319</v>
      </c>
      <c r="AU119" s="162">
        <v>21</v>
      </c>
      <c r="AV119" s="163">
        <v>0</v>
      </c>
      <c r="AW119" s="162">
        <v>194</v>
      </c>
      <c r="AX119" s="162" t="s">
        <v>615</v>
      </c>
      <c r="AY119" s="162">
        <v>999999</v>
      </c>
      <c r="AZ119" s="170">
        <v>0</v>
      </c>
      <c r="BA119" s="162">
        <v>14</v>
      </c>
      <c r="BB119" s="168">
        <v>43032</v>
      </c>
      <c r="BC119" s="162">
        <v>156</v>
      </c>
      <c r="BD119" s="171">
        <v>43530</v>
      </c>
      <c r="BE119" s="162">
        <v>51</v>
      </c>
      <c r="BF119" s="163">
        <v>0</v>
      </c>
      <c r="BG119" s="162">
        <v>183</v>
      </c>
      <c r="BH119" s="162">
        <v>1</v>
      </c>
      <c r="BI119" s="162">
        <v>151</v>
      </c>
      <c r="BJ119" s="162">
        <v>26</v>
      </c>
      <c r="BK119" s="162">
        <v>100</v>
      </c>
      <c r="BL119" s="161">
        <v>964930.29629629629</v>
      </c>
      <c r="BM119" s="162" t="str">
        <f t="shared" si="1"/>
        <v>35/283</v>
      </c>
      <c r="BN119" s="142"/>
    </row>
    <row r="120" spans="1:66" x14ac:dyDescent="0.25">
      <c r="A120" s="162">
        <v>540088</v>
      </c>
      <c r="B120" s="162" t="s">
        <v>42</v>
      </c>
      <c r="C120" s="162" t="s">
        <v>43</v>
      </c>
      <c r="D120" s="162" t="s">
        <v>617</v>
      </c>
      <c r="E120" s="162" t="s">
        <v>616</v>
      </c>
      <c r="F120" s="162" t="s">
        <v>613</v>
      </c>
      <c r="G120" s="162">
        <v>3</v>
      </c>
      <c r="H120" s="162">
        <v>0</v>
      </c>
      <c r="I120" s="162">
        <v>2</v>
      </c>
      <c r="J120" s="162">
        <v>13.2</v>
      </c>
      <c r="K120" s="162">
        <v>165</v>
      </c>
      <c r="L120" s="163">
        <v>34</v>
      </c>
      <c r="M120" s="162">
        <v>7</v>
      </c>
      <c r="N120" s="162">
        <v>1</v>
      </c>
      <c r="O120" s="162">
        <v>115</v>
      </c>
      <c r="P120" s="164">
        <v>4042899</v>
      </c>
      <c r="Q120" s="162">
        <v>18</v>
      </c>
      <c r="R120" s="165">
        <v>0.58880869800000002</v>
      </c>
      <c r="S120" s="162">
        <v>88</v>
      </c>
      <c r="T120" s="166">
        <v>0.94</v>
      </c>
      <c r="U120" s="162">
        <v>11</v>
      </c>
      <c r="V120" s="163">
        <v>106</v>
      </c>
      <c r="W120" s="162">
        <v>13</v>
      </c>
      <c r="X120" s="163">
        <v>286</v>
      </c>
      <c r="Y120" s="162">
        <v>21</v>
      </c>
      <c r="Z120" s="162">
        <v>20</v>
      </c>
      <c r="AA120" s="162">
        <v>1</v>
      </c>
      <c r="AB120" s="162">
        <v>45</v>
      </c>
      <c r="AC120" s="162">
        <v>42</v>
      </c>
      <c r="AD120" s="167">
        <v>171</v>
      </c>
      <c r="AE120" s="162">
        <v>22</v>
      </c>
      <c r="AF120" s="163">
        <v>96</v>
      </c>
      <c r="AG120" s="162">
        <v>15</v>
      </c>
      <c r="AH120" s="163">
        <v>1184</v>
      </c>
      <c r="AI120" s="162">
        <v>44</v>
      </c>
      <c r="AJ120" s="163">
        <v>0.53300000000000003</v>
      </c>
      <c r="AK120" s="162">
        <v>156</v>
      </c>
      <c r="AL120" s="168">
        <v>43145</v>
      </c>
      <c r="AM120" s="162">
        <v>26</v>
      </c>
      <c r="AN120" s="162">
        <v>4</v>
      </c>
      <c r="AO120" s="162">
        <v>66</v>
      </c>
      <c r="AP120" s="162">
        <v>45</v>
      </c>
      <c r="AQ120" s="162">
        <v>42</v>
      </c>
      <c r="AR120" s="163">
        <v>96</v>
      </c>
      <c r="AS120" s="162">
        <v>15</v>
      </c>
      <c r="AT120" s="169">
        <v>-14.611486486486486</v>
      </c>
      <c r="AU120" s="162">
        <v>267</v>
      </c>
      <c r="AV120" s="163">
        <v>1</v>
      </c>
      <c r="AW120" s="162">
        <v>1</v>
      </c>
      <c r="AX120" s="162" t="s">
        <v>615</v>
      </c>
      <c r="AY120" s="162">
        <v>999999</v>
      </c>
      <c r="AZ120" s="170">
        <v>0</v>
      </c>
      <c r="BA120" s="162">
        <v>14</v>
      </c>
      <c r="BB120" s="168">
        <v>42586</v>
      </c>
      <c r="BC120" s="162">
        <v>111</v>
      </c>
      <c r="BD120" s="171">
        <v>42417</v>
      </c>
      <c r="BE120" s="162">
        <v>35</v>
      </c>
      <c r="BF120" s="163">
        <v>0</v>
      </c>
      <c r="BG120" s="162">
        <v>183</v>
      </c>
      <c r="BH120" s="162">
        <v>18</v>
      </c>
      <c r="BI120" s="162">
        <v>3</v>
      </c>
      <c r="BJ120" s="162">
        <v>4</v>
      </c>
      <c r="BK120" s="162">
        <v>204</v>
      </c>
      <c r="BL120" s="161">
        <v>964584.5925925927</v>
      </c>
      <c r="BM120" s="162" t="str">
        <f t="shared" si="1"/>
        <v>18/283</v>
      </c>
      <c r="BN120" s="142"/>
    </row>
    <row r="121" spans="1:66" x14ac:dyDescent="0.25">
      <c r="A121" s="2">
        <v>545535</v>
      </c>
      <c r="B121" s="2" t="s">
        <v>332</v>
      </c>
      <c r="C121" s="2" t="s">
        <v>111</v>
      </c>
      <c r="D121" s="2" t="s">
        <v>612</v>
      </c>
      <c r="E121" s="2" t="s">
        <v>616</v>
      </c>
      <c r="F121" s="2" t="s">
        <v>613</v>
      </c>
      <c r="G121" s="2">
        <v>3</v>
      </c>
      <c r="H121" s="2">
        <v>0</v>
      </c>
      <c r="I121" s="2">
        <v>2</v>
      </c>
      <c r="J121" s="2">
        <v>4</v>
      </c>
      <c r="K121" s="2">
        <v>210</v>
      </c>
      <c r="L121" s="55">
        <v>2</v>
      </c>
      <c r="M121" s="2">
        <v>84</v>
      </c>
      <c r="N121" s="2">
        <v>1</v>
      </c>
      <c r="O121" s="2">
        <v>115</v>
      </c>
      <c r="P121" s="156">
        <v>169538</v>
      </c>
      <c r="Q121" s="2">
        <v>143</v>
      </c>
      <c r="R121" s="157">
        <v>-0.456714493</v>
      </c>
      <c r="S121" s="2">
        <v>183</v>
      </c>
      <c r="T121" s="158">
        <v>0.9</v>
      </c>
      <c r="U121" s="2">
        <v>107</v>
      </c>
      <c r="V121" s="55">
        <v>2</v>
      </c>
      <c r="W121" s="2">
        <v>170</v>
      </c>
      <c r="X121" s="55">
        <v>49</v>
      </c>
      <c r="Y121" s="2">
        <v>91</v>
      </c>
      <c r="Z121" s="2">
        <v>18</v>
      </c>
      <c r="AA121" s="2">
        <v>4</v>
      </c>
      <c r="AB121" s="2">
        <v>0</v>
      </c>
      <c r="AC121" s="2">
        <v>222</v>
      </c>
      <c r="AD121" s="105">
        <v>9</v>
      </c>
      <c r="AE121" s="2">
        <v>160</v>
      </c>
      <c r="AF121" s="55">
        <v>6</v>
      </c>
      <c r="AG121" s="2">
        <v>124</v>
      </c>
      <c r="AH121" s="55">
        <v>101</v>
      </c>
      <c r="AI121" s="2">
        <v>124</v>
      </c>
      <c r="AJ121" s="55">
        <v>0.64470000000000005</v>
      </c>
      <c r="AK121" s="2">
        <v>214</v>
      </c>
      <c r="AL121" s="30">
        <v>43145</v>
      </c>
      <c r="AM121" s="2">
        <v>26</v>
      </c>
      <c r="AN121" s="2">
        <v>65</v>
      </c>
      <c r="AO121" s="2">
        <v>245</v>
      </c>
      <c r="AP121" s="2">
        <v>0</v>
      </c>
      <c r="AQ121" s="2">
        <v>222</v>
      </c>
      <c r="AR121" s="55">
        <v>6</v>
      </c>
      <c r="AS121" s="2">
        <v>124</v>
      </c>
      <c r="AT121" s="159">
        <v>-34.653465346534652</v>
      </c>
      <c r="AU121" s="2">
        <v>278</v>
      </c>
      <c r="AV121" s="55">
        <v>1</v>
      </c>
      <c r="AW121" s="2">
        <v>1</v>
      </c>
      <c r="AX121" s="2" t="s">
        <v>615</v>
      </c>
      <c r="AY121" s="2">
        <v>999999</v>
      </c>
      <c r="AZ121" s="106">
        <v>0</v>
      </c>
      <c r="BA121" s="2">
        <v>14</v>
      </c>
      <c r="BB121" s="30">
        <v>40709</v>
      </c>
      <c r="BC121" s="2">
        <v>66</v>
      </c>
      <c r="BD121" s="160">
        <v>43524</v>
      </c>
      <c r="BE121" s="2">
        <v>51</v>
      </c>
      <c r="BF121" s="55">
        <v>1</v>
      </c>
      <c r="BG121" s="2">
        <v>1</v>
      </c>
      <c r="BH121" s="2">
        <v>2</v>
      </c>
      <c r="BI121" s="2">
        <v>68</v>
      </c>
      <c r="BJ121" s="2">
        <v>65</v>
      </c>
      <c r="BK121" s="2">
        <v>34</v>
      </c>
      <c r="BL121" s="161">
        <v>965928.88888888888</v>
      </c>
      <c r="BM121" s="2" t="str">
        <f t="shared" si="1"/>
        <v>155/283</v>
      </c>
      <c r="BN121" s="142"/>
    </row>
    <row r="122" spans="1:66" x14ac:dyDescent="0.25">
      <c r="A122" s="2">
        <v>540095</v>
      </c>
      <c r="B122" s="2" t="s">
        <v>186</v>
      </c>
      <c r="C122" s="2" t="s">
        <v>111</v>
      </c>
      <c r="D122" s="2" t="s">
        <v>612</v>
      </c>
      <c r="E122" s="2" t="s">
        <v>616</v>
      </c>
      <c r="F122" s="2" t="s">
        <v>613</v>
      </c>
      <c r="G122" s="2">
        <v>3</v>
      </c>
      <c r="H122" s="2">
        <v>0</v>
      </c>
      <c r="I122" s="2">
        <v>2</v>
      </c>
      <c r="J122" s="2">
        <v>4</v>
      </c>
      <c r="K122" s="2">
        <v>210</v>
      </c>
      <c r="L122" s="55">
        <v>0</v>
      </c>
      <c r="M122" s="2">
        <v>118</v>
      </c>
      <c r="N122" s="2">
        <v>1</v>
      </c>
      <c r="O122" s="2">
        <v>115</v>
      </c>
      <c r="P122" s="156">
        <v>2361</v>
      </c>
      <c r="Q122" s="2">
        <v>237</v>
      </c>
      <c r="R122" s="157">
        <v>-0.456714493</v>
      </c>
      <c r="S122" s="2">
        <v>183</v>
      </c>
      <c r="T122" s="158">
        <v>0.9</v>
      </c>
      <c r="U122" s="2">
        <v>107</v>
      </c>
      <c r="V122" s="55">
        <v>2</v>
      </c>
      <c r="W122" s="2">
        <v>170</v>
      </c>
      <c r="X122" s="55">
        <v>8</v>
      </c>
      <c r="Y122" s="2">
        <v>188</v>
      </c>
      <c r="Z122" s="2">
        <v>18</v>
      </c>
      <c r="AA122" s="2">
        <v>4</v>
      </c>
      <c r="AB122" s="2">
        <v>1</v>
      </c>
      <c r="AC122" s="2">
        <v>186</v>
      </c>
      <c r="AD122" s="105">
        <v>10</v>
      </c>
      <c r="AE122" s="2">
        <v>154</v>
      </c>
      <c r="AF122" s="55">
        <v>0</v>
      </c>
      <c r="AG122" s="2">
        <v>184</v>
      </c>
      <c r="AH122" s="55">
        <v>0</v>
      </c>
      <c r="AI122" s="2">
        <v>135</v>
      </c>
      <c r="AJ122" s="55">
        <v>0.64470000000000005</v>
      </c>
      <c r="AK122" s="2">
        <v>214</v>
      </c>
      <c r="AL122" s="30">
        <v>43145</v>
      </c>
      <c r="AM122" s="2">
        <v>26</v>
      </c>
      <c r="AN122" s="2">
        <v>65</v>
      </c>
      <c r="AO122" s="2">
        <v>245</v>
      </c>
      <c r="AP122" s="2">
        <v>1</v>
      </c>
      <c r="AQ122" s="2">
        <v>186</v>
      </c>
      <c r="AR122" s="55">
        <v>0</v>
      </c>
      <c r="AS122" s="2">
        <v>184</v>
      </c>
      <c r="AT122" s="159">
        <v>0</v>
      </c>
      <c r="AU122" s="2">
        <v>81</v>
      </c>
      <c r="AV122" s="55">
        <v>1</v>
      </c>
      <c r="AW122" s="2">
        <v>1</v>
      </c>
      <c r="AX122" s="2" t="s">
        <v>615</v>
      </c>
      <c r="AY122" s="2">
        <v>999999</v>
      </c>
      <c r="AZ122" s="106">
        <v>0</v>
      </c>
      <c r="BA122" s="2">
        <v>14</v>
      </c>
      <c r="BB122" s="30">
        <v>43299</v>
      </c>
      <c r="BC122" s="2">
        <v>217</v>
      </c>
      <c r="BD122" s="160">
        <v>43524</v>
      </c>
      <c r="BE122" s="2">
        <v>51</v>
      </c>
      <c r="BF122" s="55">
        <v>1</v>
      </c>
      <c r="BG122" s="2">
        <v>1</v>
      </c>
      <c r="BH122" s="2">
        <v>2</v>
      </c>
      <c r="BI122" s="2">
        <v>68</v>
      </c>
      <c r="BJ122" s="2">
        <v>65</v>
      </c>
      <c r="BK122" s="2">
        <v>34</v>
      </c>
      <c r="BL122" s="161">
        <v>966152.29629629629</v>
      </c>
      <c r="BM122" s="2" t="str">
        <f t="shared" si="1"/>
        <v>190/283</v>
      </c>
      <c r="BN122" s="142"/>
    </row>
    <row r="123" spans="1:66" x14ac:dyDescent="0.25">
      <c r="A123" s="2">
        <v>540102</v>
      </c>
      <c r="B123" s="2" t="s">
        <v>191</v>
      </c>
      <c r="C123" s="2" t="s">
        <v>45</v>
      </c>
      <c r="D123" s="2" t="s">
        <v>612</v>
      </c>
      <c r="E123" s="2" t="s">
        <v>616</v>
      </c>
      <c r="F123" s="2" t="s">
        <v>613</v>
      </c>
      <c r="G123" s="2">
        <v>3</v>
      </c>
      <c r="H123" s="2">
        <v>0</v>
      </c>
      <c r="I123" s="2">
        <v>2</v>
      </c>
      <c r="J123" s="2">
        <v>13.4</v>
      </c>
      <c r="K123" s="2">
        <v>146</v>
      </c>
      <c r="L123" s="55">
        <v>0</v>
      </c>
      <c r="M123" s="2">
        <v>118</v>
      </c>
      <c r="N123" s="2">
        <v>1</v>
      </c>
      <c r="O123" s="2">
        <v>115</v>
      </c>
      <c r="P123" s="156">
        <v>16118</v>
      </c>
      <c r="Q123" s="2">
        <v>215</v>
      </c>
      <c r="R123" s="157">
        <v>-0.439666047</v>
      </c>
      <c r="S123" s="2">
        <v>171</v>
      </c>
      <c r="T123" s="158">
        <v>0.86</v>
      </c>
      <c r="U123" s="2">
        <v>191</v>
      </c>
      <c r="V123" s="55">
        <v>1</v>
      </c>
      <c r="W123" s="2">
        <v>197</v>
      </c>
      <c r="X123" s="55">
        <v>4</v>
      </c>
      <c r="Y123" s="2">
        <v>211</v>
      </c>
      <c r="Z123" s="2">
        <v>11</v>
      </c>
      <c r="AA123" s="2">
        <v>155</v>
      </c>
      <c r="AB123" s="2">
        <v>1</v>
      </c>
      <c r="AC123" s="2">
        <v>186</v>
      </c>
      <c r="AD123" s="105">
        <v>1</v>
      </c>
      <c r="AE123" s="2">
        <v>242</v>
      </c>
      <c r="AF123" s="55">
        <v>0</v>
      </c>
      <c r="AG123" s="2">
        <v>184</v>
      </c>
      <c r="AH123" s="55">
        <v>0</v>
      </c>
      <c r="AI123" s="2">
        <v>135</v>
      </c>
      <c r="AJ123" s="55">
        <v>0.34639999999999999</v>
      </c>
      <c r="AK123" s="2">
        <v>49</v>
      </c>
      <c r="AL123" s="30">
        <v>42944</v>
      </c>
      <c r="AM123" s="2">
        <v>135</v>
      </c>
      <c r="AN123" s="2">
        <v>15</v>
      </c>
      <c r="AO123" s="2">
        <v>134</v>
      </c>
      <c r="AP123" s="2">
        <v>1</v>
      </c>
      <c r="AQ123" s="2">
        <v>186</v>
      </c>
      <c r="AR123" s="55">
        <v>0</v>
      </c>
      <c r="AS123" s="2">
        <v>184</v>
      </c>
      <c r="AT123" s="159">
        <v>0</v>
      </c>
      <c r="AU123" s="2">
        <v>81</v>
      </c>
      <c r="AV123" s="55">
        <v>1</v>
      </c>
      <c r="AW123" s="2">
        <v>1</v>
      </c>
      <c r="AX123" s="2" t="s">
        <v>615</v>
      </c>
      <c r="AY123" s="2">
        <v>999999</v>
      </c>
      <c r="AZ123" s="106">
        <v>0</v>
      </c>
      <c r="BA123" s="2">
        <v>14</v>
      </c>
      <c r="BB123" s="30">
        <v>33178</v>
      </c>
      <c r="BC123" s="2">
        <v>10</v>
      </c>
      <c r="BD123" s="160">
        <v>41806</v>
      </c>
      <c r="BE123" s="2">
        <v>1</v>
      </c>
      <c r="BF123" s="55">
        <v>1</v>
      </c>
      <c r="BG123" s="2">
        <v>1</v>
      </c>
      <c r="BH123" s="2">
        <v>1</v>
      </c>
      <c r="BI123" s="2">
        <v>151</v>
      </c>
      <c r="BJ123" s="2">
        <v>15</v>
      </c>
      <c r="BK123" s="2">
        <v>130</v>
      </c>
      <c r="BL123" s="161">
        <v>966181.18518518528</v>
      </c>
      <c r="BM123" s="2" t="str">
        <f t="shared" si="1"/>
        <v>195/283</v>
      </c>
      <c r="BN123" s="142"/>
    </row>
    <row r="124" spans="1:66" x14ac:dyDescent="0.25">
      <c r="A124" s="162">
        <v>540107</v>
      </c>
      <c r="B124" s="162" t="s">
        <v>46</v>
      </c>
      <c r="C124" s="162" t="s">
        <v>47</v>
      </c>
      <c r="D124" s="162" t="s">
        <v>617</v>
      </c>
      <c r="E124" s="162" t="s">
        <v>616</v>
      </c>
      <c r="F124" s="162" t="s">
        <v>613</v>
      </c>
      <c r="G124" s="162">
        <v>3</v>
      </c>
      <c r="H124" s="162">
        <v>0</v>
      </c>
      <c r="I124" s="162">
        <v>2</v>
      </c>
      <c r="J124" s="162">
        <v>1.4</v>
      </c>
      <c r="K124" s="162">
        <v>250</v>
      </c>
      <c r="L124" s="163">
        <v>11</v>
      </c>
      <c r="M124" s="162">
        <v>35</v>
      </c>
      <c r="N124" s="162">
        <v>1</v>
      </c>
      <c r="O124" s="162">
        <v>115</v>
      </c>
      <c r="P124" s="164">
        <v>1348790</v>
      </c>
      <c r="Q124" s="162">
        <v>63</v>
      </c>
      <c r="R124" s="165">
        <v>-0.18995964400000001</v>
      </c>
      <c r="S124" s="162">
        <v>150</v>
      </c>
      <c r="T124" s="166">
        <v>0.86</v>
      </c>
      <c r="U124" s="162">
        <v>191</v>
      </c>
      <c r="V124" s="163">
        <v>46</v>
      </c>
      <c r="W124" s="162">
        <v>35</v>
      </c>
      <c r="X124" s="163">
        <v>247</v>
      </c>
      <c r="Y124" s="162">
        <v>30</v>
      </c>
      <c r="Z124" s="162">
        <v>12</v>
      </c>
      <c r="AA124" s="162">
        <v>133</v>
      </c>
      <c r="AB124" s="162">
        <v>65</v>
      </c>
      <c r="AC124" s="162">
        <v>24</v>
      </c>
      <c r="AD124" s="167">
        <v>122</v>
      </c>
      <c r="AE124" s="162">
        <v>36</v>
      </c>
      <c r="AF124" s="163">
        <v>72</v>
      </c>
      <c r="AG124" s="162">
        <v>24</v>
      </c>
      <c r="AH124" s="163">
        <v>1599</v>
      </c>
      <c r="AI124" s="162">
        <v>32</v>
      </c>
      <c r="AJ124" s="163">
        <v>0.18820000000000001</v>
      </c>
      <c r="AK124" s="162">
        <v>8</v>
      </c>
      <c r="AL124" s="168">
        <v>43145</v>
      </c>
      <c r="AM124" s="162">
        <v>26</v>
      </c>
      <c r="AN124" s="162">
        <v>3</v>
      </c>
      <c r="AO124" s="162">
        <v>57</v>
      </c>
      <c r="AP124" s="162">
        <v>65</v>
      </c>
      <c r="AQ124" s="162">
        <v>24</v>
      </c>
      <c r="AR124" s="163">
        <v>72</v>
      </c>
      <c r="AS124" s="162">
        <v>24</v>
      </c>
      <c r="AT124" s="169">
        <v>-10.756722951844903</v>
      </c>
      <c r="AU124" s="162">
        <v>262</v>
      </c>
      <c r="AV124" s="163">
        <v>1</v>
      </c>
      <c r="AW124" s="162">
        <v>1</v>
      </c>
      <c r="AX124" s="162" t="s">
        <v>615</v>
      </c>
      <c r="AY124" s="162">
        <v>999999</v>
      </c>
      <c r="AZ124" s="170">
        <v>0</v>
      </c>
      <c r="BA124" s="162">
        <v>14</v>
      </c>
      <c r="BB124" s="168">
        <v>43151</v>
      </c>
      <c r="BC124" s="162">
        <v>177</v>
      </c>
      <c r="BD124" s="171">
        <v>41806</v>
      </c>
      <c r="BE124" s="162">
        <v>1</v>
      </c>
      <c r="BF124" s="163">
        <v>1</v>
      </c>
      <c r="BG124" s="162">
        <v>1</v>
      </c>
      <c r="BH124" s="162">
        <v>1</v>
      </c>
      <c r="BI124" s="162">
        <v>151</v>
      </c>
      <c r="BJ124" s="162">
        <v>3</v>
      </c>
      <c r="BK124" s="162">
        <v>219</v>
      </c>
      <c r="BL124" s="161">
        <v>964967.85185185191</v>
      </c>
      <c r="BM124" s="162" t="str">
        <f t="shared" si="1"/>
        <v>38/283</v>
      </c>
      <c r="BN124" s="142"/>
    </row>
    <row r="125" spans="1:66" x14ac:dyDescent="0.25">
      <c r="A125" s="2">
        <v>540119</v>
      </c>
      <c r="B125" s="2" t="s">
        <v>205</v>
      </c>
      <c r="C125" s="2" t="s">
        <v>51</v>
      </c>
      <c r="D125" s="2" t="s">
        <v>612</v>
      </c>
      <c r="E125" s="2" t="s">
        <v>616</v>
      </c>
      <c r="F125" s="2" t="s">
        <v>613</v>
      </c>
      <c r="G125" s="2">
        <v>3</v>
      </c>
      <c r="H125" s="2">
        <v>0</v>
      </c>
      <c r="I125" s="2">
        <v>2</v>
      </c>
      <c r="J125" s="2">
        <v>7.8</v>
      </c>
      <c r="K125" s="2">
        <v>180</v>
      </c>
      <c r="L125" s="55">
        <v>0</v>
      </c>
      <c r="M125" s="2">
        <v>118</v>
      </c>
      <c r="N125" s="2">
        <v>1</v>
      </c>
      <c r="O125" s="2">
        <v>115</v>
      </c>
      <c r="P125" s="156">
        <v>299256</v>
      </c>
      <c r="Q125" s="2">
        <v>117</v>
      </c>
      <c r="R125" s="157">
        <v>1.5608767809999999</v>
      </c>
      <c r="S125" s="2">
        <v>39</v>
      </c>
      <c r="T125" s="158">
        <v>0.91</v>
      </c>
      <c r="U125" s="2">
        <v>70</v>
      </c>
      <c r="V125" s="55">
        <v>0</v>
      </c>
      <c r="W125" s="2">
        <v>230</v>
      </c>
      <c r="X125" s="55">
        <v>34</v>
      </c>
      <c r="Y125" s="2">
        <v>117</v>
      </c>
      <c r="Z125" s="2">
        <v>13</v>
      </c>
      <c r="AA125" s="2">
        <v>78</v>
      </c>
      <c r="AB125" s="2">
        <v>1</v>
      </c>
      <c r="AC125" s="2">
        <v>186</v>
      </c>
      <c r="AD125" s="105">
        <v>1</v>
      </c>
      <c r="AE125" s="2">
        <v>242</v>
      </c>
      <c r="AF125" s="55">
        <v>4</v>
      </c>
      <c r="AG125" s="2">
        <v>142</v>
      </c>
      <c r="AH125" s="55">
        <v>0</v>
      </c>
      <c r="AI125" s="2">
        <v>135</v>
      </c>
      <c r="AJ125" s="55">
        <v>0.93889999999999996</v>
      </c>
      <c r="AK125" s="2">
        <v>273</v>
      </c>
      <c r="AL125" s="30">
        <v>42066</v>
      </c>
      <c r="AM125" s="2">
        <v>243</v>
      </c>
      <c r="AN125" s="2">
        <v>202</v>
      </c>
      <c r="AO125" s="2">
        <v>273</v>
      </c>
      <c r="AP125" s="2">
        <v>1</v>
      </c>
      <c r="AQ125" s="2">
        <v>186</v>
      </c>
      <c r="AR125" s="55">
        <v>4</v>
      </c>
      <c r="AS125" s="2">
        <v>142</v>
      </c>
      <c r="AT125" s="159">
        <v>0</v>
      </c>
      <c r="AU125" s="2">
        <v>81</v>
      </c>
      <c r="AV125" s="55">
        <v>0</v>
      </c>
      <c r="AW125" s="2">
        <v>194</v>
      </c>
      <c r="AX125" s="2" t="s">
        <v>615</v>
      </c>
      <c r="AY125" s="2">
        <v>999999</v>
      </c>
      <c r="AZ125" s="106">
        <v>0</v>
      </c>
      <c r="BA125" s="2">
        <v>14</v>
      </c>
      <c r="BB125" s="30">
        <v>40366</v>
      </c>
      <c r="BC125" s="2">
        <v>45</v>
      </c>
      <c r="BD125" s="160">
        <v>41806</v>
      </c>
      <c r="BE125" s="2">
        <v>1</v>
      </c>
      <c r="BF125" s="55">
        <v>0</v>
      </c>
      <c r="BG125" s="2">
        <v>183</v>
      </c>
      <c r="BH125" s="2">
        <v>2</v>
      </c>
      <c r="BI125" s="2">
        <v>68</v>
      </c>
      <c r="BJ125" s="2">
        <v>202</v>
      </c>
      <c r="BK125" s="2">
        <v>1</v>
      </c>
      <c r="BL125" s="161">
        <v>966306.37037037045</v>
      </c>
      <c r="BM125" s="2" t="str">
        <f t="shared" si="1"/>
        <v>215/283</v>
      </c>
      <c r="BN125" s="142"/>
    </row>
    <row r="126" spans="1:66" x14ac:dyDescent="0.25">
      <c r="A126" s="2">
        <v>540120</v>
      </c>
      <c r="B126" s="2" t="s">
        <v>206</v>
      </c>
      <c r="C126" s="2" t="s">
        <v>51</v>
      </c>
      <c r="D126" s="2" t="s">
        <v>612</v>
      </c>
      <c r="E126" s="2" t="s">
        <v>616</v>
      </c>
      <c r="F126" s="2" t="s">
        <v>613</v>
      </c>
      <c r="G126" s="2">
        <v>3</v>
      </c>
      <c r="H126" s="2">
        <v>0</v>
      </c>
      <c r="I126" s="2">
        <v>2</v>
      </c>
      <c r="J126" s="2">
        <v>7.8</v>
      </c>
      <c r="K126" s="2">
        <v>180</v>
      </c>
      <c r="L126" s="55">
        <v>2</v>
      </c>
      <c r="M126" s="2">
        <v>84</v>
      </c>
      <c r="N126" s="2">
        <v>1</v>
      </c>
      <c r="O126" s="2">
        <v>115</v>
      </c>
      <c r="P126" s="156">
        <v>816572</v>
      </c>
      <c r="Q126" s="2">
        <v>77</v>
      </c>
      <c r="R126" s="157">
        <v>1.5608767809999999</v>
      </c>
      <c r="S126" s="2">
        <v>39</v>
      </c>
      <c r="T126" s="158">
        <v>0.91</v>
      </c>
      <c r="U126" s="2">
        <v>70</v>
      </c>
      <c r="V126" s="55">
        <v>1</v>
      </c>
      <c r="W126" s="2">
        <v>197</v>
      </c>
      <c r="X126" s="55">
        <v>46</v>
      </c>
      <c r="Y126" s="2">
        <v>102</v>
      </c>
      <c r="Z126" s="2">
        <v>13</v>
      </c>
      <c r="AA126" s="2">
        <v>78</v>
      </c>
      <c r="AB126" s="2">
        <v>2</v>
      </c>
      <c r="AC126" s="2">
        <v>168</v>
      </c>
      <c r="AD126" s="105">
        <v>7</v>
      </c>
      <c r="AE126" s="2">
        <v>179</v>
      </c>
      <c r="AF126" s="55">
        <v>15</v>
      </c>
      <c r="AG126" s="2">
        <v>81</v>
      </c>
      <c r="AH126" s="55">
        <v>0</v>
      </c>
      <c r="AI126" s="2">
        <v>135</v>
      </c>
      <c r="AJ126" s="55">
        <v>0.93889999999999996</v>
      </c>
      <c r="AK126" s="2">
        <v>273</v>
      </c>
      <c r="AL126" s="30">
        <v>42066</v>
      </c>
      <c r="AM126" s="2">
        <v>243</v>
      </c>
      <c r="AN126" s="2">
        <v>202</v>
      </c>
      <c r="AO126" s="2">
        <v>273</v>
      </c>
      <c r="AP126" s="2">
        <v>2</v>
      </c>
      <c r="AQ126" s="2">
        <v>168</v>
      </c>
      <c r="AR126" s="55">
        <v>15</v>
      </c>
      <c r="AS126" s="2">
        <v>81</v>
      </c>
      <c r="AT126" s="159">
        <v>0</v>
      </c>
      <c r="AU126" s="2">
        <v>81</v>
      </c>
      <c r="AV126" s="55">
        <v>0</v>
      </c>
      <c r="AW126" s="2">
        <v>194</v>
      </c>
      <c r="AX126" s="2" t="s">
        <v>615</v>
      </c>
      <c r="AY126" s="2">
        <v>999999</v>
      </c>
      <c r="AZ126" s="106">
        <v>0</v>
      </c>
      <c r="BA126" s="2">
        <v>14</v>
      </c>
      <c r="BB126" s="30">
        <v>40366</v>
      </c>
      <c r="BC126" s="2">
        <v>45</v>
      </c>
      <c r="BD126" s="160">
        <v>41806</v>
      </c>
      <c r="BE126" s="2">
        <v>1</v>
      </c>
      <c r="BF126" s="55">
        <v>1</v>
      </c>
      <c r="BG126" s="2">
        <v>1</v>
      </c>
      <c r="BH126" s="2">
        <v>2</v>
      </c>
      <c r="BI126" s="2">
        <v>68</v>
      </c>
      <c r="BJ126" s="2">
        <v>202</v>
      </c>
      <c r="BK126" s="2">
        <v>1</v>
      </c>
      <c r="BL126" s="161">
        <v>965800.81481481472</v>
      </c>
      <c r="BM126" s="2" t="str">
        <f t="shared" si="1"/>
        <v>134/283</v>
      </c>
      <c r="BN126" s="142"/>
    </row>
    <row r="127" spans="1:66" x14ac:dyDescent="0.25">
      <c r="A127" s="2">
        <v>540140</v>
      </c>
      <c r="B127" s="2" t="s">
        <v>222</v>
      </c>
      <c r="C127" s="2" t="s">
        <v>59</v>
      </c>
      <c r="D127" s="2" t="s">
        <v>612</v>
      </c>
      <c r="E127" s="2" t="s">
        <v>616</v>
      </c>
      <c r="F127" s="2" t="s">
        <v>613</v>
      </c>
      <c r="G127" s="2">
        <v>3</v>
      </c>
      <c r="H127" s="2">
        <v>0</v>
      </c>
      <c r="I127" s="2">
        <v>2</v>
      </c>
      <c r="J127" s="2">
        <v>33.200000000000003</v>
      </c>
      <c r="K127" s="2">
        <v>95</v>
      </c>
      <c r="L127" s="55">
        <v>2</v>
      </c>
      <c r="M127" s="2">
        <v>84</v>
      </c>
      <c r="N127" s="2">
        <v>1</v>
      </c>
      <c r="O127" s="2">
        <v>115</v>
      </c>
      <c r="P127" s="156">
        <v>54004</v>
      </c>
      <c r="Q127" s="2">
        <v>185</v>
      </c>
      <c r="R127" s="157">
        <v>-0.74558806099999997</v>
      </c>
      <c r="S127" s="2">
        <v>234</v>
      </c>
      <c r="T127" s="158">
        <v>0.89</v>
      </c>
      <c r="U127" s="2">
        <v>153</v>
      </c>
      <c r="V127" s="55">
        <v>0</v>
      </c>
      <c r="W127" s="2">
        <v>230</v>
      </c>
      <c r="X127" s="55">
        <v>8</v>
      </c>
      <c r="Y127" s="2">
        <v>188</v>
      </c>
      <c r="Z127" s="2">
        <v>11</v>
      </c>
      <c r="AA127" s="2">
        <v>155</v>
      </c>
      <c r="AB127" s="2">
        <v>0</v>
      </c>
      <c r="AC127" s="2">
        <v>222</v>
      </c>
      <c r="AD127" s="105">
        <v>3</v>
      </c>
      <c r="AE127" s="2">
        <v>213</v>
      </c>
      <c r="AF127" s="55">
        <v>2</v>
      </c>
      <c r="AG127" s="2">
        <v>164</v>
      </c>
      <c r="AH127" s="55">
        <v>0</v>
      </c>
      <c r="AI127" s="2">
        <v>135</v>
      </c>
      <c r="AJ127" s="55">
        <v>0.35560000000000003</v>
      </c>
      <c r="AK127" s="2">
        <v>61</v>
      </c>
      <c r="AL127" s="30">
        <v>43145</v>
      </c>
      <c r="AM127" s="2">
        <v>26</v>
      </c>
      <c r="AN127" s="2">
        <v>11</v>
      </c>
      <c r="AO127" s="2">
        <v>113</v>
      </c>
      <c r="AP127" s="2">
        <v>0</v>
      </c>
      <c r="AQ127" s="2">
        <v>222</v>
      </c>
      <c r="AR127" s="55">
        <v>2</v>
      </c>
      <c r="AS127" s="2">
        <v>164</v>
      </c>
      <c r="AT127" s="159">
        <v>0</v>
      </c>
      <c r="AU127" s="2">
        <v>81</v>
      </c>
      <c r="AV127" s="55">
        <v>0</v>
      </c>
      <c r="AW127" s="2">
        <v>194</v>
      </c>
      <c r="AX127" s="2" t="s">
        <v>615</v>
      </c>
      <c r="AY127" s="2">
        <v>999999</v>
      </c>
      <c r="AZ127" s="106">
        <v>0</v>
      </c>
      <c r="BA127" s="2">
        <v>14</v>
      </c>
      <c r="BB127" s="30">
        <v>39707</v>
      </c>
      <c r="BC127" s="2">
        <v>31</v>
      </c>
      <c r="BD127" s="160">
        <v>41806</v>
      </c>
      <c r="BE127" s="2">
        <v>1</v>
      </c>
      <c r="BF127" s="55">
        <v>1</v>
      </c>
      <c r="BG127" s="2">
        <v>1</v>
      </c>
      <c r="BH127" s="2">
        <v>1</v>
      </c>
      <c r="BI127" s="2">
        <v>151</v>
      </c>
      <c r="BJ127" s="2">
        <v>11</v>
      </c>
      <c r="BK127" s="2">
        <v>160</v>
      </c>
      <c r="BL127" s="161">
        <v>966228.37037037034</v>
      </c>
      <c r="BM127" s="2" t="str">
        <f t="shared" si="1"/>
        <v>205/283</v>
      </c>
      <c r="BN127" s="142"/>
    </row>
    <row r="128" spans="1:66" x14ac:dyDescent="0.25">
      <c r="A128" s="2">
        <v>540272</v>
      </c>
      <c r="B128" s="2" t="s">
        <v>315</v>
      </c>
      <c r="C128" s="2" t="s">
        <v>59</v>
      </c>
      <c r="D128" s="2" t="s">
        <v>612</v>
      </c>
      <c r="E128" s="2" t="s">
        <v>616</v>
      </c>
      <c r="F128" s="2" t="s">
        <v>613</v>
      </c>
      <c r="G128" s="2">
        <v>3</v>
      </c>
      <c r="H128" s="2">
        <v>0</v>
      </c>
      <c r="I128" s="2">
        <v>2</v>
      </c>
      <c r="J128" s="2">
        <v>33.200000000000003</v>
      </c>
      <c r="K128" s="2">
        <v>95</v>
      </c>
      <c r="L128" s="55">
        <v>0</v>
      </c>
      <c r="M128" s="2">
        <v>118</v>
      </c>
      <c r="N128" s="2">
        <v>1</v>
      </c>
      <c r="O128" s="2">
        <v>115</v>
      </c>
      <c r="P128" s="156">
        <v>54650</v>
      </c>
      <c r="Q128" s="2">
        <v>184</v>
      </c>
      <c r="R128" s="157">
        <v>-0.74558806099999997</v>
      </c>
      <c r="S128" s="2">
        <v>234</v>
      </c>
      <c r="T128" s="158">
        <v>0.89</v>
      </c>
      <c r="U128" s="2">
        <v>153</v>
      </c>
      <c r="V128" s="55">
        <v>0</v>
      </c>
      <c r="W128" s="2">
        <v>230</v>
      </c>
      <c r="X128" s="55">
        <v>14</v>
      </c>
      <c r="Y128" s="2">
        <v>166</v>
      </c>
      <c r="Z128" s="2">
        <v>11</v>
      </c>
      <c r="AA128" s="2">
        <v>155</v>
      </c>
      <c r="AB128" s="2">
        <v>3</v>
      </c>
      <c r="AC128" s="2">
        <v>149</v>
      </c>
      <c r="AD128" s="105">
        <v>5</v>
      </c>
      <c r="AE128" s="2">
        <v>194</v>
      </c>
      <c r="AF128" s="55">
        <v>5</v>
      </c>
      <c r="AG128" s="2">
        <v>130</v>
      </c>
      <c r="AH128" s="55">
        <v>117</v>
      </c>
      <c r="AI128" s="2">
        <v>120</v>
      </c>
      <c r="AJ128" s="55">
        <v>0.35560000000000003</v>
      </c>
      <c r="AK128" s="2">
        <v>61</v>
      </c>
      <c r="AL128" s="30">
        <v>43145</v>
      </c>
      <c r="AM128" s="2">
        <v>26</v>
      </c>
      <c r="AN128" s="2">
        <v>11</v>
      </c>
      <c r="AO128" s="2">
        <v>113</v>
      </c>
      <c r="AP128" s="2">
        <v>3</v>
      </c>
      <c r="AQ128" s="2">
        <v>149</v>
      </c>
      <c r="AR128" s="55">
        <v>5</v>
      </c>
      <c r="AS128" s="2">
        <v>130</v>
      </c>
      <c r="AT128" s="159">
        <v>0.85470085470085477</v>
      </c>
      <c r="AU128" s="2">
        <v>75</v>
      </c>
      <c r="AV128" s="55">
        <v>1</v>
      </c>
      <c r="AW128" s="2">
        <v>1</v>
      </c>
      <c r="AX128" s="2" t="s">
        <v>615</v>
      </c>
      <c r="AY128" s="2">
        <v>999999</v>
      </c>
      <c r="AZ128" s="106">
        <v>0</v>
      </c>
      <c r="BA128" s="2">
        <v>14</v>
      </c>
      <c r="BB128" s="30">
        <v>34710</v>
      </c>
      <c r="BC128" s="2">
        <v>25</v>
      </c>
      <c r="BD128" s="160">
        <v>41806</v>
      </c>
      <c r="BE128" s="2">
        <v>1</v>
      </c>
      <c r="BF128" s="55">
        <v>1</v>
      </c>
      <c r="BG128" s="2">
        <v>1</v>
      </c>
      <c r="BH128" s="2">
        <v>0</v>
      </c>
      <c r="BI128" s="2">
        <v>239</v>
      </c>
      <c r="BJ128" s="2">
        <v>11</v>
      </c>
      <c r="BK128" s="2">
        <v>160</v>
      </c>
      <c r="BL128" s="161">
        <v>965887.48148148146</v>
      </c>
      <c r="BM128" s="2" t="str">
        <f t="shared" si="1"/>
        <v>148/283</v>
      </c>
      <c r="BN128" s="142"/>
    </row>
    <row r="129" spans="1:66" x14ac:dyDescent="0.25">
      <c r="A129" s="2">
        <v>540253</v>
      </c>
      <c r="B129" s="2" t="s">
        <v>299</v>
      </c>
      <c r="C129" s="2" t="s">
        <v>99</v>
      </c>
      <c r="D129" s="2" t="s">
        <v>612</v>
      </c>
      <c r="E129" s="2" t="s">
        <v>616</v>
      </c>
      <c r="F129" s="2" t="s">
        <v>613</v>
      </c>
      <c r="G129" s="2">
        <v>3</v>
      </c>
      <c r="H129" s="2">
        <v>0</v>
      </c>
      <c r="I129" s="2">
        <v>2</v>
      </c>
      <c r="J129" s="2">
        <v>5.6</v>
      </c>
      <c r="K129" s="2">
        <v>191</v>
      </c>
      <c r="L129" s="55">
        <v>0</v>
      </c>
      <c r="M129" s="2">
        <v>118</v>
      </c>
      <c r="N129" s="2">
        <v>1</v>
      </c>
      <c r="O129" s="2">
        <v>115</v>
      </c>
      <c r="P129" s="156">
        <v>114048</v>
      </c>
      <c r="Q129" s="2">
        <v>160</v>
      </c>
      <c r="R129" s="157">
        <v>0.149243029</v>
      </c>
      <c r="S129" s="2">
        <v>129</v>
      </c>
      <c r="T129" s="158">
        <v>0.92999999999999994</v>
      </c>
      <c r="U129" s="2">
        <v>38</v>
      </c>
      <c r="V129" s="55">
        <v>9</v>
      </c>
      <c r="W129" s="2">
        <v>99</v>
      </c>
      <c r="X129" s="55">
        <v>11</v>
      </c>
      <c r="Y129" s="2">
        <v>173</v>
      </c>
      <c r="Z129" s="2">
        <v>8</v>
      </c>
      <c r="AA129" s="2">
        <v>243</v>
      </c>
      <c r="AB129" s="2">
        <v>0</v>
      </c>
      <c r="AC129" s="2">
        <v>222</v>
      </c>
      <c r="AD129" s="105">
        <v>2</v>
      </c>
      <c r="AE129" s="2">
        <v>228</v>
      </c>
      <c r="AF129" s="55">
        <v>5</v>
      </c>
      <c r="AG129" s="2">
        <v>130</v>
      </c>
      <c r="AH129" s="55">
        <v>0</v>
      </c>
      <c r="AI129" s="2">
        <v>135</v>
      </c>
      <c r="AJ129" s="55">
        <v>0.42380000000000001</v>
      </c>
      <c r="AK129" s="2">
        <v>104</v>
      </c>
      <c r="AL129" s="30">
        <v>43145</v>
      </c>
      <c r="AM129" s="2">
        <v>26</v>
      </c>
      <c r="AN129" s="2">
        <v>0</v>
      </c>
      <c r="AO129" s="2">
        <v>1</v>
      </c>
      <c r="AP129" s="2">
        <v>0</v>
      </c>
      <c r="AQ129" s="2">
        <v>222</v>
      </c>
      <c r="AR129" s="55">
        <v>5</v>
      </c>
      <c r="AS129" s="2">
        <v>130</v>
      </c>
      <c r="AT129" s="159">
        <v>0</v>
      </c>
      <c r="AU129" s="2">
        <v>81</v>
      </c>
      <c r="AV129" s="55">
        <v>1</v>
      </c>
      <c r="AW129" s="2">
        <v>1</v>
      </c>
      <c r="AX129" s="2" t="s">
        <v>615</v>
      </c>
      <c r="AY129" s="2">
        <v>999999</v>
      </c>
      <c r="AZ129" s="106">
        <v>0</v>
      </c>
      <c r="BA129" s="2">
        <v>14</v>
      </c>
      <c r="BB129" s="30">
        <v>43018</v>
      </c>
      <c r="BC129" s="2">
        <v>143</v>
      </c>
      <c r="BD129" s="160">
        <v>41806</v>
      </c>
      <c r="BE129" s="2">
        <v>1</v>
      </c>
      <c r="BF129" s="55">
        <v>1</v>
      </c>
      <c r="BG129" s="2">
        <v>1</v>
      </c>
      <c r="BH129" s="2">
        <v>1</v>
      </c>
      <c r="BI129" s="2">
        <v>151</v>
      </c>
      <c r="BJ129" s="2">
        <v>0</v>
      </c>
      <c r="BK129" s="2">
        <v>249</v>
      </c>
      <c r="BL129" s="161">
        <v>965951.99999999988</v>
      </c>
      <c r="BM129" s="2" t="str">
        <f t="shared" si="1"/>
        <v>156/283</v>
      </c>
      <c r="BN129" s="142"/>
    </row>
    <row r="130" spans="1:66" x14ac:dyDescent="0.25">
      <c r="A130" s="2">
        <v>540158</v>
      </c>
      <c r="B130" s="2" t="s">
        <v>233</v>
      </c>
      <c r="C130" s="2" t="s">
        <v>109</v>
      </c>
      <c r="D130" s="2" t="s">
        <v>612</v>
      </c>
      <c r="E130" s="2" t="s">
        <v>616</v>
      </c>
      <c r="F130" s="2" t="s">
        <v>613</v>
      </c>
      <c r="G130" s="2">
        <v>3</v>
      </c>
      <c r="H130" s="2">
        <v>0</v>
      </c>
      <c r="I130" s="2">
        <v>2</v>
      </c>
      <c r="J130" s="2">
        <v>1.4</v>
      </c>
      <c r="K130" s="2">
        <v>250</v>
      </c>
      <c r="L130" s="55">
        <v>0</v>
      </c>
      <c r="M130" s="2">
        <v>118</v>
      </c>
      <c r="N130" s="2">
        <v>1</v>
      </c>
      <c r="O130" s="2">
        <v>115</v>
      </c>
      <c r="P130" s="156">
        <v>39249</v>
      </c>
      <c r="Q130" s="2">
        <v>194</v>
      </c>
      <c r="R130" s="157">
        <v>2.8889530799999998</v>
      </c>
      <c r="S130" s="2">
        <v>17</v>
      </c>
      <c r="T130" s="158">
        <v>0.79</v>
      </c>
      <c r="U130" s="2">
        <v>263</v>
      </c>
      <c r="V130" s="55">
        <v>0</v>
      </c>
      <c r="W130" s="2">
        <v>230</v>
      </c>
      <c r="X130" s="55">
        <v>5</v>
      </c>
      <c r="Y130" s="2">
        <v>204</v>
      </c>
      <c r="Z130" s="2">
        <v>10</v>
      </c>
      <c r="AA130" s="2">
        <v>216</v>
      </c>
      <c r="AB130" s="2">
        <v>1</v>
      </c>
      <c r="AC130" s="2">
        <v>186</v>
      </c>
      <c r="AD130" s="105">
        <v>3</v>
      </c>
      <c r="AE130" s="2">
        <v>213</v>
      </c>
      <c r="AF130" s="55">
        <v>0</v>
      </c>
      <c r="AG130" s="2">
        <v>184</v>
      </c>
      <c r="AH130" s="55">
        <v>0</v>
      </c>
      <c r="AI130" s="2">
        <v>135</v>
      </c>
      <c r="AJ130" s="55">
        <v>0.48770000000000002</v>
      </c>
      <c r="AK130" s="2">
        <v>141</v>
      </c>
      <c r="AL130" s="30">
        <v>42543</v>
      </c>
      <c r="AM130" s="2">
        <v>161</v>
      </c>
      <c r="AN130" s="2">
        <v>9</v>
      </c>
      <c r="AO130" s="2">
        <v>100</v>
      </c>
      <c r="AP130" s="2">
        <v>1</v>
      </c>
      <c r="AQ130" s="2">
        <v>186</v>
      </c>
      <c r="AR130" s="55">
        <v>0</v>
      </c>
      <c r="AS130" s="2">
        <v>184</v>
      </c>
      <c r="AT130" s="159">
        <v>0</v>
      </c>
      <c r="AU130" s="2">
        <v>81</v>
      </c>
      <c r="AV130" s="55">
        <v>1</v>
      </c>
      <c r="AW130" s="2">
        <v>1</v>
      </c>
      <c r="AX130" s="2" t="s">
        <v>615</v>
      </c>
      <c r="AY130" s="2">
        <v>999999</v>
      </c>
      <c r="AZ130" s="106">
        <v>0</v>
      </c>
      <c r="BA130" s="2">
        <v>14</v>
      </c>
      <c r="BB130" s="30">
        <v>40444</v>
      </c>
      <c r="BC130" s="2">
        <v>62</v>
      </c>
      <c r="BD130" s="160">
        <v>41848</v>
      </c>
      <c r="BE130" s="2">
        <v>29</v>
      </c>
      <c r="BF130" s="55">
        <v>0</v>
      </c>
      <c r="BG130" s="2">
        <v>183</v>
      </c>
      <c r="BH130" s="2">
        <v>1</v>
      </c>
      <c r="BI130" s="2">
        <v>151</v>
      </c>
      <c r="BJ130" s="2">
        <v>9</v>
      </c>
      <c r="BK130" s="2">
        <v>182</v>
      </c>
      <c r="BL130" s="161">
        <v>966621.25925925933</v>
      </c>
      <c r="BM130" s="2" t="str">
        <f t="shared" ref="BM130:BM193" si="2">CONCATENATE(RANK(BL130,$BL$2:$BL$284,1),"/",283)</f>
        <v>235/283</v>
      </c>
      <c r="BN130" s="142"/>
    </row>
    <row r="131" spans="1:66" x14ac:dyDescent="0.25">
      <c r="A131" s="2">
        <v>540184</v>
      </c>
      <c r="B131" s="2" t="s">
        <v>253</v>
      </c>
      <c r="C131" s="2" t="s">
        <v>77</v>
      </c>
      <c r="D131" s="2" t="s">
        <v>612</v>
      </c>
      <c r="E131" s="2" t="s">
        <v>616</v>
      </c>
      <c r="F131" s="2" t="s">
        <v>613</v>
      </c>
      <c r="G131" s="2">
        <v>3</v>
      </c>
      <c r="H131" s="2">
        <v>0</v>
      </c>
      <c r="I131" s="2">
        <v>2</v>
      </c>
      <c r="J131" s="2">
        <v>21</v>
      </c>
      <c r="K131" s="2">
        <v>111</v>
      </c>
      <c r="L131" s="55">
        <v>8</v>
      </c>
      <c r="M131" s="2">
        <v>44</v>
      </c>
      <c r="N131" s="2">
        <v>1</v>
      </c>
      <c r="O131" s="2">
        <v>115</v>
      </c>
      <c r="P131" s="156">
        <v>280482</v>
      </c>
      <c r="Q131" s="2">
        <v>124</v>
      </c>
      <c r="R131" s="157">
        <v>-0.130956502</v>
      </c>
      <c r="S131" s="2">
        <v>141</v>
      </c>
      <c r="T131" s="158">
        <v>0.85</v>
      </c>
      <c r="U131" s="2">
        <v>218</v>
      </c>
      <c r="V131" s="55">
        <v>6</v>
      </c>
      <c r="W131" s="2">
        <v>113</v>
      </c>
      <c r="X131" s="55">
        <v>43</v>
      </c>
      <c r="Y131" s="2">
        <v>105</v>
      </c>
      <c r="Z131" s="2">
        <v>15</v>
      </c>
      <c r="AA131" s="2">
        <v>44</v>
      </c>
      <c r="AB131" s="2">
        <v>3</v>
      </c>
      <c r="AC131" s="2">
        <v>149</v>
      </c>
      <c r="AD131" s="105">
        <v>6</v>
      </c>
      <c r="AE131" s="2">
        <v>184</v>
      </c>
      <c r="AF131" s="55">
        <v>25</v>
      </c>
      <c r="AG131" s="2">
        <v>61</v>
      </c>
      <c r="AH131" s="55">
        <v>0</v>
      </c>
      <c r="AI131" s="2">
        <v>135</v>
      </c>
      <c r="AJ131" s="55">
        <v>0.55079999999999996</v>
      </c>
      <c r="AK131" s="2">
        <v>175</v>
      </c>
      <c r="AL131" s="30">
        <v>42543</v>
      </c>
      <c r="AM131" s="2">
        <v>161</v>
      </c>
      <c r="AN131" s="2">
        <v>0</v>
      </c>
      <c r="AO131" s="2">
        <v>1</v>
      </c>
      <c r="AP131" s="2">
        <v>3</v>
      </c>
      <c r="AQ131" s="2">
        <v>149</v>
      </c>
      <c r="AR131" s="55">
        <v>25</v>
      </c>
      <c r="AS131" s="2">
        <v>61</v>
      </c>
      <c r="AT131" s="159">
        <v>0</v>
      </c>
      <c r="AU131" s="2">
        <v>81</v>
      </c>
      <c r="AV131" s="55">
        <v>1</v>
      </c>
      <c r="AW131" s="2">
        <v>1</v>
      </c>
      <c r="AX131" s="2" t="s">
        <v>615</v>
      </c>
      <c r="AY131" s="2">
        <v>999999</v>
      </c>
      <c r="AZ131" s="106">
        <v>0</v>
      </c>
      <c r="BA131" s="2">
        <v>14</v>
      </c>
      <c r="BB131" s="30">
        <v>43223</v>
      </c>
      <c r="BC131" s="2">
        <v>188</v>
      </c>
      <c r="BD131" s="160">
        <v>41806</v>
      </c>
      <c r="BE131" s="2">
        <v>1</v>
      </c>
      <c r="BF131" s="55">
        <v>1</v>
      </c>
      <c r="BG131" s="2">
        <v>1</v>
      </c>
      <c r="BH131" s="2">
        <v>4</v>
      </c>
      <c r="BI131" s="2">
        <v>34</v>
      </c>
      <c r="BJ131" s="2">
        <v>0</v>
      </c>
      <c r="BK131" s="2">
        <v>249</v>
      </c>
      <c r="BL131" s="161">
        <v>965523.48148148146</v>
      </c>
      <c r="BM131" s="2" t="str">
        <f t="shared" si="2"/>
        <v>99/283</v>
      </c>
      <c r="BN131" s="142"/>
    </row>
    <row r="132" spans="1:66" x14ac:dyDescent="0.25">
      <c r="A132" s="2">
        <v>540187</v>
      </c>
      <c r="B132" s="2" t="s">
        <v>255</v>
      </c>
      <c r="C132" s="2" t="s">
        <v>79</v>
      </c>
      <c r="D132" s="2" t="s">
        <v>612</v>
      </c>
      <c r="E132" s="2" t="s">
        <v>616</v>
      </c>
      <c r="F132" s="2" t="s">
        <v>613</v>
      </c>
      <c r="G132" s="2">
        <v>3</v>
      </c>
      <c r="H132" s="2">
        <v>0</v>
      </c>
      <c r="I132" s="2">
        <v>2</v>
      </c>
      <c r="J132" s="2">
        <v>20</v>
      </c>
      <c r="K132" s="2">
        <v>119</v>
      </c>
      <c r="L132" s="55">
        <v>0</v>
      </c>
      <c r="M132" s="2">
        <v>118</v>
      </c>
      <c r="N132" s="2">
        <v>1</v>
      </c>
      <c r="O132" s="2">
        <v>115</v>
      </c>
      <c r="P132" s="156">
        <v>299331</v>
      </c>
      <c r="Q132" s="2">
        <v>116</v>
      </c>
      <c r="R132" s="157">
        <v>0.27457384299999998</v>
      </c>
      <c r="S132" s="2">
        <v>121</v>
      </c>
      <c r="T132" s="158">
        <v>0.84</v>
      </c>
      <c r="U132" s="2">
        <v>226</v>
      </c>
      <c r="V132" s="55">
        <v>5</v>
      </c>
      <c r="W132" s="2">
        <v>121</v>
      </c>
      <c r="X132" s="55">
        <v>22</v>
      </c>
      <c r="Y132" s="2">
        <v>143</v>
      </c>
      <c r="Z132" s="2">
        <v>11</v>
      </c>
      <c r="AA132" s="2">
        <v>155</v>
      </c>
      <c r="AB132" s="2">
        <v>4</v>
      </c>
      <c r="AC132" s="2">
        <v>139</v>
      </c>
      <c r="AD132" s="105">
        <v>14</v>
      </c>
      <c r="AE132" s="2">
        <v>133</v>
      </c>
      <c r="AF132" s="55">
        <v>3</v>
      </c>
      <c r="AG132" s="2">
        <v>152</v>
      </c>
      <c r="AH132" s="55">
        <v>193</v>
      </c>
      <c r="AI132" s="2">
        <v>101</v>
      </c>
      <c r="AJ132" s="55">
        <v>0.77939999999999998</v>
      </c>
      <c r="AK132" s="2">
        <v>271</v>
      </c>
      <c r="AL132" s="30">
        <v>42543</v>
      </c>
      <c r="AM132" s="2">
        <v>161</v>
      </c>
      <c r="AN132" s="2">
        <v>21</v>
      </c>
      <c r="AO132" s="2">
        <v>171</v>
      </c>
      <c r="AP132" s="2">
        <v>4</v>
      </c>
      <c r="AQ132" s="2">
        <v>139</v>
      </c>
      <c r="AR132" s="55">
        <v>3</v>
      </c>
      <c r="AS132" s="2">
        <v>152</v>
      </c>
      <c r="AT132" s="159">
        <v>18.652849740932641</v>
      </c>
      <c r="AU132" s="2">
        <v>6</v>
      </c>
      <c r="AV132" s="55">
        <v>0</v>
      </c>
      <c r="AW132" s="2">
        <v>194</v>
      </c>
      <c r="AX132" s="2" t="s">
        <v>615</v>
      </c>
      <c r="AY132" s="2">
        <v>999999</v>
      </c>
      <c r="AZ132" s="106">
        <v>0</v>
      </c>
      <c r="BA132" s="2">
        <v>14</v>
      </c>
      <c r="BB132" s="30">
        <v>42916</v>
      </c>
      <c r="BC132" s="2">
        <v>119</v>
      </c>
      <c r="BD132" s="160">
        <v>43530</v>
      </c>
      <c r="BE132" s="2">
        <v>51</v>
      </c>
      <c r="BF132" s="55">
        <v>1</v>
      </c>
      <c r="BG132" s="2">
        <v>1</v>
      </c>
      <c r="BH132" s="2">
        <v>1</v>
      </c>
      <c r="BI132" s="2">
        <v>151</v>
      </c>
      <c r="BJ132" s="2">
        <v>21</v>
      </c>
      <c r="BK132" s="2">
        <v>112</v>
      </c>
      <c r="BL132" s="161">
        <v>966140.74074074067</v>
      </c>
      <c r="BM132" s="2" t="str">
        <f t="shared" si="2"/>
        <v>186/283</v>
      </c>
      <c r="BN132" s="142"/>
    </row>
    <row r="133" spans="1:66" x14ac:dyDescent="0.25">
      <c r="A133" s="2">
        <v>540260</v>
      </c>
      <c r="B133" s="2" t="s">
        <v>346</v>
      </c>
      <c r="C133" s="2" t="s">
        <v>113</v>
      </c>
      <c r="D133" s="2" t="s">
        <v>612</v>
      </c>
      <c r="E133" s="2" t="s">
        <v>616</v>
      </c>
      <c r="F133" s="2" t="s">
        <v>613</v>
      </c>
      <c r="G133" s="2">
        <v>3</v>
      </c>
      <c r="H133" s="2">
        <v>0</v>
      </c>
      <c r="I133" s="2">
        <v>2</v>
      </c>
      <c r="J133" s="2">
        <v>3.4</v>
      </c>
      <c r="K133" s="2">
        <v>220</v>
      </c>
      <c r="L133" s="55">
        <v>0</v>
      </c>
      <c r="M133" s="2">
        <v>118</v>
      </c>
      <c r="N133" s="2">
        <v>1</v>
      </c>
      <c r="O133" s="2">
        <v>115</v>
      </c>
      <c r="P133" s="156">
        <v>5577</v>
      </c>
      <c r="Q133" s="2">
        <v>231</v>
      </c>
      <c r="R133" s="157">
        <v>0.29943795499999998</v>
      </c>
      <c r="S133" s="2">
        <v>112</v>
      </c>
      <c r="T133" s="158">
        <v>0.73</v>
      </c>
      <c r="U133" s="2">
        <v>275</v>
      </c>
      <c r="V133" s="55">
        <v>0</v>
      </c>
      <c r="W133" s="2">
        <v>230</v>
      </c>
      <c r="X133" s="55">
        <v>1</v>
      </c>
      <c r="Y133" s="2">
        <v>237</v>
      </c>
      <c r="Z133" s="2">
        <v>13</v>
      </c>
      <c r="AA133" s="2">
        <v>78</v>
      </c>
      <c r="AB133" s="2">
        <v>0</v>
      </c>
      <c r="AC133" s="2">
        <v>222</v>
      </c>
      <c r="AD133" s="105">
        <v>1</v>
      </c>
      <c r="AE133" s="2">
        <v>242</v>
      </c>
      <c r="AF133" s="55">
        <v>0</v>
      </c>
      <c r="AG133" s="2">
        <v>184</v>
      </c>
      <c r="AH133" s="55">
        <v>0</v>
      </c>
      <c r="AI133" s="2">
        <v>135</v>
      </c>
      <c r="AJ133" s="55">
        <v>0.32379999999999998</v>
      </c>
      <c r="AK133" s="2">
        <v>35</v>
      </c>
      <c r="AL133" s="30">
        <v>42944</v>
      </c>
      <c r="AM133" s="2">
        <v>135</v>
      </c>
      <c r="AN133" s="2">
        <v>53</v>
      </c>
      <c r="AO133" s="2">
        <v>220</v>
      </c>
      <c r="AP133" s="2">
        <v>0</v>
      </c>
      <c r="AQ133" s="2">
        <v>222</v>
      </c>
      <c r="AR133" s="55">
        <v>0</v>
      </c>
      <c r="AS133" s="2">
        <v>184</v>
      </c>
      <c r="AT133" s="159">
        <v>0</v>
      </c>
      <c r="AU133" s="2">
        <v>81</v>
      </c>
      <c r="AV133" s="55">
        <v>1</v>
      </c>
      <c r="AW133" s="2">
        <v>1</v>
      </c>
      <c r="AX133" s="2" t="s">
        <v>615</v>
      </c>
      <c r="AY133" s="2">
        <v>999999</v>
      </c>
      <c r="AZ133" s="106">
        <v>0</v>
      </c>
      <c r="BA133" s="2">
        <v>14</v>
      </c>
      <c r="BB133" s="30">
        <v>41808</v>
      </c>
      <c r="BC133" s="2">
        <v>84</v>
      </c>
      <c r="BD133" s="160">
        <v>41806</v>
      </c>
      <c r="BE133" s="2">
        <v>1</v>
      </c>
      <c r="BF133" s="55">
        <v>1</v>
      </c>
      <c r="BG133" s="2">
        <v>1</v>
      </c>
      <c r="BH133" s="2">
        <v>1</v>
      </c>
      <c r="BI133" s="2">
        <v>151</v>
      </c>
      <c r="BJ133" s="2">
        <v>53</v>
      </c>
      <c r="BK133" s="2">
        <v>54</v>
      </c>
      <c r="BL133" s="161">
        <v>966411.33333333314</v>
      </c>
      <c r="BM133" s="2" t="str">
        <f t="shared" si="2"/>
        <v>224/283</v>
      </c>
      <c r="BN133" s="142"/>
    </row>
    <row r="134" spans="1:66" x14ac:dyDescent="0.25">
      <c r="A134" s="2">
        <v>540231</v>
      </c>
      <c r="B134" s="2" t="s">
        <v>281</v>
      </c>
      <c r="C134" s="2" t="s">
        <v>85</v>
      </c>
      <c r="D134" s="2" t="s">
        <v>612</v>
      </c>
      <c r="E134" s="2" t="s">
        <v>616</v>
      </c>
      <c r="F134" s="2" t="s">
        <v>613</v>
      </c>
      <c r="G134" s="2">
        <v>3</v>
      </c>
      <c r="H134" s="2">
        <v>0</v>
      </c>
      <c r="I134" s="2">
        <v>2</v>
      </c>
      <c r="J134" s="2">
        <v>20.6</v>
      </c>
      <c r="K134" s="2">
        <v>114</v>
      </c>
      <c r="L134" s="55">
        <v>0</v>
      </c>
      <c r="M134" s="2">
        <v>118</v>
      </c>
      <c r="N134" s="2">
        <v>1</v>
      </c>
      <c r="O134" s="2">
        <v>115</v>
      </c>
      <c r="P134" s="156">
        <v>199384</v>
      </c>
      <c r="Q134" s="2">
        <v>136</v>
      </c>
      <c r="R134" s="157">
        <v>-0.80735002499999997</v>
      </c>
      <c r="S134" s="2">
        <v>245</v>
      </c>
      <c r="T134" s="158">
        <v>0.94</v>
      </c>
      <c r="U134" s="2">
        <v>11</v>
      </c>
      <c r="V134" s="55">
        <v>7</v>
      </c>
      <c r="W134" s="2">
        <v>105</v>
      </c>
      <c r="X134" s="55">
        <v>15</v>
      </c>
      <c r="Y134" s="2">
        <v>163</v>
      </c>
      <c r="Z134" s="2">
        <v>16</v>
      </c>
      <c r="AA134" s="2">
        <v>20</v>
      </c>
      <c r="AB134" s="2">
        <v>8</v>
      </c>
      <c r="AC134" s="2">
        <v>109</v>
      </c>
      <c r="AD134" s="105">
        <v>14</v>
      </c>
      <c r="AE134" s="2">
        <v>133</v>
      </c>
      <c r="AF134" s="55">
        <v>2</v>
      </c>
      <c r="AG134" s="2">
        <v>164</v>
      </c>
      <c r="AH134" s="55">
        <v>0</v>
      </c>
      <c r="AI134" s="2">
        <v>135</v>
      </c>
      <c r="AJ134" s="55">
        <v>0.64019999999999999</v>
      </c>
      <c r="AK134" s="2">
        <v>209</v>
      </c>
      <c r="AL134" s="30">
        <v>43145</v>
      </c>
      <c r="AM134" s="2">
        <v>26</v>
      </c>
      <c r="AN134" s="2">
        <v>18</v>
      </c>
      <c r="AO134" s="2">
        <v>156</v>
      </c>
      <c r="AP134" s="2">
        <v>8</v>
      </c>
      <c r="AQ134" s="2">
        <v>109</v>
      </c>
      <c r="AR134" s="55">
        <v>2</v>
      </c>
      <c r="AS134" s="2">
        <v>164</v>
      </c>
      <c r="AT134" s="159">
        <v>0</v>
      </c>
      <c r="AU134" s="2">
        <v>81</v>
      </c>
      <c r="AV134" s="55">
        <v>1</v>
      </c>
      <c r="AW134" s="2">
        <v>1</v>
      </c>
      <c r="AX134" s="2" t="s">
        <v>615</v>
      </c>
      <c r="AY134" s="2">
        <v>999999</v>
      </c>
      <c r="AZ134" s="106">
        <v>0</v>
      </c>
      <c r="BA134" s="2">
        <v>14</v>
      </c>
      <c r="BB134" s="30">
        <v>42983</v>
      </c>
      <c r="BC134" s="2">
        <v>128</v>
      </c>
      <c r="BD134" s="160">
        <v>41806</v>
      </c>
      <c r="BE134" s="2">
        <v>1</v>
      </c>
      <c r="BF134" s="55">
        <v>1</v>
      </c>
      <c r="BG134" s="2">
        <v>1</v>
      </c>
      <c r="BH134" s="2">
        <v>1</v>
      </c>
      <c r="BI134" s="2">
        <v>151</v>
      </c>
      <c r="BJ134" s="2">
        <v>18</v>
      </c>
      <c r="BK134" s="2">
        <v>114</v>
      </c>
      <c r="BL134" s="161">
        <v>965584.14814814809</v>
      </c>
      <c r="BM134" s="2" t="str">
        <f t="shared" si="2"/>
        <v>107/283</v>
      </c>
      <c r="BN134" s="142"/>
    </row>
    <row r="135" spans="1:66" x14ac:dyDescent="0.25">
      <c r="A135" s="2">
        <v>540018</v>
      </c>
      <c r="B135" s="2" t="s">
        <v>127</v>
      </c>
      <c r="C135" s="2" t="s">
        <v>618</v>
      </c>
      <c r="D135" s="2" t="s">
        <v>612</v>
      </c>
      <c r="E135" s="2" t="s">
        <v>616</v>
      </c>
      <c r="F135" s="2" t="s">
        <v>613</v>
      </c>
      <c r="G135" s="2">
        <v>3</v>
      </c>
      <c r="H135" s="2">
        <v>0</v>
      </c>
      <c r="I135" s="2">
        <v>2</v>
      </c>
      <c r="J135" s="2">
        <v>63.75</v>
      </c>
      <c r="K135" s="2">
        <v>67</v>
      </c>
      <c r="L135" s="55">
        <v>32</v>
      </c>
      <c r="M135" s="2">
        <v>8</v>
      </c>
      <c r="N135" s="2">
        <v>1</v>
      </c>
      <c r="O135" s="2">
        <v>115</v>
      </c>
      <c r="P135" s="156">
        <v>1359767</v>
      </c>
      <c r="Q135" s="2">
        <v>61</v>
      </c>
      <c r="R135" s="157">
        <v>-0.34433737759999999</v>
      </c>
      <c r="S135" s="2">
        <v>164</v>
      </c>
      <c r="T135" s="158">
        <v>0.92</v>
      </c>
      <c r="U135" s="2">
        <v>67</v>
      </c>
      <c r="V135" s="55">
        <v>80</v>
      </c>
      <c r="W135" s="2">
        <v>18</v>
      </c>
      <c r="X135" s="55">
        <v>223</v>
      </c>
      <c r="Y135" s="2">
        <v>32</v>
      </c>
      <c r="Z135" s="2">
        <v>16.5</v>
      </c>
      <c r="AA135" s="2">
        <v>19</v>
      </c>
      <c r="AB135" s="2">
        <v>114</v>
      </c>
      <c r="AC135" s="2">
        <v>8</v>
      </c>
      <c r="AD135" s="105">
        <v>194</v>
      </c>
      <c r="AE135" s="2">
        <v>14</v>
      </c>
      <c r="AF135" s="55">
        <v>61</v>
      </c>
      <c r="AG135" s="2">
        <v>29</v>
      </c>
      <c r="AH135" s="55">
        <v>3161</v>
      </c>
      <c r="AI135" s="2">
        <v>11</v>
      </c>
      <c r="AJ135" s="55">
        <v>0.63575000000000004</v>
      </c>
      <c r="AK135" s="2">
        <v>208</v>
      </c>
      <c r="AL135" s="30">
        <v>43145</v>
      </c>
      <c r="AM135" s="2">
        <v>26</v>
      </c>
      <c r="AN135" s="2">
        <v>25</v>
      </c>
      <c r="AO135" s="2">
        <v>173</v>
      </c>
      <c r="AP135" s="2">
        <v>114</v>
      </c>
      <c r="AQ135" s="2">
        <v>8</v>
      </c>
      <c r="AR135" s="55">
        <v>61</v>
      </c>
      <c r="AS135" s="2">
        <v>29</v>
      </c>
      <c r="AT135" s="159">
        <v>8.5099652008857962</v>
      </c>
      <c r="AU135" s="2">
        <v>36</v>
      </c>
      <c r="AV135" s="55">
        <v>0</v>
      </c>
      <c r="AW135" s="2">
        <v>194</v>
      </c>
      <c r="AX135" s="2" t="s">
        <v>615</v>
      </c>
      <c r="AY135" s="2">
        <v>999999</v>
      </c>
      <c r="AZ135" s="106">
        <v>0</v>
      </c>
      <c r="BA135" s="2">
        <v>14</v>
      </c>
      <c r="BB135" s="30">
        <v>41963</v>
      </c>
      <c r="BC135" s="2">
        <v>87</v>
      </c>
      <c r="BD135" s="160">
        <v>43530</v>
      </c>
      <c r="BE135" s="2">
        <v>51</v>
      </c>
      <c r="BF135" s="55">
        <v>1</v>
      </c>
      <c r="BG135" s="2">
        <v>1</v>
      </c>
      <c r="BH135" s="2">
        <v>4</v>
      </c>
      <c r="BI135" s="2">
        <v>34</v>
      </c>
      <c r="BJ135" s="2">
        <v>25</v>
      </c>
      <c r="BK135" s="2">
        <v>111</v>
      </c>
      <c r="BL135" s="161">
        <v>964488.29629629641</v>
      </c>
      <c r="BM135" s="2" t="str">
        <f t="shared" si="2"/>
        <v>14/283</v>
      </c>
      <c r="BN135" s="142"/>
    </row>
    <row r="136" spans="1:66" x14ac:dyDescent="0.25">
      <c r="A136" s="162">
        <v>540207</v>
      </c>
      <c r="B136" s="162" t="s">
        <v>88</v>
      </c>
      <c r="C136" s="162" t="s">
        <v>89</v>
      </c>
      <c r="D136" s="162" t="s">
        <v>617</v>
      </c>
      <c r="E136" s="162" t="s">
        <v>616</v>
      </c>
      <c r="F136" s="162" t="s">
        <v>613</v>
      </c>
      <c r="G136" s="162">
        <v>3</v>
      </c>
      <c r="H136" s="162">
        <v>0</v>
      </c>
      <c r="I136" s="162">
        <v>2</v>
      </c>
      <c r="J136" s="162">
        <v>14.4</v>
      </c>
      <c r="K136" s="162">
        <v>139</v>
      </c>
      <c r="L136" s="163">
        <v>12</v>
      </c>
      <c r="M136" s="162">
        <v>30</v>
      </c>
      <c r="N136" s="162">
        <v>1</v>
      </c>
      <c r="O136" s="162">
        <v>115</v>
      </c>
      <c r="P136" s="164">
        <v>1747860</v>
      </c>
      <c r="Q136" s="162">
        <v>53</v>
      </c>
      <c r="R136" s="165">
        <v>-0.65594159799999996</v>
      </c>
      <c r="S136" s="162">
        <v>227</v>
      </c>
      <c r="T136" s="166">
        <v>0.87</v>
      </c>
      <c r="U136" s="162">
        <v>177</v>
      </c>
      <c r="V136" s="163">
        <v>47</v>
      </c>
      <c r="W136" s="162">
        <v>33</v>
      </c>
      <c r="X136" s="163">
        <v>149</v>
      </c>
      <c r="Y136" s="162">
        <v>48</v>
      </c>
      <c r="Z136" s="162">
        <v>16</v>
      </c>
      <c r="AA136" s="162">
        <v>20</v>
      </c>
      <c r="AB136" s="162">
        <v>57</v>
      </c>
      <c r="AC136" s="162">
        <v>33</v>
      </c>
      <c r="AD136" s="167">
        <v>128</v>
      </c>
      <c r="AE136" s="162">
        <v>33</v>
      </c>
      <c r="AF136" s="163">
        <v>39</v>
      </c>
      <c r="AG136" s="162">
        <v>45</v>
      </c>
      <c r="AH136" s="163">
        <v>1039</v>
      </c>
      <c r="AI136" s="162">
        <v>52</v>
      </c>
      <c r="AJ136" s="163">
        <v>0.46039999999999998</v>
      </c>
      <c r="AK136" s="162">
        <v>120</v>
      </c>
      <c r="AL136" s="168">
        <v>43145</v>
      </c>
      <c r="AM136" s="162">
        <v>26</v>
      </c>
      <c r="AN136" s="162">
        <v>15</v>
      </c>
      <c r="AO136" s="162">
        <v>134</v>
      </c>
      <c r="AP136" s="162">
        <v>57</v>
      </c>
      <c r="AQ136" s="162">
        <v>33</v>
      </c>
      <c r="AR136" s="163">
        <v>39</v>
      </c>
      <c r="AS136" s="162">
        <v>45</v>
      </c>
      <c r="AT136" s="169">
        <v>0</v>
      </c>
      <c r="AU136" s="162">
        <v>81</v>
      </c>
      <c r="AV136" s="163">
        <v>0</v>
      </c>
      <c r="AW136" s="162">
        <v>194</v>
      </c>
      <c r="AX136" s="162" t="s">
        <v>615</v>
      </c>
      <c r="AY136" s="162">
        <v>999999</v>
      </c>
      <c r="AZ136" s="170">
        <v>0</v>
      </c>
      <c r="BA136" s="162">
        <v>14</v>
      </c>
      <c r="BB136" s="168">
        <v>42986</v>
      </c>
      <c r="BC136" s="162">
        <v>130</v>
      </c>
      <c r="BD136" s="171">
        <v>42984</v>
      </c>
      <c r="BE136" s="162">
        <v>37</v>
      </c>
      <c r="BF136" s="163">
        <v>1</v>
      </c>
      <c r="BG136" s="162">
        <v>1</v>
      </c>
      <c r="BH136" s="162">
        <v>1</v>
      </c>
      <c r="BI136" s="162">
        <v>151</v>
      </c>
      <c r="BJ136" s="162">
        <v>15</v>
      </c>
      <c r="BK136" s="162">
        <v>130</v>
      </c>
      <c r="BL136" s="161">
        <v>964985.18518518528</v>
      </c>
      <c r="BM136" s="162" t="str">
        <f t="shared" si="2"/>
        <v>39/283</v>
      </c>
      <c r="BN136" s="142"/>
    </row>
    <row r="137" spans="1:66" x14ac:dyDescent="0.25">
      <c r="A137" s="162">
        <v>540211</v>
      </c>
      <c r="B137" s="162" t="s">
        <v>90</v>
      </c>
      <c r="C137" s="162" t="s">
        <v>91</v>
      </c>
      <c r="D137" s="162" t="s">
        <v>617</v>
      </c>
      <c r="E137" s="162" t="s">
        <v>616</v>
      </c>
      <c r="F137" s="162" t="s">
        <v>613</v>
      </c>
      <c r="G137" s="162">
        <v>3</v>
      </c>
      <c r="H137" s="162">
        <v>0</v>
      </c>
      <c r="I137" s="162">
        <v>2</v>
      </c>
      <c r="J137" s="162">
        <v>14</v>
      </c>
      <c r="K137" s="162">
        <v>144</v>
      </c>
      <c r="L137" s="163">
        <v>2</v>
      </c>
      <c r="M137" s="162">
        <v>84</v>
      </c>
      <c r="N137" s="162">
        <v>1</v>
      </c>
      <c r="O137" s="162">
        <v>115</v>
      </c>
      <c r="P137" s="164">
        <v>439178</v>
      </c>
      <c r="Q137" s="162">
        <v>104</v>
      </c>
      <c r="R137" s="165">
        <v>13.945471939999999</v>
      </c>
      <c r="S137" s="162">
        <v>1</v>
      </c>
      <c r="T137" s="166">
        <v>0.94</v>
      </c>
      <c r="U137" s="162">
        <v>11</v>
      </c>
      <c r="V137" s="163">
        <v>32</v>
      </c>
      <c r="W137" s="162">
        <v>52</v>
      </c>
      <c r="X137" s="163">
        <v>72</v>
      </c>
      <c r="Y137" s="162">
        <v>79</v>
      </c>
      <c r="Z137" s="162">
        <v>13</v>
      </c>
      <c r="AA137" s="162">
        <v>78</v>
      </c>
      <c r="AB137" s="162">
        <v>15</v>
      </c>
      <c r="AC137" s="162">
        <v>88</v>
      </c>
      <c r="AD137" s="167">
        <v>29</v>
      </c>
      <c r="AE137" s="162">
        <v>98</v>
      </c>
      <c r="AF137" s="163">
        <v>17</v>
      </c>
      <c r="AG137" s="162">
        <v>74</v>
      </c>
      <c r="AH137" s="163">
        <v>572</v>
      </c>
      <c r="AI137" s="162">
        <v>70</v>
      </c>
      <c r="AJ137" s="163">
        <v>0.28050000000000003</v>
      </c>
      <c r="AK137" s="162">
        <v>29</v>
      </c>
      <c r="AL137" s="168">
        <v>43145</v>
      </c>
      <c r="AM137" s="162">
        <v>26</v>
      </c>
      <c r="AN137" s="162">
        <v>0</v>
      </c>
      <c r="AO137" s="162">
        <v>1</v>
      </c>
      <c r="AP137" s="162">
        <v>15</v>
      </c>
      <c r="AQ137" s="162">
        <v>88</v>
      </c>
      <c r="AR137" s="163">
        <v>17</v>
      </c>
      <c r="AS137" s="162">
        <v>74</v>
      </c>
      <c r="AT137" s="169">
        <v>18.356643356643357</v>
      </c>
      <c r="AU137" s="162">
        <v>7</v>
      </c>
      <c r="AV137" s="163">
        <v>1</v>
      </c>
      <c r="AW137" s="162">
        <v>1</v>
      </c>
      <c r="AX137" s="162" t="s">
        <v>615</v>
      </c>
      <c r="AY137" s="162">
        <v>999999</v>
      </c>
      <c r="AZ137" s="170">
        <v>0</v>
      </c>
      <c r="BA137" s="162">
        <v>14</v>
      </c>
      <c r="BB137" s="168">
        <v>43270</v>
      </c>
      <c r="BC137" s="162">
        <v>196</v>
      </c>
      <c r="BD137" s="171">
        <v>43502</v>
      </c>
      <c r="BE137" s="162">
        <v>45</v>
      </c>
      <c r="BF137" s="163" t="s">
        <v>1297</v>
      </c>
      <c r="BG137" s="162">
        <v>999999</v>
      </c>
      <c r="BH137" s="162">
        <v>1</v>
      </c>
      <c r="BI137" s="162">
        <v>151</v>
      </c>
      <c r="BJ137" s="162">
        <v>0</v>
      </c>
      <c r="BK137" s="162">
        <v>249</v>
      </c>
      <c r="BL137" s="161">
        <v>1927733.4074074076</v>
      </c>
      <c r="BM137" s="162" t="str">
        <f t="shared" si="2"/>
        <v>240/283</v>
      </c>
      <c r="BN137" s="142"/>
    </row>
    <row r="138" spans="1:66" x14ac:dyDescent="0.25">
      <c r="A138" s="2">
        <v>540212</v>
      </c>
      <c r="B138" s="2" t="s">
        <v>268</v>
      </c>
      <c r="C138" s="2" t="s">
        <v>91</v>
      </c>
      <c r="D138" s="2" t="s">
        <v>612</v>
      </c>
      <c r="E138" s="2" t="s">
        <v>616</v>
      </c>
      <c r="F138" s="2" t="s">
        <v>613</v>
      </c>
      <c r="G138" s="2">
        <v>3</v>
      </c>
      <c r="H138" s="2">
        <v>0</v>
      </c>
      <c r="I138" s="2">
        <v>2</v>
      </c>
      <c r="J138" s="2">
        <v>14</v>
      </c>
      <c r="K138" s="2">
        <v>144</v>
      </c>
      <c r="L138" s="55">
        <v>0</v>
      </c>
      <c r="M138" s="2">
        <v>118</v>
      </c>
      <c r="N138" s="2">
        <v>1</v>
      </c>
      <c r="O138" s="2">
        <v>115</v>
      </c>
      <c r="P138" s="156">
        <v>162903</v>
      </c>
      <c r="Q138" s="2">
        <v>146</v>
      </c>
      <c r="R138" s="157">
        <v>13.945471939999999</v>
      </c>
      <c r="S138" s="2">
        <v>1</v>
      </c>
      <c r="T138" s="158">
        <v>0.94</v>
      </c>
      <c r="U138" s="2">
        <v>11</v>
      </c>
      <c r="V138" s="55">
        <v>11</v>
      </c>
      <c r="W138" s="2">
        <v>88</v>
      </c>
      <c r="X138" s="55">
        <v>12</v>
      </c>
      <c r="Y138" s="2">
        <v>169</v>
      </c>
      <c r="Z138" s="2">
        <v>13</v>
      </c>
      <c r="AA138" s="2">
        <v>78</v>
      </c>
      <c r="AB138" s="2">
        <v>8</v>
      </c>
      <c r="AC138" s="2">
        <v>109</v>
      </c>
      <c r="AD138" s="105">
        <v>18</v>
      </c>
      <c r="AE138" s="2">
        <v>123</v>
      </c>
      <c r="AF138" s="55">
        <v>0</v>
      </c>
      <c r="AG138" s="2">
        <v>184</v>
      </c>
      <c r="AH138" s="55">
        <v>0</v>
      </c>
      <c r="AI138" s="2">
        <v>135</v>
      </c>
      <c r="AJ138" s="55">
        <v>0.28050000000000003</v>
      </c>
      <c r="AK138" s="2">
        <v>29</v>
      </c>
      <c r="AL138" s="30">
        <v>43145</v>
      </c>
      <c r="AM138" s="2">
        <v>26</v>
      </c>
      <c r="AN138" s="2">
        <v>0</v>
      </c>
      <c r="AO138" s="2">
        <v>1</v>
      </c>
      <c r="AP138" s="2">
        <v>8</v>
      </c>
      <c r="AQ138" s="2">
        <v>109</v>
      </c>
      <c r="AR138" s="55">
        <v>0</v>
      </c>
      <c r="AS138" s="2">
        <v>184</v>
      </c>
      <c r="AT138" s="159">
        <v>0</v>
      </c>
      <c r="AU138" s="2">
        <v>81</v>
      </c>
      <c r="AV138" s="55">
        <v>1</v>
      </c>
      <c r="AW138" s="2">
        <v>1</v>
      </c>
      <c r="AX138" s="2" t="s">
        <v>615</v>
      </c>
      <c r="AY138" s="2">
        <v>999999</v>
      </c>
      <c r="AZ138" s="106">
        <v>0</v>
      </c>
      <c r="BA138" s="2">
        <v>14</v>
      </c>
      <c r="BB138" s="30">
        <v>43270</v>
      </c>
      <c r="BC138" s="2">
        <v>196</v>
      </c>
      <c r="BD138" s="160">
        <v>41806</v>
      </c>
      <c r="BE138" s="2">
        <v>1</v>
      </c>
      <c r="BF138" s="55" t="s">
        <v>1297</v>
      </c>
      <c r="BG138" s="2">
        <v>999999</v>
      </c>
      <c r="BH138" s="2">
        <v>2</v>
      </c>
      <c r="BI138" s="2">
        <v>68</v>
      </c>
      <c r="BJ138" s="2">
        <v>0</v>
      </c>
      <c r="BK138" s="2">
        <v>249</v>
      </c>
      <c r="BL138" s="161">
        <v>1928215.8518518519</v>
      </c>
      <c r="BM138" s="2" t="str">
        <f t="shared" si="2"/>
        <v>243/283</v>
      </c>
      <c r="BN138" s="142"/>
    </row>
    <row r="139" spans="1:66" x14ac:dyDescent="0.25">
      <c r="A139" s="2">
        <v>540214</v>
      </c>
      <c r="B139" s="2" t="s">
        <v>269</v>
      </c>
      <c r="C139" s="2" t="s">
        <v>93</v>
      </c>
      <c r="D139" s="2" t="s">
        <v>612</v>
      </c>
      <c r="E139" s="2" t="s">
        <v>616</v>
      </c>
      <c r="F139" s="2" t="s">
        <v>613</v>
      </c>
      <c r="G139" s="2">
        <v>3</v>
      </c>
      <c r="H139" s="2">
        <v>0</v>
      </c>
      <c r="I139" s="2">
        <v>2</v>
      </c>
      <c r="J139" s="2">
        <v>96</v>
      </c>
      <c r="K139" s="2">
        <v>39</v>
      </c>
      <c r="L139" s="55">
        <v>2</v>
      </c>
      <c r="M139" s="2">
        <v>84</v>
      </c>
      <c r="N139" s="2">
        <v>1</v>
      </c>
      <c r="O139" s="2">
        <v>115</v>
      </c>
      <c r="P139" s="156">
        <v>2410812</v>
      </c>
      <c r="Q139" s="2">
        <v>38</v>
      </c>
      <c r="R139" s="157">
        <v>-0.76612294999999997</v>
      </c>
      <c r="S139" s="2">
        <v>240</v>
      </c>
      <c r="T139" s="158">
        <v>0.89</v>
      </c>
      <c r="U139" s="2">
        <v>153</v>
      </c>
      <c r="V139" s="55">
        <v>41</v>
      </c>
      <c r="W139" s="2">
        <v>39</v>
      </c>
      <c r="X139" s="55">
        <v>148</v>
      </c>
      <c r="Y139" s="2">
        <v>49</v>
      </c>
      <c r="Z139" s="2">
        <v>9</v>
      </c>
      <c r="AA139" s="2">
        <v>230</v>
      </c>
      <c r="AB139" s="2">
        <v>27</v>
      </c>
      <c r="AC139" s="2">
        <v>63</v>
      </c>
      <c r="AD139" s="105">
        <v>51</v>
      </c>
      <c r="AE139" s="2">
        <v>77</v>
      </c>
      <c r="AF139" s="55">
        <v>55</v>
      </c>
      <c r="AG139" s="2">
        <v>32</v>
      </c>
      <c r="AH139" s="55">
        <v>1867</v>
      </c>
      <c r="AI139" s="2">
        <v>26</v>
      </c>
      <c r="AJ139" s="55">
        <v>0.36930000000000002</v>
      </c>
      <c r="AK139" s="2">
        <v>71</v>
      </c>
      <c r="AL139" s="30">
        <v>43145</v>
      </c>
      <c r="AM139" s="2">
        <v>26</v>
      </c>
      <c r="AN139" s="2">
        <v>18</v>
      </c>
      <c r="AO139" s="2">
        <v>156</v>
      </c>
      <c r="AP139" s="2">
        <v>27</v>
      </c>
      <c r="AQ139" s="2">
        <v>63</v>
      </c>
      <c r="AR139" s="55">
        <v>55</v>
      </c>
      <c r="AS139" s="2">
        <v>32</v>
      </c>
      <c r="AT139" s="159">
        <v>4.4456347080878418</v>
      </c>
      <c r="AU139" s="2">
        <v>51</v>
      </c>
      <c r="AV139" s="55">
        <v>1</v>
      </c>
      <c r="AW139" s="2">
        <v>1</v>
      </c>
      <c r="AX139" s="2" t="s">
        <v>615</v>
      </c>
      <c r="AY139" s="2">
        <v>999999</v>
      </c>
      <c r="AZ139" s="106">
        <v>0</v>
      </c>
      <c r="BA139" s="2">
        <v>14</v>
      </c>
      <c r="BB139" s="30">
        <v>41128</v>
      </c>
      <c r="BC139" s="2">
        <v>80</v>
      </c>
      <c r="BD139" s="160">
        <v>43516</v>
      </c>
      <c r="BE139" s="2">
        <v>46</v>
      </c>
      <c r="BF139" s="55">
        <v>1</v>
      </c>
      <c r="BG139" s="2">
        <v>1</v>
      </c>
      <c r="BH139" s="2">
        <v>1</v>
      </c>
      <c r="BI139" s="2">
        <v>151</v>
      </c>
      <c r="BJ139" s="2">
        <v>18</v>
      </c>
      <c r="BK139" s="2">
        <v>114</v>
      </c>
      <c r="BL139" s="161">
        <v>964879.25925925933</v>
      </c>
      <c r="BM139" s="2" t="str">
        <f t="shared" si="2"/>
        <v>32/283</v>
      </c>
      <c r="BN139" s="142"/>
    </row>
    <row r="140" spans="1:66" x14ac:dyDescent="0.25">
      <c r="A140" s="162">
        <v>540217</v>
      </c>
      <c r="B140" s="162" t="s">
        <v>94</v>
      </c>
      <c r="C140" s="162" t="s">
        <v>95</v>
      </c>
      <c r="D140" s="162" t="s">
        <v>617</v>
      </c>
      <c r="E140" s="162" t="s">
        <v>616</v>
      </c>
      <c r="F140" s="162" t="s">
        <v>613</v>
      </c>
      <c r="G140" s="162">
        <v>3</v>
      </c>
      <c r="H140" s="162">
        <v>0</v>
      </c>
      <c r="I140" s="162">
        <v>2</v>
      </c>
      <c r="J140" s="162">
        <v>1.2</v>
      </c>
      <c r="K140" s="162">
        <v>259</v>
      </c>
      <c r="L140" s="163">
        <v>26</v>
      </c>
      <c r="M140" s="162">
        <v>13</v>
      </c>
      <c r="N140" s="162">
        <v>1</v>
      </c>
      <c r="O140" s="162">
        <v>115</v>
      </c>
      <c r="P140" s="164">
        <v>8507273</v>
      </c>
      <c r="Q140" s="162">
        <v>9</v>
      </c>
      <c r="R140" s="165">
        <v>-0.152763335</v>
      </c>
      <c r="S140" s="162">
        <v>146</v>
      </c>
      <c r="T140" s="166">
        <v>0.9</v>
      </c>
      <c r="U140" s="162">
        <v>107</v>
      </c>
      <c r="V140" s="163">
        <v>29</v>
      </c>
      <c r="W140" s="162">
        <v>53</v>
      </c>
      <c r="X140" s="163">
        <v>674</v>
      </c>
      <c r="Y140" s="162">
        <v>5</v>
      </c>
      <c r="Z140" s="162">
        <v>14</v>
      </c>
      <c r="AA140" s="162">
        <v>59</v>
      </c>
      <c r="AB140" s="162">
        <v>103</v>
      </c>
      <c r="AC140" s="162">
        <v>9</v>
      </c>
      <c r="AD140" s="167">
        <v>299</v>
      </c>
      <c r="AE140" s="162">
        <v>9</v>
      </c>
      <c r="AF140" s="163">
        <v>168</v>
      </c>
      <c r="AG140" s="162">
        <v>6</v>
      </c>
      <c r="AH140" s="163">
        <v>1886</v>
      </c>
      <c r="AI140" s="162">
        <v>25</v>
      </c>
      <c r="AJ140" s="163">
        <v>0.67879999999999996</v>
      </c>
      <c r="AK140" s="162">
        <v>224</v>
      </c>
      <c r="AL140" s="168">
        <v>42066</v>
      </c>
      <c r="AM140" s="162">
        <v>243</v>
      </c>
      <c r="AN140" s="162">
        <v>146</v>
      </c>
      <c r="AO140" s="162">
        <v>255</v>
      </c>
      <c r="AP140" s="162">
        <v>103</v>
      </c>
      <c r="AQ140" s="162">
        <v>9</v>
      </c>
      <c r="AR140" s="163">
        <v>168</v>
      </c>
      <c r="AS140" s="162">
        <v>6</v>
      </c>
      <c r="AT140" s="169">
        <v>-4.2948038176033929</v>
      </c>
      <c r="AU140" s="162">
        <v>244</v>
      </c>
      <c r="AV140" s="163">
        <v>0</v>
      </c>
      <c r="AW140" s="162">
        <v>194</v>
      </c>
      <c r="AX140" s="162" t="s">
        <v>615</v>
      </c>
      <c r="AY140" s="162">
        <v>999999</v>
      </c>
      <c r="AZ140" s="170">
        <v>0</v>
      </c>
      <c r="BA140" s="162">
        <v>14</v>
      </c>
      <c r="BB140" s="168">
        <v>42823</v>
      </c>
      <c r="BC140" s="162">
        <v>115</v>
      </c>
      <c r="BD140" s="171">
        <v>42233</v>
      </c>
      <c r="BE140" s="162">
        <v>34</v>
      </c>
      <c r="BF140" s="163">
        <v>1</v>
      </c>
      <c r="BG140" s="162">
        <v>1</v>
      </c>
      <c r="BH140" s="162">
        <v>1</v>
      </c>
      <c r="BI140" s="162">
        <v>151</v>
      </c>
      <c r="BJ140" s="162">
        <v>146</v>
      </c>
      <c r="BK140" s="162">
        <v>26</v>
      </c>
      <c r="BL140" s="161">
        <v>965206.66666666663</v>
      </c>
      <c r="BM140" s="162" t="str">
        <f t="shared" si="2"/>
        <v>59/283</v>
      </c>
      <c r="BN140" s="142"/>
    </row>
    <row r="141" spans="1:66" x14ac:dyDescent="0.25">
      <c r="A141" s="162">
        <v>540282</v>
      </c>
      <c r="B141" s="162" t="s">
        <v>106</v>
      </c>
      <c r="C141" s="162" t="s">
        <v>107</v>
      </c>
      <c r="D141" s="162" t="s">
        <v>617</v>
      </c>
      <c r="E141" s="162" t="s">
        <v>616</v>
      </c>
      <c r="F141" s="162" t="s">
        <v>613</v>
      </c>
      <c r="G141" s="162">
        <v>3</v>
      </c>
      <c r="H141" s="162">
        <v>0</v>
      </c>
      <c r="I141" s="162">
        <v>2</v>
      </c>
      <c r="J141" s="162">
        <v>568.79999999999995</v>
      </c>
      <c r="K141" s="162">
        <v>3</v>
      </c>
      <c r="L141" s="163">
        <v>17</v>
      </c>
      <c r="M141" s="162">
        <v>22</v>
      </c>
      <c r="N141" s="162">
        <v>0</v>
      </c>
      <c r="O141" s="162">
        <v>140</v>
      </c>
      <c r="P141" s="164">
        <v>5519722</v>
      </c>
      <c r="Q141" s="162">
        <v>15</v>
      </c>
      <c r="R141" s="165">
        <v>-0.73794041700000002</v>
      </c>
      <c r="S141" s="162">
        <v>232</v>
      </c>
      <c r="T141" s="166">
        <v>0.91</v>
      </c>
      <c r="U141" s="162">
        <v>70</v>
      </c>
      <c r="V141" s="163">
        <v>104</v>
      </c>
      <c r="W141" s="162">
        <v>14</v>
      </c>
      <c r="X141" s="163">
        <v>372</v>
      </c>
      <c r="Y141" s="162">
        <v>12</v>
      </c>
      <c r="Z141" s="162">
        <v>8</v>
      </c>
      <c r="AA141" s="162">
        <v>243</v>
      </c>
      <c r="AB141" s="162">
        <v>60</v>
      </c>
      <c r="AC141" s="162">
        <v>30</v>
      </c>
      <c r="AD141" s="167">
        <v>187</v>
      </c>
      <c r="AE141" s="162">
        <v>17</v>
      </c>
      <c r="AF141" s="163">
        <v>166</v>
      </c>
      <c r="AG141" s="162">
        <v>8</v>
      </c>
      <c r="AH141" s="163">
        <v>4201</v>
      </c>
      <c r="AI141" s="162">
        <v>2</v>
      </c>
      <c r="AJ141" s="163">
        <v>0.45300000000000001</v>
      </c>
      <c r="AK141" s="162">
        <v>116</v>
      </c>
      <c r="AL141" s="168">
        <v>41211</v>
      </c>
      <c r="AM141" s="162">
        <v>282</v>
      </c>
      <c r="AN141" s="162">
        <v>72</v>
      </c>
      <c r="AO141" s="162">
        <v>251</v>
      </c>
      <c r="AP141" s="162">
        <v>60</v>
      </c>
      <c r="AQ141" s="162">
        <v>30</v>
      </c>
      <c r="AR141" s="163">
        <v>166</v>
      </c>
      <c r="AS141" s="162">
        <v>8</v>
      </c>
      <c r="AT141" s="169">
        <v>-1.8090930730778387</v>
      </c>
      <c r="AU141" s="162">
        <v>232</v>
      </c>
      <c r="AV141" s="163">
        <v>0</v>
      </c>
      <c r="AW141" s="162">
        <v>194</v>
      </c>
      <c r="AX141" s="162">
        <v>7</v>
      </c>
      <c r="AY141" s="162">
        <v>2</v>
      </c>
      <c r="AZ141" s="170">
        <v>1</v>
      </c>
      <c r="BA141" s="162">
        <v>1</v>
      </c>
      <c r="BB141" s="168">
        <v>43293</v>
      </c>
      <c r="BC141" s="162">
        <v>213</v>
      </c>
      <c r="BD141" s="171">
        <v>43516</v>
      </c>
      <c r="BE141" s="162">
        <v>46</v>
      </c>
      <c r="BF141" s="163">
        <v>1</v>
      </c>
      <c r="BG141" s="162">
        <v>1</v>
      </c>
      <c r="BH141" s="162">
        <v>1</v>
      </c>
      <c r="BI141" s="162">
        <v>151</v>
      </c>
      <c r="BJ141" s="162">
        <v>72</v>
      </c>
      <c r="BK141" s="162">
        <v>32</v>
      </c>
      <c r="BL141" s="161">
        <v>2279.3333333333335</v>
      </c>
      <c r="BM141" s="162" t="str">
        <f t="shared" si="2"/>
        <v>12/283</v>
      </c>
      <c r="BN141" s="142"/>
    </row>
    <row r="142" spans="1:66" x14ac:dyDescent="0.25">
      <c r="A142" s="2">
        <v>540006</v>
      </c>
      <c r="B142" s="2" t="s">
        <v>119</v>
      </c>
      <c r="C142" s="2" t="s">
        <v>107</v>
      </c>
      <c r="D142" s="2" t="s">
        <v>612</v>
      </c>
      <c r="E142" s="2" t="s">
        <v>616</v>
      </c>
      <c r="F142" s="2" t="s">
        <v>613</v>
      </c>
      <c r="G142" s="2">
        <v>3</v>
      </c>
      <c r="H142" s="2">
        <v>0</v>
      </c>
      <c r="I142" s="2">
        <v>2</v>
      </c>
      <c r="J142" s="2">
        <v>568.79999999999995</v>
      </c>
      <c r="K142" s="2">
        <v>3</v>
      </c>
      <c r="L142" s="55">
        <v>4</v>
      </c>
      <c r="M142" s="2">
        <v>67</v>
      </c>
      <c r="N142" s="2">
        <v>0</v>
      </c>
      <c r="O142" s="2">
        <v>140</v>
      </c>
      <c r="P142" s="156">
        <v>634799</v>
      </c>
      <c r="Q142" s="2">
        <v>88</v>
      </c>
      <c r="R142" s="157">
        <v>-0.73794041700000002</v>
      </c>
      <c r="S142" s="2">
        <v>232</v>
      </c>
      <c r="T142" s="158">
        <v>0.91</v>
      </c>
      <c r="U142" s="2">
        <v>70</v>
      </c>
      <c r="V142" s="55">
        <v>20</v>
      </c>
      <c r="W142" s="2">
        <v>69</v>
      </c>
      <c r="X142" s="55">
        <v>34</v>
      </c>
      <c r="Y142" s="2">
        <v>117</v>
      </c>
      <c r="Z142" s="2">
        <v>8</v>
      </c>
      <c r="AA142" s="2">
        <v>243</v>
      </c>
      <c r="AB142" s="2">
        <v>8</v>
      </c>
      <c r="AC142" s="2">
        <v>109</v>
      </c>
      <c r="AD142" s="105">
        <v>26</v>
      </c>
      <c r="AE142" s="2">
        <v>103</v>
      </c>
      <c r="AF142" s="55">
        <v>13</v>
      </c>
      <c r="AG142" s="2">
        <v>88</v>
      </c>
      <c r="AH142" s="55">
        <v>613</v>
      </c>
      <c r="AI142" s="2">
        <v>66</v>
      </c>
      <c r="AJ142" s="55">
        <v>0.45300000000000001</v>
      </c>
      <c r="AK142" s="2">
        <v>116</v>
      </c>
      <c r="AL142" s="30">
        <v>41211</v>
      </c>
      <c r="AM142" s="2">
        <v>282</v>
      </c>
      <c r="AN142" s="2">
        <v>72</v>
      </c>
      <c r="AO142" s="2">
        <v>251</v>
      </c>
      <c r="AP142" s="2">
        <v>8</v>
      </c>
      <c r="AQ142" s="2">
        <v>109</v>
      </c>
      <c r="AR142" s="55">
        <v>13</v>
      </c>
      <c r="AS142" s="2">
        <v>88</v>
      </c>
      <c r="AT142" s="159">
        <v>-6.8515497553017948</v>
      </c>
      <c r="AU142" s="2">
        <v>251</v>
      </c>
      <c r="AV142" s="55">
        <v>1</v>
      </c>
      <c r="AW142" s="2">
        <v>1</v>
      </c>
      <c r="AX142" s="2">
        <v>8</v>
      </c>
      <c r="AY142" s="2">
        <v>3</v>
      </c>
      <c r="AZ142" s="106">
        <v>1</v>
      </c>
      <c r="BA142" s="2">
        <v>1</v>
      </c>
      <c r="BB142" s="30">
        <v>43292</v>
      </c>
      <c r="BC142" s="2">
        <v>209</v>
      </c>
      <c r="BD142" s="160">
        <v>41848</v>
      </c>
      <c r="BE142" s="2">
        <v>29</v>
      </c>
      <c r="BF142" s="55">
        <v>1</v>
      </c>
      <c r="BG142" s="2">
        <v>1</v>
      </c>
      <c r="BH142" s="2">
        <v>0</v>
      </c>
      <c r="BI142" s="2">
        <v>239</v>
      </c>
      <c r="BJ142" s="2">
        <v>72</v>
      </c>
      <c r="BK142" s="2">
        <v>32</v>
      </c>
      <c r="BL142" s="161">
        <v>2895.62962962963</v>
      </c>
      <c r="BM142" s="2" t="str">
        <f t="shared" si="2"/>
        <v>13/283</v>
      </c>
      <c r="BN142" s="142"/>
    </row>
    <row r="143" spans="1:66" x14ac:dyDescent="0.25">
      <c r="A143" s="162">
        <v>540007</v>
      </c>
      <c r="B143" s="162" t="s">
        <v>6</v>
      </c>
      <c r="C143" s="162" t="s">
        <v>7</v>
      </c>
      <c r="D143" s="162" t="s">
        <v>617</v>
      </c>
      <c r="E143" s="162" t="s">
        <v>616</v>
      </c>
      <c r="F143" s="162" t="s">
        <v>613</v>
      </c>
      <c r="G143" s="162">
        <v>3</v>
      </c>
      <c r="H143" s="162">
        <v>0</v>
      </c>
      <c r="I143" s="162">
        <v>2</v>
      </c>
      <c r="J143" s="162">
        <v>17</v>
      </c>
      <c r="K143" s="162">
        <v>130</v>
      </c>
      <c r="L143" s="163">
        <v>2</v>
      </c>
      <c r="M143" s="162">
        <v>84</v>
      </c>
      <c r="N143" s="162">
        <v>0</v>
      </c>
      <c r="O143" s="162">
        <v>140</v>
      </c>
      <c r="P143" s="164">
        <v>1753256</v>
      </c>
      <c r="Q143" s="162">
        <v>52</v>
      </c>
      <c r="R143" s="165">
        <v>-0.43773889700000002</v>
      </c>
      <c r="S143" s="162">
        <v>166</v>
      </c>
      <c r="T143" s="166">
        <v>0.91</v>
      </c>
      <c r="U143" s="162">
        <v>70</v>
      </c>
      <c r="V143" s="163">
        <v>114</v>
      </c>
      <c r="W143" s="162">
        <v>12</v>
      </c>
      <c r="X143" s="163">
        <v>293</v>
      </c>
      <c r="Y143" s="162">
        <v>20</v>
      </c>
      <c r="Z143" s="162">
        <v>13</v>
      </c>
      <c r="AA143" s="162">
        <v>78</v>
      </c>
      <c r="AB143" s="162">
        <v>169</v>
      </c>
      <c r="AC143" s="162">
        <v>6</v>
      </c>
      <c r="AD143" s="167">
        <v>281</v>
      </c>
      <c r="AE143" s="162">
        <v>10</v>
      </c>
      <c r="AF143" s="163">
        <v>74</v>
      </c>
      <c r="AG143" s="162">
        <v>22</v>
      </c>
      <c r="AH143" s="163">
        <v>2150</v>
      </c>
      <c r="AI143" s="162">
        <v>22</v>
      </c>
      <c r="AJ143" s="163">
        <v>0.69789999999999996</v>
      </c>
      <c r="AK143" s="162">
        <v>230</v>
      </c>
      <c r="AL143" s="168">
        <v>42097</v>
      </c>
      <c r="AM143" s="162">
        <v>232</v>
      </c>
      <c r="AN143" s="162">
        <v>4</v>
      </c>
      <c r="AO143" s="162">
        <v>66</v>
      </c>
      <c r="AP143" s="162">
        <v>169</v>
      </c>
      <c r="AQ143" s="162">
        <v>6</v>
      </c>
      <c r="AR143" s="163">
        <v>74</v>
      </c>
      <c r="AS143" s="162">
        <v>22</v>
      </c>
      <c r="AT143" s="169">
        <v>3.7209302325581395</v>
      </c>
      <c r="AU143" s="162">
        <v>57</v>
      </c>
      <c r="AV143" s="163">
        <v>1</v>
      </c>
      <c r="AW143" s="162">
        <v>1</v>
      </c>
      <c r="AX143" s="162" t="s">
        <v>615</v>
      </c>
      <c r="AY143" s="162">
        <v>999999</v>
      </c>
      <c r="AZ143" s="170">
        <v>0</v>
      </c>
      <c r="BA143" s="162">
        <v>14</v>
      </c>
      <c r="BB143" s="168">
        <v>35263</v>
      </c>
      <c r="BC143" s="162">
        <v>29</v>
      </c>
      <c r="BD143" s="171">
        <v>42324</v>
      </c>
      <c r="BE143" s="162">
        <v>35</v>
      </c>
      <c r="BF143" s="163">
        <v>1</v>
      </c>
      <c r="BG143" s="162">
        <v>1</v>
      </c>
      <c r="BH143" s="162">
        <v>2</v>
      </c>
      <c r="BI143" s="162">
        <v>68</v>
      </c>
      <c r="BJ143" s="162">
        <v>4</v>
      </c>
      <c r="BK143" s="162">
        <v>204</v>
      </c>
      <c r="BL143" s="161">
        <v>964673.18518518505</v>
      </c>
      <c r="BM143" s="162" t="str">
        <f t="shared" si="2"/>
        <v>22/283</v>
      </c>
      <c r="BN143" s="142"/>
    </row>
    <row r="144" spans="1:66" x14ac:dyDescent="0.25">
      <c r="A144" s="2">
        <v>540230</v>
      </c>
      <c r="B144" s="2" t="s">
        <v>280</v>
      </c>
      <c r="C144" s="2" t="s">
        <v>7</v>
      </c>
      <c r="D144" s="2" t="s">
        <v>612</v>
      </c>
      <c r="E144" s="2" t="s">
        <v>616</v>
      </c>
      <c r="F144" s="2" t="s">
        <v>613</v>
      </c>
      <c r="G144" s="2">
        <v>3</v>
      </c>
      <c r="H144" s="2">
        <v>0</v>
      </c>
      <c r="I144" s="2">
        <v>2</v>
      </c>
      <c r="J144" s="2">
        <v>17</v>
      </c>
      <c r="K144" s="2">
        <v>130</v>
      </c>
      <c r="L144" s="55">
        <v>7</v>
      </c>
      <c r="M144" s="2">
        <v>48</v>
      </c>
      <c r="N144" s="2">
        <v>0</v>
      </c>
      <c r="O144" s="2">
        <v>140</v>
      </c>
      <c r="P144" s="156">
        <v>737285</v>
      </c>
      <c r="Q144" s="2">
        <v>80</v>
      </c>
      <c r="R144" s="157">
        <v>-0.43773889700000002</v>
      </c>
      <c r="S144" s="2">
        <v>166</v>
      </c>
      <c r="T144" s="158">
        <v>0.91</v>
      </c>
      <c r="U144" s="2">
        <v>70</v>
      </c>
      <c r="V144" s="55">
        <v>8</v>
      </c>
      <c r="W144" s="2">
        <v>101</v>
      </c>
      <c r="X144" s="55">
        <v>76</v>
      </c>
      <c r="Y144" s="2">
        <v>75</v>
      </c>
      <c r="Z144" s="2">
        <v>13</v>
      </c>
      <c r="AA144" s="2">
        <v>78</v>
      </c>
      <c r="AB144" s="2">
        <v>8</v>
      </c>
      <c r="AC144" s="2">
        <v>109</v>
      </c>
      <c r="AD144" s="105">
        <v>20</v>
      </c>
      <c r="AE144" s="2">
        <v>117</v>
      </c>
      <c r="AF144" s="55">
        <v>32</v>
      </c>
      <c r="AG144" s="2">
        <v>54</v>
      </c>
      <c r="AH144" s="55">
        <v>0</v>
      </c>
      <c r="AI144" s="2">
        <v>135</v>
      </c>
      <c r="AJ144" s="55">
        <v>0.69789999999999996</v>
      </c>
      <c r="AK144" s="2">
        <v>230</v>
      </c>
      <c r="AL144" s="30">
        <v>42097</v>
      </c>
      <c r="AM144" s="2">
        <v>232</v>
      </c>
      <c r="AN144" s="2">
        <v>4</v>
      </c>
      <c r="AO144" s="2">
        <v>66</v>
      </c>
      <c r="AP144" s="2">
        <v>8</v>
      </c>
      <c r="AQ144" s="2">
        <v>109</v>
      </c>
      <c r="AR144" s="55">
        <v>32</v>
      </c>
      <c r="AS144" s="2">
        <v>54</v>
      </c>
      <c r="AT144" s="159">
        <v>0</v>
      </c>
      <c r="AU144" s="2">
        <v>81</v>
      </c>
      <c r="AV144" s="55">
        <v>1</v>
      </c>
      <c r="AW144" s="2">
        <v>1</v>
      </c>
      <c r="AX144" s="2" t="s">
        <v>615</v>
      </c>
      <c r="AY144" s="2">
        <v>999999</v>
      </c>
      <c r="AZ144" s="106">
        <v>0</v>
      </c>
      <c r="BA144" s="2">
        <v>14</v>
      </c>
      <c r="BB144" s="30">
        <v>43396</v>
      </c>
      <c r="BC144" s="2">
        <v>227</v>
      </c>
      <c r="BD144" s="160">
        <v>42417</v>
      </c>
      <c r="BE144" s="2">
        <v>35</v>
      </c>
      <c r="BF144" s="55">
        <v>1</v>
      </c>
      <c r="BG144" s="2">
        <v>1</v>
      </c>
      <c r="BH144" s="2">
        <v>4</v>
      </c>
      <c r="BI144" s="2">
        <v>34</v>
      </c>
      <c r="BJ144" s="2">
        <v>4</v>
      </c>
      <c r="BK144" s="2">
        <v>204</v>
      </c>
      <c r="BL144" s="161">
        <v>965457.03703703696</v>
      </c>
      <c r="BM144" s="2" t="str">
        <f t="shared" si="2"/>
        <v>93/283</v>
      </c>
      <c r="BN144" s="142"/>
    </row>
    <row r="145" spans="1:66" x14ac:dyDescent="0.25">
      <c r="A145" s="2">
        <v>540008</v>
      </c>
      <c r="B145" s="2" t="s">
        <v>120</v>
      </c>
      <c r="C145" s="2" t="s">
        <v>7</v>
      </c>
      <c r="D145" s="2" t="s">
        <v>612</v>
      </c>
      <c r="E145" s="2" t="s">
        <v>616</v>
      </c>
      <c r="F145" s="2" t="s">
        <v>613</v>
      </c>
      <c r="G145" s="2">
        <v>3</v>
      </c>
      <c r="H145" s="2">
        <v>0</v>
      </c>
      <c r="I145" s="2">
        <v>2</v>
      </c>
      <c r="J145" s="2">
        <v>17</v>
      </c>
      <c r="K145" s="2">
        <v>130</v>
      </c>
      <c r="L145" s="55">
        <v>0</v>
      </c>
      <c r="M145" s="2">
        <v>118</v>
      </c>
      <c r="N145" s="2">
        <v>0</v>
      </c>
      <c r="O145" s="2">
        <v>140</v>
      </c>
      <c r="P145" s="156">
        <v>547362</v>
      </c>
      <c r="Q145" s="2">
        <v>94</v>
      </c>
      <c r="R145" s="157">
        <v>-0.43773889700000002</v>
      </c>
      <c r="S145" s="2">
        <v>166</v>
      </c>
      <c r="T145" s="158">
        <v>0.91</v>
      </c>
      <c r="U145" s="2">
        <v>70</v>
      </c>
      <c r="V145" s="55">
        <v>11</v>
      </c>
      <c r="W145" s="2">
        <v>88</v>
      </c>
      <c r="X145" s="55">
        <v>84</v>
      </c>
      <c r="Y145" s="2">
        <v>69</v>
      </c>
      <c r="Z145" s="2">
        <v>13</v>
      </c>
      <c r="AA145" s="2">
        <v>78</v>
      </c>
      <c r="AB145" s="2">
        <v>14</v>
      </c>
      <c r="AC145" s="2">
        <v>90</v>
      </c>
      <c r="AD145" s="105">
        <v>29</v>
      </c>
      <c r="AE145" s="2">
        <v>98</v>
      </c>
      <c r="AF145" s="55">
        <v>34</v>
      </c>
      <c r="AG145" s="2">
        <v>52</v>
      </c>
      <c r="AH145" s="55">
        <v>84</v>
      </c>
      <c r="AI145" s="2">
        <v>127</v>
      </c>
      <c r="AJ145" s="55">
        <v>0.69789999999999996</v>
      </c>
      <c r="AK145" s="2">
        <v>230</v>
      </c>
      <c r="AL145" s="30">
        <v>42097</v>
      </c>
      <c r="AM145" s="2">
        <v>232</v>
      </c>
      <c r="AN145" s="2">
        <v>4</v>
      </c>
      <c r="AO145" s="2">
        <v>66</v>
      </c>
      <c r="AP145" s="2">
        <v>14</v>
      </c>
      <c r="AQ145" s="2">
        <v>90</v>
      </c>
      <c r="AR145" s="55">
        <v>34</v>
      </c>
      <c r="AS145" s="2">
        <v>52</v>
      </c>
      <c r="AT145" s="159">
        <v>16.666666666666664</v>
      </c>
      <c r="AU145" s="2">
        <v>10</v>
      </c>
      <c r="AV145" s="55">
        <v>1</v>
      </c>
      <c r="AW145" s="2">
        <v>1</v>
      </c>
      <c r="AX145" s="2" t="s">
        <v>615</v>
      </c>
      <c r="AY145" s="2">
        <v>999999</v>
      </c>
      <c r="AZ145" s="106">
        <v>0</v>
      </c>
      <c r="BA145" s="2">
        <v>14</v>
      </c>
      <c r="BB145" s="30">
        <v>43027</v>
      </c>
      <c r="BC145" s="2">
        <v>153</v>
      </c>
      <c r="BD145" s="160">
        <v>43530</v>
      </c>
      <c r="BE145" s="2">
        <v>51</v>
      </c>
      <c r="BF145" s="55">
        <v>1</v>
      </c>
      <c r="BG145" s="2">
        <v>1</v>
      </c>
      <c r="BH145" s="2">
        <v>4</v>
      </c>
      <c r="BI145" s="2">
        <v>34</v>
      </c>
      <c r="BJ145" s="2">
        <v>4</v>
      </c>
      <c r="BK145" s="2">
        <v>204</v>
      </c>
      <c r="BL145" s="161">
        <v>965328.96296296292</v>
      </c>
      <c r="BM145" s="2" t="str">
        <f t="shared" si="2"/>
        <v>78/283</v>
      </c>
      <c r="BN145" s="142"/>
    </row>
    <row r="146" spans="1:66" x14ac:dyDescent="0.25">
      <c r="A146" s="2">
        <v>540238</v>
      </c>
      <c r="B146" s="2" t="s">
        <v>286</v>
      </c>
      <c r="C146" s="2" t="s">
        <v>7</v>
      </c>
      <c r="D146" s="2" t="s">
        <v>612</v>
      </c>
      <c r="E146" s="2" t="s">
        <v>616</v>
      </c>
      <c r="F146" s="2" t="s">
        <v>613</v>
      </c>
      <c r="G146" s="2">
        <v>3</v>
      </c>
      <c r="H146" s="2">
        <v>0</v>
      </c>
      <c r="I146" s="2">
        <v>2</v>
      </c>
      <c r="J146" s="2">
        <v>17</v>
      </c>
      <c r="K146" s="2">
        <v>130</v>
      </c>
      <c r="L146" s="55">
        <v>0</v>
      </c>
      <c r="M146" s="2">
        <v>118</v>
      </c>
      <c r="N146" s="2">
        <v>0</v>
      </c>
      <c r="O146" s="2">
        <v>140</v>
      </c>
      <c r="P146" s="156">
        <v>83575</v>
      </c>
      <c r="Q146" s="2">
        <v>171</v>
      </c>
      <c r="R146" s="157">
        <v>-0.43773889700000002</v>
      </c>
      <c r="S146" s="2">
        <v>166</v>
      </c>
      <c r="T146" s="158">
        <v>0.91</v>
      </c>
      <c r="U146" s="2">
        <v>70</v>
      </c>
      <c r="V146" s="55">
        <v>2</v>
      </c>
      <c r="W146" s="2">
        <v>170</v>
      </c>
      <c r="X146" s="55">
        <v>15</v>
      </c>
      <c r="Y146" s="2">
        <v>163</v>
      </c>
      <c r="Z146" s="2">
        <v>13</v>
      </c>
      <c r="AA146" s="2">
        <v>78</v>
      </c>
      <c r="AB146" s="2">
        <v>17</v>
      </c>
      <c r="AC146" s="2">
        <v>81</v>
      </c>
      <c r="AD146" s="105">
        <v>18</v>
      </c>
      <c r="AE146" s="2">
        <v>123</v>
      </c>
      <c r="AF146" s="55">
        <v>6</v>
      </c>
      <c r="AG146" s="2">
        <v>124</v>
      </c>
      <c r="AH146" s="55">
        <v>0</v>
      </c>
      <c r="AI146" s="2">
        <v>135</v>
      </c>
      <c r="AJ146" s="55">
        <v>0.69789999999999996</v>
      </c>
      <c r="AK146" s="2">
        <v>230</v>
      </c>
      <c r="AL146" s="30">
        <v>42097</v>
      </c>
      <c r="AM146" s="2">
        <v>232</v>
      </c>
      <c r="AN146" s="2">
        <v>4</v>
      </c>
      <c r="AO146" s="2">
        <v>66</v>
      </c>
      <c r="AP146" s="2">
        <v>17</v>
      </c>
      <c r="AQ146" s="2">
        <v>81</v>
      </c>
      <c r="AR146" s="55">
        <v>6</v>
      </c>
      <c r="AS146" s="2">
        <v>124</v>
      </c>
      <c r="AT146" s="159">
        <v>0</v>
      </c>
      <c r="AU146" s="2">
        <v>81</v>
      </c>
      <c r="AV146" s="55">
        <v>1</v>
      </c>
      <c r="AW146" s="2">
        <v>1</v>
      </c>
      <c r="AX146" s="2" t="s">
        <v>615</v>
      </c>
      <c r="AY146" s="2">
        <v>999999</v>
      </c>
      <c r="AZ146" s="106">
        <v>0</v>
      </c>
      <c r="BA146" s="2">
        <v>14</v>
      </c>
      <c r="BB146" s="30">
        <v>33548</v>
      </c>
      <c r="BC146" s="2">
        <v>17</v>
      </c>
      <c r="BD146" s="160">
        <v>41806</v>
      </c>
      <c r="BE146" s="2">
        <v>1</v>
      </c>
      <c r="BF146" s="55">
        <v>0</v>
      </c>
      <c r="BG146" s="2">
        <v>183</v>
      </c>
      <c r="BH146" s="2">
        <v>0</v>
      </c>
      <c r="BI146" s="2">
        <v>239</v>
      </c>
      <c r="BJ146" s="2">
        <v>4</v>
      </c>
      <c r="BK146" s="2">
        <v>204</v>
      </c>
      <c r="BL146" s="161">
        <v>965987.62962962966</v>
      </c>
      <c r="BM146" s="2" t="str">
        <f t="shared" si="2"/>
        <v>160/283</v>
      </c>
      <c r="BN146" s="142"/>
    </row>
    <row r="147" spans="1:66" x14ac:dyDescent="0.25">
      <c r="A147" s="162">
        <v>540011</v>
      </c>
      <c r="B147" s="162" t="s">
        <v>10</v>
      </c>
      <c r="C147" s="162" t="s">
        <v>11</v>
      </c>
      <c r="D147" s="162" t="s">
        <v>617</v>
      </c>
      <c r="E147" s="162" t="s">
        <v>616</v>
      </c>
      <c r="F147" s="162" t="s">
        <v>613</v>
      </c>
      <c r="G147" s="162">
        <v>3</v>
      </c>
      <c r="H147" s="162">
        <v>0</v>
      </c>
      <c r="I147" s="162">
        <v>2</v>
      </c>
      <c r="J147" s="162">
        <v>11.8</v>
      </c>
      <c r="K147" s="162">
        <v>170</v>
      </c>
      <c r="L147" s="163">
        <v>0</v>
      </c>
      <c r="M147" s="162">
        <v>118</v>
      </c>
      <c r="N147" s="162">
        <v>0</v>
      </c>
      <c r="O147" s="162">
        <v>140</v>
      </c>
      <c r="P147" s="164">
        <v>555906</v>
      </c>
      <c r="Q147" s="162">
        <v>93</v>
      </c>
      <c r="R147" s="165">
        <v>3.0438956990000001</v>
      </c>
      <c r="S147" s="162">
        <v>12</v>
      </c>
      <c r="T147" s="166">
        <v>0.8</v>
      </c>
      <c r="U147" s="162">
        <v>258</v>
      </c>
      <c r="V147" s="163">
        <v>5</v>
      </c>
      <c r="W147" s="162">
        <v>121</v>
      </c>
      <c r="X147" s="163">
        <v>52</v>
      </c>
      <c r="Y147" s="162">
        <v>90</v>
      </c>
      <c r="Z147" s="162">
        <v>8</v>
      </c>
      <c r="AA147" s="162">
        <v>243</v>
      </c>
      <c r="AB147" s="162">
        <v>9</v>
      </c>
      <c r="AC147" s="162">
        <v>105</v>
      </c>
      <c r="AD147" s="167">
        <v>20</v>
      </c>
      <c r="AE147" s="162">
        <v>117</v>
      </c>
      <c r="AF147" s="163">
        <v>10</v>
      </c>
      <c r="AG147" s="162">
        <v>108</v>
      </c>
      <c r="AH147" s="163">
        <v>1514</v>
      </c>
      <c r="AI147" s="162">
        <v>33</v>
      </c>
      <c r="AJ147" s="163">
        <v>0.26740000000000003</v>
      </c>
      <c r="AK147" s="162">
        <v>21</v>
      </c>
      <c r="AL147" s="168">
        <v>43145</v>
      </c>
      <c r="AM147" s="162">
        <v>26</v>
      </c>
      <c r="AN147" s="162">
        <v>18</v>
      </c>
      <c r="AO147" s="162">
        <v>156</v>
      </c>
      <c r="AP147" s="162">
        <v>9</v>
      </c>
      <c r="AQ147" s="162">
        <v>105</v>
      </c>
      <c r="AR147" s="163">
        <v>10</v>
      </c>
      <c r="AS147" s="162">
        <v>108</v>
      </c>
      <c r="AT147" s="169">
        <v>14.266842800528401</v>
      </c>
      <c r="AU147" s="162">
        <v>13</v>
      </c>
      <c r="AV147" s="163">
        <v>1</v>
      </c>
      <c r="AW147" s="162">
        <v>1</v>
      </c>
      <c r="AX147" s="162" t="s">
        <v>615</v>
      </c>
      <c r="AY147" s="162">
        <v>999999</v>
      </c>
      <c r="AZ147" s="170">
        <v>0</v>
      </c>
      <c r="BA147" s="162">
        <v>14</v>
      </c>
      <c r="BB147" s="168">
        <v>42242</v>
      </c>
      <c r="BC147" s="162">
        <v>102</v>
      </c>
      <c r="BD147" s="171">
        <v>41806</v>
      </c>
      <c r="BE147" s="162">
        <v>1</v>
      </c>
      <c r="BF147" s="163">
        <v>1</v>
      </c>
      <c r="BG147" s="162">
        <v>1</v>
      </c>
      <c r="BH147" s="162">
        <v>0</v>
      </c>
      <c r="BI147" s="162">
        <v>239</v>
      </c>
      <c r="BJ147" s="162">
        <v>18</v>
      </c>
      <c r="BK147" s="162">
        <v>114</v>
      </c>
      <c r="BL147" s="161">
        <v>965378.07407407416</v>
      </c>
      <c r="BM147" s="162" t="str">
        <f t="shared" si="2"/>
        <v>85/283</v>
      </c>
      <c r="BN147" s="142"/>
    </row>
    <row r="148" spans="1:66" x14ac:dyDescent="0.25">
      <c r="A148" s="2">
        <v>540093</v>
      </c>
      <c r="B148" s="2" t="s">
        <v>184</v>
      </c>
      <c r="C148" s="2" t="s">
        <v>11</v>
      </c>
      <c r="D148" s="2" t="s">
        <v>612</v>
      </c>
      <c r="E148" s="2" t="s">
        <v>616</v>
      </c>
      <c r="F148" s="2" t="s">
        <v>613</v>
      </c>
      <c r="G148" s="2">
        <v>3</v>
      </c>
      <c r="H148" s="2">
        <v>0</v>
      </c>
      <c r="I148" s="2">
        <v>0</v>
      </c>
      <c r="J148" s="2">
        <v>11.8</v>
      </c>
      <c r="K148" s="2">
        <v>170</v>
      </c>
      <c r="L148" s="55" t="s">
        <v>614</v>
      </c>
      <c r="M148" s="2">
        <v>999999</v>
      </c>
      <c r="N148" s="2">
        <v>0</v>
      </c>
      <c r="O148" s="2">
        <v>140</v>
      </c>
      <c r="P148" s="156" t="s">
        <v>614</v>
      </c>
      <c r="Q148" s="2">
        <v>999999</v>
      </c>
      <c r="R148" s="157">
        <v>3.0438956990000001</v>
      </c>
      <c r="S148" s="2">
        <v>12</v>
      </c>
      <c r="T148" s="158">
        <v>0.8</v>
      </c>
      <c r="U148" s="2">
        <v>258</v>
      </c>
      <c r="V148" s="55" t="s">
        <v>614</v>
      </c>
      <c r="W148" s="2">
        <v>999999</v>
      </c>
      <c r="X148" s="55" t="s">
        <v>614</v>
      </c>
      <c r="Y148" s="2">
        <v>999999</v>
      </c>
      <c r="Z148" s="2">
        <v>8</v>
      </c>
      <c r="AA148" s="2">
        <v>243</v>
      </c>
      <c r="AB148" s="2">
        <v>0</v>
      </c>
      <c r="AC148" s="2">
        <v>222</v>
      </c>
      <c r="AD148" s="105" t="s">
        <v>614</v>
      </c>
      <c r="AE148" s="2">
        <v>999999</v>
      </c>
      <c r="AF148" s="55" t="s">
        <v>614</v>
      </c>
      <c r="AG148" s="2">
        <v>999999</v>
      </c>
      <c r="AH148" s="55">
        <v>0</v>
      </c>
      <c r="AI148" s="2">
        <v>135</v>
      </c>
      <c r="AJ148" s="55">
        <v>0.26740000000000003</v>
      </c>
      <c r="AK148" s="2">
        <v>21</v>
      </c>
      <c r="AL148" s="30">
        <v>43145</v>
      </c>
      <c r="AM148" s="2">
        <v>26</v>
      </c>
      <c r="AN148" s="2">
        <v>18</v>
      </c>
      <c r="AO148" s="2">
        <v>156</v>
      </c>
      <c r="AP148" s="2">
        <v>0</v>
      </c>
      <c r="AQ148" s="2">
        <v>222</v>
      </c>
      <c r="AR148" s="55" t="s">
        <v>614</v>
      </c>
      <c r="AS148" s="2">
        <v>999999</v>
      </c>
      <c r="AT148" s="159">
        <v>0</v>
      </c>
      <c r="AU148" s="2">
        <v>81</v>
      </c>
      <c r="AV148" s="55">
        <v>0</v>
      </c>
      <c r="AW148" s="2">
        <v>194</v>
      </c>
      <c r="AX148" s="2" t="s">
        <v>615</v>
      </c>
      <c r="AY148" s="2">
        <v>999999</v>
      </c>
      <c r="AZ148" s="106">
        <v>0</v>
      </c>
      <c r="BA148" s="2">
        <v>14</v>
      </c>
      <c r="BB148" s="30">
        <v>43172</v>
      </c>
      <c r="BC148" s="2">
        <v>180</v>
      </c>
      <c r="BD148" s="160">
        <v>43530</v>
      </c>
      <c r="BE148" s="2">
        <v>51</v>
      </c>
      <c r="BF148" s="55">
        <v>0</v>
      </c>
      <c r="BG148" s="2">
        <v>183</v>
      </c>
      <c r="BH148" s="2">
        <v>1</v>
      </c>
      <c r="BI148" s="2">
        <v>151</v>
      </c>
      <c r="BJ148" s="2">
        <v>18</v>
      </c>
      <c r="BK148" s="2">
        <v>114</v>
      </c>
      <c r="BL148" s="161">
        <v>7706173.7037037024</v>
      </c>
      <c r="BM148" s="2" t="str">
        <f t="shared" si="2"/>
        <v>274/283</v>
      </c>
      <c r="BN148" s="142"/>
    </row>
    <row r="149" spans="1:66" x14ac:dyDescent="0.25">
      <c r="A149" s="162">
        <v>540020</v>
      </c>
      <c r="B149" s="162" t="s">
        <v>14</v>
      </c>
      <c r="C149" s="162" t="s">
        <v>15</v>
      </c>
      <c r="D149" s="162" t="s">
        <v>617</v>
      </c>
      <c r="E149" s="162" t="s">
        <v>616</v>
      </c>
      <c r="F149" s="162" t="s">
        <v>613</v>
      </c>
      <c r="G149" s="162">
        <v>3</v>
      </c>
      <c r="H149" s="162">
        <v>0</v>
      </c>
      <c r="I149" s="162">
        <v>2</v>
      </c>
      <c r="J149" s="162" t="s">
        <v>614</v>
      </c>
      <c r="K149" s="162">
        <v>999999</v>
      </c>
      <c r="L149" s="163">
        <v>0</v>
      </c>
      <c r="M149" s="162">
        <v>118</v>
      </c>
      <c r="N149" s="162">
        <v>0</v>
      </c>
      <c r="O149" s="162">
        <v>140</v>
      </c>
      <c r="P149" s="164">
        <v>1003465</v>
      </c>
      <c r="Q149" s="162">
        <v>72</v>
      </c>
      <c r="R149" s="165">
        <v>0.230783511</v>
      </c>
      <c r="S149" s="162">
        <v>126</v>
      </c>
      <c r="T149" s="166">
        <v>0.9</v>
      </c>
      <c r="U149" s="162">
        <v>107</v>
      </c>
      <c r="V149" s="163">
        <v>26</v>
      </c>
      <c r="W149" s="162">
        <v>56</v>
      </c>
      <c r="X149" s="163">
        <v>144</v>
      </c>
      <c r="Y149" s="162">
        <v>52</v>
      </c>
      <c r="Z149" s="162">
        <v>13</v>
      </c>
      <c r="AA149" s="162">
        <v>78</v>
      </c>
      <c r="AB149" s="162">
        <v>24</v>
      </c>
      <c r="AC149" s="162">
        <v>68</v>
      </c>
      <c r="AD149" s="167">
        <v>53</v>
      </c>
      <c r="AE149" s="162">
        <v>76</v>
      </c>
      <c r="AF149" s="163">
        <v>37</v>
      </c>
      <c r="AG149" s="162">
        <v>46</v>
      </c>
      <c r="AH149" s="163">
        <v>649</v>
      </c>
      <c r="AI149" s="162">
        <v>65</v>
      </c>
      <c r="AJ149" s="163">
        <v>0.4753</v>
      </c>
      <c r="AK149" s="162">
        <v>125</v>
      </c>
      <c r="AL149" s="168">
        <v>43145</v>
      </c>
      <c r="AM149" s="162">
        <v>26</v>
      </c>
      <c r="AN149" s="162">
        <v>1</v>
      </c>
      <c r="AO149" s="162">
        <v>36</v>
      </c>
      <c r="AP149" s="162">
        <v>24</v>
      </c>
      <c r="AQ149" s="162">
        <v>68</v>
      </c>
      <c r="AR149" s="163">
        <v>37</v>
      </c>
      <c r="AS149" s="162">
        <v>46</v>
      </c>
      <c r="AT149" s="169">
        <v>2.9275808936825887</v>
      </c>
      <c r="AU149" s="162">
        <v>64</v>
      </c>
      <c r="AV149" s="163">
        <v>1</v>
      </c>
      <c r="AW149" s="162">
        <v>1</v>
      </c>
      <c r="AX149" s="162" t="s">
        <v>615</v>
      </c>
      <c r="AY149" s="162">
        <v>999999</v>
      </c>
      <c r="AZ149" s="170">
        <v>0</v>
      </c>
      <c r="BA149" s="162">
        <v>14</v>
      </c>
      <c r="BB149" s="168">
        <v>43446</v>
      </c>
      <c r="BC149" s="162">
        <v>247</v>
      </c>
      <c r="BD149" s="171">
        <v>43530</v>
      </c>
      <c r="BE149" s="162">
        <v>51</v>
      </c>
      <c r="BF149" s="163">
        <v>1</v>
      </c>
      <c r="BG149" s="162">
        <v>1</v>
      </c>
      <c r="BH149" s="162">
        <v>2</v>
      </c>
      <c r="BI149" s="162">
        <v>68</v>
      </c>
      <c r="BJ149" s="162">
        <v>1</v>
      </c>
      <c r="BK149" s="162">
        <v>231</v>
      </c>
      <c r="BL149" s="161">
        <v>1927832.592592593</v>
      </c>
      <c r="BM149" s="162" t="str">
        <f t="shared" si="2"/>
        <v>241/283</v>
      </c>
      <c r="BN149" s="142"/>
    </row>
    <row r="150" spans="1:66" x14ac:dyDescent="0.25">
      <c r="A150" s="162">
        <v>540024</v>
      </c>
      <c r="B150" s="162" t="s">
        <v>18</v>
      </c>
      <c r="C150" s="162" t="s">
        <v>19</v>
      </c>
      <c r="D150" s="162" t="s">
        <v>617</v>
      </c>
      <c r="E150" s="162" t="s">
        <v>616</v>
      </c>
      <c r="F150" s="162" t="s">
        <v>613</v>
      </c>
      <c r="G150" s="162">
        <v>3</v>
      </c>
      <c r="H150" s="162">
        <v>0</v>
      </c>
      <c r="I150" s="162">
        <v>2</v>
      </c>
      <c r="J150" s="162">
        <v>0</v>
      </c>
      <c r="K150" s="162">
        <v>275</v>
      </c>
      <c r="L150" s="163">
        <v>2</v>
      </c>
      <c r="M150" s="162">
        <v>84</v>
      </c>
      <c r="N150" s="162">
        <v>0</v>
      </c>
      <c r="O150" s="162">
        <v>140</v>
      </c>
      <c r="P150" s="164">
        <v>281210</v>
      </c>
      <c r="Q150" s="162">
        <v>123</v>
      </c>
      <c r="R150" s="165">
        <v>4.6566746090000004</v>
      </c>
      <c r="S150" s="162">
        <v>7</v>
      </c>
      <c r="T150" s="166">
        <v>0.94</v>
      </c>
      <c r="U150" s="162">
        <v>11</v>
      </c>
      <c r="V150" s="163">
        <v>51</v>
      </c>
      <c r="W150" s="162">
        <v>31</v>
      </c>
      <c r="X150" s="163">
        <v>42</v>
      </c>
      <c r="Y150" s="162">
        <v>107</v>
      </c>
      <c r="Z150" s="162">
        <v>13</v>
      </c>
      <c r="AA150" s="162">
        <v>78</v>
      </c>
      <c r="AB150" s="162">
        <v>22</v>
      </c>
      <c r="AC150" s="162">
        <v>70</v>
      </c>
      <c r="AD150" s="167">
        <v>43</v>
      </c>
      <c r="AE150" s="162">
        <v>83</v>
      </c>
      <c r="AF150" s="163">
        <v>6</v>
      </c>
      <c r="AG150" s="162">
        <v>124</v>
      </c>
      <c r="AH150" s="163">
        <v>834</v>
      </c>
      <c r="AI150" s="162">
        <v>59</v>
      </c>
      <c r="AJ150" s="163">
        <v>0.41610000000000003</v>
      </c>
      <c r="AK150" s="162">
        <v>102</v>
      </c>
      <c r="AL150" s="168">
        <v>43145</v>
      </c>
      <c r="AM150" s="162">
        <v>26</v>
      </c>
      <c r="AN150" s="162">
        <v>0</v>
      </c>
      <c r="AO150" s="162">
        <v>1</v>
      </c>
      <c r="AP150" s="162">
        <v>22</v>
      </c>
      <c r="AQ150" s="162">
        <v>70</v>
      </c>
      <c r="AR150" s="163">
        <v>6</v>
      </c>
      <c r="AS150" s="162">
        <v>124</v>
      </c>
      <c r="AT150" s="169">
        <v>10.071942446043165</v>
      </c>
      <c r="AU150" s="162">
        <v>26</v>
      </c>
      <c r="AV150" s="163">
        <v>1</v>
      </c>
      <c r="AW150" s="162">
        <v>1</v>
      </c>
      <c r="AX150" s="162" t="s">
        <v>615</v>
      </c>
      <c r="AY150" s="162">
        <v>999999</v>
      </c>
      <c r="AZ150" s="170">
        <v>0</v>
      </c>
      <c r="BA150" s="162">
        <v>14</v>
      </c>
      <c r="BB150" s="168">
        <v>43034</v>
      </c>
      <c r="BC150" s="162">
        <v>158</v>
      </c>
      <c r="BD150" s="171">
        <v>43558</v>
      </c>
      <c r="BE150" s="162">
        <v>58</v>
      </c>
      <c r="BF150" s="163">
        <v>1</v>
      </c>
      <c r="BG150" s="162">
        <v>1</v>
      </c>
      <c r="BH150" s="162">
        <v>9</v>
      </c>
      <c r="BI150" s="162">
        <v>12</v>
      </c>
      <c r="BJ150" s="162">
        <v>0</v>
      </c>
      <c r="BK150" s="162">
        <v>249</v>
      </c>
      <c r="BL150" s="161">
        <v>964920.66666666651</v>
      </c>
      <c r="BM150" s="162" t="str">
        <f t="shared" si="2"/>
        <v>33/283</v>
      </c>
      <c r="BN150" s="142"/>
    </row>
    <row r="151" spans="1:66" x14ac:dyDescent="0.25">
      <c r="A151" s="162">
        <v>540026</v>
      </c>
      <c r="B151" s="162" t="s">
        <v>20</v>
      </c>
      <c r="C151" s="162" t="s">
        <v>21</v>
      </c>
      <c r="D151" s="162" t="s">
        <v>617</v>
      </c>
      <c r="E151" s="162" t="s">
        <v>616</v>
      </c>
      <c r="F151" s="162" t="s">
        <v>613</v>
      </c>
      <c r="G151" s="162">
        <v>3</v>
      </c>
      <c r="H151" s="162">
        <v>0</v>
      </c>
      <c r="I151" s="162">
        <v>2</v>
      </c>
      <c r="J151" s="162">
        <v>36</v>
      </c>
      <c r="K151" s="162">
        <v>85</v>
      </c>
      <c r="L151" s="163">
        <v>12</v>
      </c>
      <c r="M151" s="162">
        <v>30</v>
      </c>
      <c r="N151" s="162">
        <v>0</v>
      </c>
      <c r="O151" s="162">
        <v>140</v>
      </c>
      <c r="P151" s="164">
        <v>2093163</v>
      </c>
      <c r="Q151" s="162">
        <v>45</v>
      </c>
      <c r="R151" s="165">
        <v>-0.85845514599999995</v>
      </c>
      <c r="S151" s="162">
        <v>250</v>
      </c>
      <c r="T151" s="166">
        <v>0.91</v>
      </c>
      <c r="U151" s="162">
        <v>70</v>
      </c>
      <c r="V151" s="163">
        <v>55</v>
      </c>
      <c r="W151" s="162">
        <v>30</v>
      </c>
      <c r="X151" s="163">
        <v>194</v>
      </c>
      <c r="Y151" s="162">
        <v>38</v>
      </c>
      <c r="Z151" s="162">
        <v>11</v>
      </c>
      <c r="AA151" s="162">
        <v>155</v>
      </c>
      <c r="AB151" s="162">
        <v>69</v>
      </c>
      <c r="AC151" s="162">
        <v>23</v>
      </c>
      <c r="AD151" s="167">
        <v>162</v>
      </c>
      <c r="AE151" s="162">
        <v>24</v>
      </c>
      <c r="AF151" s="163">
        <v>36</v>
      </c>
      <c r="AG151" s="162">
        <v>48</v>
      </c>
      <c r="AH151" s="163">
        <v>2903</v>
      </c>
      <c r="AI151" s="162">
        <v>13</v>
      </c>
      <c r="AJ151" s="163">
        <v>0.77170000000000005</v>
      </c>
      <c r="AK151" s="162">
        <v>255</v>
      </c>
      <c r="AL151" s="168">
        <v>42543</v>
      </c>
      <c r="AM151" s="162">
        <v>161</v>
      </c>
      <c r="AN151" s="162">
        <v>36</v>
      </c>
      <c r="AO151" s="162">
        <v>188</v>
      </c>
      <c r="AP151" s="162">
        <v>69</v>
      </c>
      <c r="AQ151" s="162">
        <v>23</v>
      </c>
      <c r="AR151" s="163">
        <v>36</v>
      </c>
      <c r="AS151" s="162">
        <v>48</v>
      </c>
      <c r="AT151" s="169">
        <v>-4.409231829142267</v>
      </c>
      <c r="AU151" s="162">
        <v>245</v>
      </c>
      <c r="AV151" s="163">
        <v>1</v>
      </c>
      <c r="AW151" s="162">
        <v>1</v>
      </c>
      <c r="AX151" s="162">
        <v>9</v>
      </c>
      <c r="AY151" s="162">
        <v>8</v>
      </c>
      <c r="AZ151" s="170">
        <v>1</v>
      </c>
      <c r="BA151" s="162">
        <v>1</v>
      </c>
      <c r="BB151" s="168">
        <v>43124</v>
      </c>
      <c r="BC151" s="162">
        <v>168</v>
      </c>
      <c r="BD151" s="171">
        <v>42324</v>
      </c>
      <c r="BE151" s="162">
        <v>35</v>
      </c>
      <c r="BF151" s="163">
        <v>1</v>
      </c>
      <c r="BG151" s="162">
        <v>1</v>
      </c>
      <c r="BH151" s="162">
        <v>4</v>
      </c>
      <c r="BI151" s="162">
        <v>34</v>
      </c>
      <c r="BJ151" s="162">
        <v>36</v>
      </c>
      <c r="BK151" s="162">
        <v>87</v>
      </c>
      <c r="BL151" s="161">
        <v>2124.2962962962961</v>
      </c>
      <c r="BM151" s="162" t="str">
        <f t="shared" si="2"/>
        <v>9/283</v>
      </c>
      <c r="BN151" s="142"/>
    </row>
    <row r="152" spans="1:66" x14ac:dyDescent="0.25">
      <c r="A152" s="2">
        <v>540027</v>
      </c>
      <c r="B152" s="2" t="s">
        <v>132</v>
      </c>
      <c r="C152" s="2" t="s">
        <v>21</v>
      </c>
      <c r="D152" s="2" t="s">
        <v>612</v>
      </c>
      <c r="E152" s="2" t="s">
        <v>616</v>
      </c>
      <c r="F152" s="2" t="s">
        <v>613</v>
      </c>
      <c r="G152" s="2">
        <v>3</v>
      </c>
      <c r="H152" s="2">
        <v>0</v>
      </c>
      <c r="I152" s="2">
        <v>2</v>
      </c>
      <c r="J152" s="2">
        <v>36</v>
      </c>
      <c r="K152" s="2">
        <v>85</v>
      </c>
      <c r="L152" s="55">
        <v>0</v>
      </c>
      <c r="M152" s="2">
        <v>118</v>
      </c>
      <c r="N152" s="2">
        <v>0</v>
      </c>
      <c r="O152" s="2">
        <v>140</v>
      </c>
      <c r="P152" s="156">
        <v>1357</v>
      </c>
      <c r="Q152" s="2">
        <v>242</v>
      </c>
      <c r="R152" s="157">
        <v>-0.85845514599999995</v>
      </c>
      <c r="S152" s="2">
        <v>250</v>
      </c>
      <c r="T152" s="158">
        <v>0.91</v>
      </c>
      <c r="U152" s="2">
        <v>70</v>
      </c>
      <c r="V152" s="55">
        <v>0</v>
      </c>
      <c r="W152" s="2">
        <v>230</v>
      </c>
      <c r="X152" s="55">
        <v>3</v>
      </c>
      <c r="Y152" s="2">
        <v>218</v>
      </c>
      <c r="Z152" s="2">
        <v>11</v>
      </c>
      <c r="AA152" s="2">
        <v>155</v>
      </c>
      <c r="AB152" s="2">
        <v>0</v>
      </c>
      <c r="AC152" s="2">
        <v>222</v>
      </c>
      <c r="AD152" s="105">
        <v>1</v>
      </c>
      <c r="AE152" s="2">
        <v>242</v>
      </c>
      <c r="AF152" s="55">
        <v>0</v>
      </c>
      <c r="AG152" s="2">
        <v>184</v>
      </c>
      <c r="AH152" s="55">
        <v>0</v>
      </c>
      <c r="AI152" s="2">
        <v>135</v>
      </c>
      <c r="AJ152" s="55">
        <v>0.77170000000000005</v>
      </c>
      <c r="AK152" s="2">
        <v>255</v>
      </c>
      <c r="AL152" s="30">
        <v>42543</v>
      </c>
      <c r="AM152" s="2">
        <v>161</v>
      </c>
      <c r="AN152" s="2">
        <v>36</v>
      </c>
      <c r="AO152" s="2">
        <v>188</v>
      </c>
      <c r="AP152" s="2">
        <v>0</v>
      </c>
      <c r="AQ152" s="2">
        <v>222</v>
      </c>
      <c r="AR152" s="55">
        <v>0</v>
      </c>
      <c r="AS152" s="2">
        <v>184</v>
      </c>
      <c r="AT152" s="159">
        <v>0</v>
      </c>
      <c r="AU152" s="2">
        <v>81</v>
      </c>
      <c r="AV152" s="55">
        <v>0</v>
      </c>
      <c r="AW152" s="2">
        <v>194</v>
      </c>
      <c r="AX152" s="2" t="s">
        <v>615</v>
      </c>
      <c r="AY152" s="2">
        <v>999999</v>
      </c>
      <c r="AZ152" s="106">
        <v>0</v>
      </c>
      <c r="BA152" s="2">
        <v>14</v>
      </c>
      <c r="BB152" s="30">
        <v>32904</v>
      </c>
      <c r="BC152" s="2">
        <v>7</v>
      </c>
      <c r="BD152" s="160">
        <v>42324</v>
      </c>
      <c r="BE152" s="2">
        <v>35</v>
      </c>
      <c r="BF152" s="55">
        <v>1</v>
      </c>
      <c r="BG152" s="2">
        <v>1</v>
      </c>
      <c r="BH152" s="2">
        <v>1</v>
      </c>
      <c r="BI152" s="2">
        <v>151</v>
      </c>
      <c r="BJ152" s="2">
        <v>36</v>
      </c>
      <c r="BK152" s="2">
        <v>87</v>
      </c>
      <c r="BL152" s="161">
        <v>966689.62962962966</v>
      </c>
      <c r="BM152" s="2" t="str">
        <f t="shared" si="2"/>
        <v>236/283</v>
      </c>
      <c r="BN152" s="142"/>
    </row>
    <row r="153" spans="1:66" x14ac:dyDescent="0.25">
      <c r="A153" s="2">
        <v>540293</v>
      </c>
      <c r="B153" s="2" t="s">
        <v>330</v>
      </c>
      <c r="C153" s="2" t="s">
        <v>21</v>
      </c>
      <c r="D153" s="2" t="s">
        <v>612</v>
      </c>
      <c r="E153" s="2" t="s">
        <v>616</v>
      </c>
      <c r="F153" s="2" t="s">
        <v>613</v>
      </c>
      <c r="G153" s="2">
        <v>3</v>
      </c>
      <c r="H153" s="2">
        <v>0</v>
      </c>
      <c r="I153" s="2">
        <v>2</v>
      </c>
      <c r="J153" s="2">
        <v>36</v>
      </c>
      <c r="K153" s="2">
        <v>85</v>
      </c>
      <c r="L153" s="55" t="s">
        <v>614</v>
      </c>
      <c r="M153" s="2">
        <v>999999</v>
      </c>
      <c r="N153" s="2">
        <v>0</v>
      </c>
      <c r="O153" s="2">
        <v>140</v>
      </c>
      <c r="P153" s="156">
        <v>0</v>
      </c>
      <c r="Q153" s="2">
        <v>248</v>
      </c>
      <c r="R153" s="157">
        <v>-0.85845514599999995</v>
      </c>
      <c r="S153" s="2">
        <v>250</v>
      </c>
      <c r="T153" s="158">
        <v>0.91</v>
      </c>
      <c r="U153" s="2">
        <v>70</v>
      </c>
      <c r="V153" s="55" t="s">
        <v>614</v>
      </c>
      <c r="W153" s="2">
        <v>999999</v>
      </c>
      <c r="X153" s="55">
        <v>1</v>
      </c>
      <c r="Y153" s="2">
        <v>237</v>
      </c>
      <c r="Z153" s="2">
        <v>11</v>
      </c>
      <c r="AA153" s="2">
        <v>155</v>
      </c>
      <c r="AB153" s="2">
        <v>0</v>
      </c>
      <c r="AC153" s="2">
        <v>222</v>
      </c>
      <c r="AD153" s="105">
        <v>5</v>
      </c>
      <c r="AE153" s="2">
        <v>194</v>
      </c>
      <c r="AF153" s="55" t="s">
        <v>614</v>
      </c>
      <c r="AG153" s="2">
        <v>999999</v>
      </c>
      <c r="AH153" s="55">
        <v>0</v>
      </c>
      <c r="AI153" s="2">
        <v>135</v>
      </c>
      <c r="AJ153" s="55">
        <v>0.77170000000000005</v>
      </c>
      <c r="AK153" s="2">
        <v>255</v>
      </c>
      <c r="AL153" s="30">
        <v>42543</v>
      </c>
      <c r="AM153" s="2">
        <v>161</v>
      </c>
      <c r="AN153" s="2">
        <v>36</v>
      </c>
      <c r="AO153" s="2">
        <v>188</v>
      </c>
      <c r="AP153" s="2">
        <v>0</v>
      </c>
      <c r="AQ153" s="2">
        <v>222</v>
      </c>
      <c r="AR153" s="55" t="s">
        <v>614</v>
      </c>
      <c r="AS153" s="2">
        <v>999999</v>
      </c>
      <c r="AT153" s="159">
        <v>0</v>
      </c>
      <c r="AU153" s="2">
        <v>81</v>
      </c>
      <c r="AV153" s="55">
        <v>0</v>
      </c>
      <c r="AW153" s="2">
        <v>194</v>
      </c>
      <c r="AX153" s="2" t="s">
        <v>615</v>
      </c>
      <c r="AY153" s="2">
        <v>999999</v>
      </c>
      <c r="AZ153" s="106">
        <v>0</v>
      </c>
      <c r="BA153" s="2">
        <v>14</v>
      </c>
      <c r="BB153" s="30">
        <v>42943</v>
      </c>
      <c r="BC153" s="2">
        <v>125</v>
      </c>
      <c r="BD153" s="160">
        <v>41848</v>
      </c>
      <c r="BE153" s="2">
        <v>29</v>
      </c>
      <c r="BF153" s="55">
        <v>0</v>
      </c>
      <c r="BG153" s="2">
        <v>183</v>
      </c>
      <c r="BH153" s="2">
        <v>3</v>
      </c>
      <c r="BI153" s="2">
        <v>46</v>
      </c>
      <c r="BJ153" s="2">
        <v>36</v>
      </c>
      <c r="BK153" s="2">
        <v>87</v>
      </c>
      <c r="BL153" s="161">
        <v>4818008</v>
      </c>
      <c r="BM153" s="2" t="str">
        <f t="shared" si="2"/>
        <v>267/283</v>
      </c>
      <c r="BN153" s="142"/>
    </row>
    <row r="154" spans="1:66" x14ac:dyDescent="0.25">
      <c r="A154" s="2">
        <v>540028</v>
      </c>
      <c r="B154" s="2" t="s">
        <v>133</v>
      </c>
      <c r="C154" s="2" t="s">
        <v>21</v>
      </c>
      <c r="D154" s="2" t="s">
        <v>612</v>
      </c>
      <c r="E154" s="2" t="s">
        <v>616</v>
      </c>
      <c r="F154" s="2" t="s">
        <v>613</v>
      </c>
      <c r="G154" s="2">
        <v>3</v>
      </c>
      <c r="H154" s="2">
        <v>0</v>
      </c>
      <c r="I154" s="2">
        <v>2</v>
      </c>
      <c r="J154" s="2">
        <v>36</v>
      </c>
      <c r="K154" s="2">
        <v>85</v>
      </c>
      <c r="L154" s="55">
        <v>0</v>
      </c>
      <c r="M154" s="2">
        <v>118</v>
      </c>
      <c r="N154" s="2">
        <v>0</v>
      </c>
      <c r="O154" s="2">
        <v>140</v>
      </c>
      <c r="P154" s="156">
        <v>8383</v>
      </c>
      <c r="Q154" s="2">
        <v>228</v>
      </c>
      <c r="R154" s="157">
        <v>-0.85845514599999995</v>
      </c>
      <c r="S154" s="2">
        <v>250</v>
      </c>
      <c r="T154" s="158">
        <v>0.91</v>
      </c>
      <c r="U154" s="2">
        <v>70</v>
      </c>
      <c r="V154" s="55">
        <v>0</v>
      </c>
      <c r="W154" s="2">
        <v>230</v>
      </c>
      <c r="X154" s="55">
        <v>8</v>
      </c>
      <c r="Y154" s="2">
        <v>188</v>
      </c>
      <c r="Z154" s="2">
        <v>11</v>
      </c>
      <c r="AA154" s="2">
        <v>155</v>
      </c>
      <c r="AB154" s="2">
        <v>0</v>
      </c>
      <c r="AC154" s="2">
        <v>222</v>
      </c>
      <c r="AD154" s="105">
        <v>10</v>
      </c>
      <c r="AE154" s="2">
        <v>154</v>
      </c>
      <c r="AF154" s="55">
        <v>0</v>
      </c>
      <c r="AG154" s="2">
        <v>184</v>
      </c>
      <c r="AH154" s="55">
        <v>0</v>
      </c>
      <c r="AI154" s="2">
        <v>135</v>
      </c>
      <c r="AJ154" s="55">
        <v>0.77170000000000005</v>
      </c>
      <c r="AK154" s="2">
        <v>255</v>
      </c>
      <c r="AL154" s="30">
        <v>42543</v>
      </c>
      <c r="AM154" s="2">
        <v>161</v>
      </c>
      <c r="AN154" s="2">
        <v>36</v>
      </c>
      <c r="AO154" s="2">
        <v>188</v>
      </c>
      <c r="AP154" s="2">
        <v>0</v>
      </c>
      <c r="AQ154" s="2">
        <v>222</v>
      </c>
      <c r="AR154" s="55">
        <v>0</v>
      </c>
      <c r="AS154" s="2">
        <v>184</v>
      </c>
      <c r="AT154" s="159">
        <v>0</v>
      </c>
      <c r="AU154" s="2">
        <v>81</v>
      </c>
      <c r="AV154" s="55">
        <v>1</v>
      </c>
      <c r="AW154" s="2">
        <v>1</v>
      </c>
      <c r="AX154" s="2" t="s">
        <v>615</v>
      </c>
      <c r="AY154" s="2">
        <v>999999</v>
      </c>
      <c r="AZ154" s="106">
        <v>0</v>
      </c>
      <c r="BA154" s="2">
        <v>14</v>
      </c>
      <c r="BB154" s="30">
        <v>42116</v>
      </c>
      <c r="BC154" s="2">
        <v>88</v>
      </c>
      <c r="BD154" s="160">
        <v>42661</v>
      </c>
      <c r="BE154" s="2">
        <v>37</v>
      </c>
      <c r="BF154" s="55">
        <v>1</v>
      </c>
      <c r="BG154" s="2">
        <v>1</v>
      </c>
      <c r="BH154" s="2">
        <v>2</v>
      </c>
      <c r="BI154" s="2">
        <v>68</v>
      </c>
      <c r="BJ154" s="2">
        <v>36</v>
      </c>
      <c r="BK154" s="2">
        <v>87</v>
      </c>
      <c r="BL154" s="161">
        <v>966376.66666666674</v>
      </c>
      <c r="BM154" s="2" t="str">
        <f t="shared" si="2"/>
        <v>221/283</v>
      </c>
      <c r="BN154" s="142"/>
    </row>
    <row r="155" spans="1:66" x14ac:dyDescent="0.25">
      <c r="A155" s="2">
        <v>540031</v>
      </c>
      <c r="B155" s="2" t="s">
        <v>136</v>
      </c>
      <c r="C155" s="2" t="s">
        <v>21</v>
      </c>
      <c r="D155" s="2" t="s">
        <v>612</v>
      </c>
      <c r="E155" s="2" t="s">
        <v>616</v>
      </c>
      <c r="F155" s="2" t="s">
        <v>613</v>
      </c>
      <c r="G155" s="2">
        <v>3</v>
      </c>
      <c r="H155" s="2">
        <v>0</v>
      </c>
      <c r="I155" s="2">
        <v>2</v>
      </c>
      <c r="J155" s="2">
        <v>36</v>
      </c>
      <c r="K155" s="2">
        <v>85</v>
      </c>
      <c r="L155" s="55">
        <v>0</v>
      </c>
      <c r="M155" s="2">
        <v>118</v>
      </c>
      <c r="N155" s="2">
        <v>0</v>
      </c>
      <c r="O155" s="2">
        <v>140</v>
      </c>
      <c r="P155" s="156">
        <v>55583</v>
      </c>
      <c r="Q155" s="2">
        <v>183</v>
      </c>
      <c r="R155" s="157">
        <v>-0.85845514599999995</v>
      </c>
      <c r="S155" s="2">
        <v>250</v>
      </c>
      <c r="T155" s="158">
        <v>0.91</v>
      </c>
      <c r="U155" s="2">
        <v>70</v>
      </c>
      <c r="V155" s="55">
        <v>1</v>
      </c>
      <c r="W155" s="2">
        <v>197</v>
      </c>
      <c r="X155" s="55">
        <v>5</v>
      </c>
      <c r="Y155" s="2">
        <v>204</v>
      </c>
      <c r="Z155" s="2">
        <v>11</v>
      </c>
      <c r="AA155" s="2">
        <v>155</v>
      </c>
      <c r="AB155" s="2">
        <v>2</v>
      </c>
      <c r="AC155" s="2">
        <v>168</v>
      </c>
      <c r="AD155" s="105">
        <v>5</v>
      </c>
      <c r="AE155" s="2">
        <v>194</v>
      </c>
      <c r="AF155" s="55">
        <v>0</v>
      </c>
      <c r="AG155" s="2">
        <v>184</v>
      </c>
      <c r="AH155" s="55">
        <v>421</v>
      </c>
      <c r="AI155" s="2">
        <v>76</v>
      </c>
      <c r="AJ155" s="55">
        <v>0.77170000000000005</v>
      </c>
      <c r="AK155" s="2">
        <v>255</v>
      </c>
      <c r="AL155" s="30">
        <v>42543</v>
      </c>
      <c r="AM155" s="2">
        <v>161</v>
      </c>
      <c r="AN155" s="2">
        <v>36</v>
      </c>
      <c r="AO155" s="2">
        <v>188</v>
      </c>
      <c r="AP155" s="2">
        <v>2</v>
      </c>
      <c r="AQ155" s="2">
        <v>168</v>
      </c>
      <c r="AR155" s="55">
        <v>0</v>
      </c>
      <c r="AS155" s="2">
        <v>184</v>
      </c>
      <c r="AT155" s="159">
        <v>9.2636579572446553</v>
      </c>
      <c r="AU155" s="2">
        <v>31</v>
      </c>
      <c r="AV155" s="55">
        <v>0</v>
      </c>
      <c r="AW155" s="2">
        <v>194</v>
      </c>
      <c r="AX155" s="2" t="s">
        <v>615</v>
      </c>
      <c r="AY155" s="2">
        <v>999999</v>
      </c>
      <c r="AZ155" s="106">
        <v>0</v>
      </c>
      <c r="BA155" s="2">
        <v>14</v>
      </c>
      <c r="BB155" s="30">
        <v>42143</v>
      </c>
      <c r="BC155" s="2">
        <v>91</v>
      </c>
      <c r="BD155" s="160">
        <v>43530</v>
      </c>
      <c r="BE155" s="2">
        <v>51</v>
      </c>
      <c r="BF155" s="55">
        <v>1</v>
      </c>
      <c r="BG155" s="2">
        <v>1</v>
      </c>
      <c r="BH155" s="2">
        <v>2</v>
      </c>
      <c r="BI155" s="2">
        <v>68</v>
      </c>
      <c r="BJ155" s="2">
        <v>36</v>
      </c>
      <c r="BK155" s="2">
        <v>87</v>
      </c>
      <c r="BL155" s="161">
        <v>966348.74074074079</v>
      </c>
      <c r="BM155" s="2" t="str">
        <f t="shared" si="2"/>
        <v>219/283</v>
      </c>
      <c r="BN155" s="142"/>
    </row>
    <row r="156" spans="1:66" x14ac:dyDescent="0.25">
      <c r="A156" s="2">
        <v>540032</v>
      </c>
      <c r="B156" s="2" t="s">
        <v>137</v>
      </c>
      <c r="C156" s="2" t="s">
        <v>21</v>
      </c>
      <c r="D156" s="2" t="s">
        <v>612</v>
      </c>
      <c r="E156" s="2" t="s">
        <v>616</v>
      </c>
      <c r="F156" s="2" t="s">
        <v>613</v>
      </c>
      <c r="G156" s="2">
        <v>3</v>
      </c>
      <c r="H156" s="2">
        <v>0</v>
      </c>
      <c r="I156" s="2">
        <v>2</v>
      </c>
      <c r="J156" s="2">
        <v>36</v>
      </c>
      <c r="K156" s="2">
        <v>85</v>
      </c>
      <c r="L156" s="55">
        <v>4</v>
      </c>
      <c r="M156" s="2">
        <v>67</v>
      </c>
      <c r="N156" s="2">
        <v>0</v>
      </c>
      <c r="O156" s="2">
        <v>140</v>
      </c>
      <c r="P156" s="156">
        <v>203535</v>
      </c>
      <c r="Q156" s="2">
        <v>134</v>
      </c>
      <c r="R156" s="157">
        <v>-0.85845514599999995</v>
      </c>
      <c r="S156" s="2">
        <v>250</v>
      </c>
      <c r="T156" s="158">
        <v>0.91</v>
      </c>
      <c r="U156" s="2">
        <v>70</v>
      </c>
      <c r="V156" s="55">
        <v>3</v>
      </c>
      <c r="W156" s="2">
        <v>153</v>
      </c>
      <c r="X156" s="55">
        <v>24</v>
      </c>
      <c r="Y156" s="2">
        <v>136</v>
      </c>
      <c r="Z156" s="2">
        <v>11</v>
      </c>
      <c r="AA156" s="2">
        <v>155</v>
      </c>
      <c r="AB156" s="2">
        <v>2</v>
      </c>
      <c r="AC156" s="2">
        <v>168</v>
      </c>
      <c r="AD156" s="105">
        <v>2</v>
      </c>
      <c r="AE156" s="2">
        <v>228</v>
      </c>
      <c r="AF156" s="55">
        <v>8</v>
      </c>
      <c r="AG156" s="2">
        <v>119</v>
      </c>
      <c r="AH156" s="55">
        <v>0</v>
      </c>
      <c r="AI156" s="2">
        <v>135</v>
      </c>
      <c r="AJ156" s="55">
        <v>0.77170000000000005</v>
      </c>
      <c r="AK156" s="2">
        <v>255</v>
      </c>
      <c r="AL156" s="30">
        <v>42543</v>
      </c>
      <c r="AM156" s="2">
        <v>161</v>
      </c>
      <c r="AN156" s="2">
        <v>36</v>
      </c>
      <c r="AO156" s="2">
        <v>188</v>
      </c>
      <c r="AP156" s="2">
        <v>2</v>
      </c>
      <c r="AQ156" s="2">
        <v>168</v>
      </c>
      <c r="AR156" s="55">
        <v>8</v>
      </c>
      <c r="AS156" s="2">
        <v>119</v>
      </c>
      <c r="AT156" s="159">
        <v>0</v>
      </c>
      <c r="AU156" s="2">
        <v>81</v>
      </c>
      <c r="AV156" s="55">
        <v>1</v>
      </c>
      <c r="AW156" s="2">
        <v>1</v>
      </c>
      <c r="AX156" s="2" t="s">
        <v>615</v>
      </c>
      <c r="AY156" s="2">
        <v>999999</v>
      </c>
      <c r="AZ156" s="106">
        <v>0</v>
      </c>
      <c r="BA156" s="2">
        <v>14</v>
      </c>
      <c r="BB156" s="30">
        <v>42143</v>
      </c>
      <c r="BC156" s="2">
        <v>91</v>
      </c>
      <c r="BD156" s="160">
        <v>41848</v>
      </c>
      <c r="BE156" s="2">
        <v>29</v>
      </c>
      <c r="BF156" s="55">
        <v>1</v>
      </c>
      <c r="BG156" s="2">
        <v>1</v>
      </c>
      <c r="BH156" s="2">
        <v>1</v>
      </c>
      <c r="BI156" s="2">
        <v>151</v>
      </c>
      <c r="BJ156" s="2">
        <v>36</v>
      </c>
      <c r="BK156" s="2">
        <v>87</v>
      </c>
      <c r="BL156" s="161">
        <v>966030</v>
      </c>
      <c r="BM156" s="2" t="str">
        <f t="shared" si="2"/>
        <v>164/283</v>
      </c>
      <c r="BN156" s="142"/>
    </row>
    <row r="157" spans="1:66" x14ac:dyDescent="0.25">
      <c r="A157" s="2">
        <v>540033</v>
      </c>
      <c r="B157" s="2" t="s">
        <v>138</v>
      </c>
      <c r="C157" s="2" t="s">
        <v>21</v>
      </c>
      <c r="D157" s="2" t="s">
        <v>612</v>
      </c>
      <c r="E157" s="2" t="s">
        <v>616</v>
      </c>
      <c r="F157" s="2" t="s">
        <v>613</v>
      </c>
      <c r="G157" s="2">
        <v>3</v>
      </c>
      <c r="H157" s="2">
        <v>0</v>
      </c>
      <c r="I157" s="2">
        <v>2</v>
      </c>
      <c r="J157" s="2">
        <v>36</v>
      </c>
      <c r="K157" s="2">
        <v>85</v>
      </c>
      <c r="L157" s="55">
        <v>0</v>
      </c>
      <c r="M157" s="2">
        <v>118</v>
      </c>
      <c r="N157" s="2">
        <v>0</v>
      </c>
      <c r="O157" s="2">
        <v>140</v>
      </c>
      <c r="P157" s="156">
        <v>2349</v>
      </c>
      <c r="Q157" s="2">
        <v>238</v>
      </c>
      <c r="R157" s="157">
        <v>-0.85845514599999995</v>
      </c>
      <c r="S157" s="2">
        <v>250</v>
      </c>
      <c r="T157" s="158">
        <v>0.91</v>
      </c>
      <c r="U157" s="2">
        <v>70</v>
      </c>
      <c r="V157" s="55">
        <v>4</v>
      </c>
      <c r="W157" s="2">
        <v>142</v>
      </c>
      <c r="X157" s="55">
        <v>3</v>
      </c>
      <c r="Y157" s="2">
        <v>218</v>
      </c>
      <c r="Z157" s="2">
        <v>11</v>
      </c>
      <c r="AA157" s="2">
        <v>155</v>
      </c>
      <c r="AB157" s="2">
        <v>2</v>
      </c>
      <c r="AC157" s="2">
        <v>168</v>
      </c>
      <c r="AD157" s="105">
        <v>8</v>
      </c>
      <c r="AE157" s="2">
        <v>172</v>
      </c>
      <c r="AF157" s="55">
        <v>0</v>
      </c>
      <c r="AG157" s="2">
        <v>184</v>
      </c>
      <c r="AH157" s="55">
        <v>0</v>
      </c>
      <c r="AI157" s="2">
        <v>135</v>
      </c>
      <c r="AJ157" s="55">
        <v>0.77170000000000005</v>
      </c>
      <c r="AK157" s="2">
        <v>255</v>
      </c>
      <c r="AL157" s="30">
        <v>42543</v>
      </c>
      <c r="AM157" s="2">
        <v>161</v>
      </c>
      <c r="AN157" s="2">
        <v>36</v>
      </c>
      <c r="AO157" s="2">
        <v>188</v>
      </c>
      <c r="AP157" s="2">
        <v>2</v>
      </c>
      <c r="AQ157" s="2">
        <v>168</v>
      </c>
      <c r="AR157" s="55">
        <v>0</v>
      </c>
      <c r="AS157" s="2">
        <v>184</v>
      </c>
      <c r="AT157" s="159">
        <v>0</v>
      </c>
      <c r="AU157" s="2">
        <v>81</v>
      </c>
      <c r="AV157" s="55">
        <v>1</v>
      </c>
      <c r="AW157" s="2">
        <v>1</v>
      </c>
      <c r="AX157" s="2" t="s">
        <v>615</v>
      </c>
      <c r="AY157" s="2">
        <v>999999</v>
      </c>
      <c r="AZ157" s="106">
        <v>0</v>
      </c>
      <c r="BA157" s="2">
        <v>14</v>
      </c>
      <c r="BB157" s="30">
        <v>42143</v>
      </c>
      <c r="BC157" s="2">
        <v>91</v>
      </c>
      <c r="BD157" s="160">
        <v>41806</v>
      </c>
      <c r="BE157" s="2">
        <v>1</v>
      </c>
      <c r="BF157" s="55">
        <v>1</v>
      </c>
      <c r="BG157" s="2">
        <v>1</v>
      </c>
      <c r="BH157" s="2">
        <v>2</v>
      </c>
      <c r="BI157" s="2">
        <v>68</v>
      </c>
      <c r="BJ157" s="2">
        <v>36</v>
      </c>
      <c r="BK157" s="2">
        <v>87</v>
      </c>
      <c r="BL157" s="161">
        <v>966212</v>
      </c>
      <c r="BM157" s="2" t="str">
        <f t="shared" si="2"/>
        <v>202/283</v>
      </c>
      <c r="BN157" s="142"/>
    </row>
    <row r="158" spans="1:66" x14ac:dyDescent="0.25">
      <c r="A158" s="2">
        <v>540036</v>
      </c>
      <c r="B158" s="2" t="s">
        <v>139</v>
      </c>
      <c r="C158" s="2" t="s">
        <v>23</v>
      </c>
      <c r="D158" s="2" t="s">
        <v>612</v>
      </c>
      <c r="E158" s="2" t="s">
        <v>616</v>
      </c>
      <c r="F158" s="2" t="s">
        <v>613</v>
      </c>
      <c r="G158" s="2">
        <v>3</v>
      </c>
      <c r="H158" s="2">
        <v>0</v>
      </c>
      <c r="I158" s="2">
        <v>2</v>
      </c>
      <c r="J158" s="2">
        <v>5.4</v>
      </c>
      <c r="K158" s="2">
        <v>194</v>
      </c>
      <c r="L158" s="55">
        <v>0</v>
      </c>
      <c r="M158" s="2">
        <v>118</v>
      </c>
      <c r="N158" s="2">
        <v>0</v>
      </c>
      <c r="O158" s="2">
        <v>140</v>
      </c>
      <c r="P158" s="156">
        <v>3675798</v>
      </c>
      <c r="Q158" s="2">
        <v>22</v>
      </c>
      <c r="R158" s="157">
        <v>0.60482032799999996</v>
      </c>
      <c r="S158" s="2">
        <v>80</v>
      </c>
      <c r="T158" s="158">
        <v>0.89</v>
      </c>
      <c r="U158" s="2">
        <v>153</v>
      </c>
      <c r="V158" s="55">
        <v>11</v>
      </c>
      <c r="W158" s="2">
        <v>88</v>
      </c>
      <c r="X158" s="55">
        <v>277</v>
      </c>
      <c r="Y158" s="2">
        <v>25</v>
      </c>
      <c r="Z158" s="2">
        <v>15</v>
      </c>
      <c r="AA158" s="2">
        <v>44</v>
      </c>
      <c r="AB158" s="2">
        <v>20</v>
      </c>
      <c r="AC158" s="2">
        <v>76</v>
      </c>
      <c r="AD158" s="105">
        <v>44</v>
      </c>
      <c r="AE158" s="2">
        <v>80</v>
      </c>
      <c r="AF158" s="55">
        <v>121</v>
      </c>
      <c r="AG158" s="2">
        <v>11</v>
      </c>
      <c r="AH158" s="55">
        <v>0</v>
      </c>
      <c r="AI158" s="2">
        <v>135</v>
      </c>
      <c r="AJ158" s="55">
        <v>0.75390000000000001</v>
      </c>
      <c r="AK158" s="2">
        <v>245</v>
      </c>
      <c r="AL158" s="30">
        <v>42543</v>
      </c>
      <c r="AM158" s="2">
        <v>161</v>
      </c>
      <c r="AN158" s="2">
        <v>0</v>
      </c>
      <c r="AO158" s="2">
        <v>1</v>
      </c>
      <c r="AP158" s="2">
        <v>20</v>
      </c>
      <c r="AQ158" s="2">
        <v>76</v>
      </c>
      <c r="AR158" s="55">
        <v>121</v>
      </c>
      <c r="AS158" s="2">
        <v>11</v>
      </c>
      <c r="AT158" s="159">
        <v>0</v>
      </c>
      <c r="AU158" s="2">
        <v>81</v>
      </c>
      <c r="AV158" s="55">
        <v>1</v>
      </c>
      <c r="AW158" s="2">
        <v>1</v>
      </c>
      <c r="AX158" s="2" t="s">
        <v>615</v>
      </c>
      <c r="AY158" s="2">
        <v>999999</v>
      </c>
      <c r="AZ158" s="106">
        <v>0</v>
      </c>
      <c r="BA158" s="2">
        <v>14</v>
      </c>
      <c r="BB158" s="30">
        <v>43452</v>
      </c>
      <c r="BC158" s="2">
        <v>249</v>
      </c>
      <c r="BD158" s="160">
        <v>41806</v>
      </c>
      <c r="BE158" s="2">
        <v>1</v>
      </c>
      <c r="BF158" s="55">
        <v>0</v>
      </c>
      <c r="BG158" s="2">
        <v>183</v>
      </c>
      <c r="BH158" s="2">
        <v>1</v>
      </c>
      <c r="BI158" s="2">
        <v>151</v>
      </c>
      <c r="BJ158" s="2">
        <v>0</v>
      </c>
      <c r="BK158" s="2">
        <v>249</v>
      </c>
      <c r="BL158" s="161">
        <v>965455.11111111101</v>
      </c>
      <c r="BM158" s="2" t="str">
        <f t="shared" si="2"/>
        <v>92/283</v>
      </c>
      <c r="BN158" s="142"/>
    </row>
    <row r="159" spans="1:66" x14ac:dyDescent="0.25">
      <c r="A159" s="2">
        <v>540037</v>
      </c>
      <c r="B159" s="2" t="s">
        <v>140</v>
      </c>
      <c r="C159" s="2" t="s">
        <v>23</v>
      </c>
      <c r="D159" s="2" t="s">
        <v>612</v>
      </c>
      <c r="E159" s="2" t="s">
        <v>616</v>
      </c>
      <c r="F159" s="2" t="s">
        <v>613</v>
      </c>
      <c r="G159" s="2">
        <v>3</v>
      </c>
      <c r="H159" s="2">
        <v>0</v>
      </c>
      <c r="I159" s="2">
        <v>2</v>
      </c>
      <c r="J159" s="2">
        <v>5.4</v>
      </c>
      <c r="K159" s="2">
        <v>194</v>
      </c>
      <c r="L159" s="55">
        <v>2</v>
      </c>
      <c r="M159" s="2">
        <v>84</v>
      </c>
      <c r="N159" s="2">
        <v>0</v>
      </c>
      <c r="O159" s="2">
        <v>140</v>
      </c>
      <c r="P159" s="156">
        <v>171975</v>
      </c>
      <c r="Q159" s="2">
        <v>142</v>
      </c>
      <c r="R159" s="157">
        <v>0.60482032799999996</v>
      </c>
      <c r="S159" s="2">
        <v>80</v>
      </c>
      <c r="T159" s="158">
        <v>0.89</v>
      </c>
      <c r="U159" s="2">
        <v>153</v>
      </c>
      <c r="V159" s="55">
        <v>1</v>
      </c>
      <c r="W159" s="2">
        <v>197</v>
      </c>
      <c r="X159" s="55">
        <v>31</v>
      </c>
      <c r="Y159" s="2">
        <v>123</v>
      </c>
      <c r="Z159" s="2">
        <v>15</v>
      </c>
      <c r="AA159" s="2">
        <v>44</v>
      </c>
      <c r="AB159" s="2">
        <v>0</v>
      </c>
      <c r="AC159" s="2">
        <v>222</v>
      </c>
      <c r="AD159" s="105">
        <v>3</v>
      </c>
      <c r="AE159" s="2">
        <v>213</v>
      </c>
      <c r="AF159" s="55">
        <v>9</v>
      </c>
      <c r="AG159" s="2">
        <v>112</v>
      </c>
      <c r="AH159" s="55">
        <v>0</v>
      </c>
      <c r="AI159" s="2">
        <v>135</v>
      </c>
      <c r="AJ159" s="55">
        <v>0.75390000000000001</v>
      </c>
      <c r="AK159" s="2">
        <v>245</v>
      </c>
      <c r="AL159" s="30">
        <v>42543</v>
      </c>
      <c r="AM159" s="2">
        <v>161</v>
      </c>
      <c r="AN159" s="2">
        <v>0</v>
      </c>
      <c r="AO159" s="2">
        <v>1</v>
      </c>
      <c r="AP159" s="2">
        <v>0</v>
      </c>
      <c r="AQ159" s="2">
        <v>222</v>
      </c>
      <c r="AR159" s="55">
        <v>9</v>
      </c>
      <c r="AS159" s="2">
        <v>112</v>
      </c>
      <c r="AT159" s="159">
        <v>0</v>
      </c>
      <c r="AU159" s="2">
        <v>81</v>
      </c>
      <c r="AV159" s="55">
        <v>1</v>
      </c>
      <c r="AW159" s="2">
        <v>1</v>
      </c>
      <c r="AX159" s="2" t="s">
        <v>615</v>
      </c>
      <c r="AY159" s="2">
        <v>999999</v>
      </c>
      <c r="AZ159" s="106">
        <v>0</v>
      </c>
      <c r="BA159" s="2">
        <v>14</v>
      </c>
      <c r="BB159" s="30">
        <v>33373</v>
      </c>
      <c r="BC159" s="2">
        <v>14</v>
      </c>
      <c r="BD159" s="160">
        <v>41806</v>
      </c>
      <c r="BE159" s="2">
        <v>1</v>
      </c>
      <c r="BF159" s="55">
        <v>0</v>
      </c>
      <c r="BG159" s="2">
        <v>183</v>
      </c>
      <c r="BH159" s="2">
        <v>2</v>
      </c>
      <c r="BI159" s="2">
        <v>68</v>
      </c>
      <c r="BJ159" s="2">
        <v>0</v>
      </c>
      <c r="BK159" s="2">
        <v>249</v>
      </c>
      <c r="BL159" s="161">
        <v>966034.8148148146</v>
      </c>
      <c r="BM159" s="2" t="str">
        <f t="shared" si="2"/>
        <v>166/283</v>
      </c>
      <c r="BN159" s="142"/>
    </row>
    <row r="160" spans="1:66" x14ac:dyDescent="0.25">
      <c r="A160" s="162">
        <v>540038</v>
      </c>
      <c r="B160" s="162" t="s">
        <v>24</v>
      </c>
      <c r="C160" s="162" t="s">
        <v>25</v>
      </c>
      <c r="D160" s="162" t="s">
        <v>617</v>
      </c>
      <c r="E160" s="162" t="s">
        <v>616</v>
      </c>
      <c r="F160" s="162" t="s">
        <v>613</v>
      </c>
      <c r="G160" s="162">
        <v>3</v>
      </c>
      <c r="H160" s="162">
        <v>0</v>
      </c>
      <c r="I160" s="162">
        <v>2</v>
      </c>
      <c r="J160" s="162">
        <v>26.6</v>
      </c>
      <c r="K160" s="162">
        <v>101</v>
      </c>
      <c r="L160" s="163">
        <v>0</v>
      </c>
      <c r="M160" s="162">
        <v>118</v>
      </c>
      <c r="N160" s="162">
        <v>0</v>
      </c>
      <c r="O160" s="162">
        <v>140</v>
      </c>
      <c r="P160" s="164">
        <v>967498</v>
      </c>
      <c r="Q160" s="162">
        <v>74</v>
      </c>
      <c r="R160" s="165">
        <v>2.0078487919999999</v>
      </c>
      <c r="S160" s="162">
        <v>32</v>
      </c>
      <c r="T160" s="166">
        <v>0.91</v>
      </c>
      <c r="U160" s="162">
        <v>70</v>
      </c>
      <c r="V160" s="163">
        <v>25</v>
      </c>
      <c r="W160" s="162">
        <v>59</v>
      </c>
      <c r="X160" s="163">
        <v>47</v>
      </c>
      <c r="Y160" s="162">
        <v>99</v>
      </c>
      <c r="Z160" s="162">
        <v>8</v>
      </c>
      <c r="AA160" s="162">
        <v>243</v>
      </c>
      <c r="AB160" s="162">
        <v>13</v>
      </c>
      <c r="AC160" s="162">
        <v>93</v>
      </c>
      <c r="AD160" s="167">
        <v>72</v>
      </c>
      <c r="AE160" s="162">
        <v>57</v>
      </c>
      <c r="AF160" s="163">
        <v>12</v>
      </c>
      <c r="AG160" s="162">
        <v>94</v>
      </c>
      <c r="AH160" s="163">
        <v>693</v>
      </c>
      <c r="AI160" s="162">
        <v>64</v>
      </c>
      <c r="AJ160" s="163">
        <v>0.33050000000000002</v>
      </c>
      <c r="AK160" s="162">
        <v>41</v>
      </c>
      <c r="AL160" s="168">
        <v>43248</v>
      </c>
      <c r="AM160" s="162">
        <v>1</v>
      </c>
      <c r="AN160" s="162">
        <v>2</v>
      </c>
      <c r="AO160" s="162">
        <v>54</v>
      </c>
      <c r="AP160" s="162">
        <v>13</v>
      </c>
      <c r="AQ160" s="162">
        <v>93</v>
      </c>
      <c r="AR160" s="163">
        <v>12</v>
      </c>
      <c r="AS160" s="162">
        <v>94</v>
      </c>
      <c r="AT160" s="169">
        <v>0.86580086580086579</v>
      </c>
      <c r="AU160" s="162">
        <v>74</v>
      </c>
      <c r="AV160" s="163">
        <v>1</v>
      </c>
      <c r="AW160" s="162">
        <v>1</v>
      </c>
      <c r="AX160" s="162" t="s">
        <v>615</v>
      </c>
      <c r="AY160" s="162">
        <v>999999</v>
      </c>
      <c r="AZ160" s="170">
        <v>0</v>
      </c>
      <c r="BA160" s="162">
        <v>14</v>
      </c>
      <c r="BB160" s="168">
        <v>33332</v>
      </c>
      <c r="BC160" s="162">
        <v>12</v>
      </c>
      <c r="BD160" s="171">
        <v>41806</v>
      </c>
      <c r="BE160" s="162">
        <v>1</v>
      </c>
      <c r="BF160" s="163">
        <v>1</v>
      </c>
      <c r="BG160" s="162">
        <v>1</v>
      </c>
      <c r="BH160" s="162">
        <v>5</v>
      </c>
      <c r="BI160" s="162">
        <v>26</v>
      </c>
      <c r="BJ160" s="162">
        <v>2</v>
      </c>
      <c r="BK160" s="162">
        <v>228</v>
      </c>
      <c r="BL160" s="161">
        <v>964776.22222222213</v>
      </c>
      <c r="BM160" s="162" t="str">
        <f t="shared" si="2"/>
        <v>26/283</v>
      </c>
      <c r="BN160" s="142"/>
    </row>
    <row r="161" spans="1:66" x14ac:dyDescent="0.25">
      <c r="A161" s="2">
        <v>540240</v>
      </c>
      <c r="B161" s="2" t="s">
        <v>287</v>
      </c>
      <c r="C161" s="2" t="s">
        <v>25</v>
      </c>
      <c r="D161" s="2" t="s">
        <v>612</v>
      </c>
      <c r="E161" s="2" t="s">
        <v>616</v>
      </c>
      <c r="F161" s="2" t="s">
        <v>613</v>
      </c>
      <c r="G161" s="2">
        <v>3</v>
      </c>
      <c r="H161" s="2">
        <v>0</v>
      </c>
      <c r="I161" s="2">
        <v>2</v>
      </c>
      <c r="J161" s="2">
        <v>26.6</v>
      </c>
      <c r="K161" s="2">
        <v>101</v>
      </c>
      <c r="L161" s="55">
        <v>0</v>
      </c>
      <c r="M161" s="2">
        <v>118</v>
      </c>
      <c r="N161" s="2">
        <v>0</v>
      </c>
      <c r="O161" s="2">
        <v>140</v>
      </c>
      <c r="P161" s="156">
        <v>0</v>
      </c>
      <c r="Q161" s="2">
        <v>248</v>
      </c>
      <c r="R161" s="157">
        <v>2.0078487919999999</v>
      </c>
      <c r="S161" s="2">
        <v>32</v>
      </c>
      <c r="T161" s="158">
        <v>0.91</v>
      </c>
      <c r="U161" s="2">
        <v>70</v>
      </c>
      <c r="V161" s="55">
        <v>1</v>
      </c>
      <c r="W161" s="2">
        <v>197</v>
      </c>
      <c r="X161" s="55">
        <v>0</v>
      </c>
      <c r="Y161" s="2">
        <v>256</v>
      </c>
      <c r="Z161" s="2">
        <v>8</v>
      </c>
      <c r="AA161" s="2">
        <v>243</v>
      </c>
      <c r="AB161" s="2">
        <v>0</v>
      </c>
      <c r="AC161" s="2">
        <v>222</v>
      </c>
      <c r="AD161" s="105">
        <v>1</v>
      </c>
      <c r="AE161" s="2">
        <v>242</v>
      </c>
      <c r="AF161" s="55">
        <v>0</v>
      </c>
      <c r="AG161" s="2">
        <v>184</v>
      </c>
      <c r="AH161" s="55">
        <v>0</v>
      </c>
      <c r="AI161" s="2">
        <v>135</v>
      </c>
      <c r="AJ161" s="55">
        <v>0.33050000000000002</v>
      </c>
      <c r="AK161" s="2">
        <v>41</v>
      </c>
      <c r="AL161" s="30">
        <v>43248</v>
      </c>
      <c r="AM161" s="2">
        <v>1</v>
      </c>
      <c r="AN161" s="2">
        <v>2</v>
      </c>
      <c r="AO161" s="2">
        <v>54</v>
      </c>
      <c r="AP161" s="2">
        <v>0</v>
      </c>
      <c r="AQ161" s="2">
        <v>222</v>
      </c>
      <c r="AR161" s="55">
        <v>0</v>
      </c>
      <c r="AS161" s="2">
        <v>184</v>
      </c>
      <c r="AT161" s="159">
        <v>0</v>
      </c>
      <c r="AU161" s="2">
        <v>81</v>
      </c>
      <c r="AV161" s="55">
        <v>0</v>
      </c>
      <c r="AW161" s="2">
        <v>194</v>
      </c>
      <c r="AX161" s="2" t="s">
        <v>615</v>
      </c>
      <c r="AY161" s="2">
        <v>999999</v>
      </c>
      <c r="AZ161" s="106">
        <v>0</v>
      </c>
      <c r="BA161" s="2">
        <v>14</v>
      </c>
      <c r="BB161" s="30">
        <v>42144</v>
      </c>
      <c r="BC161" s="2">
        <v>96</v>
      </c>
      <c r="BD161" s="160">
        <v>41806</v>
      </c>
      <c r="BE161" s="2">
        <v>1</v>
      </c>
      <c r="BF161" s="55">
        <v>1</v>
      </c>
      <c r="BG161" s="2">
        <v>1</v>
      </c>
      <c r="BH161" s="2">
        <v>1</v>
      </c>
      <c r="BI161" s="2">
        <v>151</v>
      </c>
      <c r="BJ161" s="2">
        <v>2</v>
      </c>
      <c r="BK161" s="2">
        <v>228</v>
      </c>
      <c r="BL161" s="161">
        <v>966290</v>
      </c>
      <c r="BM161" s="2" t="str">
        <f t="shared" si="2"/>
        <v>212/283</v>
      </c>
      <c r="BN161" s="142"/>
    </row>
    <row r="162" spans="1:66" x14ac:dyDescent="0.25">
      <c r="A162" s="2">
        <v>540039</v>
      </c>
      <c r="B162" s="2" t="s">
        <v>622</v>
      </c>
      <c r="C162" s="2" t="s">
        <v>25</v>
      </c>
      <c r="D162" s="2" t="s">
        <v>612</v>
      </c>
      <c r="E162" s="2" t="s">
        <v>616</v>
      </c>
      <c r="F162" s="2" t="s">
        <v>613</v>
      </c>
      <c r="G162" s="2">
        <v>3</v>
      </c>
      <c r="H162" s="2">
        <v>0</v>
      </c>
      <c r="I162" s="2">
        <v>2</v>
      </c>
      <c r="J162" s="2">
        <v>26.6</v>
      </c>
      <c r="K162" s="2">
        <v>101</v>
      </c>
      <c r="L162" s="55">
        <v>0</v>
      </c>
      <c r="M162" s="2">
        <v>118</v>
      </c>
      <c r="N162" s="2">
        <v>0</v>
      </c>
      <c r="O162" s="2">
        <v>140</v>
      </c>
      <c r="P162" s="156">
        <v>2037150</v>
      </c>
      <c r="Q162" s="2">
        <v>46</v>
      </c>
      <c r="R162" s="157">
        <v>2.0078487919999999</v>
      </c>
      <c r="S162" s="2">
        <v>32</v>
      </c>
      <c r="T162" s="158">
        <v>0.91</v>
      </c>
      <c r="U162" s="2">
        <v>70</v>
      </c>
      <c r="V162" s="55">
        <v>10</v>
      </c>
      <c r="W162" s="2">
        <v>95</v>
      </c>
      <c r="X162" s="55">
        <v>107</v>
      </c>
      <c r="Y162" s="2">
        <v>62</v>
      </c>
      <c r="Z162" s="2">
        <v>8</v>
      </c>
      <c r="AA162" s="2">
        <v>243</v>
      </c>
      <c r="AB162" s="2">
        <v>0</v>
      </c>
      <c r="AC162" s="2">
        <v>222</v>
      </c>
      <c r="AD162" s="105">
        <v>31</v>
      </c>
      <c r="AE162" s="2">
        <v>96</v>
      </c>
      <c r="AF162" s="55">
        <v>20</v>
      </c>
      <c r="AG162" s="2">
        <v>67</v>
      </c>
      <c r="AH162" s="55">
        <v>295</v>
      </c>
      <c r="AI162" s="2">
        <v>85</v>
      </c>
      <c r="AJ162" s="55">
        <v>0.33050000000000002</v>
      </c>
      <c r="AK162" s="2">
        <v>41</v>
      </c>
      <c r="AL162" s="30">
        <v>43248</v>
      </c>
      <c r="AM162" s="2">
        <v>1</v>
      </c>
      <c r="AN162" s="2">
        <v>2</v>
      </c>
      <c r="AO162" s="2">
        <v>54</v>
      </c>
      <c r="AP162" s="2">
        <v>0</v>
      </c>
      <c r="AQ162" s="2">
        <v>222</v>
      </c>
      <c r="AR162" s="55">
        <v>20</v>
      </c>
      <c r="AS162" s="2">
        <v>67</v>
      </c>
      <c r="AT162" s="159">
        <v>0.33898305084745761</v>
      </c>
      <c r="AU162" s="2">
        <v>78</v>
      </c>
      <c r="AV162" s="55">
        <v>1</v>
      </c>
      <c r="AW162" s="2">
        <v>1</v>
      </c>
      <c r="AX162" s="2" t="s">
        <v>615</v>
      </c>
      <c r="AY162" s="2">
        <v>999999</v>
      </c>
      <c r="AZ162" s="106">
        <v>0</v>
      </c>
      <c r="BA162" s="2">
        <v>14</v>
      </c>
      <c r="BB162" s="30">
        <v>33332</v>
      </c>
      <c r="BC162" s="2">
        <v>12</v>
      </c>
      <c r="BD162" s="160">
        <v>43502</v>
      </c>
      <c r="BE162" s="2">
        <v>45</v>
      </c>
      <c r="BF162" s="55">
        <v>1</v>
      </c>
      <c r="BG162" s="2">
        <v>1</v>
      </c>
      <c r="BH162" s="2">
        <v>1</v>
      </c>
      <c r="BI162" s="2">
        <v>151</v>
      </c>
      <c r="BJ162" s="2">
        <v>2</v>
      </c>
      <c r="BK162" s="2">
        <v>228</v>
      </c>
      <c r="BL162" s="161">
        <v>965169.11111111112</v>
      </c>
      <c r="BM162" s="2" t="str">
        <f t="shared" si="2"/>
        <v>55/283</v>
      </c>
      <c r="BN162" s="142"/>
    </row>
    <row r="163" spans="1:66" x14ac:dyDescent="0.25">
      <c r="A163" s="162">
        <v>540040</v>
      </c>
      <c r="B163" s="162" t="s">
        <v>26</v>
      </c>
      <c r="C163" s="162" t="s">
        <v>27</v>
      </c>
      <c r="D163" s="162" t="s">
        <v>617</v>
      </c>
      <c r="E163" s="162" t="s">
        <v>616</v>
      </c>
      <c r="F163" s="162" t="s">
        <v>613</v>
      </c>
      <c r="G163" s="162">
        <v>3</v>
      </c>
      <c r="H163" s="162">
        <v>0</v>
      </c>
      <c r="I163" s="162">
        <v>2</v>
      </c>
      <c r="J163" s="162">
        <v>73.599999999999994</v>
      </c>
      <c r="K163" s="162">
        <v>48</v>
      </c>
      <c r="L163" s="163">
        <v>5</v>
      </c>
      <c r="M163" s="162">
        <v>61</v>
      </c>
      <c r="N163" s="162">
        <v>0</v>
      </c>
      <c r="O163" s="162">
        <v>140</v>
      </c>
      <c r="P163" s="164">
        <v>10227446</v>
      </c>
      <c r="Q163" s="162">
        <v>7</v>
      </c>
      <c r="R163" s="165">
        <v>-0.31581425000000002</v>
      </c>
      <c r="S163" s="162">
        <v>156</v>
      </c>
      <c r="T163" s="166">
        <v>0.76</v>
      </c>
      <c r="U163" s="162">
        <v>266</v>
      </c>
      <c r="V163" s="163">
        <v>68</v>
      </c>
      <c r="W163" s="162">
        <v>25</v>
      </c>
      <c r="X163" s="163">
        <v>461</v>
      </c>
      <c r="Y163" s="162">
        <v>10</v>
      </c>
      <c r="Z163" s="162">
        <v>9</v>
      </c>
      <c r="AA163" s="162">
        <v>230</v>
      </c>
      <c r="AB163" s="162">
        <v>86</v>
      </c>
      <c r="AC163" s="162">
        <v>15</v>
      </c>
      <c r="AD163" s="167">
        <v>312</v>
      </c>
      <c r="AE163" s="162">
        <v>7</v>
      </c>
      <c r="AF163" s="163">
        <v>41</v>
      </c>
      <c r="AG163" s="162">
        <v>43</v>
      </c>
      <c r="AH163" s="163">
        <v>2305</v>
      </c>
      <c r="AI163" s="162">
        <v>20</v>
      </c>
      <c r="AJ163" s="163">
        <v>0.54820000000000002</v>
      </c>
      <c r="AK163" s="162">
        <v>167</v>
      </c>
      <c r="AL163" s="168">
        <v>42543</v>
      </c>
      <c r="AM163" s="162">
        <v>161</v>
      </c>
      <c r="AN163" s="162">
        <v>60</v>
      </c>
      <c r="AO163" s="162">
        <v>237</v>
      </c>
      <c r="AP163" s="162">
        <v>86</v>
      </c>
      <c r="AQ163" s="162">
        <v>15</v>
      </c>
      <c r="AR163" s="163">
        <v>41</v>
      </c>
      <c r="AS163" s="162">
        <v>43</v>
      </c>
      <c r="AT163" s="169">
        <v>5.4663774403470713</v>
      </c>
      <c r="AU163" s="162">
        <v>49</v>
      </c>
      <c r="AV163" s="163">
        <v>1</v>
      </c>
      <c r="AW163" s="162">
        <v>1</v>
      </c>
      <c r="AX163" s="162">
        <v>9</v>
      </c>
      <c r="AY163" s="162">
        <v>8</v>
      </c>
      <c r="AZ163" s="170">
        <v>1</v>
      </c>
      <c r="BA163" s="162">
        <v>1</v>
      </c>
      <c r="BB163" s="168">
        <v>43300</v>
      </c>
      <c r="BC163" s="162">
        <v>218</v>
      </c>
      <c r="BD163" s="171">
        <v>43530</v>
      </c>
      <c r="BE163" s="162">
        <v>51</v>
      </c>
      <c r="BF163" s="163">
        <v>1</v>
      </c>
      <c r="BG163" s="162">
        <v>1</v>
      </c>
      <c r="BH163" s="162">
        <v>9</v>
      </c>
      <c r="BI163" s="162">
        <v>12</v>
      </c>
      <c r="BJ163" s="162">
        <v>60</v>
      </c>
      <c r="BK163" s="162">
        <v>40</v>
      </c>
      <c r="BL163" s="161">
        <v>1956.7407407407406</v>
      </c>
      <c r="BM163" s="162" t="str">
        <f t="shared" si="2"/>
        <v>7/283</v>
      </c>
      <c r="BN163" s="142"/>
    </row>
    <row r="164" spans="1:66" x14ac:dyDescent="0.25">
      <c r="A164" s="2">
        <v>540243</v>
      </c>
      <c r="B164" s="2" t="s">
        <v>290</v>
      </c>
      <c r="C164" s="2" t="s">
        <v>27</v>
      </c>
      <c r="D164" s="2" t="s">
        <v>612</v>
      </c>
      <c r="E164" s="2" t="s">
        <v>616</v>
      </c>
      <c r="F164" s="2" t="s">
        <v>613</v>
      </c>
      <c r="G164" s="2">
        <v>3</v>
      </c>
      <c r="H164" s="2">
        <v>0</v>
      </c>
      <c r="I164" s="2">
        <v>2</v>
      </c>
      <c r="J164" s="2">
        <v>73.599999999999994</v>
      </c>
      <c r="K164" s="2">
        <v>48</v>
      </c>
      <c r="L164" s="55">
        <v>0</v>
      </c>
      <c r="M164" s="2">
        <v>118</v>
      </c>
      <c r="N164" s="2">
        <v>0</v>
      </c>
      <c r="O164" s="2">
        <v>140</v>
      </c>
      <c r="P164" s="156">
        <v>11733</v>
      </c>
      <c r="Q164" s="2">
        <v>222</v>
      </c>
      <c r="R164" s="157">
        <v>-0.31581425000000002</v>
      </c>
      <c r="S164" s="2">
        <v>156</v>
      </c>
      <c r="T164" s="158">
        <v>0.76</v>
      </c>
      <c r="U164" s="2">
        <v>266</v>
      </c>
      <c r="V164" s="55">
        <v>0</v>
      </c>
      <c r="W164" s="2">
        <v>230</v>
      </c>
      <c r="X164" s="55">
        <v>1</v>
      </c>
      <c r="Y164" s="2">
        <v>237</v>
      </c>
      <c r="Z164" s="2">
        <v>9</v>
      </c>
      <c r="AA164" s="2">
        <v>230</v>
      </c>
      <c r="AB164" s="2">
        <v>0</v>
      </c>
      <c r="AC164" s="2">
        <v>222</v>
      </c>
      <c r="AD164" s="105">
        <v>2</v>
      </c>
      <c r="AE164" s="2">
        <v>228</v>
      </c>
      <c r="AF164" s="55">
        <v>0</v>
      </c>
      <c r="AG164" s="2">
        <v>184</v>
      </c>
      <c r="AH164" s="55">
        <v>0</v>
      </c>
      <c r="AI164" s="2">
        <v>135</v>
      </c>
      <c r="AJ164" s="55">
        <v>0.54820000000000002</v>
      </c>
      <c r="AK164" s="2">
        <v>167</v>
      </c>
      <c r="AL164" s="30">
        <v>42543</v>
      </c>
      <c r="AM164" s="2">
        <v>161</v>
      </c>
      <c r="AN164" s="2">
        <v>60</v>
      </c>
      <c r="AO164" s="2">
        <v>237</v>
      </c>
      <c r="AP164" s="2">
        <v>0</v>
      </c>
      <c r="AQ164" s="2">
        <v>222</v>
      </c>
      <c r="AR164" s="55">
        <v>0</v>
      </c>
      <c r="AS164" s="2">
        <v>184</v>
      </c>
      <c r="AT164" s="159">
        <v>0</v>
      </c>
      <c r="AU164" s="2">
        <v>81</v>
      </c>
      <c r="AV164" s="55">
        <v>1</v>
      </c>
      <c r="AW164" s="2">
        <v>1</v>
      </c>
      <c r="AX164" s="2" t="s">
        <v>615</v>
      </c>
      <c r="AY164" s="2">
        <v>999999</v>
      </c>
      <c r="AZ164" s="106">
        <v>0</v>
      </c>
      <c r="BA164" s="2">
        <v>14</v>
      </c>
      <c r="BB164" s="30">
        <v>42556</v>
      </c>
      <c r="BC164" s="2">
        <v>109</v>
      </c>
      <c r="BD164" s="160">
        <v>41806</v>
      </c>
      <c r="BE164" s="2">
        <v>1</v>
      </c>
      <c r="BF164" s="55">
        <v>1</v>
      </c>
      <c r="BG164" s="2">
        <v>1</v>
      </c>
      <c r="BH164" s="2">
        <v>2</v>
      </c>
      <c r="BI164" s="2">
        <v>68</v>
      </c>
      <c r="BJ164" s="2">
        <v>60</v>
      </c>
      <c r="BK164" s="2">
        <v>40</v>
      </c>
      <c r="BL164" s="161">
        <v>966526.88888888876</v>
      </c>
      <c r="BM164" s="2" t="str">
        <f t="shared" si="2"/>
        <v>231/283</v>
      </c>
      <c r="BN164" s="142"/>
    </row>
    <row r="165" spans="1:66" x14ac:dyDescent="0.25">
      <c r="A165" s="2">
        <v>540281</v>
      </c>
      <c r="B165" s="2" t="s">
        <v>322</v>
      </c>
      <c r="C165" s="2" t="s">
        <v>27</v>
      </c>
      <c r="D165" s="2" t="s">
        <v>612</v>
      </c>
      <c r="E165" s="2" t="s">
        <v>616</v>
      </c>
      <c r="F165" s="2" t="s">
        <v>613</v>
      </c>
      <c r="G165" s="2">
        <v>3</v>
      </c>
      <c r="H165" s="2">
        <v>0</v>
      </c>
      <c r="I165" s="2">
        <v>2</v>
      </c>
      <c r="J165" s="2">
        <v>73.599999999999994</v>
      </c>
      <c r="K165" s="2">
        <v>48</v>
      </c>
      <c r="L165" s="55">
        <v>0</v>
      </c>
      <c r="M165" s="2">
        <v>118</v>
      </c>
      <c r="N165" s="2">
        <v>0</v>
      </c>
      <c r="O165" s="2">
        <v>140</v>
      </c>
      <c r="P165" s="156">
        <v>12000</v>
      </c>
      <c r="Q165" s="2">
        <v>221</v>
      </c>
      <c r="R165" s="157">
        <v>-0.31581425000000002</v>
      </c>
      <c r="S165" s="2">
        <v>156</v>
      </c>
      <c r="T165" s="158">
        <v>0.76</v>
      </c>
      <c r="U165" s="2">
        <v>266</v>
      </c>
      <c r="V165" s="55">
        <v>0</v>
      </c>
      <c r="W165" s="2">
        <v>230</v>
      </c>
      <c r="X165" s="55">
        <v>1</v>
      </c>
      <c r="Y165" s="2">
        <v>237</v>
      </c>
      <c r="Z165" s="2">
        <v>9</v>
      </c>
      <c r="AA165" s="2">
        <v>230</v>
      </c>
      <c r="AB165" s="2">
        <v>0</v>
      </c>
      <c r="AC165" s="2">
        <v>222</v>
      </c>
      <c r="AD165" s="105">
        <v>5</v>
      </c>
      <c r="AE165" s="2">
        <v>194</v>
      </c>
      <c r="AF165" s="55">
        <v>0</v>
      </c>
      <c r="AG165" s="2">
        <v>184</v>
      </c>
      <c r="AH165" s="55">
        <v>0</v>
      </c>
      <c r="AI165" s="2">
        <v>135</v>
      </c>
      <c r="AJ165" s="55">
        <v>0.54820000000000002</v>
      </c>
      <c r="AK165" s="2">
        <v>167</v>
      </c>
      <c r="AL165" s="30">
        <v>42543</v>
      </c>
      <c r="AM165" s="2">
        <v>161</v>
      </c>
      <c r="AN165" s="2">
        <v>60</v>
      </c>
      <c r="AO165" s="2">
        <v>237</v>
      </c>
      <c r="AP165" s="2">
        <v>0</v>
      </c>
      <c r="AQ165" s="2">
        <v>222</v>
      </c>
      <c r="AR165" s="55">
        <v>0</v>
      </c>
      <c r="AS165" s="2">
        <v>184</v>
      </c>
      <c r="AT165" s="159">
        <v>0</v>
      </c>
      <c r="AU165" s="2">
        <v>81</v>
      </c>
      <c r="AV165" s="55">
        <v>0</v>
      </c>
      <c r="AW165" s="2">
        <v>194</v>
      </c>
      <c r="AX165" s="2" t="s">
        <v>615</v>
      </c>
      <c r="AY165" s="2">
        <v>999999</v>
      </c>
      <c r="AZ165" s="106">
        <v>0</v>
      </c>
      <c r="BA165" s="2">
        <v>14</v>
      </c>
      <c r="BB165" s="30">
        <v>42556</v>
      </c>
      <c r="BC165" s="2">
        <v>109</v>
      </c>
      <c r="BD165" s="160">
        <v>42661</v>
      </c>
      <c r="BE165" s="2">
        <v>37</v>
      </c>
      <c r="BF165" s="55">
        <v>0</v>
      </c>
      <c r="BG165" s="2">
        <v>183</v>
      </c>
      <c r="BH165" s="2">
        <v>4</v>
      </c>
      <c r="BI165" s="2">
        <v>34</v>
      </c>
      <c r="BJ165" s="2">
        <v>60</v>
      </c>
      <c r="BK165" s="2">
        <v>40</v>
      </c>
      <c r="BL165" s="161">
        <v>966856.22222222225</v>
      </c>
      <c r="BM165" s="2" t="str">
        <f t="shared" si="2"/>
        <v>238/283</v>
      </c>
      <c r="BN165" s="142"/>
    </row>
    <row r="166" spans="1:66" x14ac:dyDescent="0.25">
      <c r="A166" s="2">
        <v>540228</v>
      </c>
      <c r="B166" s="2" t="s">
        <v>278</v>
      </c>
      <c r="C166" s="2" t="s">
        <v>27</v>
      </c>
      <c r="D166" s="2" t="s">
        <v>612</v>
      </c>
      <c r="E166" s="2" t="s">
        <v>616</v>
      </c>
      <c r="F166" s="2" t="s">
        <v>613</v>
      </c>
      <c r="G166" s="2">
        <v>3</v>
      </c>
      <c r="H166" s="2">
        <v>0</v>
      </c>
      <c r="I166" s="2">
        <v>2</v>
      </c>
      <c r="J166" s="2">
        <v>73.599999999999994</v>
      </c>
      <c r="K166" s="2">
        <v>48</v>
      </c>
      <c r="L166" s="55">
        <v>0</v>
      </c>
      <c r="M166" s="2">
        <v>118</v>
      </c>
      <c r="N166" s="2">
        <v>0</v>
      </c>
      <c r="O166" s="2">
        <v>140</v>
      </c>
      <c r="P166" s="156">
        <v>3719665</v>
      </c>
      <c r="Q166" s="2">
        <v>20</v>
      </c>
      <c r="R166" s="157">
        <v>-0.31581425000000002</v>
      </c>
      <c r="S166" s="2">
        <v>156</v>
      </c>
      <c r="T166" s="158">
        <v>0.76</v>
      </c>
      <c r="U166" s="2">
        <v>266</v>
      </c>
      <c r="V166" s="55">
        <v>2</v>
      </c>
      <c r="W166" s="2">
        <v>170</v>
      </c>
      <c r="X166" s="55">
        <v>152</v>
      </c>
      <c r="Y166" s="2">
        <v>46</v>
      </c>
      <c r="Z166" s="2">
        <v>9</v>
      </c>
      <c r="AA166" s="2">
        <v>230</v>
      </c>
      <c r="AB166" s="2">
        <v>1</v>
      </c>
      <c r="AC166" s="2">
        <v>186</v>
      </c>
      <c r="AD166" s="105">
        <v>44</v>
      </c>
      <c r="AE166" s="2">
        <v>80</v>
      </c>
      <c r="AF166" s="55">
        <v>23</v>
      </c>
      <c r="AG166" s="2">
        <v>64</v>
      </c>
      <c r="AH166" s="55">
        <v>255</v>
      </c>
      <c r="AI166" s="2">
        <v>90</v>
      </c>
      <c r="AJ166" s="55">
        <v>0.54820000000000002</v>
      </c>
      <c r="AK166" s="2">
        <v>167</v>
      </c>
      <c r="AL166" s="30">
        <v>42543</v>
      </c>
      <c r="AM166" s="2">
        <v>161</v>
      </c>
      <c r="AN166" s="2">
        <v>60</v>
      </c>
      <c r="AO166" s="2">
        <v>237</v>
      </c>
      <c r="AP166" s="2">
        <v>1</v>
      </c>
      <c r="AQ166" s="2">
        <v>186</v>
      </c>
      <c r="AR166" s="55">
        <v>23</v>
      </c>
      <c r="AS166" s="2">
        <v>64</v>
      </c>
      <c r="AT166" s="159">
        <v>11.372549019607844</v>
      </c>
      <c r="AU166" s="2">
        <v>22</v>
      </c>
      <c r="AV166" s="55">
        <v>1</v>
      </c>
      <c r="AW166" s="2">
        <v>1</v>
      </c>
      <c r="AX166" s="2" t="s">
        <v>615</v>
      </c>
      <c r="AY166" s="2">
        <v>999999</v>
      </c>
      <c r="AZ166" s="106">
        <v>0</v>
      </c>
      <c r="BA166" s="2">
        <v>14</v>
      </c>
      <c r="BB166" s="30">
        <v>42941</v>
      </c>
      <c r="BC166" s="2">
        <v>123</v>
      </c>
      <c r="BD166" s="160">
        <v>42661</v>
      </c>
      <c r="BE166" s="2">
        <v>37</v>
      </c>
      <c r="BF166" s="55">
        <v>1</v>
      </c>
      <c r="BG166" s="2">
        <v>1</v>
      </c>
      <c r="BH166" s="2">
        <v>7</v>
      </c>
      <c r="BI166" s="2">
        <v>17</v>
      </c>
      <c r="BJ166" s="2">
        <v>60</v>
      </c>
      <c r="BK166" s="2">
        <v>40</v>
      </c>
      <c r="BL166" s="161">
        <v>965546.5925925927</v>
      </c>
      <c r="BM166" s="2" t="str">
        <f t="shared" si="2"/>
        <v>101/283</v>
      </c>
      <c r="BN166" s="142"/>
    </row>
    <row r="167" spans="1:66" x14ac:dyDescent="0.25">
      <c r="A167" s="2">
        <v>540043</v>
      </c>
      <c r="B167" s="2" t="s">
        <v>144</v>
      </c>
      <c r="C167" s="2" t="s">
        <v>27</v>
      </c>
      <c r="D167" s="2" t="s">
        <v>612</v>
      </c>
      <c r="E167" s="2" t="s">
        <v>616</v>
      </c>
      <c r="F167" s="2" t="s">
        <v>613</v>
      </c>
      <c r="G167" s="2">
        <v>3</v>
      </c>
      <c r="H167" s="2">
        <v>0</v>
      </c>
      <c r="I167" s="2">
        <v>2</v>
      </c>
      <c r="J167" s="2">
        <v>73.599999999999994</v>
      </c>
      <c r="K167" s="2">
        <v>48</v>
      </c>
      <c r="L167" s="55">
        <v>0</v>
      </c>
      <c r="M167" s="2">
        <v>118</v>
      </c>
      <c r="N167" s="2">
        <v>0</v>
      </c>
      <c r="O167" s="2">
        <v>140</v>
      </c>
      <c r="P167" s="156">
        <v>6292219</v>
      </c>
      <c r="Q167" s="2">
        <v>13</v>
      </c>
      <c r="R167" s="157">
        <v>-0.31581425000000002</v>
      </c>
      <c r="S167" s="2">
        <v>156</v>
      </c>
      <c r="T167" s="158">
        <v>0.76</v>
      </c>
      <c r="U167" s="2">
        <v>266</v>
      </c>
      <c r="V167" s="55">
        <v>1</v>
      </c>
      <c r="W167" s="2">
        <v>197</v>
      </c>
      <c r="X167" s="55">
        <v>141</v>
      </c>
      <c r="Y167" s="2">
        <v>54</v>
      </c>
      <c r="Z167" s="2">
        <v>9</v>
      </c>
      <c r="AA167" s="2">
        <v>230</v>
      </c>
      <c r="AB167" s="2">
        <v>11</v>
      </c>
      <c r="AC167" s="2">
        <v>100</v>
      </c>
      <c r="AD167" s="105">
        <v>35</v>
      </c>
      <c r="AE167" s="2">
        <v>91</v>
      </c>
      <c r="AF167" s="55">
        <v>13</v>
      </c>
      <c r="AG167" s="2">
        <v>88</v>
      </c>
      <c r="AH167" s="55">
        <v>0</v>
      </c>
      <c r="AI167" s="2">
        <v>135</v>
      </c>
      <c r="AJ167" s="55">
        <v>0.54820000000000002</v>
      </c>
      <c r="AK167" s="2">
        <v>167</v>
      </c>
      <c r="AL167" s="30">
        <v>42543</v>
      </c>
      <c r="AM167" s="2">
        <v>161</v>
      </c>
      <c r="AN167" s="2">
        <v>60</v>
      </c>
      <c r="AO167" s="2">
        <v>237</v>
      </c>
      <c r="AP167" s="2">
        <v>11</v>
      </c>
      <c r="AQ167" s="2">
        <v>100</v>
      </c>
      <c r="AR167" s="55">
        <v>13</v>
      </c>
      <c r="AS167" s="2">
        <v>88</v>
      </c>
      <c r="AT167" s="159">
        <v>0</v>
      </c>
      <c r="AU167" s="2">
        <v>81</v>
      </c>
      <c r="AV167" s="55">
        <v>1</v>
      </c>
      <c r="AW167" s="2">
        <v>1</v>
      </c>
      <c r="AX167" s="2" t="s">
        <v>615</v>
      </c>
      <c r="AY167" s="2">
        <v>999999</v>
      </c>
      <c r="AZ167" s="106">
        <v>0</v>
      </c>
      <c r="BA167" s="2">
        <v>14</v>
      </c>
      <c r="BB167" s="30">
        <v>42867</v>
      </c>
      <c r="BC167" s="2">
        <v>117</v>
      </c>
      <c r="BD167" s="160">
        <v>43516</v>
      </c>
      <c r="BE167" s="2">
        <v>46</v>
      </c>
      <c r="BF167" s="55">
        <v>1</v>
      </c>
      <c r="BG167" s="2">
        <v>1</v>
      </c>
      <c r="BH167" s="2">
        <v>1</v>
      </c>
      <c r="BI167" s="2">
        <v>151</v>
      </c>
      <c r="BJ167" s="2">
        <v>60</v>
      </c>
      <c r="BK167" s="2">
        <v>40</v>
      </c>
      <c r="BL167" s="161">
        <v>965696.81481481483</v>
      </c>
      <c r="BM167" s="2" t="str">
        <f t="shared" si="2"/>
        <v>118/283</v>
      </c>
      <c r="BN167" s="142"/>
    </row>
    <row r="168" spans="1:66" x14ac:dyDescent="0.25">
      <c r="A168" s="2">
        <v>540044</v>
      </c>
      <c r="B168" s="2" t="s">
        <v>145</v>
      </c>
      <c r="C168" s="2" t="s">
        <v>27</v>
      </c>
      <c r="D168" s="2" t="s">
        <v>612</v>
      </c>
      <c r="E168" s="2" t="s">
        <v>616</v>
      </c>
      <c r="F168" s="2" t="s">
        <v>613</v>
      </c>
      <c r="G168" s="2">
        <v>3</v>
      </c>
      <c r="H168" s="2">
        <v>0</v>
      </c>
      <c r="I168" s="2">
        <v>2</v>
      </c>
      <c r="J168" s="2">
        <v>73.599999999999994</v>
      </c>
      <c r="K168" s="2">
        <v>48</v>
      </c>
      <c r="L168" s="55">
        <v>2</v>
      </c>
      <c r="M168" s="2">
        <v>84</v>
      </c>
      <c r="N168" s="2">
        <v>0</v>
      </c>
      <c r="O168" s="2">
        <v>140</v>
      </c>
      <c r="P168" s="156">
        <v>495582</v>
      </c>
      <c r="Q168" s="2">
        <v>99</v>
      </c>
      <c r="R168" s="157">
        <v>-0.31581425000000002</v>
      </c>
      <c r="S168" s="2">
        <v>156</v>
      </c>
      <c r="T168" s="158">
        <v>0.76</v>
      </c>
      <c r="U168" s="2">
        <v>266</v>
      </c>
      <c r="V168" s="55">
        <v>1</v>
      </c>
      <c r="W168" s="2">
        <v>197</v>
      </c>
      <c r="X168" s="55">
        <v>17</v>
      </c>
      <c r="Y168" s="2">
        <v>154</v>
      </c>
      <c r="Z168" s="2">
        <v>9</v>
      </c>
      <c r="AA168" s="2">
        <v>230</v>
      </c>
      <c r="AB168" s="2">
        <v>1</v>
      </c>
      <c r="AC168" s="2">
        <v>186</v>
      </c>
      <c r="AD168" s="105">
        <v>10</v>
      </c>
      <c r="AE168" s="2">
        <v>154</v>
      </c>
      <c r="AF168" s="55">
        <v>5</v>
      </c>
      <c r="AG168" s="2">
        <v>130</v>
      </c>
      <c r="AH168" s="55">
        <v>129</v>
      </c>
      <c r="AI168" s="2">
        <v>115</v>
      </c>
      <c r="AJ168" s="55">
        <v>0.54820000000000002</v>
      </c>
      <c r="AK168" s="2">
        <v>167</v>
      </c>
      <c r="AL168" s="30">
        <v>42543</v>
      </c>
      <c r="AM168" s="2">
        <v>161</v>
      </c>
      <c r="AN168" s="2">
        <v>60</v>
      </c>
      <c r="AO168" s="2">
        <v>237</v>
      </c>
      <c r="AP168" s="2">
        <v>1</v>
      </c>
      <c r="AQ168" s="2">
        <v>186</v>
      </c>
      <c r="AR168" s="55">
        <v>5</v>
      </c>
      <c r="AS168" s="2">
        <v>130</v>
      </c>
      <c r="AT168" s="159">
        <v>-7.7519379844961236</v>
      </c>
      <c r="AU168" s="2">
        <v>253</v>
      </c>
      <c r="AV168" s="55">
        <v>1</v>
      </c>
      <c r="AW168" s="2">
        <v>1</v>
      </c>
      <c r="AX168" s="2" t="s">
        <v>615</v>
      </c>
      <c r="AY168" s="2">
        <v>999999</v>
      </c>
      <c r="AZ168" s="106">
        <v>0</v>
      </c>
      <c r="BA168" s="2">
        <v>14</v>
      </c>
      <c r="BB168" s="30">
        <v>42941</v>
      </c>
      <c r="BC168" s="2">
        <v>123</v>
      </c>
      <c r="BD168" s="160">
        <v>43558</v>
      </c>
      <c r="BE168" s="2">
        <v>58</v>
      </c>
      <c r="BF168" s="55">
        <v>1</v>
      </c>
      <c r="BG168" s="2">
        <v>1</v>
      </c>
      <c r="BH168" s="2">
        <v>10</v>
      </c>
      <c r="BI168" s="2">
        <v>10</v>
      </c>
      <c r="BJ168" s="2">
        <v>60</v>
      </c>
      <c r="BK168" s="2">
        <v>40</v>
      </c>
      <c r="BL168" s="161">
        <v>966178.29629629629</v>
      </c>
      <c r="BM168" s="2" t="str">
        <f t="shared" si="2"/>
        <v>193/283</v>
      </c>
      <c r="BN168" s="142"/>
    </row>
    <row r="169" spans="1:66" x14ac:dyDescent="0.25">
      <c r="A169" s="2">
        <v>540045</v>
      </c>
      <c r="B169" s="2" t="s">
        <v>146</v>
      </c>
      <c r="C169" s="2" t="s">
        <v>27</v>
      </c>
      <c r="D169" s="2" t="s">
        <v>612</v>
      </c>
      <c r="E169" s="2" t="s">
        <v>616</v>
      </c>
      <c r="F169" s="2" t="s">
        <v>613</v>
      </c>
      <c r="G169" s="2">
        <v>3</v>
      </c>
      <c r="H169" s="2">
        <v>0</v>
      </c>
      <c r="I169" s="2">
        <v>2</v>
      </c>
      <c r="J169" s="2">
        <v>73.599999999999994</v>
      </c>
      <c r="K169" s="2">
        <v>48</v>
      </c>
      <c r="L169" s="55">
        <v>2</v>
      </c>
      <c r="M169" s="2">
        <v>84</v>
      </c>
      <c r="N169" s="2">
        <v>0</v>
      </c>
      <c r="O169" s="2">
        <v>140</v>
      </c>
      <c r="P169" s="156">
        <v>2975141</v>
      </c>
      <c r="Q169" s="2">
        <v>27</v>
      </c>
      <c r="R169" s="157">
        <v>-0.31581425000000002</v>
      </c>
      <c r="S169" s="2">
        <v>156</v>
      </c>
      <c r="T169" s="158">
        <v>0.76</v>
      </c>
      <c r="U169" s="2">
        <v>266</v>
      </c>
      <c r="V169" s="55">
        <v>39</v>
      </c>
      <c r="W169" s="2">
        <v>41</v>
      </c>
      <c r="X169" s="55">
        <v>89</v>
      </c>
      <c r="Y169" s="2">
        <v>65</v>
      </c>
      <c r="Z169" s="2">
        <v>9</v>
      </c>
      <c r="AA169" s="2">
        <v>230</v>
      </c>
      <c r="AB169" s="2">
        <v>64</v>
      </c>
      <c r="AC169" s="2">
        <v>25</v>
      </c>
      <c r="AD169" s="105">
        <v>133</v>
      </c>
      <c r="AE169" s="2">
        <v>32</v>
      </c>
      <c r="AF169" s="55">
        <v>2</v>
      </c>
      <c r="AG169" s="2">
        <v>164</v>
      </c>
      <c r="AH169" s="55">
        <v>302</v>
      </c>
      <c r="AI169" s="2">
        <v>83</v>
      </c>
      <c r="AJ169" s="55">
        <v>0.54820000000000002</v>
      </c>
      <c r="AK169" s="2">
        <v>167</v>
      </c>
      <c r="AL169" s="30">
        <v>42543</v>
      </c>
      <c r="AM169" s="2">
        <v>161</v>
      </c>
      <c r="AN169" s="2">
        <v>60</v>
      </c>
      <c r="AO169" s="2">
        <v>237</v>
      </c>
      <c r="AP169" s="2">
        <v>64</v>
      </c>
      <c r="AQ169" s="2">
        <v>25</v>
      </c>
      <c r="AR169" s="55">
        <v>2</v>
      </c>
      <c r="AS169" s="2">
        <v>164</v>
      </c>
      <c r="AT169" s="159">
        <v>6.2913907284768218</v>
      </c>
      <c r="AU169" s="2">
        <v>48</v>
      </c>
      <c r="AV169" s="55">
        <v>1</v>
      </c>
      <c r="AW169" s="2">
        <v>1</v>
      </c>
      <c r="AX169" s="2" t="s">
        <v>615</v>
      </c>
      <c r="AY169" s="2">
        <v>999999</v>
      </c>
      <c r="AZ169" s="106">
        <v>0</v>
      </c>
      <c r="BA169" s="2">
        <v>14</v>
      </c>
      <c r="BB169" s="30">
        <v>43185</v>
      </c>
      <c r="BC169" s="2">
        <v>183</v>
      </c>
      <c r="BD169" s="160">
        <v>41806</v>
      </c>
      <c r="BE169" s="2">
        <v>1</v>
      </c>
      <c r="BF169" s="55">
        <v>1</v>
      </c>
      <c r="BG169" s="2">
        <v>1</v>
      </c>
      <c r="BH169" s="2">
        <v>8</v>
      </c>
      <c r="BI169" s="2">
        <v>14</v>
      </c>
      <c r="BJ169" s="2">
        <v>60</v>
      </c>
      <c r="BK169" s="2">
        <v>40</v>
      </c>
      <c r="BL169" s="161">
        <v>965289.48148148146</v>
      </c>
      <c r="BM169" s="2" t="str">
        <f t="shared" si="2"/>
        <v>73/283</v>
      </c>
      <c r="BN169" s="142"/>
    </row>
    <row r="170" spans="1:66" x14ac:dyDescent="0.25">
      <c r="A170" s="162">
        <v>540226</v>
      </c>
      <c r="B170" s="162" t="s">
        <v>100</v>
      </c>
      <c r="C170" s="162" t="s">
        <v>101</v>
      </c>
      <c r="D170" s="162" t="s">
        <v>617</v>
      </c>
      <c r="E170" s="162" t="s">
        <v>616</v>
      </c>
      <c r="F170" s="162" t="s">
        <v>613</v>
      </c>
      <c r="G170" s="162">
        <v>3</v>
      </c>
      <c r="H170" s="162">
        <v>0</v>
      </c>
      <c r="I170" s="162">
        <v>2</v>
      </c>
      <c r="J170" s="162">
        <v>59</v>
      </c>
      <c r="K170" s="162">
        <v>68</v>
      </c>
      <c r="L170" s="163">
        <v>2</v>
      </c>
      <c r="M170" s="162">
        <v>84</v>
      </c>
      <c r="N170" s="162">
        <v>0</v>
      </c>
      <c r="O170" s="162">
        <v>140</v>
      </c>
      <c r="P170" s="164">
        <v>4890648</v>
      </c>
      <c r="Q170" s="162">
        <v>16</v>
      </c>
      <c r="R170" s="165">
        <v>0.322663476</v>
      </c>
      <c r="S170" s="162">
        <v>109</v>
      </c>
      <c r="T170" s="166">
        <v>0.92999999999999994</v>
      </c>
      <c r="U170" s="162">
        <v>38</v>
      </c>
      <c r="V170" s="163">
        <v>58</v>
      </c>
      <c r="W170" s="162">
        <v>29</v>
      </c>
      <c r="X170" s="163">
        <v>312</v>
      </c>
      <c r="Y170" s="162">
        <v>18</v>
      </c>
      <c r="Z170" s="162">
        <v>7</v>
      </c>
      <c r="AA170" s="162">
        <v>275</v>
      </c>
      <c r="AB170" s="162">
        <v>76</v>
      </c>
      <c r="AC170" s="162">
        <v>20</v>
      </c>
      <c r="AD170" s="167">
        <v>172</v>
      </c>
      <c r="AE170" s="162">
        <v>21</v>
      </c>
      <c r="AF170" s="163">
        <v>67</v>
      </c>
      <c r="AG170" s="162">
        <v>27</v>
      </c>
      <c r="AH170" s="163">
        <v>1364</v>
      </c>
      <c r="AI170" s="162">
        <v>39</v>
      </c>
      <c r="AJ170" s="163">
        <v>0.58799999999999997</v>
      </c>
      <c r="AK170" s="162">
        <v>181</v>
      </c>
      <c r="AL170" s="168">
        <v>43248</v>
      </c>
      <c r="AM170" s="162">
        <v>1</v>
      </c>
      <c r="AN170" s="162">
        <v>8</v>
      </c>
      <c r="AO170" s="162">
        <v>97</v>
      </c>
      <c r="AP170" s="162">
        <v>76</v>
      </c>
      <c r="AQ170" s="162">
        <v>20</v>
      </c>
      <c r="AR170" s="163">
        <v>67</v>
      </c>
      <c r="AS170" s="162">
        <v>27</v>
      </c>
      <c r="AT170" s="169">
        <v>-6.1583577712609969</v>
      </c>
      <c r="AU170" s="162">
        <v>247</v>
      </c>
      <c r="AV170" s="163">
        <v>1</v>
      </c>
      <c r="AW170" s="162">
        <v>1</v>
      </c>
      <c r="AX170" s="162">
        <v>8</v>
      </c>
      <c r="AY170" s="162">
        <v>3</v>
      </c>
      <c r="AZ170" s="170">
        <v>1</v>
      </c>
      <c r="BA170" s="162">
        <v>1</v>
      </c>
      <c r="BB170" s="168">
        <v>43111</v>
      </c>
      <c r="BC170" s="162">
        <v>166</v>
      </c>
      <c r="BD170" s="171">
        <v>43530</v>
      </c>
      <c r="BE170" s="162">
        <v>51</v>
      </c>
      <c r="BF170" s="163">
        <v>1</v>
      </c>
      <c r="BG170" s="162">
        <v>1</v>
      </c>
      <c r="BH170" s="162">
        <v>1</v>
      </c>
      <c r="BI170" s="162">
        <v>151</v>
      </c>
      <c r="BJ170" s="162">
        <v>8</v>
      </c>
      <c r="BK170" s="162">
        <v>185</v>
      </c>
      <c r="BL170" s="161">
        <v>1941.3333333333335</v>
      </c>
      <c r="BM170" s="162" t="str">
        <f t="shared" si="2"/>
        <v>6/283</v>
      </c>
      <c r="BN170" s="142"/>
    </row>
    <row r="171" spans="1:66" x14ac:dyDescent="0.25">
      <c r="A171" s="2">
        <v>540276</v>
      </c>
      <c r="B171" s="2" t="s">
        <v>319</v>
      </c>
      <c r="C171" s="2" t="s">
        <v>101</v>
      </c>
      <c r="D171" s="2" t="s">
        <v>612</v>
      </c>
      <c r="E171" s="2" t="s">
        <v>616</v>
      </c>
      <c r="F171" s="2" t="s">
        <v>613</v>
      </c>
      <c r="G171" s="2">
        <v>3</v>
      </c>
      <c r="H171" s="2">
        <v>0</v>
      </c>
      <c r="I171" s="2">
        <v>2</v>
      </c>
      <c r="J171" s="2">
        <v>59</v>
      </c>
      <c r="K171" s="2">
        <v>68</v>
      </c>
      <c r="L171" s="55">
        <v>0</v>
      </c>
      <c r="M171" s="2">
        <v>118</v>
      </c>
      <c r="N171" s="2">
        <v>0</v>
      </c>
      <c r="O171" s="2">
        <v>140</v>
      </c>
      <c r="P171" s="156">
        <v>101206</v>
      </c>
      <c r="Q171" s="2">
        <v>163</v>
      </c>
      <c r="R171" s="157">
        <v>0.322663476</v>
      </c>
      <c r="S171" s="2">
        <v>109</v>
      </c>
      <c r="T171" s="158">
        <v>0.92999999999999994</v>
      </c>
      <c r="U171" s="2">
        <v>38</v>
      </c>
      <c r="V171" s="55">
        <v>1</v>
      </c>
      <c r="W171" s="2">
        <v>197</v>
      </c>
      <c r="X171" s="55">
        <v>5</v>
      </c>
      <c r="Y171" s="2">
        <v>204</v>
      </c>
      <c r="Z171" s="2">
        <v>7</v>
      </c>
      <c r="AA171" s="2">
        <v>275</v>
      </c>
      <c r="AB171" s="2">
        <v>0</v>
      </c>
      <c r="AC171" s="2">
        <v>222</v>
      </c>
      <c r="AD171" s="105">
        <v>2</v>
      </c>
      <c r="AE171" s="2">
        <v>228</v>
      </c>
      <c r="AF171" s="55">
        <v>0</v>
      </c>
      <c r="AG171" s="2">
        <v>184</v>
      </c>
      <c r="AH171" s="55">
        <v>218</v>
      </c>
      <c r="AI171" s="2">
        <v>95</v>
      </c>
      <c r="AJ171" s="55">
        <v>0.58799999999999997</v>
      </c>
      <c r="AK171" s="2">
        <v>181</v>
      </c>
      <c r="AL171" s="30">
        <v>43248</v>
      </c>
      <c r="AM171" s="2">
        <v>1</v>
      </c>
      <c r="AN171" s="2">
        <v>8</v>
      </c>
      <c r="AO171" s="2">
        <v>97</v>
      </c>
      <c r="AP171" s="2">
        <v>0</v>
      </c>
      <c r="AQ171" s="2">
        <v>222</v>
      </c>
      <c r="AR171" s="55">
        <v>0</v>
      </c>
      <c r="AS171" s="2">
        <v>184</v>
      </c>
      <c r="AT171" s="159">
        <v>-8.7155963302752291</v>
      </c>
      <c r="AU171" s="2">
        <v>258</v>
      </c>
      <c r="AV171" s="55">
        <v>1</v>
      </c>
      <c r="AW171" s="2">
        <v>1</v>
      </c>
      <c r="AX171" s="2" t="s">
        <v>615</v>
      </c>
      <c r="AY171" s="2">
        <v>999999</v>
      </c>
      <c r="AZ171" s="106">
        <v>0</v>
      </c>
      <c r="BA171" s="2">
        <v>14</v>
      </c>
      <c r="BB171" s="30">
        <v>43112</v>
      </c>
      <c r="BC171" s="2">
        <v>167</v>
      </c>
      <c r="BD171" s="160">
        <v>43558</v>
      </c>
      <c r="BE171" s="2">
        <v>58</v>
      </c>
      <c r="BF171" s="55" t="s">
        <v>1297</v>
      </c>
      <c r="BG171" s="2">
        <v>999999</v>
      </c>
      <c r="BH171" s="2">
        <v>2</v>
      </c>
      <c r="BI171" s="2">
        <v>68</v>
      </c>
      <c r="BJ171" s="2">
        <v>8</v>
      </c>
      <c r="BK171" s="2">
        <v>185</v>
      </c>
      <c r="BL171" s="161">
        <v>1929272.2222222222</v>
      </c>
      <c r="BM171" s="2" t="str">
        <f t="shared" si="2"/>
        <v>246/283</v>
      </c>
      <c r="BN171" s="142"/>
    </row>
    <row r="172" spans="1:66" x14ac:dyDescent="0.25">
      <c r="A172" s="162">
        <v>540047</v>
      </c>
      <c r="B172" s="162" t="s">
        <v>28</v>
      </c>
      <c r="C172" s="162" t="s">
        <v>29</v>
      </c>
      <c r="D172" s="162" t="s">
        <v>617</v>
      </c>
      <c r="E172" s="162" t="s">
        <v>616</v>
      </c>
      <c r="F172" s="162" t="s">
        <v>613</v>
      </c>
      <c r="G172" s="162">
        <v>3</v>
      </c>
      <c r="H172" s="162">
        <v>0</v>
      </c>
      <c r="I172" s="162">
        <v>2</v>
      </c>
      <c r="J172" s="162">
        <v>16</v>
      </c>
      <c r="K172" s="162">
        <v>135</v>
      </c>
      <c r="L172" s="163">
        <v>0</v>
      </c>
      <c r="M172" s="162">
        <v>118</v>
      </c>
      <c r="N172" s="162">
        <v>0</v>
      </c>
      <c r="O172" s="162">
        <v>140</v>
      </c>
      <c r="P172" s="164">
        <v>1359163</v>
      </c>
      <c r="Q172" s="162">
        <v>62</v>
      </c>
      <c r="R172" s="165">
        <v>-0.54211957799999999</v>
      </c>
      <c r="S172" s="162">
        <v>192</v>
      </c>
      <c r="T172" s="166">
        <v>0.72</v>
      </c>
      <c r="U172" s="162">
        <v>281</v>
      </c>
      <c r="V172" s="163">
        <v>3</v>
      </c>
      <c r="W172" s="162">
        <v>153</v>
      </c>
      <c r="X172" s="163">
        <v>134</v>
      </c>
      <c r="Y172" s="162">
        <v>58</v>
      </c>
      <c r="Z172" s="162">
        <v>7</v>
      </c>
      <c r="AA172" s="162">
        <v>275</v>
      </c>
      <c r="AB172" s="162">
        <v>32</v>
      </c>
      <c r="AC172" s="162">
        <v>56</v>
      </c>
      <c r="AD172" s="167">
        <v>55</v>
      </c>
      <c r="AE172" s="162">
        <v>73</v>
      </c>
      <c r="AF172" s="163">
        <v>35</v>
      </c>
      <c r="AG172" s="162">
        <v>51</v>
      </c>
      <c r="AH172" s="163">
        <v>847</v>
      </c>
      <c r="AI172" s="162">
        <v>58</v>
      </c>
      <c r="AJ172" s="163">
        <v>0.33329999999999999</v>
      </c>
      <c r="AK172" s="162">
        <v>44</v>
      </c>
      <c r="AL172" s="168">
        <v>43145</v>
      </c>
      <c r="AM172" s="162">
        <v>26</v>
      </c>
      <c r="AN172" s="162">
        <v>15</v>
      </c>
      <c r="AO172" s="162">
        <v>134</v>
      </c>
      <c r="AP172" s="162">
        <v>32</v>
      </c>
      <c r="AQ172" s="162">
        <v>56</v>
      </c>
      <c r="AR172" s="163">
        <v>35</v>
      </c>
      <c r="AS172" s="162">
        <v>51</v>
      </c>
      <c r="AT172" s="169">
        <v>6.4935064935064926</v>
      </c>
      <c r="AU172" s="162">
        <v>46</v>
      </c>
      <c r="AV172" s="163">
        <v>1</v>
      </c>
      <c r="AW172" s="162">
        <v>1</v>
      </c>
      <c r="AX172" s="162" t="s">
        <v>615</v>
      </c>
      <c r="AY172" s="162">
        <v>999999</v>
      </c>
      <c r="AZ172" s="170">
        <v>0</v>
      </c>
      <c r="BA172" s="162">
        <v>14</v>
      </c>
      <c r="BB172" s="168">
        <v>43272</v>
      </c>
      <c r="BC172" s="162">
        <v>198</v>
      </c>
      <c r="BD172" s="171">
        <v>43516</v>
      </c>
      <c r="BE172" s="162">
        <v>46</v>
      </c>
      <c r="BF172" s="163">
        <v>0</v>
      </c>
      <c r="BG172" s="162">
        <v>183</v>
      </c>
      <c r="BH172" s="162">
        <v>1</v>
      </c>
      <c r="BI172" s="162">
        <v>151</v>
      </c>
      <c r="BJ172" s="162">
        <v>15</v>
      </c>
      <c r="BK172" s="162">
        <v>130</v>
      </c>
      <c r="BL172" s="161">
        <v>965592.81481481495</v>
      </c>
      <c r="BM172" s="162" t="str">
        <f t="shared" si="2"/>
        <v>108/283</v>
      </c>
      <c r="BN172" s="142"/>
    </row>
    <row r="173" spans="1:66" x14ac:dyDescent="0.25">
      <c r="A173" s="2">
        <v>540049</v>
      </c>
      <c r="B173" s="2" t="s">
        <v>149</v>
      </c>
      <c r="C173" s="2" t="s">
        <v>29</v>
      </c>
      <c r="D173" s="2" t="s">
        <v>612</v>
      </c>
      <c r="E173" s="2" t="s">
        <v>616</v>
      </c>
      <c r="F173" s="2" t="s">
        <v>613</v>
      </c>
      <c r="G173" s="2">
        <v>3</v>
      </c>
      <c r="H173" s="2">
        <v>0</v>
      </c>
      <c r="I173" s="2">
        <v>2</v>
      </c>
      <c r="J173" s="2">
        <v>16</v>
      </c>
      <c r="K173" s="2">
        <v>135</v>
      </c>
      <c r="L173" s="55">
        <v>2</v>
      </c>
      <c r="M173" s="2">
        <v>84</v>
      </c>
      <c r="N173" s="2">
        <v>0</v>
      </c>
      <c r="O173" s="2">
        <v>140</v>
      </c>
      <c r="P173" s="156">
        <v>1382353</v>
      </c>
      <c r="Q173" s="2">
        <v>59</v>
      </c>
      <c r="R173" s="157">
        <v>-0.54211957799999999</v>
      </c>
      <c r="S173" s="2">
        <v>192</v>
      </c>
      <c r="T173" s="158">
        <v>0.72</v>
      </c>
      <c r="U173" s="2">
        <v>281</v>
      </c>
      <c r="V173" s="55">
        <v>2</v>
      </c>
      <c r="W173" s="2">
        <v>170</v>
      </c>
      <c r="X173" s="55">
        <v>85</v>
      </c>
      <c r="Y173" s="2">
        <v>68</v>
      </c>
      <c r="Z173" s="2">
        <v>7</v>
      </c>
      <c r="AA173" s="2">
        <v>275</v>
      </c>
      <c r="AB173" s="2">
        <v>30</v>
      </c>
      <c r="AC173" s="2">
        <v>60</v>
      </c>
      <c r="AD173" s="105">
        <v>39</v>
      </c>
      <c r="AE173" s="2">
        <v>86</v>
      </c>
      <c r="AF173" s="55">
        <v>37</v>
      </c>
      <c r="AG173" s="2">
        <v>46</v>
      </c>
      <c r="AH173" s="55">
        <v>0</v>
      </c>
      <c r="AI173" s="2">
        <v>135</v>
      </c>
      <c r="AJ173" s="55">
        <v>0.33329999999999999</v>
      </c>
      <c r="AK173" s="2">
        <v>44</v>
      </c>
      <c r="AL173" s="30">
        <v>43145</v>
      </c>
      <c r="AM173" s="2">
        <v>26</v>
      </c>
      <c r="AN173" s="2">
        <v>15</v>
      </c>
      <c r="AO173" s="2">
        <v>134</v>
      </c>
      <c r="AP173" s="2">
        <v>30</v>
      </c>
      <c r="AQ173" s="2">
        <v>60</v>
      </c>
      <c r="AR173" s="55">
        <v>37</v>
      </c>
      <c r="AS173" s="2">
        <v>46</v>
      </c>
      <c r="AT173" s="159">
        <v>0</v>
      </c>
      <c r="AU173" s="2">
        <v>81</v>
      </c>
      <c r="AV173" s="55">
        <v>0</v>
      </c>
      <c r="AW173" s="2">
        <v>194</v>
      </c>
      <c r="AX173" s="2" t="s">
        <v>615</v>
      </c>
      <c r="AY173" s="2">
        <v>999999</v>
      </c>
      <c r="AZ173" s="106">
        <v>0</v>
      </c>
      <c r="BA173" s="2">
        <v>14</v>
      </c>
      <c r="BB173" s="30">
        <v>43272</v>
      </c>
      <c r="BC173" s="2">
        <v>198</v>
      </c>
      <c r="BD173" s="160">
        <v>43530</v>
      </c>
      <c r="BE173" s="2">
        <v>51</v>
      </c>
      <c r="BF173" s="55">
        <v>0</v>
      </c>
      <c r="BG173" s="2">
        <v>183</v>
      </c>
      <c r="BH173" s="2">
        <v>1</v>
      </c>
      <c r="BI173" s="2">
        <v>151</v>
      </c>
      <c r="BJ173" s="2">
        <v>15</v>
      </c>
      <c r="BK173" s="2">
        <v>130</v>
      </c>
      <c r="BL173" s="161">
        <v>965892.29629629629</v>
      </c>
      <c r="BM173" s="2" t="str">
        <f t="shared" si="2"/>
        <v>150/283</v>
      </c>
      <c r="BN173" s="142"/>
    </row>
    <row r="174" spans="1:66" x14ac:dyDescent="0.25">
      <c r="A174" s="2">
        <v>540054</v>
      </c>
      <c r="B174" s="2" t="s">
        <v>152</v>
      </c>
      <c r="C174" s="2" t="s">
        <v>33</v>
      </c>
      <c r="D174" s="2" t="s">
        <v>612</v>
      </c>
      <c r="E174" s="2" t="s">
        <v>616</v>
      </c>
      <c r="F174" s="2" t="s">
        <v>613</v>
      </c>
      <c r="G174" s="2">
        <v>3</v>
      </c>
      <c r="H174" s="2">
        <v>0</v>
      </c>
      <c r="I174" s="2">
        <v>2</v>
      </c>
      <c r="J174" s="2">
        <v>65.400000000000006</v>
      </c>
      <c r="K174" s="2">
        <v>56</v>
      </c>
      <c r="L174" s="55">
        <v>0</v>
      </c>
      <c r="M174" s="2">
        <v>118</v>
      </c>
      <c r="N174" s="2">
        <v>0</v>
      </c>
      <c r="O174" s="2">
        <v>140</v>
      </c>
      <c r="P174" s="156">
        <v>61886</v>
      </c>
      <c r="Q174" s="2">
        <v>179</v>
      </c>
      <c r="R174" s="157">
        <v>-0.57059303299999997</v>
      </c>
      <c r="S174" s="2">
        <v>202</v>
      </c>
      <c r="T174" s="158">
        <v>0.9</v>
      </c>
      <c r="U174" s="2">
        <v>107</v>
      </c>
      <c r="V174" s="55">
        <v>0</v>
      </c>
      <c r="W174" s="2">
        <v>230</v>
      </c>
      <c r="X174" s="55">
        <v>4</v>
      </c>
      <c r="Y174" s="2">
        <v>211</v>
      </c>
      <c r="Z174" s="2">
        <v>13</v>
      </c>
      <c r="AA174" s="2">
        <v>78</v>
      </c>
      <c r="AB174" s="2">
        <v>1</v>
      </c>
      <c r="AC174" s="2">
        <v>186</v>
      </c>
      <c r="AD174" s="105">
        <v>3</v>
      </c>
      <c r="AE174" s="2">
        <v>213</v>
      </c>
      <c r="AF174" s="55">
        <v>0</v>
      </c>
      <c r="AG174" s="2">
        <v>184</v>
      </c>
      <c r="AH174" s="55">
        <v>0</v>
      </c>
      <c r="AI174" s="2">
        <v>135</v>
      </c>
      <c r="AJ174" s="55">
        <v>0.40079999999999999</v>
      </c>
      <c r="AK174" s="2">
        <v>90</v>
      </c>
      <c r="AL174" s="30">
        <v>43145</v>
      </c>
      <c r="AM174" s="2">
        <v>26</v>
      </c>
      <c r="AN174" s="2">
        <v>26</v>
      </c>
      <c r="AO174" s="2">
        <v>174</v>
      </c>
      <c r="AP174" s="2">
        <v>1</v>
      </c>
      <c r="AQ174" s="2">
        <v>186</v>
      </c>
      <c r="AR174" s="55">
        <v>0</v>
      </c>
      <c r="AS174" s="2">
        <v>184</v>
      </c>
      <c r="AT174" s="159">
        <v>0</v>
      </c>
      <c r="AU174" s="2">
        <v>81</v>
      </c>
      <c r="AV174" s="55">
        <v>0</v>
      </c>
      <c r="AW174" s="2">
        <v>194</v>
      </c>
      <c r="AX174" s="2" t="s">
        <v>615</v>
      </c>
      <c r="AY174" s="2">
        <v>999999</v>
      </c>
      <c r="AZ174" s="106">
        <v>0</v>
      </c>
      <c r="BA174" s="2">
        <v>14</v>
      </c>
      <c r="BB174" s="30">
        <v>42436</v>
      </c>
      <c r="BC174" s="2">
        <v>105</v>
      </c>
      <c r="BD174" s="160">
        <v>41806</v>
      </c>
      <c r="BE174" s="2">
        <v>1</v>
      </c>
      <c r="BF174" s="55">
        <v>0</v>
      </c>
      <c r="BG174" s="2">
        <v>183</v>
      </c>
      <c r="BH174" s="2">
        <v>0</v>
      </c>
      <c r="BI174" s="2">
        <v>239</v>
      </c>
      <c r="BJ174" s="2">
        <v>26</v>
      </c>
      <c r="BK174" s="2">
        <v>100</v>
      </c>
      <c r="BL174" s="161">
        <v>966444.07407407404</v>
      </c>
      <c r="BM174" s="2" t="str">
        <f t="shared" si="2"/>
        <v>227/283</v>
      </c>
      <c r="BN174" s="142"/>
    </row>
    <row r="175" spans="1:66" x14ac:dyDescent="0.25">
      <c r="A175" s="2">
        <v>540055</v>
      </c>
      <c r="B175" s="2" t="s">
        <v>153</v>
      </c>
      <c r="C175" s="2" t="s">
        <v>33</v>
      </c>
      <c r="D175" s="2" t="s">
        <v>612</v>
      </c>
      <c r="E175" s="2" t="s">
        <v>616</v>
      </c>
      <c r="F175" s="2" t="s">
        <v>613</v>
      </c>
      <c r="G175" s="2">
        <v>3</v>
      </c>
      <c r="H175" s="2">
        <v>0</v>
      </c>
      <c r="I175" s="2">
        <v>2</v>
      </c>
      <c r="J175" s="2">
        <v>65.400000000000006</v>
      </c>
      <c r="K175" s="2">
        <v>56</v>
      </c>
      <c r="L175" s="55">
        <v>2</v>
      </c>
      <c r="M175" s="2">
        <v>84</v>
      </c>
      <c r="N175" s="2">
        <v>0</v>
      </c>
      <c r="O175" s="2">
        <v>140</v>
      </c>
      <c r="P175" s="156">
        <v>60984</v>
      </c>
      <c r="Q175" s="2">
        <v>180</v>
      </c>
      <c r="R175" s="157">
        <v>-0.57059303299999997</v>
      </c>
      <c r="S175" s="2">
        <v>202</v>
      </c>
      <c r="T175" s="158">
        <v>0.9</v>
      </c>
      <c r="U175" s="2">
        <v>107</v>
      </c>
      <c r="V175" s="55">
        <v>19</v>
      </c>
      <c r="W175" s="2">
        <v>73</v>
      </c>
      <c r="X175" s="55">
        <v>30</v>
      </c>
      <c r="Y175" s="2">
        <v>127</v>
      </c>
      <c r="Z175" s="2">
        <v>13</v>
      </c>
      <c r="AA175" s="2">
        <v>78</v>
      </c>
      <c r="AB175" s="2">
        <v>26</v>
      </c>
      <c r="AC175" s="2">
        <v>65</v>
      </c>
      <c r="AD175" s="105">
        <v>58</v>
      </c>
      <c r="AE175" s="2">
        <v>71</v>
      </c>
      <c r="AF175" s="55">
        <v>2</v>
      </c>
      <c r="AG175" s="2">
        <v>164</v>
      </c>
      <c r="AH175" s="55">
        <v>274</v>
      </c>
      <c r="AI175" s="2">
        <v>88</v>
      </c>
      <c r="AJ175" s="55">
        <v>0.40079999999999999</v>
      </c>
      <c r="AK175" s="2">
        <v>90</v>
      </c>
      <c r="AL175" s="30">
        <v>43145</v>
      </c>
      <c r="AM175" s="2">
        <v>26</v>
      </c>
      <c r="AN175" s="2">
        <v>26</v>
      </c>
      <c r="AO175" s="2">
        <v>174</v>
      </c>
      <c r="AP175" s="2">
        <v>26</v>
      </c>
      <c r="AQ175" s="2">
        <v>65</v>
      </c>
      <c r="AR175" s="55">
        <v>2</v>
      </c>
      <c r="AS175" s="2">
        <v>164</v>
      </c>
      <c r="AT175" s="159">
        <v>4.3795620437956204</v>
      </c>
      <c r="AU175" s="2">
        <v>53</v>
      </c>
      <c r="AV175" s="55">
        <v>1</v>
      </c>
      <c r="AW175" s="2">
        <v>1</v>
      </c>
      <c r="AX175" s="2" t="s">
        <v>615</v>
      </c>
      <c r="AY175" s="2">
        <v>999999</v>
      </c>
      <c r="AZ175" s="106">
        <v>0</v>
      </c>
      <c r="BA175" s="2">
        <v>14</v>
      </c>
      <c r="BB175" s="30">
        <v>43027</v>
      </c>
      <c r="BC175" s="2">
        <v>153</v>
      </c>
      <c r="BD175" s="160">
        <v>42233</v>
      </c>
      <c r="BE175" s="2">
        <v>34</v>
      </c>
      <c r="BF175" s="55">
        <v>0</v>
      </c>
      <c r="BG175" s="2">
        <v>183</v>
      </c>
      <c r="BH175" s="2">
        <v>2</v>
      </c>
      <c r="BI175" s="2">
        <v>68</v>
      </c>
      <c r="BJ175" s="2">
        <v>26</v>
      </c>
      <c r="BK175" s="2">
        <v>100</v>
      </c>
      <c r="BL175" s="161">
        <v>965427.18518518528</v>
      </c>
      <c r="BM175" s="2" t="str">
        <f t="shared" si="2"/>
        <v>90/283</v>
      </c>
      <c r="BN175" s="142"/>
    </row>
    <row r="176" spans="1:66" x14ac:dyDescent="0.25">
      <c r="A176" s="2">
        <v>540056</v>
      </c>
      <c r="B176" s="2" t="s">
        <v>154</v>
      </c>
      <c r="C176" s="2" t="s">
        <v>33</v>
      </c>
      <c r="D176" s="2" t="s">
        <v>612</v>
      </c>
      <c r="E176" s="2" t="s">
        <v>616</v>
      </c>
      <c r="F176" s="2" t="s">
        <v>613</v>
      </c>
      <c r="G176" s="2">
        <v>3</v>
      </c>
      <c r="H176" s="2">
        <v>0</v>
      </c>
      <c r="I176" s="2">
        <v>2</v>
      </c>
      <c r="J176" s="2">
        <v>65.400000000000006</v>
      </c>
      <c r="K176" s="2">
        <v>56</v>
      </c>
      <c r="L176" s="55">
        <v>39</v>
      </c>
      <c r="M176" s="2">
        <v>5</v>
      </c>
      <c r="N176" s="2">
        <v>0</v>
      </c>
      <c r="O176" s="2">
        <v>140</v>
      </c>
      <c r="P176" s="156">
        <v>2797680</v>
      </c>
      <c r="Q176" s="2">
        <v>29</v>
      </c>
      <c r="R176" s="157">
        <v>-0.57059303299999997</v>
      </c>
      <c r="S176" s="2">
        <v>202</v>
      </c>
      <c r="T176" s="158">
        <v>0.9</v>
      </c>
      <c r="U176" s="2">
        <v>107</v>
      </c>
      <c r="V176" s="55">
        <v>18</v>
      </c>
      <c r="W176" s="2">
        <v>75</v>
      </c>
      <c r="X176" s="55">
        <v>372</v>
      </c>
      <c r="Y176" s="2">
        <v>12</v>
      </c>
      <c r="Z176" s="2">
        <v>13</v>
      </c>
      <c r="AA176" s="2">
        <v>78</v>
      </c>
      <c r="AB176" s="2">
        <v>46</v>
      </c>
      <c r="AC176" s="2">
        <v>41</v>
      </c>
      <c r="AD176" s="105">
        <v>87</v>
      </c>
      <c r="AE176" s="2">
        <v>50</v>
      </c>
      <c r="AF176" s="55">
        <v>129</v>
      </c>
      <c r="AG176" s="2">
        <v>9</v>
      </c>
      <c r="AH176" s="55">
        <v>1089</v>
      </c>
      <c r="AI176" s="2">
        <v>49</v>
      </c>
      <c r="AJ176" s="55">
        <v>0.40079999999999999</v>
      </c>
      <c r="AK176" s="2">
        <v>90</v>
      </c>
      <c r="AL176" s="30">
        <v>43145</v>
      </c>
      <c r="AM176" s="2">
        <v>26</v>
      </c>
      <c r="AN176" s="2">
        <v>26</v>
      </c>
      <c r="AO176" s="2">
        <v>174</v>
      </c>
      <c r="AP176" s="2">
        <v>46</v>
      </c>
      <c r="AQ176" s="2">
        <v>41</v>
      </c>
      <c r="AR176" s="55">
        <v>129</v>
      </c>
      <c r="AS176" s="2">
        <v>9</v>
      </c>
      <c r="AT176" s="159">
        <v>2.2956841138659319</v>
      </c>
      <c r="AU176" s="2">
        <v>66</v>
      </c>
      <c r="AV176" s="55">
        <v>1</v>
      </c>
      <c r="AW176" s="2">
        <v>1</v>
      </c>
      <c r="AX176" s="2" t="s">
        <v>615</v>
      </c>
      <c r="AY176" s="2">
        <v>999999</v>
      </c>
      <c r="AZ176" s="106">
        <v>0</v>
      </c>
      <c r="BA176" s="2">
        <v>14</v>
      </c>
      <c r="BB176" s="30">
        <v>42996</v>
      </c>
      <c r="BC176" s="2">
        <v>135</v>
      </c>
      <c r="BD176" s="160">
        <v>43494</v>
      </c>
      <c r="BE176" s="2">
        <v>44</v>
      </c>
      <c r="BF176" s="55">
        <v>0</v>
      </c>
      <c r="BG176" s="2">
        <v>183</v>
      </c>
      <c r="BH176" s="2">
        <v>2</v>
      </c>
      <c r="BI176" s="2">
        <v>68</v>
      </c>
      <c r="BJ176" s="2">
        <v>26</v>
      </c>
      <c r="BK176" s="2">
        <v>100</v>
      </c>
      <c r="BL176" s="161">
        <v>964699.18518518505</v>
      </c>
      <c r="BM176" s="2" t="str">
        <f t="shared" si="2"/>
        <v>23/283</v>
      </c>
      <c r="BN176" s="142"/>
    </row>
    <row r="177" spans="1:66" x14ac:dyDescent="0.25">
      <c r="A177" s="2">
        <v>540058</v>
      </c>
      <c r="B177" s="2" t="s">
        <v>156</v>
      </c>
      <c r="C177" s="2" t="s">
        <v>33</v>
      </c>
      <c r="D177" s="2" t="s">
        <v>612</v>
      </c>
      <c r="E177" s="2" t="s">
        <v>616</v>
      </c>
      <c r="F177" s="2" t="s">
        <v>613</v>
      </c>
      <c r="G177" s="2">
        <v>3</v>
      </c>
      <c r="H177" s="2">
        <v>0</v>
      </c>
      <c r="I177" s="2">
        <v>2</v>
      </c>
      <c r="J177" s="2">
        <v>65.400000000000006</v>
      </c>
      <c r="K177" s="2">
        <v>56</v>
      </c>
      <c r="L177" s="55">
        <v>2</v>
      </c>
      <c r="M177" s="2">
        <v>84</v>
      </c>
      <c r="N177" s="2">
        <v>0</v>
      </c>
      <c r="O177" s="2">
        <v>140</v>
      </c>
      <c r="P177" s="156">
        <v>173021</v>
      </c>
      <c r="Q177" s="2">
        <v>140</v>
      </c>
      <c r="R177" s="157">
        <v>-0.57059303299999997</v>
      </c>
      <c r="S177" s="2">
        <v>202</v>
      </c>
      <c r="T177" s="158">
        <v>0.9</v>
      </c>
      <c r="U177" s="2">
        <v>107</v>
      </c>
      <c r="V177" s="55">
        <v>1</v>
      </c>
      <c r="W177" s="2">
        <v>197</v>
      </c>
      <c r="X177" s="55">
        <v>24</v>
      </c>
      <c r="Y177" s="2">
        <v>136</v>
      </c>
      <c r="Z177" s="2">
        <v>13</v>
      </c>
      <c r="AA177" s="2">
        <v>78</v>
      </c>
      <c r="AB177" s="2">
        <v>3</v>
      </c>
      <c r="AC177" s="2">
        <v>149</v>
      </c>
      <c r="AD177" s="105">
        <v>4</v>
      </c>
      <c r="AE177" s="2">
        <v>206</v>
      </c>
      <c r="AF177" s="55">
        <v>15</v>
      </c>
      <c r="AG177" s="2">
        <v>81</v>
      </c>
      <c r="AH177" s="55">
        <v>0</v>
      </c>
      <c r="AI177" s="2">
        <v>135</v>
      </c>
      <c r="AJ177" s="55">
        <v>0.40079999999999999</v>
      </c>
      <c r="AK177" s="2">
        <v>90</v>
      </c>
      <c r="AL177" s="30">
        <v>43145</v>
      </c>
      <c r="AM177" s="2">
        <v>26</v>
      </c>
      <c r="AN177" s="2">
        <v>26</v>
      </c>
      <c r="AO177" s="2">
        <v>174</v>
      </c>
      <c r="AP177" s="2">
        <v>3</v>
      </c>
      <c r="AQ177" s="2">
        <v>149</v>
      </c>
      <c r="AR177" s="55">
        <v>15</v>
      </c>
      <c r="AS177" s="2">
        <v>81</v>
      </c>
      <c r="AT177" s="159">
        <v>0</v>
      </c>
      <c r="AU177" s="2">
        <v>81</v>
      </c>
      <c r="AV177" s="55">
        <v>1</v>
      </c>
      <c r="AW177" s="2">
        <v>1</v>
      </c>
      <c r="AX177" s="2" t="s">
        <v>615</v>
      </c>
      <c r="AY177" s="2">
        <v>999999</v>
      </c>
      <c r="AZ177" s="106">
        <v>0</v>
      </c>
      <c r="BA177" s="2">
        <v>14</v>
      </c>
      <c r="BB177" s="30">
        <v>34085</v>
      </c>
      <c r="BC177" s="2">
        <v>22</v>
      </c>
      <c r="BD177" s="160">
        <v>41806</v>
      </c>
      <c r="BE177" s="2">
        <v>1</v>
      </c>
      <c r="BF177" s="55">
        <v>1</v>
      </c>
      <c r="BG177" s="2">
        <v>1</v>
      </c>
      <c r="BH177" s="2">
        <v>0</v>
      </c>
      <c r="BI177" s="2">
        <v>239</v>
      </c>
      <c r="BJ177" s="2">
        <v>26</v>
      </c>
      <c r="BK177" s="2">
        <v>100</v>
      </c>
      <c r="BL177" s="161">
        <v>965552.37037037022</v>
      </c>
      <c r="BM177" s="2" t="str">
        <f t="shared" si="2"/>
        <v>102/283</v>
      </c>
      <c r="BN177" s="142"/>
    </row>
    <row r="178" spans="1:66" x14ac:dyDescent="0.25">
      <c r="A178" s="2">
        <v>540059</v>
      </c>
      <c r="B178" s="2" t="s">
        <v>157</v>
      </c>
      <c r="C178" s="2" t="s">
        <v>33</v>
      </c>
      <c r="D178" s="2" t="s">
        <v>612</v>
      </c>
      <c r="E178" s="2" t="s">
        <v>616</v>
      </c>
      <c r="F178" s="2" t="s">
        <v>613</v>
      </c>
      <c r="G178" s="2">
        <v>3</v>
      </c>
      <c r="H178" s="2">
        <v>0</v>
      </c>
      <c r="I178" s="2">
        <v>2</v>
      </c>
      <c r="J178" s="2">
        <v>65.400000000000006</v>
      </c>
      <c r="K178" s="2">
        <v>56</v>
      </c>
      <c r="L178" s="55">
        <v>0</v>
      </c>
      <c r="M178" s="2">
        <v>118</v>
      </c>
      <c r="N178" s="2">
        <v>0</v>
      </c>
      <c r="O178" s="2">
        <v>140</v>
      </c>
      <c r="P178" s="156">
        <v>132413</v>
      </c>
      <c r="Q178" s="2">
        <v>153</v>
      </c>
      <c r="R178" s="157">
        <v>-0.57059303299999997</v>
      </c>
      <c r="S178" s="2">
        <v>202</v>
      </c>
      <c r="T178" s="158">
        <v>0.9</v>
      </c>
      <c r="U178" s="2">
        <v>107</v>
      </c>
      <c r="V178" s="55">
        <v>5</v>
      </c>
      <c r="W178" s="2">
        <v>121</v>
      </c>
      <c r="X178" s="55">
        <v>23</v>
      </c>
      <c r="Y178" s="2">
        <v>139</v>
      </c>
      <c r="Z178" s="2">
        <v>13</v>
      </c>
      <c r="AA178" s="2">
        <v>78</v>
      </c>
      <c r="AB178" s="2">
        <v>4</v>
      </c>
      <c r="AC178" s="2">
        <v>139</v>
      </c>
      <c r="AD178" s="105">
        <v>8</v>
      </c>
      <c r="AE178" s="2">
        <v>172</v>
      </c>
      <c r="AF178" s="55">
        <v>0</v>
      </c>
      <c r="AG178" s="2">
        <v>184</v>
      </c>
      <c r="AH178" s="55">
        <v>224</v>
      </c>
      <c r="AI178" s="2">
        <v>94</v>
      </c>
      <c r="AJ178" s="55">
        <v>0.40079999999999999</v>
      </c>
      <c r="AK178" s="2">
        <v>90</v>
      </c>
      <c r="AL178" s="30">
        <v>43145</v>
      </c>
      <c r="AM178" s="2">
        <v>26</v>
      </c>
      <c r="AN178" s="2">
        <v>26</v>
      </c>
      <c r="AO178" s="2">
        <v>174</v>
      </c>
      <c r="AP178" s="2">
        <v>4</v>
      </c>
      <c r="AQ178" s="2">
        <v>139</v>
      </c>
      <c r="AR178" s="55">
        <v>0</v>
      </c>
      <c r="AS178" s="2">
        <v>184</v>
      </c>
      <c r="AT178" s="159">
        <v>37.5</v>
      </c>
      <c r="AU178" s="2">
        <v>1</v>
      </c>
      <c r="AV178" s="55">
        <v>0</v>
      </c>
      <c r="AW178" s="2">
        <v>194</v>
      </c>
      <c r="AX178" s="2" t="s">
        <v>615</v>
      </c>
      <c r="AY178" s="2">
        <v>999999</v>
      </c>
      <c r="AZ178" s="106">
        <v>0</v>
      </c>
      <c r="BA178" s="2">
        <v>14</v>
      </c>
      <c r="BB178" s="30">
        <v>30509</v>
      </c>
      <c r="BC178" s="2">
        <v>5</v>
      </c>
      <c r="BD178" s="160">
        <v>41806</v>
      </c>
      <c r="BE178" s="2">
        <v>1</v>
      </c>
      <c r="BF178" s="55">
        <v>1</v>
      </c>
      <c r="BG178" s="2">
        <v>1</v>
      </c>
      <c r="BH178" s="2">
        <v>0</v>
      </c>
      <c r="BI178" s="2">
        <v>239</v>
      </c>
      <c r="BJ178" s="2">
        <v>26</v>
      </c>
      <c r="BK178" s="2">
        <v>100</v>
      </c>
      <c r="BL178" s="161">
        <v>965726.66666666651</v>
      </c>
      <c r="BM178" s="2" t="str">
        <f t="shared" si="2"/>
        <v>123/283</v>
      </c>
      <c r="BN178" s="142"/>
    </row>
    <row r="179" spans="1:66" x14ac:dyDescent="0.25">
      <c r="A179" s="2">
        <v>540242</v>
      </c>
      <c r="B179" s="2" t="s">
        <v>289</v>
      </c>
      <c r="C179" s="2" t="s">
        <v>33</v>
      </c>
      <c r="D179" s="2" t="s">
        <v>612</v>
      </c>
      <c r="E179" s="2" t="s">
        <v>616</v>
      </c>
      <c r="F179" s="2" t="s">
        <v>613</v>
      </c>
      <c r="G179" s="2">
        <v>3</v>
      </c>
      <c r="H179" s="2">
        <v>0</v>
      </c>
      <c r="I179" s="2">
        <v>2</v>
      </c>
      <c r="J179" s="2">
        <v>65.400000000000006</v>
      </c>
      <c r="K179" s="2">
        <v>56</v>
      </c>
      <c r="L179" s="55">
        <v>9</v>
      </c>
      <c r="M179" s="2">
        <v>39</v>
      </c>
      <c r="N179" s="2">
        <v>0</v>
      </c>
      <c r="O179" s="2">
        <v>140</v>
      </c>
      <c r="P179" s="156">
        <v>202527</v>
      </c>
      <c r="Q179" s="2">
        <v>135</v>
      </c>
      <c r="R179" s="157">
        <v>-0.57059303299999997</v>
      </c>
      <c r="S179" s="2">
        <v>202</v>
      </c>
      <c r="T179" s="158">
        <v>0.9</v>
      </c>
      <c r="U179" s="2">
        <v>107</v>
      </c>
      <c r="V179" s="55">
        <v>5</v>
      </c>
      <c r="W179" s="2">
        <v>121</v>
      </c>
      <c r="X179" s="55">
        <v>22</v>
      </c>
      <c r="Y179" s="2">
        <v>143</v>
      </c>
      <c r="Z179" s="2">
        <v>13</v>
      </c>
      <c r="AA179" s="2">
        <v>78</v>
      </c>
      <c r="AB179" s="2">
        <v>3</v>
      </c>
      <c r="AC179" s="2">
        <v>149</v>
      </c>
      <c r="AD179" s="105">
        <v>13</v>
      </c>
      <c r="AE179" s="2">
        <v>142</v>
      </c>
      <c r="AF179" s="55">
        <v>11</v>
      </c>
      <c r="AG179" s="2">
        <v>101</v>
      </c>
      <c r="AH179" s="55">
        <v>183</v>
      </c>
      <c r="AI179" s="2">
        <v>104</v>
      </c>
      <c r="AJ179" s="55">
        <v>0.40079999999999999</v>
      </c>
      <c r="AK179" s="2">
        <v>90</v>
      </c>
      <c r="AL179" s="30">
        <v>43145</v>
      </c>
      <c r="AM179" s="2">
        <v>26</v>
      </c>
      <c r="AN179" s="2">
        <v>26</v>
      </c>
      <c r="AO179" s="2">
        <v>174</v>
      </c>
      <c r="AP179" s="2">
        <v>3</v>
      </c>
      <c r="AQ179" s="2">
        <v>149</v>
      </c>
      <c r="AR179" s="55">
        <v>11</v>
      </c>
      <c r="AS179" s="2">
        <v>101</v>
      </c>
      <c r="AT179" s="159">
        <v>-6.557377049180328</v>
      </c>
      <c r="AU179" s="2">
        <v>250</v>
      </c>
      <c r="AV179" s="55">
        <v>1</v>
      </c>
      <c r="AW179" s="2">
        <v>1</v>
      </c>
      <c r="AX179" s="2" t="s">
        <v>615</v>
      </c>
      <c r="AY179" s="2">
        <v>999999</v>
      </c>
      <c r="AZ179" s="106">
        <v>0</v>
      </c>
      <c r="BA179" s="2">
        <v>14</v>
      </c>
      <c r="BB179" s="30">
        <v>29781</v>
      </c>
      <c r="BC179" s="2">
        <v>1</v>
      </c>
      <c r="BD179" s="160">
        <v>41806</v>
      </c>
      <c r="BE179" s="2">
        <v>1</v>
      </c>
      <c r="BF179" s="55">
        <v>1</v>
      </c>
      <c r="BG179" s="2">
        <v>1</v>
      </c>
      <c r="BH179" s="2">
        <v>5</v>
      </c>
      <c r="BI179" s="2">
        <v>26</v>
      </c>
      <c r="BJ179" s="2">
        <v>26</v>
      </c>
      <c r="BK179" s="2">
        <v>100</v>
      </c>
      <c r="BL179" s="161">
        <v>965322.22222222202</v>
      </c>
      <c r="BM179" s="2" t="str">
        <f t="shared" si="2"/>
        <v>77/283</v>
      </c>
      <c r="BN179" s="142"/>
    </row>
    <row r="180" spans="1:66" x14ac:dyDescent="0.25">
      <c r="A180" s="2">
        <v>540061</v>
      </c>
      <c r="B180" s="2" t="s">
        <v>159</v>
      </c>
      <c r="C180" s="2" t="s">
        <v>33</v>
      </c>
      <c r="D180" s="2" t="s">
        <v>612</v>
      </c>
      <c r="E180" s="2" t="s">
        <v>616</v>
      </c>
      <c r="F180" s="2" t="s">
        <v>613</v>
      </c>
      <c r="G180" s="2">
        <v>3</v>
      </c>
      <c r="H180" s="2">
        <v>0</v>
      </c>
      <c r="I180" s="2">
        <v>2</v>
      </c>
      <c r="J180" s="2">
        <v>65.400000000000006</v>
      </c>
      <c r="K180" s="2">
        <v>56</v>
      </c>
      <c r="L180" s="55">
        <v>2</v>
      </c>
      <c r="M180" s="2">
        <v>84</v>
      </c>
      <c r="N180" s="2">
        <v>0</v>
      </c>
      <c r="O180" s="2">
        <v>140</v>
      </c>
      <c r="P180" s="156">
        <v>11677</v>
      </c>
      <c r="Q180" s="2">
        <v>223</v>
      </c>
      <c r="R180" s="157">
        <v>-0.57059303299999997</v>
      </c>
      <c r="S180" s="2">
        <v>202</v>
      </c>
      <c r="T180" s="158">
        <v>0.9</v>
      </c>
      <c r="U180" s="2">
        <v>107</v>
      </c>
      <c r="V180" s="55">
        <v>4</v>
      </c>
      <c r="W180" s="2">
        <v>142</v>
      </c>
      <c r="X180" s="55">
        <v>4</v>
      </c>
      <c r="Y180" s="2">
        <v>211</v>
      </c>
      <c r="Z180" s="2">
        <v>13</v>
      </c>
      <c r="AA180" s="2">
        <v>78</v>
      </c>
      <c r="AB180" s="2">
        <v>1</v>
      </c>
      <c r="AC180" s="2">
        <v>186</v>
      </c>
      <c r="AD180" s="105">
        <v>3</v>
      </c>
      <c r="AE180" s="2">
        <v>213</v>
      </c>
      <c r="AF180" s="55">
        <v>2</v>
      </c>
      <c r="AG180" s="2">
        <v>164</v>
      </c>
      <c r="AH180" s="55">
        <v>112</v>
      </c>
      <c r="AI180" s="2">
        <v>123</v>
      </c>
      <c r="AJ180" s="55">
        <v>0.40079999999999999</v>
      </c>
      <c r="AK180" s="2">
        <v>90</v>
      </c>
      <c r="AL180" s="30">
        <v>43145</v>
      </c>
      <c r="AM180" s="2">
        <v>26</v>
      </c>
      <c r="AN180" s="2">
        <v>26</v>
      </c>
      <c r="AO180" s="2">
        <v>174</v>
      </c>
      <c r="AP180" s="2">
        <v>1</v>
      </c>
      <c r="AQ180" s="2">
        <v>186</v>
      </c>
      <c r="AR180" s="55">
        <v>2</v>
      </c>
      <c r="AS180" s="2">
        <v>164</v>
      </c>
      <c r="AT180" s="159">
        <v>-8.0357142857142865</v>
      </c>
      <c r="AU180" s="2">
        <v>255</v>
      </c>
      <c r="AV180" s="55">
        <v>0</v>
      </c>
      <c r="AW180" s="2">
        <v>194</v>
      </c>
      <c r="AX180" s="2" t="s">
        <v>615</v>
      </c>
      <c r="AY180" s="2">
        <v>999999</v>
      </c>
      <c r="AZ180" s="106">
        <v>0</v>
      </c>
      <c r="BA180" s="2">
        <v>14</v>
      </c>
      <c r="BB180" s="30">
        <v>33374</v>
      </c>
      <c r="BC180" s="2">
        <v>16</v>
      </c>
      <c r="BD180" s="160">
        <v>41806</v>
      </c>
      <c r="BE180" s="2">
        <v>1</v>
      </c>
      <c r="BF180" s="55">
        <v>1</v>
      </c>
      <c r="BG180" s="2">
        <v>1</v>
      </c>
      <c r="BH180" s="2">
        <v>0</v>
      </c>
      <c r="BI180" s="2">
        <v>239</v>
      </c>
      <c r="BJ180" s="2">
        <v>26</v>
      </c>
      <c r="BK180" s="2">
        <v>100</v>
      </c>
      <c r="BL180" s="161">
        <v>966225.48148148146</v>
      </c>
      <c r="BM180" s="2" t="str">
        <f t="shared" si="2"/>
        <v>204/283</v>
      </c>
      <c r="BN180" s="142"/>
    </row>
    <row r="181" spans="1:66" x14ac:dyDescent="0.25">
      <c r="A181" s="162">
        <v>540063</v>
      </c>
      <c r="B181" s="162" t="s">
        <v>34</v>
      </c>
      <c r="C181" s="162" t="s">
        <v>35</v>
      </c>
      <c r="D181" s="162" t="s">
        <v>617</v>
      </c>
      <c r="E181" s="162" t="s">
        <v>616</v>
      </c>
      <c r="F181" s="162" t="s">
        <v>613</v>
      </c>
      <c r="G181" s="162">
        <v>3</v>
      </c>
      <c r="H181" s="162">
        <v>0</v>
      </c>
      <c r="I181" s="162">
        <v>2</v>
      </c>
      <c r="J181" s="162">
        <v>2.4</v>
      </c>
      <c r="K181" s="162">
        <v>237</v>
      </c>
      <c r="L181" s="163">
        <v>32</v>
      </c>
      <c r="M181" s="162">
        <v>8</v>
      </c>
      <c r="N181" s="162">
        <v>0</v>
      </c>
      <c r="O181" s="162">
        <v>140</v>
      </c>
      <c r="P181" s="164">
        <v>2673177</v>
      </c>
      <c r="Q181" s="162">
        <v>32</v>
      </c>
      <c r="R181" s="165">
        <v>0.93594219700000003</v>
      </c>
      <c r="S181" s="162">
        <v>57</v>
      </c>
      <c r="T181" s="166">
        <v>0.95</v>
      </c>
      <c r="U181" s="162">
        <v>1</v>
      </c>
      <c r="V181" s="163">
        <v>90</v>
      </c>
      <c r="W181" s="162">
        <v>16</v>
      </c>
      <c r="X181" s="163">
        <v>195</v>
      </c>
      <c r="Y181" s="162">
        <v>37</v>
      </c>
      <c r="Z181" s="162">
        <v>14</v>
      </c>
      <c r="AA181" s="162">
        <v>59</v>
      </c>
      <c r="AB181" s="162">
        <v>41</v>
      </c>
      <c r="AC181" s="162">
        <v>45</v>
      </c>
      <c r="AD181" s="167">
        <v>122</v>
      </c>
      <c r="AE181" s="162">
        <v>36</v>
      </c>
      <c r="AF181" s="163">
        <v>65</v>
      </c>
      <c r="AG181" s="162">
        <v>28</v>
      </c>
      <c r="AH181" s="163">
        <v>1499</v>
      </c>
      <c r="AI181" s="162">
        <v>35</v>
      </c>
      <c r="AJ181" s="163">
        <v>0.28079999999999999</v>
      </c>
      <c r="AK181" s="162">
        <v>31</v>
      </c>
      <c r="AL181" s="168">
        <v>42543</v>
      </c>
      <c r="AM181" s="162">
        <v>161</v>
      </c>
      <c r="AN181" s="162">
        <v>7</v>
      </c>
      <c r="AO181" s="162">
        <v>94</v>
      </c>
      <c r="AP181" s="162">
        <v>41</v>
      </c>
      <c r="AQ181" s="162">
        <v>45</v>
      </c>
      <c r="AR181" s="163">
        <v>65</v>
      </c>
      <c r="AS181" s="162">
        <v>28</v>
      </c>
      <c r="AT181" s="169">
        <v>-23.882588392261507</v>
      </c>
      <c r="AU181" s="162">
        <v>274</v>
      </c>
      <c r="AV181" s="163">
        <v>1</v>
      </c>
      <c r="AW181" s="162">
        <v>1</v>
      </c>
      <c r="AX181" s="162" t="s">
        <v>615</v>
      </c>
      <c r="AY181" s="162">
        <v>999999</v>
      </c>
      <c r="AZ181" s="170">
        <v>0</v>
      </c>
      <c r="BA181" s="162">
        <v>14</v>
      </c>
      <c r="BB181" s="168">
        <v>43104</v>
      </c>
      <c r="BC181" s="162">
        <v>164</v>
      </c>
      <c r="BD181" s="171">
        <v>41848</v>
      </c>
      <c r="BE181" s="162">
        <v>29</v>
      </c>
      <c r="BF181" s="163" t="s">
        <v>1297</v>
      </c>
      <c r="BG181" s="162">
        <v>999999</v>
      </c>
      <c r="BH181" s="162">
        <v>2</v>
      </c>
      <c r="BI181" s="162">
        <v>68</v>
      </c>
      <c r="BJ181" s="162">
        <v>7</v>
      </c>
      <c r="BK181" s="162">
        <v>188</v>
      </c>
      <c r="BL181" s="161">
        <v>1927684.2962962962</v>
      </c>
      <c r="BM181" s="162" t="str">
        <f t="shared" si="2"/>
        <v>239/283</v>
      </c>
      <c r="BN181" s="142"/>
    </row>
    <row r="182" spans="1:66" x14ac:dyDescent="0.25">
      <c r="A182" s="2">
        <v>540241</v>
      </c>
      <c r="B182" s="2" t="s">
        <v>288</v>
      </c>
      <c r="C182" s="2" t="s">
        <v>35</v>
      </c>
      <c r="D182" s="2" t="s">
        <v>612</v>
      </c>
      <c r="E182" s="2" t="s">
        <v>616</v>
      </c>
      <c r="F182" s="2" t="s">
        <v>613</v>
      </c>
      <c r="G182" s="2">
        <v>3</v>
      </c>
      <c r="H182" s="2">
        <v>0</v>
      </c>
      <c r="I182" s="2">
        <v>2</v>
      </c>
      <c r="J182" s="2">
        <v>2.4</v>
      </c>
      <c r="K182" s="2">
        <v>237</v>
      </c>
      <c r="L182" s="55">
        <v>0</v>
      </c>
      <c r="M182" s="2">
        <v>118</v>
      </c>
      <c r="N182" s="2">
        <v>0</v>
      </c>
      <c r="O182" s="2">
        <v>140</v>
      </c>
      <c r="P182" s="156">
        <v>79478</v>
      </c>
      <c r="Q182" s="2">
        <v>174</v>
      </c>
      <c r="R182" s="157">
        <v>0.93594219700000003</v>
      </c>
      <c r="S182" s="2">
        <v>57</v>
      </c>
      <c r="T182" s="158">
        <v>0.95</v>
      </c>
      <c r="U182" s="2">
        <v>1</v>
      </c>
      <c r="V182" s="55">
        <v>5</v>
      </c>
      <c r="W182" s="2">
        <v>121</v>
      </c>
      <c r="X182" s="55">
        <v>10</v>
      </c>
      <c r="Y182" s="2">
        <v>178</v>
      </c>
      <c r="Z182" s="2">
        <v>14</v>
      </c>
      <c r="AA182" s="2">
        <v>59</v>
      </c>
      <c r="AB182" s="2">
        <v>4</v>
      </c>
      <c r="AC182" s="2">
        <v>139</v>
      </c>
      <c r="AD182" s="105">
        <v>25</v>
      </c>
      <c r="AE182" s="2">
        <v>107</v>
      </c>
      <c r="AF182" s="55">
        <v>5</v>
      </c>
      <c r="AG182" s="2">
        <v>130</v>
      </c>
      <c r="AH182" s="55">
        <v>48</v>
      </c>
      <c r="AI182" s="2">
        <v>133</v>
      </c>
      <c r="AJ182" s="55">
        <v>0.28079999999999999</v>
      </c>
      <c r="AK182" s="2">
        <v>31</v>
      </c>
      <c r="AL182" s="30">
        <v>42543</v>
      </c>
      <c r="AM182" s="2">
        <v>161</v>
      </c>
      <c r="AN182" s="2">
        <v>7</v>
      </c>
      <c r="AO182" s="2">
        <v>94</v>
      </c>
      <c r="AP182" s="2">
        <v>4</v>
      </c>
      <c r="AQ182" s="2">
        <v>139</v>
      </c>
      <c r="AR182" s="55">
        <v>5</v>
      </c>
      <c r="AS182" s="2">
        <v>130</v>
      </c>
      <c r="AT182" s="159">
        <v>-2.083333333333333</v>
      </c>
      <c r="AU182" s="2">
        <v>234</v>
      </c>
      <c r="AV182" s="55">
        <v>1</v>
      </c>
      <c r="AW182" s="2">
        <v>1</v>
      </c>
      <c r="AX182" s="2" t="s">
        <v>615</v>
      </c>
      <c r="AY182" s="2">
        <v>999999</v>
      </c>
      <c r="AZ182" s="106">
        <v>0</v>
      </c>
      <c r="BA182" s="2">
        <v>14</v>
      </c>
      <c r="BB182" s="30">
        <v>43215</v>
      </c>
      <c r="BC182" s="2">
        <v>185</v>
      </c>
      <c r="BD182" s="160">
        <v>41806</v>
      </c>
      <c r="BE182" s="2">
        <v>1</v>
      </c>
      <c r="BF182" s="55" t="s">
        <v>1297</v>
      </c>
      <c r="BG182" s="2">
        <v>999999</v>
      </c>
      <c r="BH182" s="2">
        <v>7</v>
      </c>
      <c r="BI182" s="2">
        <v>17</v>
      </c>
      <c r="BJ182" s="2">
        <v>7</v>
      </c>
      <c r="BK182" s="2">
        <v>188</v>
      </c>
      <c r="BL182" s="161">
        <v>1928609.7037037036</v>
      </c>
      <c r="BM182" s="2" t="str">
        <f t="shared" si="2"/>
        <v>244/283</v>
      </c>
      <c r="BN182" s="142"/>
    </row>
    <row r="183" spans="1:66" x14ac:dyDescent="0.25">
      <c r="A183" s="2">
        <v>540064</v>
      </c>
      <c r="B183" s="2" t="s">
        <v>161</v>
      </c>
      <c r="C183" s="2" t="s">
        <v>35</v>
      </c>
      <c r="D183" s="2" t="s">
        <v>612</v>
      </c>
      <c r="E183" s="2" t="s">
        <v>616</v>
      </c>
      <c r="F183" s="2" t="s">
        <v>613</v>
      </c>
      <c r="G183" s="2">
        <v>3</v>
      </c>
      <c r="H183" s="2">
        <v>0</v>
      </c>
      <c r="I183" s="2">
        <v>2</v>
      </c>
      <c r="J183" s="2">
        <v>2.4</v>
      </c>
      <c r="K183" s="2">
        <v>237</v>
      </c>
      <c r="L183" s="55">
        <v>13</v>
      </c>
      <c r="M183" s="2">
        <v>29</v>
      </c>
      <c r="N183" s="2">
        <v>0</v>
      </c>
      <c r="O183" s="2">
        <v>140</v>
      </c>
      <c r="P183" s="156">
        <v>586230</v>
      </c>
      <c r="Q183" s="2">
        <v>92</v>
      </c>
      <c r="R183" s="157">
        <v>0.93594219700000003</v>
      </c>
      <c r="S183" s="2">
        <v>57</v>
      </c>
      <c r="T183" s="158">
        <v>0.95</v>
      </c>
      <c r="U183" s="2">
        <v>1</v>
      </c>
      <c r="V183" s="55">
        <v>4</v>
      </c>
      <c r="W183" s="2">
        <v>142</v>
      </c>
      <c r="X183" s="55">
        <v>73</v>
      </c>
      <c r="Y183" s="2">
        <v>77</v>
      </c>
      <c r="Z183" s="2">
        <v>14</v>
      </c>
      <c r="AA183" s="2">
        <v>59</v>
      </c>
      <c r="AB183" s="2">
        <v>1</v>
      </c>
      <c r="AC183" s="2">
        <v>186</v>
      </c>
      <c r="AD183" s="105">
        <v>18</v>
      </c>
      <c r="AE183" s="2">
        <v>123</v>
      </c>
      <c r="AF183" s="55">
        <v>15</v>
      </c>
      <c r="AG183" s="2">
        <v>81</v>
      </c>
      <c r="AH183" s="55">
        <v>80</v>
      </c>
      <c r="AI183" s="2">
        <v>129</v>
      </c>
      <c r="AJ183" s="55">
        <v>0.28079999999999999</v>
      </c>
      <c r="AK183" s="2">
        <v>31</v>
      </c>
      <c r="AL183" s="30">
        <v>42543</v>
      </c>
      <c r="AM183" s="2">
        <v>161</v>
      </c>
      <c r="AN183" s="2">
        <v>7</v>
      </c>
      <c r="AO183" s="2">
        <v>94</v>
      </c>
      <c r="AP183" s="2">
        <v>1</v>
      </c>
      <c r="AQ183" s="2">
        <v>186</v>
      </c>
      <c r="AR183" s="55">
        <v>15</v>
      </c>
      <c r="AS183" s="2">
        <v>81</v>
      </c>
      <c r="AT183" s="159">
        <v>-6.25</v>
      </c>
      <c r="AU183" s="2">
        <v>248</v>
      </c>
      <c r="AV183" s="55">
        <v>1</v>
      </c>
      <c r="AW183" s="2">
        <v>1</v>
      </c>
      <c r="AX183" s="2" t="s">
        <v>615</v>
      </c>
      <c r="AY183" s="2">
        <v>999999</v>
      </c>
      <c r="AZ183" s="106">
        <v>0</v>
      </c>
      <c r="BA183" s="2">
        <v>14</v>
      </c>
      <c r="BB183" s="30">
        <v>43104</v>
      </c>
      <c r="BC183" s="2">
        <v>164</v>
      </c>
      <c r="BD183" s="160">
        <v>41806</v>
      </c>
      <c r="BE183" s="2">
        <v>1</v>
      </c>
      <c r="BF183" s="55">
        <v>0</v>
      </c>
      <c r="BG183" s="2">
        <v>183</v>
      </c>
      <c r="BH183" s="2">
        <v>3</v>
      </c>
      <c r="BI183" s="2">
        <v>46</v>
      </c>
      <c r="BJ183" s="2">
        <v>7</v>
      </c>
      <c r="BK183" s="2">
        <v>188</v>
      </c>
      <c r="BL183" s="161">
        <v>965611.11111111112</v>
      </c>
      <c r="BM183" s="2" t="str">
        <f t="shared" si="2"/>
        <v>110/283</v>
      </c>
      <c r="BN183" s="142"/>
    </row>
    <row r="184" spans="1:66" x14ac:dyDescent="0.25">
      <c r="A184" s="2">
        <v>540029</v>
      </c>
      <c r="B184" s="2" t="s">
        <v>134</v>
      </c>
      <c r="C184" s="2" t="s">
        <v>623</v>
      </c>
      <c r="D184" s="2" t="s">
        <v>612</v>
      </c>
      <c r="E184" s="2" t="s">
        <v>616</v>
      </c>
      <c r="F184" s="2" t="s">
        <v>613</v>
      </c>
      <c r="G184" s="2">
        <v>3</v>
      </c>
      <c r="H184" s="2">
        <v>0</v>
      </c>
      <c r="I184" s="2">
        <v>2</v>
      </c>
      <c r="J184" s="2">
        <v>83.416666665000008</v>
      </c>
      <c r="K184" s="2">
        <v>47</v>
      </c>
      <c r="L184" s="55">
        <v>0</v>
      </c>
      <c r="M184" s="2">
        <v>118</v>
      </c>
      <c r="N184" s="2">
        <v>0</v>
      </c>
      <c r="O184" s="2">
        <v>140</v>
      </c>
      <c r="P184" s="156">
        <v>400</v>
      </c>
      <c r="Q184" s="2">
        <v>247</v>
      </c>
      <c r="R184" s="157">
        <v>-0.35464779699999999</v>
      </c>
      <c r="S184" s="2">
        <v>165</v>
      </c>
      <c r="T184" s="158">
        <v>0.87</v>
      </c>
      <c r="U184" s="2">
        <v>177</v>
      </c>
      <c r="V184" s="55">
        <v>4</v>
      </c>
      <c r="W184" s="2">
        <v>142</v>
      </c>
      <c r="X184" s="55">
        <v>2</v>
      </c>
      <c r="Y184" s="2">
        <v>225</v>
      </c>
      <c r="Z184" s="2">
        <v>13.5</v>
      </c>
      <c r="AA184" s="2">
        <v>77</v>
      </c>
      <c r="AB184" s="2">
        <v>1</v>
      </c>
      <c r="AC184" s="2">
        <v>186</v>
      </c>
      <c r="AD184" s="105">
        <v>4</v>
      </c>
      <c r="AE184" s="2">
        <v>206</v>
      </c>
      <c r="AF184" s="55">
        <v>0</v>
      </c>
      <c r="AG184" s="2">
        <v>184</v>
      </c>
      <c r="AH184" s="55">
        <v>195</v>
      </c>
      <c r="AI184" s="2">
        <v>99</v>
      </c>
      <c r="AJ184" s="55">
        <v>0.62365000000000004</v>
      </c>
      <c r="AK184" s="2">
        <v>199</v>
      </c>
      <c r="AL184" s="30">
        <v>42543</v>
      </c>
      <c r="AM184" s="2">
        <v>161</v>
      </c>
      <c r="AN184" s="2">
        <v>102.5</v>
      </c>
      <c r="AO184" s="2">
        <v>254</v>
      </c>
      <c r="AP184" s="2">
        <v>1</v>
      </c>
      <c r="AQ184" s="2">
        <v>186</v>
      </c>
      <c r="AR184" s="55">
        <v>0</v>
      </c>
      <c r="AS184" s="2">
        <v>184</v>
      </c>
      <c r="AT184" s="159">
        <v>-34.871794871794869</v>
      </c>
      <c r="AU184" s="2">
        <v>279</v>
      </c>
      <c r="AV184" s="55">
        <v>0</v>
      </c>
      <c r="AW184" s="2">
        <v>194</v>
      </c>
      <c r="AX184" s="2" t="s">
        <v>615</v>
      </c>
      <c r="AY184" s="2">
        <v>999999</v>
      </c>
      <c r="AZ184" s="106">
        <v>0</v>
      </c>
      <c r="BA184" s="2">
        <v>14</v>
      </c>
      <c r="BB184" s="30">
        <v>42142</v>
      </c>
      <c r="BC184" s="2">
        <v>90</v>
      </c>
      <c r="BD184" s="160">
        <v>41806</v>
      </c>
      <c r="BE184" s="2">
        <v>1</v>
      </c>
      <c r="BF184" s="55">
        <v>1</v>
      </c>
      <c r="BG184" s="2">
        <v>1</v>
      </c>
      <c r="BH184" s="2">
        <v>2</v>
      </c>
      <c r="BI184" s="2">
        <v>68</v>
      </c>
      <c r="BJ184" s="2">
        <v>102.5</v>
      </c>
      <c r="BK184" s="2">
        <v>30</v>
      </c>
      <c r="BL184" s="161">
        <v>966499.92592592584</v>
      </c>
      <c r="BM184" s="2" t="str">
        <f t="shared" si="2"/>
        <v>230/283</v>
      </c>
      <c r="BN184" s="142"/>
    </row>
    <row r="185" spans="1:66" x14ac:dyDescent="0.25">
      <c r="A185" s="162">
        <v>540085</v>
      </c>
      <c r="B185" s="162" t="s">
        <v>40</v>
      </c>
      <c r="C185" s="162" t="s">
        <v>41</v>
      </c>
      <c r="D185" s="162" t="s">
        <v>617</v>
      </c>
      <c r="E185" s="162" t="s">
        <v>616</v>
      </c>
      <c r="F185" s="162" t="s">
        <v>613</v>
      </c>
      <c r="G185" s="162">
        <v>3</v>
      </c>
      <c r="H185" s="162">
        <v>0</v>
      </c>
      <c r="I185" s="162">
        <v>2</v>
      </c>
      <c r="J185" s="162">
        <v>1</v>
      </c>
      <c r="K185" s="162">
        <v>263</v>
      </c>
      <c r="L185" s="163">
        <v>8</v>
      </c>
      <c r="M185" s="162">
        <v>44</v>
      </c>
      <c r="N185" s="162">
        <v>0</v>
      </c>
      <c r="O185" s="162">
        <v>140</v>
      </c>
      <c r="P185" s="164">
        <v>779055</v>
      </c>
      <c r="Q185" s="162">
        <v>78</v>
      </c>
      <c r="R185" s="165">
        <v>0.25228535000000002</v>
      </c>
      <c r="S185" s="162">
        <v>123</v>
      </c>
      <c r="T185" s="166">
        <v>0.92999999999999994</v>
      </c>
      <c r="U185" s="162">
        <v>38</v>
      </c>
      <c r="V185" s="163">
        <v>129</v>
      </c>
      <c r="W185" s="162">
        <v>8</v>
      </c>
      <c r="X185" s="163">
        <v>72</v>
      </c>
      <c r="Y185" s="162">
        <v>79</v>
      </c>
      <c r="Z185" s="162">
        <v>15</v>
      </c>
      <c r="AA185" s="162">
        <v>44</v>
      </c>
      <c r="AB185" s="162">
        <v>36</v>
      </c>
      <c r="AC185" s="162">
        <v>49</v>
      </c>
      <c r="AD185" s="167">
        <v>73</v>
      </c>
      <c r="AE185" s="162">
        <v>56</v>
      </c>
      <c r="AF185" s="163">
        <v>17</v>
      </c>
      <c r="AG185" s="162">
        <v>74</v>
      </c>
      <c r="AH185" s="163">
        <v>1457</v>
      </c>
      <c r="AI185" s="162">
        <v>37</v>
      </c>
      <c r="AJ185" s="163">
        <v>0.60489999999999999</v>
      </c>
      <c r="AK185" s="162">
        <v>184</v>
      </c>
      <c r="AL185" s="168">
        <v>42543</v>
      </c>
      <c r="AM185" s="162">
        <v>161</v>
      </c>
      <c r="AN185" s="162">
        <v>0</v>
      </c>
      <c r="AO185" s="162">
        <v>1</v>
      </c>
      <c r="AP185" s="162">
        <v>36</v>
      </c>
      <c r="AQ185" s="162">
        <v>49</v>
      </c>
      <c r="AR185" s="163">
        <v>17</v>
      </c>
      <c r="AS185" s="162">
        <v>74</v>
      </c>
      <c r="AT185" s="169">
        <v>7.6183939601921757</v>
      </c>
      <c r="AU185" s="162">
        <v>41</v>
      </c>
      <c r="AV185" s="163">
        <v>1</v>
      </c>
      <c r="AW185" s="162">
        <v>1</v>
      </c>
      <c r="AX185" s="162" t="s">
        <v>615</v>
      </c>
      <c r="AY185" s="162">
        <v>999999</v>
      </c>
      <c r="AZ185" s="170">
        <v>0</v>
      </c>
      <c r="BA185" s="162">
        <v>14</v>
      </c>
      <c r="BB185" s="168">
        <v>42857</v>
      </c>
      <c r="BC185" s="162">
        <v>116</v>
      </c>
      <c r="BD185" s="171">
        <v>43558</v>
      </c>
      <c r="BE185" s="162">
        <v>58</v>
      </c>
      <c r="BF185" s="163">
        <v>1</v>
      </c>
      <c r="BG185" s="162">
        <v>1</v>
      </c>
      <c r="BH185" s="162">
        <v>1</v>
      </c>
      <c r="BI185" s="162">
        <v>151</v>
      </c>
      <c r="BJ185" s="162">
        <v>0</v>
      </c>
      <c r="BK185" s="162">
        <v>249</v>
      </c>
      <c r="BL185" s="161">
        <v>965015.99999999977</v>
      </c>
      <c r="BM185" s="162" t="str">
        <f t="shared" si="2"/>
        <v>43/283</v>
      </c>
      <c r="BN185" s="142"/>
    </row>
    <row r="186" spans="1:66" x14ac:dyDescent="0.25">
      <c r="A186" s="2">
        <v>540086</v>
      </c>
      <c r="B186" s="2" t="s">
        <v>179</v>
      </c>
      <c r="C186" s="2" t="s">
        <v>41</v>
      </c>
      <c r="D186" s="2" t="s">
        <v>612</v>
      </c>
      <c r="E186" s="2" t="s">
        <v>616</v>
      </c>
      <c r="F186" s="2" t="s">
        <v>613</v>
      </c>
      <c r="G186" s="2">
        <v>3</v>
      </c>
      <c r="H186" s="2">
        <v>0</v>
      </c>
      <c r="I186" s="2">
        <v>2</v>
      </c>
      <c r="J186" s="2">
        <v>1</v>
      </c>
      <c r="K186" s="2">
        <v>263</v>
      </c>
      <c r="L186" s="55">
        <v>0</v>
      </c>
      <c r="M186" s="2">
        <v>118</v>
      </c>
      <c r="N186" s="2">
        <v>0</v>
      </c>
      <c r="O186" s="2">
        <v>140</v>
      </c>
      <c r="P186" s="156">
        <v>36439</v>
      </c>
      <c r="Q186" s="2">
        <v>196</v>
      </c>
      <c r="R186" s="157">
        <v>0.25228535000000002</v>
      </c>
      <c r="S186" s="2">
        <v>123</v>
      </c>
      <c r="T186" s="158">
        <v>0.92999999999999994</v>
      </c>
      <c r="U186" s="2">
        <v>38</v>
      </c>
      <c r="V186" s="55">
        <v>5</v>
      </c>
      <c r="W186" s="2">
        <v>121</v>
      </c>
      <c r="X186" s="55">
        <v>6</v>
      </c>
      <c r="Y186" s="2">
        <v>197</v>
      </c>
      <c r="Z186" s="2">
        <v>15</v>
      </c>
      <c r="AA186" s="2">
        <v>44</v>
      </c>
      <c r="AB186" s="2">
        <v>1</v>
      </c>
      <c r="AC186" s="2">
        <v>186</v>
      </c>
      <c r="AD186" s="105">
        <v>5</v>
      </c>
      <c r="AE186" s="2">
        <v>194</v>
      </c>
      <c r="AF186" s="55">
        <v>0</v>
      </c>
      <c r="AG186" s="2">
        <v>184</v>
      </c>
      <c r="AH186" s="55">
        <v>0</v>
      </c>
      <c r="AI186" s="2">
        <v>135</v>
      </c>
      <c r="AJ186" s="55">
        <v>0.60489999999999999</v>
      </c>
      <c r="AK186" s="2">
        <v>184</v>
      </c>
      <c r="AL186" s="30">
        <v>42543</v>
      </c>
      <c r="AM186" s="2">
        <v>161</v>
      </c>
      <c r="AN186" s="2">
        <v>0</v>
      </c>
      <c r="AO186" s="2">
        <v>1</v>
      </c>
      <c r="AP186" s="2">
        <v>1</v>
      </c>
      <c r="AQ186" s="2">
        <v>186</v>
      </c>
      <c r="AR186" s="55">
        <v>0</v>
      </c>
      <c r="AS186" s="2">
        <v>184</v>
      </c>
      <c r="AT186" s="159">
        <v>0</v>
      </c>
      <c r="AU186" s="2">
        <v>81</v>
      </c>
      <c r="AV186" s="55">
        <v>1</v>
      </c>
      <c r="AW186" s="2">
        <v>1</v>
      </c>
      <c r="AX186" s="2" t="s">
        <v>615</v>
      </c>
      <c r="AY186" s="2">
        <v>999999</v>
      </c>
      <c r="AZ186" s="106">
        <v>0</v>
      </c>
      <c r="BA186" s="2">
        <v>14</v>
      </c>
      <c r="BB186" s="30">
        <v>41388</v>
      </c>
      <c r="BC186" s="2">
        <v>82</v>
      </c>
      <c r="BD186" s="160">
        <v>41806</v>
      </c>
      <c r="BE186" s="2">
        <v>1</v>
      </c>
      <c r="BF186" s="55">
        <v>1</v>
      </c>
      <c r="BG186" s="2">
        <v>1</v>
      </c>
      <c r="BH186" s="2">
        <v>1</v>
      </c>
      <c r="BI186" s="2">
        <v>151</v>
      </c>
      <c r="BJ186" s="2">
        <v>0</v>
      </c>
      <c r="BK186" s="2">
        <v>249</v>
      </c>
      <c r="BL186" s="161">
        <v>966077.18518518505</v>
      </c>
      <c r="BM186" s="2" t="str">
        <f t="shared" si="2"/>
        <v>175/283</v>
      </c>
      <c r="BN186" s="142"/>
    </row>
    <row r="187" spans="1:66" x14ac:dyDescent="0.25">
      <c r="A187" s="2">
        <v>540087</v>
      </c>
      <c r="B187" s="2" t="s">
        <v>180</v>
      </c>
      <c r="C187" s="2" t="s">
        <v>41</v>
      </c>
      <c r="D187" s="2" t="s">
        <v>612</v>
      </c>
      <c r="E187" s="2" t="s">
        <v>616</v>
      </c>
      <c r="F187" s="2" t="s">
        <v>613</v>
      </c>
      <c r="G187" s="2">
        <v>3</v>
      </c>
      <c r="H187" s="2">
        <v>0</v>
      </c>
      <c r="I187" s="2">
        <v>2</v>
      </c>
      <c r="J187" s="2">
        <v>1</v>
      </c>
      <c r="K187" s="2">
        <v>263</v>
      </c>
      <c r="L187" s="55">
        <v>0</v>
      </c>
      <c r="M187" s="2">
        <v>118</v>
      </c>
      <c r="N187" s="2">
        <v>0</v>
      </c>
      <c r="O187" s="2">
        <v>140</v>
      </c>
      <c r="P187" s="156">
        <v>1142064</v>
      </c>
      <c r="Q187" s="2">
        <v>68</v>
      </c>
      <c r="R187" s="157">
        <v>0.25228535000000002</v>
      </c>
      <c r="S187" s="2">
        <v>123</v>
      </c>
      <c r="T187" s="158">
        <v>0.92999999999999994</v>
      </c>
      <c r="U187" s="2">
        <v>38</v>
      </c>
      <c r="V187" s="55">
        <v>44</v>
      </c>
      <c r="W187" s="2">
        <v>37</v>
      </c>
      <c r="X187" s="55">
        <v>224</v>
      </c>
      <c r="Y187" s="2">
        <v>31</v>
      </c>
      <c r="Z187" s="2">
        <v>15</v>
      </c>
      <c r="AA187" s="2">
        <v>44</v>
      </c>
      <c r="AB187" s="2">
        <v>28</v>
      </c>
      <c r="AC187" s="2">
        <v>62</v>
      </c>
      <c r="AD187" s="105">
        <v>55</v>
      </c>
      <c r="AE187" s="2">
        <v>73</v>
      </c>
      <c r="AF187" s="55">
        <v>25</v>
      </c>
      <c r="AG187" s="2">
        <v>61</v>
      </c>
      <c r="AH187" s="55">
        <v>69</v>
      </c>
      <c r="AI187" s="2">
        <v>131</v>
      </c>
      <c r="AJ187" s="55">
        <v>0.60489999999999999</v>
      </c>
      <c r="AK187" s="2">
        <v>184</v>
      </c>
      <c r="AL187" s="30">
        <v>42543</v>
      </c>
      <c r="AM187" s="2">
        <v>161</v>
      </c>
      <c r="AN187" s="2">
        <v>0</v>
      </c>
      <c r="AO187" s="2">
        <v>1</v>
      </c>
      <c r="AP187" s="2">
        <v>28</v>
      </c>
      <c r="AQ187" s="2">
        <v>62</v>
      </c>
      <c r="AR187" s="55">
        <v>25</v>
      </c>
      <c r="AS187" s="2">
        <v>61</v>
      </c>
      <c r="AT187" s="159">
        <v>-10.144927536231885</v>
      </c>
      <c r="AU187" s="2">
        <v>261</v>
      </c>
      <c r="AV187" s="55">
        <v>0</v>
      </c>
      <c r="AW187" s="2">
        <v>194</v>
      </c>
      <c r="AX187" s="2" t="s">
        <v>615</v>
      </c>
      <c r="AY187" s="2">
        <v>999999</v>
      </c>
      <c r="AZ187" s="106">
        <v>0</v>
      </c>
      <c r="BA187" s="2">
        <v>14</v>
      </c>
      <c r="BB187" s="30">
        <v>41389</v>
      </c>
      <c r="BC187" s="2">
        <v>83</v>
      </c>
      <c r="BD187" s="160">
        <v>41806</v>
      </c>
      <c r="BE187" s="2">
        <v>1</v>
      </c>
      <c r="BF187" s="55">
        <v>0</v>
      </c>
      <c r="BG187" s="2">
        <v>183</v>
      </c>
      <c r="BH187" s="2">
        <v>2</v>
      </c>
      <c r="BI187" s="2">
        <v>68</v>
      </c>
      <c r="BJ187" s="2">
        <v>0</v>
      </c>
      <c r="BK187" s="2">
        <v>249</v>
      </c>
      <c r="BL187" s="161">
        <v>965572.59259259258</v>
      </c>
      <c r="BM187" s="2" t="str">
        <f t="shared" si="2"/>
        <v>105/283</v>
      </c>
      <c r="BN187" s="142"/>
    </row>
    <row r="188" spans="1:66" x14ac:dyDescent="0.25">
      <c r="A188" s="2">
        <v>540090</v>
      </c>
      <c r="B188" s="2" t="s">
        <v>182</v>
      </c>
      <c r="C188" s="2" t="s">
        <v>43</v>
      </c>
      <c r="D188" s="2" t="s">
        <v>612</v>
      </c>
      <c r="E188" s="2" t="s">
        <v>616</v>
      </c>
      <c r="F188" s="2" t="s">
        <v>613</v>
      </c>
      <c r="G188" s="2">
        <v>3</v>
      </c>
      <c r="H188" s="2">
        <v>0</v>
      </c>
      <c r="I188" s="2">
        <v>2</v>
      </c>
      <c r="J188" s="2">
        <v>13.2</v>
      </c>
      <c r="K188" s="2">
        <v>165</v>
      </c>
      <c r="L188" s="55">
        <v>0</v>
      </c>
      <c r="M188" s="2">
        <v>118</v>
      </c>
      <c r="N188" s="2">
        <v>0</v>
      </c>
      <c r="O188" s="2">
        <v>140</v>
      </c>
      <c r="P188" s="156">
        <v>13652</v>
      </c>
      <c r="Q188" s="2">
        <v>219</v>
      </c>
      <c r="R188" s="157">
        <v>0.58880869800000002</v>
      </c>
      <c r="S188" s="2">
        <v>88</v>
      </c>
      <c r="T188" s="158">
        <v>0.94</v>
      </c>
      <c r="U188" s="2">
        <v>11</v>
      </c>
      <c r="V188" s="55">
        <v>2</v>
      </c>
      <c r="W188" s="2">
        <v>170</v>
      </c>
      <c r="X188" s="55">
        <v>8</v>
      </c>
      <c r="Y188" s="2">
        <v>188</v>
      </c>
      <c r="Z188" s="2">
        <v>20</v>
      </c>
      <c r="AA188" s="2">
        <v>1</v>
      </c>
      <c r="AB188" s="2">
        <v>1</v>
      </c>
      <c r="AC188" s="2">
        <v>186</v>
      </c>
      <c r="AD188" s="105">
        <v>1</v>
      </c>
      <c r="AE188" s="2">
        <v>242</v>
      </c>
      <c r="AF188" s="55">
        <v>0</v>
      </c>
      <c r="AG188" s="2">
        <v>184</v>
      </c>
      <c r="AH188" s="55">
        <v>0</v>
      </c>
      <c r="AI188" s="2">
        <v>135</v>
      </c>
      <c r="AJ188" s="55">
        <v>0.53300000000000003</v>
      </c>
      <c r="AK188" s="2">
        <v>156</v>
      </c>
      <c r="AL188" s="30">
        <v>43145</v>
      </c>
      <c r="AM188" s="2">
        <v>26</v>
      </c>
      <c r="AN188" s="2">
        <v>4</v>
      </c>
      <c r="AO188" s="2">
        <v>66</v>
      </c>
      <c r="AP188" s="2">
        <v>1</v>
      </c>
      <c r="AQ188" s="2">
        <v>186</v>
      </c>
      <c r="AR188" s="55">
        <v>0</v>
      </c>
      <c r="AS188" s="2">
        <v>184</v>
      </c>
      <c r="AT188" s="159">
        <v>0</v>
      </c>
      <c r="AU188" s="2">
        <v>81</v>
      </c>
      <c r="AV188" s="55">
        <v>1</v>
      </c>
      <c r="AW188" s="2">
        <v>1</v>
      </c>
      <c r="AX188" s="2" t="s">
        <v>615</v>
      </c>
      <c r="AY188" s="2">
        <v>999999</v>
      </c>
      <c r="AZ188" s="106">
        <v>0</v>
      </c>
      <c r="BA188" s="2">
        <v>14</v>
      </c>
      <c r="BB188" s="30">
        <v>32363</v>
      </c>
      <c r="BC188" s="2">
        <v>6</v>
      </c>
      <c r="BD188" s="160">
        <v>41806</v>
      </c>
      <c r="BE188" s="2">
        <v>1</v>
      </c>
      <c r="BF188" s="55">
        <v>1</v>
      </c>
      <c r="BG188" s="2">
        <v>1</v>
      </c>
      <c r="BH188" s="2">
        <v>1</v>
      </c>
      <c r="BI188" s="2">
        <v>151</v>
      </c>
      <c r="BJ188" s="2">
        <v>4</v>
      </c>
      <c r="BK188" s="2">
        <v>204</v>
      </c>
      <c r="BL188" s="161">
        <v>965777.70370370359</v>
      </c>
      <c r="BM188" s="2" t="str">
        <f t="shared" si="2"/>
        <v>131/283</v>
      </c>
      <c r="BN188" s="142"/>
    </row>
    <row r="189" spans="1:66" x14ac:dyDescent="0.25">
      <c r="A189" s="2">
        <v>540092</v>
      </c>
      <c r="B189" s="2" t="s">
        <v>183</v>
      </c>
      <c r="C189" s="2" t="s">
        <v>111</v>
      </c>
      <c r="D189" s="2" t="s">
        <v>612</v>
      </c>
      <c r="E189" s="2" t="s">
        <v>616</v>
      </c>
      <c r="F189" s="2" t="s">
        <v>613</v>
      </c>
      <c r="G189" s="2">
        <v>3</v>
      </c>
      <c r="H189" s="2">
        <v>0</v>
      </c>
      <c r="I189" s="2">
        <v>2</v>
      </c>
      <c r="J189" s="2">
        <v>4</v>
      </c>
      <c r="K189" s="2">
        <v>210</v>
      </c>
      <c r="L189" s="55">
        <v>2</v>
      </c>
      <c r="M189" s="2">
        <v>84</v>
      </c>
      <c r="N189" s="2">
        <v>0</v>
      </c>
      <c r="O189" s="2">
        <v>140</v>
      </c>
      <c r="P189" s="156">
        <v>89200</v>
      </c>
      <c r="Q189" s="2">
        <v>169</v>
      </c>
      <c r="R189" s="157">
        <v>-0.456714493</v>
      </c>
      <c r="S189" s="2">
        <v>183</v>
      </c>
      <c r="T189" s="158">
        <v>0.9</v>
      </c>
      <c r="U189" s="2">
        <v>107</v>
      </c>
      <c r="V189" s="55">
        <v>4</v>
      </c>
      <c r="W189" s="2">
        <v>142</v>
      </c>
      <c r="X189" s="55">
        <v>31</v>
      </c>
      <c r="Y189" s="2">
        <v>123</v>
      </c>
      <c r="Z189" s="2">
        <v>18</v>
      </c>
      <c r="AA189" s="2">
        <v>4</v>
      </c>
      <c r="AB189" s="2">
        <v>2</v>
      </c>
      <c r="AC189" s="2">
        <v>168</v>
      </c>
      <c r="AD189" s="105">
        <v>9</v>
      </c>
      <c r="AE189" s="2">
        <v>160</v>
      </c>
      <c r="AF189" s="55">
        <v>2</v>
      </c>
      <c r="AG189" s="2">
        <v>164</v>
      </c>
      <c r="AH189" s="55">
        <v>0</v>
      </c>
      <c r="AI189" s="2">
        <v>135</v>
      </c>
      <c r="AJ189" s="55">
        <v>0.64470000000000005</v>
      </c>
      <c r="AK189" s="2">
        <v>214</v>
      </c>
      <c r="AL189" s="30">
        <v>43145</v>
      </c>
      <c r="AM189" s="2">
        <v>26</v>
      </c>
      <c r="AN189" s="2">
        <v>65</v>
      </c>
      <c r="AO189" s="2">
        <v>245</v>
      </c>
      <c r="AP189" s="2">
        <v>2</v>
      </c>
      <c r="AQ189" s="2">
        <v>168</v>
      </c>
      <c r="AR189" s="55">
        <v>2</v>
      </c>
      <c r="AS189" s="2">
        <v>164</v>
      </c>
      <c r="AT189" s="159">
        <v>0</v>
      </c>
      <c r="AU189" s="2">
        <v>81</v>
      </c>
      <c r="AV189" s="55">
        <v>1</v>
      </c>
      <c r="AW189" s="2">
        <v>1</v>
      </c>
      <c r="AX189" s="2" t="s">
        <v>615</v>
      </c>
      <c r="AY189" s="2">
        <v>999999</v>
      </c>
      <c r="AZ189" s="106">
        <v>0</v>
      </c>
      <c r="BA189" s="2">
        <v>14</v>
      </c>
      <c r="BB189" s="30">
        <v>40995</v>
      </c>
      <c r="BC189" s="2">
        <v>74</v>
      </c>
      <c r="BD189" s="160">
        <v>43524</v>
      </c>
      <c r="BE189" s="2">
        <v>51</v>
      </c>
      <c r="BF189" s="55">
        <v>1</v>
      </c>
      <c r="BG189" s="2">
        <v>1</v>
      </c>
      <c r="BH189" s="2">
        <v>2</v>
      </c>
      <c r="BI189" s="2">
        <v>68</v>
      </c>
      <c r="BJ189" s="2">
        <v>65</v>
      </c>
      <c r="BK189" s="2">
        <v>34</v>
      </c>
      <c r="BL189" s="161">
        <v>965783.48148148146</v>
      </c>
      <c r="BM189" s="2" t="str">
        <f t="shared" si="2"/>
        <v>132/283</v>
      </c>
      <c r="BN189" s="142"/>
    </row>
    <row r="190" spans="1:66" x14ac:dyDescent="0.25">
      <c r="A190" s="2">
        <v>545539</v>
      </c>
      <c r="B190" s="2" t="s">
        <v>335</v>
      </c>
      <c r="C190" s="2" t="s">
        <v>111</v>
      </c>
      <c r="D190" s="2" t="s">
        <v>612</v>
      </c>
      <c r="E190" s="2" t="s">
        <v>616</v>
      </c>
      <c r="F190" s="2" t="s">
        <v>613</v>
      </c>
      <c r="G190" s="2">
        <v>3</v>
      </c>
      <c r="H190" s="2">
        <v>0</v>
      </c>
      <c r="I190" s="2">
        <v>2</v>
      </c>
      <c r="J190" s="2">
        <v>4</v>
      </c>
      <c r="K190" s="2">
        <v>210</v>
      </c>
      <c r="L190" s="55">
        <v>4</v>
      </c>
      <c r="M190" s="2">
        <v>67</v>
      </c>
      <c r="N190" s="2">
        <v>0</v>
      </c>
      <c r="O190" s="2">
        <v>140</v>
      </c>
      <c r="P190" s="156">
        <v>28749</v>
      </c>
      <c r="Q190" s="2">
        <v>203</v>
      </c>
      <c r="R190" s="157">
        <v>-0.456714493</v>
      </c>
      <c r="S190" s="2">
        <v>183</v>
      </c>
      <c r="T190" s="158">
        <v>0.9</v>
      </c>
      <c r="U190" s="2">
        <v>107</v>
      </c>
      <c r="V190" s="55">
        <v>0</v>
      </c>
      <c r="W190" s="2">
        <v>230</v>
      </c>
      <c r="X190" s="55">
        <v>13</v>
      </c>
      <c r="Y190" s="2">
        <v>168</v>
      </c>
      <c r="Z190" s="2">
        <v>18</v>
      </c>
      <c r="AA190" s="2">
        <v>4</v>
      </c>
      <c r="AB190" s="2">
        <v>0</v>
      </c>
      <c r="AC190" s="2">
        <v>222</v>
      </c>
      <c r="AD190" s="105">
        <v>5</v>
      </c>
      <c r="AE190" s="2">
        <v>194</v>
      </c>
      <c r="AF190" s="55">
        <v>4</v>
      </c>
      <c r="AG190" s="2">
        <v>142</v>
      </c>
      <c r="AH190" s="55">
        <v>0</v>
      </c>
      <c r="AI190" s="2">
        <v>135</v>
      </c>
      <c r="AJ190" s="55">
        <v>0.64470000000000005</v>
      </c>
      <c r="AK190" s="2">
        <v>214</v>
      </c>
      <c r="AL190" s="30">
        <v>43145</v>
      </c>
      <c r="AM190" s="2">
        <v>26</v>
      </c>
      <c r="AN190" s="2">
        <v>65</v>
      </c>
      <c r="AO190" s="2">
        <v>245</v>
      </c>
      <c r="AP190" s="2">
        <v>0</v>
      </c>
      <c r="AQ190" s="2">
        <v>222</v>
      </c>
      <c r="AR190" s="55">
        <v>4</v>
      </c>
      <c r="AS190" s="2">
        <v>142</v>
      </c>
      <c r="AT190" s="159">
        <v>0</v>
      </c>
      <c r="AU190" s="2">
        <v>81</v>
      </c>
      <c r="AV190" s="55">
        <v>1</v>
      </c>
      <c r="AW190" s="2">
        <v>1</v>
      </c>
      <c r="AX190" s="2" t="s">
        <v>615</v>
      </c>
      <c r="AY190" s="2">
        <v>999999</v>
      </c>
      <c r="AZ190" s="106">
        <v>0</v>
      </c>
      <c r="BA190" s="2">
        <v>14</v>
      </c>
      <c r="BB190" s="30">
        <v>40371</v>
      </c>
      <c r="BC190" s="2">
        <v>57</v>
      </c>
      <c r="BD190" s="160">
        <v>43524</v>
      </c>
      <c r="BE190" s="2">
        <v>51</v>
      </c>
      <c r="BF190" s="55">
        <v>0</v>
      </c>
      <c r="BG190" s="2">
        <v>183</v>
      </c>
      <c r="BH190" s="2">
        <v>2</v>
      </c>
      <c r="BI190" s="2">
        <v>68</v>
      </c>
      <c r="BJ190" s="2">
        <v>65</v>
      </c>
      <c r="BK190" s="2">
        <v>34</v>
      </c>
      <c r="BL190" s="161">
        <v>966181.18518518528</v>
      </c>
      <c r="BM190" s="2" t="str">
        <f t="shared" si="2"/>
        <v>195/283</v>
      </c>
      <c r="BN190" s="142"/>
    </row>
    <row r="191" spans="1:66" x14ac:dyDescent="0.25">
      <c r="A191" s="2">
        <v>540098</v>
      </c>
      <c r="B191" s="2" t="s">
        <v>187</v>
      </c>
      <c r="C191" s="2" t="s">
        <v>45</v>
      </c>
      <c r="D191" s="2" t="s">
        <v>612</v>
      </c>
      <c r="E191" s="2" t="s">
        <v>616</v>
      </c>
      <c r="F191" s="2" t="s">
        <v>613</v>
      </c>
      <c r="G191" s="2">
        <v>3</v>
      </c>
      <c r="H191" s="2">
        <v>0</v>
      </c>
      <c r="I191" s="2">
        <v>2</v>
      </c>
      <c r="J191" s="2">
        <v>13.4</v>
      </c>
      <c r="K191" s="2">
        <v>146</v>
      </c>
      <c r="L191" s="55">
        <v>0</v>
      </c>
      <c r="M191" s="2">
        <v>118</v>
      </c>
      <c r="N191" s="2">
        <v>0</v>
      </c>
      <c r="O191" s="2">
        <v>140</v>
      </c>
      <c r="P191" s="156">
        <v>0</v>
      </c>
      <c r="Q191" s="2">
        <v>248</v>
      </c>
      <c r="R191" s="157">
        <v>-0.439666047</v>
      </c>
      <c r="S191" s="2">
        <v>171</v>
      </c>
      <c r="T191" s="158">
        <v>0.86</v>
      </c>
      <c r="U191" s="2">
        <v>191</v>
      </c>
      <c r="V191" s="55">
        <v>5</v>
      </c>
      <c r="W191" s="2">
        <v>121</v>
      </c>
      <c r="X191" s="55">
        <v>0</v>
      </c>
      <c r="Y191" s="2">
        <v>256</v>
      </c>
      <c r="Z191" s="2">
        <v>11</v>
      </c>
      <c r="AA191" s="2">
        <v>155</v>
      </c>
      <c r="AB191" s="2">
        <v>0</v>
      </c>
      <c r="AC191" s="2">
        <v>222</v>
      </c>
      <c r="AD191" s="105">
        <v>7</v>
      </c>
      <c r="AE191" s="2">
        <v>179</v>
      </c>
      <c r="AF191" s="55">
        <v>0</v>
      </c>
      <c r="AG191" s="2">
        <v>184</v>
      </c>
      <c r="AH191" s="55">
        <v>0</v>
      </c>
      <c r="AI191" s="2">
        <v>135</v>
      </c>
      <c r="AJ191" s="55">
        <v>0.34639999999999999</v>
      </c>
      <c r="AK191" s="2">
        <v>49</v>
      </c>
      <c r="AL191" s="30">
        <v>42944</v>
      </c>
      <c r="AM191" s="2">
        <v>135</v>
      </c>
      <c r="AN191" s="2">
        <v>15</v>
      </c>
      <c r="AO191" s="2">
        <v>134</v>
      </c>
      <c r="AP191" s="2">
        <v>0</v>
      </c>
      <c r="AQ191" s="2">
        <v>222</v>
      </c>
      <c r="AR191" s="55">
        <v>0</v>
      </c>
      <c r="AS191" s="2">
        <v>184</v>
      </c>
      <c r="AT191" s="159">
        <v>0</v>
      </c>
      <c r="AU191" s="2">
        <v>81</v>
      </c>
      <c r="AV191" s="55">
        <v>1</v>
      </c>
      <c r="AW191" s="2">
        <v>1</v>
      </c>
      <c r="AX191" s="2" t="s">
        <v>615</v>
      </c>
      <c r="AY191" s="2">
        <v>999999</v>
      </c>
      <c r="AZ191" s="106">
        <v>0</v>
      </c>
      <c r="BA191" s="2">
        <v>14</v>
      </c>
      <c r="BB191" s="30">
        <v>40997</v>
      </c>
      <c r="BC191" s="2">
        <v>75</v>
      </c>
      <c r="BD191" s="160">
        <v>41806</v>
      </c>
      <c r="BE191" s="2">
        <v>1</v>
      </c>
      <c r="BF191" s="55">
        <v>1</v>
      </c>
      <c r="BG191" s="2">
        <v>1</v>
      </c>
      <c r="BH191" s="2">
        <v>1</v>
      </c>
      <c r="BI191" s="2">
        <v>151</v>
      </c>
      <c r="BJ191" s="2">
        <v>15</v>
      </c>
      <c r="BK191" s="2">
        <v>130</v>
      </c>
      <c r="BL191" s="161">
        <v>966278.44444444438</v>
      </c>
      <c r="BM191" s="2" t="str">
        <f t="shared" si="2"/>
        <v>210/283</v>
      </c>
      <c r="BN191" s="142"/>
    </row>
    <row r="192" spans="1:66" x14ac:dyDescent="0.25">
      <c r="A192" s="2">
        <v>540099</v>
      </c>
      <c r="B192" s="2" t="s">
        <v>188</v>
      </c>
      <c r="C192" s="2" t="s">
        <v>45</v>
      </c>
      <c r="D192" s="2" t="s">
        <v>612</v>
      </c>
      <c r="E192" s="2" t="s">
        <v>616</v>
      </c>
      <c r="F192" s="2" t="s">
        <v>613</v>
      </c>
      <c r="G192" s="2">
        <v>3</v>
      </c>
      <c r="H192" s="2">
        <v>0</v>
      </c>
      <c r="I192" s="2">
        <v>2</v>
      </c>
      <c r="J192" s="2">
        <v>13.4</v>
      </c>
      <c r="K192" s="2">
        <v>146</v>
      </c>
      <c r="L192" s="55">
        <v>7</v>
      </c>
      <c r="M192" s="2">
        <v>48</v>
      </c>
      <c r="N192" s="2">
        <v>0</v>
      </c>
      <c r="O192" s="2">
        <v>140</v>
      </c>
      <c r="P192" s="156">
        <v>398630</v>
      </c>
      <c r="Q192" s="2">
        <v>108</v>
      </c>
      <c r="R192" s="157">
        <v>-0.439666047</v>
      </c>
      <c r="S192" s="2">
        <v>171</v>
      </c>
      <c r="T192" s="158">
        <v>0.86</v>
      </c>
      <c r="U192" s="2">
        <v>191</v>
      </c>
      <c r="V192" s="55">
        <v>11</v>
      </c>
      <c r="W192" s="2">
        <v>88</v>
      </c>
      <c r="X192" s="55">
        <v>56</v>
      </c>
      <c r="Y192" s="2">
        <v>85</v>
      </c>
      <c r="Z192" s="2">
        <v>11</v>
      </c>
      <c r="AA192" s="2">
        <v>155</v>
      </c>
      <c r="AB192" s="2">
        <v>2</v>
      </c>
      <c r="AC192" s="2">
        <v>168</v>
      </c>
      <c r="AD192" s="105">
        <v>14</v>
      </c>
      <c r="AE192" s="2">
        <v>133</v>
      </c>
      <c r="AF192" s="55">
        <v>20</v>
      </c>
      <c r="AG192" s="2">
        <v>67</v>
      </c>
      <c r="AH192" s="55">
        <v>976</v>
      </c>
      <c r="AI192" s="2">
        <v>55</v>
      </c>
      <c r="AJ192" s="55">
        <v>0.34639999999999999</v>
      </c>
      <c r="AK192" s="2">
        <v>49</v>
      </c>
      <c r="AL192" s="30">
        <v>42944</v>
      </c>
      <c r="AM192" s="2">
        <v>135</v>
      </c>
      <c r="AN192" s="2">
        <v>15</v>
      </c>
      <c r="AO192" s="2">
        <v>134</v>
      </c>
      <c r="AP192" s="2">
        <v>2</v>
      </c>
      <c r="AQ192" s="2">
        <v>168</v>
      </c>
      <c r="AR192" s="55">
        <v>20</v>
      </c>
      <c r="AS192" s="2">
        <v>67</v>
      </c>
      <c r="AT192" s="159">
        <v>7.9918032786885256</v>
      </c>
      <c r="AU192" s="2">
        <v>40</v>
      </c>
      <c r="AV192" s="55">
        <v>1</v>
      </c>
      <c r="AW192" s="2">
        <v>1</v>
      </c>
      <c r="AX192" s="2" t="s">
        <v>615</v>
      </c>
      <c r="AY192" s="2">
        <v>999999</v>
      </c>
      <c r="AZ192" s="106">
        <v>0</v>
      </c>
      <c r="BA192" s="2">
        <v>14</v>
      </c>
      <c r="BB192" s="30">
        <v>43294</v>
      </c>
      <c r="BC192" s="2">
        <v>214</v>
      </c>
      <c r="BD192" s="160">
        <v>43558</v>
      </c>
      <c r="BE192" s="2">
        <v>58</v>
      </c>
      <c r="BF192" s="55">
        <v>0</v>
      </c>
      <c r="BG192" s="2">
        <v>183</v>
      </c>
      <c r="BH192" s="2">
        <v>2</v>
      </c>
      <c r="BI192" s="2">
        <v>68</v>
      </c>
      <c r="BJ192" s="2">
        <v>15</v>
      </c>
      <c r="BK192" s="2">
        <v>130</v>
      </c>
      <c r="BL192" s="161">
        <v>965673.70370370371</v>
      </c>
      <c r="BM192" s="2" t="str">
        <f t="shared" si="2"/>
        <v>114/283</v>
      </c>
      <c r="BN192" s="142"/>
    </row>
    <row r="193" spans="1:66" x14ac:dyDescent="0.25">
      <c r="A193" s="2">
        <v>540101</v>
      </c>
      <c r="B193" s="2" t="s">
        <v>190</v>
      </c>
      <c r="C193" s="2" t="s">
        <v>45</v>
      </c>
      <c r="D193" s="2" t="s">
        <v>612</v>
      </c>
      <c r="E193" s="2" t="s">
        <v>616</v>
      </c>
      <c r="F193" s="2" t="s">
        <v>613</v>
      </c>
      <c r="G193" s="2">
        <v>3</v>
      </c>
      <c r="H193" s="2">
        <v>0</v>
      </c>
      <c r="I193" s="2">
        <v>2</v>
      </c>
      <c r="J193" s="2">
        <v>13.4</v>
      </c>
      <c r="K193" s="2">
        <v>146</v>
      </c>
      <c r="L193" s="55">
        <v>0</v>
      </c>
      <c r="M193" s="2">
        <v>118</v>
      </c>
      <c r="N193" s="2">
        <v>0</v>
      </c>
      <c r="O193" s="2">
        <v>140</v>
      </c>
      <c r="P193" s="156">
        <v>169251</v>
      </c>
      <c r="Q193" s="2">
        <v>144</v>
      </c>
      <c r="R193" s="157">
        <v>-0.439666047</v>
      </c>
      <c r="S193" s="2">
        <v>171</v>
      </c>
      <c r="T193" s="158">
        <v>0.86</v>
      </c>
      <c r="U193" s="2">
        <v>191</v>
      </c>
      <c r="V193" s="55">
        <v>7</v>
      </c>
      <c r="W193" s="2">
        <v>105</v>
      </c>
      <c r="X193" s="55">
        <v>18</v>
      </c>
      <c r="Y193" s="2">
        <v>151</v>
      </c>
      <c r="Z193" s="2">
        <v>11</v>
      </c>
      <c r="AA193" s="2">
        <v>155</v>
      </c>
      <c r="AB193" s="2">
        <v>5</v>
      </c>
      <c r="AC193" s="2">
        <v>129</v>
      </c>
      <c r="AD193" s="105">
        <v>15</v>
      </c>
      <c r="AE193" s="2">
        <v>130</v>
      </c>
      <c r="AF193" s="55">
        <v>3</v>
      </c>
      <c r="AG193" s="2">
        <v>152</v>
      </c>
      <c r="AH193" s="55">
        <v>0</v>
      </c>
      <c r="AI193" s="2">
        <v>135</v>
      </c>
      <c r="AJ193" s="55">
        <v>0.34639999999999999</v>
      </c>
      <c r="AK193" s="2">
        <v>49</v>
      </c>
      <c r="AL193" s="30">
        <v>42944</v>
      </c>
      <c r="AM193" s="2">
        <v>135</v>
      </c>
      <c r="AN193" s="2">
        <v>15</v>
      </c>
      <c r="AO193" s="2">
        <v>134</v>
      </c>
      <c r="AP193" s="2">
        <v>5</v>
      </c>
      <c r="AQ193" s="2">
        <v>129</v>
      </c>
      <c r="AR193" s="55">
        <v>3</v>
      </c>
      <c r="AS193" s="2">
        <v>152</v>
      </c>
      <c r="AT193" s="159">
        <v>0</v>
      </c>
      <c r="AU193" s="2">
        <v>81</v>
      </c>
      <c r="AV193" s="55">
        <v>1</v>
      </c>
      <c r="AW193" s="2">
        <v>1</v>
      </c>
      <c r="AX193" s="2" t="s">
        <v>615</v>
      </c>
      <c r="AY193" s="2">
        <v>999999</v>
      </c>
      <c r="AZ193" s="106">
        <v>0</v>
      </c>
      <c r="BA193" s="2">
        <v>14</v>
      </c>
      <c r="BB193" s="30">
        <v>43215</v>
      </c>
      <c r="BC193" s="2">
        <v>185</v>
      </c>
      <c r="BD193" s="160">
        <v>41806</v>
      </c>
      <c r="BE193" s="2">
        <v>1</v>
      </c>
      <c r="BF193" s="55">
        <v>1</v>
      </c>
      <c r="BG193" s="2">
        <v>1</v>
      </c>
      <c r="BH193" s="2">
        <v>1</v>
      </c>
      <c r="BI193" s="2">
        <v>151</v>
      </c>
      <c r="BJ193" s="2">
        <v>15</v>
      </c>
      <c r="BK193" s="2">
        <v>130</v>
      </c>
      <c r="BL193" s="161">
        <v>965879.77777777775</v>
      </c>
      <c r="BM193" s="2" t="str">
        <f t="shared" si="2"/>
        <v>146/283</v>
      </c>
      <c r="BN193" s="142"/>
    </row>
    <row r="194" spans="1:66" x14ac:dyDescent="0.25">
      <c r="A194" s="2">
        <v>540104</v>
      </c>
      <c r="B194" s="2" t="s">
        <v>193</v>
      </c>
      <c r="C194" s="2" t="s">
        <v>45</v>
      </c>
      <c r="D194" s="2" t="s">
        <v>612</v>
      </c>
      <c r="E194" s="2" t="s">
        <v>616</v>
      </c>
      <c r="F194" s="2" t="s">
        <v>613</v>
      </c>
      <c r="G194" s="2">
        <v>3</v>
      </c>
      <c r="H194" s="2">
        <v>0</v>
      </c>
      <c r="I194" s="2">
        <v>2</v>
      </c>
      <c r="J194" s="2">
        <v>13.4</v>
      </c>
      <c r="K194" s="2">
        <v>146</v>
      </c>
      <c r="L194" s="55">
        <v>0</v>
      </c>
      <c r="M194" s="2">
        <v>118</v>
      </c>
      <c r="N194" s="2">
        <v>0</v>
      </c>
      <c r="O194" s="2">
        <v>140</v>
      </c>
      <c r="P194" s="156">
        <v>2144</v>
      </c>
      <c r="Q194" s="2">
        <v>239</v>
      </c>
      <c r="R194" s="157">
        <v>-0.439666047</v>
      </c>
      <c r="S194" s="2">
        <v>171</v>
      </c>
      <c r="T194" s="158">
        <v>0.86</v>
      </c>
      <c r="U194" s="2">
        <v>191</v>
      </c>
      <c r="V194" s="55">
        <v>1</v>
      </c>
      <c r="W194" s="2">
        <v>197</v>
      </c>
      <c r="X194" s="55">
        <v>1</v>
      </c>
      <c r="Y194" s="2">
        <v>237</v>
      </c>
      <c r="Z194" s="2">
        <v>11</v>
      </c>
      <c r="AA194" s="2">
        <v>155</v>
      </c>
      <c r="AB194" s="2">
        <v>1</v>
      </c>
      <c r="AC194" s="2">
        <v>186</v>
      </c>
      <c r="AD194" s="105">
        <v>3</v>
      </c>
      <c r="AE194" s="2">
        <v>213</v>
      </c>
      <c r="AF194" s="55">
        <v>0</v>
      </c>
      <c r="AG194" s="2">
        <v>184</v>
      </c>
      <c r="AH194" s="55">
        <v>0</v>
      </c>
      <c r="AI194" s="2">
        <v>135</v>
      </c>
      <c r="AJ194" s="55">
        <v>0.34639999999999999</v>
      </c>
      <c r="AK194" s="2">
        <v>49</v>
      </c>
      <c r="AL194" s="30">
        <v>42944</v>
      </c>
      <c r="AM194" s="2">
        <v>135</v>
      </c>
      <c r="AN194" s="2">
        <v>15</v>
      </c>
      <c r="AO194" s="2">
        <v>134</v>
      </c>
      <c r="AP194" s="2">
        <v>1</v>
      </c>
      <c r="AQ194" s="2">
        <v>186</v>
      </c>
      <c r="AR194" s="55">
        <v>0</v>
      </c>
      <c r="AS194" s="2">
        <v>184</v>
      </c>
      <c r="AT194" s="159">
        <v>0</v>
      </c>
      <c r="AU194" s="2">
        <v>81</v>
      </c>
      <c r="AV194" s="55">
        <v>1</v>
      </c>
      <c r="AW194" s="2">
        <v>1</v>
      </c>
      <c r="AX194" s="2" t="s">
        <v>615</v>
      </c>
      <c r="AY194" s="2">
        <v>999999</v>
      </c>
      <c r="AZ194" s="106">
        <v>0</v>
      </c>
      <c r="BA194" s="2">
        <v>14</v>
      </c>
      <c r="BB194" s="30">
        <v>40945</v>
      </c>
      <c r="BC194" s="2">
        <v>73</v>
      </c>
      <c r="BD194" s="160">
        <v>41806</v>
      </c>
      <c r="BE194" s="2">
        <v>1</v>
      </c>
      <c r="BF194" s="55">
        <v>1</v>
      </c>
      <c r="BG194" s="2">
        <v>1</v>
      </c>
      <c r="BH194" s="2">
        <v>1</v>
      </c>
      <c r="BI194" s="2">
        <v>151</v>
      </c>
      <c r="BJ194" s="2">
        <v>15</v>
      </c>
      <c r="BK194" s="2">
        <v>130</v>
      </c>
      <c r="BL194" s="161">
        <v>966286.14814814809</v>
      </c>
      <c r="BM194" s="2" t="str">
        <f t="shared" ref="BM194:BM257" si="3">CONCATENATE(RANK(BL194,$BL$2:$BL$284,1),"/",283)</f>
        <v>211/283</v>
      </c>
      <c r="BN194" s="142"/>
    </row>
    <row r="195" spans="1:66" x14ac:dyDescent="0.25">
      <c r="A195" s="2">
        <v>540292</v>
      </c>
      <c r="B195" s="2" t="s">
        <v>329</v>
      </c>
      <c r="C195" s="2" t="s">
        <v>45</v>
      </c>
      <c r="D195" s="2" t="s">
        <v>612</v>
      </c>
      <c r="E195" s="2" t="s">
        <v>616</v>
      </c>
      <c r="F195" s="2" t="s">
        <v>613</v>
      </c>
      <c r="G195" s="2">
        <v>3</v>
      </c>
      <c r="H195" s="2">
        <v>0</v>
      </c>
      <c r="I195" s="2">
        <v>2</v>
      </c>
      <c r="J195" s="2">
        <v>13.4</v>
      </c>
      <c r="K195" s="2">
        <v>146</v>
      </c>
      <c r="L195" s="55" t="s">
        <v>614</v>
      </c>
      <c r="M195" s="2">
        <v>999999</v>
      </c>
      <c r="N195" s="2">
        <v>0</v>
      </c>
      <c r="O195" s="2">
        <v>140</v>
      </c>
      <c r="P195" s="156">
        <v>0</v>
      </c>
      <c r="Q195" s="2">
        <v>248</v>
      </c>
      <c r="R195" s="157">
        <v>-0.439666047</v>
      </c>
      <c r="S195" s="2">
        <v>171</v>
      </c>
      <c r="T195" s="158">
        <v>0.86</v>
      </c>
      <c r="U195" s="2">
        <v>191</v>
      </c>
      <c r="V195" s="55" t="s">
        <v>614</v>
      </c>
      <c r="W195" s="2">
        <v>999999</v>
      </c>
      <c r="X195" s="55">
        <v>1</v>
      </c>
      <c r="Y195" s="2">
        <v>237</v>
      </c>
      <c r="Z195" s="2">
        <v>11</v>
      </c>
      <c r="AA195" s="2">
        <v>155</v>
      </c>
      <c r="AB195" s="2">
        <v>8</v>
      </c>
      <c r="AC195" s="2">
        <v>109</v>
      </c>
      <c r="AD195" s="105">
        <v>9</v>
      </c>
      <c r="AE195" s="2">
        <v>160</v>
      </c>
      <c r="AF195" s="55" t="s">
        <v>614</v>
      </c>
      <c r="AG195" s="2">
        <v>999999</v>
      </c>
      <c r="AH195" s="55">
        <v>173</v>
      </c>
      <c r="AI195" s="2">
        <v>105</v>
      </c>
      <c r="AJ195" s="55">
        <v>0.34639999999999999</v>
      </c>
      <c r="AK195" s="2">
        <v>49</v>
      </c>
      <c r="AL195" s="30">
        <v>42944</v>
      </c>
      <c r="AM195" s="2">
        <v>135</v>
      </c>
      <c r="AN195" s="2">
        <v>15</v>
      </c>
      <c r="AO195" s="2">
        <v>134</v>
      </c>
      <c r="AP195" s="2">
        <v>8</v>
      </c>
      <c r="AQ195" s="2">
        <v>109</v>
      </c>
      <c r="AR195" s="55" t="s">
        <v>614</v>
      </c>
      <c r="AS195" s="2">
        <v>999999</v>
      </c>
      <c r="AT195" s="159">
        <v>6.3583815028901727</v>
      </c>
      <c r="AU195" s="2">
        <v>47</v>
      </c>
      <c r="AV195" s="55">
        <v>0</v>
      </c>
      <c r="AW195" s="2">
        <v>194</v>
      </c>
      <c r="AX195" s="2" t="s">
        <v>615</v>
      </c>
      <c r="AY195" s="2">
        <v>999999</v>
      </c>
      <c r="AZ195" s="106">
        <v>0</v>
      </c>
      <c r="BA195" s="2">
        <v>14</v>
      </c>
      <c r="BB195" s="30">
        <v>40997</v>
      </c>
      <c r="BC195" s="2">
        <v>75</v>
      </c>
      <c r="BD195" s="160">
        <v>41806</v>
      </c>
      <c r="BE195" s="2">
        <v>1</v>
      </c>
      <c r="BF195" s="55">
        <v>1</v>
      </c>
      <c r="BG195" s="2">
        <v>1</v>
      </c>
      <c r="BH195" s="2">
        <v>1</v>
      </c>
      <c r="BI195" s="2">
        <v>151</v>
      </c>
      <c r="BJ195" s="2">
        <v>15</v>
      </c>
      <c r="BK195" s="2">
        <v>130</v>
      </c>
      <c r="BL195" s="161">
        <v>4817411.9259259254</v>
      </c>
      <c r="BM195" s="2" t="str">
        <f t="shared" si="3"/>
        <v>266/283</v>
      </c>
      <c r="BN195" s="142"/>
    </row>
    <row r="196" spans="1:66" x14ac:dyDescent="0.25">
      <c r="A196" s="2">
        <v>540105</v>
      </c>
      <c r="B196" s="2" t="s">
        <v>194</v>
      </c>
      <c r="C196" s="2" t="s">
        <v>45</v>
      </c>
      <c r="D196" s="2" t="s">
        <v>612</v>
      </c>
      <c r="E196" s="2" t="s">
        <v>616</v>
      </c>
      <c r="F196" s="2" t="s">
        <v>613</v>
      </c>
      <c r="G196" s="2">
        <v>3</v>
      </c>
      <c r="H196" s="2">
        <v>0</v>
      </c>
      <c r="I196" s="2">
        <v>2</v>
      </c>
      <c r="J196" s="2">
        <v>13.4</v>
      </c>
      <c r="K196" s="2">
        <v>146</v>
      </c>
      <c r="L196" s="55">
        <v>0</v>
      </c>
      <c r="M196" s="2">
        <v>118</v>
      </c>
      <c r="N196" s="2">
        <v>0</v>
      </c>
      <c r="O196" s="2">
        <v>140</v>
      </c>
      <c r="P196" s="156">
        <v>5966</v>
      </c>
      <c r="Q196" s="2">
        <v>230</v>
      </c>
      <c r="R196" s="157">
        <v>-0.439666047</v>
      </c>
      <c r="S196" s="2">
        <v>171</v>
      </c>
      <c r="T196" s="158">
        <v>0.86</v>
      </c>
      <c r="U196" s="2">
        <v>191</v>
      </c>
      <c r="V196" s="55">
        <v>0</v>
      </c>
      <c r="W196" s="2">
        <v>230</v>
      </c>
      <c r="X196" s="55">
        <v>1</v>
      </c>
      <c r="Y196" s="2">
        <v>237</v>
      </c>
      <c r="Z196" s="2">
        <v>11</v>
      </c>
      <c r="AA196" s="2">
        <v>155</v>
      </c>
      <c r="AB196" s="2">
        <v>0</v>
      </c>
      <c r="AC196" s="2">
        <v>222</v>
      </c>
      <c r="AD196" s="105">
        <v>0</v>
      </c>
      <c r="AE196" s="2">
        <v>259</v>
      </c>
      <c r="AF196" s="55">
        <v>0</v>
      </c>
      <c r="AG196" s="2">
        <v>184</v>
      </c>
      <c r="AH196" s="55">
        <v>0</v>
      </c>
      <c r="AI196" s="2">
        <v>135</v>
      </c>
      <c r="AJ196" s="55">
        <v>0.34639999999999999</v>
      </c>
      <c r="AK196" s="2">
        <v>49</v>
      </c>
      <c r="AL196" s="30">
        <v>42944</v>
      </c>
      <c r="AM196" s="2">
        <v>135</v>
      </c>
      <c r="AN196" s="2">
        <v>15</v>
      </c>
      <c r="AO196" s="2">
        <v>134</v>
      </c>
      <c r="AP196" s="2">
        <v>0</v>
      </c>
      <c r="AQ196" s="2">
        <v>222</v>
      </c>
      <c r="AR196" s="55">
        <v>0</v>
      </c>
      <c r="AS196" s="2">
        <v>184</v>
      </c>
      <c r="AT196" s="159">
        <v>0</v>
      </c>
      <c r="AU196" s="2">
        <v>81</v>
      </c>
      <c r="AV196" s="55">
        <v>1</v>
      </c>
      <c r="AW196" s="2">
        <v>1</v>
      </c>
      <c r="AX196" s="2" t="s">
        <v>615</v>
      </c>
      <c r="AY196" s="2">
        <v>999999</v>
      </c>
      <c r="AZ196" s="106">
        <v>0</v>
      </c>
      <c r="BA196" s="2">
        <v>14</v>
      </c>
      <c r="BB196" s="30">
        <v>40997</v>
      </c>
      <c r="BC196" s="2">
        <v>75</v>
      </c>
      <c r="BD196" s="160">
        <v>41806</v>
      </c>
      <c r="BE196" s="2">
        <v>1</v>
      </c>
      <c r="BF196" s="55">
        <v>1</v>
      </c>
      <c r="BG196" s="2">
        <v>1</v>
      </c>
      <c r="BH196" s="2">
        <v>1</v>
      </c>
      <c r="BI196" s="2">
        <v>151</v>
      </c>
      <c r="BJ196" s="2">
        <v>15</v>
      </c>
      <c r="BK196" s="2">
        <v>130</v>
      </c>
      <c r="BL196" s="161">
        <v>966424.81481481483</v>
      </c>
      <c r="BM196" s="2" t="str">
        <f t="shared" si="3"/>
        <v>226/283</v>
      </c>
      <c r="BN196" s="142"/>
    </row>
    <row r="197" spans="1:66" x14ac:dyDescent="0.25">
      <c r="A197" s="2">
        <v>540106</v>
      </c>
      <c r="B197" s="2" t="s">
        <v>195</v>
      </c>
      <c r="C197" s="2" t="s">
        <v>45</v>
      </c>
      <c r="D197" s="2" t="s">
        <v>612</v>
      </c>
      <c r="E197" s="2" t="s">
        <v>616</v>
      </c>
      <c r="F197" s="2" t="s">
        <v>613</v>
      </c>
      <c r="G197" s="2">
        <v>3</v>
      </c>
      <c r="H197" s="2">
        <v>0</v>
      </c>
      <c r="I197" s="2">
        <v>2</v>
      </c>
      <c r="J197" s="2">
        <v>13.4</v>
      </c>
      <c r="K197" s="2">
        <v>146</v>
      </c>
      <c r="L197" s="55">
        <v>0</v>
      </c>
      <c r="M197" s="2">
        <v>118</v>
      </c>
      <c r="N197" s="2">
        <v>0</v>
      </c>
      <c r="O197" s="2">
        <v>140</v>
      </c>
      <c r="P197" s="156">
        <v>121321</v>
      </c>
      <c r="Q197" s="2">
        <v>158</v>
      </c>
      <c r="R197" s="157">
        <v>-0.439666047</v>
      </c>
      <c r="S197" s="2">
        <v>171</v>
      </c>
      <c r="T197" s="158">
        <v>0.86</v>
      </c>
      <c r="U197" s="2">
        <v>191</v>
      </c>
      <c r="V197" s="55">
        <v>0</v>
      </c>
      <c r="W197" s="2">
        <v>230</v>
      </c>
      <c r="X197" s="55">
        <v>24</v>
      </c>
      <c r="Y197" s="2">
        <v>136</v>
      </c>
      <c r="Z197" s="2">
        <v>11</v>
      </c>
      <c r="AA197" s="2">
        <v>155</v>
      </c>
      <c r="AB197" s="2">
        <v>5</v>
      </c>
      <c r="AC197" s="2">
        <v>129</v>
      </c>
      <c r="AD197" s="105">
        <v>6</v>
      </c>
      <c r="AE197" s="2">
        <v>184</v>
      </c>
      <c r="AF197" s="55">
        <v>5</v>
      </c>
      <c r="AG197" s="2">
        <v>130</v>
      </c>
      <c r="AH197" s="55">
        <v>0</v>
      </c>
      <c r="AI197" s="2">
        <v>135</v>
      </c>
      <c r="AJ197" s="55">
        <v>0.34639999999999999</v>
      </c>
      <c r="AK197" s="2">
        <v>49</v>
      </c>
      <c r="AL197" s="30">
        <v>42944</v>
      </c>
      <c r="AM197" s="2">
        <v>135</v>
      </c>
      <c r="AN197" s="2">
        <v>15</v>
      </c>
      <c r="AO197" s="2">
        <v>134</v>
      </c>
      <c r="AP197" s="2">
        <v>5</v>
      </c>
      <c r="AQ197" s="2">
        <v>129</v>
      </c>
      <c r="AR197" s="55">
        <v>5</v>
      </c>
      <c r="AS197" s="2">
        <v>130</v>
      </c>
      <c r="AT197" s="159">
        <v>0</v>
      </c>
      <c r="AU197" s="2">
        <v>81</v>
      </c>
      <c r="AV197" s="55">
        <v>1</v>
      </c>
      <c r="AW197" s="2">
        <v>1</v>
      </c>
      <c r="AX197" s="2" t="s">
        <v>615</v>
      </c>
      <c r="AY197" s="2">
        <v>999999</v>
      </c>
      <c r="AZ197" s="106">
        <v>0</v>
      </c>
      <c r="BA197" s="2">
        <v>14</v>
      </c>
      <c r="BB197" s="30">
        <v>40997</v>
      </c>
      <c r="BC197" s="2">
        <v>75</v>
      </c>
      <c r="BD197" s="160">
        <v>41806</v>
      </c>
      <c r="BE197" s="2">
        <v>1</v>
      </c>
      <c r="BF197" s="55" t="s">
        <v>1297</v>
      </c>
      <c r="BG197" s="2">
        <v>999999</v>
      </c>
      <c r="BH197" s="2">
        <v>0</v>
      </c>
      <c r="BI197" s="2">
        <v>239</v>
      </c>
      <c r="BJ197" s="2">
        <v>15</v>
      </c>
      <c r="BK197" s="2">
        <v>130</v>
      </c>
      <c r="BL197" s="161">
        <v>1928948.6666666667</v>
      </c>
      <c r="BM197" s="2" t="str">
        <f t="shared" si="3"/>
        <v>245/283</v>
      </c>
      <c r="BN197" s="142"/>
    </row>
    <row r="198" spans="1:66" x14ac:dyDescent="0.25">
      <c r="A198" s="2">
        <v>540287</v>
      </c>
      <c r="B198" s="2" t="s">
        <v>326</v>
      </c>
      <c r="C198" s="2" t="s">
        <v>47</v>
      </c>
      <c r="D198" s="2" t="s">
        <v>612</v>
      </c>
      <c r="E198" s="2" t="s">
        <v>616</v>
      </c>
      <c r="F198" s="2" t="s">
        <v>613</v>
      </c>
      <c r="G198" s="2">
        <v>3</v>
      </c>
      <c r="H198" s="2">
        <v>0</v>
      </c>
      <c r="I198" s="2">
        <v>2</v>
      </c>
      <c r="J198" s="2">
        <v>1.4</v>
      </c>
      <c r="K198" s="2">
        <v>250</v>
      </c>
      <c r="L198" s="55">
        <v>0</v>
      </c>
      <c r="M198" s="2">
        <v>118</v>
      </c>
      <c r="N198" s="2">
        <v>0</v>
      </c>
      <c r="O198" s="2">
        <v>140</v>
      </c>
      <c r="P198" s="156">
        <v>99746</v>
      </c>
      <c r="Q198" s="2">
        <v>165</v>
      </c>
      <c r="R198" s="157">
        <v>-0.18995964400000001</v>
      </c>
      <c r="S198" s="2">
        <v>150</v>
      </c>
      <c r="T198" s="158">
        <v>0.86</v>
      </c>
      <c r="U198" s="2">
        <v>191</v>
      </c>
      <c r="V198" s="55">
        <v>5</v>
      </c>
      <c r="W198" s="2">
        <v>121</v>
      </c>
      <c r="X198" s="55">
        <v>23</v>
      </c>
      <c r="Y198" s="2">
        <v>139</v>
      </c>
      <c r="Z198" s="2">
        <v>12</v>
      </c>
      <c r="AA198" s="2">
        <v>133</v>
      </c>
      <c r="AB198" s="2">
        <v>5</v>
      </c>
      <c r="AC198" s="2">
        <v>129</v>
      </c>
      <c r="AD198" s="105">
        <v>9</v>
      </c>
      <c r="AE198" s="2">
        <v>160</v>
      </c>
      <c r="AF198" s="55">
        <v>0</v>
      </c>
      <c r="AG198" s="2">
        <v>184</v>
      </c>
      <c r="AH198" s="55">
        <v>0</v>
      </c>
      <c r="AI198" s="2">
        <v>135</v>
      </c>
      <c r="AJ198" s="55">
        <v>0.18820000000000001</v>
      </c>
      <c r="AK198" s="2">
        <v>8</v>
      </c>
      <c r="AL198" s="30">
        <v>43145</v>
      </c>
      <c r="AM198" s="2">
        <v>26</v>
      </c>
      <c r="AN198" s="2">
        <v>3</v>
      </c>
      <c r="AO198" s="2">
        <v>57</v>
      </c>
      <c r="AP198" s="2">
        <v>5</v>
      </c>
      <c r="AQ198" s="2">
        <v>129</v>
      </c>
      <c r="AR198" s="55">
        <v>0</v>
      </c>
      <c r="AS198" s="2">
        <v>184</v>
      </c>
      <c r="AT198" s="159">
        <v>0</v>
      </c>
      <c r="AU198" s="2">
        <v>81</v>
      </c>
      <c r="AV198" s="55">
        <v>1</v>
      </c>
      <c r="AW198" s="2">
        <v>1</v>
      </c>
      <c r="AX198" s="2" t="s">
        <v>615</v>
      </c>
      <c r="AY198" s="2">
        <v>999999</v>
      </c>
      <c r="AZ198" s="106">
        <v>0</v>
      </c>
      <c r="BA198" s="2">
        <v>14</v>
      </c>
      <c r="BB198" s="30">
        <v>33179</v>
      </c>
      <c r="BC198" s="2">
        <v>11</v>
      </c>
      <c r="BD198" s="160">
        <v>41806</v>
      </c>
      <c r="BE198" s="2">
        <v>1</v>
      </c>
      <c r="BF198" s="55">
        <v>1</v>
      </c>
      <c r="BG198" s="2">
        <v>1</v>
      </c>
      <c r="BH198" s="2">
        <v>1</v>
      </c>
      <c r="BI198" s="2">
        <v>151</v>
      </c>
      <c r="BJ198" s="2">
        <v>3</v>
      </c>
      <c r="BK198" s="2">
        <v>219</v>
      </c>
      <c r="BL198" s="161">
        <v>965752.66666666663</v>
      </c>
      <c r="BM198" s="2" t="str">
        <f t="shared" si="3"/>
        <v>128/283</v>
      </c>
      <c r="BN198" s="142"/>
    </row>
    <row r="199" spans="1:66" x14ac:dyDescent="0.25">
      <c r="A199" s="2">
        <v>540111</v>
      </c>
      <c r="B199" s="2" t="s">
        <v>199</v>
      </c>
      <c r="C199" s="2" t="s">
        <v>47</v>
      </c>
      <c r="D199" s="2" t="s">
        <v>612</v>
      </c>
      <c r="E199" s="2" t="s">
        <v>616</v>
      </c>
      <c r="F199" s="2" t="s">
        <v>613</v>
      </c>
      <c r="G199" s="2">
        <v>3</v>
      </c>
      <c r="H199" s="2">
        <v>0</v>
      </c>
      <c r="I199" s="2">
        <v>2</v>
      </c>
      <c r="J199" s="2">
        <v>1.4</v>
      </c>
      <c r="K199" s="2">
        <v>250</v>
      </c>
      <c r="L199" s="55">
        <v>3</v>
      </c>
      <c r="M199" s="2">
        <v>77</v>
      </c>
      <c r="N199" s="2">
        <v>0</v>
      </c>
      <c r="O199" s="2">
        <v>140</v>
      </c>
      <c r="P199" s="156">
        <v>728625</v>
      </c>
      <c r="Q199" s="2">
        <v>81</v>
      </c>
      <c r="R199" s="157">
        <v>-0.18995964400000001</v>
      </c>
      <c r="S199" s="2">
        <v>150</v>
      </c>
      <c r="T199" s="158">
        <v>0.86</v>
      </c>
      <c r="U199" s="2">
        <v>191</v>
      </c>
      <c r="V199" s="55">
        <v>24</v>
      </c>
      <c r="W199" s="2">
        <v>60</v>
      </c>
      <c r="X199" s="55">
        <v>84</v>
      </c>
      <c r="Y199" s="2">
        <v>69</v>
      </c>
      <c r="Z199" s="2">
        <v>12</v>
      </c>
      <c r="AA199" s="2">
        <v>133</v>
      </c>
      <c r="AB199" s="2">
        <v>12</v>
      </c>
      <c r="AC199" s="2">
        <v>96</v>
      </c>
      <c r="AD199" s="105">
        <v>30</v>
      </c>
      <c r="AE199" s="2">
        <v>97</v>
      </c>
      <c r="AF199" s="55">
        <v>27</v>
      </c>
      <c r="AG199" s="2">
        <v>59</v>
      </c>
      <c r="AH199" s="55">
        <v>513</v>
      </c>
      <c r="AI199" s="2">
        <v>72</v>
      </c>
      <c r="AJ199" s="55">
        <v>0.18820000000000001</v>
      </c>
      <c r="AK199" s="2">
        <v>8</v>
      </c>
      <c r="AL199" s="30">
        <v>43145</v>
      </c>
      <c r="AM199" s="2">
        <v>26</v>
      </c>
      <c r="AN199" s="2">
        <v>3</v>
      </c>
      <c r="AO199" s="2">
        <v>57</v>
      </c>
      <c r="AP199" s="2">
        <v>12</v>
      </c>
      <c r="AQ199" s="2">
        <v>96</v>
      </c>
      <c r="AR199" s="55">
        <v>27</v>
      </c>
      <c r="AS199" s="2">
        <v>59</v>
      </c>
      <c r="AT199" s="159">
        <v>-2.144249512670565</v>
      </c>
      <c r="AU199" s="2">
        <v>236</v>
      </c>
      <c r="AV199" s="55">
        <v>1</v>
      </c>
      <c r="AW199" s="2">
        <v>1</v>
      </c>
      <c r="AX199" s="2" t="s">
        <v>615</v>
      </c>
      <c r="AY199" s="2">
        <v>999999</v>
      </c>
      <c r="AZ199" s="106">
        <v>0</v>
      </c>
      <c r="BA199" s="2">
        <v>14</v>
      </c>
      <c r="BB199" s="30">
        <v>43003</v>
      </c>
      <c r="BC199" s="2">
        <v>142</v>
      </c>
      <c r="BD199" s="160">
        <v>43399</v>
      </c>
      <c r="BE199" s="2">
        <v>44</v>
      </c>
      <c r="BF199" s="55">
        <v>1</v>
      </c>
      <c r="BG199" s="2">
        <v>1</v>
      </c>
      <c r="BH199" s="2">
        <v>2</v>
      </c>
      <c r="BI199" s="2">
        <v>68</v>
      </c>
      <c r="BJ199" s="2">
        <v>3</v>
      </c>
      <c r="BK199" s="2">
        <v>219</v>
      </c>
      <c r="BL199" s="161">
        <v>965317.40740740742</v>
      </c>
      <c r="BM199" s="2" t="str">
        <f t="shared" si="3"/>
        <v>75/283</v>
      </c>
      <c r="BN199" s="142"/>
    </row>
    <row r="200" spans="1:66" x14ac:dyDescent="0.25">
      <c r="A200" s="162">
        <v>540129</v>
      </c>
      <c r="B200" s="162" t="s">
        <v>54</v>
      </c>
      <c r="C200" s="162" t="s">
        <v>55</v>
      </c>
      <c r="D200" s="162" t="s">
        <v>617</v>
      </c>
      <c r="E200" s="162" t="s">
        <v>616</v>
      </c>
      <c r="F200" s="162" t="s">
        <v>613</v>
      </c>
      <c r="G200" s="162">
        <v>3</v>
      </c>
      <c r="H200" s="162">
        <v>0</v>
      </c>
      <c r="I200" s="162">
        <v>2</v>
      </c>
      <c r="J200" s="162">
        <v>43.2</v>
      </c>
      <c r="K200" s="162">
        <v>74</v>
      </c>
      <c r="L200" s="163">
        <v>0</v>
      </c>
      <c r="M200" s="162">
        <v>118</v>
      </c>
      <c r="N200" s="162">
        <v>0</v>
      </c>
      <c r="O200" s="162">
        <v>140</v>
      </c>
      <c r="P200" s="164">
        <v>371076</v>
      </c>
      <c r="Q200" s="162">
        <v>110</v>
      </c>
      <c r="R200" s="165">
        <v>-6.5435336999999996E-2</v>
      </c>
      <c r="S200" s="162">
        <v>135</v>
      </c>
      <c r="T200" s="166">
        <v>0.89</v>
      </c>
      <c r="U200" s="162">
        <v>153</v>
      </c>
      <c r="V200" s="163">
        <v>68</v>
      </c>
      <c r="W200" s="162">
        <v>25</v>
      </c>
      <c r="X200" s="163">
        <v>73</v>
      </c>
      <c r="Y200" s="162">
        <v>77</v>
      </c>
      <c r="Z200" s="162">
        <v>8</v>
      </c>
      <c r="AA200" s="162">
        <v>243</v>
      </c>
      <c r="AB200" s="162">
        <v>60</v>
      </c>
      <c r="AC200" s="162">
        <v>30</v>
      </c>
      <c r="AD200" s="167">
        <v>118</v>
      </c>
      <c r="AE200" s="162">
        <v>40</v>
      </c>
      <c r="AF200" s="163">
        <v>18</v>
      </c>
      <c r="AG200" s="162">
        <v>72</v>
      </c>
      <c r="AH200" s="163">
        <v>1787</v>
      </c>
      <c r="AI200" s="162">
        <v>27</v>
      </c>
      <c r="AJ200" s="163">
        <v>0.62460000000000004</v>
      </c>
      <c r="AK200" s="162">
        <v>200</v>
      </c>
      <c r="AL200" s="168">
        <v>43248</v>
      </c>
      <c r="AM200" s="162">
        <v>1</v>
      </c>
      <c r="AN200" s="162">
        <v>53</v>
      </c>
      <c r="AO200" s="162">
        <v>220</v>
      </c>
      <c r="AP200" s="162">
        <v>60</v>
      </c>
      <c r="AQ200" s="162">
        <v>30</v>
      </c>
      <c r="AR200" s="163">
        <v>18</v>
      </c>
      <c r="AS200" s="162">
        <v>72</v>
      </c>
      <c r="AT200" s="169">
        <v>2.0145495243424736</v>
      </c>
      <c r="AU200" s="162">
        <v>67</v>
      </c>
      <c r="AV200" s="163">
        <v>1</v>
      </c>
      <c r="AW200" s="162">
        <v>1</v>
      </c>
      <c r="AX200" s="162" t="s">
        <v>615</v>
      </c>
      <c r="AY200" s="162">
        <v>999999</v>
      </c>
      <c r="AZ200" s="170">
        <v>0</v>
      </c>
      <c r="BA200" s="162">
        <v>14</v>
      </c>
      <c r="BB200" s="168">
        <v>42233</v>
      </c>
      <c r="BC200" s="162">
        <v>100</v>
      </c>
      <c r="BD200" s="171">
        <v>42324</v>
      </c>
      <c r="BE200" s="162">
        <v>35</v>
      </c>
      <c r="BF200" s="163">
        <v>0</v>
      </c>
      <c r="BG200" s="162">
        <v>183</v>
      </c>
      <c r="BH200" s="162">
        <v>1</v>
      </c>
      <c r="BI200" s="162">
        <v>151</v>
      </c>
      <c r="BJ200" s="162">
        <v>53</v>
      </c>
      <c r="BK200" s="162">
        <v>54</v>
      </c>
      <c r="BL200" s="161">
        <v>965246.1481481482</v>
      </c>
      <c r="BM200" s="162" t="str">
        <f t="shared" si="3"/>
        <v>66/283</v>
      </c>
      <c r="BN200" s="142"/>
    </row>
    <row r="201" spans="1:66" x14ac:dyDescent="0.25">
      <c r="A201" s="162">
        <v>540139</v>
      </c>
      <c r="B201" s="162" t="s">
        <v>58</v>
      </c>
      <c r="C201" s="162" t="s">
        <v>59</v>
      </c>
      <c r="D201" s="162" t="s">
        <v>617</v>
      </c>
      <c r="E201" s="162" t="s">
        <v>616</v>
      </c>
      <c r="F201" s="162" t="s">
        <v>613</v>
      </c>
      <c r="G201" s="162">
        <v>3</v>
      </c>
      <c r="H201" s="162">
        <v>0</v>
      </c>
      <c r="I201" s="162">
        <v>2</v>
      </c>
      <c r="J201" s="162">
        <v>33.200000000000003</v>
      </c>
      <c r="K201" s="162">
        <v>95</v>
      </c>
      <c r="L201" s="163">
        <v>17</v>
      </c>
      <c r="M201" s="162">
        <v>22</v>
      </c>
      <c r="N201" s="162">
        <v>0</v>
      </c>
      <c r="O201" s="162">
        <v>140</v>
      </c>
      <c r="P201" s="164">
        <v>1086599</v>
      </c>
      <c r="Q201" s="162">
        <v>71</v>
      </c>
      <c r="R201" s="165">
        <v>-0.74558806099999997</v>
      </c>
      <c r="S201" s="162">
        <v>234</v>
      </c>
      <c r="T201" s="166">
        <v>0.89</v>
      </c>
      <c r="U201" s="162">
        <v>153</v>
      </c>
      <c r="V201" s="163">
        <v>94</v>
      </c>
      <c r="W201" s="162">
        <v>15</v>
      </c>
      <c r="X201" s="163">
        <v>151</v>
      </c>
      <c r="Y201" s="162">
        <v>47</v>
      </c>
      <c r="Z201" s="162">
        <v>11</v>
      </c>
      <c r="AA201" s="162">
        <v>155</v>
      </c>
      <c r="AB201" s="162">
        <v>32</v>
      </c>
      <c r="AC201" s="162">
        <v>56</v>
      </c>
      <c r="AD201" s="167">
        <v>140</v>
      </c>
      <c r="AE201" s="162">
        <v>31</v>
      </c>
      <c r="AF201" s="163">
        <v>31</v>
      </c>
      <c r="AG201" s="162">
        <v>55</v>
      </c>
      <c r="AH201" s="163">
        <v>3947</v>
      </c>
      <c r="AI201" s="162">
        <v>7</v>
      </c>
      <c r="AJ201" s="163">
        <v>0.35560000000000003</v>
      </c>
      <c r="AK201" s="162">
        <v>61</v>
      </c>
      <c r="AL201" s="168">
        <v>43145</v>
      </c>
      <c r="AM201" s="162">
        <v>26</v>
      </c>
      <c r="AN201" s="162">
        <v>11</v>
      </c>
      <c r="AO201" s="162">
        <v>113</v>
      </c>
      <c r="AP201" s="162">
        <v>32</v>
      </c>
      <c r="AQ201" s="162">
        <v>56</v>
      </c>
      <c r="AR201" s="163">
        <v>31</v>
      </c>
      <c r="AS201" s="162">
        <v>55</v>
      </c>
      <c r="AT201" s="169">
        <v>17.152267544970865</v>
      </c>
      <c r="AU201" s="162">
        <v>8</v>
      </c>
      <c r="AV201" s="163">
        <v>1</v>
      </c>
      <c r="AW201" s="162">
        <v>1</v>
      </c>
      <c r="AX201" s="162" t="s">
        <v>615</v>
      </c>
      <c r="AY201" s="162">
        <v>999999</v>
      </c>
      <c r="AZ201" s="170">
        <v>0</v>
      </c>
      <c r="BA201" s="162">
        <v>14</v>
      </c>
      <c r="BB201" s="168">
        <v>42991</v>
      </c>
      <c r="BC201" s="162">
        <v>133</v>
      </c>
      <c r="BD201" s="171">
        <v>42990</v>
      </c>
      <c r="BE201" s="162">
        <v>37</v>
      </c>
      <c r="BF201" s="163">
        <v>0</v>
      </c>
      <c r="BG201" s="162">
        <v>183</v>
      </c>
      <c r="BH201" s="162">
        <v>3</v>
      </c>
      <c r="BI201" s="162">
        <v>46</v>
      </c>
      <c r="BJ201" s="162">
        <v>11</v>
      </c>
      <c r="BK201" s="162">
        <v>160</v>
      </c>
      <c r="BL201" s="161">
        <v>964862.88888888899</v>
      </c>
      <c r="BM201" s="162" t="str">
        <f t="shared" si="3"/>
        <v>31/283</v>
      </c>
      <c r="BN201" s="142"/>
    </row>
    <row r="202" spans="1:66" x14ac:dyDescent="0.25">
      <c r="A202" s="2">
        <v>540141</v>
      </c>
      <c r="B202" s="2" t="s">
        <v>223</v>
      </c>
      <c r="C202" s="2" t="s">
        <v>59</v>
      </c>
      <c r="D202" s="2" t="s">
        <v>612</v>
      </c>
      <c r="E202" s="2" t="s">
        <v>616</v>
      </c>
      <c r="F202" s="2" t="s">
        <v>613</v>
      </c>
      <c r="G202" s="2">
        <v>3</v>
      </c>
      <c r="H202" s="2">
        <v>0</v>
      </c>
      <c r="I202" s="2">
        <v>2</v>
      </c>
      <c r="J202" s="2">
        <v>33.200000000000003</v>
      </c>
      <c r="K202" s="2">
        <v>95</v>
      </c>
      <c r="L202" s="55">
        <v>18</v>
      </c>
      <c r="M202" s="2">
        <v>20</v>
      </c>
      <c r="N202" s="2">
        <v>0</v>
      </c>
      <c r="O202" s="2">
        <v>140</v>
      </c>
      <c r="P202" s="156">
        <v>1410617</v>
      </c>
      <c r="Q202" s="2">
        <v>58</v>
      </c>
      <c r="R202" s="157">
        <v>-0.74558806099999997</v>
      </c>
      <c r="S202" s="2">
        <v>234</v>
      </c>
      <c r="T202" s="158">
        <v>0.89</v>
      </c>
      <c r="U202" s="2">
        <v>153</v>
      </c>
      <c r="V202" s="55">
        <v>78</v>
      </c>
      <c r="W202" s="2">
        <v>21</v>
      </c>
      <c r="X202" s="55">
        <v>162</v>
      </c>
      <c r="Y202" s="2">
        <v>43</v>
      </c>
      <c r="Z202" s="2">
        <v>11</v>
      </c>
      <c r="AA202" s="2">
        <v>155</v>
      </c>
      <c r="AB202" s="2">
        <v>21</v>
      </c>
      <c r="AC202" s="2">
        <v>74</v>
      </c>
      <c r="AD202" s="105">
        <v>75</v>
      </c>
      <c r="AE202" s="2">
        <v>55</v>
      </c>
      <c r="AF202" s="55">
        <v>49</v>
      </c>
      <c r="AG202" s="2">
        <v>35</v>
      </c>
      <c r="AH202" s="55">
        <v>1897</v>
      </c>
      <c r="AI202" s="2">
        <v>24</v>
      </c>
      <c r="AJ202" s="55">
        <v>0.35560000000000003</v>
      </c>
      <c r="AK202" s="2">
        <v>61</v>
      </c>
      <c r="AL202" s="30">
        <v>43145</v>
      </c>
      <c r="AM202" s="2">
        <v>26</v>
      </c>
      <c r="AN202" s="2">
        <v>11</v>
      </c>
      <c r="AO202" s="2">
        <v>113</v>
      </c>
      <c r="AP202" s="2">
        <v>21</v>
      </c>
      <c r="AQ202" s="2">
        <v>74</v>
      </c>
      <c r="AR202" s="55">
        <v>49</v>
      </c>
      <c r="AS202" s="2">
        <v>35</v>
      </c>
      <c r="AT202" s="159">
        <v>-3.268318397469689</v>
      </c>
      <c r="AU202" s="2">
        <v>241</v>
      </c>
      <c r="AV202" s="55">
        <v>1</v>
      </c>
      <c r="AW202" s="2">
        <v>1</v>
      </c>
      <c r="AX202" s="2" t="s">
        <v>615</v>
      </c>
      <c r="AY202" s="2">
        <v>999999</v>
      </c>
      <c r="AZ202" s="106">
        <v>0</v>
      </c>
      <c r="BA202" s="2">
        <v>14</v>
      </c>
      <c r="BB202" s="30">
        <v>42991</v>
      </c>
      <c r="BC202" s="2">
        <v>133</v>
      </c>
      <c r="BD202" s="160">
        <v>43530</v>
      </c>
      <c r="BE202" s="2">
        <v>51</v>
      </c>
      <c r="BF202" s="55">
        <v>1</v>
      </c>
      <c r="BG202" s="2">
        <v>1</v>
      </c>
      <c r="BH202" s="2">
        <v>0</v>
      </c>
      <c r="BI202" s="2">
        <v>239</v>
      </c>
      <c r="BJ202" s="2">
        <v>11</v>
      </c>
      <c r="BK202" s="2">
        <v>160</v>
      </c>
      <c r="BL202" s="161">
        <v>965134.44444444438</v>
      </c>
      <c r="BM202" s="2" t="str">
        <f t="shared" si="3"/>
        <v>52/283</v>
      </c>
      <c r="BN202" s="142"/>
    </row>
    <row r="203" spans="1:66" x14ac:dyDescent="0.25">
      <c r="A203" s="2">
        <v>540273</v>
      </c>
      <c r="B203" s="2" t="s">
        <v>316</v>
      </c>
      <c r="C203" s="2" t="s">
        <v>59</v>
      </c>
      <c r="D203" s="2" t="s">
        <v>612</v>
      </c>
      <c r="E203" s="2" t="s">
        <v>611</v>
      </c>
      <c r="F203" s="2" t="s">
        <v>613</v>
      </c>
      <c r="G203" s="2">
        <v>3</v>
      </c>
      <c r="H203" s="2">
        <v>0</v>
      </c>
      <c r="I203" s="2">
        <v>2</v>
      </c>
      <c r="J203" s="2">
        <v>33.200000000000003</v>
      </c>
      <c r="K203" s="2">
        <v>95</v>
      </c>
      <c r="L203" s="55">
        <v>0</v>
      </c>
      <c r="M203" s="2">
        <v>118</v>
      </c>
      <c r="N203" s="2">
        <v>0</v>
      </c>
      <c r="O203" s="2">
        <v>140</v>
      </c>
      <c r="P203" s="156">
        <v>15480</v>
      </c>
      <c r="Q203" s="2">
        <v>216</v>
      </c>
      <c r="R203" s="157">
        <v>-0.74558806099999997</v>
      </c>
      <c r="S203" s="2">
        <v>234</v>
      </c>
      <c r="T203" s="158">
        <v>0.89</v>
      </c>
      <c r="U203" s="2">
        <v>153</v>
      </c>
      <c r="V203" s="55">
        <v>2</v>
      </c>
      <c r="W203" s="2">
        <v>170</v>
      </c>
      <c r="X203" s="55">
        <v>2</v>
      </c>
      <c r="Y203" s="2">
        <v>225</v>
      </c>
      <c r="Z203" s="2">
        <v>11</v>
      </c>
      <c r="AA203" s="2">
        <v>155</v>
      </c>
      <c r="AB203" s="2">
        <v>0</v>
      </c>
      <c r="AC203" s="2">
        <v>222</v>
      </c>
      <c r="AD203" s="105">
        <v>9</v>
      </c>
      <c r="AE203" s="2">
        <v>160</v>
      </c>
      <c r="AF203" s="55">
        <v>0</v>
      </c>
      <c r="AG203" s="2">
        <v>184</v>
      </c>
      <c r="AH203" s="55">
        <v>115</v>
      </c>
      <c r="AI203" s="2">
        <v>121</v>
      </c>
      <c r="AJ203" s="55">
        <v>0.35560000000000003</v>
      </c>
      <c r="AK203" s="2">
        <v>61</v>
      </c>
      <c r="AL203" s="30">
        <v>43145</v>
      </c>
      <c r="AM203" s="2">
        <v>26</v>
      </c>
      <c r="AN203" s="2">
        <v>11</v>
      </c>
      <c r="AO203" s="2">
        <v>113</v>
      </c>
      <c r="AP203" s="2">
        <v>0</v>
      </c>
      <c r="AQ203" s="2">
        <v>222</v>
      </c>
      <c r="AR203" s="55">
        <v>0</v>
      </c>
      <c r="AS203" s="2">
        <v>184</v>
      </c>
      <c r="AT203" s="159">
        <v>-13.043478260869565</v>
      </c>
      <c r="AU203" s="2">
        <v>264</v>
      </c>
      <c r="AV203" s="55">
        <v>1</v>
      </c>
      <c r="AW203" s="2">
        <v>1</v>
      </c>
      <c r="AX203" s="2" t="s">
        <v>615</v>
      </c>
      <c r="AY203" s="2">
        <v>999999</v>
      </c>
      <c r="AZ203" s="106">
        <v>0</v>
      </c>
      <c r="BA203" s="2">
        <v>14</v>
      </c>
      <c r="BB203" s="30">
        <v>43550</v>
      </c>
      <c r="BC203" s="2">
        <v>260</v>
      </c>
      <c r="BD203" s="160" t="s">
        <v>614</v>
      </c>
      <c r="BE203" s="2">
        <v>999999</v>
      </c>
      <c r="BF203" s="55">
        <v>0</v>
      </c>
      <c r="BG203" s="2">
        <v>183</v>
      </c>
      <c r="BH203" s="2">
        <v>3</v>
      </c>
      <c r="BI203" s="2">
        <v>46</v>
      </c>
      <c r="BJ203" s="2">
        <v>11</v>
      </c>
      <c r="BK203" s="2">
        <v>160</v>
      </c>
      <c r="BL203" s="161">
        <v>1929512.9629629629</v>
      </c>
      <c r="BM203" s="2" t="str">
        <f t="shared" si="3"/>
        <v>248/283</v>
      </c>
      <c r="BN203" s="142"/>
    </row>
    <row r="204" spans="1:66" x14ac:dyDescent="0.25">
      <c r="A204" s="2">
        <v>540143</v>
      </c>
      <c r="B204" s="2" t="s">
        <v>224</v>
      </c>
      <c r="C204" s="2" t="s">
        <v>105</v>
      </c>
      <c r="D204" s="2" t="s">
        <v>612</v>
      </c>
      <c r="E204" s="2" t="s">
        <v>616</v>
      </c>
      <c r="F204" s="2" t="s">
        <v>613</v>
      </c>
      <c r="G204" s="2">
        <v>3</v>
      </c>
      <c r="H204" s="2">
        <v>0</v>
      </c>
      <c r="I204" s="2">
        <v>2</v>
      </c>
      <c r="J204" s="2">
        <v>0</v>
      </c>
      <c r="K204" s="2">
        <v>275</v>
      </c>
      <c r="L204" s="55">
        <v>0</v>
      </c>
      <c r="M204" s="2">
        <v>118</v>
      </c>
      <c r="N204" s="2">
        <v>0</v>
      </c>
      <c r="O204" s="2">
        <v>140</v>
      </c>
      <c r="P204" s="156">
        <v>27923</v>
      </c>
      <c r="Q204" s="2">
        <v>204</v>
      </c>
      <c r="R204" s="157">
        <v>0.28838290799999999</v>
      </c>
      <c r="S204" s="2">
        <v>118</v>
      </c>
      <c r="T204" s="158">
        <v>0.92999999999999994</v>
      </c>
      <c r="U204" s="2">
        <v>38</v>
      </c>
      <c r="V204" s="55">
        <v>4</v>
      </c>
      <c r="W204" s="2">
        <v>142</v>
      </c>
      <c r="X204" s="55">
        <v>2</v>
      </c>
      <c r="Y204" s="2">
        <v>225</v>
      </c>
      <c r="Z204" s="2">
        <v>6</v>
      </c>
      <c r="AA204" s="2">
        <v>281</v>
      </c>
      <c r="AB204" s="2">
        <v>2</v>
      </c>
      <c r="AC204" s="2">
        <v>168</v>
      </c>
      <c r="AD204" s="105">
        <v>6</v>
      </c>
      <c r="AE204" s="2">
        <v>184</v>
      </c>
      <c r="AF204" s="55">
        <v>0</v>
      </c>
      <c r="AG204" s="2">
        <v>184</v>
      </c>
      <c r="AH204" s="55">
        <v>0</v>
      </c>
      <c r="AI204" s="2">
        <v>135</v>
      </c>
      <c r="AJ204" s="55">
        <v>0.43809999999999999</v>
      </c>
      <c r="AK204" s="2">
        <v>107</v>
      </c>
      <c r="AL204" s="30">
        <v>42543</v>
      </c>
      <c r="AM204" s="2">
        <v>161</v>
      </c>
      <c r="AN204" s="2">
        <v>13</v>
      </c>
      <c r="AO204" s="2">
        <v>128</v>
      </c>
      <c r="AP204" s="2">
        <v>2</v>
      </c>
      <c r="AQ204" s="2">
        <v>168</v>
      </c>
      <c r="AR204" s="55">
        <v>0</v>
      </c>
      <c r="AS204" s="2">
        <v>184</v>
      </c>
      <c r="AT204" s="159">
        <v>0</v>
      </c>
      <c r="AU204" s="2">
        <v>81</v>
      </c>
      <c r="AV204" s="55">
        <v>1</v>
      </c>
      <c r="AW204" s="2">
        <v>1</v>
      </c>
      <c r="AX204" s="2" t="s">
        <v>615</v>
      </c>
      <c r="AY204" s="2">
        <v>999999</v>
      </c>
      <c r="AZ204" s="106">
        <v>0</v>
      </c>
      <c r="BA204" s="2">
        <v>14</v>
      </c>
      <c r="BB204" s="30">
        <v>42116</v>
      </c>
      <c r="BC204" s="2">
        <v>88</v>
      </c>
      <c r="BD204" s="160">
        <v>43494</v>
      </c>
      <c r="BE204" s="2">
        <v>44</v>
      </c>
      <c r="BF204" s="55" t="s">
        <v>1297</v>
      </c>
      <c r="BG204" s="2">
        <v>999999</v>
      </c>
      <c r="BH204" s="2">
        <v>1</v>
      </c>
      <c r="BI204" s="2">
        <v>151</v>
      </c>
      <c r="BJ204" s="2">
        <v>13</v>
      </c>
      <c r="BK204" s="2">
        <v>154</v>
      </c>
      <c r="BL204" s="161">
        <v>1929287.6296296297</v>
      </c>
      <c r="BM204" s="2" t="str">
        <f t="shared" si="3"/>
        <v>247/283</v>
      </c>
      <c r="BN204" s="142"/>
    </row>
    <row r="205" spans="1:66" x14ac:dyDescent="0.25">
      <c r="A205" s="2">
        <v>540041</v>
      </c>
      <c r="B205" s="2" t="s">
        <v>142</v>
      </c>
      <c r="C205" s="2" t="s">
        <v>620</v>
      </c>
      <c r="D205" s="2" t="s">
        <v>612</v>
      </c>
      <c r="E205" s="2" t="s">
        <v>616</v>
      </c>
      <c r="F205" s="2" t="s">
        <v>613</v>
      </c>
      <c r="G205" s="2">
        <v>3</v>
      </c>
      <c r="H205" s="2">
        <v>0</v>
      </c>
      <c r="I205" s="2">
        <v>2</v>
      </c>
      <c r="J205" s="2">
        <v>42.750000001499998</v>
      </c>
      <c r="K205" s="2">
        <v>79</v>
      </c>
      <c r="L205" s="55">
        <v>0</v>
      </c>
      <c r="M205" s="2">
        <v>118</v>
      </c>
      <c r="N205" s="2">
        <v>0</v>
      </c>
      <c r="O205" s="2">
        <v>140</v>
      </c>
      <c r="P205" s="156">
        <v>3438374</v>
      </c>
      <c r="Q205" s="2">
        <v>23</v>
      </c>
      <c r="R205" s="157">
        <v>-5.4862684000000052E-3</v>
      </c>
      <c r="S205" s="2">
        <v>132</v>
      </c>
      <c r="T205" s="158">
        <v>0.84499999999999997</v>
      </c>
      <c r="U205" s="2">
        <v>224</v>
      </c>
      <c r="V205" s="55">
        <v>4</v>
      </c>
      <c r="W205" s="2">
        <v>142</v>
      </c>
      <c r="X205" s="55">
        <v>198</v>
      </c>
      <c r="Y205" s="2">
        <v>36</v>
      </c>
      <c r="Z205" s="2">
        <v>7.5</v>
      </c>
      <c r="AA205" s="2">
        <v>273</v>
      </c>
      <c r="AB205" s="2">
        <v>43</v>
      </c>
      <c r="AC205" s="2">
        <v>43</v>
      </c>
      <c r="AD205" s="105">
        <v>83</v>
      </c>
      <c r="AE205" s="2">
        <v>52</v>
      </c>
      <c r="AF205" s="55">
        <v>12</v>
      </c>
      <c r="AG205" s="2">
        <v>94</v>
      </c>
      <c r="AH205" s="55">
        <v>159</v>
      </c>
      <c r="AI205" s="2">
        <v>109</v>
      </c>
      <c r="AJ205" s="55">
        <v>0.49314999999999998</v>
      </c>
      <c r="AK205" s="2">
        <v>144</v>
      </c>
      <c r="AL205" s="30">
        <v>42543</v>
      </c>
      <c r="AM205" s="2">
        <v>161</v>
      </c>
      <c r="AN205" s="2">
        <v>36.5</v>
      </c>
      <c r="AO205" s="2">
        <v>198</v>
      </c>
      <c r="AP205" s="2">
        <v>43</v>
      </c>
      <c r="AQ205" s="2">
        <v>43</v>
      </c>
      <c r="AR205" s="55">
        <v>12</v>
      </c>
      <c r="AS205" s="2">
        <v>94</v>
      </c>
      <c r="AT205" s="159">
        <v>-2.5157232704402519</v>
      </c>
      <c r="AU205" s="2">
        <v>237</v>
      </c>
      <c r="AV205" s="55">
        <v>1</v>
      </c>
      <c r="AW205" s="2">
        <v>1</v>
      </c>
      <c r="AX205" s="2" t="s">
        <v>615</v>
      </c>
      <c r="AY205" s="2">
        <v>999999</v>
      </c>
      <c r="AZ205" s="106">
        <v>0</v>
      </c>
      <c r="BA205" s="2">
        <v>14</v>
      </c>
      <c r="BB205" s="30">
        <v>43158</v>
      </c>
      <c r="BC205" s="2">
        <v>178</v>
      </c>
      <c r="BD205" s="160">
        <v>43558</v>
      </c>
      <c r="BE205" s="2">
        <v>58</v>
      </c>
      <c r="BF205" s="55">
        <v>1</v>
      </c>
      <c r="BG205" s="2">
        <v>1</v>
      </c>
      <c r="BH205" s="2">
        <v>6</v>
      </c>
      <c r="BI205" s="2">
        <v>24</v>
      </c>
      <c r="BJ205" s="2">
        <v>36.5</v>
      </c>
      <c r="BK205" s="2">
        <v>86</v>
      </c>
      <c r="BL205" s="161">
        <v>965565.8518518518</v>
      </c>
      <c r="BM205" s="2" t="str">
        <f t="shared" si="3"/>
        <v>104/283</v>
      </c>
      <c r="BN205" s="142"/>
    </row>
    <row r="206" spans="1:66" x14ac:dyDescent="0.25">
      <c r="A206" s="162">
        <v>540144</v>
      </c>
      <c r="B206" s="162" t="s">
        <v>60</v>
      </c>
      <c r="C206" s="162" t="s">
        <v>61</v>
      </c>
      <c r="D206" s="162" t="s">
        <v>617</v>
      </c>
      <c r="E206" s="162" t="s">
        <v>616</v>
      </c>
      <c r="F206" s="162" t="s">
        <v>613</v>
      </c>
      <c r="G206" s="162">
        <v>3</v>
      </c>
      <c r="H206" s="162">
        <v>0</v>
      </c>
      <c r="I206" s="162">
        <v>2</v>
      </c>
      <c r="J206" s="162">
        <v>45.4</v>
      </c>
      <c r="K206" s="162">
        <v>71</v>
      </c>
      <c r="L206" s="163">
        <v>11</v>
      </c>
      <c r="M206" s="162">
        <v>35</v>
      </c>
      <c r="N206" s="162">
        <v>0</v>
      </c>
      <c r="O206" s="162">
        <v>140</v>
      </c>
      <c r="P206" s="164">
        <v>2865903</v>
      </c>
      <c r="Q206" s="162">
        <v>28</v>
      </c>
      <c r="R206" s="165">
        <v>0.53839895999999998</v>
      </c>
      <c r="S206" s="162">
        <v>91</v>
      </c>
      <c r="T206" s="166">
        <v>0.85</v>
      </c>
      <c r="U206" s="162">
        <v>218</v>
      </c>
      <c r="V206" s="163">
        <v>33</v>
      </c>
      <c r="W206" s="162">
        <v>48</v>
      </c>
      <c r="X206" s="163">
        <v>199</v>
      </c>
      <c r="Y206" s="162">
        <v>35</v>
      </c>
      <c r="Z206" s="162">
        <v>8</v>
      </c>
      <c r="AA206" s="162">
        <v>243</v>
      </c>
      <c r="AB206" s="162">
        <v>35</v>
      </c>
      <c r="AC206" s="162">
        <v>51</v>
      </c>
      <c r="AD206" s="167">
        <v>124</v>
      </c>
      <c r="AE206" s="162">
        <v>35</v>
      </c>
      <c r="AF206" s="163">
        <v>86</v>
      </c>
      <c r="AG206" s="162">
        <v>17</v>
      </c>
      <c r="AH206" s="163">
        <v>1048</v>
      </c>
      <c r="AI206" s="162">
        <v>51</v>
      </c>
      <c r="AJ206" s="163">
        <v>0.27889999999999998</v>
      </c>
      <c r="AK206" s="162">
        <v>26</v>
      </c>
      <c r="AL206" s="168">
        <v>43248</v>
      </c>
      <c r="AM206" s="162">
        <v>1</v>
      </c>
      <c r="AN206" s="162">
        <v>10</v>
      </c>
      <c r="AO206" s="162">
        <v>103</v>
      </c>
      <c r="AP206" s="162">
        <v>35</v>
      </c>
      <c r="AQ206" s="162">
        <v>51</v>
      </c>
      <c r="AR206" s="163">
        <v>86</v>
      </c>
      <c r="AS206" s="162">
        <v>17</v>
      </c>
      <c r="AT206" s="169">
        <v>9.5419847328244267E-2</v>
      </c>
      <c r="AU206" s="162">
        <v>80</v>
      </c>
      <c r="AV206" s="163">
        <v>1</v>
      </c>
      <c r="AW206" s="162">
        <v>1</v>
      </c>
      <c r="AX206" s="162">
        <v>9</v>
      </c>
      <c r="AY206" s="162">
        <v>8</v>
      </c>
      <c r="AZ206" s="170">
        <v>1</v>
      </c>
      <c r="BA206" s="162">
        <v>1</v>
      </c>
      <c r="BB206" s="168">
        <v>43292</v>
      </c>
      <c r="BC206" s="162">
        <v>209</v>
      </c>
      <c r="BD206" s="171">
        <v>41806</v>
      </c>
      <c r="BE206" s="162">
        <v>1</v>
      </c>
      <c r="BF206" s="163">
        <v>1</v>
      </c>
      <c r="BG206" s="162">
        <v>1</v>
      </c>
      <c r="BH206" s="162">
        <v>2</v>
      </c>
      <c r="BI206" s="162">
        <v>68</v>
      </c>
      <c r="BJ206" s="162">
        <v>10</v>
      </c>
      <c r="BK206" s="162">
        <v>172</v>
      </c>
      <c r="BL206" s="161">
        <v>1735.2592592592596</v>
      </c>
      <c r="BM206" s="162" t="str">
        <f t="shared" si="3"/>
        <v>5/283</v>
      </c>
      <c r="BN206" s="142"/>
    </row>
    <row r="207" spans="1:66" x14ac:dyDescent="0.25">
      <c r="A207" s="2">
        <v>540005</v>
      </c>
      <c r="B207" s="2" t="s">
        <v>118</v>
      </c>
      <c r="C207" s="2" t="s">
        <v>61</v>
      </c>
      <c r="D207" s="2" t="s">
        <v>612</v>
      </c>
      <c r="E207" s="2" t="s">
        <v>616</v>
      </c>
      <c r="F207" s="2" t="s">
        <v>613</v>
      </c>
      <c r="G207" s="2">
        <v>3</v>
      </c>
      <c r="H207" s="2">
        <v>0</v>
      </c>
      <c r="I207" s="2">
        <v>2</v>
      </c>
      <c r="J207" s="2">
        <v>45.4</v>
      </c>
      <c r="K207" s="2">
        <v>71</v>
      </c>
      <c r="L207" s="55">
        <v>0</v>
      </c>
      <c r="M207" s="2">
        <v>118</v>
      </c>
      <c r="N207" s="2">
        <v>0</v>
      </c>
      <c r="O207" s="2">
        <v>140</v>
      </c>
      <c r="P207" s="156">
        <v>427930</v>
      </c>
      <c r="Q207" s="2">
        <v>105</v>
      </c>
      <c r="R207" s="157">
        <v>0.53839895999999998</v>
      </c>
      <c r="S207" s="2">
        <v>91</v>
      </c>
      <c r="T207" s="158">
        <v>0.85</v>
      </c>
      <c r="U207" s="2">
        <v>218</v>
      </c>
      <c r="V207" s="55">
        <v>11</v>
      </c>
      <c r="W207" s="2">
        <v>88</v>
      </c>
      <c r="X207" s="55">
        <v>26</v>
      </c>
      <c r="Y207" s="2">
        <v>134</v>
      </c>
      <c r="Z207" s="2">
        <v>8</v>
      </c>
      <c r="AA207" s="2">
        <v>243</v>
      </c>
      <c r="AB207" s="2">
        <v>5</v>
      </c>
      <c r="AC207" s="2">
        <v>129</v>
      </c>
      <c r="AD207" s="105">
        <v>21</v>
      </c>
      <c r="AE207" s="2">
        <v>115</v>
      </c>
      <c r="AF207" s="55">
        <v>9</v>
      </c>
      <c r="AG207" s="2">
        <v>112</v>
      </c>
      <c r="AH207" s="55">
        <v>91</v>
      </c>
      <c r="AI207" s="2">
        <v>125</v>
      </c>
      <c r="AJ207" s="55">
        <v>0.27889999999999998</v>
      </c>
      <c r="AK207" s="2">
        <v>26</v>
      </c>
      <c r="AL207" s="30">
        <v>43248</v>
      </c>
      <c r="AM207" s="2">
        <v>1</v>
      </c>
      <c r="AN207" s="2">
        <v>10</v>
      </c>
      <c r="AO207" s="2">
        <v>103</v>
      </c>
      <c r="AP207" s="2">
        <v>5</v>
      </c>
      <c r="AQ207" s="2">
        <v>129</v>
      </c>
      <c r="AR207" s="55">
        <v>9</v>
      </c>
      <c r="AS207" s="2">
        <v>112</v>
      </c>
      <c r="AT207" s="159">
        <v>-27.472527472527474</v>
      </c>
      <c r="AU207" s="2">
        <v>275</v>
      </c>
      <c r="AV207" s="55">
        <v>1</v>
      </c>
      <c r="AW207" s="2">
        <v>1</v>
      </c>
      <c r="AX207" s="2" t="s">
        <v>615</v>
      </c>
      <c r="AY207" s="2">
        <v>999999</v>
      </c>
      <c r="AZ207" s="106">
        <v>0</v>
      </c>
      <c r="BA207" s="2">
        <v>14</v>
      </c>
      <c r="BB207" s="30">
        <v>43292</v>
      </c>
      <c r="BC207" s="2">
        <v>209</v>
      </c>
      <c r="BD207" s="160">
        <v>41806</v>
      </c>
      <c r="BE207" s="2">
        <v>1</v>
      </c>
      <c r="BF207" s="55">
        <v>0</v>
      </c>
      <c r="BG207" s="2">
        <v>183</v>
      </c>
      <c r="BH207" s="2">
        <v>0</v>
      </c>
      <c r="BI207" s="2">
        <v>239</v>
      </c>
      <c r="BJ207" s="2">
        <v>10</v>
      </c>
      <c r="BK207" s="2">
        <v>172</v>
      </c>
      <c r="BL207" s="161">
        <v>965999.18518518517</v>
      </c>
      <c r="BM207" s="2" t="str">
        <f t="shared" si="3"/>
        <v>161/283</v>
      </c>
      <c r="BN207" s="142"/>
    </row>
    <row r="208" spans="1:66" x14ac:dyDescent="0.25">
      <c r="A208" s="2">
        <v>540252</v>
      </c>
      <c r="B208" s="2" t="s">
        <v>298</v>
      </c>
      <c r="C208" s="2" t="s">
        <v>61</v>
      </c>
      <c r="D208" s="2" t="s">
        <v>612</v>
      </c>
      <c r="E208" s="2" t="s">
        <v>616</v>
      </c>
      <c r="F208" s="2" t="s">
        <v>613</v>
      </c>
      <c r="G208" s="2">
        <v>3</v>
      </c>
      <c r="H208" s="2">
        <v>0</v>
      </c>
      <c r="I208" s="2">
        <v>2</v>
      </c>
      <c r="J208" s="2">
        <v>45.4</v>
      </c>
      <c r="K208" s="2">
        <v>71</v>
      </c>
      <c r="L208" s="55">
        <v>0</v>
      </c>
      <c r="M208" s="2">
        <v>118</v>
      </c>
      <c r="N208" s="2">
        <v>0</v>
      </c>
      <c r="O208" s="2">
        <v>140</v>
      </c>
      <c r="P208" s="156">
        <v>79551</v>
      </c>
      <c r="Q208" s="2">
        <v>173</v>
      </c>
      <c r="R208" s="157">
        <v>0.53839895999999998</v>
      </c>
      <c r="S208" s="2">
        <v>91</v>
      </c>
      <c r="T208" s="158">
        <v>0.85</v>
      </c>
      <c r="U208" s="2">
        <v>218</v>
      </c>
      <c r="V208" s="55">
        <v>7</v>
      </c>
      <c r="W208" s="2">
        <v>105</v>
      </c>
      <c r="X208" s="55">
        <v>6</v>
      </c>
      <c r="Y208" s="2">
        <v>197</v>
      </c>
      <c r="Z208" s="2">
        <v>8</v>
      </c>
      <c r="AA208" s="2">
        <v>243</v>
      </c>
      <c r="AB208" s="2">
        <v>3</v>
      </c>
      <c r="AC208" s="2">
        <v>149</v>
      </c>
      <c r="AD208" s="105">
        <v>5</v>
      </c>
      <c r="AE208" s="2">
        <v>194</v>
      </c>
      <c r="AF208" s="55">
        <v>0</v>
      </c>
      <c r="AG208" s="2">
        <v>184</v>
      </c>
      <c r="AH208" s="55">
        <v>0</v>
      </c>
      <c r="AI208" s="2">
        <v>135</v>
      </c>
      <c r="AJ208" s="55">
        <v>0.27889999999999998</v>
      </c>
      <c r="AK208" s="2">
        <v>26</v>
      </c>
      <c r="AL208" s="30">
        <v>43248</v>
      </c>
      <c r="AM208" s="2">
        <v>1</v>
      </c>
      <c r="AN208" s="2">
        <v>10</v>
      </c>
      <c r="AO208" s="2">
        <v>103</v>
      </c>
      <c r="AP208" s="2">
        <v>3</v>
      </c>
      <c r="AQ208" s="2">
        <v>149</v>
      </c>
      <c r="AR208" s="55">
        <v>0</v>
      </c>
      <c r="AS208" s="2">
        <v>184</v>
      </c>
      <c r="AT208" s="159">
        <v>0</v>
      </c>
      <c r="AU208" s="2">
        <v>81</v>
      </c>
      <c r="AV208" s="55">
        <v>1</v>
      </c>
      <c r="AW208" s="2">
        <v>1</v>
      </c>
      <c r="AX208" s="2" t="s">
        <v>615</v>
      </c>
      <c r="AY208" s="2">
        <v>999999</v>
      </c>
      <c r="AZ208" s="106">
        <v>0</v>
      </c>
      <c r="BA208" s="2">
        <v>14</v>
      </c>
      <c r="BB208" s="30">
        <v>43292</v>
      </c>
      <c r="BC208" s="2">
        <v>209</v>
      </c>
      <c r="BD208" s="160">
        <v>41806</v>
      </c>
      <c r="BE208" s="2">
        <v>1</v>
      </c>
      <c r="BF208" s="55">
        <v>1</v>
      </c>
      <c r="BG208" s="2">
        <v>1</v>
      </c>
      <c r="BH208" s="2">
        <v>0</v>
      </c>
      <c r="BI208" s="2">
        <v>239</v>
      </c>
      <c r="BJ208" s="2">
        <v>10</v>
      </c>
      <c r="BK208" s="2">
        <v>172</v>
      </c>
      <c r="BL208" s="161">
        <v>966042.51851851842</v>
      </c>
      <c r="BM208" s="2" t="str">
        <f t="shared" si="3"/>
        <v>169/283</v>
      </c>
      <c r="BN208" s="142"/>
    </row>
    <row r="209" spans="1:66" x14ac:dyDescent="0.25">
      <c r="A209" s="162">
        <v>540146</v>
      </c>
      <c r="B209" s="162" t="s">
        <v>62</v>
      </c>
      <c r="C209" s="162" t="s">
        <v>63</v>
      </c>
      <c r="D209" s="162" t="s">
        <v>617</v>
      </c>
      <c r="E209" s="162" t="s">
        <v>616</v>
      </c>
      <c r="F209" s="162" t="s">
        <v>613</v>
      </c>
      <c r="G209" s="162">
        <v>3</v>
      </c>
      <c r="H209" s="162">
        <v>0</v>
      </c>
      <c r="I209" s="162">
        <v>2</v>
      </c>
      <c r="J209" s="162">
        <v>1</v>
      </c>
      <c r="K209" s="162">
        <v>263</v>
      </c>
      <c r="L209" s="163">
        <v>0</v>
      </c>
      <c r="M209" s="162">
        <v>118</v>
      </c>
      <c r="N209" s="162">
        <v>0</v>
      </c>
      <c r="O209" s="162">
        <v>140</v>
      </c>
      <c r="P209" s="164">
        <v>1997231</v>
      </c>
      <c r="Q209" s="162">
        <v>48</v>
      </c>
      <c r="R209" s="165">
        <v>0.65404686099999998</v>
      </c>
      <c r="S209" s="162">
        <v>77</v>
      </c>
      <c r="T209" s="166">
        <v>0.83</v>
      </c>
      <c r="U209" s="162">
        <v>228</v>
      </c>
      <c r="V209" s="163">
        <v>33</v>
      </c>
      <c r="W209" s="162">
        <v>48</v>
      </c>
      <c r="X209" s="163">
        <v>64</v>
      </c>
      <c r="Y209" s="162">
        <v>83</v>
      </c>
      <c r="Z209" s="162">
        <v>13</v>
      </c>
      <c r="AA209" s="162">
        <v>78</v>
      </c>
      <c r="AB209" s="162">
        <v>31</v>
      </c>
      <c r="AC209" s="162">
        <v>58</v>
      </c>
      <c r="AD209" s="167">
        <v>92</v>
      </c>
      <c r="AE209" s="162">
        <v>48</v>
      </c>
      <c r="AF209" s="163">
        <v>6</v>
      </c>
      <c r="AG209" s="162">
        <v>124</v>
      </c>
      <c r="AH209" s="163">
        <v>1734</v>
      </c>
      <c r="AI209" s="162">
        <v>28</v>
      </c>
      <c r="AJ209" s="163">
        <v>0.44600000000000001</v>
      </c>
      <c r="AK209" s="162">
        <v>110</v>
      </c>
      <c r="AL209" s="168">
        <v>42543</v>
      </c>
      <c r="AM209" s="162">
        <v>161</v>
      </c>
      <c r="AN209" s="162">
        <v>14</v>
      </c>
      <c r="AO209" s="162">
        <v>131</v>
      </c>
      <c r="AP209" s="162">
        <v>31</v>
      </c>
      <c r="AQ209" s="162">
        <v>58</v>
      </c>
      <c r="AR209" s="163">
        <v>6</v>
      </c>
      <c r="AS209" s="162">
        <v>124</v>
      </c>
      <c r="AT209" s="169">
        <v>-2.0761245674740483</v>
      </c>
      <c r="AU209" s="162">
        <v>233</v>
      </c>
      <c r="AV209" s="163">
        <v>1</v>
      </c>
      <c r="AW209" s="162">
        <v>1</v>
      </c>
      <c r="AX209" s="162" t="s">
        <v>615</v>
      </c>
      <c r="AY209" s="162">
        <v>999999</v>
      </c>
      <c r="AZ209" s="170">
        <v>0</v>
      </c>
      <c r="BA209" s="162">
        <v>14</v>
      </c>
      <c r="BB209" s="168">
        <v>42921</v>
      </c>
      <c r="BC209" s="162">
        <v>121</v>
      </c>
      <c r="BD209" s="171">
        <v>43258</v>
      </c>
      <c r="BE209" s="162">
        <v>41</v>
      </c>
      <c r="BF209" s="163">
        <v>1</v>
      </c>
      <c r="BG209" s="162">
        <v>1</v>
      </c>
      <c r="BH209" s="162">
        <v>5</v>
      </c>
      <c r="BI209" s="162">
        <v>26</v>
      </c>
      <c r="BJ209" s="162">
        <v>14</v>
      </c>
      <c r="BK209" s="162">
        <v>151</v>
      </c>
      <c r="BL209" s="161">
        <v>965381.92592592596</v>
      </c>
      <c r="BM209" s="162" t="str">
        <f t="shared" si="3"/>
        <v>86/283</v>
      </c>
      <c r="BN209" s="142"/>
    </row>
    <row r="210" spans="1:66" x14ac:dyDescent="0.25">
      <c r="A210" s="2">
        <v>540148</v>
      </c>
      <c r="B210" s="2" t="s">
        <v>226</v>
      </c>
      <c r="C210" s="2" t="s">
        <v>63</v>
      </c>
      <c r="D210" s="2" t="s">
        <v>612</v>
      </c>
      <c r="E210" s="2" t="s">
        <v>616</v>
      </c>
      <c r="F210" s="2" t="s">
        <v>613</v>
      </c>
      <c r="G210" s="2">
        <v>3</v>
      </c>
      <c r="H210" s="2">
        <v>0</v>
      </c>
      <c r="I210" s="2">
        <v>2</v>
      </c>
      <c r="J210" s="2">
        <v>1</v>
      </c>
      <c r="K210" s="2">
        <v>263</v>
      </c>
      <c r="L210" s="55">
        <v>2</v>
      </c>
      <c r="M210" s="2">
        <v>84</v>
      </c>
      <c r="N210" s="2">
        <v>0</v>
      </c>
      <c r="O210" s="2">
        <v>140</v>
      </c>
      <c r="P210" s="156">
        <v>43540</v>
      </c>
      <c r="Q210" s="2">
        <v>192</v>
      </c>
      <c r="R210" s="157">
        <v>0.65404686099999998</v>
      </c>
      <c r="S210" s="2">
        <v>77</v>
      </c>
      <c r="T210" s="158">
        <v>0.83</v>
      </c>
      <c r="U210" s="2">
        <v>228</v>
      </c>
      <c r="V210" s="55">
        <v>8</v>
      </c>
      <c r="W210" s="2">
        <v>101</v>
      </c>
      <c r="X210" s="55">
        <v>5</v>
      </c>
      <c r="Y210" s="2">
        <v>204</v>
      </c>
      <c r="Z210" s="2">
        <v>13</v>
      </c>
      <c r="AA210" s="2">
        <v>78</v>
      </c>
      <c r="AB210" s="2">
        <v>0</v>
      </c>
      <c r="AC210" s="2">
        <v>222</v>
      </c>
      <c r="AD210" s="105">
        <v>6</v>
      </c>
      <c r="AE210" s="2">
        <v>184</v>
      </c>
      <c r="AF210" s="55">
        <v>2</v>
      </c>
      <c r="AG210" s="2">
        <v>164</v>
      </c>
      <c r="AH210" s="55">
        <v>84</v>
      </c>
      <c r="AI210" s="2">
        <v>127</v>
      </c>
      <c r="AJ210" s="55">
        <v>0.44600000000000001</v>
      </c>
      <c r="AK210" s="2">
        <v>110</v>
      </c>
      <c r="AL210" s="30">
        <v>42543</v>
      </c>
      <c r="AM210" s="2">
        <v>161</v>
      </c>
      <c r="AN210" s="2">
        <v>14</v>
      </c>
      <c r="AO210" s="2">
        <v>131</v>
      </c>
      <c r="AP210" s="2">
        <v>0</v>
      </c>
      <c r="AQ210" s="2">
        <v>222</v>
      </c>
      <c r="AR210" s="55">
        <v>2</v>
      </c>
      <c r="AS210" s="2">
        <v>164</v>
      </c>
      <c r="AT210" s="159">
        <v>3.5714285714285712</v>
      </c>
      <c r="AU210" s="2">
        <v>58</v>
      </c>
      <c r="AV210" s="55">
        <v>1</v>
      </c>
      <c r="AW210" s="2">
        <v>1</v>
      </c>
      <c r="AX210" s="2" t="s">
        <v>615</v>
      </c>
      <c r="AY210" s="2">
        <v>999999</v>
      </c>
      <c r="AZ210" s="106">
        <v>0</v>
      </c>
      <c r="BA210" s="2">
        <v>14</v>
      </c>
      <c r="BB210" s="30">
        <v>42592</v>
      </c>
      <c r="BC210" s="2">
        <v>112</v>
      </c>
      <c r="BD210" s="160">
        <v>43258</v>
      </c>
      <c r="BE210" s="2">
        <v>41</v>
      </c>
      <c r="BF210" s="55">
        <v>1</v>
      </c>
      <c r="BG210" s="2">
        <v>1</v>
      </c>
      <c r="BH210" s="2">
        <v>10</v>
      </c>
      <c r="BI210" s="2">
        <v>10</v>
      </c>
      <c r="BJ210" s="2">
        <v>14</v>
      </c>
      <c r="BK210" s="2">
        <v>151</v>
      </c>
      <c r="BL210" s="161">
        <v>966082</v>
      </c>
      <c r="BM210" s="2" t="str">
        <f t="shared" si="3"/>
        <v>178/283</v>
      </c>
      <c r="BN210" s="142"/>
    </row>
    <row r="211" spans="1:66" x14ac:dyDescent="0.25">
      <c r="A211" s="162">
        <v>540149</v>
      </c>
      <c r="B211" s="162" t="s">
        <v>64</v>
      </c>
      <c r="C211" s="162" t="s">
        <v>65</v>
      </c>
      <c r="D211" s="162" t="s">
        <v>617</v>
      </c>
      <c r="E211" s="162" t="s">
        <v>616</v>
      </c>
      <c r="F211" s="162" t="s">
        <v>613</v>
      </c>
      <c r="G211" s="162">
        <v>3</v>
      </c>
      <c r="H211" s="162">
        <v>0</v>
      </c>
      <c r="I211" s="162">
        <v>2</v>
      </c>
      <c r="J211" s="162">
        <v>23.8</v>
      </c>
      <c r="K211" s="162">
        <v>104</v>
      </c>
      <c r="L211" s="163">
        <v>2</v>
      </c>
      <c r="M211" s="162">
        <v>84</v>
      </c>
      <c r="N211" s="162">
        <v>0</v>
      </c>
      <c r="O211" s="162">
        <v>140</v>
      </c>
      <c r="P211" s="164">
        <v>520153</v>
      </c>
      <c r="Q211" s="162">
        <v>98</v>
      </c>
      <c r="R211" s="165">
        <v>-0.87273096100000003</v>
      </c>
      <c r="S211" s="162">
        <v>260</v>
      </c>
      <c r="T211" s="166">
        <v>0.81</v>
      </c>
      <c r="U211" s="162">
        <v>251</v>
      </c>
      <c r="V211" s="163">
        <v>24</v>
      </c>
      <c r="W211" s="162">
        <v>60</v>
      </c>
      <c r="X211" s="163">
        <v>80</v>
      </c>
      <c r="Y211" s="162">
        <v>73</v>
      </c>
      <c r="Z211" s="162">
        <v>10</v>
      </c>
      <c r="AA211" s="162">
        <v>216</v>
      </c>
      <c r="AB211" s="162">
        <v>16</v>
      </c>
      <c r="AC211" s="162">
        <v>85</v>
      </c>
      <c r="AD211" s="167">
        <v>37</v>
      </c>
      <c r="AE211" s="162">
        <v>90</v>
      </c>
      <c r="AF211" s="163">
        <v>16</v>
      </c>
      <c r="AG211" s="162">
        <v>78</v>
      </c>
      <c r="AH211" s="163">
        <v>1727</v>
      </c>
      <c r="AI211" s="162">
        <v>29</v>
      </c>
      <c r="AJ211" s="163">
        <v>0.37380000000000002</v>
      </c>
      <c r="AK211" s="162">
        <v>76</v>
      </c>
      <c r="AL211" s="168">
        <v>43145</v>
      </c>
      <c r="AM211" s="162">
        <v>26</v>
      </c>
      <c r="AN211" s="162">
        <v>6</v>
      </c>
      <c r="AO211" s="162">
        <v>81</v>
      </c>
      <c r="AP211" s="162">
        <v>16</v>
      </c>
      <c r="AQ211" s="162">
        <v>85</v>
      </c>
      <c r="AR211" s="163">
        <v>16</v>
      </c>
      <c r="AS211" s="162">
        <v>78</v>
      </c>
      <c r="AT211" s="169">
        <v>9.2067168500289522</v>
      </c>
      <c r="AU211" s="162">
        <v>33</v>
      </c>
      <c r="AV211" s="163">
        <v>1</v>
      </c>
      <c r="AW211" s="162">
        <v>1</v>
      </c>
      <c r="AX211" s="162" t="s">
        <v>615</v>
      </c>
      <c r="AY211" s="162">
        <v>999999</v>
      </c>
      <c r="AZ211" s="170">
        <v>0</v>
      </c>
      <c r="BA211" s="162">
        <v>14</v>
      </c>
      <c r="BB211" s="168">
        <v>43509</v>
      </c>
      <c r="BC211" s="162">
        <v>255</v>
      </c>
      <c r="BD211" s="171">
        <v>43530</v>
      </c>
      <c r="BE211" s="162">
        <v>51</v>
      </c>
      <c r="BF211" s="163">
        <v>1</v>
      </c>
      <c r="BG211" s="162">
        <v>1</v>
      </c>
      <c r="BH211" s="162">
        <v>3</v>
      </c>
      <c r="BI211" s="162">
        <v>46</v>
      </c>
      <c r="BJ211" s="162">
        <v>6</v>
      </c>
      <c r="BK211" s="162">
        <v>191</v>
      </c>
      <c r="BL211" s="161">
        <v>965375.18518518505</v>
      </c>
      <c r="BM211" s="162" t="str">
        <f t="shared" si="3"/>
        <v>84/283</v>
      </c>
      <c r="BN211" s="142"/>
    </row>
    <row r="212" spans="1:66" x14ac:dyDescent="0.25">
      <c r="A212" s="2">
        <v>540150</v>
      </c>
      <c r="B212" s="2" t="s">
        <v>227</v>
      </c>
      <c r="C212" s="2" t="s">
        <v>65</v>
      </c>
      <c r="D212" s="2" t="s">
        <v>612</v>
      </c>
      <c r="E212" s="2" t="s">
        <v>616</v>
      </c>
      <c r="F212" s="2" t="s">
        <v>613</v>
      </c>
      <c r="G212" s="2">
        <v>3</v>
      </c>
      <c r="H212" s="2">
        <v>0</v>
      </c>
      <c r="I212" s="2">
        <v>2</v>
      </c>
      <c r="J212" s="2">
        <v>23.8</v>
      </c>
      <c r="K212" s="2">
        <v>104</v>
      </c>
      <c r="L212" s="55">
        <v>2</v>
      </c>
      <c r="M212" s="2">
        <v>84</v>
      </c>
      <c r="N212" s="2">
        <v>0</v>
      </c>
      <c r="O212" s="2">
        <v>140</v>
      </c>
      <c r="P212" s="156">
        <v>684113</v>
      </c>
      <c r="Q212" s="2">
        <v>85</v>
      </c>
      <c r="R212" s="157">
        <v>-0.87273096100000003</v>
      </c>
      <c r="S212" s="2">
        <v>260</v>
      </c>
      <c r="T212" s="158">
        <v>0.81</v>
      </c>
      <c r="U212" s="2">
        <v>251</v>
      </c>
      <c r="V212" s="55">
        <v>5</v>
      </c>
      <c r="W212" s="2">
        <v>121</v>
      </c>
      <c r="X212" s="55">
        <v>67</v>
      </c>
      <c r="Y212" s="2">
        <v>82</v>
      </c>
      <c r="Z212" s="2">
        <v>10</v>
      </c>
      <c r="AA212" s="2">
        <v>216</v>
      </c>
      <c r="AB212" s="2">
        <v>20</v>
      </c>
      <c r="AC212" s="2">
        <v>76</v>
      </c>
      <c r="AD212" s="105">
        <v>34</v>
      </c>
      <c r="AE212" s="2">
        <v>93</v>
      </c>
      <c r="AF212" s="55">
        <v>4</v>
      </c>
      <c r="AG212" s="2">
        <v>142</v>
      </c>
      <c r="AH212" s="55">
        <v>0</v>
      </c>
      <c r="AI212" s="2">
        <v>135</v>
      </c>
      <c r="AJ212" s="55">
        <v>0.37380000000000002</v>
      </c>
      <c r="AK212" s="2">
        <v>76</v>
      </c>
      <c r="AL212" s="30">
        <v>43145</v>
      </c>
      <c r="AM212" s="2">
        <v>26</v>
      </c>
      <c r="AN212" s="2">
        <v>6</v>
      </c>
      <c r="AO212" s="2">
        <v>81</v>
      </c>
      <c r="AP212" s="2">
        <v>20</v>
      </c>
      <c r="AQ212" s="2">
        <v>76</v>
      </c>
      <c r="AR212" s="55">
        <v>4</v>
      </c>
      <c r="AS212" s="2">
        <v>142</v>
      </c>
      <c r="AT212" s="159">
        <v>0</v>
      </c>
      <c r="AU212" s="2">
        <v>81</v>
      </c>
      <c r="AV212" s="55">
        <v>0</v>
      </c>
      <c r="AW212" s="2">
        <v>194</v>
      </c>
      <c r="AX212" s="2" t="s">
        <v>615</v>
      </c>
      <c r="AY212" s="2">
        <v>999999</v>
      </c>
      <c r="AZ212" s="106">
        <v>0</v>
      </c>
      <c r="BA212" s="2">
        <v>14</v>
      </c>
      <c r="BB212" s="30">
        <v>43480</v>
      </c>
      <c r="BC212" s="2">
        <v>252</v>
      </c>
      <c r="BD212" s="160">
        <v>43530</v>
      </c>
      <c r="BE212" s="2">
        <v>51</v>
      </c>
      <c r="BF212" s="55">
        <v>0</v>
      </c>
      <c r="BG212" s="2">
        <v>183</v>
      </c>
      <c r="BH212" s="2">
        <v>3</v>
      </c>
      <c r="BI212" s="2">
        <v>46</v>
      </c>
      <c r="BJ212" s="2">
        <v>6</v>
      </c>
      <c r="BK212" s="2">
        <v>191</v>
      </c>
      <c r="BL212" s="161">
        <v>966045.40740740742</v>
      </c>
      <c r="BM212" s="2" t="str">
        <f t="shared" si="3"/>
        <v>170/283</v>
      </c>
      <c r="BN212" s="142"/>
    </row>
    <row r="213" spans="1:66" x14ac:dyDescent="0.25">
      <c r="A213" s="2">
        <v>540151</v>
      </c>
      <c r="B213" s="2" t="s">
        <v>228</v>
      </c>
      <c r="C213" s="2" t="s">
        <v>65</v>
      </c>
      <c r="D213" s="2" t="s">
        <v>612</v>
      </c>
      <c r="E213" s="2" t="s">
        <v>616</v>
      </c>
      <c r="F213" s="2" t="s">
        <v>613</v>
      </c>
      <c r="G213" s="2">
        <v>3</v>
      </c>
      <c r="H213" s="2">
        <v>0</v>
      </c>
      <c r="I213" s="2">
        <v>2</v>
      </c>
      <c r="J213" s="2">
        <v>23.8</v>
      </c>
      <c r="K213" s="2">
        <v>104</v>
      </c>
      <c r="L213" s="55">
        <v>0</v>
      </c>
      <c r="M213" s="2">
        <v>118</v>
      </c>
      <c r="N213" s="2">
        <v>0</v>
      </c>
      <c r="O213" s="2">
        <v>140</v>
      </c>
      <c r="P213" s="156">
        <v>20980</v>
      </c>
      <c r="Q213" s="2">
        <v>211</v>
      </c>
      <c r="R213" s="157">
        <v>-0.87273096100000003</v>
      </c>
      <c r="S213" s="2">
        <v>260</v>
      </c>
      <c r="T213" s="158">
        <v>0.81</v>
      </c>
      <c r="U213" s="2">
        <v>251</v>
      </c>
      <c r="V213" s="55">
        <v>5</v>
      </c>
      <c r="W213" s="2">
        <v>121</v>
      </c>
      <c r="X213" s="55">
        <v>6</v>
      </c>
      <c r="Y213" s="2">
        <v>197</v>
      </c>
      <c r="Z213" s="2">
        <v>10</v>
      </c>
      <c r="AA213" s="2">
        <v>216</v>
      </c>
      <c r="AB213" s="2">
        <v>9</v>
      </c>
      <c r="AC213" s="2">
        <v>105</v>
      </c>
      <c r="AD213" s="105">
        <v>11</v>
      </c>
      <c r="AE213" s="2">
        <v>147</v>
      </c>
      <c r="AF213" s="55">
        <v>0</v>
      </c>
      <c r="AG213" s="2">
        <v>184</v>
      </c>
      <c r="AH213" s="55">
        <v>0</v>
      </c>
      <c r="AI213" s="2">
        <v>135</v>
      </c>
      <c r="AJ213" s="55">
        <v>0.37380000000000002</v>
      </c>
      <c r="AK213" s="2">
        <v>76</v>
      </c>
      <c r="AL213" s="30">
        <v>43145</v>
      </c>
      <c r="AM213" s="2">
        <v>26</v>
      </c>
      <c r="AN213" s="2">
        <v>6</v>
      </c>
      <c r="AO213" s="2">
        <v>81</v>
      </c>
      <c r="AP213" s="2">
        <v>9</v>
      </c>
      <c r="AQ213" s="2">
        <v>105</v>
      </c>
      <c r="AR213" s="55">
        <v>0</v>
      </c>
      <c r="AS213" s="2">
        <v>184</v>
      </c>
      <c r="AT213" s="159">
        <v>0</v>
      </c>
      <c r="AU213" s="2">
        <v>81</v>
      </c>
      <c r="AV213" s="55">
        <v>0</v>
      </c>
      <c r="AW213" s="2">
        <v>194</v>
      </c>
      <c r="AX213" s="2" t="s">
        <v>615</v>
      </c>
      <c r="AY213" s="2">
        <v>999999</v>
      </c>
      <c r="AZ213" s="106">
        <v>0</v>
      </c>
      <c r="BA213" s="2">
        <v>14</v>
      </c>
      <c r="BB213" s="30">
        <v>30323</v>
      </c>
      <c r="BC213" s="2">
        <v>2</v>
      </c>
      <c r="BD213" s="160">
        <v>41806</v>
      </c>
      <c r="BE213" s="2">
        <v>1</v>
      </c>
      <c r="BF213" s="55">
        <v>0</v>
      </c>
      <c r="BG213" s="2">
        <v>183</v>
      </c>
      <c r="BH213" s="2">
        <v>2</v>
      </c>
      <c r="BI213" s="2">
        <v>68</v>
      </c>
      <c r="BJ213" s="2">
        <v>6</v>
      </c>
      <c r="BK213" s="2">
        <v>191</v>
      </c>
      <c r="BL213" s="161">
        <v>966231.25925925921</v>
      </c>
      <c r="BM213" s="2" t="str">
        <f t="shared" si="3"/>
        <v>206/283</v>
      </c>
      <c r="BN213" s="142"/>
    </row>
    <row r="214" spans="1:66" x14ac:dyDescent="0.25">
      <c r="A214" s="2">
        <v>540152</v>
      </c>
      <c r="B214" s="2" t="s">
        <v>229</v>
      </c>
      <c r="C214" s="2" t="s">
        <v>65</v>
      </c>
      <c r="D214" s="2" t="s">
        <v>612</v>
      </c>
      <c r="E214" s="2" t="s">
        <v>616</v>
      </c>
      <c r="F214" s="2" t="s">
        <v>613</v>
      </c>
      <c r="G214" s="2">
        <v>3</v>
      </c>
      <c r="H214" s="2">
        <v>0</v>
      </c>
      <c r="I214" s="2">
        <v>2</v>
      </c>
      <c r="J214" s="2">
        <v>23.8</v>
      </c>
      <c r="K214" s="2">
        <v>104</v>
      </c>
      <c r="L214" s="55">
        <v>81</v>
      </c>
      <c r="M214" s="2">
        <v>3</v>
      </c>
      <c r="N214" s="2">
        <v>0</v>
      </c>
      <c r="O214" s="2">
        <v>140</v>
      </c>
      <c r="P214" s="156">
        <v>27623579</v>
      </c>
      <c r="Q214" s="2">
        <v>2</v>
      </c>
      <c r="R214" s="157">
        <v>-0.87273096100000003</v>
      </c>
      <c r="S214" s="2">
        <v>260</v>
      </c>
      <c r="T214" s="158">
        <v>0.81</v>
      </c>
      <c r="U214" s="2">
        <v>251</v>
      </c>
      <c r="V214" s="55">
        <v>37</v>
      </c>
      <c r="W214" s="2">
        <v>44</v>
      </c>
      <c r="X214" s="55">
        <v>2852</v>
      </c>
      <c r="Y214" s="2">
        <v>1</v>
      </c>
      <c r="Z214" s="2">
        <v>10</v>
      </c>
      <c r="AA214" s="2">
        <v>216</v>
      </c>
      <c r="AB214" s="2">
        <v>439</v>
      </c>
      <c r="AC214" s="2">
        <v>2</v>
      </c>
      <c r="AD214" s="105">
        <v>595</v>
      </c>
      <c r="AE214" s="2">
        <v>2</v>
      </c>
      <c r="AF214" s="55">
        <v>1262</v>
      </c>
      <c r="AG214" s="2">
        <v>1</v>
      </c>
      <c r="AH214" s="55">
        <v>2321</v>
      </c>
      <c r="AI214" s="2">
        <v>19</v>
      </c>
      <c r="AJ214" s="55">
        <v>0.37380000000000002</v>
      </c>
      <c r="AK214" s="2">
        <v>76</v>
      </c>
      <c r="AL214" s="30">
        <v>43145</v>
      </c>
      <c r="AM214" s="2">
        <v>26</v>
      </c>
      <c r="AN214" s="2">
        <v>6</v>
      </c>
      <c r="AO214" s="2">
        <v>81</v>
      </c>
      <c r="AP214" s="2">
        <v>439</v>
      </c>
      <c r="AQ214" s="2">
        <v>2</v>
      </c>
      <c r="AR214" s="55">
        <v>1262</v>
      </c>
      <c r="AS214" s="2">
        <v>1</v>
      </c>
      <c r="AT214" s="159">
        <v>14.045669969840585</v>
      </c>
      <c r="AU214" s="2">
        <v>14</v>
      </c>
      <c r="AV214" s="55">
        <v>1</v>
      </c>
      <c r="AW214" s="2">
        <v>1</v>
      </c>
      <c r="AX214" s="2" t="s">
        <v>615</v>
      </c>
      <c r="AY214" s="2">
        <v>999999</v>
      </c>
      <c r="AZ214" s="106">
        <v>0</v>
      </c>
      <c r="BA214" s="2">
        <v>14</v>
      </c>
      <c r="BB214" s="30">
        <v>43480</v>
      </c>
      <c r="BC214" s="2">
        <v>252</v>
      </c>
      <c r="BD214" s="160">
        <v>43516</v>
      </c>
      <c r="BE214" s="2">
        <v>46</v>
      </c>
      <c r="BF214" s="55">
        <v>0</v>
      </c>
      <c r="BG214" s="2">
        <v>183</v>
      </c>
      <c r="BH214" s="2">
        <v>5</v>
      </c>
      <c r="BI214" s="2">
        <v>26</v>
      </c>
      <c r="BJ214" s="2">
        <v>6</v>
      </c>
      <c r="BK214" s="2">
        <v>191</v>
      </c>
      <c r="BL214" s="161">
        <v>964847.48148148146</v>
      </c>
      <c r="BM214" s="2" t="str">
        <f t="shared" si="3"/>
        <v>29/283</v>
      </c>
      <c r="BN214" s="142"/>
    </row>
    <row r="215" spans="1:66" x14ac:dyDescent="0.25">
      <c r="A215" s="162">
        <v>540153</v>
      </c>
      <c r="B215" s="162" t="s">
        <v>66</v>
      </c>
      <c r="C215" s="162" t="s">
        <v>67</v>
      </c>
      <c r="D215" s="162" t="s">
        <v>617</v>
      </c>
      <c r="E215" s="162" t="s">
        <v>616</v>
      </c>
      <c r="F215" s="162" t="s">
        <v>613</v>
      </c>
      <c r="G215" s="162">
        <v>3</v>
      </c>
      <c r="H215" s="162">
        <v>0</v>
      </c>
      <c r="I215" s="162">
        <v>2</v>
      </c>
      <c r="J215" s="162">
        <v>18.8</v>
      </c>
      <c r="K215" s="162">
        <v>121</v>
      </c>
      <c r="L215" s="163">
        <v>6</v>
      </c>
      <c r="M215" s="162">
        <v>56</v>
      </c>
      <c r="N215" s="162">
        <v>0</v>
      </c>
      <c r="O215" s="162">
        <v>140</v>
      </c>
      <c r="P215" s="164">
        <v>360322</v>
      </c>
      <c r="Q215" s="162">
        <v>112</v>
      </c>
      <c r="R215" s="165">
        <v>-6.194181E-3</v>
      </c>
      <c r="S215" s="162">
        <v>133</v>
      </c>
      <c r="T215" s="166">
        <v>0.92</v>
      </c>
      <c r="U215" s="162">
        <v>67</v>
      </c>
      <c r="V215" s="163">
        <v>21</v>
      </c>
      <c r="W215" s="162">
        <v>66</v>
      </c>
      <c r="X215" s="163">
        <v>68</v>
      </c>
      <c r="Y215" s="162">
        <v>81</v>
      </c>
      <c r="Z215" s="162">
        <v>11</v>
      </c>
      <c r="AA215" s="162">
        <v>155</v>
      </c>
      <c r="AB215" s="162">
        <v>26</v>
      </c>
      <c r="AC215" s="162">
        <v>65</v>
      </c>
      <c r="AD215" s="167">
        <v>87</v>
      </c>
      <c r="AE215" s="162">
        <v>50</v>
      </c>
      <c r="AF215" s="163">
        <v>15</v>
      </c>
      <c r="AG215" s="162">
        <v>81</v>
      </c>
      <c r="AH215" s="163">
        <v>957</v>
      </c>
      <c r="AI215" s="162">
        <v>56</v>
      </c>
      <c r="AJ215" s="163">
        <v>0.34449999999999997</v>
      </c>
      <c r="AK215" s="162">
        <v>47</v>
      </c>
      <c r="AL215" s="168">
        <v>43248</v>
      </c>
      <c r="AM215" s="162">
        <v>1</v>
      </c>
      <c r="AN215" s="162">
        <v>0</v>
      </c>
      <c r="AO215" s="162">
        <v>1</v>
      </c>
      <c r="AP215" s="162">
        <v>26</v>
      </c>
      <c r="AQ215" s="162">
        <v>65</v>
      </c>
      <c r="AR215" s="163">
        <v>15</v>
      </c>
      <c r="AS215" s="162">
        <v>81</v>
      </c>
      <c r="AT215" s="169">
        <v>8.0459770114942533</v>
      </c>
      <c r="AU215" s="162">
        <v>39</v>
      </c>
      <c r="AV215" s="163">
        <v>1</v>
      </c>
      <c r="AW215" s="162">
        <v>1</v>
      </c>
      <c r="AX215" s="162" t="s">
        <v>615</v>
      </c>
      <c r="AY215" s="162">
        <v>999999</v>
      </c>
      <c r="AZ215" s="170">
        <v>0</v>
      </c>
      <c r="BA215" s="162">
        <v>14</v>
      </c>
      <c r="BB215" s="168">
        <v>43319</v>
      </c>
      <c r="BC215" s="162">
        <v>220</v>
      </c>
      <c r="BD215" s="171">
        <v>43516</v>
      </c>
      <c r="BE215" s="162">
        <v>46</v>
      </c>
      <c r="BF215" s="163">
        <v>0</v>
      </c>
      <c r="BG215" s="162">
        <v>183</v>
      </c>
      <c r="BH215" s="162">
        <v>0</v>
      </c>
      <c r="BI215" s="162">
        <v>239</v>
      </c>
      <c r="BJ215" s="162">
        <v>0</v>
      </c>
      <c r="BK215" s="162">
        <v>249</v>
      </c>
      <c r="BL215" s="161">
        <v>965243.25925925921</v>
      </c>
      <c r="BM215" s="162" t="str">
        <f t="shared" si="3"/>
        <v>65/283</v>
      </c>
      <c r="BN215" s="142"/>
    </row>
    <row r="216" spans="1:66" x14ac:dyDescent="0.25">
      <c r="A216" s="2">
        <v>540154</v>
      </c>
      <c r="B216" s="2" t="s">
        <v>230</v>
      </c>
      <c r="C216" s="2" t="s">
        <v>67</v>
      </c>
      <c r="D216" s="2" t="s">
        <v>612</v>
      </c>
      <c r="E216" s="2" t="s">
        <v>616</v>
      </c>
      <c r="F216" s="2" t="s">
        <v>613</v>
      </c>
      <c r="G216" s="2">
        <v>3</v>
      </c>
      <c r="H216" s="2">
        <v>0</v>
      </c>
      <c r="I216" s="2">
        <v>2</v>
      </c>
      <c r="J216" s="2">
        <v>18.8</v>
      </c>
      <c r="K216" s="2">
        <v>121</v>
      </c>
      <c r="L216" s="55">
        <v>0</v>
      </c>
      <c r="M216" s="2">
        <v>118</v>
      </c>
      <c r="N216" s="2">
        <v>0</v>
      </c>
      <c r="O216" s="2">
        <v>140</v>
      </c>
      <c r="P216" s="156">
        <v>44470</v>
      </c>
      <c r="Q216" s="2">
        <v>191</v>
      </c>
      <c r="R216" s="157">
        <v>-6.194181E-3</v>
      </c>
      <c r="S216" s="2">
        <v>133</v>
      </c>
      <c r="T216" s="158">
        <v>0.92</v>
      </c>
      <c r="U216" s="2">
        <v>67</v>
      </c>
      <c r="V216" s="55">
        <v>3</v>
      </c>
      <c r="W216" s="2">
        <v>153</v>
      </c>
      <c r="X216" s="55">
        <v>6</v>
      </c>
      <c r="Y216" s="2">
        <v>197</v>
      </c>
      <c r="Z216" s="2">
        <v>11</v>
      </c>
      <c r="AA216" s="2">
        <v>155</v>
      </c>
      <c r="AB216" s="2">
        <v>1</v>
      </c>
      <c r="AC216" s="2">
        <v>186</v>
      </c>
      <c r="AD216" s="105">
        <v>11</v>
      </c>
      <c r="AE216" s="2">
        <v>147</v>
      </c>
      <c r="AF216" s="55">
        <v>0</v>
      </c>
      <c r="AG216" s="2">
        <v>184</v>
      </c>
      <c r="AH216" s="55">
        <v>0</v>
      </c>
      <c r="AI216" s="2">
        <v>135</v>
      </c>
      <c r="AJ216" s="55">
        <v>0.34449999999999997</v>
      </c>
      <c r="AK216" s="2">
        <v>47</v>
      </c>
      <c r="AL216" s="30">
        <v>43248</v>
      </c>
      <c r="AM216" s="2">
        <v>1</v>
      </c>
      <c r="AN216" s="2">
        <v>0</v>
      </c>
      <c r="AO216" s="2">
        <v>1</v>
      </c>
      <c r="AP216" s="2">
        <v>1</v>
      </c>
      <c r="AQ216" s="2">
        <v>186</v>
      </c>
      <c r="AR216" s="55">
        <v>0</v>
      </c>
      <c r="AS216" s="2">
        <v>184</v>
      </c>
      <c r="AT216" s="159">
        <v>0</v>
      </c>
      <c r="AU216" s="2">
        <v>81</v>
      </c>
      <c r="AV216" s="55">
        <v>1</v>
      </c>
      <c r="AW216" s="2">
        <v>1</v>
      </c>
      <c r="AX216" s="2" t="s">
        <v>615</v>
      </c>
      <c r="AY216" s="2">
        <v>999999</v>
      </c>
      <c r="AZ216" s="106">
        <v>0</v>
      </c>
      <c r="BA216" s="2">
        <v>14</v>
      </c>
      <c r="BB216" s="30">
        <v>43319</v>
      </c>
      <c r="BC216" s="2">
        <v>220</v>
      </c>
      <c r="BD216" s="160">
        <v>41806</v>
      </c>
      <c r="BE216" s="2">
        <v>1</v>
      </c>
      <c r="BF216" s="55">
        <v>0</v>
      </c>
      <c r="BG216" s="2">
        <v>183</v>
      </c>
      <c r="BH216" s="2">
        <v>0</v>
      </c>
      <c r="BI216" s="2">
        <v>239</v>
      </c>
      <c r="BJ216" s="2">
        <v>0</v>
      </c>
      <c r="BK216" s="2">
        <v>249</v>
      </c>
      <c r="BL216" s="161">
        <v>966172.51851851842</v>
      </c>
      <c r="BM216" s="2" t="str">
        <f t="shared" si="3"/>
        <v>191/283</v>
      </c>
      <c r="BN216" s="142"/>
    </row>
    <row r="217" spans="1:66" x14ac:dyDescent="0.25">
      <c r="A217" s="2">
        <v>540156</v>
      </c>
      <c r="B217" s="2" t="s">
        <v>232</v>
      </c>
      <c r="C217" s="2" t="s">
        <v>99</v>
      </c>
      <c r="D217" s="2" t="s">
        <v>612</v>
      </c>
      <c r="E217" s="2" t="s">
        <v>616</v>
      </c>
      <c r="F217" s="2" t="s">
        <v>613</v>
      </c>
      <c r="G217" s="2">
        <v>3</v>
      </c>
      <c r="H217" s="2">
        <v>0</v>
      </c>
      <c r="I217" s="2">
        <v>2</v>
      </c>
      <c r="J217" s="2">
        <v>5.6</v>
      </c>
      <c r="K217" s="2">
        <v>191</v>
      </c>
      <c r="L217" s="55">
        <v>0</v>
      </c>
      <c r="M217" s="2">
        <v>118</v>
      </c>
      <c r="N217" s="2">
        <v>0</v>
      </c>
      <c r="O217" s="2">
        <v>140</v>
      </c>
      <c r="P217" s="156">
        <v>123680</v>
      </c>
      <c r="Q217" s="2">
        <v>156</v>
      </c>
      <c r="R217" s="157">
        <v>0.149243029</v>
      </c>
      <c r="S217" s="2">
        <v>129</v>
      </c>
      <c r="T217" s="158">
        <v>0.92999999999999994</v>
      </c>
      <c r="U217" s="2">
        <v>38</v>
      </c>
      <c r="V217" s="55">
        <v>2</v>
      </c>
      <c r="W217" s="2">
        <v>170</v>
      </c>
      <c r="X217" s="55">
        <v>10</v>
      </c>
      <c r="Y217" s="2">
        <v>178</v>
      </c>
      <c r="Z217" s="2">
        <v>8</v>
      </c>
      <c r="AA217" s="2">
        <v>243</v>
      </c>
      <c r="AB217" s="2">
        <v>7</v>
      </c>
      <c r="AC217" s="2">
        <v>120</v>
      </c>
      <c r="AD217" s="105">
        <v>14</v>
      </c>
      <c r="AE217" s="2">
        <v>133</v>
      </c>
      <c r="AF217" s="55">
        <v>2</v>
      </c>
      <c r="AG217" s="2">
        <v>164</v>
      </c>
      <c r="AH217" s="55">
        <v>0</v>
      </c>
      <c r="AI217" s="2">
        <v>135</v>
      </c>
      <c r="AJ217" s="55">
        <v>0.42380000000000001</v>
      </c>
      <c r="AK217" s="2">
        <v>104</v>
      </c>
      <c r="AL217" s="30">
        <v>43145</v>
      </c>
      <c r="AM217" s="2">
        <v>26</v>
      </c>
      <c r="AN217" s="2">
        <v>0</v>
      </c>
      <c r="AO217" s="2">
        <v>1</v>
      </c>
      <c r="AP217" s="2">
        <v>7</v>
      </c>
      <c r="AQ217" s="2">
        <v>120</v>
      </c>
      <c r="AR217" s="55">
        <v>2</v>
      </c>
      <c r="AS217" s="2">
        <v>164</v>
      </c>
      <c r="AT217" s="159">
        <v>0</v>
      </c>
      <c r="AU217" s="2">
        <v>81</v>
      </c>
      <c r="AV217" s="55">
        <v>1</v>
      </c>
      <c r="AW217" s="2">
        <v>1</v>
      </c>
      <c r="AX217" s="2" t="s">
        <v>615</v>
      </c>
      <c r="AY217" s="2">
        <v>999999</v>
      </c>
      <c r="AZ217" s="106">
        <v>0</v>
      </c>
      <c r="BA217" s="2">
        <v>14</v>
      </c>
      <c r="BB217" s="30">
        <v>43019</v>
      </c>
      <c r="BC217" s="2">
        <v>146</v>
      </c>
      <c r="BD217" s="160">
        <v>41806</v>
      </c>
      <c r="BE217" s="2">
        <v>1</v>
      </c>
      <c r="BF217" s="55">
        <v>0</v>
      </c>
      <c r="BG217" s="2">
        <v>183</v>
      </c>
      <c r="BH217" s="2">
        <v>4</v>
      </c>
      <c r="BI217" s="2">
        <v>34</v>
      </c>
      <c r="BJ217" s="2">
        <v>0</v>
      </c>
      <c r="BK217" s="2">
        <v>249</v>
      </c>
      <c r="BL217" s="161">
        <v>965888.44444444438</v>
      </c>
      <c r="BM217" s="2" t="str">
        <f t="shared" si="3"/>
        <v>149/283</v>
      </c>
      <c r="BN217" s="142"/>
    </row>
    <row r="218" spans="1:66" x14ac:dyDescent="0.25">
      <c r="A218" s="162">
        <v>540283</v>
      </c>
      <c r="B218" s="162" t="s">
        <v>108</v>
      </c>
      <c r="C218" s="162" t="s">
        <v>109</v>
      </c>
      <c r="D218" s="162" t="s">
        <v>617</v>
      </c>
      <c r="E218" s="162" t="s">
        <v>616</v>
      </c>
      <c r="F218" s="162" t="s">
        <v>613</v>
      </c>
      <c r="G218" s="162">
        <v>3</v>
      </c>
      <c r="H218" s="162">
        <v>0</v>
      </c>
      <c r="I218" s="162">
        <v>2</v>
      </c>
      <c r="J218" s="162">
        <v>1.4</v>
      </c>
      <c r="K218" s="162">
        <v>250</v>
      </c>
      <c r="L218" s="163">
        <v>4</v>
      </c>
      <c r="M218" s="162">
        <v>67</v>
      </c>
      <c r="N218" s="162">
        <v>0</v>
      </c>
      <c r="O218" s="162">
        <v>140</v>
      </c>
      <c r="P218" s="164">
        <v>2231586</v>
      </c>
      <c r="Q218" s="162">
        <v>40</v>
      </c>
      <c r="R218" s="165">
        <v>2.8889530799999998</v>
      </c>
      <c r="S218" s="162">
        <v>17</v>
      </c>
      <c r="T218" s="166">
        <v>0.79</v>
      </c>
      <c r="U218" s="162">
        <v>263</v>
      </c>
      <c r="V218" s="163">
        <v>15</v>
      </c>
      <c r="W218" s="162">
        <v>79</v>
      </c>
      <c r="X218" s="163">
        <v>156</v>
      </c>
      <c r="Y218" s="162">
        <v>45</v>
      </c>
      <c r="Z218" s="162">
        <v>10</v>
      </c>
      <c r="AA218" s="162">
        <v>216</v>
      </c>
      <c r="AB218" s="162">
        <v>53</v>
      </c>
      <c r="AC218" s="162">
        <v>35</v>
      </c>
      <c r="AD218" s="167">
        <v>146</v>
      </c>
      <c r="AE218" s="162">
        <v>29</v>
      </c>
      <c r="AF218" s="163">
        <v>20</v>
      </c>
      <c r="AG218" s="162">
        <v>67</v>
      </c>
      <c r="AH218" s="163">
        <v>1240</v>
      </c>
      <c r="AI218" s="162">
        <v>42</v>
      </c>
      <c r="AJ218" s="163">
        <v>0.48770000000000002</v>
      </c>
      <c r="AK218" s="162">
        <v>141</v>
      </c>
      <c r="AL218" s="168">
        <v>42543</v>
      </c>
      <c r="AM218" s="162">
        <v>161</v>
      </c>
      <c r="AN218" s="162">
        <v>9</v>
      </c>
      <c r="AO218" s="162">
        <v>100</v>
      </c>
      <c r="AP218" s="162">
        <v>53</v>
      </c>
      <c r="AQ218" s="162">
        <v>35</v>
      </c>
      <c r="AR218" s="163">
        <v>20</v>
      </c>
      <c r="AS218" s="162">
        <v>67</v>
      </c>
      <c r="AT218" s="169">
        <v>15.483870967741936</v>
      </c>
      <c r="AU218" s="162">
        <v>11</v>
      </c>
      <c r="AV218" s="163">
        <v>1</v>
      </c>
      <c r="AW218" s="162">
        <v>1</v>
      </c>
      <c r="AX218" s="162" t="s">
        <v>615</v>
      </c>
      <c r="AY218" s="162">
        <v>999999</v>
      </c>
      <c r="AZ218" s="170">
        <v>0</v>
      </c>
      <c r="BA218" s="162">
        <v>14</v>
      </c>
      <c r="BB218" s="168">
        <v>42598</v>
      </c>
      <c r="BC218" s="162">
        <v>113</v>
      </c>
      <c r="BD218" s="171">
        <v>42992</v>
      </c>
      <c r="BE218" s="162">
        <v>38</v>
      </c>
      <c r="BF218" s="163">
        <v>1</v>
      </c>
      <c r="BG218" s="162">
        <v>1</v>
      </c>
      <c r="BH218" s="162">
        <v>2</v>
      </c>
      <c r="BI218" s="162">
        <v>68</v>
      </c>
      <c r="BJ218" s="162">
        <v>9</v>
      </c>
      <c r="BK218" s="162">
        <v>182</v>
      </c>
      <c r="BL218" s="161">
        <v>965101.70370370371</v>
      </c>
      <c r="BM218" s="162" t="str">
        <f t="shared" si="3"/>
        <v>48/283</v>
      </c>
      <c r="BN218" s="142"/>
    </row>
    <row r="219" spans="1:66" x14ac:dyDescent="0.25">
      <c r="A219" s="2">
        <v>540159</v>
      </c>
      <c r="B219" s="2" t="s">
        <v>234</v>
      </c>
      <c r="C219" s="2" t="s">
        <v>109</v>
      </c>
      <c r="D219" s="2" t="s">
        <v>612</v>
      </c>
      <c r="E219" s="2" t="s">
        <v>616</v>
      </c>
      <c r="F219" s="2" t="s">
        <v>613</v>
      </c>
      <c r="G219" s="2">
        <v>3</v>
      </c>
      <c r="H219" s="2">
        <v>0</v>
      </c>
      <c r="I219" s="2">
        <v>2</v>
      </c>
      <c r="J219" s="2">
        <v>1.4</v>
      </c>
      <c r="K219" s="2">
        <v>250</v>
      </c>
      <c r="L219" s="55">
        <v>2</v>
      </c>
      <c r="M219" s="2">
        <v>84</v>
      </c>
      <c r="N219" s="2">
        <v>0</v>
      </c>
      <c r="O219" s="2">
        <v>140</v>
      </c>
      <c r="P219" s="156">
        <v>13396576</v>
      </c>
      <c r="Q219" s="2">
        <v>4</v>
      </c>
      <c r="R219" s="157">
        <v>2.8889530799999998</v>
      </c>
      <c r="S219" s="2">
        <v>17</v>
      </c>
      <c r="T219" s="158">
        <v>0.79</v>
      </c>
      <c r="U219" s="2">
        <v>263</v>
      </c>
      <c r="V219" s="55">
        <v>6</v>
      </c>
      <c r="W219" s="2">
        <v>113</v>
      </c>
      <c r="X219" s="55">
        <v>579</v>
      </c>
      <c r="Y219" s="2">
        <v>7</v>
      </c>
      <c r="Z219" s="2">
        <v>10</v>
      </c>
      <c r="AA219" s="2">
        <v>216</v>
      </c>
      <c r="AB219" s="2">
        <v>89</v>
      </c>
      <c r="AC219" s="2">
        <v>12</v>
      </c>
      <c r="AD219" s="105">
        <v>156</v>
      </c>
      <c r="AE219" s="2">
        <v>28</v>
      </c>
      <c r="AF219" s="55">
        <v>208</v>
      </c>
      <c r="AG219" s="2">
        <v>5</v>
      </c>
      <c r="AH219" s="55">
        <v>0</v>
      </c>
      <c r="AI219" s="2">
        <v>135</v>
      </c>
      <c r="AJ219" s="55">
        <v>0.48770000000000002</v>
      </c>
      <c r="AK219" s="2">
        <v>141</v>
      </c>
      <c r="AL219" s="30">
        <v>42543</v>
      </c>
      <c r="AM219" s="2">
        <v>161</v>
      </c>
      <c r="AN219" s="2">
        <v>9</v>
      </c>
      <c r="AO219" s="2">
        <v>100</v>
      </c>
      <c r="AP219" s="2">
        <v>89</v>
      </c>
      <c r="AQ219" s="2">
        <v>12</v>
      </c>
      <c r="AR219" s="55">
        <v>208</v>
      </c>
      <c r="AS219" s="2">
        <v>5</v>
      </c>
      <c r="AT219" s="159">
        <v>0</v>
      </c>
      <c r="AU219" s="2">
        <v>81</v>
      </c>
      <c r="AV219" s="55">
        <v>1</v>
      </c>
      <c r="AW219" s="2">
        <v>1</v>
      </c>
      <c r="AX219" s="2" t="s">
        <v>615</v>
      </c>
      <c r="AY219" s="2">
        <v>999999</v>
      </c>
      <c r="AZ219" s="106">
        <v>0</v>
      </c>
      <c r="BA219" s="2">
        <v>14</v>
      </c>
      <c r="BB219" s="30">
        <v>42598</v>
      </c>
      <c r="BC219" s="2">
        <v>113</v>
      </c>
      <c r="BD219" s="160">
        <v>42417</v>
      </c>
      <c r="BE219" s="2">
        <v>35</v>
      </c>
      <c r="BF219" s="55">
        <v>0</v>
      </c>
      <c r="BG219" s="2">
        <v>183</v>
      </c>
      <c r="BH219" s="2">
        <v>4</v>
      </c>
      <c r="BI219" s="2">
        <v>34</v>
      </c>
      <c r="BJ219" s="2">
        <v>9</v>
      </c>
      <c r="BK219" s="2">
        <v>182</v>
      </c>
      <c r="BL219" s="161">
        <v>965211.48148148158</v>
      </c>
      <c r="BM219" s="2" t="str">
        <f t="shared" si="3"/>
        <v>60/283</v>
      </c>
      <c r="BN219" s="142"/>
    </row>
    <row r="220" spans="1:66" x14ac:dyDescent="0.25">
      <c r="A220" s="162">
        <v>540160</v>
      </c>
      <c r="B220" s="162" t="s">
        <v>68</v>
      </c>
      <c r="C220" s="162" t="s">
        <v>69</v>
      </c>
      <c r="D220" s="162" t="s">
        <v>617</v>
      </c>
      <c r="E220" s="162" t="s">
        <v>616</v>
      </c>
      <c r="F220" s="162" t="s">
        <v>613</v>
      </c>
      <c r="G220" s="162">
        <v>3</v>
      </c>
      <c r="H220" s="162">
        <v>0</v>
      </c>
      <c r="I220" s="162">
        <v>2</v>
      </c>
      <c r="J220" s="162">
        <v>2.8</v>
      </c>
      <c r="K220" s="162">
        <v>226</v>
      </c>
      <c r="L220" s="163">
        <v>0</v>
      </c>
      <c r="M220" s="162">
        <v>118</v>
      </c>
      <c r="N220" s="162">
        <v>0</v>
      </c>
      <c r="O220" s="162">
        <v>140</v>
      </c>
      <c r="P220" s="164">
        <v>656722</v>
      </c>
      <c r="Q220" s="162">
        <v>86</v>
      </c>
      <c r="R220" s="165">
        <v>0.79634212299999996</v>
      </c>
      <c r="S220" s="162">
        <v>60</v>
      </c>
      <c r="T220" s="166">
        <v>0.9</v>
      </c>
      <c r="U220" s="162">
        <v>107</v>
      </c>
      <c r="V220" s="163">
        <v>33</v>
      </c>
      <c r="W220" s="162">
        <v>48</v>
      </c>
      <c r="X220" s="163">
        <v>56</v>
      </c>
      <c r="Y220" s="162">
        <v>85</v>
      </c>
      <c r="Z220" s="162">
        <v>11</v>
      </c>
      <c r="AA220" s="162">
        <v>155</v>
      </c>
      <c r="AB220" s="162">
        <v>19</v>
      </c>
      <c r="AC220" s="162">
        <v>79</v>
      </c>
      <c r="AD220" s="167">
        <v>61</v>
      </c>
      <c r="AE220" s="162">
        <v>67</v>
      </c>
      <c r="AF220" s="163">
        <v>9</v>
      </c>
      <c r="AG220" s="162">
        <v>112</v>
      </c>
      <c r="AH220" s="163">
        <v>3415</v>
      </c>
      <c r="AI220" s="162">
        <v>10</v>
      </c>
      <c r="AJ220" s="163">
        <v>0.49469999999999997</v>
      </c>
      <c r="AK220" s="162">
        <v>145</v>
      </c>
      <c r="AL220" s="168">
        <v>43145</v>
      </c>
      <c r="AM220" s="162">
        <v>26</v>
      </c>
      <c r="AN220" s="162">
        <v>1</v>
      </c>
      <c r="AO220" s="162">
        <v>36</v>
      </c>
      <c r="AP220" s="162">
        <v>19</v>
      </c>
      <c r="AQ220" s="162">
        <v>79</v>
      </c>
      <c r="AR220" s="163">
        <v>9</v>
      </c>
      <c r="AS220" s="162">
        <v>112</v>
      </c>
      <c r="AT220" s="169">
        <v>7.2913616398243049</v>
      </c>
      <c r="AU220" s="162">
        <v>43</v>
      </c>
      <c r="AV220" s="163">
        <v>1</v>
      </c>
      <c r="AW220" s="162">
        <v>1</v>
      </c>
      <c r="AX220" s="162" t="s">
        <v>615</v>
      </c>
      <c r="AY220" s="162">
        <v>999999</v>
      </c>
      <c r="AZ220" s="170">
        <v>0</v>
      </c>
      <c r="BA220" s="162">
        <v>14</v>
      </c>
      <c r="BB220" s="168">
        <v>43503</v>
      </c>
      <c r="BC220" s="162">
        <v>254</v>
      </c>
      <c r="BD220" s="171">
        <v>43530</v>
      </c>
      <c r="BE220" s="162">
        <v>51</v>
      </c>
      <c r="BF220" s="163">
        <v>0</v>
      </c>
      <c r="BG220" s="162">
        <v>183</v>
      </c>
      <c r="BH220" s="162">
        <v>7</v>
      </c>
      <c r="BI220" s="162">
        <v>17</v>
      </c>
      <c r="BJ220" s="162">
        <v>1</v>
      </c>
      <c r="BK220" s="162">
        <v>231</v>
      </c>
      <c r="BL220" s="161">
        <v>965354.9629629628</v>
      </c>
      <c r="BM220" s="162" t="str">
        <f t="shared" si="3"/>
        <v>83/283</v>
      </c>
      <c r="BN220" s="142"/>
    </row>
    <row r="221" spans="1:66" x14ac:dyDescent="0.25">
      <c r="A221" s="2">
        <v>540284</v>
      </c>
      <c r="B221" s="2" t="s">
        <v>323</v>
      </c>
      <c r="C221" s="2" t="s">
        <v>69</v>
      </c>
      <c r="D221" s="2" t="s">
        <v>612</v>
      </c>
      <c r="E221" s="2" t="s">
        <v>611</v>
      </c>
      <c r="F221" s="2" t="s">
        <v>613</v>
      </c>
      <c r="G221" s="2">
        <v>3</v>
      </c>
      <c r="H221" s="2">
        <v>0</v>
      </c>
      <c r="I221" s="2">
        <v>0</v>
      </c>
      <c r="J221" s="2">
        <v>2.8</v>
      </c>
      <c r="K221" s="2">
        <v>226</v>
      </c>
      <c r="L221" s="55" t="s">
        <v>614</v>
      </c>
      <c r="M221" s="2">
        <v>999999</v>
      </c>
      <c r="N221" s="2">
        <v>0</v>
      </c>
      <c r="O221" s="2">
        <v>140</v>
      </c>
      <c r="P221" s="156" t="s">
        <v>614</v>
      </c>
      <c r="Q221" s="2">
        <v>999999</v>
      </c>
      <c r="R221" s="157">
        <v>0.79634212299999996</v>
      </c>
      <c r="S221" s="2">
        <v>60</v>
      </c>
      <c r="T221" s="158">
        <v>0.9</v>
      </c>
      <c r="U221" s="2">
        <v>107</v>
      </c>
      <c r="V221" s="55" t="s">
        <v>614</v>
      </c>
      <c r="W221" s="2">
        <v>999999</v>
      </c>
      <c r="X221" s="55" t="s">
        <v>614</v>
      </c>
      <c r="Y221" s="2">
        <v>999999</v>
      </c>
      <c r="Z221" s="2">
        <v>11</v>
      </c>
      <c r="AA221" s="2">
        <v>155</v>
      </c>
      <c r="AB221" s="2">
        <v>0</v>
      </c>
      <c r="AC221" s="2">
        <v>222</v>
      </c>
      <c r="AD221" s="105" t="s">
        <v>614</v>
      </c>
      <c r="AE221" s="2">
        <v>999999</v>
      </c>
      <c r="AF221" s="55" t="s">
        <v>614</v>
      </c>
      <c r="AG221" s="2">
        <v>999999</v>
      </c>
      <c r="AH221" s="55">
        <v>0</v>
      </c>
      <c r="AI221" s="2">
        <v>135</v>
      </c>
      <c r="AJ221" s="55">
        <v>0.49469999999999997</v>
      </c>
      <c r="AK221" s="2">
        <v>145</v>
      </c>
      <c r="AL221" s="30">
        <v>43145</v>
      </c>
      <c r="AM221" s="2">
        <v>26</v>
      </c>
      <c r="AN221" s="2">
        <v>1</v>
      </c>
      <c r="AO221" s="2">
        <v>36</v>
      </c>
      <c r="AP221" s="2">
        <v>0</v>
      </c>
      <c r="AQ221" s="2">
        <v>222</v>
      </c>
      <c r="AR221" s="55" t="s">
        <v>614</v>
      </c>
      <c r="AS221" s="2">
        <v>999999</v>
      </c>
      <c r="AT221" s="159">
        <v>0</v>
      </c>
      <c r="AU221" s="2">
        <v>81</v>
      </c>
      <c r="AV221" s="55">
        <v>0</v>
      </c>
      <c r="AW221" s="2">
        <v>194</v>
      </c>
      <c r="AX221" s="2" t="s">
        <v>615</v>
      </c>
      <c r="AY221" s="2">
        <v>999999</v>
      </c>
      <c r="AZ221" s="106">
        <v>0</v>
      </c>
      <c r="BA221" s="2">
        <v>14</v>
      </c>
      <c r="BB221" s="30">
        <v>42999</v>
      </c>
      <c r="BC221" s="2">
        <v>141</v>
      </c>
      <c r="BD221" s="160" t="s">
        <v>614</v>
      </c>
      <c r="BE221" s="2">
        <v>999999</v>
      </c>
      <c r="BF221" s="55">
        <v>0</v>
      </c>
      <c r="BG221" s="2">
        <v>183</v>
      </c>
      <c r="BH221" s="2">
        <v>2</v>
      </c>
      <c r="BI221" s="2">
        <v>68</v>
      </c>
      <c r="BJ221" s="2">
        <v>1</v>
      </c>
      <c r="BK221" s="2">
        <v>231</v>
      </c>
      <c r="BL221" s="161">
        <v>8668955.6296296287</v>
      </c>
      <c r="BM221" s="2" t="str">
        <f t="shared" si="3"/>
        <v>276/283</v>
      </c>
      <c r="BN221" s="142"/>
    </row>
    <row r="222" spans="1:66" x14ac:dyDescent="0.25">
      <c r="A222" s="2">
        <v>540268</v>
      </c>
      <c r="B222" s="2" t="s">
        <v>311</v>
      </c>
      <c r="C222" s="2" t="s">
        <v>69</v>
      </c>
      <c r="D222" s="2" t="s">
        <v>612</v>
      </c>
      <c r="E222" s="2" t="s">
        <v>616</v>
      </c>
      <c r="F222" s="2" t="s">
        <v>613</v>
      </c>
      <c r="G222" s="2">
        <v>3</v>
      </c>
      <c r="H222" s="2">
        <v>0</v>
      </c>
      <c r="I222" s="2">
        <v>2</v>
      </c>
      <c r="J222" s="2">
        <v>2.8</v>
      </c>
      <c r="K222" s="2">
        <v>226</v>
      </c>
      <c r="L222" s="55">
        <v>0</v>
      </c>
      <c r="M222" s="2">
        <v>118</v>
      </c>
      <c r="N222" s="2">
        <v>0</v>
      </c>
      <c r="O222" s="2">
        <v>140</v>
      </c>
      <c r="P222" s="156">
        <v>3776</v>
      </c>
      <c r="Q222" s="2">
        <v>234</v>
      </c>
      <c r="R222" s="157">
        <v>0.79634212299999996</v>
      </c>
      <c r="S222" s="2">
        <v>60</v>
      </c>
      <c r="T222" s="158">
        <v>0.9</v>
      </c>
      <c r="U222" s="2">
        <v>107</v>
      </c>
      <c r="V222" s="55">
        <v>1</v>
      </c>
      <c r="W222" s="2">
        <v>197</v>
      </c>
      <c r="X222" s="55">
        <v>2</v>
      </c>
      <c r="Y222" s="2">
        <v>225</v>
      </c>
      <c r="Z222" s="2">
        <v>11</v>
      </c>
      <c r="AA222" s="2">
        <v>155</v>
      </c>
      <c r="AB222" s="2">
        <v>1</v>
      </c>
      <c r="AC222" s="2">
        <v>186</v>
      </c>
      <c r="AD222" s="105">
        <v>1</v>
      </c>
      <c r="AE222" s="2">
        <v>242</v>
      </c>
      <c r="AF222" s="55">
        <v>0</v>
      </c>
      <c r="AG222" s="2">
        <v>184</v>
      </c>
      <c r="AH222" s="55">
        <v>0</v>
      </c>
      <c r="AI222" s="2">
        <v>135</v>
      </c>
      <c r="AJ222" s="55">
        <v>0.49469999999999997</v>
      </c>
      <c r="AK222" s="2">
        <v>145</v>
      </c>
      <c r="AL222" s="30">
        <v>43145</v>
      </c>
      <c r="AM222" s="2">
        <v>26</v>
      </c>
      <c r="AN222" s="2">
        <v>1</v>
      </c>
      <c r="AO222" s="2">
        <v>36</v>
      </c>
      <c r="AP222" s="2">
        <v>1</v>
      </c>
      <c r="AQ222" s="2">
        <v>186</v>
      </c>
      <c r="AR222" s="55">
        <v>0</v>
      </c>
      <c r="AS222" s="2">
        <v>184</v>
      </c>
      <c r="AT222" s="159">
        <v>0</v>
      </c>
      <c r="AU222" s="2">
        <v>81</v>
      </c>
      <c r="AV222" s="55">
        <v>1</v>
      </c>
      <c r="AW222" s="2">
        <v>1</v>
      </c>
      <c r="AX222" s="2" t="s">
        <v>615</v>
      </c>
      <c r="AY222" s="2">
        <v>999999</v>
      </c>
      <c r="AZ222" s="106">
        <v>0</v>
      </c>
      <c r="BA222" s="2">
        <v>14</v>
      </c>
      <c r="BB222" s="30">
        <v>35122</v>
      </c>
      <c r="BC222" s="2">
        <v>26</v>
      </c>
      <c r="BD222" s="160">
        <v>41806</v>
      </c>
      <c r="BE222" s="2">
        <v>1</v>
      </c>
      <c r="BF222" s="55">
        <v>0</v>
      </c>
      <c r="BG222" s="2">
        <v>183</v>
      </c>
      <c r="BH222" s="2">
        <v>3</v>
      </c>
      <c r="BI222" s="2">
        <v>46</v>
      </c>
      <c r="BJ222" s="2">
        <v>1</v>
      </c>
      <c r="BK222" s="2">
        <v>231</v>
      </c>
      <c r="BL222" s="161">
        <v>966206.22222222225</v>
      </c>
      <c r="BM222" s="2" t="str">
        <f t="shared" si="3"/>
        <v>201/283</v>
      </c>
      <c r="BN222" s="142"/>
    </row>
    <row r="223" spans="1:66" x14ac:dyDescent="0.25">
      <c r="A223" s="162">
        <v>540164</v>
      </c>
      <c r="B223" s="162" t="s">
        <v>70</v>
      </c>
      <c r="C223" s="162" t="s">
        <v>71</v>
      </c>
      <c r="D223" s="162" t="s">
        <v>617</v>
      </c>
      <c r="E223" s="162" t="s">
        <v>616</v>
      </c>
      <c r="F223" s="162" t="s">
        <v>613</v>
      </c>
      <c r="G223" s="162">
        <v>3</v>
      </c>
      <c r="H223" s="162">
        <v>0</v>
      </c>
      <c r="I223" s="162">
        <v>2</v>
      </c>
      <c r="J223" s="162">
        <v>107</v>
      </c>
      <c r="K223" s="162">
        <v>18</v>
      </c>
      <c r="L223" s="163">
        <v>32</v>
      </c>
      <c r="M223" s="162">
        <v>8</v>
      </c>
      <c r="N223" s="162">
        <v>0</v>
      </c>
      <c r="O223" s="162">
        <v>140</v>
      </c>
      <c r="P223" s="164">
        <v>2467210</v>
      </c>
      <c r="Q223" s="162">
        <v>35</v>
      </c>
      <c r="R223" s="165">
        <v>0.40393937000000002</v>
      </c>
      <c r="S223" s="162">
        <v>95</v>
      </c>
      <c r="T223" s="166">
        <v>0.86</v>
      </c>
      <c r="U223" s="162">
        <v>191</v>
      </c>
      <c r="V223" s="163">
        <v>287</v>
      </c>
      <c r="W223" s="162">
        <v>2</v>
      </c>
      <c r="X223" s="163">
        <v>213</v>
      </c>
      <c r="Y223" s="162">
        <v>34</v>
      </c>
      <c r="Z223" s="162">
        <v>12</v>
      </c>
      <c r="AA223" s="162">
        <v>133</v>
      </c>
      <c r="AB223" s="162">
        <v>82</v>
      </c>
      <c r="AC223" s="162">
        <v>16</v>
      </c>
      <c r="AD223" s="167">
        <v>331</v>
      </c>
      <c r="AE223" s="162">
        <v>6</v>
      </c>
      <c r="AF223" s="163">
        <v>102</v>
      </c>
      <c r="AG223" s="162">
        <v>13</v>
      </c>
      <c r="AH223" s="163">
        <v>2781</v>
      </c>
      <c r="AI223" s="162">
        <v>14</v>
      </c>
      <c r="AJ223" s="163">
        <v>3.7199999999999997E-2</v>
      </c>
      <c r="AK223" s="162">
        <v>1</v>
      </c>
      <c r="AL223" s="168">
        <v>42066</v>
      </c>
      <c r="AM223" s="162">
        <v>243</v>
      </c>
      <c r="AN223" s="162">
        <v>10</v>
      </c>
      <c r="AO223" s="162">
        <v>103</v>
      </c>
      <c r="AP223" s="162">
        <v>82</v>
      </c>
      <c r="AQ223" s="162">
        <v>16</v>
      </c>
      <c r="AR223" s="163">
        <v>102</v>
      </c>
      <c r="AS223" s="162">
        <v>13</v>
      </c>
      <c r="AT223" s="169">
        <v>3.1283710895361381</v>
      </c>
      <c r="AU223" s="162">
        <v>62</v>
      </c>
      <c r="AV223" s="163">
        <v>1</v>
      </c>
      <c r="AW223" s="162">
        <v>1</v>
      </c>
      <c r="AX223" s="162">
        <v>9</v>
      </c>
      <c r="AY223" s="162">
        <v>8</v>
      </c>
      <c r="AZ223" s="170">
        <v>1</v>
      </c>
      <c r="BA223" s="162">
        <v>1</v>
      </c>
      <c r="BB223" s="168">
        <v>41962</v>
      </c>
      <c r="BC223" s="162">
        <v>86</v>
      </c>
      <c r="BD223" s="171">
        <v>43558</v>
      </c>
      <c r="BE223" s="162">
        <v>58</v>
      </c>
      <c r="BF223" s="163">
        <v>1</v>
      </c>
      <c r="BG223" s="162">
        <v>1</v>
      </c>
      <c r="BH223" s="162">
        <v>7</v>
      </c>
      <c r="BI223" s="162">
        <v>17</v>
      </c>
      <c r="BJ223" s="162">
        <v>10</v>
      </c>
      <c r="BK223" s="162">
        <v>172</v>
      </c>
      <c r="BL223" s="161">
        <v>1431.9259259259261</v>
      </c>
      <c r="BM223" s="162" t="str">
        <f t="shared" si="3"/>
        <v>1/283</v>
      </c>
      <c r="BN223" s="142"/>
    </row>
    <row r="224" spans="1:66" x14ac:dyDescent="0.25">
      <c r="A224" s="2">
        <v>540166</v>
      </c>
      <c r="B224" s="2" t="s">
        <v>239</v>
      </c>
      <c r="C224" s="2" t="s">
        <v>71</v>
      </c>
      <c r="D224" s="2" t="s">
        <v>612</v>
      </c>
      <c r="E224" s="2" t="s">
        <v>616</v>
      </c>
      <c r="F224" s="2" t="s">
        <v>613</v>
      </c>
      <c r="G224" s="2">
        <v>3</v>
      </c>
      <c r="H224" s="2">
        <v>0</v>
      </c>
      <c r="I224" s="2">
        <v>2</v>
      </c>
      <c r="J224" s="2">
        <v>107</v>
      </c>
      <c r="K224" s="2">
        <v>18</v>
      </c>
      <c r="L224" s="55">
        <v>0</v>
      </c>
      <c r="M224" s="2">
        <v>118</v>
      </c>
      <c r="N224" s="2">
        <v>0</v>
      </c>
      <c r="O224" s="2">
        <v>140</v>
      </c>
      <c r="P224" s="156">
        <v>1049</v>
      </c>
      <c r="Q224" s="2">
        <v>244</v>
      </c>
      <c r="R224" s="157">
        <v>0.40393937000000002</v>
      </c>
      <c r="S224" s="2">
        <v>95</v>
      </c>
      <c r="T224" s="158">
        <v>0.86</v>
      </c>
      <c r="U224" s="2">
        <v>191</v>
      </c>
      <c r="V224" s="55">
        <v>38</v>
      </c>
      <c r="W224" s="2">
        <v>43</v>
      </c>
      <c r="X224" s="55">
        <v>1</v>
      </c>
      <c r="Y224" s="2">
        <v>237</v>
      </c>
      <c r="Z224" s="2">
        <v>12</v>
      </c>
      <c r="AA224" s="2">
        <v>133</v>
      </c>
      <c r="AB224" s="2">
        <v>12</v>
      </c>
      <c r="AC224" s="2">
        <v>96</v>
      </c>
      <c r="AD224" s="105">
        <v>39</v>
      </c>
      <c r="AE224" s="2">
        <v>86</v>
      </c>
      <c r="AF224" s="55">
        <v>0</v>
      </c>
      <c r="AG224" s="2">
        <v>184</v>
      </c>
      <c r="AH224" s="55">
        <v>228</v>
      </c>
      <c r="AI224" s="2">
        <v>93</v>
      </c>
      <c r="AJ224" s="55">
        <v>3.7199999999999997E-2</v>
      </c>
      <c r="AK224" s="2">
        <v>1</v>
      </c>
      <c r="AL224" s="30">
        <v>42066</v>
      </c>
      <c r="AM224" s="2">
        <v>243</v>
      </c>
      <c r="AN224" s="2">
        <v>10</v>
      </c>
      <c r="AO224" s="2">
        <v>103</v>
      </c>
      <c r="AP224" s="2">
        <v>12</v>
      </c>
      <c r="AQ224" s="2">
        <v>96</v>
      </c>
      <c r="AR224" s="55">
        <v>0</v>
      </c>
      <c r="AS224" s="2">
        <v>184</v>
      </c>
      <c r="AT224" s="159">
        <v>0.8771929824561403</v>
      </c>
      <c r="AU224" s="2">
        <v>73</v>
      </c>
      <c r="AV224" s="55">
        <v>1</v>
      </c>
      <c r="AW224" s="2">
        <v>1</v>
      </c>
      <c r="AX224" s="2" t="s">
        <v>615</v>
      </c>
      <c r="AY224" s="2">
        <v>999999</v>
      </c>
      <c r="AZ224" s="106">
        <v>0</v>
      </c>
      <c r="BA224" s="2">
        <v>14</v>
      </c>
      <c r="BB224" s="30">
        <v>40854</v>
      </c>
      <c r="BC224" s="2">
        <v>72</v>
      </c>
      <c r="BD224" s="160">
        <v>41806</v>
      </c>
      <c r="BE224" s="2">
        <v>1</v>
      </c>
      <c r="BF224" s="55">
        <v>1</v>
      </c>
      <c r="BG224" s="2">
        <v>1</v>
      </c>
      <c r="BH224" s="2">
        <v>0</v>
      </c>
      <c r="BI224" s="2">
        <v>239</v>
      </c>
      <c r="BJ224" s="2">
        <v>10</v>
      </c>
      <c r="BK224" s="2">
        <v>172</v>
      </c>
      <c r="BL224" s="161">
        <v>965733.40740740742</v>
      </c>
      <c r="BM224" s="2" t="str">
        <f t="shared" si="3"/>
        <v>125/283</v>
      </c>
      <c r="BN224" s="142"/>
    </row>
    <row r="225" spans="1:66" x14ac:dyDescent="0.25">
      <c r="A225" s="2">
        <v>540222</v>
      </c>
      <c r="B225" s="2" t="s">
        <v>276</v>
      </c>
      <c r="C225" s="2" t="s">
        <v>71</v>
      </c>
      <c r="D225" s="2" t="s">
        <v>612</v>
      </c>
      <c r="E225" s="2" t="s">
        <v>616</v>
      </c>
      <c r="F225" s="2" t="s">
        <v>613</v>
      </c>
      <c r="G225" s="2">
        <v>3</v>
      </c>
      <c r="H225" s="2">
        <v>0</v>
      </c>
      <c r="I225" s="2">
        <v>2</v>
      </c>
      <c r="J225" s="2">
        <v>107</v>
      </c>
      <c r="K225" s="2">
        <v>18</v>
      </c>
      <c r="L225" s="55">
        <v>0</v>
      </c>
      <c r="M225" s="2">
        <v>118</v>
      </c>
      <c r="N225" s="2">
        <v>0</v>
      </c>
      <c r="O225" s="2">
        <v>140</v>
      </c>
      <c r="P225" s="156">
        <v>5243</v>
      </c>
      <c r="Q225" s="2">
        <v>232</v>
      </c>
      <c r="R225" s="157">
        <v>0.40393937000000002</v>
      </c>
      <c r="S225" s="2">
        <v>95</v>
      </c>
      <c r="T225" s="158">
        <v>0.86</v>
      </c>
      <c r="U225" s="2">
        <v>191</v>
      </c>
      <c r="V225" s="55">
        <v>22</v>
      </c>
      <c r="W225" s="2">
        <v>63</v>
      </c>
      <c r="X225" s="55">
        <v>2</v>
      </c>
      <c r="Y225" s="2">
        <v>225</v>
      </c>
      <c r="Z225" s="2">
        <v>12</v>
      </c>
      <c r="AA225" s="2">
        <v>133</v>
      </c>
      <c r="AB225" s="2">
        <v>0</v>
      </c>
      <c r="AC225" s="2">
        <v>222</v>
      </c>
      <c r="AD225" s="105">
        <v>0</v>
      </c>
      <c r="AE225" s="2">
        <v>259</v>
      </c>
      <c r="AF225" s="55">
        <v>0</v>
      </c>
      <c r="AG225" s="2">
        <v>184</v>
      </c>
      <c r="AH225" s="55">
        <v>218</v>
      </c>
      <c r="AI225" s="2">
        <v>95</v>
      </c>
      <c r="AJ225" s="55">
        <v>3.7199999999999997E-2</v>
      </c>
      <c r="AK225" s="2">
        <v>1</v>
      </c>
      <c r="AL225" s="30">
        <v>42066</v>
      </c>
      <c r="AM225" s="2">
        <v>243</v>
      </c>
      <c r="AN225" s="2">
        <v>10</v>
      </c>
      <c r="AO225" s="2">
        <v>103</v>
      </c>
      <c r="AP225" s="2">
        <v>0</v>
      </c>
      <c r="AQ225" s="2">
        <v>222</v>
      </c>
      <c r="AR225" s="55">
        <v>0</v>
      </c>
      <c r="AS225" s="2">
        <v>184</v>
      </c>
      <c r="AT225" s="159">
        <v>-14.220183486238533</v>
      </c>
      <c r="AU225" s="2">
        <v>266</v>
      </c>
      <c r="AV225" s="55">
        <v>1</v>
      </c>
      <c r="AW225" s="2">
        <v>1</v>
      </c>
      <c r="AX225" s="2" t="s">
        <v>615</v>
      </c>
      <c r="AY225" s="2">
        <v>999999</v>
      </c>
      <c r="AZ225" s="106">
        <v>0</v>
      </c>
      <c r="BA225" s="2">
        <v>14</v>
      </c>
      <c r="BB225" s="30">
        <v>34653</v>
      </c>
      <c r="BC225" s="2">
        <v>24</v>
      </c>
      <c r="BD225" s="160">
        <v>41806</v>
      </c>
      <c r="BE225" s="2">
        <v>1</v>
      </c>
      <c r="BF225" s="55">
        <v>1</v>
      </c>
      <c r="BG225" s="2">
        <v>1</v>
      </c>
      <c r="BH225" s="2">
        <v>1</v>
      </c>
      <c r="BI225" s="2">
        <v>151</v>
      </c>
      <c r="BJ225" s="2">
        <v>10</v>
      </c>
      <c r="BK225" s="2">
        <v>172</v>
      </c>
      <c r="BL225" s="161">
        <v>966195.62962962955</v>
      </c>
      <c r="BM225" s="2" t="str">
        <f t="shared" si="3"/>
        <v>200/283</v>
      </c>
      <c r="BN225" s="142"/>
    </row>
    <row r="226" spans="1:66" x14ac:dyDescent="0.25">
      <c r="A226" s="2">
        <v>540167</v>
      </c>
      <c r="B226" s="2" t="s">
        <v>240</v>
      </c>
      <c r="C226" s="2" t="s">
        <v>71</v>
      </c>
      <c r="D226" s="2" t="s">
        <v>612</v>
      </c>
      <c r="E226" s="2" t="s">
        <v>616</v>
      </c>
      <c r="F226" s="2" t="s">
        <v>613</v>
      </c>
      <c r="G226" s="2">
        <v>3</v>
      </c>
      <c r="H226" s="2">
        <v>0</v>
      </c>
      <c r="I226" s="2">
        <v>2</v>
      </c>
      <c r="J226" s="2">
        <v>107</v>
      </c>
      <c r="K226" s="2">
        <v>18</v>
      </c>
      <c r="L226" s="55">
        <v>7</v>
      </c>
      <c r="M226" s="2">
        <v>48</v>
      </c>
      <c r="N226" s="2">
        <v>0</v>
      </c>
      <c r="O226" s="2">
        <v>140</v>
      </c>
      <c r="P226" s="156">
        <v>323812</v>
      </c>
      <c r="Q226" s="2">
        <v>115</v>
      </c>
      <c r="R226" s="157">
        <v>0.40393937000000002</v>
      </c>
      <c r="S226" s="2">
        <v>95</v>
      </c>
      <c r="T226" s="158">
        <v>0.86</v>
      </c>
      <c r="U226" s="2">
        <v>191</v>
      </c>
      <c r="V226" s="55">
        <v>24</v>
      </c>
      <c r="W226" s="2">
        <v>60</v>
      </c>
      <c r="X226" s="55">
        <v>16</v>
      </c>
      <c r="Y226" s="2">
        <v>158</v>
      </c>
      <c r="Z226" s="2">
        <v>12</v>
      </c>
      <c r="AA226" s="2">
        <v>133</v>
      </c>
      <c r="AB226" s="2">
        <v>0</v>
      </c>
      <c r="AC226" s="2">
        <v>222</v>
      </c>
      <c r="AD226" s="105">
        <v>11</v>
      </c>
      <c r="AE226" s="2">
        <v>147</v>
      </c>
      <c r="AF226" s="55">
        <v>7</v>
      </c>
      <c r="AG226" s="2">
        <v>121</v>
      </c>
      <c r="AH226" s="55">
        <v>184</v>
      </c>
      <c r="AI226" s="2">
        <v>103</v>
      </c>
      <c r="AJ226" s="55">
        <v>3.7199999999999997E-2</v>
      </c>
      <c r="AK226" s="2">
        <v>1</v>
      </c>
      <c r="AL226" s="30">
        <v>42066</v>
      </c>
      <c r="AM226" s="2">
        <v>243</v>
      </c>
      <c r="AN226" s="2">
        <v>10</v>
      </c>
      <c r="AO226" s="2">
        <v>103</v>
      </c>
      <c r="AP226" s="2">
        <v>0</v>
      </c>
      <c r="AQ226" s="2">
        <v>222</v>
      </c>
      <c r="AR226" s="55">
        <v>7</v>
      </c>
      <c r="AS226" s="2">
        <v>121</v>
      </c>
      <c r="AT226" s="159">
        <v>-3.804347826086957</v>
      </c>
      <c r="AU226" s="2">
        <v>243</v>
      </c>
      <c r="AV226" s="55">
        <v>1</v>
      </c>
      <c r="AW226" s="2">
        <v>1</v>
      </c>
      <c r="AX226" s="2" t="s">
        <v>615</v>
      </c>
      <c r="AY226" s="2">
        <v>999999</v>
      </c>
      <c r="AZ226" s="106">
        <v>0</v>
      </c>
      <c r="BA226" s="2">
        <v>14</v>
      </c>
      <c r="BB226" s="30">
        <v>40372</v>
      </c>
      <c r="BC226" s="2">
        <v>58</v>
      </c>
      <c r="BD226" s="160">
        <v>41806</v>
      </c>
      <c r="BE226" s="2">
        <v>1</v>
      </c>
      <c r="BF226" s="55">
        <v>1</v>
      </c>
      <c r="BG226" s="2">
        <v>1</v>
      </c>
      <c r="BH226" s="2">
        <v>1</v>
      </c>
      <c r="BI226" s="2">
        <v>151</v>
      </c>
      <c r="BJ226" s="2">
        <v>10</v>
      </c>
      <c r="BK226" s="2">
        <v>172</v>
      </c>
      <c r="BL226" s="161">
        <v>965737.2592592591</v>
      </c>
      <c r="BM226" s="2" t="str">
        <f t="shared" si="3"/>
        <v>127/283</v>
      </c>
      <c r="BN226" s="142"/>
    </row>
    <row r="227" spans="1:66" x14ac:dyDescent="0.25">
      <c r="A227" s="162">
        <v>540169</v>
      </c>
      <c r="B227" s="162" t="s">
        <v>72</v>
      </c>
      <c r="C227" s="162" t="s">
        <v>73</v>
      </c>
      <c r="D227" s="162" t="s">
        <v>617</v>
      </c>
      <c r="E227" s="162" t="s">
        <v>616</v>
      </c>
      <c r="F227" s="162" t="s">
        <v>613</v>
      </c>
      <c r="G227" s="162">
        <v>3</v>
      </c>
      <c r="H227" s="162">
        <v>0</v>
      </c>
      <c r="I227" s="162">
        <v>2</v>
      </c>
      <c r="J227" s="162">
        <v>112.4</v>
      </c>
      <c r="K227" s="162">
        <v>12</v>
      </c>
      <c r="L227" s="163">
        <v>19</v>
      </c>
      <c r="M227" s="162">
        <v>19</v>
      </c>
      <c r="N227" s="162">
        <v>0</v>
      </c>
      <c r="O227" s="162">
        <v>140</v>
      </c>
      <c r="P227" s="164">
        <v>2416961</v>
      </c>
      <c r="Q227" s="162">
        <v>37</v>
      </c>
      <c r="R227" s="165">
        <v>-0.63161085699999997</v>
      </c>
      <c r="S227" s="162">
        <v>213</v>
      </c>
      <c r="T227" s="166">
        <v>0.92999999999999994</v>
      </c>
      <c r="U227" s="162">
        <v>38</v>
      </c>
      <c r="V227" s="163">
        <v>73</v>
      </c>
      <c r="W227" s="162">
        <v>24</v>
      </c>
      <c r="X227" s="163">
        <v>338</v>
      </c>
      <c r="Y227" s="162">
        <v>17</v>
      </c>
      <c r="Z227" s="162">
        <v>13</v>
      </c>
      <c r="AA227" s="162">
        <v>78</v>
      </c>
      <c r="AB227" s="162">
        <v>79</v>
      </c>
      <c r="AC227" s="162">
        <v>18</v>
      </c>
      <c r="AD227" s="167">
        <v>191</v>
      </c>
      <c r="AE227" s="162">
        <v>15</v>
      </c>
      <c r="AF227" s="163">
        <v>88</v>
      </c>
      <c r="AG227" s="162">
        <v>16</v>
      </c>
      <c r="AH227" s="163">
        <v>4186</v>
      </c>
      <c r="AI227" s="162">
        <v>3</v>
      </c>
      <c r="AJ227" s="163">
        <v>0.77490000000000003</v>
      </c>
      <c r="AK227" s="162">
        <v>265</v>
      </c>
      <c r="AL227" s="168">
        <v>42066</v>
      </c>
      <c r="AM227" s="162">
        <v>243</v>
      </c>
      <c r="AN227" s="162">
        <v>55</v>
      </c>
      <c r="AO227" s="162">
        <v>231</v>
      </c>
      <c r="AP227" s="162">
        <v>79</v>
      </c>
      <c r="AQ227" s="162">
        <v>18</v>
      </c>
      <c r="AR227" s="163">
        <v>88</v>
      </c>
      <c r="AS227" s="162">
        <v>16</v>
      </c>
      <c r="AT227" s="169">
        <v>-3.7983755375059722</v>
      </c>
      <c r="AU227" s="162">
        <v>242</v>
      </c>
      <c r="AV227" s="163">
        <v>0</v>
      </c>
      <c r="AW227" s="162">
        <v>194</v>
      </c>
      <c r="AX227" s="162" t="s">
        <v>615</v>
      </c>
      <c r="AY227" s="162">
        <v>999999</v>
      </c>
      <c r="AZ227" s="170">
        <v>0</v>
      </c>
      <c r="BA227" s="162">
        <v>14</v>
      </c>
      <c r="BB227" s="168">
        <v>42235</v>
      </c>
      <c r="BC227" s="162">
        <v>101</v>
      </c>
      <c r="BD227" s="171">
        <v>43412</v>
      </c>
      <c r="BE227" s="162">
        <v>44</v>
      </c>
      <c r="BF227" s="163">
        <v>1</v>
      </c>
      <c r="BG227" s="162">
        <v>1</v>
      </c>
      <c r="BH227" s="162">
        <v>2</v>
      </c>
      <c r="BI227" s="162">
        <v>68</v>
      </c>
      <c r="BJ227" s="162">
        <v>55</v>
      </c>
      <c r="BK227" s="162">
        <v>48</v>
      </c>
      <c r="BL227" s="161">
        <v>964998.66666666663</v>
      </c>
      <c r="BM227" s="162" t="str">
        <f t="shared" si="3"/>
        <v>41/283</v>
      </c>
      <c r="BN227" s="142"/>
    </row>
    <row r="228" spans="1:66" x14ac:dyDescent="0.25">
      <c r="A228" s="2">
        <v>540171</v>
      </c>
      <c r="B228" s="2" t="s">
        <v>243</v>
      </c>
      <c r="C228" s="2" t="s">
        <v>73</v>
      </c>
      <c r="D228" s="2" t="s">
        <v>612</v>
      </c>
      <c r="E228" s="2" t="s">
        <v>616</v>
      </c>
      <c r="F228" s="2" t="s">
        <v>613</v>
      </c>
      <c r="G228" s="2">
        <v>3</v>
      </c>
      <c r="H228" s="2">
        <v>0</v>
      </c>
      <c r="I228" s="2">
        <v>2</v>
      </c>
      <c r="J228" s="2">
        <v>112.4</v>
      </c>
      <c r="K228" s="2">
        <v>12</v>
      </c>
      <c r="L228" s="55">
        <v>0</v>
      </c>
      <c r="M228" s="2">
        <v>118</v>
      </c>
      <c r="N228" s="2">
        <v>0</v>
      </c>
      <c r="O228" s="2">
        <v>140</v>
      </c>
      <c r="P228" s="156">
        <v>695</v>
      </c>
      <c r="Q228" s="2">
        <v>245</v>
      </c>
      <c r="R228" s="157">
        <v>-0.63161085699999997</v>
      </c>
      <c r="S228" s="2">
        <v>213</v>
      </c>
      <c r="T228" s="158">
        <v>0.92999999999999994</v>
      </c>
      <c r="U228" s="2">
        <v>38</v>
      </c>
      <c r="V228" s="55">
        <v>2</v>
      </c>
      <c r="W228" s="2">
        <v>170</v>
      </c>
      <c r="X228" s="55">
        <v>1</v>
      </c>
      <c r="Y228" s="2">
        <v>237</v>
      </c>
      <c r="Z228" s="2">
        <v>13</v>
      </c>
      <c r="AA228" s="2">
        <v>78</v>
      </c>
      <c r="AB228" s="2">
        <v>1</v>
      </c>
      <c r="AC228" s="2">
        <v>186</v>
      </c>
      <c r="AD228" s="105">
        <v>2</v>
      </c>
      <c r="AE228" s="2">
        <v>228</v>
      </c>
      <c r="AF228" s="55">
        <v>0</v>
      </c>
      <c r="AG228" s="2">
        <v>184</v>
      </c>
      <c r="AH228" s="55">
        <v>0</v>
      </c>
      <c r="AI228" s="2">
        <v>135</v>
      </c>
      <c r="AJ228" s="55">
        <v>0.77490000000000003</v>
      </c>
      <c r="AK228" s="2">
        <v>265</v>
      </c>
      <c r="AL228" s="30">
        <v>42066</v>
      </c>
      <c r="AM228" s="2">
        <v>243</v>
      </c>
      <c r="AN228" s="2">
        <v>55</v>
      </c>
      <c r="AO228" s="2">
        <v>231</v>
      </c>
      <c r="AP228" s="2">
        <v>1</v>
      </c>
      <c r="AQ228" s="2">
        <v>186</v>
      </c>
      <c r="AR228" s="55">
        <v>0</v>
      </c>
      <c r="AS228" s="2">
        <v>184</v>
      </c>
      <c r="AT228" s="159">
        <v>0</v>
      </c>
      <c r="AU228" s="2">
        <v>81</v>
      </c>
      <c r="AV228" s="55">
        <v>0</v>
      </c>
      <c r="AW228" s="2">
        <v>194</v>
      </c>
      <c r="AX228" s="2" t="s">
        <v>615</v>
      </c>
      <c r="AY228" s="2">
        <v>999999</v>
      </c>
      <c r="AZ228" s="106">
        <v>0</v>
      </c>
      <c r="BA228" s="2">
        <v>14</v>
      </c>
      <c r="BB228" s="30">
        <v>43413</v>
      </c>
      <c r="BC228" s="2">
        <v>234</v>
      </c>
      <c r="BD228" s="160">
        <v>41806</v>
      </c>
      <c r="BE228" s="2">
        <v>1</v>
      </c>
      <c r="BF228" s="55">
        <v>1</v>
      </c>
      <c r="BG228" s="2">
        <v>1</v>
      </c>
      <c r="BH228" s="2">
        <v>2</v>
      </c>
      <c r="BI228" s="2">
        <v>68</v>
      </c>
      <c r="BJ228" s="2">
        <v>55</v>
      </c>
      <c r="BK228" s="2">
        <v>48</v>
      </c>
      <c r="BL228" s="161">
        <v>966557.70370370371</v>
      </c>
      <c r="BM228" s="2" t="str">
        <f t="shared" si="3"/>
        <v>232/283</v>
      </c>
      <c r="BN228" s="142"/>
    </row>
    <row r="229" spans="1:66" x14ac:dyDescent="0.25">
      <c r="A229" s="162">
        <v>540224</v>
      </c>
      <c r="B229" s="162" t="s">
        <v>96</v>
      </c>
      <c r="C229" s="162" t="s">
        <v>97</v>
      </c>
      <c r="D229" s="162" t="s">
        <v>617</v>
      </c>
      <c r="E229" s="162" t="s">
        <v>616</v>
      </c>
      <c r="F229" s="162" t="s">
        <v>613</v>
      </c>
      <c r="G229" s="162">
        <v>3</v>
      </c>
      <c r="H229" s="162">
        <v>0</v>
      </c>
      <c r="I229" s="162">
        <v>2</v>
      </c>
      <c r="J229" s="162">
        <v>17.600000000000001</v>
      </c>
      <c r="K229" s="162">
        <v>123</v>
      </c>
      <c r="L229" s="163">
        <v>0</v>
      </c>
      <c r="M229" s="162">
        <v>118</v>
      </c>
      <c r="N229" s="162">
        <v>0</v>
      </c>
      <c r="O229" s="162">
        <v>140</v>
      </c>
      <c r="P229" s="164">
        <v>275514</v>
      </c>
      <c r="Q229" s="162">
        <v>125</v>
      </c>
      <c r="R229" s="165">
        <v>0.40080429400000001</v>
      </c>
      <c r="S229" s="162">
        <v>102</v>
      </c>
      <c r="T229" s="166">
        <v>0.95</v>
      </c>
      <c r="U229" s="162">
        <v>1</v>
      </c>
      <c r="V229" s="163">
        <v>12</v>
      </c>
      <c r="W229" s="162">
        <v>85</v>
      </c>
      <c r="X229" s="163">
        <v>30</v>
      </c>
      <c r="Y229" s="162">
        <v>127</v>
      </c>
      <c r="Z229" s="162">
        <v>11</v>
      </c>
      <c r="AA229" s="162">
        <v>155</v>
      </c>
      <c r="AB229" s="162">
        <v>10</v>
      </c>
      <c r="AC229" s="162">
        <v>103</v>
      </c>
      <c r="AD229" s="167">
        <v>38</v>
      </c>
      <c r="AE229" s="162">
        <v>89</v>
      </c>
      <c r="AF229" s="163">
        <v>10</v>
      </c>
      <c r="AG229" s="162">
        <v>108</v>
      </c>
      <c r="AH229" s="163">
        <v>1094</v>
      </c>
      <c r="AI229" s="162">
        <v>48</v>
      </c>
      <c r="AJ229" s="163">
        <v>0.38900000000000001</v>
      </c>
      <c r="AK229" s="162">
        <v>83</v>
      </c>
      <c r="AL229" s="168">
        <v>43145</v>
      </c>
      <c r="AM229" s="162">
        <v>26</v>
      </c>
      <c r="AN229" s="162">
        <v>0</v>
      </c>
      <c r="AO229" s="162">
        <v>1</v>
      </c>
      <c r="AP229" s="162">
        <v>10</v>
      </c>
      <c r="AQ229" s="162">
        <v>103</v>
      </c>
      <c r="AR229" s="163">
        <v>10</v>
      </c>
      <c r="AS229" s="162">
        <v>108</v>
      </c>
      <c r="AT229" s="169">
        <v>-6.0329067641681906</v>
      </c>
      <c r="AU229" s="162">
        <v>246</v>
      </c>
      <c r="AV229" s="163">
        <v>1</v>
      </c>
      <c r="AW229" s="162">
        <v>1</v>
      </c>
      <c r="AX229" s="162" t="s">
        <v>615</v>
      </c>
      <c r="AY229" s="162">
        <v>999999</v>
      </c>
      <c r="AZ229" s="170">
        <v>0</v>
      </c>
      <c r="BA229" s="162">
        <v>14</v>
      </c>
      <c r="BB229" s="168">
        <v>41010</v>
      </c>
      <c r="BC229" s="162">
        <v>79</v>
      </c>
      <c r="BD229" s="171">
        <v>41806</v>
      </c>
      <c r="BE229" s="162">
        <v>1</v>
      </c>
      <c r="BF229" s="163">
        <v>1</v>
      </c>
      <c r="BG229" s="162">
        <v>1</v>
      </c>
      <c r="BH229" s="162">
        <v>0</v>
      </c>
      <c r="BI229" s="162">
        <v>239</v>
      </c>
      <c r="BJ229" s="162">
        <v>0</v>
      </c>
      <c r="BK229" s="162">
        <v>249</v>
      </c>
      <c r="BL229" s="161">
        <v>965345.33333333326</v>
      </c>
      <c r="BM229" s="162" t="str">
        <f t="shared" si="3"/>
        <v>81/283</v>
      </c>
      <c r="BN229" s="142"/>
    </row>
    <row r="230" spans="1:66" x14ac:dyDescent="0.25">
      <c r="A230" s="2">
        <v>540262</v>
      </c>
      <c r="B230" s="2" t="s">
        <v>305</v>
      </c>
      <c r="C230" s="2" t="s">
        <v>97</v>
      </c>
      <c r="D230" s="2" t="s">
        <v>612</v>
      </c>
      <c r="E230" s="2" t="s">
        <v>616</v>
      </c>
      <c r="F230" s="2" t="s">
        <v>613</v>
      </c>
      <c r="G230" s="2">
        <v>3</v>
      </c>
      <c r="H230" s="2">
        <v>0</v>
      </c>
      <c r="I230" s="2">
        <v>0</v>
      </c>
      <c r="J230" s="2">
        <v>17.600000000000001</v>
      </c>
      <c r="K230" s="2">
        <v>123</v>
      </c>
      <c r="L230" s="55">
        <v>0</v>
      </c>
      <c r="M230" s="2">
        <v>118</v>
      </c>
      <c r="N230" s="2">
        <v>0</v>
      </c>
      <c r="O230" s="2">
        <v>140</v>
      </c>
      <c r="P230" s="156" t="s">
        <v>614</v>
      </c>
      <c r="Q230" s="2">
        <v>999999</v>
      </c>
      <c r="R230" s="157">
        <v>0.40080429400000001</v>
      </c>
      <c r="S230" s="2">
        <v>102</v>
      </c>
      <c r="T230" s="158">
        <v>0.95</v>
      </c>
      <c r="U230" s="2">
        <v>1</v>
      </c>
      <c r="V230" s="55">
        <v>0</v>
      </c>
      <c r="W230" s="2">
        <v>230</v>
      </c>
      <c r="X230" s="55" t="s">
        <v>614</v>
      </c>
      <c r="Y230" s="2">
        <v>999999</v>
      </c>
      <c r="Z230" s="2">
        <v>11</v>
      </c>
      <c r="AA230" s="2">
        <v>155</v>
      </c>
      <c r="AB230" s="2">
        <v>0</v>
      </c>
      <c r="AC230" s="2">
        <v>222</v>
      </c>
      <c r="AD230" s="105" t="s">
        <v>614</v>
      </c>
      <c r="AE230" s="2">
        <v>999999</v>
      </c>
      <c r="AF230" s="55">
        <v>0</v>
      </c>
      <c r="AG230" s="2">
        <v>184</v>
      </c>
      <c r="AH230" s="55">
        <v>0</v>
      </c>
      <c r="AI230" s="2">
        <v>135</v>
      </c>
      <c r="AJ230" s="55">
        <v>0.38900000000000001</v>
      </c>
      <c r="AK230" s="2">
        <v>83</v>
      </c>
      <c r="AL230" s="30">
        <v>43145</v>
      </c>
      <c r="AM230" s="2">
        <v>26</v>
      </c>
      <c r="AN230" s="2">
        <v>0</v>
      </c>
      <c r="AO230" s="2">
        <v>1</v>
      </c>
      <c r="AP230" s="2">
        <v>0</v>
      </c>
      <c r="AQ230" s="2">
        <v>222</v>
      </c>
      <c r="AR230" s="55">
        <v>0</v>
      </c>
      <c r="AS230" s="2">
        <v>184</v>
      </c>
      <c r="AT230" s="159">
        <v>0</v>
      </c>
      <c r="AU230" s="2">
        <v>81</v>
      </c>
      <c r="AV230" s="55">
        <v>1</v>
      </c>
      <c r="AW230" s="2">
        <v>1</v>
      </c>
      <c r="AX230" s="2" t="s">
        <v>615</v>
      </c>
      <c r="AY230" s="2">
        <v>999999</v>
      </c>
      <c r="AZ230" s="106">
        <v>0</v>
      </c>
      <c r="BA230" s="2">
        <v>14</v>
      </c>
      <c r="BB230" s="30">
        <v>40827</v>
      </c>
      <c r="BC230" s="2">
        <v>70</v>
      </c>
      <c r="BD230" s="160">
        <v>41806</v>
      </c>
      <c r="BE230" s="2">
        <v>1</v>
      </c>
      <c r="BF230" s="55">
        <v>0</v>
      </c>
      <c r="BG230" s="2">
        <v>183</v>
      </c>
      <c r="BH230" s="2">
        <v>0</v>
      </c>
      <c r="BI230" s="2">
        <v>239</v>
      </c>
      <c r="BJ230" s="2">
        <v>0</v>
      </c>
      <c r="BK230" s="2">
        <v>249</v>
      </c>
      <c r="BL230" s="161">
        <v>3854509.6296296301</v>
      </c>
      <c r="BM230" s="2" t="str">
        <f t="shared" si="3"/>
        <v>261/283</v>
      </c>
      <c r="BN230" s="142"/>
    </row>
    <row r="231" spans="1:66" x14ac:dyDescent="0.25">
      <c r="A231" s="2">
        <v>540179</v>
      </c>
      <c r="B231" s="2" t="s">
        <v>250</v>
      </c>
      <c r="C231" s="2" t="s">
        <v>97</v>
      </c>
      <c r="D231" s="2" t="s">
        <v>612</v>
      </c>
      <c r="E231" s="2" t="s">
        <v>616</v>
      </c>
      <c r="F231" s="2" t="s">
        <v>613</v>
      </c>
      <c r="G231" s="2">
        <v>3</v>
      </c>
      <c r="H231" s="2">
        <v>0</v>
      </c>
      <c r="I231" s="2">
        <v>2</v>
      </c>
      <c r="J231" s="2">
        <v>17.600000000000001</v>
      </c>
      <c r="K231" s="2">
        <v>123</v>
      </c>
      <c r="L231" s="55">
        <v>0</v>
      </c>
      <c r="M231" s="2">
        <v>118</v>
      </c>
      <c r="N231" s="2">
        <v>0</v>
      </c>
      <c r="O231" s="2">
        <v>140</v>
      </c>
      <c r="P231" s="156">
        <v>63097</v>
      </c>
      <c r="Q231" s="2">
        <v>178</v>
      </c>
      <c r="R231" s="157">
        <v>0.40080429400000001</v>
      </c>
      <c r="S231" s="2">
        <v>102</v>
      </c>
      <c r="T231" s="158">
        <v>0.95</v>
      </c>
      <c r="U231" s="2">
        <v>1</v>
      </c>
      <c r="V231" s="55">
        <v>3</v>
      </c>
      <c r="W231" s="2">
        <v>153</v>
      </c>
      <c r="X231" s="55">
        <v>16</v>
      </c>
      <c r="Y231" s="2">
        <v>158</v>
      </c>
      <c r="Z231" s="2">
        <v>11</v>
      </c>
      <c r="AA231" s="2">
        <v>155</v>
      </c>
      <c r="AB231" s="2">
        <v>0</v>
      </c>
      <c r="AC231" s="2">
        <v>222</v>
      </c>
      <c r="AD231" s="105">
        <v>2</v>
      </c>
      <c r="AE231" s="2">
        <v>228</v>
      </c>
      <c r="AF231" s="55">
        <v>0</v>
      </c>
      <c r="AG231" s="2">
        <v>184</v>
      </c>
      <c r="AH231" s="55">
        <v>0</v>
      </c>
      <c r="AI231" s="2">
        <v>135</v>
      </c>
      <c r="AJ231" s="55">
        <v>0.38900000000000001</v>
      </c>
      <c r="AK231" s="2">
        <v>83</v>
      </c>
      <c r="AL231" s="30">
        <v>43145</v>
      </c>
      <c r="AM231" s="2">
        <v>26</v>
      </c>
      <c r="AN231" s="2">
        <v>0</v>
      </c>
      <c r="AO231" s="2">
        <v>1</v>
      </c>
      <c r="AP231" s="2">
        <v>0</v>
      </c>
      <c r="AQ231" s="2">
        <v>222</v>
      </c>
      <c r="AR231" s="55">
        <v>0</v>
      </c>
      <c r="AS231" s="2">
        <v>184</v>
      </c>
      <c r="AT231" s="159">
        <v>0</v>
      </c>
      <c r="AU231" s="2">
        <v>81</v>
      </c>
      <c r="AV231" s="55">
        <v>1</v>
      </c>
      <c r="AW231" s="2">
        <v>1</v>
      </c>
      <c r="AX231" s="2" t="s">
        <v>615</v>
      </c>
      <c r="AY231" s="2">
        <v>999999</v>
      </c>
      <c r="AZ231" s="106">
        <v>0</v>
      </c>
      <c r="BA231" s="2">
        <v>14</v>
      </c>
      <c r="BB231" s="30">
        <v>40827</v>
      </c>
      <c r="BC231" s="2">
        <v>70</v>
      </c>
      <c r="BD231" s="160">
        <v>43171</v>
      </c>
      <c r="BE231" s="2">
        <v>39</v>
      </c>
      <c r="BF231" s="55">
        <v>0</v>
      </c>
      <c r="BG231" s="2">
        <v>183</v>
      </c>
      <c r="BH231" s="2">
        <v>0</v>
      </c>
      <c r="BI231" s="2">
        <v>239</v>
      </c>
      <c r="BJ231" s="2">
        <v>0</v>
      </c>
      <c r="BK231" s="2">
        <v>249</v>
      </c>
      <c r="BL231" s="161">
        <v>966129.18518518517</v>
      </c>
      <c r="BM231" s="2" t="str">
        <f t="shared" si="3"/>
        <v>185/283</v>
      </c>
      <c r="BN231" s="142"/>
    </row>
    <row r="232" spans="1:66" x14ac:dyDescent="0.25">
      <c r="A232" s="2">
        <v>540132</v>
      </c>
      <c r="B232" s="2" t="s">
        <v>216</v>
      </c>
      <c r="C232" s="2" t="s">
        <v>97</v>
      </c>
      <c r="D232" s="2" t="s">
        <v>612</v>
      </c>
      <c r="E232" s="2" t="s">
        <v>616</v>
      </c>
      <c r="F232" s="2" t="s">
        <v>613</v>
      </c>
      <c r="G232" s="2">
        <v>3</v>
      </c>
      <c r="H232" s="2">
        <v>0</v>
      </c>
      <c r="I232" s="2">
        <v>0</v>
      </c>
      <c r="J232" s="2">
        <v>17.600000000000001</v>
      </c>
      <c r="K232" s="2">
        <v>123</v>
      </c>
      <c r="L232" s="55">
        <v>0</v>
      </c>
      <c r="M232" s="2">
        <v>118</v>
      </c>
      <c r="N232" s="2">
        <v>0</v>
      </c>
      <c r="O232" s="2">
        <v>140</v>
      </c>
      <c r="P232" s="156" t="s">
        <v>614</v>
      </c>
      <c r="Q232" s="2">
        <v>999999</v>
      </c>
      <c r="R232" s="157">
        <v>0.40080429400000001</v>
      </c>
      <c r="S232" s="2">
        <v>102</v>
      </c>
      <c r="T232" s="158">
        <v>0.95</v>
      </c>
      <c r="U232" s="2">
        <v>1</v>
      </c>
      <c r="V232" s="55">
        <v>0</v>
      </c>
      <c r="W232" s="2">
        <v>230</v>
      </c>
      <c r="X232" s="55" t="s">
        <v>614</v>
      </c>
      <c r="Y232" s="2">
        <v>999999</v>
      </c>
      <c r="Z232" s="2">
        <v>11</v>
      </c>
      <c r="AA232" s="2">
        <v>155</v>
      </c>
      <c r="AB232" s="2">
        <v>0</v>
      </c>
      <c r="AC232" s="2">
        <v>222</v>
      </c>
      <c r="AD232" s="105" t="s">
        <v>614</v>
      </c>
      <c r="AE232" s="2">
        <v>999999</v>
      </c>
      <c r="AF232" s="55">
        <v>0</v>
      </c>
      <c r="AG232" s="2">
        <v>184</v>
      </c>
      <c r="AH232" s="55">
        <v>169</v>
      </c>
      <c r="AI232" s="2">
        <v>106</v>
      </c>
      <c r="AJ232" s="55">
        <v>0.38900000000000001</v>
      </c>
      <c r="AK232" s="2">
        <v>83</v>
      </c>
      <c r="AL232" s="30">
        <v>43145</v>
      </c>
      <c r="AM232" s="2">
        <v>26</v>
      </c>
      <c r="AN232" s="2">
        <v>0</v>
      </c>
      <c r="AO232" s="2">
        <v>1</v>
      </c>
      <c r="AP232" s="2">
        <v>0</v>
      </c>
      <c r="AQ232" s="2">
        <v>222</v>
      </c>
      <c r="AR232" s="55">
        <v>0</v>
      </c>
      <c r="AS232" s="2">
        <v>184</v>
      </c>
      <c r="AT232" s="159">
        <v>-30.177514792899409</v>
      </c>
      <c r="AU232" s="2">
        <v>277</v>
      </c>
      <c r="AV232" s="55">
        <v>0</v>
      </c>
      <c r="AW232" s="2">
        <v>194</v>
      </c>
      <c r="AX232" s="2" t="s">
        <v>615</v>
      </c>
      <c r="AY232" s="2">
        <v>999999</v>
      </c>
      <c r="AZ232" s="106">
        <v>0</v>
      </c>
      <c r="BA232" s="2">
        <v>14</v>
      </c>
      <c r="BB232" s="30">
        <v>43536</v>
      </c>
      <c r="BC232" s="2">
        <v>256</v>
      </c>
      <c r="BD232" s="160">
        <v>41806</v>
      </c>
      <c r="BE232" s="2">
        <v>1</v>
      </c>
      <c r="BF232" s="55">
        <v>1</v>
      </c>
      <c r="BG232" s="2">
        <v>1</v>
      </c>
      <c r="BH232" s="2">
        <v>0</v>
      </c>
      <c r="BI232" s="2">
        <v>239</v>
      </c>
      <c r="BJ232" s="2">
        <v>0</v>
      </c>
      <c r="BK232" s="2">
        <v>249</v>
      </c>
      <c r="BL232" s="161">
        <v>3854860.1481481493</v>
      </c>
      <c r="BM232" s="2" t="str">
        <f t="shared" si="3"/>
        <v>264/283</v>
      </c>
      <c r="BN232" s="142"/>
    </row>
    <row r="233" spans="1:66" x14ac:dyDescent="0.25">
      <c r="A233" s="2">
        <v>540182</v>
      </c>
      <c r="B233" s="2" t="s">
        <v>252</v>
      </c>
      <c r="C233" s="2" t="s">
        <v>97</v>
      </c>
      <c r="D233" s="2" t="s">
        <v>612</v>
      </c>
      <c r="E233" s="2" t="s">
        <v>616</v>
      </c>
      <c r="F233" s="2" t="s">
        <v>613</v>
      </c>
      <c r="G233" s="2">
        <v>3</v>
      </c>
      <c r="H233" s="2">
        <v>0</v>
      </c>
      <c r="I233" s="2">
        <v>2</v>
      </c>
      <c r="J233" s="2">
        <v>17.600000000000001</v>
      </c>
      <c r="K233" s="2">
        <v>123</v>
      </c>
      <c r="L233" s="55">
        <v>0</v>
      </c>
      <c r="M233" s="2">
        <v>118</v>
      </c>
      <c r="N233" s="2">
        <v>0</v>
      </c>
      <c r="O233" s="2">
        <v>140</v>
      </c>
      <c r="P233" s="156">
        <v>124484</v>
      </c>
      <c r="Q233" s="2">
        <v>155</v>
      </c>
      <c r="R233" s="157">
        <v>0.40080429400000001</v>
      </c>
      <c r="S233" s="2">
        <v>102</v>
      </c>
      <c r="T233" s="158">
        <v>0.95</v>
      </c>
      <c r="U233" s="2">
        <v>1</v>
      </c>
      <c r="V233" s="55">
        <v>5</v>
      </c>
      <c r="W233" s="2">
        <v>121</v>
      </c>
      <c r="X233" s="55">
        <v>20</v>
      </c>
      <c r="Y233" s="2">
        <v>147</v>
      </c>
      <c r="Z233" s="2">
        <v>11</v>
      </c>
      <c r="AA233" s="2">
        <v>155</v>
      </c>
      <c r="AB233" s="2">
        <v>4</v>
      </c>
      <c r="AC233" s="2">
        <v>139</v>
      </c>
      <c r="AD233" s="105">
        <v>18</v>
      </c>
      <c r="AE233" s="2">
        <v>123</v>
      </c>
      <c r="AF233" s="55">
        <v>3</v>
      </c>
      <c r="AG233" s="2">
        <v>152</v>
      </c>
      <c r="AH233" s="55">
        <v>137</v>
      </c>
      <c r="AI233" s="2">
        <v>114</v>
      </c>
      <c r="AJ233" s="55">
        <v>0.38900000000000001</v>
      </c>
      <c r="AK233" s="2">
        <v>83</v>
      </c>
      <c r="AL233" s="30">
        <v>43145</v>
      </c>
      <c r="AM233" s="2">
        <v>26</v>
      </c>
      <c r="AN233" s="2">
        <v>0</v>
      </c>
      <c r="AO233" s="2">
        <v>1</v>
      </c>
      <c r="AP233" s="2">
        <v>4</v>
      </c>
      <c r="AQ233" s="2">
        <v>139</v>
      </c>
      <c r="AR233" s="55">
        <v>3</v>
      </c>
      <c r="AS233" s="2">
        <v>152</v>
      </c>
      <c r="AT233" s="159">
        <v>-21.167883211678831</v>
      </c>
      <c r="AU233" s="2">
        <v>270</v>
      </c>
      <c r="AV233" s="55">
        <v>1</v>
      </c>
      <c r="AW233" s="2">
        <v>1</v>
      </c>
      <c r="AX233" s="2" t="s">
        <v>615</v>
      </c>
      <c r="AY233" s="2">
        <v>999999</v>
      </c>
      <c r="AZ233" s="106">
        <v>0</v>
      </c>
      <c r="BA233" s="2">
        <v>14</v>
      </c>
      <c r="BB233" s="30">
        <v>43536</v>
      </c>
      <c r="BC233" s="2">
        <v>256</v>
      </c>
      <c r="BD233" s="160">
        <v>41806</v>
      </c>
      <c r="BE233" s="2">
        <v>1</v>
      </c>
      <c r="BF233" s="55">
        <v>1</v>
      </c>
      <c r="BG233" s="2">
        <v>1</v>
      </c>
      <c r="BH233" s="2">
        <v>0</v>
      </c>
      <c r="BI233" s="2">
        <v>239</v>
      </c>
      <c r="BJ233" s="2">
        <v>0</v>
      </c>
      <c r="BK233" s="2">
        <v>249</v>
      </c>
      <c r="BL233" s="161">
        <v>965872.07407407393</v>
      </c>
      <c r="BM233" s="2" t="str">
        <f t="shared" si="3"/>
        <v>145/283</v>
      </c>
      <c r="BN233" s="142"/>
    </row>
    <row r="234" spans="1:66" x14ac:dyDescent="0.25">
      <c r="A234" s="2">
        <v>540263</v>
      </c>
      <c r="B234" s="2" t="s">
        <v>306</v>
      </c>
      <c r="C234" s="2" t="s">
        <v>97</v>
      </c>
      <c r="D234" s="2" t="s">
        <v>612</v>
      </c>
      <c r="E234" s="2" t="s">
        <v>616</v>
      </c>
      <c r="F234" s="2" t="s">
        <v>613</v>
      </c>
      <c r="G234" s="2">
        <v>3</v>
      </c>
      <c r="H234" s="2">
        <v>0</v>
      </c>
      <c r="I234" s="2">
        <v>0</v>
      </c>
      <c r="J234" s="2">
        <v>17.600000000000001</v>
      </c>
      <c r="K234" s="2">
        <v>123</v>
      </c>
      <c r="L234" s="55">
        <v>0</v>
      </c>
      <c r="M234" s="2">
        <v>118</v>
      </c>
      <c r="N234" s="2">
        <v>0</v>
      </c>
      <c r="O234" s="2">
        <v>140</v>
      </c>
      <c r="P234" s="156" t="s">
        <v>614</v>
      </c>
      <c r="Q234" s="2">
        <v>999999</v>
      </c>
      <c r="R234" s="157">
        <v>0.40080429400000001</v>
      </c>
      <c r="S234" s="2">
        <v>102</v>
      </c>
      <c r="T234" s="158">
        <v>0.95</v>
      </c>
      <c r="U234" s="2">
        <v>1</v>
      </c>
      <c r="V234" s="55">
        <v>0</v>
      </c>
      <c r="W234" s="2">
        <v>230</v>
      </c>
      <c r="X234" s="55" t="s">
        <v>614</v>
      </c>
      <c r="Y234" s="2">
        <v>999999</v>
      </c>
      <c r="Z234" s="2">
        <v>11</v>
      </c>
      <c r="AA234" s="2">
        <v>155</v>
      </c>
      <c r="AB234" s="2">
        <v>0</v>
      </c>
      <c r="AC234" s="2">
        <v>222</v>
      </c>
      <c r="AD234" s="105" t="s">
        <v>614</v>
      </c>
      <c r="AE234" s="2">
        <v>999999</v>
      </c>
      <c r="AF234" s="55">
        <v>0</v>
      </c>
      <c r="AG234" s="2">
        <v>184</v>
      </c>
      <c r="AH234" s="55">
        <v>0</v>
      </c>
      <c r="AI234" s="2">
        <v>135</v>
      </c>
      <c r="AJ234" s="55">
        <v>0.38900000000000001</v>
      </c>
      <c r="AK234" s="2">
        <v>83</v>
      </c>
      <c r="AL234" s="30">
        <v>43145</v>
      </c>
      <c r="AM234" s="2">
        <v>26</v>
      </c>
      <c r="AN234" s="2">
        <v>0</v>
      </c>
      <c r="AO234" s="2">
        <v>1</v>
      </c>
      <c r="AP234" s="2">
        <v>0</v>
      </c>
      <c r="AQ234" s="2">
        <v>222</v>
      </c>
      <c r="AR234" s="55">
        <v>0</v>
      </c>
      <c r="AS234" s="2">
        <v>184</v>
      </c>
      <c r="AT234" s="159">
        <v>0</v>
      </c>
      <c r="AU234" s="2">
        <v>81</v>
      </c>
      <c r="AV234" s="55">
        <v>1</v>
      </c>
      <c r="AW234" s="2">
        <v>1</v>
      </c>
      <c r="AX234" s="2" t="s">
        <v>615</v>
      </c>
      <c r="AY234" s="2">
        <v>999999</v>
      </c>
      <c r="AZ234" s="106">
        <v>0</v>
      </c>
      <c r="BA234" s="2">
        <v>14</v>
      </c>
      <c r="BB234" s="30">
        <v>43536</v>
      </c>
      <c r="BC234" s="2">
        <v>256</v>
      </c>
      <c r="BD234" s="160">
        <v>41806</v>
      </c>
      <c r="BE234" s="2">
        <v>1</v>
      </c>
      <c r="BF234" s="55">
        <v>0</v>
      </c>
      <c r="BG234" s="2">
        <v>183</v>
      </c>
      <c r="BH234" s="2">
        <v>0</v>
      </c>
      <c r="BI234" s="2">
        <v>239</v>
      </c>
      <c r="BJ234" s="2">
        <v>0</v>
      </c>
      <c r="BK234" s="2">
        <v>249</v>
      </c>
      <c r="BL234" s="161">
        <v>3854688.7407407416</v>
      </c>
      <c r="BM234" s="2" t="str">
        <f t="shared" si="3"/>
        <v>262/283</v>
      </c>
      <c r="BN234" s="142"/>
    </row>
    <row r="235" spans="1:66" x14ac:dyDescent="0.25">
      <c r="A235" s="162">
        <v>540183</v>
      </c>
      <c r="B235" s="162" t="s">
        <v>76</v>
      </c>
      <c r="C235" s="162" t="s">
        <v>77</v>
      </c>
      <c r="D235" s="162" t="s">
        <v>617</v>
      </c>
      <c r="E235" s="162" t="s">
        <v>616</v>
      </c>
      <c r="F235" s="162" t="s">
        <v>613</v>
      </c>
      <c r="G235" s="162">
        <v>3</v>
      </c>
      <c r="H235" s="162">
        <v>0</v>
      </c>
      <c r="I235" s="162">
        <v>2</v>
      </c>
      <c r="J235" s="162">
        <v>21</v>
      </c>
      <c r="K235" s="162">
        <v>111</v>
      </c>
      <c r="L235" s="163">
        <v>8</v>
      </c>
      <c r="M235" s="162">
        <v>44</v>
      </c>
      <c r="N235" s="162">
        <v>0</v>
      </c>
      <c r="O235" s="162">
        <v>140</v>
      </c>
      <c r="P235" s="164">
        <v>2202986</v>
      </c>
      <c r="Q235" s="162">
        <v>42</v>
      </c>
      <c r="R235" s="165">
        <v>-0.130956502</v>
      </c>
      <c r="S235" s="162">
        <v>141</v>
      </c>
      <c r="T235" s="166">
        <v>0.85</v>
      </c>
      <c r="U235" s="162">
        <v>218</v>
      </c>
      <c r="V235" s="163">
        <v>80</v>
      </c>
      <c r="W235" s="162">
        <v>18</v>
      </c>
      <c r="X235" s="163">
        <v>82</v>
      </c>
      <c r="Y235" s="162">
        <v>72</v>
      </c>
      <c r="Z235" s="162">
        <v>15</v>
      </c>
      <c r="AA235" s="162">
        <v>44</v>
      </c>
      <c r="AB235" s="162">
        <v>20</v>
      </c>
      <c r="AC235" s="162">
        <v>76</v>
      </c>
      <c r="AD235" s="167">
        <v>120</v>
      </c>
      <c r="AE235" s="162">
        <v>38</v>
      </c>
      <c r="AF235" s="163">
        <v>16</v>
      </c>
      <c r="AG235" s="162">
        <v>78</v>
      </c>
      <c r="AH235" s="163">
        <v>1480</v>
      </c>
      <c r="AI235" s="162">
        <v>36</v>
      </c>
      <c r="AJ235" s="163">
        <v>0.55079999999999996</v>
      </c>
      <c r="AK235" s="162">
        <v>175</v>
      </c>
      <c r="AL235" s="168">
        <v>42543</v>
      </c>
      <c r="AM235" s="162">
        <v>161</v>
      </c>
      <c r="AN235" s="162">
        <v>0</v>
      </c>
      <c r="AO235" s="162">
        <v>1</v>
      </c>
      <c r="AP235" s="162">
        <v>20</v>
      </c>
      <c r="AQ235" s="162">
        <v>76</v>
      </c>
      <c r="AR235" s="163">
        <v>16</v>
      </c>
      <c r="AS235" s="162">
        <v>78</v>
      </c>
      <c r="AT235" s="169">
        <v>12.702702702702704</v>
      </c>
      <c r="AU235" s="162">
        <v>18</v>
      </c>
      <c r="AV235" s="163">
        <v>1</v>
      </c>
      <c r="AW235" s="162">
        <v>1</v>
      </c>
      <c r="AX235" s="162" t="s">
        <v>615</v>
      </c>
      <c r="AY235" s="162">
        <v>999999</v>
      </c>
      <c r="AZ235" s="170">
        <v>0</v>
      </c>
      <c r="BA235" s="162">
        <v>14</v>
      </c>
      <c r="BB235" s="168">
        <v>42969</v>
      </c>
      <c r="BC235" s="162">
        <v>126</v>
      </c>
      <c r="BD235" s="171">
        <v>43558</v>
      </c>
      <c r="BE235" s="162">
        <v>58</v>
      </c>
      <c r="BF235" s="163">
        <v>0</v>
      </c>
      <c r="BG235" s="162">
        <v>183</v>
      </c>
      <c r="BH235" s="162">
        <v>4</v>
      </c>
      <c r="BI235" s="162">
        <v>34</v>
      </c>
      <c r="BJ235" s="162">
        <v>0</v>
      </c>
      <c r="BK235" s="162">
        <v>249</v>
      </c>
      <c r="BL235" s="161">
        <v>965111.33333333337</v>
      </c>
      <c r="BM235" s="162" t="str">
        <f t="shared" si="3"/>
        <v>49/283</v>
      </c>
      <c r="BN235" s="142"/>
    </row>
    <row r="236" spans="1:66" x14ac:dyDescent="0.25">
      <c r="A236" s="2">
        <v>540185</v>
      </c>
      <c r="B236" s="2" t="s">
        <v>254</v>
      </c>
      <c r="C236" s="2" t="s">
        <v>77</v>
      </c>
      <c r="D236" s="2" t="s">
        <v>612</v>
      </c>
      <c r="E236" s="2" t="s">
        <v>616</v>
      </c>
      <c r="F236" s="2" t="s">
        <v>613</v>
      </c>
      <c r="G236" s="2">
        <v>3</v>
      </c>
      <c r="H236" s="2">
        <v>0</v>
      </c>
      <c r="I236" s="2">
        <v>2</v>
      </c>
      <c r="J236" s="2">
        <v>21</v>
      </c>
      <c r="K236" s="2">
        <v>111</v>
      </c>
      <c r="L236" s="55">
        <v>5</v>
      </c>
      <c r="M236" s="2">
        <v>61</v>
      </c>
      <c r="N236" s="2">
        <v>0</v>
      </c>
      <c r="O236" s="2">
        <v>140</v>
      </c>
      <c r="P236" s="156">
        <v>776403</v>
      </c>
      <c r="Q236" s="2">
        <v>79</v>
      </c>
      <c r="R236" s="157">
        <v>-0.130956502</v>
      </c>
      <c r="S236" s="2">
        <v>141</v>
      </c>
      <c r="T236" s="158">
        <v>0.85</v>
      </c>
      <c r="U236" s="2">
        <v>218</v>
      </c>
      <c r="V236" s="55">
        <v>7</v>
      </c>
      <c r="W236" s="2">
        <v>105</v>
      </c>
      <c r="X236" s="55">
        <v>48</v>
      </c>
      <c r="Y236" s="2">
        <v>92</v>
      </c>
      <c r="Z236" s="2">
        <v>15</v>
      </c>
      <c r="AA236" s="2">
        <v>44</v>
      </c>
      <c r="AB236" s="2">
        <v>34</v>
      </c>
      <c r="AC236" s="2">
        <v>52</v>
      </c>
      <c r="AD236" s="105">
        <v>41</v>
      </c>
      <c r="AE236" s="2">
        <v>84</v>
      </c>
      <c r="AF236" s="55">
        <v>9</v>
      </c>
      <c r="AG236" s="2">
        <v>112</v>
      </c>
      <c r="AH236" s="55">
        <v>0</v>
      </c>
      <c r="AI236" s="2">
        <v>135</v>
      </c>
      <c r="AJ236" s="55">
        <v>0.55079999999999996</v>
      </c>
      <c r="AK236" s="2">
        <v>175</v>
      </c>
      <c r="AL236" s="30">
        <v>42543</v>
      </c>
      <c r="AM236" s="2">
        <v>161</v>
      </c>
      <c r="AN236" s="2">
        <v>0</v>
      </c>
      <c r="AO236" s="2">
        <v>1</v>
      </c>
      <c r="AP236" s="2">
        <v>34</v>
      </c>
      <c r="AQ236" s="2">
        <v>52</v>
      </c>
      <c r="AR236" s="55">
        <v>9</v>
      </c>
      <c r="AS236" s="2">
        <v>112</v>
      </c>
      <c r="AT236" s="159">
        <v>0</v>
      </c>
      <c r="AU236" s="2">
        <v>81</v>
      </c>
      <c r="AV236" s="55">
        <v>0</v>
      </c>
      <c r="AW236" s="2">
        <v>194</v>
      </c>
      <c r="AX236" s="2" t="s">
        <v>615</v>
      </c>
      <c r="AY236" s="2">
        <v>999999</v>
      </c>
      <c r="AZ236" s="106">
        <v>0</v>
      </c>
      <c r="BA236" s="2">
        <v>14</v>
      </c>
      <c r="BB236" s="30">
        <v>43249</v>
      </c>
      <c r="BC236" s="2">
        <v>195</v>
      </c>
      <c r="BD236" s="160">
        <v>43558</v>
      </c>
      <c r="BE236" s="2">
        <v>58</v>
      </c>
      <c r="BF236" s="55">
        <v>1</v>
      </c>
      <c r="BG236" s="2">
        <v>1</v>
      </c>
      <c r="BH236" s="2">
        <v>11</v>
      </c>
      <c r="BI236" s="2">
        <v>9</v>
      </c>
      <c r="BJ236" s="2">
        <v>0</v>
      </c>
      <c r="BK236" s="2">
        <v>249</v>
      </c>
      <c r="BL236" s="161">
        <v>965538.88888888864</v>
      </c>
      <c r="BM236" s="2" t="str">
        <f t="shared" si="3"/>
        <v>100/283</v>
      </c>
      <c r="BN236" s="142"/>
    </row>
    <row r="237" spans="1:66" x14ac:dyDescent="0.25">
      <c r="A237" s="162">
        <v>540186</v>
      </c>
      <c r="B237" s="162" t="s">
        <v>78</v>
      </c>
      <c r="C237" s="162" t="s">
        <v>79</v>
      </c>
      <c r="D237" s="162" t="s">
        <v>617</v>
      </c>
      <c r="E237" s="162" t="s">
        <v>616</v>
      </c>
      <c r="F237" s="162" t="s">
        <v>613</v>
      </c>
      <c r="G237" s="162">
        <v>3</v>
      </c>
      <c r="H237" s="162">
        <v>0</v>
      </c>
      <c r="I237" s="162">
        <v>2</v>
      </c>
      <c r="J237" s="162">
        <v>20</v>
      </c>
      <c r="K237" s="162">
        <v>119</v>
      </c>
      <c r="L237" s="163">
        <v>14</v>
      </c>
      <c r="M237" s="162">
        <v>27</v>
      </c>
      <c r="N237" s="162">
        <v>0</v>
      </c>
      <c r="O237" s="162">
        <v>140</v>
      </c>
      <c r="P237" s="164">
        <v>7634347</v>
      </c>
      <c r="Q237" s="162">
        <v>10</v>
      </c>
      <c r="R237" s="165">
        <v>0.27457384299999998</v>
      </c>
      <c r="S237" s="162">
        <v>121</v>
      </c>
      <c r="T237" s="166">
        <v>0.84</v>
      </c>
      <c r="U237" s="162">
        <v>226</v>
      </c>
      <c r="V237" s="163">
        <v>21</v>
      </c>
      <c r="W237" s="162">
        <v>66</v>
      </c>
      <c r="X237" s="163">
        <v>437</v>
      </c>
      <c r="Y237" s="162">
        <v>11</v>
      </c>
      <c r="Z237" s="162">
        <v>11</v>
      </c>
      <c r="AA237" s="162">
        <v>155</v>
      </c>
      <c r="AB237" s="162">
        <v>64</v>
      </c>
      <c r="AC237" s="162">
        <v>25</v>
      </c>
      <c r="AD237" s="167">
        <v>164</v>
      </c>
      <c r="AE237" s="162">
        <v>23</v>
      </c>
      <c r="AF237" s="163">
        <v>55</v>
      </c>
      <c r="AG237" s="162">
        <v>32</v>
      </c>
      <c r="AH237" s="163">
        <v>863</v>
      </c>
      <c r="AI237" s="162">
        <v>57</v>
      </c>
      <c r="AJ237" s="163">
        <v>0.77939999999999998</v>
      </c>
      <c r="AK237" s="162">
        <v>271</v>
      </c>
      <c r="AL237" s="168">
        <v>42543</v>
      </c>
      <c r="AM237" s="162">
        <v>161</v>
      </c>
      <c r="AN237" s="162">
        <v>21</v>
      </c>
      <c r="AO237" s="162">
        <v>171</v>
      </c>
      <c r="AP237" s="162">
        <v>64</v>
      </c>
      <c r="AQ237" s="162">
        <v>25</v>
      </c>
      <c r="AR237" s="163">
        <v>55</v>
      </c>
      <c r="AS237" s="162">
        <v>32</v>
      </c>
      <c r="AT237" s="169">
        <v>0.34762456546929316</v>
      </c>
      <c r="AU237" s="162">
        <v>77</v>
      </c>
      <c r="AV237" s="163">
        <v>0</v>
      </c>
      <c r="AW237" s="162">
        <v>194</v>
      </c>
      <c r="AX237" s="162" t="s">
        <v>615</v>
      </c>
      <c r="AY237" s="162">
        <v>999999</v>
      </c>
      <c r="AZ237" s="170">
        <v>0</v>
      </c>
      <c r="BA237" s="162">
        <v>14</v>
      </c>
      <c r="BB237" s="168">
        <v>42916</v>
      </c>
      <c r="BC237" s="162">
        <v>119</v>
      </c>
      <c r="BD237" s="171">
        <v>42916</v>
      </c>
      <c r="BE237" s="162">
        <v>37</v>
      </c>
      <c r="BF237" s="163">
        <v>1</v>
      </c>
      <c r="BG237" s="162">
        <v>1</v>
      </c>
      <c r="BH237" s="162">
        <v>2</v>
      </c>
      <c r="BI237" s="162">
        <v>68</v>
      </c>
      <c r="BJ237" s="162">
        <v>21</v>
      </c>
      <c r="BK237" s="162">
        <v>112</v>
      </c>
      <c r="BL237" s="161">
        <v>965171.03703703696</v>
      </c>
      <c r="BM237" s="162" t="str">
        <f t="shared" si="3"/>
        <v>56/283</v>
      </c>
      <c r="BN237" s="142"/>
    </row>
    <row r="238" spans="1:66" x14ac:dyDescent="0.25">
      <c r="A238" s="2">
        <v>540189</v>
      </c>
      <c r="B238" s="2" t="s">
        <v>256</v>
      </c>
      <c r="C238" s="2" t="s">
        <v>81</v>
      </c>
      <c r="D238" s="2" t="s">
        <v>612</v>
      </c>
      <c r="E238" s="2" t="s">
        <v>616</v>
      </c>
      <c r="F238" s="2" t="s">
        <v>613</v>
      </c>
      <c r="G238" s="2">
        <v>3</v>
      </c>
      <c r="H238" s="2">
        <v>0</v>
      </c>
      <c r="I238" s="2">
        <v>2</v>
      </c>
      <c r="J238" s="2">
        <v>2.4</v>
      </c>
      <c r="K238" s="2">
        <v>237</v>
      </c>
      <c r="L238" s="55">
        <v>0</v>
      </c>
      <c r="M238" s="2">
        <v>118</v>
      </c>
      <c r="N238" s="2">
        <v>0</v>
      </c>
      <c r="O238" s="2">
        <v>140</v>
      </c>
      <c r="P238" s="156">
        <v>1485</v>
      </c>
      <c r="Q238" s="2">
        <v>241</v>
      </c>
      <c r="R238" s="157">
        <v>-0.534417684</v>
      </c>
      <c r="S238" s="2">
        <v>189</v>
      </c>
      <c r="T238" s="158">
        <v>0.89</v>
      </c>
      <c r="U238" s="2">
        <v>153</v>
      </c>
      <c r="V238" s="55">
        <v>2</v>
      </c>
      <c r="W238" s="2">
        <v>170</v>
      </c>
      <c r="X238" s="55">
        <v>2</v>
      </c>
      <c r="Y238" s="2">
        <v>225</v>
      </c>
      <c r="Z238" s="2">
        <v>11</v>
      </c>
      <c r="AA238" s="2">
        <v>155</v>
      </c>
      <c r="AB238" s="2">
        <v>2</v>
      </c>
      <c r="AC238" s="2">
        <v>168</v>
      </c>
      <c r="AD238" s="105">
        <v>5</v>
      </c>
      <c r="AE238" s="2">
        <v>194</v>
      </c>
      <c r="AF238" s="55">
        <v>0</v>
      </c>
      <c r="AG238" s="2">
        <v>184</v>
      </c>
      <c r="AH238" s="55">
        <v>0</v>
      </c>
      <c r="AI238" s="2">
        <v>135</v>
      </c>
      <c r="AJ238" s="55">
        <v>0.44640000000000002</v>
      </c>
      <c r="AK238" s="2">
        <v>113</v>
      </c>
      <c r="AL238" s="30">
        <v>43145</v>
      </c>
      <c r="AM238" s="2">
        <v>26</v>
      </c>
      <c r="AN238" s="2">
        <v>3</v>
      </c>
      <c r="AO238" s="2">
        <v>57</v>
      </c>
      <c r="AP238" s="2">
        <v>2</v>
      </c>
      <c r="AQ238" s="2">
        <v>168</v>
      </c>
      <c r="AR238" s="55">
        <v>0</v>
      </c>
      <c r="AS238" s="2">
        <v>184</v>
      </c>
      <c r="AT238" s="159">
        <v>0</v>
      </c>
      <c r="AU238" s="2">
        <v>81</v>
      </c>
      <c r="AV238" s="55">
        <v>0</v>
      </c>
      <c r="AW238" s="2">
        <v>194</v>
      </c>
      <c r="AX238" s="2" t="s">
        <v>615</v>
      </c>
      <c r="AY238" s="2">
        <v>999999</v>
      </c>
      <c r="AZ238" s="106">
        <v>0</v>
      </c>
      <c r="BA238" s="2">
        <v>14</v>
      </c>
      <c r="BB238" s="30">
        <v>42870</v>
      </c>
      <c r="BC238" s="2">
        <v>118</v>
      </c>
      <c r="BD238" s="160">
        <v>41806</v>
      </c>
      <c r="BE238" s="2">
        <v>1</v>
      </c>
      <c r="BF238" s="55">
        <v>1</v>
      </c>
      <c r="BG238" s="2">
        <v>1</v>
      </c>
      <c r="BH238" s="2">
        <v>1</v>
      </c>
      <c r="BI238" s="2">
        <v>151</v>
      </c>
      <c r="BJ238" s="2">
        <v>3</v>
      </c>
      <c r="BK238" s="2">
        <v>219</v>
      </c>
      <c r="BL238" s="161">
        <v>966463.33333333326</v>
      </c>
      <c r="BM238" s="2" t="str">
        <f t="shared" si="3"/>
        <v>229/283</v>
      </c>
      <c r="BN238" s="142"/>
    </row>
    <row r="239" spans="1:66" x14ac:dyDescent="0.25">
      <c r="A239" s="2">
        <v>540190</v>
      </c>
      <c r="B239" s="2" t="s">
        <v>257</v>
      </c>
      <c r="C239" s="2" t="s">
        <v>81</v>
      </c>
      <c r="D239" s="2" t="s">
        <v>612</v>
      </c>
      <c r="E239" s="2" t="s">
        <v>616</v>
      </c>
      <c r="F239" s="2" t="s">
        <v>613</v>
      </c>
      <c r="G239" s="2">
        <v>3</v>
      </c>
      <c r="H239" s="2">
        <v>0</v>
      </c>
      <c r="I239" s="2">
        <v>2</v>
      </c>
      <c r="J239" s="2">
        <v>2.4</v>
      </c>
      <c r="K239" s="2">
        <v>237</v>
      </c>
      <c r="L239" s="55">
        <v>0</v>
      </c>
      <c r="M239" s="2">
        <v>118</v>
      </c>
      <c r="N239" s="2">
        <v>0</v>
      </c>
      <c r="O239" s="2">
        <v>140</v>
      </c>
      <c r="P239" s="156">
        <v>67164</v>
      </c>
      <c r="Q239" s="2">
        <v>177</v>
      </c>
      <c r="R239" s="157">
        <v>-0.534417684</v>
      </c>
      <c r="S239" s="2">
        <v>189</v>
      </c>
      <c r="T239" s="158">
        <v>0.89</v>
      </c>
      <c r="U239" s="2">
        <v>153</v>
      </c>
      <c r="V239" s="55">
        <v>20</v>
      </c>
      <c r="W239" s="2">
        <v>69</v>
      </c>
      <c r="X239" s="55">
        <v>18</v>
      </c>
      <c r="Y239" s="2">
        <v>151</v>
      </c>
      <c r="Z239" s="2">
        <v>11</v>
      </c>
      <c r="AA239" s="2">
        <v>155</v>
      </c>
      <c r="AB239" s="2">
        <v>21</v>
      </c>
      <c r="AC239" s="2">
        <v>74</v>
      </c>
      <c r="AD239" s="105">
        <v>26</v>
      </c>
      <c r="AE239" s="2">
        <v>103</v>
      </c>
      <c r="AF239" s="55">
        <v>2</v>
      </c>
      <c r="AG239" s="2">
        <v>164</v>
      </c>
      <c r="AH239" s="55">
        <v>125</v>
      </c>
      <c r="AI239" s="2">
        <v>118</v>
      </c>
      <c r="AJ239" s="55">
        <v>0.44640000000000002</v>
      </c>
      <c r="AK239" s="2">
        <v>113</v>
      </c>
      <c r="AL239" s="30">
        <v>43145</v>
      </c>
      <c r="AM239" s="2">
        <v>26</v>
      </c>
      <c r="AN239" s="2">
        <v>3</v>
      </c>
      <c r="AO239" s="2">
        <v>57</v>
      </c>
      <c r="AP239" s="2">
        <v>21</v>
      </c>
      <c r="AQ239" s="2">
        <v>74</v>
      </c>
      <c r="AR239" s="55">
        <v>2</v>
      </c>
      <c r="AS239" s="2">
        <v>164</v>
      </c>
      <c r="AT239" s="159">
        <v>-21.6</v>
      </c>
      <c r="AU239" s="2">
        <v>272</v>
      </c>
      <c r="AV239" s="55">
        <v>1</v>
      </c>
      <c r="AW239" s="2">
        <v>1</v>
      </c>
      <c r="AX239" s="2" t="s">
        <v>615</v>
      </c>
      <c r="AY239" s="2">
        <v>999999</v>
      </c>
      <c r="AZ239" s="106">
        <v>0</v>
      </c>
      <c r="BA239" s="2">
        <v>14</v>
      </c>
      <c r="BB239" s="30">
        <v>43045</v>
      </c>
      <c r="BC239" s="2">
        <v>161</v>
      </c>
      <c r="BD239" s="160">
        <v>41806</v>
      </c>
      <c r="BE239" s="2">
        <v>1</v>
      </c>
      <c r="BF239" s="55">
        <v>1</v>
      </c>
      <c r="BG239" s="2">
        <v>1</v>
      </c>
      <c r="BH239" s="2">
        <v>0</v>
      </c>
      <c r="BI239" s="2">
        <v>239</v>
      </c>
      <c r="BJ239" s="2">
        <v>3</v>
      </c>
      <c r="BK239" s="2">
        <v>219</v>
      </c>
      <c r="BL239" s="161">
        <v>966033.8518518518</v>
      </c>
      <c r="BM239" s="2" t="str">
        <f t="shared" si="3"/>
        <v>165/283</v>
      </c>
      <c r="BN239" s="142"/>
    </row>
    <row r="240" spans="1:66" x14ac:dyDescent="0.25">
      <c r="A240" s="162">
        <v>540191</v>
      </c>
      <c r="B240" s="162" t="s">
        <v>112</v>
      </c>
      <c r="C240" s="162" t="s">
        <v>113</v>
      </c>
      <c r="D240" s="162" t="s">
        <v>617</v>
      </c>
      <c r="E240" s="162" t="s">
        <v>616</v>
      </c>
      <c r="F240" s="162" t="s">
        <v>613</v>
      </c>
      <c r="G240" s="162">
        <v>3</v>
      </c>
      <c r="H240" s="162">
        <v>0</v>
      </c>
      <c r="I240" s="162">
        <v>2</v>
      </c>
      <c r="J240" s="162">
        <v>3.4</v>
      </c>
      <c r="K240" s="162">
        <v>220</v>
      </c>
      <c r="L240" s="163">
        <v>0</v>
      </c>
      <c r="M240" s="162">
        <v>118</v>
      </c>
      <c r="N240" s="162">
        <v>0</v>
      </c>
      <c r="O240" s="162">
        <v>140</v>
      </c>
      <c r="P240" s="164">
        <v>601568</v>
      </c>
      <c r="Q240" s="162">
        <v>91</v>
      </c>
      <c r="R240" s="165">
        <v>0.29943795499999998</v>
      </c>
      <c r="S240" s="162">
        <v>112</v>
      </c>
      <c r="T240" s="166">
        <v>0.73</v>
      </c>
      <c r="U240" s="162">
        <v>275</v>
      </c>
      <c r="V240" s="163">
        <v>10</v>
      </c>
      <c r="W240" s="162">
        <v>95</v>
      </c>
      <c r="X240" s="163">
        <v>91</v>
      </c>
      <c r="Y240" s="162">
        <v>64</v>
      </c>
      <c r="Z240" s="162">
        <v>13</v>
      </c>
      <c r="AA240" s="162">
        <v>78</v>
      </c>
      <c r="AB240" s="162">
        <v>14</v>
      </c>
      <c r="AC240" s="162">
        <v>90</v>
      </c>
      <c r="AD240" s="167">
        <v>63</v>
      </c>
      <c r="AE240" s="162">
        <v>65</v>
      </c>
      <c r="AF240" s="163">
        <v>24</v>
      </c>
      <c r="AG240" s="162">
        <v>63</v>
      </c>
      <c r="AH240" s="163">
        <v>1272</v>
      </c>
      <c r="AI240" s="162">
        <v>41</v>
      </c>
      <c r="AJ240" s="163">
        <v>0.32379999999999998</v>
      </c>
      <c r="AK240" s="162">
        <v>35</v>
      </c>
      <c r="AL240" s="168">
        <v>42944</v>
      </c>
      <c r="AM240" s="162">
        <v>135</v>
      </c>
      <c r="AN240" s="162">
        <v>53</v>
      </c>
      <c r="AO240" s="162">
        <v>220</v>
      </c>
      <c r="AP240" s="162">
        <v>14</v>
      </c>
      <c r="AQ240" s="162">
        <v>90</v>
      </c>
      <c r="AR240" s="163">
        <v>24</v>
      </c>
      <c r="AS240" s="162">
        <v>63</v>
      </c>
      <c r="AT240" s="169">
        <v>9.5911949685534594</v>
      </c>
      <c r="AU240" s="162">
        <v>29</v>
      </c>
      <c r="AV240" s="163">
        <v>1</v>
      </c>
      <c r="AW240" s="162">
        <v>1</v>
      </c>
      <c r="AX240" s="162" t="s">
        <v>615</v>
      </c>
      <c r="AY240" s="162">
        <v>999999</v>
      </c>
      <c r="AZ240" s="170">
        <v>0</v>
      </c>
      <c r="BA240" s="162">
        <v>14</v>
      </c>
      <c r="BB240" s="168">
        <v>42144</v>
      </c>
      <c r="BC240" s="162">
        <v>96</v>
      </c>
      <c r="BD240" s="171">
        <v>42898</v>
      </c>
      <c r="BE240" s="162">
        <v>37</v>
      </c>
      <c r="BF240" s="163">
        <v>1</v>
      </c>
      <c r="BG240" s="162">
        <v>1</v>
      </c>
      <c r="BH240" s="162">
        <v>0</v>
      </c>
      <c r="BI240" s="162">
        <v>239</v>
      </c>
      <c r="BJ240" s="162">
        <v>53</v>
      </c>
      <c r="BK240" s="162">
        <v>54</v>
      </c>
      <c r="BL240" s="161">
        <v>965336.66666666663</v>
      </c>
      <c r="BM240" s="162" t="str">
        <f t="shared" si="3"/>
        <v>79/283</v>
      </c>
      <c r="BN240" s="142"/>
    </row>
    <row r="241" spans="1:66" x14ac:dyDescent="0.25">
      <c r="A241" s="2">
        <v>540193</v>
      </c>
      <c r="B241" s="2" t="s">
        <v>342</v>
      </c>
      <c r="C241" s="2" t="s">
        <v>113</v>
      </c>
      <c r="D241" s="2" t="s">
        <v>612</v>
      </c>
      <c r="E241" s="2" t="s">
        <v>616</v>
      </c>
      <c r="F241" s="2" t="s">
        <v>613</v>
      </c>
      <c r="G241" s="2">
        <v>3</v>
      </c>
      <c r="H241" s="2">
        <v>0</v>
      </c>
      <c r="I241" s="2">
        <v>2</v>
      </c>
      <c r="J241" s="2">
        <v>3.4</v>
      </c>
      <c r="K241" s="2">
        <v>220</v>
      </c>
      <c r="L241" s="55">
        <v>4</v>
      </c>
      <c r="M241" s="2">
        <v>67</v>
      </c>
      <c r="N241" s="2">
        <v>0</v>
      </c>
      <c r="O241" s="2">
        <v>140</v>
      </c>
      <c r="P241" s="156">
        <v>281786</v>
      </c>
      <c r="Q241" s="2">
        <v>122</v>
      </c>
      <c r="R241" s="157">
        <v>0.29943795499999998</v>
      </c>
      <c r="S241" s="2">
        <v>112</v>
      </c>
      <c r="T241" s="158">
        <v>0.73</v>
      </c>
      <c r="U241" s="2">
        <v>275</v>
      </c>
      <c r="V241" s="55">
        <v>1</v>
      </c>
      <c r="W241" s="2">
        <v>197</v>
      </c>
      <c r="X241" s="55">
        <v>30</v>
      </c>
      <c r="Y241" s="2">
        <v>127</v>
      </c>
      <c r="Z241" s="2">
        <v>13</v>
      </c>
      <c r="AA241" s="2">
        <v>78</v>
      </c>
      <c r="AB241" s="2">
        <v>5</v>
      </c>
      <c r="AC241" s="2">
        <v>129</v>
      </c>
      <c r="AD241" s="105">
        <v>15</v>
      </c>
      <c r="AE241" s="2">
        <v>130</v>
      </c>
      <c r="AF241" s="55">
        <v>11</v>
      </c>
      <c r="AG241" s="2">
        <v>101</v>
      </c>
      <c r="AH241" s="55">
        <v>0</v>
      </c>
      <c r="AI241" s="2">
        <v>135</v>
      </c>
      <c r="AJ241" s="55">
        <v>0.32379999999999998</v>
      </c>
      <c r="AK241" s="2">
        <v>35</v>
      </c>
      <c r="AL241" s="30">
        <v>42944</v>
      </c>
      <c r="AM241" s="2">
        <v>135</v>
      </c>
      <c r="AN241" s="2">
        <v>53</v>
      </c>
      <c r="AO241" s="2">
        <v>220</v>
      </c>
      <c r="AP241" s="2">
        <v>5</v>
      </c>
      <c r="AQ241" s="2">
        <v>129</v>
      </c>
      <c r="AR241" s="55">
        <v>11</v>
      </c>
      <c r="AS241" s="2">
        <v>101</v>
      </c>
      <c r="AT241" s="159">
        <v>0</v>
      </c>
      <c r="AU241" s="2">
        <v>81</v>
      </c>
      <c r="AV241" s="55">
        <v>1</v>
      </c>
      <c r="AW241" s="2">
        <v>1</v>
      </c>
      <c r="AX241" s="2" t="s">
        <v>615</v>
      </c>
      <c r="AY241" s="2">
        <v>999999</v>
      </c>
      <c r="AZ241" s="106">
        <v>0</v>
      </c>
      <c r="BA241" s="2">
        <v>14</v>
      </c>
      <c r="BB241" s="30">
        <v>42144</v>
      </c>
      <c r="BC241" s="2">
        <v>96</v>
      </c>
      <c r="BD241" s="160">
        <v>41806</v>
      </c>
      <c r="BE241" s="2">
        <v>1</v>
      </c>
      <c r="BF241" s="55">
        <v>0</v>
      </c>
      <c r="BG241" s="2">
        <v>183</v>
      </c>
      <c r="BH241" s="2">
        <v>1</v>
      </c>
      <c r="BI241" s="2">
        <v>151</v>
      </c>
      <c r="BJ241" s="2">
        <v>53</v>
      </c>
      <c r="BK241" s="2">
        <v>54</v>
      </c>
      <c r="BL241" s="161">
        <v>965883.62962962966</v>
      </c>
      <c r="BM241" s="2" t="str">
        <f t="shared" si="3"/>
        <v>147/283</v>
      </c>
      <c r="BN241" s="142"/>
    </row>
    <row r="242" spans="1:66" x14ac:dyDescent="0.25">
      <c r="A242" s="2">
        <v>540194</v>
      </c>
      <c r="B242" s="2" t="s">
        <v>344</v>
      </c>
      <c r="C242" s="2" t="s">
        <v>113</v>
      </c>
      <c r="D242" s="2" t="s">
        <v>612</v>
      </c>
      <c r="E242" s="2" t="s">
        <v>616</v>
      </c>
      <c r="F242" s="2" t="s">
        <v>613</v>
      </c>
      <c r="G242" s="2">
        <v>3</v>
      </c>
      <c r="H242" s="2">
        <v>0</v>
      </c>
      <c r="I242" s="2">
        <v>2</v>
      </c>
      <c r="J242" s="2">
        <v>3.4</v>
      </c>
      <c r="K242" s="2">
        <v>220</v>
      </c>
      <c r="L242" s="55">
        <v>0</v>
      </c>
      <c r="M242" s="2">
        <v>118</v>
      </c>
      <c r="N242" s="2">
        <v>0</v>
      </c>
      <c r="O242" s="2">
        <v>140</v>
      </c>
      <c r="P242" s="156">
        <v>6223179</v>
      </c>
      <c r="Q242" s="2">
        <v>14</v>
      </c>
      <c r="R242" s="157">
        <v>0.29943795499999998</v>
      </c>
      <c r="S242" s="2">
        <v>112</v>
      </c>
      <c r="T242" s="158">
        <v>0.73</v>
      </c>
      <c r="U242" s="2">
        <v>275</v>
      </c>
      <c r="V242" s="55">
        <v>7</v>
      </c>
      <c r="W242" s="2">
        <v>105</v>
      </c>
      <c r="X242" s="55">
        <v>248</v>
      </c>
      <c r="Y242" s="2">
        <v>29</v>
      </c>
      <c r="Z242" s="2">
        <v>13</v>
      </c>
      <c r="AA242" s="2">
        <v>78</v>
      </c>
      <c r="AB242" s="2">
        <v>47</v>
      </c>
      <c r="AC242" s="2">
        <v>40</v>
      </c>
      <c r="AD242" s="105">
        <v>107</v>
      </c>
      <c r="AE242" s="2">
        <v>43</v>
      </c>
      <c r="AF242" s="55">
        <v>36</v>
      </c>
      <c r="AG242" s="2">
        <v>48</v>
      </c>
      <c r="AH242" s="55">
        <v>0</v>
      </c>
      <c r="AI242" s="2">
        <v>135</v>
      </c>
      <c r="AJ242" s="55">
        <v>0.32379999999999998</v>
      </c>
      <c r="AK242" s="2">
        <v>35</v>
      </c>
      <c r="AL242" s="30">
        <v>42944</v>
      </c>
      <c r="AM242" s="2">
        <v>135</v>
      </c>
      <c r="AN242" s="2">
        <v>53</v>
      </c>
      <c r="AO242" s="2">
        <v>220</v>
      </c>
      <c r="AP242" s="2">
        <v>47</v>
      </c>
      <c r="AQ242" s="2">
        <v>40</v>
      </c>
      <c r="AR242" s="55">
        <v>36</v>
      </c>
      <c r="AS242" s="2">
        <v>48</v>
      </c>
      <c r="AT242" s="159">
        <v>0</v>
      </c>
      <c r="AU242" s="2">
        <v>81</v>
      </c>
      <c r="AV242" s="55">
        <v>1</v>
      </c>
      <c r="AW242" s="2">
        <v>1</v>
      </c>
      <c r="AX242" s="2">
        <v>8</v>
      </c>
      <c r="AY242" s="2">
        <v>3</v>
      </c>
      <c r="AZ242" s="106">
        <v>1</v>
      </c>
      <c r="BA242" s="2">
        <v>1</v>
      </c>
      <c r="BB242" s="30">
        <v>41900</v>
      </c>
      <c r="BC242" s="2">
        <v>85</v>
      </c>
      <c r="BD242" s="160">
        <v>41806</v>
      </c>
      <c r="BE242" s="2">
        <v>1</v>
      </c>
      <c r="BF242" s="55">
        <v>1</v>
      </c>
      <c r="BG242" s="2">
        <v>1</v>
      </c>
      <c r="BH242" s="2">
        <v>0</v>
      </c>
      <c r="BI242" s="2">
        <v>239</v>
      </c>
      <c r="BJ242" s="2">
        <v>53</v>
      </c>
      <c r="BK242" s="2">
        <v>54</v>
      </c>
      <c r="BL242" s="161">
        <v>2215.7777777777783</v>
      </c>
      <c r="BM242" s="2" t="str">
        <f t="shared" si="3"/>
        <v>11/283</v>
      </c>
      <c r="BN242" s="142"/>
    </row>
    <row r="243" spans="1:66" x14ac:dyDescent="0.25">
      <c r="A243" s="2">
        <v>540261</v>
      </c>
      <c r="B243" s="2" t="s">
        <v>345</v>
      </c>
      <c r="C243" s="2" t="s">
        <v>113</v>
      </c>
      <c r="D243" s="2" t="s">
        <v>612</v>
      </c>
      <c r="E243" s="2" t="s">
        <v>616</v>
      </c>
      <c r="F243" s="2" t="s">
        <v>613</v>
      </c>
      <c r="G243" s="2">
        <v>3</v>
      </c>
      <c r="H243" s="2">
        <v>0</v>
      </c>
      <c r="I243" s="2">
        <v>2</v>
      </c>
      <c r="J243" s="2">
        <v>3.4</v>
      </c>
      <c r="K243" s="2">
        <v>220</v>
      </c>
      <c r="L243" s="55">
        <v>0</v>
      </c>
      <c r="M243" s="2">
        <v>118</v>
      </c>
      <c r="N243" s="2">
        <v>0</v>
      </c>
      <c r="O243" s="2">
        <v>140</v>
      </c>
      <c r="P243" s="156">
        <v>0</v>
      </c>
      <c r="Q243" s="2">
        <v>248</v>
      </c>
      <c r="R243" s="157">
        <v>0.29943795499999998</v>
      </c>
      <c r="S243" s="2">
        <v>112</v>
      </c>
      <c r="T243" s="158">
        <v>0.73</v>
      </c>
      <c r="U243" s="2">
        <v>275</v>
      </c>
      <c r="V243" s="55">
        <v>0</v>
      </c>
      <c r="W243" s="2">
        <v>230</v>
      </c>
      <c r="X243" s="55">
        <v>0</v>
      </c>
      <c r="Y243" s="2">
        <v>256</v>
      </c>
      <c r="Z243" s="2">
        <v>13</v>
      </c>
      <c r="AA243" s="2">
        <v>78</v>
      </c>
      <c r="AB243" s="2">
        <v>0</v>
      </c>
      <c r="AC243" s="2">
        <v>222</v>
      </c>
      <c r="AD243" s="105">
        <v>1</v>
      </c>
      <c r="AE243" s="2">
        <v>242</v>
      </c>
      <c r="AF243" s="55">
        <v>0</v>
      </c>
      <c r="AG243" s="2">
        <v>184</v>
      </c>
      <c r="AH243" s="55">
        <v>0</v>
      </c>
      <c r="AI243" s="2">
        <v>135</v>
      </c>
      <c r="AJ243" s="55">
        <v>0.32379999999999998</v>
      </c>
      <c r="AK243" s="2">
        <v>35</v>
      </c>
      <c r="AL243" s="30">
        <v>42944</v>
      </c>
      <c r="AM243" s="2">
        <v>135</v>
      </c>
      <c r="AN243" s="2">
        <v>53</v>
      </c>
      <c r="AO243" s="2">
        <v>220</v>
      </c>
      <c r="AP243" s="2">
        <v>0</v>
      </c>
      <c r="AQ243" s="2">
        <v>222</v>
      </c>
      <c r="AR243" s="55">
        <v>0</v>
      </c>
      <c r="AS243" s="2">
        <v>184</v>
      </c>
      <c r="AT243" s="159">
        <v>0</v>
      </c>
      <c r="AU243" s="2">
        <v>81</v>
      </c>
      <c r="AV243" s="55">
        <v>1</v>
      </c>
      <c r="AW243" s="2">
        <v>1</v>
      </c>
      <c r="AX243" s="2" t="s">
        <v>615</v>
      </c>
      <c r="AY243" s="2">
        <v>999999</v>
      </c>
      <c r="AZ243" s="106">
        <v>0</v>
      </c>
      <c r="BA243" s="2">
        <v>14</v>
      </c>
      <c r="BB243" s="30">
        <v>40288</v>
      </c>
      <c r="BC243" s="2">
        <v>37</v>
      </c>
      <c r="BD243" s="160">
        <v>41806</v>
      </c>
      <c r="BE243" s="2">
        <v>1</v>
      </c>
      <c r="BF243" s="55">
        <v>0</v>
      </c>
      <c r="BG243" s="2">
        <v>183</v>
      </c>
      <c r="BH243" s="2">
        <v>1</v>
      </c>
      <c r="BI243" s="2">
        <v>151</v>
      </c>
      <c r="BJ243" s="2">
        <v>53</v>
      </c>
      <c r="BK243" s="2">
        <v>54</v>
      </c>
      <c r="BL243" s="161">
        <v>966600.07407407404</v>
      </c>
      <c r="BM243" s="2" t="str">
        <f t="shared" si="3"/>
        <v>234/283</v>
      </c>
      <c r="BN243" s="142"/>
    </row>
    <row r="244" spans="1:66" x14ac:dyDescent="0.25">
      <c r="A244" s="162">
        <v>540277</v>
      </c>
      <c r="B244" s="162" t="s">
        <v>102</v>
      </c>
      <c r="C244" s="162" t="s">
        <v>103</v>
      </c>
      <c r="D244" s="162" t="s">
        <v>617</v>
      </c>
      <c r="E244" s="162" t="s">
        <v>616</v>
      </c>
      <c r="F244" s="162" t="s">
        <v>613</v>
      </c>
      <c r="G244" s="162">
        <v>3</v>
      </c>
      <c r="H244" s="162">
        <v>0</v>
      </c>
      <c r="I244" s="162">
        <v>2</v>
      </c>
      <c r="J244" s="162">
        <v>3.6</v>
      </c>
      <c r="K244" s="162">
        <v>216</v>
      </c>
      <c r="L244" s="163">
        <v>2</v>
      </c>
      <c r="M244" s="162">
        <v>84</v>
      </c>
      <c r="N244" s="162">
        <v>0</v>
      </c>
      <c r="O244" s="162">
        <v>140</v>
      </c>
      <c r="P244" s="164">
        <v>216041</v>
      </c>
      <c r="Q244" s="162">
        <v>131</v>
      </c>
      <c r="R244" s="165">
        <v>1.7120375729999999</v>
      </c>
      <c r="S244" s="162">
        <v>35</v>
      </c>
      <c r="T244" s="166">
        <v>0.92999999999999994</v>
      </c>
      <c r="U244" s="162">
        <v>38</v>
      </c>
      <c r="V244" s="163">
        <v>39</v>
      </c>
      <c r="W244" s="162">
        <v>41</v>
      </c>
      <c r="X244" s="163">
        <v>32</v>
      </c>
      <c r="Y244" s="162">
        <v>121</v>
      </c>
      <c r="Z244" s="162">
        <v>14</v>
      </c>
      <c r="AA244" s="162">
        <v>59</v>
      </c>
      <c r="AB244" s="162">
        <v>18</v>
      </c>
      <c r="AC244" s="162">
        <v>80</v>
      </c>
      <c r="AD244" s="167">
        <v>45</v>
      </c>
      <c r="AE244" s="162">
        <v>79</v>
      </c>
      <c r="AF244" s="163">
        <v>2</v>
      </c>
      <c r="AG244" s="162">
        <v>164</v>
      </c>
      <c r="AH244" s="163">
        <v>1386</v>
      </c>
      <c r="AI244" s="162">
        <v>38</v>
      </c>
      <c r="AJ244" s="163">
        <v>0.36899999999999999</v>
      </c>
      <c r="AK244" s="162">
        <v>67</v>
      </c>
      <c r="AL244" s="168">
        <v>43145</v>
      </c>
      <c r="AM244" s="162">
        <v>26</v>
      </c>
      <c r="AN244" s="162">
        <v>0</v>
      </c>
      <c r="AO244" s="162">
        <v>1</v>
      </c>
      <c r="AP244" s="162">
        <v>18</v>
      </c>
      <c r="AQ244" s="162">
        <v>80</v>
      </c>
      <c r="AR244" s="163">
        <v>2</v>
      </c>
      <c r="AS244" s="162">
        <v>164</v>
      </c>
      <c r="AT244" s="169">
        <v>3.9682539682539679</v>
      </c>
      <c r="AU244" s="162">
        <v>56</v>
      </c>
      <c r="AV244" s="163">
        <v>1</v>
      </c>
      <c r="AW244" s="162">
        <v>1</v>
      </c>
      <c r="AX244" s="162" t="s">
        <v>615</v>
      </c>
      <c r="AY244" s="162">
        <v>999999</v>
      </c>
      <c r="AZ244" s="170">
        <v>0</v>
      </c>
      <c r="BA244" s="162">
        <v>14</v>
      </c>
      <c r="BB244" s="168">
        <v>43019</v>
      </c>
      <c r="BC244" s="162">
        <v>146</v>
      </c>
      <c r="BD244" s="171">
        <v>42324</v>
      </c>
      <c r="BE244" s="162">
        <v>35</v>
      </c>
      <c r="BF244" s="163">
        <v>1</v>
      </c>
      <c r="BG244" s="162">
        <v>1</v>
      </c>
      <c r="BH244" s="162">
        <v>3</v>
      </c>
      <c r="BI244" s="162">
        <v>46</v>
      </c>
      <c r="BJ244" s="162">
        <v>0</v>
      </c>
      <c r="BK244" s="162">
        <v>249</v>
      </c>
      <c r="BL244" s="161">
        <v>964995.77777777775</v>
      </c>
      <c r="BM244" s="162" t="str">
        <f t="shared" si="3"/>
        <v>40/283</v>
      </c>
      <c r="BN244" s="142"/>
    </row>
    <row r="245" spans="1:66" x14ac:dyDescent="0.25">
      <c r="A245" s="2">
        <v>540259</v>
      </c>
      <c r="B245" s="2" t="s">
        <v>304</v>
      </c>
      <c r="C245" s="2" t="s">
        <v>103</v>
      </c>
      <c r="D245" s="2" t="s">
        <v>612</v>
      </c>
      <c r="E245" s="2" t="s">
        <v>616</v>
      </c>
      <c r="F245" s="2" t="s">
        <v>613</v>
      </c>
      <c r="G245" s="2">
        <v>3</v>
      </c>
      <c r="H245" s="2">
        <v>0</v>
      </c>
      <c r="I245" s="2">
        <v>2</v>
      </c>
      <c r="J245" s="2">
        <v>3.6</v>
      </c>
      <c r="K245" s="2">
        <v>216</v>
      </c>
      <c r="L245" s="55">
        <v>0</v>
      </c>
      <c r="M245" s="2">
        <v>118</v>
      </c>
      <c r="N245" s="2">
        <v>0</v>
      </c>
      <c r="O245" s="2">
        <v>140</v>
      </c>
      <c r="P245" s="156">
        <v>37074</v>
      </c>
      <c r="Q245" s="2">
        <v>195</v>
      </c>
      <c r="R245" s="157">
        <v>1.7120375729999999</v>
      </c>
      <c r="S245" s="2">
        <v>35</v>
      </c>
      <c r="T245" s="158">
        <v>0.92999999999999994</v>
      </c>
      <c r="U245" s="2">
        <v>38</v>
      </c>
      <c r="V245" s="55">
        <v>1</v>
      </c>
      <c r="W245" s="2">
        <v>197</v>
      </c>
      <c r="X245" s="55">
        <v>5</v>
      </c>
      <c r="Y245" s="2">
        <v>204</v>
      </c>
      <c r="Z245" s="2">
        <v>14</v>
      </c>
      <c r="AA245" s="2">
        <v>59</v>
      </c>
      <c r="AB245" s="2">
        <v>3</v>
      </c>
      <c r="AC245" s="2">
        <v>149</v>
      </c>
      <c r="AD245" s="105">
        <v>6</v>
      </c>
      <c r="AE245" s="2">
        <v>184</v>
      </c>
      <c r="AF245" s="55">
        <v>0</v>
      </c>
      <c r="AG245" s="2">
        <v>184</v>
      </c>
      <c r="AH245" s="55">
        <v>0</v>
      </c>
      <c r="AI245" s="2">
        <v>135</v>
      </c>
      <c r="AJ245" s="55">
        <v>0.36899999999999999</v>
      </c>
      <c r="AK245" s="2">
        <v>67</v>
      </c>
      <c r="AL245" s="30">
        <v>43145</v>
      </c>
      <c r="AM245" s="2">
        <v>26</v>
      </c>
      <c r="AN245" s="2">
        <v>0</v>
      </c>
      <c r="AO245" s="2">
        <v>1</v>
      </c>
      <c r="AP245" s="2">
        <v>3</v>
      </c>
      <c r="AQ245" s="2">
        <v>149</v>
      </c>
      <c r="AR245" s="55">
        <v>0</v>
      </c>
      <c r="AS245" s="2">
        <v>184</v>
      </c>
      <c r="AT245" s="159">
        <v>0</v>
      </c>
      <c r="AU245" s="2">
        <v>81</v>
      </c>
      <c r="AV245" s="55">
        <v>1</v>
      </c>
      <c r="AW245" s="2">
        <v>1</v>
      </c>
      <c r="AX245" s="2" t="s">
        <v>615</v>
      </c>
      <c r="AY245" s="2">
        <v>999999</v>
      </c>
      <c r="AZ245" s="106">
        <v>0</v>
      </c>
      <c r="BA245" s="2">
        <v>14</v>
      </c>
      <c r="BB245" s="30">
        <v>43019</v>
      </c>
      <c r="BC245" s="2">
        <v>146</v>
      </c>
      <c r="BD245" s="160">
        <v>41848</v>
      </c>
      <c r="BE245" s="2">
        <v>29</v>
      </c>
      <c r="BF245" s="55">
        <v>1</v>
      </c>
      <c r="BG245" s="2">
        <v>1</v>
      </c>
      <c r="BH245" s="2">
        <v>1</v>
      </c>
      <c r="BI245" s="2">
        <v>151</v>
      </c>
      <c r="BJ245" s="2">
        <v>0</v>
      </c>
      <c r="BK245" s="2">
        <v>249</v>
      </c>
      <c r="BL245" s="161">
        <v>965805.62962962955</v>
      </c>
      <c r="BM245" s="2" t="str">
        <f t="shared" si="3"/>
        <v>135/283</v>
      </c>
      <c r="BN245" s="142"/>
    </row>
    <row r="246" spans="1:66" x14ac:dyDescent="0.25">
      <c r="A246" s="2">
        <v>540195</v>
      </c>
      <c r="B246" s="2" t="s">
        <v>258</v>
      </c>
      <c r="C246" s="2" t="s">
        <v>103</v>
      </c>
      <c r="D246" s="2" t="s">
        <v>612</v>
      </c>
      <c r="E246" s="2" t="s">
        <v>616</v>
      </c>
      <c r="F246" s="2" t="s">
        <v>613</v>
      </c>
      <c r="G246" s="2">
        <v>3</v>
      </c>
      <c r="H246" s="2">
        <v>0</v>
      </c>
      <c r="I246" s="2">
        <v>2</v>
      </c>
      <c r="J246" s="2">
        <v>3.6</v>
      </c>
      <c r="K246" s="2">
        <v>216</v>
      </c>
      <c r="L246" s="55">
        <v>2</v>
      </c>
      <c r="M246" s="2">
        <v>84</v>
      </c>
      <c r="N246" s="2">
        <v>0</v>
      </c>
      <c r="O246" s="2">
        <v>140</v>
      </c>
      <c r="P246" s="156">
        <v>53125</v>
      </c>
      <c r="Q246" s="2">
        <v>186</v>
      </c>
      <c r="R246" s="157">
        <v>1.7120375729999999</v>
      </c>
      <c r="S246" s="2">
        <v>35</v>
      </c>
      <c r="T246" s="158">
        <v>0.92999999999999994</v>
      </c>
      <c r="U246" s="2">
        <v>38</v>
      </c>
      <c r="V246" s="55">
        <v>2</v>
      </c>
      <c r="W246" s="2">
        <v>170</v>
      </c>
      <c r="X246" s="55">
        <v>8</v>
      </c>
      <c r="Y246" s="2">
        <v>188</v>
      </c>
      <c r="Z246" s="2">
        <v>14</v>
      </c>
      <c r="AA246" s="2">
        <v>59</v>
      </c>
      <c r="AB246" s="2">
        <v>0</v>
      </c>
      <c r="AC246" s="2">
        <v>222</v>
      </c>
      <c r="AD246" s="105">
        <v>2</v>
      </c>
      <c r="AE246" s="2">
        <v>228</v>
      </c>
      <c r="AF246" s="55">
        <v>2</v>
      </c>
      <c r="AG246" s="2">
        <v>164</v>
      </c>
      <c r="AH246" s="55">
        <v>0</v>
      </c>
      <c r="AI246" s="2">
        <v>135</v>
      </c>
      <c r="AJ246" s="55">
        <v>0.36899999999999999</v>
      </c>
      <c r="AK246" s="2">
        <v>67</v>
      </c>
      <c r="AL246" s="30">
        <v>43145</v>
      </c>
      <c r="AM246" s="2">
        <v>26</v>
      </c>
      <c r="AN246" s="2">
        <v>0</v>
      </c>
      <c r="AO246" s="2">
        <v>1</v>
      </c>
      <c r="AP246" s="2">
        <v>0</v>
      </c>
      <c r="AQ246" s="2">
        <v>222</v>
      </c>
      <c r="AR246" s="55">
        <v>2</v>
      </c>
      <c r="AS246" s="2">
        <v>164</v>
      </c>
      <c r="AT246" s="159">
        <v>0</v>
      </c>
      <c r="AU246" s="2">
        <v>81</v>
      </c>
      <c r="AV246" s="55">
        <v>1</v>
      </c>
      <c r="AW246" s="2">
        <v>1</v>
      </c>
      <c r="AX246" s="2" t="s">
        <v>615</v>
      </c>
      <c r="AY246" s="2">
        <v>999999</v>
      </c>
      <c r="AZ246" s="106">
        <v>0</v>
      </c>
      <c r="BA246" s="2">
        <v>14</v>
      </c>
      <c r="BB246" s="30">
        <v>43020</v>
      </c>
      <c r="BC246" s="2">
        <v>149</v>
      </c>
      <c r="BD246" s="160">
        <v>41806</v>
      </c>
      <c r="BE246" s="2">
        <v>1</v>
      </c>
      <c r="BF246" s="55">
        <v>1</v>
      </c>
      <c r="BG246" s="2">
        <v>1</v>
      </c>
      <c r="BH246" s="2">
        <v>2</v>
      </c>
      <c r="BI246" s="2">
        <v>68</v>
      </c>
      <c r="BJ246" s="2">
        <v>0</v>
      </c>
      <c r="BK246" s="2">
        <v>249</v>
      </c>
      <c r="BL246" s="161">
        <v>965763.2592592591</v>
      </c>
      <c r="BM246" s="2" t="str">
        <f t="shared" si="3"/>
        <v>129/283</v>
      </c>
      <c r="BN246" s="142"/>
    </row>
    <row r="247" spans="1:66" x14ac:dyDescent="0.25">
      <c r="A247" s="2">
        <v>540197</v>
      </c>
      <c r="B247" s="2" t="s">
        <v>260</v>
      </c>
      <c r="C247" s="2" t="s">
        <v>103</v>
      </c>
      <c r="D247" s="2" t="s">
        <v>612</v>
      </c>
      <c r="E247" s="2" t="s">
        <v>616</v>
      </c>
      <c r="F247" s="2" t="s">
        <v>613</v>
      </c>
      <c r="G247" s="2">
        <v>3</v>
      </c>
      <c r="H247" s="2">
        <v>0</v>
      </c>
      <c r="I247" s="2">
        <v>2</v>
      </c>
      <c r="J247" s="2">
        <v>3.6</v>
      </c>
      <c r="K247" s="2">
        <v>216</v>
      </c>
      <c r="L247" s="55">
        <v>4</v>
      </c>
      <c r="M247" s="2">
        <v>67</v>
      </c>
      <c r="N247" s="2">
        <v>0</v>
      </c>
      <c r="O247" s="2">
        <v>140</v>
      </c>
      <c r="P247" s="156">
        <v>83063</v>
      </c>
      <c r="Q247" s="2">
        <v>172</v>
      </c>
      <c r="R247" s="157">
        <v>1.7120375729999999</v>
      </c>
      <c r="S247" s="2">
        <v>35</v>
      </c>
      <c r="T247" s="158">
        <v>0.92999999999999994</v>
      </c>
      <c r="U247" s="2">
        <v>38</v>
      </c>
      <c r="V247" s="55">
        <v>5</v>
      </c>
      <c r="W247" s="2">
        <v>121</v>
      </c>
      <c r="X247" s="55">
        <v>17</v>
      </c>
      <c r="Y247" s="2">
        <v>154</v>
      </c>
      <c r="Z247" s="2">
        <v>14</v>
      </c>
      <c r="AA247" s="2">
        <v>59</v>
      </c>
      <c r="AB247" s="2">
        <v>8</v>
      </c>
      <c r="AC247" s="2">
        <v>109</v>
      </c>
      <c r="AD247" s="105">
        <v>11</v>
      </c>
      <c r="AE247" s="2">
        <v>147</v>
      </c>
      <c r="AF247" s="55">
        <v>4</v>
      </c>
      <c r="AG247" s="2">
        <v>142</v>
      </c>
      <c r="AH247" s="55">
        <v>0</v>
      </c>
      <c r="AI247" s="2">
        <v>135</v>
      </c>
      <c r="AJ247" s="55">
        <v>0.36899999999999999</v>
      </c>
      <c r="AK247" s="2">
        <v>67</v>
      </c>
      <c r="AL247" s="30">
        <v>43145</v>
      </c>
      <c r="AM247" s="2">
        <v>26</v>
      </c>
      <c r="AN247" s="2">
        <v>0</v>
      </c>
      <c r="AO247" s="2">
        <v>1</v>
      </c>
      <c r="AP247" s="2">
        <v>8</v>
      </c>
      <c r="AQ247" s="2">
        <v>109</v>
      </c>
      <c r="AR247" s="55">
        <v>4</v>
      </c>
      <c r="AS247" s="2">
        <v>142</v>
      </c>
      <c r="AT247" s="159">
        <v>0</v>
      </c>
      <c r="AU247" s="2">
        <v>81</v>
      </c>
      <c r="AV247" s="55">
        <v>1</v>
      </c>
      <c r="AW247" s="2">
        <v>1</v>
      </c>
      <c r="AX247" s="2" t="s">
        <v>615</v>
      </c>
      <c r="AY247" s="2">
        <v>999999</v>
      </c>
      <c r="AZ247" s="106">
        <v>0</v>
      </c>
      <c r="BA247" s="2">
        <v>14</v>
      </c>
      <c r="BB247" s="30">
        <v>43020</v>
      </c>
      <c r="BC247" s="2">
        <v>149</v>
      </c>
      <c r="BD247" s="160">
        <v>41806</v>
      </c>
      <c r="BE247" s="2">
        <v>1</v>
      </c>
      <c r="BF247" s="55">
        <v>1</v>
      </c>
      <c r="BG247" s="2">
        <v>1</v>
      </c>
      <c r="BH247" s="2">
        <v>2</v>
      </c>
      <c r="BI247" s="2">
        <v>68</v>
      </c>
      <c r="BJ247" s="2">
        <v>0</v>
      </c>
      <c r="BK247" s="2">
        <v>249</v>
      </c>
      <c r="BL247" s="161">
        <v>965315.48148148134</v>
      </c>
      <c r="BM247" s="2" t="str">
        <f t="shared" si="3"/>
        <v>74/283</v>
      </c>
      <c r="BN247" s="142"/>
    </row>
    <row r="248" spans="1:66" x14ac:dyDescent="0.25">
      <c r="A248" s="162">
        <v>540198</v>
      </c>
      <c r="B248" s="162" t="s">
        <v>82</v>
      </c>
      <c r="C248" s="162" t="s">
        <v>83</v>
      </c>
      <c r="D248" s="162" t="s">
        <v>617</v>
      </c>
      <c r="E248" s="162" t="s">
        <v>616</v>
      </c>
      <c r="F248" s="162" t="s">
        <v>613</v>
      </c>
      <c r="G248" s="162">
        <v>3</v>
      </c>
      <c r="H248" s="162">
        <v>0</v>
      </c>
      <c r="I248" s="162">
        <v>2</v>
      </c>
      <c r="J248" s="162">
        <v>39.6</v>
      </c>
      <c r="K248" s="162">
        <v>80</v>
      </c>
      <c r="L248" s="163">
        <v>5</v>
      </c>
      <c r="M248" s="162">
        <v>61</v>
      </c>
      <c r="N248" s="162">
        <v>0</v>
      </c>
      <c r="O248" s="162">
        <v>140</v>
      </c>
      <c r="P248" s="164">
        <v>651451</v>
      </c>
      <c r="Q248" s="162">
        <v>87</v>
      </c>
      <c r="R248" s="165">
        <v>0.72619894500000004</v>
      </c>
      <c r="S248" s="162">
        <v>71</v>
      </c>
      <c r="T248" s="166">
        <v>0.86</v>
      </c>
      <c r="U248" s="162">
        <v>191</v>
      </c>
      <c r="V248" s="163">
        <v>116</v>
      </c>
      <c r="W248" s="162">
        <v>11</v>
      </c>
      <c r="X248" s="163">
        <v>89</v>
      </c>
      <c r="Y248" s="162">
        <v>65</v>
      </c>
      <c r="Z248" s="162">
        <v>12</v>
      </c>
      <c r="AA248" s="162">
        <v>133</v>
      </c>
      <c r="AB248" s="162">
        <v>34</v>
      </c>
      <c r="AC248" s="162">
        <v>52</v>
      </c>
      <c r="AD248" s="167">
        <v>70</v>
      </c>
      <c r="AE248" s="162">
        <v>59</v>
      </c>
      <c r="AF248" s="163">
        <v>45</v>
      </c>
      <c r="AG248" s="162">
        <v>40</v>
      </c>
      <c r="AH248" s="163">
        <v>1506</v>
      </c>
      <c r="AI248" s="162">
        <v>34</v>
      </c>
      <c r="AJ248" s="163">
        <v>0.45779999999999998</v>
      </c>
      <c r="AK248" s="162">
        <v>118</v>
      </c>
      <c r="AL248" s="168">
        <v>42543</v>
      </c>
      <c r="AM248" s="162">
        <v>161</v>
      </c>
      <c r="AN248" s="162">
        <v>47</v>
      </c>
      <c r="AO248" s="162">
        <v>203</v>
      </c>
      <c r="AP248" s="162">
        <v>34</v>
      </c>
      <c r="AQ248" s="162">
        <v>52</v>
      </c>
      <c r="AR248" s="163">
        <v>45</v>
      </c>
      <c r="AS248" s="162">
        <v>40</v>
      </c>
      <c r="AT248" s="169">
        <v>3.9840637450199203</v>
      </c>
      <c r="AU248" s="162">
        <v>55</v>
      </c>
      <c r="AV248" s="163">
        <v>0</v>
      </c>
      <c r="AW248" s="162">
        <v>194</v>
      </c>
      <c r="AX248" s="162" t="s">
        <v>615</v>
      </c>
      <c r="AY248" s="162">
        <v>999999</v>
      </c>
      <c r="AZ248" s="170">
        <v>0</v>
      </c>
      <c r="BA248" s="162">
        <v>14</v>
      </c>
      <c r="BB248" s="168">
        <v>43420</v>
      </c>
      <c r="BC248" s="162">
        <v>237</v>
      </c>
      <c r="BD248" s="171">
        <v>43530</v>
      </c>
      <c r="BE248" s="162">
        <v>51</v>
      </c>
      <c r="BF248" s="163">
        <v>1</v>
      </c>
      <c r="BG248" s="162">
        <v>1</v>
      </c>
      <c r="BH248" s="162">
        <v>2</v>
      </c>
      <c r="BI248" s="162">
        <v>68</v>
      </c>
      <c r="BJ248" s="162">
        <v>47</v>
      </c>
      <c r="BK248" s="162">
        <v>72</v>
      </c>
      <c r="BL248" s="161">
        <v>965167.18518518517</v>
      </c>
      <c r="BM248" s="162" t="str">
        <f t="shared" si="3"/>
        <v>54/283</v>
      </c>
      <c r="BN248" s="142"/>
    </row>
    <row r="249" spans="1:66" x14ac:dyDescent="0.25">
      <c r="A249" s="2">
        <v>540199</v>
      </c>
      <c r="B249" s="2" t="s">
        <v>261</v>
      </c>
      <c r="C249" s="2" t="s">
        <v>83</v>
      </c>
      <c r="D249" s="2" t="s">
        <v>612</v>
      </c>
      <c r="E249" s="2" t="s">
        <v>616</v>
      </c>
      <c r="F249" s="2" t="s">
        <v>613</v>
      </c>
      <c r="G249" s="2">
        <v>3</v>
      </c>
      <c r="H249" s="2">
        <v>0</v>
      </c>
      <c r="I249" s="2">
        <v>2</v>
      </c>
      <c r="J249" s="2">
        <v>39.6</v>
      </c>
      <c r="K249" s="2">
        <v>80</v>
      </c>
      <c r="L249" s="55">
        <v>8</v>
      </c>
      <c r="M249" s="2">
        <v>44</v>
      </c>
      <c r="N249" s="2">
        <v>0</v>
      </c>
      <c r="O249" s="2">
        <v>140</v>
      </c>
      <c r="P249" s="156">
        <v>1824408</v>
      </c>
      <c r="Q249" s="2">
        <v>50</v>
      </c>
      <c r="R249" s="157">
        <v>0.72619894500000004</v>
      </c>
      <c r="S249" s="2">
        <v>71</v>
      </c>
      <c r="T249" s="158">
        <v>0.86</v>
      </c>
      <c r="U249" s="2">
        <v>191</v>
      </c>
      <c r="V249" s="55">
        <v>33</v>
      </c>
      <c r="W249" s="2">
        <v>48</v>
      </c>
      <c r="X249" s="55">
        <v>283</v>
      </c>
      <c r="Y249" s="2">
        <v>23</v>
      </c>
      <c r="Z249" s="2">
        <v>12</v>
      </c>
      <c r="AA249" s="2">
        <v>133</v>
      </c>
      <c r="AB249" s="2">
        <v>92</v>
      </c>
      <c r="AC249" s="2">
        <v>11</v>
      </c>
      <c r="AD249" s="105">
        <v>158</v>
      </c>
      <c r="AE249" s="2">
        <v>27</v>
      </c>
      <c r="AF249" s="55">
        <v>68</v>
      </c>
      <c r="AG249" s="2">
        <v>26</v>
      </c>
      <c r="AH249" s="55">
        <v>479</v>
      </c>
      <c r="AI249" s="2">
        <v>74</v>
      </c>
      <c r="AJ249" s="55">
        <v>0.45779999999999998</v>
      </c>
      <c r="AK249" s="2">
        <v>118</v>
      </c>
      <c r="AL249" s="30">
        <v>42543</v>
      </c>
      <c r="AM249" s="2">
        <v>161</v>
      </c>
      <c r="AN249" s="2">
        <v>47</v>
      </c>
      <c r="AO249" s="2">
        <v>203</v>
      </c>
      <c r="AP249" s="2">
        <v>92</v>
      </c>
      <c r="AQ249" s="2">
        <v>11</v>
      </c>
      <c r="AR249" s="55">
        <v>68</v>
      </c>
      <c r="AS249" s="2">
        <v>26</v>
      </c>
      <c r="AT249" s="159">
        <v>-2.0876826722338206</v>
      </c>
      <c r="AU249" s="2">
        <v>235</v>
      </c>
      <c r="AV249" s="55">
        <v>1</v>
      </c>
      <c r="AW249" s="2">
        <v>1</v>
      </c>
      <c r="AX249" s="2">
        <v>8</v>
      </c>
      <c r="AY249" s="2">
        <v>3</v>
      </c>
      <c r="AZ249" s="106">
        <v>1</v>
      </c>
      <c r="BA249" s="2">
        <v>1</v>
      </c>
      <c r="BB249" s="30">
        <v>43420</v>
      </c>
      <c r="BC249" s="2">
        <v>237</v>
      </c>
      <c r="BD249" s="160">
        <v>43502</v>
      </c>
      <c r="BE249" s="2">
        <v>45</v>
      </c>
      <c r="BF249" s="55">
        <v>1</v>
      </c>
      <c r="BG249" s="2">
        <v>1</v>
      </c>
      <c r="BH249" s="2">
        <v>2</v>
      </c>
      <c r="BI249" s="2">
        <v>68</v>
      </c>
      <c r="BJ249" s="2">
        <v>47</v>
      </c>
      <c r="BK249" s="2">
        <v>72</v>
      </c>
      <c r="BL249" s="161">
        <v>2022.2222222222222</v>
      </c>
      <c r="BM249" s="2" t="str">
        <f t="shared" si="3"/>
        <v>8/283</v>
      </c>
      <c r="BN249" s="142"/>
    </row>
    <row r="250" spans="1:66" x14ac:dyDescent="0.25">
      <c r="A250" s="162">
        <v>540200</v>
      </c>
      <c r="B250" s="162" t="s">
        <v>84</v>
      </c>
      <c r="C250" s="162" t="s">
        <v>85</v>
      </c>
      <c r="D250" s="162" t="s">
        <v>617</v>
      </c>
      <c r="E250" s="162" t="s">
        <v>616</v>
      </c>
      <c r="F250" s="162" t="s">
        <v>613</v>
      </c>
      <c r="G250" s="162">
        <v>3</v>
      </c>
      <c r="H250" s="162">
        <v>0</v>
      </c>
      <c r="I250" s="162">
        <v>2</v>
      </c>
      <c r="J250" s="162">
        <v>20.6</v>
      </c>
      <c r="K250" s="162">
        <v>114</v>
      </c>
      <c r="L250" s="163">
        <v>25</v>
      </c>
      <c r="M250" s="162">
        <v>15</v>
      </c>
      <c r="N250" s="162">
        <v>0</v>
      </c>
      <c r="O250" s="162">
        <v>140</v>
      </c>
      <c r="P250" s="164">
        <v>2325089</v>
      </c>
      <c r="Q250" s="162">
        <v>39</v>
      </c>
      <c r="R250" s="165">
        <v>-0.80735002499999997</v>
      </c>
      <c r="S250" s="162">
        <v>245</v>
      </c>
      <c r="T250" s="166">
        <v>0.94</v>
      </c>
      <c r="U250" s="162">
        <v>11</v>
      </c>
      <c r="V250" s="163">
        <v>166</v>
      </c>
      <c r="W250" s="162">
        <v>5</v>
      </c>
      <c r="X250" s="163">
        <v>347</v>
      </c>
      <c r="Y250" s="162">
        <v>15</v>
      </c>
      <c r="Z250" s="162">
        <v>16</v>
      </c>
      <c r="AA250" s="162">
        <v>20</v>
      </c>
      <c r="AB250" s="162">
        <v>87</v>
      </c>
      <c r="AC250" s="162">
        <v>14</v>
      </c>
      <c r="AD250" s="167">
        <v>184</v>
      </c>
      <c r="AE250" s="162">
        <v>18</v>
      </c>
      <c r="AF250" s="163">
        <v>79</v>
      </c>
      <c r="AG250" s="162">
        <v>21</v>
      </c>
      <c r="AH250" s="163">
        <v>2286</v>
      </c>
      <c r="AI250" s="162">
        <v>21</v>
      </c>
      <c r="AJ250" s="163">
        <v>0.64019999999999999</v>
      </c>
      <c r="AK250" s="162">
        <v>209</v>
      </c>
      <c r="AL250" s="168">
        <v>43145</v>
      </c>
      <c r="AM250" s="162">
        <v>26</v>
      </c>
      <c r="AN250" s="162">
        <v>18</v>
      </c>
      <c r="AO250" s="162">
        <v>156</v>
      </c>
      <c r="AP250" s="162">
        <v>87</v>
      </c>
      <c r="AQ250" s="162">
        <v>14</v>
      </c>
      <c r="AR250" s="163">
        <v>79</v>
      </c>
      <c r="AS250" s="162">
        <v>21</v>
      </c>
      <c r="AT250" s="169">
        <v>-10.017497812773403</v>
      </c>
      <c r="AU250" s="162">
        <v>260</v>
      </c>
      <c r="AV250" s="163">
        <v>1</v>
      </c>
      <c r="AW250" s="162">
        <v>1</v>
      </c>
      <c r="AX250" s="162" t="s">
        <v>615</v>
      </c>
      <c r="AY250" s="162">
        <v>999999</v>
      </c>
      <c r="AZ250" s="170">
        <v>0</v>
      </c>
      <c r="BA250" s="162">
        <v>14</v>
      </c>
      <c r="BB250" s="168">
        <v>43287</v>
      </c>
      <c r="BC250" s="162">
        <v>206</v>
      </c>
      <c r="BD250" s="171">
        <v>41806</v>
      </c>
      <c r="BE250" s="162">
        <v>1</v>
      </c>
      <c r="BF250" s="163">
        <v>1</v>
      </c>
      <c r="BG250" s="162">
        <v>1</v>
      </c>
      <c r="BH250" s="162">
        <v>2</v>
      </c>
      <c r="BI250" s="162">
        <v>68</v>
      </c>
      <c r="BJ250" s="162">
        <v>18</v>
      </c>
      <c r="BK250" s="162">
        <v>114</v>
      </c>
      <c r="BL250" s="161">
        <v>964665.48148148134</v>
      </c>
      <c r="BM250" s="162" t="str">
        <f t="shared" si="3"/>
        <v>21/283</v>
      </c>
      <c r="BN250" s="142"/>
    </row>
    <row r="251" spans="1:66" x14ac:dyDescent="0.25">
      <c r="A251" s="2">
        <v>540232</v>
      </c>
      <c r="B251" s="2" t="s">
        <v>282</v>
      </c>
      <c r="C251" s="2" t="s">
        <v>85</v>
      </c>
      <c r="D251" s="2" t="s">
        <v>612</v>
      </c>
      <c r="E251" s="2" t="s">
        <v>616</v>
      </c>
      <c r="F251" s="2" t="s">
        <v>613</v>
      </c>
      <c r="G251" s="2">
        <v>3</v>
      </c>
      <c r="H251" s="2">
        <v>0</v>
      </c>
      <c r="I251" s="2">
        <v>2</v>
      </c>
      <c r="J251" s="2">
        <v>20.6</v>
      </c>
      <c r="K251" s="2">
        <v>114</v>
      </c>
      <c r="L251" s="55">
        <v>0</v>
      </c>
      <c r="M251" s="2">
        <v>118</v>
      </c>
      <c r="N251" s="2">
        <v>0</v>
      </c>
      <c r="O251" s="2">
        <v>140</v>
      </c>
      <c r="P251" s="156">
        <v>118660</v>
      </c>
      <c r="Q251" s="2">
        <v>159</v>
      </c>
      <c r="R251" s="157">
        <v>-0.80735002499999997</v>
      </c>
      <c r="S251" s="2">
        <v>245</v>
      </c>
      <c r="T251" s="158">
        <v>0.94</v>
      </c>
      <c r="U251" s="2">
        <v>11</v>
      </c>
      <c r="V251" s="55">
        <v>2</v>
      </c>
      <c r="W251" s="2">
        <v>170</v>
      </c>
      <c r="X251" s="55">
        <v>16</v>
      </c>
      <c r="Y251" s="2">
        <v>158</v>
      </c>
      <c r="Z251" s="2">
        <v>16</v>
      </c>
      <c r="AA251" s="2">
        <v>20</v>
      </c>
      <c r="AB251" s="2">
        <v>7</v>
      </c>
      <c r="AC251" s="2">
        <v>120</v>
      </c>
      <c r="AD251" s="105">
        <v>8</v>
      </c>
      <c r="AE251" s="2">
        <v>172</v>
      </c>
      <c r="AF251" s="55">
        <v>3</v>
      </c>
      <c r="AG251" s="2">
        <v>152</v>
      </c>
      <c r="AH251" s="55">
        <v>146</v>
      </c>
      <c r="AI251" s="2">
        <v>112</v>
      </c>
      <c r="AJ251" s="55">
        <v>0.64019999999999999</v>
      </c>
      <c r="AK251" s="2">
        <v>209</v>
      </c>
      <c r="AL251" s="30">
        <v>43145</v>
      </c>
      <c r="AM251" s="2">
        <v>26</v>
      </c>
      <c r="AN251" s="2">
        <v>18</v>
      </c>
      <c r="AO251" s="2">
        <v>156</v>
      </c>
      <c r="AP251" s="2">
        <v>7</v>
      </c>
      <c r="AQ251" s="2">
        <v>120</v>
      </c>
      <c r="AR251" s="55">
        <v>3</v>
      </c>
      <c r="AS251" s="2">
        <v>152</v>
      </c>
      <c r="AT251" s="159">
        <v>12.328767123287671</v>
      </c>
      <c r="AU251" s="2">
        <v>19</v>
      </c>
      <c r="AV251" s="55">
        <v>1</v>
      </c>
      <c r="AW251" s="2">
        <v>1</v>
      </c>
      <c r="AX251" s="2" t="s">
        <v>615</v>
      </c>
      <c r="AY251" s="2">
        <v>999999</v>
      </c>
      <c r="AZ251" s="106">
        <v>0</v>
      </c>
      <c r="BA251" s="2">
        <v>14</v>
      </c>
      <c r="BB251" s="30">
        <v>43287</v>
      </c>
      <c r="BC251" s="2">
        <v>206</v>
      </c>
      <c r="BD251" s="160">
        <v>41806</v>
      </c>
      <c r="BE251" s="2">
        <v>1</v>
      </c>
      <c r="BF251" s="55">
        <v>1</v>
      </c>
      <c r="BG251" s="2">
        <v>1</v>
      </c>
      <c r="BH251" s="2">
        <v>1</v>
      </c>
      <c r="BI251" s="2">
        <v>151</v>
      </c>
      <c r="BJ251" s="2">
        <v>18</v>
      </c>
      <c r="BK251" s="2">
        <v>114</v>
      </c>
      <c r="BL251" s="161">
        <v>965717.03703703685</v>
      </c>
      <c r="BM251" s="2" t="str">
        <f t="shared" si="3"/>
        <v>120/283</v>
      </c>
      <c r="BN251" s="142"/>
    </row>
    <row r="252" spans="1:66" x14ac:dyDescent="0.25">
      <c r="A252" s="2">
        <v>540202</v>
      </c>
      <c r="B252" s="2" t="s">
        <v>262</v>
      </c>
      <c r="C252" s="2" t="s">
        <v>85</v>
      </c>
      <c r="D252" s="2" t="s">
        <v>612</v>
      </c>
      <c r="E252" s="2" t="s">
        <v>616</v>
      </c>
      <c r="F252" s="2" t="s">
        <v>613</v>
      </c>
      <c r="G252" s="2">
        <v>3</v>
      </c>
      <c r="H252" s="2">
        <v>0</v>
      </c>
      <c r="I252" s="2">
        <v>2</v>
      </c>
      <c r="J252" s="2">
        <v>20.6</v>
      </c>
      <c r="K252" s="2">
        <v>114</v>
      </c>
      <c r="L252" s="55">
        <v>0</v>
      </c>
      <c r="M252" s="2">
        <v>118</v>
      </c>
      <c r="N252" s="2">
        <v>0</v>
      </c>
      <c r="O252" s="2">
        <v>140</v>
      </c>
      <c r="P252" s="156">
        <v>197726</v>
      </c>
      <c r="Q252" s="2">
        <v>137</v>
      </c>
      <c r="R252" s="157">
        <v>-0.80735002499999997</v>
      </c>
      <c r="S252" s="2">
        <v>245</v>
      </c>
      <c r="T252" s="158">
        <v>0.94</v>
      </c>
      <c r="U252" s="2">
        <v>11</v>
      </c>
      <c r="V252" s="55">
        <v>5</v>
      </c>
      <c r="W252" s="2">
        <v>121</v>
      </c>
      <c r="X252" s="55">
        <v>8</v>
      </c>
      <c r="Y252" s="2">
        <v>188</v>
      </c>
      <c r="Z252" s="2">
        <v>16</v>
      </c>
      <c r="AA252" s="2">
        <v>20</v>
      </c>
      <c r="AB252" s="2">
        <v>2</v>
      </c>
      <c r="AC252" s="2">
        <v>168</v>
      </c>
      <c r="AD252" s="105">
        <v>5</v>
      </c>
      <c r="AE252" s="2">
        <v>194</v>
      </c>
      <c r="AF252" s="55">
        <v>3</v>
      </c>
      <c r="AG252" s="2">
        <v>152</v>
      </c>
      <c r="AH252" s="55">
        <v>0</v>
      </c>
      <c r="AI252" s="2">
        <v>135</v>
      </c>
      <c r="AJ252" s="55">
        <v>0.64019999999999999</v>
      </c>
      <c r="AK252" s="2">
        <v>209</v>
      </c>
      <c r="AL252" s="30">
        <v>43145</v>
      </c>
      <c r="AM252" s="2">
        <v>26</v>
      </c>
      <c r="AN252" s="2">
        <v>18</v>
      </c>
      <c r="AO252" s="2">
        <v>156</v>
      </c>
      <c r="AP252" s="2">
        <v>2</v>
      </c>
      <c r="AQ252" s="2">
        <v>168</v>
      </c>
      <c r="AR252" s="55">
        <v>3</v>
      </c>
      <c r="AS252" s="2">
        <v>152</v>
      </c>
      <c r="AT252" s="159">
        <v>0</v>
      </c>
      <c r="AU252" s="2">
        <v>81</v>
      </c>
      <c r="AV252" s="55">
        <v>0</v>
      </c>
      <c r="AW252" s="2">
        <v>194</v>
      </c>
      <c r="AX252" s="2" t="s">
        <v>615</v>
      </c>
      <c r="AY252" s="2">
        <v>999999</v>
      </c>
      <c r="AZ252" s="106">
        <v>0</v>
      </c>
      <c r="BA252" s="2">
        <v>14</v>
      </c>
      <c r="BB252" s="30">
        <v>42983</v>
      </c>
      <c r="BC252" s="2">
        <v>128</v>
      </c>
      <c r="BD252" s="160">
        <v>41806</v>
      </c>
      <c r="BE252" s="2">
        <v>1</v>
      </c>
      <c r="BF252" s="55">
        <v>1</v>
      </c>
      <c r="BG252" s="2">
        <v>1</v>
      </c>
      <c r="BH252" s="2">
        <v>2</v>
      </c>
      <c r="BI252" s="2">
        <v>68</v>
      </c>
      <c r="BJ252" s="2">
        <v>18</v>
      </c>
      <c r="BK252" s="2">
        <v>114</v>
      </c>
      <c r="BL252" s="161">
        <v>965903.85185185168</v>
      </c>
      <c r="BM252" s="2" t="str">
        <f t="shared" si="3"/>
        <v>154/283</v>
      </c>
      <c r="BN252" s="142"/>
    </row>
    <row r="253" spans="1:66" x14ac:dyDescent="0.25">
      <c r="A253" s="2">
        <v>540204</v>
      </c>
      <c r="B253" s="2" t="s">
        <v>263</v>
      </c>
      <c r="C253" s="2" t="s">
        <v>87</v>
      </c>
      <c r="D253" s="2" t="s">
        <v>612</v>
      </c>
      <c r="E253" s="2" t="s">
        <v>616</v>
      </c>
      <c r="F253" s="2" t="s">
        <v>613</v>
      </c>
      <c r="G253" s="2">
        <v>3</v>
      </c>
      <c r="H253" s="2">
        <v>0</v>
      </c>
      <c r="I253" s="2">
        <v>2</v>
      </c>
      <c r="J253" s="2">
        <v>0</v>
      </c>
      <c r="K253" s="2">
        <v>275</v>
      </c>
      <c r="L253" s="55">
        <v>0</v>
      </c>
      <c r="M253" s="2">
        <v>118</v>
      </c>
      <c r="N253" s="2">
        <v>0</v>
      </c>
      <c r="O253" s="2">
        <v>140</v>
      </c>
      <c r="P253" s="156">
        <v>161933</v>
      </c>
      <c r="Q253" s="2">
        <v>147</v>
      </c>
      <c r="R253" s="157">
        <v>0.71184354500000002</v>
      </c>
      <c r="S253" s="2">
        <v>73</v>
      </c>
      <c r="T253" s="158">
        <v>0.87</v>
      </c>
      <c r="U253" s="2">
        <v>177</v>
      </c>
      <c r="V253" s="55">
        <v>1</v>
      </c>
      <c r="W253" s="2">
        <v>197</v>
      </c>
      <c r="X253" s="55">
        <v>39</v>
      </c>
      <c r="Y253" s="2">
        <v>113</v>
      </c>
      <c r="Z253" s="2">
        <v>14</v>
      </c>
      <c r="AA253" s="2">
        <v>59</v>
      </c>
      <c r="AB253" s="2">
        <v>16</v>
      </c>
      <c r="AC253" s="2">
        <v>85</v>
      </c>
      <c r="AD253" s="105">
        <v>35</v>
      </c>
      <c r="AE253" s="2">
        <v>91</v>
      </c>
      <c r="AF253" s="55">
        <v>2</v>
      </c>
      <c r="AG253" s="2">
        <v>164</v>
      </c>
      <c r="AH253" s="55">
        <v>0</v>
      </c>
      <c r="AI253" s="2">
        <v>135</v>
      </c>
      <c r="AJ253" s="55">
        <v>0.71630000000000005</v>
      </c>
      <c r="AK253" s="2">
        <v>241</v>
      </c>
      <c r="AL253" s="30">
        <v>42543</v>
      </c>
      <c r="AM253" s="2">
        <v>161</v>
      </c>
      <c r="AN253" s="2">
        <v>0</v>
      </c>
      <c r="AO253" s="2">
        <v>1</v>
      </c>
      <c r="AP253" s="2">
        <v>16</v>
      </c>
      <c r="AQ253" s="2">
        <v>85</v>
      </c>
      <c r="AR253" s="55">
        <v>2</v>
      </c>
      <c r="AS253" s="2">
        <v>164</v>
      </c>
      <c r="AT253" s="159">
        <v>0</v>
      </c>
      <c r="AU253" s="2">
        <v>81</v>
      </c>
      <c r="AV253" s="55">
        <v>1</v>
      </c>
      <c r="AW253" s="2">
        <v>1</v>
      </c>
      <c r="AX253" s="2" t="s">
        <v>615</v>
      </c>
      <c r="AY253" s="2">
        <v>999999</v>
      </c>
      <c r="AZ253" s="106">
        <v>0</v>
      </c>
      <c r="BA253" s="2">
        <v>14</v>
      </c>
      <c r="BB253" s="30">
        <v>43438</v>
      </c>
      <c r="BC253" s="2">
        <v>239</v>
      </c>
      <c r="BD253" s="160">
        <v>41806</v>
      </c>
      <c r="BE253" s="2">
        <v>1</v>
      </c>
      <c r="BF253" s="55">
        <v>0</v>
      </c>
      <c r="BG253" s="2">
        <v>183</v>
      </c>
      <c r="BH253" s="2">
        <v>1</v>
      </c>
      <c r="BI253" s="2">
        <v>151</v>
      </c>
      <c r="BJ253" s="2">
        <v>0</v>
      </c>
      <c r="BK253" s="2">
        <v>249</v>
      </c>
      <c r="BL253" s="161">
        <v>966183.11111111112</v>
      </c>
      <c r="BM253" s="2" t="str">
        <f t="shared" si="3"/>
        <v>197/283</v>
      </c>
      <c r="BN253" s="142"/>
    </row>
    <row r="254" spans="1:66" x14ac:dyDescent="0.25">
      <c r="A254" s="2">
        <v>540205</v>
      </c>
      <c r="B254" s="2" t="s">
        <v>264</v>
      </c>
      <c r="C254" s="2" t="s">
        <v>87</v>
      </c>
      <c r="D254" s="2" t="s">
        <v>612</v>
      </c>
      <c r="E254" s="2" t="s">
        <v>616</v>
      </c>
      <c r="F254" s="2" t="s">
        <v>613</v>
      </c>
      <c r="G254" s="2">
        <v>3</v>
      </c>
      <c r="H254" s="2">
        <v>0</v>
      </c>
      <c r="I254" s="2">
        <v>2</v>
      </c>
      <c r="J254" s="2">
        <v>0</v>
      </c>
      <c r="K254" s="2">
        <v>275</v>
      </c>
      <c r="L254" s="55">
        <v>0</v>
      </c>
      <c r="M254" s="2">
        <v>118</v>
      </c>
      <c r="N254" s="2">
        <v>0</v>
      </c>
      <c r="O254" s="2">
        <v>140</v>
      </c>
      <c r="P254" s="156">
        <v>358382</v>
      </c>
      <c r="Q254" s="2">
        <v>113</v>
      </c>
      <c r="R254" s="157">
        <v>0.71184354500000002</v>
      </c>
      <c r="S254" s="2">
        <v>73</v>
      </c>
      <c r="T254" s="158">
        <v>0.87</v>
      </c>
      <c r="U254" s="2">
        <v>177</v>
      </c>
      <c r="V254" s="55">
        <v>0</v>
      </c>
      <c r="W254" s="2">
        <v>230</v>
      </c>
      <c r="X254" s="55">
        <v>21</v>
      </c>
      <c r="Y254" s="2">
        <v>145</v>
      </c>
      <c r="Z254" s="2">
        <v>14</v>
      </c>
      <c r="AA254" s="2">
        <v>59</v>
      </c>
      <c r="AB254" s="2">
        <v>0</v>
      </c>
      <c r="AC254" s="2">
        <v>222</v>
      </c>
      <c r="AD254" s="105">
        <v>3</v>
      </c>
      <c r="AE254" s="2">
        <v>213</v>
      </c>
      <c r="AF254" s="55">
        <v>11</v>
      </c>
      <c r="AG254" s="2">
        <v>101</v>
      </c>
      <c r="AH254" s="55">
        <v>0</v>
      </c>
      <c r="AI254" s="2">
        <v>135</v>
      </c>
      <c r="AJ254" s="55">
        <v>0.71630000000000005</v>
      </c>
      <c r="AK254" s="2">
        <v>241</v>
      </c>
      <c r="AL254" s="30">
        <v>42543</v>
      </c>
      <c r="AM254" s="2">
        <v>161</v>
      </c>
      <c r="AN254" s="2">
        <v>0</v>
      </c>
      <c r="AO254" s="2">
        <v>1</v>
      </c>
      <c r="AP254" s="2">
        <v>0</v>
      </c>
      <c r="AQ254" s="2">
        <v>222</v>
      </c>
      <c r="AR254" s="55">
        <v>11</v>
      </c>
      <c r="AS254" s="2">
        <v>101</v>
      </c>
      <c r="AT254" s="159">
        <v>0</v>
      </c>
      <c r="AU254" s="2">
        <v>81</v>
      </c>
      <c r="AV254" s="55">
        <v>1</v>
      </c>
      <c r="AW254" s="2">
        <v>1</v>
      </c>
      <c r="AX254" s="2" t="s">
        <v>615</v>
      </c>
      <c r="AY254" s="2">
        <v>999999</v>
      </c>
      <c r="AZ254" s="106">
        <v>0</v>
      </c>
      <c r="BA254" s="2">
        <v>14</v>
      </c>
      <c r="BB254" s="30">
        <v>43438</v>
      </c>
      <c r="BC254" s="2">
        <v>239</v>
      </c>
      <c r="BD254" s="160">
        <v>41806</v>
      </c>
      <c r="BE254" s="2">
        <v>1</v>
      </c>
      <c r="BF254" s="55">
        <v>1</v>
      </c>
      <c r="BG254" s="2">
        <v>1</v>
      </c>
      <c r="BH254" s="2">
        <v>1</v>
      </c>
      <c r="BI254" s="2">
        <v>151</v>
      </c>
      <c r="BJ254" s="2">
        <v>0</v>
      </c>
      <c r="BK254" s="2">
        <v>249</v>
      </c>
      <c r="BL254" s="161">
        <v>966297.70370370359</v>
      </c>
      <c r="BM254" s="2" t="str">
        <f t="shared" si="3"/>
        <v>214/283</v>
      </c>
      <c r="BN254" s="142"/>
    </row>
    <row r="255" spans="1:66" x14ac:dyDescent="0.25">
      <c r="A255" s="2">
        <v>540206</v>
      </c>
      <c r="B255" s="2" t="s">
        <v>265</v>
      </c>
      <c r="C255" s="2" t="s">
        <v>87</v>
      </c>
      <c r="D255" s="2" t="s">
        <v>612</v>
      </c>
      <c r="E255" s="2" t="s">
        <v>616</v>
      </c>
      <c r="F255" s="2" t="s">
        <v>613</v>
      </c>
      <c r="G255" s="2">
        <v>3</v>
      </c>
      <c r="H255" s="2">
        <v>0</v>
      </c>
      <c r="I255" s="2">
        <v>2</v>
      </c>
      <c r="J255" s="2">
        <v>0</v>
      </c>
      <c r="K255" s="2">
        <v>275</v>
      </c>
      <c r="L255" s="55">
        <v>0</v>
      </c>
      <c r="M255" s="2">
        <v>118</v>
      </c>
      <c r="N255" s="2">
        <v>0</v>
      </c>
      <c r="O255" s="2">
        <v>140</v>
      </c>
      <c r="P255" s="156">
        <v>25435</v>
      </c>
      <c r="Q255" s="2">
        <v>206</v>
      </c>
      <c r="R255" s="157">
        <v>0.71184354500000002</v>
      </c>
      <c r="S255" s="2">
        <v>73</v>
      </c>
      <c r="T255" s="158">
        <v>0.87</v>
      </c>
      <c r="U255" s="2">
        <v>177</v>
      </c>
      <c r="V255" s="55">
        <v>1</v>
      </c>
      <c r="W255" s="2">
        <v>197</v>
      </c>
      <c r="X255" s="55">
        <v>6</v>
      </c>
      <c r="Y255" s="2">
        <v>197</v>
      </c>
      <c r="Z255" s="2">
        <v>14</v>
      </c>
      <c r="AA255" s="2">
        <v>59</v>
      </c>
      <c r="AB255" s="2">
        <v>5</v>
      </c>
      <c r="AC255" s="2">
        <v>129</v>
      </c>
      <c r="AD255" s="105">
        <v>9</v>
      </c>
      <c r="AE255" s="2">
        <v>160</v>
      </c>
      <c r="AF255" s="55">
        <v>0</v>
      </c>
      <c r="AG255" s="2">
        <v>184</v>
      </c>
      <c r="AH255" s="55">
        <v>0</v>
      </c>
      <c r="AI255" s="2">
        <v>135</v>
      </c>
      <c r="AJ255" s="55">
        <v>0.71630000000000005</v>
      </c>
      <c r="AK255" s="2">
        <v>241</v>
      </c>
      <c r="AL255" s="30">
        <v>42543</v>
      </c>
      <c r="AM255" s="2">
        <v>161</v>
      </c>
      <c r="AN255" s="2">
        <v>0</v>
      </c>
      <c r="AO255" s="2">
        <v>1</v>
      </c>
      <c r="AP255" s="2">
        <v>5</v>
      </c>
      <c r="AQ255" s="2">
        <v>129</v>
      </c>
      <c r="AR255" s="55">
        <v>0</v>
      </c>
      <c r="AS255" s="2">
        <v>184</v>
      </c>
      <c r="AT255" s="159">
        <v>0</v>
      </c>
      <c r="AU255" s="2">
        <v>81</v>
      </c>
      <c r="AV255" s="55">
        <v>1</v>
      </c>
      <c r="AW255" s="2">
        <v>1</v>
      </c>
      <c r="AX255" s="2" t="s">
        <v>615</v>
      </c>
      <c r="AY255" s="2">
        <v>999999</v>
      </c>
      <c r="AZ255" s="106">
        <v>0</v>
      </c>
      <c r="BA255" s="2">
        <v>14</v>
      </c>
      <c r="BB255" s="30">
        <v>43438</v>
      </c>
      <c r="BC255" s="2">
        <v>239</v>
      </c>
      <c r="BD255" s="160">
        <v>41806</v>
      </c>
      <c r="BE255" s="2">
        <v>1</v>
      </c>
      <c r="BF255" s="55">
        <v>1</v>
      </c>
      <c r="BG255" s="2">
        <v>1</v>
      </c>
      <c r="BH255" s="2">
        <v>1</v>
      </c>
      <c r="BI255" s="2">
        <v>151</v>
      </c>
      <c r="BJ255" s="2">
        <v>0</v>
      </c>
      <c r="BK255" s="2">
        <v>249</v>
      </c>
      <c r="BL255" s="161">
        <v>966335.25925925921</v>
      </c>
      <c r="BM255" s="2" t="str">
        <f t="shared" si="3"/>
        <v>218/283</v>
      </c>
      <c r="BN255" s="142"/>
    </row>
    <row r="256" spans="1:66" x14ac:dyDescent="0.25">
      <c r="A256" s="2">
        <v>540256</v>
      </c>
      <c r="B256" s="2" t="s">
        <v>301</v>
      </c>
      <c r="C256" s="2" t="s">
        <v>89</v>
      </c>
      <c r="D256" s="2" t="s">
        <v>612</v>
      </c>
      <c r="E256" s="2" t="s">
        <v>616</v>
      </c>
      <c r="F256" s="2" t="s">
        <v>613</v>
      </c>
      <c r="G256" s="2">
        <v>3</v>
      </c>
      <c r="H256" s="2">
        <v>0</v>
      </c>
      <c r="I256" s="2">
        <v>2</v>
      </c>
      <c r="J256" s="2">
        <v>14.4</v>
      </c>
      <c r="K256" s="2">
        <v>139</v>
      </c>
      <c r="L256" s="55">
        <v>0</v>
      </c>
      <c r="M256" s="2">
        <v>118</v>
      </c>
      <c r="N256" s="2">
        <v>0</v>
      </c>
      <c r="O256" s="2">
        <v>140</v>
      </c>
      <c r="P256" s="156">
        <v>237994</v>
      </c>
      <c r="Q256" s="2">
        <v>130</v>
      </c>
      <c r="R256" s="157">
        <v>-0.65594159799999996</v>
      </c>
      <c r="S256" s="2">
        <v>227</v>
      </c>
      <c r="T256" s="158">
        <v>0.87</v>
      </c>
      <c r="U256" s="2">
        <v>177</v>
      </c>
      <c r="V256" s="55">
        <v>2</v>
      </c>
      <c r="W256" s="2">
        <v>170</v>
      </c>
      <c r="X256" s="55">
        <v>12</v>
      </c>
      <c r="Y256" s="2">
        <v>169</v>
      </c>
      <c r="Z256" s="2">
        <v>16</v>
      </c>
      <c r="AA256" s="2">
        <v>20</v>
      </c>
      <c r="AB256" s="2">
        <v>8</v>
      </c>
      <c r="AC256" s="2">
        <v>109</v>
      </c>
      <c r="AD256" s="105">
        <v>14</v>
      </c>
      <c r="AE256" s="2">
        <v>133</v>
      </c>
      <c r="AF256" s="55">
        <v>2</v>
      </c>
      <c r="AG256" s="2">
        <v>164</v>
      </c>
      <c r="AH256" s="55">
        <v>0</v>
      </c>
      <c r="AI256" s="2">
        <v>135</v>
      </c>
      <c r="AJ256" s="55">
        <v>0.46039999999999998</v>
      </c>
      <c r="AK256" s="2">
        <v>120</v>
      </c>
      <c r="AL256" s="30">
        <v>43145</v>
      </c>
      <c r="AM256" s="2">
        <v>26</v>
      </c>
      <c r="AN256" s="2">
        <v>15</v>
      </c>
      <c r="AO256" s="2">
        <v>134</v>
      </c>
      <c r="AP256" s="2">
        <v>8</v>
      </c>
      <c r="AQ256" s="2">
        <v>109</v>
      </c>
      <c r="AR256" s="55">
        <v>2</v>
      </c>
      <c r="AS256" s="2">
        <v>164</v>
      </c>
      <c r="AT256" s="159">
        <v>0</v>
      </c>
      <c r="AU256" s="2">
        <v>81</v>
      </c>
      <c r="AV256" s="55">
        <v>1</v>
      </c>
      <c r="AW256" s="2">
        <v>1</v>
      </c>
      <c r="AX256" s="2" t="s">
        <v>615</v>
      </c>
      <c r="AY256" s="2">
        <v>999999</v>
      </c>
      <c r="AZ256" s="106">
        <v>0</v>
      </c>
      <c r="BA256" s="2">
        <v>14</v>
      </c>
      <c r="BB256" s="30">
        <v>43215</v>
      </c>
      <c r="BC256" s="2">
        <v>185</v>
      </c>
      <c r="BD256" s="160">
        <v>41806</v>
      </c>
      <c r="BE256" s="2">
        <v>1</v>
      </c>
      <c r="BF256" s="55">
        <v>0</v>
      </c>
      <c r="BG256" s="2">
        <v>183</v>
      </c>
      <c r="BH256" s="2">
        <v>2</v>
      </c>
      <c r="BI256" s="2">
        <v>68</v>
      </c>
      <c r="BJ256" s="2">
        <v>15</v>
      </c>
      <c r="BK256" s="2">
        <v>130</v>
      </c>
      <c r="BL256" s="161">
        <v>965896.1481481482</v>
      </c>
      <c r="BM256" s="2" t="str">
        <f t="shared" si="3"/>
        <v>151/283</v>
      </c>
      <c r="BN256" s="142"/>
    </row>
    <row r="257" spans="1:66" x14ac:dyDescent="0.25">
      <c r="A257" s="2">
        <v>540208</v>
      </c>
      <c r="B257" s="2" t="s">
        <v>266</v>
      </c>
      <c r="C257" s="2" t="s">
        <v>89</v>
      </c>
      <c r="D257" s="2" t="s">
        <v>612</v>
      </c>
      <c r="E257" s="2" t="s">
        <v>616</v>
      </c>
      <c r="F257" s="2" t="s">
        <v>613</v>
      </c>
      <c r="G257" s="2">
        <v>3</v>
      </c>
      <c r="H257" s="2">
        <v>0</v>
      </c>
      <c r="I257" s="2">
        <v>2</v>
      </c>
      <c r="J257" s="2">
        <v>14.4</v>
      </c>
      <c r="K257" s="2">
        <v>139</v>
      </c>
      <c r="L257" s="55">
        <v>0</v>
      </c>
      <c r="M257" s="2">
        <v>118</v>
      </c>
      <c r="N257" s="2">
        <v>0</v>
      </c>
      <c r="O257" s="2">
        <v>140</v>
      </c>
      <c r="P257" s="156">
        <v>3293477</v>
      </c>
      <c r="Q257" s="2">
        <v>24</v>
      </c>
      <c r="R257" s="157">
        <v>-0.65594159799999996</v>
      </c>
      <c r="S257" s="2">
        <v>227</v>
      </c>
      <c r="T257" s="158">
        <v>0.87</v>
      </c>
      <c r="U257" s="2">
        <v>177</v>
      </c>
      <c r="V257" s="55">
        <v>22</v>
      </c>
      <c r="W257" s="2">
        <v>63</v>
      </c>
      <c r="X257" s="55">
        <v>278</v>
      </c>
      <c r="Y257" s="2">
        <v>24</v>
      </c>
      <c r="Z257" s="2">
        <v>16</v>
      </c>
      <c r="AA257" s="2">
        <v>20</v>
      </c>
      <c r="AB257" s="2">
        <v>72</v>
      </c>
      <c r="AC257" s="2">
        <v>22</v>
      </c>
      <c r="AD257" s="105">
        <v>117</v>
      </c>
      <c r="AE257" s="2">
        <v>41</v>
      </c>
      <c r="AF257" s="55">
        <v>86</v>
      </c>
      <c r="AG257" s="2">
        <v>17</v>
      </c>
      <c r="AH257" s="55">
        <v>296</v>
      </c>
      <c r="AI257" s="2">
        <v>84</v>
      </c>
      <c r="AJ257" s="55">
        <v>0.46039999999999998</v>
      </c>
      <c r="AK257" s="2">
        <v>120</v>
      </c>
      <c r="AL257" s="30">
        <v>43145</v>
      </c>
      <c r="AM257" s="2">
        <v>26</v>
      </c>
      <c r="AN257" s="2">
        <v>15</v>
      </c>
      <c r="AO257" s="2">
        <v>134</v>
      </c>
      <c r="AP257" s="2">
        <v>72</v>
      </c>
      <c r="AQ257" s="2">
        <v>22</v>
      </c>
      <c r="AR257" s="55">
        <v>86</v>
      </c>
      <c r="AS257" s="2">
        <v>17</v>
      </c>
      <c r="AT257" s="159">
        <v>1.0135135135135136</v>
      </c>
      <c r="AU257" s="2">
        <v>72</v>
      </c>
      <c r="AV257" s="55">
        <v>0</v>
      </c>
      <c r="AW257" s="2">
        <v>194</v>
      </c>
      <c r="AX257" s="2" t="s">
        <v>615</v>
      </c>
      <c r="AY257" s="2">
        <v>999999</v>
      </c>
      <c r="AZ257" s="106">
        <v>0</v>
      </c>
      <c r="BA257" s="2">
        <v>14</v>
      </c>
      <c r="BB257" s="30">
        <v>43018</v>
      </c>
      <c r="BC257" s="2">
        <v>143</v>
      </c>
      <c r="BD257" s="160">
        <v>43005</v>
      </c>
      <c r="BE257" s="2">
        <v>39</v>
      </c>
      <c r="BF257" s="55">
        <v>1</v>
      </c>
      <c r="BG257" s="2">
        <v>1</v>
      </c>
      <c r="BH257" s="2">
        <v>1</v>
      </c>
      <c r="BI257" s="2">
        <v>151</v>
      </c>
      <c r="BJ257" s="2">
        <v>15</v>
      </c>
      <c r="BK257" s="2">
        <v>130</v>
      </c>
      <c r="BL257" s="161">
        <v>965041.03703703696</v>
      </c>
      <c r="BM257" s="2" t="str">
        <f t="shared" si="3"/>
        <v>44/283</v>
      </c>
      <c r="BN257" s="142"/>
    </row>
    <row r="258" spans="1:66" x14ac:dyDescent="0.25">
      <c r="A258" s="2">
        <v>540210</v>
      </c>
      <c r="B258" s="2" t="s">
        <v>267</v>
      </c>
      <c r="C258" s="2" t="s">
        <v>89</v>
      </c>
      <c r="D258" s="2" t="s">
        <v>612</v>
      </c>
      <c r="E258" s="2" t="s">
        <v>616</v>
      </c>
      <c r="F258" s="2" t="s">
        <v>613</v>
      </c>
      <c r="G258" s="2">
        <v>3</v>
      </c>
      <c r="H258" s="2">
        <v>0</v>
      </c>
      <c r="I258" s="2">
        <v>2</v>
      </c>
      <c r="J258" s="2">
        <v>14.4</v>
      </c>
      <c r="K258" s="2">
        <v>139</v>
      </c>
      <c r="L258" s="55">
        <v>3</v>
      </c>
      <c r="M258" s="2">
        <v>77</v>
      </c>
      <c r="N258" s="2">
        <v>0</v>
      </c>
      <c r="O258" s="2">
        <v>140</v>
      </c>
      <c r="P258" s="156">
        <v>618481</v>
      </c>
      <c r="Q258" s="2">
        <v>90</v>
      </c>
      <c r="R258" s="157">
        <v>-0.65594159799999996</v>
      </c>
      <c r="S258" s="2">
        <v>227</v>
      </c>
      <c r="T258" s="158">
        <v>0.87</v>
      </c>
      <c r="U258" s="2">
        <v>177</v>
      </c>
      <c r="V258" s="55">
        <v>2</v>
      </c>
      <c r="W258" s="2">
        <v>170</v>
      </c>
      <c r="X258" s="55">
        <v>48</v>
      </c>
      <c r="Y258" s="2">
        <v>92</v>
      </c>
      <c r="Z258" s="2">
        <v>16</v>
      </c>
      <c r="AA258" s="2">
        <v>20</v>
      </c>
      <c r="AB258" s="2">
        <v>7</v>
      </c>
      <c r="AC258" s="2">
        <v>120</v>
      </c>
      <c r="AD258" s="105">
        <v>6</v>
      </c>
      <c r="AE258" s="2">
        <v>184</v>
      </c>
      <c r="AF258" s="55">
        <v>15</v>
      </c>
      <c r="AG258" s="2">
        <v>81</v>
      </c>
      <c r="AH258" s="55">
        <v>0</v>
      </c>
      <c r="AI258" s="2">
        <v>135</v>
      </c>
      <c r="AJ258" s="55">
        <v>0.46039999999999998</v>
      </c>
      <c r="AK258" s="2">
        <v>120</v>
      </c>
      <c r="AL258" s="30">
        <v>43145</v>
      </c>
      <c r="AM258" s="2">
        <v>26</v>
      </c>
      <c r="AN258" s="2">
        <v>15</v>
      </c>
      <c r="AO258" s="2">
        <v>134</v>
      </c>
      <c r="AP258" s="2">
        <v>7</v>
      </c>
      <c r="AQ258" s="2">
        <v>120</v>
      </c>
      <c r="AR258" s="55">
        <v>15</v>
      </c>
      <c r="AS258" s="2">
        <v>81</v>
      </c>
      <c r="AT258" s="159">
        <v>0</v>
      </c>
      <c r="AU258" s="2">
        <v>81</v>
      </c>
      <c r="AV258" s="55">
        <v>1</v>
      </c>
      <c r="AW258" s="2">
        <v>1</v>
      </c>
      <c r="AX258" s="2" t="s">
        <v>615</v>
      </c>
      <c r="AY258" s="2">
        <v>999999</v>
      </c>
      <c r="AZ258" s="106">
        <v>0</v>
      </c>
      <c r="BA258" s="2">
        <v>14</v>
      </c>
      <c r="BB258" s="30">
        <v>43172</v>
      </c>
      <c r="BC258" s="2">
        <v>180</v>
      </c>
      <c r="BD258" s="160">
        <v>41806</v>
      </c>
      <c r="BE258" s="2">
        <v>1</v>
      </c>
      <c r="BF258" s="55">
        <v>0</v>
      </c>
      <c r="BG258" s="2">
        <v>183</v>
      </c>
      <c r="BH258" s="2">
        <v>5</v>
      </c>
      <c r="BI258" s="2">
        <v>26</v>
      </c>
      <c r="BJ258" s="2">
        <v>15</v>
      </c>
      <c r="BK258" s="2">
        <v>130</v>
      </c>
      <c r="BL258" s="161">
        <v>965609.18518518528</v>
      </c>
      <c r="BM258" s="2" t="str">
        <f t="shared" ref="BM258:BM284" si="4">CONCATENATE(RANK(BL258,$BL$2:$BL$284,1),"/",283)</f>
        <v>109/283</v>
      </c>
      <c r="BN258" s="142"/>
    </row>
    <row r="259" spans="1:66" x14ac:dyDescent="0.25">
      <c r="A259" s="162">
        <v>540213</v>
      </c>
      <c r="B259" s="162" t="s">
        <v>92</v>
      </c>
      <c r="C259" s="162" t="s">
        <v>93</v>
      </c>
      <c r="D259" s="162" t="s">
        <v>617</v>
      </c>
      <c r="E259" s="162" t="s">
        <v>616</v>
      </c>
      <c r="F259" s="162" t="s">
        <v>613</v>
      </c>
      <c r="G259" s="162">
        <v>3</v>
      </c>
      <c r="H259" s="162">
        <v>0</v>
      </c>
      <c r="I259" s="162">
        <v>2</v>
      </c>
      <c r="J259" s="162">
        <v>96</v>
      </c>
      <c r="K259" s="162">
        <v>39</v>
      </c>
      <c r="L259" s="163">
        <v>24</v>
      </c>
      <c r="M259" s="162">
        <v>16</v>
      </c>
      <c r="N259" s="162">
        <v>0</v>
      </c>
      <c r="O259" s="162">
        <v>140</v>
      </c>
      <c r="P259" s="164">
        <v>8707628</v>
      </c>
      <c r="Q259" s="162">
        <v>8</v>
      </c>
      <c r="R259" s="165">
        <v>-0.76612294999999997</v>
      </c>
      <c r="S259" s="162">
        <v>240</v>
      </c>
      <c r="T259" s="166">
        <v>0.89</v>
      </c>
      <c r="U259" s="162">
        <v>153</v>
      </c>
      <c r="V259" s="163">
        <v>175</v>
      </c>
      <c r="W259" s="162">
        <v>4</v>
      </c>
      <c r="X259" s="163">
        <v>638</v>
      </c>
      <c r="Y259" s="162">
        <v>6</v>
      </c>
      <c r="Z259" s="162">
        <v>9</v>
      </c>
      <c r="AA259" s="162">
        <v>230</v>
      </c>
      <c r="AB259" s="162">
        <v>100</v>
      </c>
      <c r="AC259" s="162">
        <v>10</v>
      </c>
      <c r="AD259" s="167">
        <v>300</v>
      </c>
      <c r="AE259" s="162">
        <v>8</v>
      </c>
      <c r="AF259" s="163">
        <v>317</v>
      </c>
      <c r="AG259" s="162">
        <v>4</v>
      </c>
      <c r="AH259" s="163">
        <v>3985</v>
      </c>
      <c r="AI259" s="162">
        <v>6</v>
      </c>
      <c r="AJ259" s="163">
        <v>0.36930000000000002</v>
      </c>
      <c r="AK259" s="162">
        <v>71</v>
      </c>
      <c r="AL259" s="168">
        <v>43145</v>
      </c>
      <c r="AM259" s="162">
        <v>26</v>
      </c>
      <c r="AN259" s="162">
        <v>18</v>
      </c>
      <c r="AO259" s="162">
        <v>156</v>
      </c>
      <c r="AP259" s="162">
        <v>100</v>
      </c>
      <c r="AQ259" s="162">
        <v>10</v>
      </c>
      <c r="AR259" s="163">
        <v>317</v>
      </c>
      <c r="AS259" s="162">
        <v>4</v>
      </c>
      <c r="AT259" s="169">
        <v>3.4880803011292345</v>
      </c>
      <c r="AU259" s="162">
        <v>60</v>
      </c>
      <c r="AV259" s="163">
        <v>1</v>
      </c>
      <c r="AW259" s="162">
        <v>1</v>
      </c>
      <c r="AX259" s="162" t="s">
        <v>615</v>
      </c>
      <c r="AY259" s="162">
        <v>999999</v>
      </c>
      <c r="AZ259" s="170">
        <v>0</v>
      </c>
      <c r="BA259" s="162">
        <v>14</v>
      </c>
      <c r="BB259" s="168">
        <v>43404</v>
      </c>
      <c r="BC259" s="162">
        <v>229</v>
      </c>
      <c r="BD259" s="171">
        <v>41806</v>
      </c>
      <c r="BE259" s="162">
        <v>1</v>
      </c>
      <c r="BF259" s="163">
        <v>1</v>
      </c>
      <c r="BG259" s="162">
        <v>1</v>
      </c>
      <c r="BH259" s="162">
        <v>2</v>
      </c>
      <c r="BI259" s="162">
        <v>68</v>
      </c>
      <c r="BJ259" s="162">
        <v>18</v>
      </c>
      <c r="BK259" s="162">
        <v>114</v>
      </c>
      <c r="BL259" s="161">
        <v>964521.03703703696</v>
      </c>
      <c r="BM259" s="162" t="str">
        <f t="shared" si="4"/>
        <v>16/283</v>
      </c>
      <c r="BN259" s="142"/>
    </row>
    <row r="260" spans="1:66" x14ac:dyDescent="0.25">
      <c r="A260" s="2">
        <v>540215</v>
      </c>
      <c r="B260" s="2" t="s">
        <v>270</v>
      </c>
      <c r="C260" s="2" t="s">
        <v>93</v>
      </c>
      <c r="D260" s="2" t="s">
        <v>612</v>
      </c>
      <c r="E260" s="2" t="s">
        <v>616</v>
      </c>
      <c r="F260" s="2" t="s">
        <v>613</v>
      </c>
      <c r="G260" s="2">
        <v>3</v>
      </c>
      <c r="H260" s="2">
        <v>0</v>
      </c>
      <c r="I260" s="2">
        <v>2</v>
      </c>
      <c r="J260" s="2">
        <v>96</v>
      </c>
      <c r="K260" s="2">
        <v>39</v>
      </c>
      <c r="L260" s="55">
        <v>0</v>
      </c>
      <c r="M260" s="2">
        <v>118</v>
      </c>
      <c r="N260" s="2">
        <v>0</v>
      </c>
      <c r="O260" s="2">
        <v>140</v>
      </c>
      <c r="P260" s="156">
        <v>522969</v>
      </c>
      <c r="Q260" s="2">
        <v>97</v>
      </c>
      <c r="R260" s="157">
        <v>-0.76612294999999997</v>
      </c>
      <c r="S260" s="2">
        <v>240</v>
      </c>
      <c r="T260" s="158">
        <v>0.89</v>
      </c>
      <c r="U260" s="2">
        <v>153</v>
      </c>
      <c r="V260" s="55">
        <v>67</v>
      </c>
      <c r="W260" s="2">
        <v>27</v>
      </c>
      <c r="X260" s="55">
        <v>74</v>
      </c>
      <c r="Y260" s="2">
        <v>76</v>
      </c>
      <c r="Z260" s="2">
        <v>9</v>
      </c>
      <c r="AA260" s="2">
        <v>230</v>
      </c>
      <c r="AB260" s="2">
        <v>54</v>
      </c>
      <c r="AC260" s="2">
        <v>34</v>
      </c>
      <c r="AD260" s="105">
        <v>107</v>
      </c>
      <c r="AE260" s="2">
        <v>43</v>
      </c>
      <c r="AF260" s="55">
        <v>16</v>
      </c>
      <c r="AG260" s="2">
        <v>78</v>
      </c>
      <c r="AH260" s="55">
        <v>800</v>
      </c>
      <c r="AI260" s="2">
        <v>61</v>
      </c>
      <c r="AJ260" s="55">
        <v>0.36930000000000002</v>
      </c>
      <c r="AK260" s="2">
        <v>71</v>
      </c>
      <c r="AL260" s="30">
        <v>43145</v>
      </c>
      <c r="AM260" s="2">
        <v>26</v>
      </c>
      <c r="AN260" s="2">
        <v>18</v>
      </c>
      <c r="AO260" s="2">
        <v>156</v>
      </c>
      <c r="AP260" s="2">
        <v>54</v>
      </c>
      <c r="AQ260" s="2">
        <v>34</v>
      </c>
      <c r="AR260" s="55">
        <v>16</v>
      </c>
      <c r="AS260" s="2">
        <v>78</v>
      </c>
      <c r="AT260" s="159">
        <v>9.25</v>
      </c>
      <c r="AU260" s="2">
        <v>32</v>
      </c>
      <c r="AV260" s="55">
        <v>1</v>
      </c>
      <c r="AW260" s="2">
        <v>1</v>
      </c>
      <c r="AX260" s="2" t="s">
        <v>615</v>
      </c>
      <c r="AY260" s="2">
        <v>999999</v>
      </c>
      <c r="AZ260" s="106">
        <v>0</v>
      </c>
      <c r="BA260" s="2">
        <v>14</v>
      </c>
      <c r="BB260" s="30">
        <v>43404</v>
      </c>
      <c r="BC260" s="2">
        <v>229</v>
      </c>
      <c r="BD260" s="160">
        <v>43516</v>
      </c>
      <c r="BE260" s="2">
        <v>46</v>
      </c>
      <c r="BF260" s="55">
        <v>0</v>
      </c>
      <c r="BG260" s="2">
        <v>183</v>
      </c>
      <c r="BH260" s="2">
        <v>1</v>
      </c>
      <c r="BI260" s="2">
        <v>151</v>
      </c>
      <c r="BJ260" s="2">
        <v>18</v>
      </c>
      <c r="BK260" s="2">
        <v>114</v>
      </c>
      <c r="BL260" s="161">
        <v>965341.48148148169</v>
      </c>
      <c r="BM260" s="2" t="str">
        <f t="shared" si="4"/>
        <v>80/283</v>
      </c>
      <c r="BN260" s="142"/>
    </row>
    <row r="261" spans="1:66" x14ac:dyDescent="0.25">
      <c r="A261" s="2">
        <v>540218</v>
      </c>
      <c r="B261" s="2" t="s">
        <v>272</v>
      </c>
      <c r="C261" s="2" t="s">
        <v>95</v>
      </c>
      <c r="D261" s="2" t="s">
        <v>612</v>
      </c>
      <c r="E261" s="2" t="s">
        <v>616</v>
      </c>
      <c r="F261" s="2" t="s">
        <v>613</v>
      </c>
      <c r="G261" s="2">
        <v>3</v>
      </c>
      <c r="H261" s="2">
        <v>0</v>
      </c>
      <c r="I261" s="2">
        <v>2</v>
      </c>
      <c r="J261" s="2">
        <v>1.2</v>
      </c>
      <c r="K261" s="2">
        <v>259</v>
      </c>
      <c r="L261" s="55">
        <v>14</v>
      </c>
      <c r="M261" s="2">
        <v>27</v>
      </c>
      <c r="N261" s="2">
        <v>0</v>
      </c>
      <c r="O261" s="2">
        <v>140</v>
      </c>
      <c r="P261" s="156">
        <v>4073586</v>
      </c>
      <c r="Q261" s="2">
        <v>17</v>
      </c>
      <c r="R261" s="157">
        <v>-0.152763335</v>
      </c>
      <c r="S261" s="2">
        <v>146</v>
      </c>
      <c r="T261" s="158">
        <v>0.9</v>
      </c>
      <c r="U261" s="2">
        <v>107</v>
      </c>
      <c r="V261" s="55">
        <v>3</v>
      </c>
      <c r="W261" s="2">
        <v>153</v>
      </c>
      <c r="X261" s="55">
        <v>140</v>
      </c>
      <c r="Y261" s="2">
        <v>55</v>
      </c>
      <c r="Z261" s="2">
        <v>14</v>
      </c>
      <c r="AA261" s="2">
        <v>59</v>
      </c>
      <c r="AB261" s="2">
        <v>15</v>
      </c>
      <c r="AC261" s="2">
        <v>88</v>
      </c>
      <c r="AD261" s="105">
        <v>64</v>
      </c>
      <c r="AE261" s="2">
        <v>63</v>
      </c>
      <c r="AF261" s="55">
        <v>51</v>
      </c>
      <c r="AG261" s="2">
        <v>34</v>
      </c>
      <c r="AH261" s="55">
        <v>0</v>
      </c>
      <c r="AI261" s="2">
        <v>135</v>
      </c>
      <c r="AJ261" s="55">
        <v>0.67879999999999996</v>
      </c>
      <c r="AK261" s="2">
        <v>224</v>
      </c>
      <c r="AL261" s="30">
        <v>42066</v>
      </c>
      <c r="AM261" s="2">
        <v>243</v>
      </c>
      <c r="AN261" s="2">
        <v>146</v>
      </c>
      <c r="AO261" s="2">
        <v>255</v>
      </c>
      <c r="AP261" s="2">
        <v>15</v>
      </c>
      <c r="AQ261" s="2">
        <v>88</v>
      </c>
      <c r="AR261" s="55">
        <v>51</v>
      </c>
      <c r="AS261" s="2">
        <v>34</v>
      </c>
      <c r="AT261" s="159">
        <v>0</v>
      </c>
      <c r="AU261" s="2">
        <v>81</v>
      </c>
      <c r="AV261" s="55">
        <v>0</v>
      </c>
      <c r="AW261" s="2">
        <v>194</v>
      </c>
      <c r="AX261" s="2" t="s">
        <v>615</v>
      </c>
      <c r="AY261" s="2">
        <v>999999</v>
      </c>
      <c r="AZ261" s="106">
        <v>0</v>
      </c>
      <c r="BA261" s="2">
        <v>14</v>
      </c>
      <c r="BB261" s="30">
        <v>40365</v>
      </c>
      <c r="BC261" s="2">
        <v>44</v>
      </c>
      <c r="BD261" s="160">
        <v>41806</v>
      </c>
      <c r="BE261" s="2">
        <v>1</v>
      </c>
      <c r="BF261" s="55">
        <v>1</v>
      </c>
      <c r="BG261" s="2">
        <v>1</v>
      </c>
      <c r="BH261" s="2">
        <v>2</v>
      </c>
      <c r="BI261" s="2">
        <v>68</v>
      </c>
      <c r="BJ261" s="2">
        <v>146</v>
      </c>
      <c r="BK261" s="2">
        <v>26</v>
      </c>
      <c r="BL261" s="161">
        <v>965423.33333333326</v>
      </c>
      <c r="BM261" s="2" t="str">
        <f t="shared" si="4"/>
        <v>89/283</v>
      </c>
      <c r="BN261" s="142"/>
    </row>
    <row r="262" spans="1:66" x14ac:dyDescent="0.25">
      <c r="A262" s="2">
        <v>540235</v>
      </c>
      <c r="B262" s="2" t="s">
        <v>283</v>
      </c>
      <c r="C262" s="2" t="s">
        <v>9</v>
      </c>
      <c r="D262" s="2" t="s">
        <v>612</v>
      </c>
      <c r="E262" s="2" t="s">
        <v>616</v>
      </c>
      <c r="F262" s="2" t="s">
        <v>613</v>
      </c>
      <c r="G262" s="2">
        <v>3</v>
      </c>
      <c r="H262" s="2">
        <v>0</v>
      </c>
      <c r="I262" s="2">
        <v>0</v>
      </c>
      <c r="J262" s="2">
        <v>4.4000000000000004</v>
      </c>
      <c r="K262" s="2">
        <v>205</v>
      </c>
      <c r="L262" s="55">
        <v>0</v>
      </c>
      <c r="M262" s="2">
        <v>118</v>
      </c>
      <c r="N262" s="2" t="s">
        <v>614</v>
      </c>
      <c r="O262" s="2">
        <v>999999</v>
      </c>
      <c r="P262" s="156" t="s">
        <v>614</v>
      </c>
      <c r="Q262" s="2">
        <v>999999</v>
      </c>
      <c r="R262" s="157">
        <v>0.60204035499999997</v>
      </c>
      <c r="S262" s="2">
        <v>83</v>
      </c>
      <c r="T262" s="158">
        <v>0.94</v>
      </c>
      <c r="U262" s="2">
        <v>11</v>
      </c>
      <c r="V262" s="55">
        <v>0</v>
      </c>
      <c r="W262" s="2">
        <v>230</v>
      </c>
      <c r="X262" s="55" t="s">
        <v>614</v>
      </c>
      <c r="Y262" s="2">
        <v>999999</v>
      </c>
      <c r="Z262" s="2">
        <v>15</v>
      </c>
      <c r="AA262" s="2">
        <v>44</v>
      </c>
      <c r="AB262" s="2">
        <v>0</v>
      </c>
      <c r="AC262" s="2">
        <v>222</v>
      </c>
      <c r="AD262" s="105" t="s">
        <v>614</v>
      </c>
      <c r="AE262" s="2">
        <v>999999</v>
      </c>
      <c r="AF262" s="55">
        <v>0</v>
      </c>
      <c r="AG262" s="2">
        <v>184</v>
      </c>
      <c r="AH262" s="55">
        <v>0</v>
      </c>
      <c r="AI262" s="2">
        <v>135</v>
      </c>
      <c r="AJ262" s="55">
        <v>0.61029999999999995</v>
      </c>
      <c r="AK262" s="2">
        <v>187</v>
      </c>
      <c r="AL262" s="30">
        <v>42543</v>
      </c>
      <c r="AM262" s="2">
        <v>161</v>
      </c>
      <c r="AN262" s="2">
        <v>1</v>
      </c>
      <c r="AO262" s="2">
        <v>36</v>
      </c>
      <c r="AP262" s="2">
        <v>0</v>
      </c>
      <c r="AQ262" s="2">
        <v>222</v>
      </c>
      <c r="AR262" s="55">
        <v>0</v>
      </c>
      <c r="AS262" s="2">
        <v>184</v>
      </c>
      <c r="AT262" s="159">
        <v>0</v>
      </c>
      <c r="AU262" s="2">
        <v>81</v>
      </c>
      <c r="AV262" s="55">
        <v>0</v>
      </c>
      <c r="AW262" s="2">
        <v>194</v>
      </c>
      <c r="AX262" s="2" t="s">
        <v>615</v>
      </c>
      <c r="AY262" s="2">
        <v>999999</v>
      </c>
      <c r="AZ262" s="106">
        <v>0</v>
      </c>
      <c r="BA262" s="2">
        <v>14</v>
      </c>
      <c r="BB262" s="30" t="s">
        <v>614</v>
      </c>
      <c r="BC262" s="2">
        <v>999999</v>
      </c>
      <c r="BD262" s="160">
        <v>41806</v>
      </c>
      <c r="BE262" s="2">
        <v>1</v>
      </c>
      <c r="BF262" s="55" t="s">
        <v>1297</v>
      </c>
      <c r="BG262" s="2">
        <v>999999</v>
      </c>
      <c r="BH262" s="2">
        <v>0</v>
      </c>
      <c r="BI262" s="2">
        <v>239</v>
      </c>
      <c r="BJ262" s="2">
        <v>1</v>
      </c>
      <c r="BK262" s="2">
        <v>231</v>
      </c>
      <c r="BL262" s="161">
        <v>6743412.9629629636</v>
      </c>
      <c r="BM262" s="2" t="str">
        <f t="shared" si="4"/>
        <v>270/283</v>
      </c>
      <c r="BN262" s="142"/>
    </row>
    <row r="263" spans="1:66" x14ac:dyDescent="0.25">
      <c r="A263" s="2">
        <v>540025</v>
      </c>
      <c r="B263" s="2" t="s">
        <v>131</v>
      </c>
      <c r="C263" s="2" t="s">
        <v>19</v>
      </c>
      <c r="D263" s="2" t="s">
        <v>612</v>
      </c>
      <c r="E263" s="2" t="s">
        <v>616</v>
      </c>
      <c r="F263" s="2" t="s">
        <v>613</v>
      </c>
      <c r="G263" s="2">
        <v>3</v>
      </c>
      <c r="H263" s="2">
        <v>0</v>
      </c>
      <c r="I263" s="2">
        <v>2</v>
      </c>
      <c r="J263" s="2">
        <v>0</v>
      </c>
      <c r="K263" s="2">
        <v>275</v>
      </c>
      <c r="L263" s="55">
        <v>0</v>
      </c>
      <c r="M263" s="2">
        <v>118</v>
      </c>
      <c r="N263" s="2" t="s">
        <v>614</v>
      </c>
      <c r="O263" s="2">
        <v>999999</v>
      </c>
      <c r="P263" s="156">
        <v>110421</v>
      </c>
      <c r="Q263" s="2">
        <v>161</v>
      </c>
      <c r="R263" s="157">
        <v>4.6566746090000004</v>
      </c>
      <c r="S263" s="2">
        <v>7</v>
      </c>
      <c r="T263" s="158">
        <v>0.94</v>
      </c>
      <c r="U263" s="2">
        <v>11</v>
      </c>
      <c r="V263" s="55">
        <v>4</v>
      </c>
      <c r="W263" s="2">
        <v>142</v>
      </c>
      <c r="X263" s="55">
        <v>16</v>
      </c>
      <c r="Y263" s="2">
        <v>158</v>
      </c>
      <c r="Z263" s="2">
        <v>13</v>
      </c>
      <c r="AA263" s="2">
        <v>78</v>
      </c>
      <c r="AB263" s="2">
        <v>1</v>
      </c>
      <c r="AC263" s="2">
        <v>186</v>
      </c>
      <c r="AD263" s="105">
        <v>4</v>
      </c>
      <c r="AE263" s="2">
        <v>206</v>
      </c>
      <c r="AF263" s="55">
        <v>5</v>
      </c>
      <c r="AG263" s="2">
        <v>130</v>
      </c>
      <c r="AH263" s="55">
        <v>0</v>
      </c>
      <c r="AI263" s="2">
        <v>135</v>
      </c>
      <c r="AJ263" s="55">
        <v>0.41610000000000003</v>
      </c>
      <c r="AK263" s="2">
        <v>102</v>
      </c>
      <c r="AL263" s="30">
        <v>43145</v>
      </c>
      <c r="AM263" s="2">
        <v>26</v>
      </c>
      <c r="AN263" s="2">
        <v>0</v>
      </c>
      <c r="AO263" s="2">
        <v>1</v>
      </c>
      <c r="AP263" s="2">
        <v>1</v>
      </c>
      <c r="AQ263" s="2">
        <v>186</v>
      </c>
      <c r="AR263" s="55">
        <v>5</v>
      </c>
      <c r="AS263" s="2">
        <v>130</v>
      </c>
      <c r="AT263" s="159">
        <v>0</v>
      </c>
      <c r="AU263" s="2">
        <v>81</v>
      </c>
      <c r="AV263" s="55">
        <v>1</v>
      </c>
      <c r="AW263" s="2">
        <v>1</v>
      </c>
      <c r="AX263" s="2" t="s">
        <v>615</v>
      </c>
      <c r="AY263" s="2">
        <v>999999</v>
      </c>
      <c r="AZ263" s="106">
        <v>0</v>
      </c>
      <c r="BA263" s="2">
        <v>14</v>
      </c>
      <c r="BB263" s="30" t="s">
        <v>614</v>
      </c>
      <c r="BC263" s="2">
        <v>999999</v>
      </c>
      <c r="BD263" s="160">
        <v>41848</v>
      </c>
      <c r="BE263" s="2">
        <v>29</v>
      </c>
      <c r="BF263" s="55">
        <v>0</v>
      </c>
      <c r="BG263" s="2">
        <v>183</v>
      </c>
      <c r="BH263" s="2">
        <v>1</v>
      </c>
      <c r="BI263" s="2">
        <v>151</v>
      </c>
      <c r="BJ263" s="2">
        <v>0</v>
      </c>
      <c r="BK263" s="2">
        <v>249</v>
      </c>
      <c r="BL263" s="161">
        <v>2891543.7777777771</v>
      </c>
      <c r="BM263" s="2" t="str">
        <f t="shared" si="4"/>
        <v>249/283</v>
      </c>
      <c r="BN263" s="142"/>
    </row>
    <row r="264" spans="1:66" x14ac:dyDescent="0.25">
      <c r="A264" s="2">
        <v>540050</v>
      </c>
      <c r="B264" s="2" t="s">
        <v>150</v>
      </c>
      <c r="C264" s="2" t="s">
        <v>21</v>
      </c>
      <c r="D264" s="2" t="s">
        <v>612</v>
      </c>
      <c r="E264" s="2" t="s">
        <v>611</v>
      </c>
      <c r="F264" s="2" t="s">
        <v>613</v>
      </c>
      <c r="G264" s="2">
        <v>3</v>
      </c>
      <c r="H264" s="2">
        <v>0</v>
      </c>
      <c r="I264" s="2">
        <v>0</v>
      </c>
      <c r="J264" s="2">
        <v>36</v>
      </c>
      <c r="K264" s="2">
        <v>85</v>
      </c>
      <c r="L264" s="55" t="s">
        <v>614</v>
      </c>
      <c r="M264" s="2">
        <v>999999</v>
      </c>
      <c r="N264" s="2" t="s">
        <v>614</v>
      </c>
      <c r="O264" s="2">
        <v>999999</v>
      </c>
      <c r="P264" s="156" t="s">
        <v>614</v>
      </c>
      <c r="Q264" s="2">
        <v>999999</v>
      </c>
      <c r="R264" s="157">
        <v>-0.85845514599999995</v>
      </c>
      <c r="S264" s="2">
        <v>250</v>
      </c>
      <c r="T264" s="158">
        <v>0.91</v>
      </c>
      <c r="U264" s="2">
        <v>70</v>
      </c>
      <c r="V264" s="55" t="s">
        <v>614</v>
      </c>
      <c r="W264" s="2">
        <v>999999</v>
      </c>
      <c r="X264" s="55" t="s">
        <v>614</v>
      </c>
      <c r="Y264" s="2">
        <v>999999</v>
      </c>
      <c r="Z264" s="2">
        <v>11</v>
      </c>
      <c r="AA264" s="2">
        <v>155</v>
      </c>
      <c r="AB264" s="2">
        <v>0</v>
      </c>
      <c r="AC264" s="2">
        <v>222</v>
      </c>
      <c r="AD264" s="105" t="s">
        <v>614</v>
      </c>
      <c r="AE264" s="2">
        <v>999999</v>
      </c>
      <c r="AF264" s="55" t="s">
        <v>614</v>
      </c>
      <c r="AG264" s="2">
        <v>999999</v>
      </c>
      <c r="AH264" s="55">
        <v>0</v>
      </c>
      <c r="AI264" s="2">
        <v>135</v>
      </c>
      <c r="AJ264" s="55">
        <v>0.77170000000000005</v>
      </c>
      <c r="AK264" s="2">
        <v>255</v>
      </c>
      <c r="AL264" s="30">
        <v>42543</v>
      </c>
      <c r="AM264" s="2">
        <v>161</v>
      </c>
      <c r="AN264" s="2">
        <v>36</v>
      </c>
      <c r="AO264" s="2">
        <v>188</v>
      </c>
      <c r="AP264" s="2">
        <v>0</v>
      </c>
      <c r="AQ264" s="2">
        <v>222</v>
      </c>
      <c r="AR264" s="55" t="s">
        <v>614</v>
      </c>
      <c r="AS264" s="2">
        <v>999999</v>
      </c>
      <c r="AT264" s="159">
        <v>0</v>
      </c>
      <c r="AU264" s="2">
        <v>81</v>
      </c>
      <c r="AV264" s="55">
        <v>0</v>
      </c>
      <c r="AW264" s="2">
        <v>194</v>
      </c>
      <c r="AX264" s="2" t="s">
        <v>615</v>
      </c>
      <c r="AY264" s="2">
        <v>999999</v>
      </c>
      <c r="AZ264" s="106">
        <v>0</v>
      </c>
      <c r="BA264" s="2">
        <v>14</v>
      </c>
      <c r="BB264" s="30" t="s">
        <v>614</v>
      </c>
      <c r="BC264" s="2">
        <v>999999</v>
      </c>
      <c r="BD264" s="160" t="s">
        <v>614</v>
      </c>
      <c r="BE264" s="2">
        <v>999999</v>
      </c>
      <c r="BF264" s="55">
        <v>0</v>
      </c>
      <c r="BG264" s="2">
        <v>183</v>
      </c>
      <c r="BH264" s="2">
        <v>1</v>
      </c>
      <c r="BI264" s="2">
        <v>151</v>
      </c>
      <c r="BJ264" s="2">
        <v>36</v>
      </c>
      <c r="BK264" s="2">
        <v>87</v>
      </c>
      <c r="BL264" s="161">
        <v>10594944.148148149</v>
      </c>
      <c r="BM264" s="2" t="str">
        <f t="shared" si="4"/>
        <v>282/283</v>
      </c>
      <c r="BN264" s="142"/>
    </row>
    <row r="265" spans="1:66" x14ac:dyDescent="0.25">
      <c r="A265" s="2">
        <v>540244</v>
      </c>
      <c r="B265" s="2" t="s">
        <v>291</v>
      </c>
      <c r="C265" s="2" t="s">
        <v>27</v>
      </c>
      <c r="D265" s="2" t="s">
        <v>612</v>
      </c>
      <c r="E265" s="2" t="s">
        <v>616</v>
      </c>
      <c r="F265" s="2" t="s">
        <v>613</v>
      </c>
      <c r="G265" s="2">
        <v>3</v>
      </c>
      <c r="H265" s="2">
        <v>0</v>
      </c>
      <c r="I265" s="2">
        <v>2</v>
      </c>
      <c r="J265" s="2">
        <v>73.599999999999994</v>
      </c>
      <c r="K265" s="2">
        <v>48</v>
      </c>
      <c r="L265" s="55">
        <v>0</v>
      </c>
      <c r="M265" s="2">
        <v>118</v>
      </c>
      <c r="N265" s="2" t="s">
        <v>614</v>
      </c>
      <c r="O265" s="2">
        <v>999999</v>
      </c>
      <c r="P265" s="156">
        <v>3216</v>
      </c>
      <c r="Q265" s="2">
        <v>235</v>
      </c>
      <c r="R265" s="157">
        <v>-0.31581425000000002</v>
      </c>
      <c r="S265" s="2">
        <v>156</v>
      </c>
      <c r="T265" s="158">
        <v>0.76</v>
      </c>
      <c r="U265" s="2">
        <v>266</v>
      </c>
      <c r="V265" s="55">
        <v>0</v>
      </c>
      <c r="W265" s="2">
        <v>230</v>
      </c>
      <c r="X265" s="55">
        <v>1</v>
      </c>
      <c r="Y265" s="2">
        <v>237</v>
      </c>
      <c r="Z265" s="2">
        <v>9</v>
      </c>
      <c r="AA265" s="2">
        <v>230</v>
      </c>
      <c r="AB265" s="2">
        <v>0</v>
      </c>
      <c r="AC265" s="2">
        <v>222</v>
      </c>
      <c r="AD265" s="105">
        <v>0</v>
      </c>
      <c r="AE265" s="2">
        <v>259</v>
      </c>
      <c r="AF265" s="55">
        <v>0</v>
      </c>
      <c r="AG265" s="2">
        <v>184</v>
      </c>
      <c r="AH265" s="55">
        <v>0</v>
      </c>
      <c r="AI265" s="2">
        <v>135</v>
      </c>
      <c r="AJ265" s="55">
        <v>0.54820000000000002</v>
      </c>
      <c r="AK265" s="2">
        <v>167</v>
      </c>
      <c r="AL265" s="30">
        <v>42543</v>
      </c>
      <c r="AM265" s="2">
        <v>161</v>
      </c>
      <c r="AN265" s="2">
        <v>60</v>
      </c>
      <c r="AO265" s="2">
        <v>237</v>
      </c>
      <c r="AP265" s="2">
        <v>0</v>
      </c>
      <c r="AQ265" s="2">
        <v>222</v>
      </c>
      <c r="AR265" s="55">
        <v>0</v>
      </c>
      <c r="AS265" s="2">
        <v>184</v>
      </c>
      <c r="AT265" s="159">
        <v>0</v>
      </c>
      <c r="AU265" s="2">
        <v>81</v>
      </c>
      <c r="AV265" s="55">
        <v>0</v>
      </c>
      <c r="AW265" s="2">
        <v>194</v>
      </c>
      <c r="AX265" s="2" t="s">
        <v>615</v>
      </c>
      <c r="AY265" s="2">
        <v>999999</v>
      </c>
      <c r="AZ265" s="106">
        <v>0</v>
      </c>
      <c r="BA265" s="2">
        <v>14</v>
      </c>
      <c r="BB265" s="30" t="s">
        <v>614</v>
      </c>
      <c r="BC265" s="2">
        <v>999999</v>
      </c>
      <c r="BD265" s="160">
        <v>41806</v>
      </c>
      <c r="BE265" s="2">
        <v>1</v>
      </c>
      <c r="BF265" s="55">
        <v>1</v>
      </c>
      <c r="BG265" s="2">
        <v>1</v>
      </c>
      <c r="BH265" s="2">
        <v>2</v>
      </c>
      <c r="BI265" s="2">
        <v>68</v>
      </c>
      <c r="BJ265" s="2">
        <v>60</v>
      </c>
      <c r="BK265" s="2">
        <v>40</v>
      </c>
      <c r="BL265" s="161">
        <v>2892439.3333333335</v>
      </c>
      <c r="BM265" s="2" t="str">
        <f t="shared" si="4"/>
        <v>259/283</v>
      </c>
      <c r="BN265" s="142"/>
    </row>
    <row r="266" spans="1:66" x14ac:dyDescent="0.25">
      <c r="A266" s="2">
        <v>540046</v>
      </c>
      <c r="B266" s="2" t="s">
        <v>147</v>
      </c>
      <c r="C266" s="2" t="s">
        <v>101</v>
      </c>
      <c r="D266" s="2" t="s">
        <v>612</v>
      </c>
      <c r="E266" s="2" t="s">
        <v>616</v>
      </c>
      <c r="F266" s="2" t="s">
        <v>613</v>
      </c>
      <c r="G266" s="2">
        <v>3</v>
      </c>
      <c r="H266" s="2">
        <v>0</v>
      </c>
      <c r="I266" s="2">
        <v>2</v>
      </c>
      <c r="J266" s="2">
        <v>59</v>
      </c>
      <c r="K266" s="2">
        <v>68</v>
      </c>
      <c r="L266" s="55">
        <v>2</v>
      </c>
      <c r="M266" s="2">
        <v>84</v>
      </c>
      <c r="N266" s="2" t="s">
        <v>614</v>
      </c>
      <c r="O266" s="2">
        <v>999999</v>
      </c>
      <c r="P266" s="156">
        <v>271403</v>
      </c>
      <c r="Q266" s="2">
        <v>126</v>
      </c>
      <c r="R266" s="157">
        <v>0.322663476</v>
      </c>
      <c r="S266" s="2">
        <v>109</v>
      </c>
      <c r="T266" s="158">
        <v>0.92999999999999994</v>
      </c>
      <c r="U266" s="2">
        <v>38</v>
      </c>
      <c r="V266" s="55">
        <v>7</v>
      </c>
      <c r="W266" s="2">
        <v>105</v>
      </c>
      <c r="X266" s="55">
        <v>14</v>
      </c>
      <c r="Y266" s="2">
        <v>166</v>
      </c>
      <c r="Z266" s="2">
        <v>7</v>
      </c>
      <c r="AA266" s="2">
        <v>275</v>
      </c>
      <c r="AB266" s="2">
        <v>1</v>
      </c>
      <c r="AC266" s="2">
        <v>186</v>
      </c>
      <c r="AD266" s="105">
        <v>3</v>
      </c>
      <c r="AE266" s="2">
        <v>213</v>
      </c>
      <c r="AF266" s="55">
        <v>8</v>
      </c>
      <c r="AG266" s="2">
        <v>119</v>
      </c>
      <c r="AH266" s="55">
        <v>0</v>
      </c>
      <c r="AI266" s="2">
        <v>135</v>
      </c>
      <c r="AJ266" s="55">
        <v>0.58799999999999997</v>
      </c>
      <c r="AK266" s="2">
        <v>181</v>
      </c>
      <c r="AL266" s="30">
        <v>43248</v>
      </c>
      <c r="AM266" s="2">
        <v>1</v>
      </c>
      <c r="AN266" s="2">
        <v>8</v>
      </c>
      <c r="AO266" s="2">
        <v>97</v>
      </c>
      <c r="AP266" s="2">
        <v>1</v>
      </c>
      <c r="AQ266" s="2">
        <v>186</v>
      </c>
      <c r="AR266" s="55">
        <v>8</v>
      </c>
      <c r="AS266" s="2">
        <v>119</v>
      </c>
      <c r="AT266" s="159">
        <v>0</v>
      </c>
      <c r="AU266" s="2">
        <v>81</v>
      </c>
      <c r="AV266" s="55">
        <v>1</v>
      </c>
      <c r="AW266" s="2">
        <v>1</v>
      </c>
      <c r="AX266" s="2" t="s">
        <v>615</v>
      </c>
      <c r="AY266" s="2">
        <v>999999</v>
      </c>
      <c r="AZ266" s="106">
        <v>0</v>
      </c>
      <c r="BA266" s="2">
        <v>14</v>
      </c>
      <c r="BB266" s="30" t="s">
        <v>614</v>
      </c>
      <c r="BC266" s="2">
        <v>999999</v>
      </c>
      <c r="BD266" s="160">
        <v>43348</v>
      </c>
      <c r="BE266" s="2">
        <v>41</v>
      </c>
      <c r="BF266" s="55">
        <v>0</v>
      </c>
      <c r="BG266" s="2">
        <v>183</v>
      </c>
      <c r="BH266" s="2">
        <v>0</v>
      </c>
      <c r="BI266" s="2">
        <v>239</v>
      </c>
      <c r="BJ266" s="2">
        <v>8</v>
      </c>
      <c r="BK266" s="2">
        <v>185</v>
      </c>
      <c r="BL266" s="161">
        <v>2891728.6666666665</v>
      </c>
      <c r="BM266" s="2" t="str">
        <f t="shared" si="4"/>
        <v>250/283</v>
      </c>
      <c r="BN266" s="142"/>
    </row>
    <row r="267" spans="1:66" x14ac:dyDescent="0.25">
      <c r="A267" s="2">
        <v>540062</v>
      </c>
      <c r="B267" s="2" t="s">
        <v>160</v>
      </c>
      <c r="C267" s="2" t="s">
        <v>33</v>
      </c>
      <c r="D267" s="2" t="s">
        <v>612</v>
      </c>
      <c r="E267" s="2" t="s">
        <v>616</v>
      </c>
      <c r="F267" s="2" t="s">
        <v>613</v>
      </c>
      <c r="G267" s="2">
        <v>3</v>
      </c>
      <c r="H267" s="2">
        <v>0</v>
      </c>
      <c r="I267" s="2">
        <v>2</v>
      </c>
      <c r="J267" s="2">
        <v>65.400000000000006</v>
      </c>
      <c r="K267" s="2">
        <v>56</v>
      </c>
      <c r="L267" s="55">
        <v>0</v>
      </c>
      <c r="M267" s="2">
        <v>118</v>
      </c>
      <c r="N267" s="2" t="s">
        <v>614</v>
      </c>
      <c r="O267" s="2">
        <v>999999</v>
      </c>
      <c r="P267" s="156">
        <v>22776</v>
      </c>
      <c r="Q267" s="2">
        <v>210</v>
      </c>
      <c r="R267" s="157">
        <v>-0.57059303299999997</v>
      </c>
      <c r="S267" s="2">
        <v>202</v>
      </c>
      <c r="T267" s="158">
        <v>0.9</v>
      </c>
      <c r="U267" s="2">
        <v>107</v>
      </c>
      <c r="V267" s="55">
        <v>1</v>
      </c>
      <c r="W267" s="2">
        <v>197</v>
      </c>
      <c r="X267" s="55">
        <v>3</v>
      </c>
      <c r="Y267" s="2">
        <v>218</v>
      </c>
      <c r="Z267" s="2">
        <v>13</v>
      </c>
      <c r="AA267" s="2">
        <v>78</v>
      </c>
      <c r="AB267" s="2">
        <v>0</v>
      </c>
      <c r="AC267" s="2">
        <v>222</v>
      </c>
      <c r="AD267" s="105">
        <v>0</v>
      </c>
      <c r="AE267" s="2">
        <v>259</v>
      </c>
      <c r="AF267" s="55">
        <v>0</v>
      </c>
      <c r="AG267" s="2">
        <v>184</v>
      </c>
      <c r="AH267" s="55">
        <v>0</v>
      </c>
      <c r="AI267" s="2">
        <v>135</v>
      </c>
      <c r="AJ267" s="55">
        <v>0.40079999999999999</v>
      </c>
      <c r="AK267" s="2">
        <v>90</v>
      </c>
      <c r="AL267" s="30">
        <v>43145</v>
      </c>
      <c r="AM267" s="2">
        <v>26</v>
      </c>
      <c r="AN267" s="2">
        <v>26</v>
      </c>
      <c r="AO267" s="2">
        <v>174</v>
      </c>
      <c r="AP267" s="2">
        <v>0</v>
      </c>
      <c r="AQ267" s="2">
        <v>222</v>
      </c>
      <c r="AR267" s="55">
        <v>0</v>
      </c>
      <c r="AS267" s="2">
        <v>184</v>
      </c>
      <c r="AT267" s="159">
        <v>0</v>
      </c>
      <c r="AU267" s="2">
        <v>81</v>
      </c>
      <c r="AV267" s="55">
        <v>1</v>
      </c>
      <c r="AW267" s="2">
        <v>1</v>
      </c>
      <c r="AX267" s="2" t="s">
        <v>615</v>
      </c>
      <c r="AY267" s="2">
        <v>999999</v>
      </c>
      <c r="AZ267" s="106">
        <v>0</v>
      </c>
      <c r="BA267" s="2">
        <v>14</v>
      </c>
      <c r="BB267" s="30" t="s">
        <v>614</v>
      </c>
      <c r="BC267" s="2">
        <v>999999</v>
      </c>
      <c r="BD267" s="160">
        <v>41806</v>
      </c>
      <c r="BE267" s="2">
        <v>1</v>
      </c>
      <c r="BF267" s="55">
        <v>1</v>
      </c>
      <c r="BG267" s="2">
        <v>1</v>
      </c>
      <c r="BH267" s="2">
        <v>1</v>
      </c>
      <c r="BI267" s="2">
        <v>151</v>
      </c>
      <c r="BJ267" s="2">
        <v>26</v>
      </c>
      <c r="BK267" s="2">
        <v>100</v>
      </c>
      <c r="BL267" s="161">
        <v>2891804.7407407411</v>
      </c>
      <c r="BM267" s="2" t="str">
        <f t="shared" si="4"/>
        <v>252/283</v>
      </c>
      <c r="BN267" s="142"/>
    </row>
    <row r="268" spans="1:66" x14ac:dyDescent="0.25">
      <c r="A268" s="2">
        <v>545555</v>
      </c>
      <c r="B268" s="2" t="s">
        <v>336</v>
      </c>
      <c r="C268" s="2" t="s">
        <v>55</v>
      </c>
      <c r="D268" s="2" t="s">
        <v>612</v>
      </c>
      <c r="E268" s="2" t="s">
        <v>611</v>
      </c>
      <c r="F268" s="2" t="s">
        <v>613</v>
      </c>
      <c r="G268" s="2">
        <v>3</v>
      </c>
      <c r="H268" s="2">
        <v>0</v>
      </c>
      <c r="I268" s="2">
        <v>0</v>
      </c>
      <c r="J268" s="2">
        <v>43.2</v>
      </c>
      <c r="K268" s="2">
        <v>74</v>
      </c>
      <c r="L268" s="55" t="s">
        <v>614</v>
      </c>
      <c r="M268" s="2">
        <v>999999</v>
      </c>
      <c r="N268" s="2" t="s">
        <v>614</v>
      </c>
      <c r="O268" s="2">
        <v>999999</v>
      </c>
      <c r="P268" s="156" t="s">
        <v>614</v>
      </c>
      <c r="Q268" s="2">
        <v>999999</v>
      </c>
      <c r="R268" s="157">
        <v>-6.5435336999999996E-2</v>
      </c>
      <c r="S268" s="2">
        <v>135</v>
      </c>
      <c r="T268" s="158">
        <v>0.89</v>
      </c>
      <c r="U268" s="2">
        <v>153</v>
      </c>
      <c r="V268" s="55" t="s">
        <v>614</v>
      </c>
      <c r="W268" s="2">
        <v>999999</v>
      </c>
      <c r="X268" s="55" t="s">
        <v>614</v>
      </c>
      <c r="Y268" s="2">
        <v>999999</v>
      </c>
      <c r="Z268" s="2">
        <v>8</v>
      </c>
      <c r="AA268" s="2">
        <v>243</v>
      </c>
      <c r="AB268" s="2">
        <v>0</v>
      </c>
      <c r="AC268" s="2">
        <v>222</v>
      </c>
      <c r="AD268" s="105" t="s">
        <v>614</v>
      </c>
      <c r="AE268" s="2">
        <v>999999</v>
      </c>
      <c r="AF268" s="55" t="s">
        <v>614</v>
      </c>
      <c r="AG268" s="2">
        <v>999999</v>
      </c>
      <c r="AH268" s="55">
        <v>157</v>
      </c>
      <c r="AI268" s="2">
        <v>110</v>
      </c>
      <c r="AJ268" s="55">
        <v>0.62460000000000004</v>
      </c>
      <c r="AK268" s="2">
        <v>200</v>
      </c>
      <c r="AL268" s="30">
        <v>43248</v>
      </c>
      <c r="AM268" s="2">
        <v>1</v>
      </c>
      <c r="AN268" s="2">
        <v>53</v>
      </c>
      <c r="AO268" s="2">
        <v>220</v>
      </c>
      <c r="AP268" s="2">
        <v>0</v>
      </c>
      <c r="AQ268" s="2">
        <v>222</v>
      </c>
      <c r="AR268" s="55" t="s">
        <v>614</v>
      </c>
      <c r="AS268" s="2">
        <v>999999</v>
      </c>
      <c r="AT268" s="159">
        <v>-49.681528662420384</v>
      </c>
      <c r="AU268" s="2">
        <v>281</v>
      </c>
      <c r="AV268" s="55">
        <v>0</v>
      </c>
      <c r="AW268" s="2">
        <v>194</v>
      </c>
      <c r="AX268" s="2" t="s">
        <v>615</v>
      </c>
      <c r="AY268" s="2">
        <v>999999</v>
      </c>
      <c r="AZ268" s="106">
        <v>0</v>
      </c>
      <c r="BA268" s="2">
        <v>14</v>
      </c>
      <c r="BB268" s="30" t="s">
        <v>614</v>
      </c>
      <c r="BC268" s="2">
        <v>999999</v>
      </c>
      <c r="BD268" s="160" t="s">
        <v>614</v>
      </c>
      <c r="BE268" s="2">
        <v>999999</v>
      </c>
      <c r="BF268" s="55">
        <v>0</v>
      </c>
      <c r="BG268" s="2">
        <v>183</v>
      </c>
      <c r="BH268" s="2">
        <v>0</v>
      </c>
      <c r="BI268" s="2">
        <v>239</v>
      </c>
      <c r="BJ268" s="2">
        <v>53</v>
      </c>
      <c r="BK268" s="2">
        <v>54</v>
      </c>
      <c r="BL268" s="161">
        <v>10595032.740740739</v>
      </c>
      <c r="BM268" s="2" t="str">
        <f t="shared" si="4"/>
        <v>283/283</v>
      </c>
      <c r="BN268" s="142"/>
    </row>
    <row r="269" spans="1:66" x14ac:dyDescent="0.25">
      <c r="A269" s="2">
        <v>540155</v>
      </c>
      <c r="B269" s="2" t="s">
        <v>231</v>
      </c>
      <c r="C269" s="2" t="s">
        <v>55</v>
      </c>
      <c r="D269" s="2" t="s">
        <v>612</v>
      </c>
      <c r="E269" s="2" t="s">
        <v>616</v>
      </c>
      <c r="F269" s="2" t="s">
        <v>613</v>
      </c>
      <c r="G269" s="2">
        <v>3</v>
      </c>
      <c r="H269" s="2">
        <v>0</v>
      </c>
      <c r="I269" s="2">
        <v>2</v>
      </c>
      <c r="J269" s="2">
        <v>43.2</v>
      </c>
      <c r="K269" s="2">
        <v>74</v>
      </c>
      <c r="L269" s="55" t="s">
        <v>614</v>
      </c>
      <c r="M269" s="2">
        <v>999999</v>
      </c>
      <c r="N269" s="2" t="s">
        <v>614</v>
      </c>
      <c r="O269" s="2">
        <v>999999</v>
      </c>
      <c r="P269" s="156">
        <v>0</v>
      </c>
      <c r="Q269" s="2">
        <v>248</v>
      </c>
      <c r="R269" s="157">
        <v>-6.5435336999999996E-2</v>
      </c>
      <c r="S269" s="2">
        <v>135</v>
      </c>
      <c r="T269" s="158">
        <v>0.89</v>
      </c>
      <c r="U269" s="2">
        <v>153</v>
      </c>
      <c r="V269" s="55" t="s">
        <v>614</v>
      </c>
      <c r="W269" s="2">
        <v>999999</v>
      </c>
      <c r="X269" s="55">
        <v>0</v>
      </c>
      <c r="Y269" s="2">
        <v>256</v>
      </c>
      <c r="Z269" s="2">
        <v>8</v>
      </c>
      <c r="AA269" s="2">
        <v>243</v>
      </c>
      <c r="AB269" s="2">
        <v>0</v>
      </c>
      <c r="AC269" s="2">
        <v>222</v>
      </c>
      <c r="AD269" s="105">
        <v>1</v>
      </c>
      <c r="AE269" s="2">
        <v>242</v>
      </c>
      <c r="AF269" s="55" t="s">
        <v>614</v>
      </c>
      <c r="AG269" s="2">
        <v>999999</v>
      </c>
      <c r="AH269" s="55">
        <v>169</v>
      </c>
      <c r="AI269" s="2">
        <v>106</v>
      </c>
      <c r="AJ269" s="55">
        <v>0.62460000000000004</v>
      </c>
      <c r="AK269" s="2">
        <v>200</v>
      </c>
      <c r="AL269" s="30">
        <v>43248</v>
      </c>
      <c r="AM269" s="2">
        <v>1</v>
      </c>
      <c r="AN269" s="2">
        <v>53</v>
      </c>
      <c r="AO269" s="2">
        <v>220</v>
      </c>
      <c r="AP269" s="2">
        <v>0</v>
      </c>
      <c r="AQ269" s="2">
        <v>222</v>
      </c>
      <c r="AR269" s="55" t="s">
        <v>614</v>
      </c>
      <c r="AS269" s="2">
        <v>999999</v>
      </c>
      <c r="AT269" s="159">
        <v>8.8757396449704142</v>
      </c>
      <c r="AU269" s="2">
        <v>35</v>
      </c>
      <c r="AV269" s="55">
        <v>0</v>
      </c>
      <c r="AW269" s="2">
        <v>194</v>
      </c>
      <c r="AX269" s="2" t="s">
        <v>615</v>
      </c>
      <c r="AY269" s="2">
        <v>999999</v>
      </c>
      <c r="AZ269" s="106">
        <v>0</v>
      </c>
      <c r="BA269" s="2">
        <v>14</v>
      </c>
      <c r="BB269" s="30" t="s">
        <v>614</v>
      </c>
      <c r="BC269" s="2">
        <v>999999</v>
      </c>
      <c r="BD269" s="160">
        <v>41806</v>
      </c>
      <c r="BE269" s="2">
        <v>1</v>
      </c>
      <c r="BF269" s="55">
        <v>0</v>
      </c>
      <c r="BG269" s="2">
        <v>183</v>
      </c>
      <c r="BH269" s="2">
        <v>1</v>
      </c>
      <c r="BI269" s="2">
        <v>151</v>
      </c>
      <c r="BJ269" s="2">
        <v>53</v>
      </c>
      <c r="BK269" s="2">
        <v>54</v>
      </c>
      <c r="BL269" s="161">
        <v>6743578.5925925933</v>
      </c>
      <c r="BM269" s="2" t="str">
        <f t="shared" si="4"/>
        <v>273/283</v>
      </c>
      <c r="BN269" s="142"/>
    </row>
    <row r="270" spans="1:66" x14ac:dyDescent="0.25">
      <c r="A270" s="2">
        <v>540290</v>
      </c>
      <c r="B270" s="2" t="s">
        <v>327</v>
      </c>
      <c r="C270" s="2" t="s">
        <v>105</v>
      </c>
      <c r="D270" s="2" t="s">
        <v>612</v>
      </c>
      <c r="E270" s="2" t="s">
        <v>616</v>
      </c>
      <c r="F270" s="2" t="s">
        <v>613</v>
      </c>
      <c r="G270" s="2">
        <v>3</v>
      </c>
      <c r="H270" s="2">
        <v>0</v>
      </c>
      <c r="I270" s="2">
        <v>0</v>
      </c>
      <c r="J270" s="2">
        <v>0</v>
      </c>
      <c r="K270" s="2">
        <v>275</v>
      </c>
      <c r="L270" s="55" t="s">
        <v>614</v>
      </c>
      <c r="M270" s="2">
        <v>999999</v>
      </c>
      <c r="N270" s="2" t="s">
        <v>614</v>
      </c>
      <c r="O270" s="2">
        <v>999999</v>
      </c>
      <c r="P270" s="156" t="s">
        <v>614</v>
      </c>
      <c r="Q270" s="2">
        <v>999999</v>
      </c>
      <c r="R270" s="157">
        <v>0.28838290799999999</v>
      </c>
      <c r="S270" s="2">
        <v>118</v>
      </c>
      <c r="T270" s="158">
        <v>0.92999999999999994</v>
      </c>
      <c r="U270" s="2">
        <v>38</v>
      </c>
      <c r="V270" s="55" t="s">
        <v>614</v>
      </c>
      <c r="W270" s="2">
        <v>999999</v>
      </c>
      <c r="X270" s="55" t="s">
        <v>614</v>
      </c>
      <c r="Y270" s="2">
        <v>999999</v>
      </c>
      <c r="Z270" s="2">
        <v>6</v>
      </c>
      <c r="AA270" s="2">
        <v>281</v>
      </c>
      <c r="AB270" s="2">
        <v>0</v>
      </c>
      <c r="AC270" s="2">
        <v>222</v>
      </c>
      <c r="AD270" s="105" t="s">
        <v>614</v>
      </c>
      <c r="AE270" s="2">
        <v>999999</v>
      </c>
      <c r="AF270" s="55" t="s">
        <v>614</v>
      </c>
      <c r="AG270" s="2">
        <v>999999</v>
      </c>
      <c r="AH270" s="55">
        <v>0</v>
      </c>
      <c r="AI270" s="2">
        <v>135</v>
      </c>
      <c r="AJ270" s="55">
        <v>0.43809999999999999</v>
      </c>
      <c r="AK270" s="2">
        <v>107</v>
      </c>
      <c r="AL270" s="30">
        <v>42543</v>
      </c>
      <c r="AM270" s="2">
        <v>161</v>
      </c>
      <c r="AN270" s="2">
        <v>13</v>
      </c>
      <c r="AO270" s="2">
        <v>128</v>
      </c>
      <c r="AP270" s="2">
        <v>0</v>
      </c>
      <c r="AQ270" s="2">
        <v>222</v>
      </c>
      <c r="AR270" s="55" t="s">
        <v>614</v>
      </c>
      <c r="AS270" s="2">
        <v>999999</v>
      </c>
      <c r="AT270" s="159">
        <v>0</v>
      </c>
      <c r="AU270" s="2">
        <v>81</v>
      </c>
      <c r="AV270" s="55">
        <v>1</v>
      </c>
      <c r="AW270" s="2">
        <v>1</v>
      </c>
      <c r="AX270" s="2" t="s">
        <v>615</v>
      </c>
      <c r="AY270" s="2">
        <v>999999</v>
      </c>
      <c r="AZ270" s="106">
        <v>0</v>
      </c>
      <c r="BA270" s="2">
        <v>14</v>
      </c>
      <c r="BB270" s="30" t="s">
        <v>614</v>
      </c>
      <c r="BC270" s="2">
        <v>999999</v>
      </c>
      <c r="BD270" s="160">
        <v>41848</v>
      </c>
      <c r="BE270" s="2">
        <v>29</v>
      </c>
      <c r="BF270" s="55">
        <v>0</v>
      </c>
      <c r="BG270" s="2">
        <v>183</v>
      </c>
      <c r="BH270" s="2">
        <v>0</v>
      </c>
      <c r="BI270" s="2">
        <v>239</v>
      </c>
      <c r="BJ270" s="2">
        <v>13</v>
      </c>
      <c r="BK270" s="2">
        <v>154</v>
      </c>
      <c r="BL270" s="161">
        <v>9631919.555555556</v>
      </c>
      <c r="BM270" s="2" t="str">
        <f t="shared" si="4"/>
        <v>280/283</v>
      </c>
      <c r="BN270" s="142"/>
    </row>
    <row r="271" spans="1:66" x14ac:dyDescent="0.25">
      <c r="A271" s="2">
        <v>540275</v>
      </c>
      <c r="B271" s="2" t="s">
        <v>318</v>
      </c>
      <c r="C271" s="2" t="s">
        <v>65</v>
      </c>
      <c r="D271" s="2" t="s">
        <v>612</v>
      </c>
      <c r="E271" s="2" t="s">
        <v>616</v>
      </c>
      <c r="F271" s="2" t="s">
        <v>613</v>
      </c>
      <c r="G271" s="2">
        <v>3</v>
      </c>
      <c r="H271" s="2">
        <v>0</v>
      </c>
      <c r="I271" s="2">
        <v>0</v>
      </c>
      <c r="J271" s="2">
        <v>23.8</v>
      </c>
      <c r="K271" s="2">
        <v>104</v>
      </c>
      <c r="L271" s="55">
        <v>0</v>
      </c>
      <c r="M271" s="2">
        <v>118</v>
      </c>
      <c r="N271" s="2" t="s">
        <v>614</v>
      </c>
      <c r="O271" s="2">
        <v>999999</v>
      </c>
      <c r="P271" s="156" t="s">
        <v>614</v>
      </c>
      <c r="Q271" s="2">
        <v>999999</v>
      </c>
      <c r="R271" s="157">
        <v>-0.87273096100000003</v>
      </c>
      <c r="S271" s="2">
        <v>260</v>
      </c>
      <c r="T271" s="158">
        <v>0.81</v>
      </c>
      <c r="U271" s="2">
        <v>251</v>
      </c>
      <c r="V271" s="55">
        <v>0</v>
      </c>
      <c r="W271" s="2">
        <v>230</v>
      </c>
      <c r="X271" s="55" t="s">
        <v>614</v>
      </c>
      <c r="Y271" s="2">
        <v>999999</v>
      </c>
      <c r="Z271" s="2">
        <v>10</v>
      </c>
      <c r="AA271" s="2">
        <v>216</v>
      </c>
      <c r="AB271" s="2">
        <v>0</v>
      </c>
      <c r="AC271" s="2">
        <v>222</v>
      </c>
      <c r="AD271" s="105" t="s">
        <v>614</v>
      </c>
      <c r="AE271" s="2">
        <v>999999</v>
      </c>
      <c r="AF271" s="55">
        <v>0</v>
      </c>
      <c r="AG271" s="2">
        <v>184</v>
      </c>
      <c r="AH271" s="55">
        <v>0</v>
      </c>
      <c r="AI271" s="2">
        <v>135</v>
      </c>
      <c r="AJ271" s="55">
        <v>0.37380000000000002</v>
      </c>
      <c r="AK271" s="2">
        <v>76</v>
      </c>
      <c r="AL271" s="30">
        <v>43145</v>
      </c>
      <c r="AM271" s="2">
        <v>26</v>
      </c>
      <c r="AN271" s="2">
        <v>6</v>
      </c>
      <c r="AO271" s="2">
        <v>81</v>
      </c>
      <c r="AP271" s="2">
        <v>0</v>
      </c>
      <c r="AQ271" s="2">
        <v>222</v>
      </c>
      <c r="AR271" s="55">
        <v>0</v>
      </c>
      <c r="AS271" s="2">
        <v>184</v>
      </c>
      <c r="AT271" s="159">
        <v>0</v>
      </c>
      <c r="AU271" s="2">
        <v>81</v>
      </c>
      <c r="AV271" s="55">
        <v>0</v>
      </c>
      <c r="AW271" s="2">
        <v>194</v>
      </c>
      <c r="AX271" s="2" t="s">
        <v>615</v>
      </c>
      <c r="AY271" s="2">
        <v>999999</v>
      </c>
      <c r="AZ271" s="106">
        <v>0</v>
      </c>
      <c r="BA271" s="2">
        <v>14</v>
      </c>
      <c r="BB271" s="30" t="s">
        <v>614</v>
      </c>
      <c r="BC271" s="2">
        <v>999999</v>
      </c>
      <c r="BD271" s="160">
        <v>41806</v>
      </c>
      <c r="BE271" s="2">
        <v>1</v>
      </c>
      <c r="BF271" s="55">
        <v>0</v>
      </c>
      <c r="BG271" s="2">
        <v>183</v>
      </c>
      <c r="BH271" s="2">
        <v>2</v>
      </c>
      <c r="BI271" s="2">
        <v>68</v>
      </c>
      <c r="BJ271" s="2">
        <v>6</v>
      </c>
      <c r="BK271" s="2">
        <v>191</v>
      </c>
      <c r="BL271" s="161">
        <v>5780700.3703703703</v>
      </c>
      <c r="BM271" s="2" t="str">
        <f t="shared" si="4"/>
        <v>269/283</v>
      </c>
      <c r="BN271" s="142"/>
    </row>
    <row r="272" spans="1:66" x14ac:dyDescent="0.25">
      <c r="A272" s="2">
        <v>540080</v>
      </c>
      <c r="B272" s="2" t="s">
        <v>175</v>
      </c>
      <c r="C272" s="2" t="s">
        <v>65</v>
      </c>
      <c r="D272" s="2" t="s">
        <v>612</v>
      </c>
      <c r="E272" s="2" t="s">
        <v>616</v>
      </c>
      <c r="F272" s="2" t="s">
        <v>613</v>
      </c>
      <c r="G272" s="2">
        <v>3</v>
      </c>
      <c r="H272" s="2">
        <v>0</v>
      </c>
      <c r="I272" s="2">
        <v>0</v>
      </c>
      <c r="J272" s="2">
        <v>23.8</v>
      </c>
      <c r="K272" s="2">
        <v>104</v>
      </c>
      <c r="L272" s="55" t="s">
        <v>614</v>
      </c>
      <c r="M272" s="2">
        <v>999999</v>
      </c>
      <c r="N272" s="2" t="s">
        <v>614</v>
      </c>
      <c r="O272" s="2">
        <v>999999</v>
      </c>
      <c r="P272" s="156" t="s">
        <v>614</v>
      </c>
      <c r="Q272" s="2">
        <v>999999</v>
      </c>
      <c r="R272" s="157">
        <v>-0.87273096100000003</v>
      </c>
      <c r="S272" s="2">
        <v>260</v>
      </c>
      <c r="T272" s="158">
        <v>0.81</v>
      </c>
      <c r="U272" s="2">
        <v>251</v>
      </c>
      <c r="V272" s="55" t="s">
        <v>614</v>
      </c>
      <c r="W272" s="2">
        <v>999999</v>
      </c>
      <c r="X272" s="55" t="s">
        <v>614</v>
      </c>
      <c r="Y272" s="2">
        <v>999999</v>
      </c>
      <c r="Z272" s="2">
        <v>10</v>
      </c>
      <c r="AA272" s="2">
        <v>216</v>
      </c>
      <c r="AB272" s="2">
        <v>0</v>
      </c>
      <c r="AC272" s="2">
        <v>222</v>
      </c>
      <c r="AD272" s="105" t="s">
        <v>614</v>
      </c>
      <c r="AE272" s="2">
        <v>999999</v>
      </c>
      <c r="AF272" s="55" t="s">
        <v>614</v>
      </c>
      <c r="AG272" s="2">
        <v>999999</v>
      </c>
      <c r="AH272" s="55">
        <v>0</v>
      </c>
      <c r="AI272" s="2">
        <v>135</v>
      </c>
      <c r="AJ272" s="55">
        <v>0.37380000000000002</v>
      </c>
      <c r="AK272" s="2">
        <v>76</v>
      </c>
      <c r="AL272" s="30">
        <v>43145</v>
      </c>
      <c r="AM272" s="2">
        <v>26</v>
      </c>
      <c r="AN272" s="2">
        <v>6</v>
      </c>
      <c r="AO272" s="2">
        <v>81</v>
      </c>
      <c r="AP272" s="2">
        <v>0</v>
      </c>
      <c r="AQ272" s="2">
        <v>222</v>
      </c>
      <c r="AR272" s="55" t="s">
        <v>614</v>
      </c>
      <c r="AS272" s="2">
        <v>999999</v>
      </c>
      <c r="AT272" s="159">
        <v>0</v>
      </c>
      <c r="AU272" s="2">
        <v>81</v>
      </c>
      <c r="AV272" s="55">
        <v>0</v>
      </c>
      <c r="AW272" s="2">
        <v>194</v>
      </c>
      <c r="AX272" s="2" t="s">
        <v>615</v>
      </c>
      <c r="AY272" s="2">
        <v>999999</v>
      </c>
      <c r="AZ272" s="106">
        <v>0</v>
      </c>
      <c r="BA272" s="2">
        <v>14</v>
      </c>
      <c r="BB272" s="30" t="s">
        <v>614</v>
      </c>
      <c r="BC272" s="2">
        <v>999999</v>
      </c>
      <c r="BD272" s="160">
        <v>41806</v>
      </c>
      <c r="BE272" s="2">
        <v>1</v>
      </c>
      <c r="BF272" s="55">
        <v>0</v>
      </c>
      <c r="BG272" s="2">
        <v>183</v>
      </c>
      <c r="BH272" s="2">
        <v>2</v>
      </c>
      <c r="BI272" s="2">
        <v>68</v>
      </c>
      <c r="BJ272" s="2">
        <v>6</v>
      </c>
      <c r="BK272" s="2">
        <v>191</v>
      </c>
      <c r="BL272" s="161">
        <v>9631858.8888888881</v>
      </c>
      <c r="BM272" s="2" t="str">
        <f t="shared" si="4"/>
        <v>279/283</v>
      </c>
      <c r="BN272" s="142"/>
    </row>
    <row r="273" spans="1:66" x14ac:dyDescent="0.25">
      <c r="A273" s="2">
        <v>540094</v>
      </c>
      <c r="B273" s="2" t="s">
        <v>185</v>
      </c>
      <c r="C273" s="2" t="s">
        <v>65</v>
      </c>
      <c r="D273" s="2" t="s">
        <v>612</v>
      </c>
      <c r="E273" s="2" t="s">
        <v>616</v>
      </c>
      <c r="F273" s="2" t="s">
        <v>613</v>
      </c>
      <c r="G273" s="2">
        <v>3</v>
      </c>
      <c r="H273" s="2">
        <v>0</v>
      </c>
      <c r="I273" s="2">
        <v>2</v>
      </c>
      <c r="J273" s="2">
        <v>23.8</v>
      </c>
      <c r="K273" s="2">
        <v>104</v>
      </c>
      <c r="L273" s="55" t="s">
        <v>614</v>
      </c>
      <c r="M273" s="2">
        <v>999999</v>
      </c>
      <c r="N273" s="2" t="s">
        <v>614</v>
      </c>
      <c r="O273" s="2">
        <v>999999</v>
      </c>
      <c r="P273" s="156">
        <v>13522</v>
      </c>
      <c r="Q273" s="2">
        <v>220</v>
      </c>
      <c r="R273" s="157">
        <v>-0.87273096100000003</v>
      </c>
      <c r="S273" s="2">
        <v>260</v>
      </c>
      <c r="T273" s="158">
        <v>0.81</v>
      </c>
      <c r="U273" s="2">
        <v>251</v>
      </c>
      <c r="V273" s="55" t="s">
        <v>614</v>
      </c>
      <c r="W273" s="2">
        <v>999999</v>
      </c>
      <c r="X273" s="55">
        <v>2</v>
      </c>
      <c r="Y273" s="2">
        <v>225</v>
      </c>
      <c r="Z273" s="2">
        <v>10</v>
      </c>
      <c r="AA273" s="2">
        <v>216</v>
      </c>
      <c r="AB273" s="2">
        <v>2</v>
      </c>
      <c r="AC273" s="2">
        <v>168</v>
      </c>
      <c r="AD273" s="105">
        <v>2</v>
      </c>
      <c r="AE273" s="2">
        <v>228</v>
      </c>
      <c r="AF273" s="55" t="s">
        <v>614</v>
      </c>
      <c r="AG273" s="2">
        <v>999999</v>
      </c>
      <c r="AH273" s="55">
        <v>0</v>
      </c>
      <c r="AI273" s="2">
        <v>135</v>
      </c>
      <c r="AJ273" s="55">
        <v>0.37380000000000002</v>
      </c>
      <c r="AK273" s="2">
        <v>76</v>
      </c>
      <c r="AL273" s="30">
        <v>43145</v>
      </c>
      <c r="AM273" s="2">
        <v>26</v>
      </c>
      <c r="AN273" s="2">
        <v>6</v>
      </c>
      <c r="AO273" s="2">
        <v>81</v>
      </c>
      <c r="AP273" s="2">
        <v>2</v>
      </c>
      <c r="AQ273" s="2">
        <v>168</v>
      </c>
      <c r="AR273" s="55" t="s">
        <v>614</v>
      </c>
      <c r="AS273" s="2">
        <v>999999</v>
      </c>
      <c r="AT273" s="159">
        <v>0</v>
      </c>
      <c r="AU273" s="2">
        <v>81</v>
      </c>
      <c r="AV273" s="55">
        <v>0</v>
      </c>
      <c r="AW273" s="2">
        <v>194</v>
      </c>
      <c r="AX273" s="2" t="s">
        <v>615</v>
      </c>
      <c r="AY273" s="2">
        <v>999999</v>
      </c>
      <c r="AZ273" s="106">
        <v>0</v>
      </c>
      <c r="BA273" s="2">
        <v>14</v>
      </c>
      <c r="BB273" s="30" t="s">
        <v>614</v>
      </c>
      <c r="BC273" s="2">
        <v>999999</v>
      </c>
      <c r="BD273" s="160">
        <v>41806</v>
      </c>
      <c r="BE273" s="2">
        <v>1</v>
      </c>
      <c r="BF273" s="55">
        <v>0</v>
      </c>
      <c r="BG273" s="2">
        <v>183</v>
      </c>
      <c r="BH273" s="2">
        <v>2</v>
      </c>
      <c r="BI273" s="2">
        <v>68</v>
      </c>
      <c r="BJ273" s="2">
        <v>6</v>
      </c>
      <c r="BK273" s="2">
        <v>191</v>
      </c>
      <c r="BL273" s="161">
        <v>6743516.9629629627</v>
      </c>
      <c r="BM273" s="2" t="str">
        <f t="shared" si="4"/>
        <v>272/283</v>
      </c>
      <c r="BN273" s="142"/>
    </row>
    <row r="274" spans="1:66" x14ac:dyDescent="0.25">
      <c r="A274" s="2">
        <v>540254</v>
      </c>
      <c r="B274" s="2" t="s">
        <v>300</v>
      </c>
      <c r="C274" s="2" t="s">
        <v>69</v>
      </c>
      <c r="D274" s="2" t="s">
        <v>612</v>
      </c>
      <c r="E274" s="2" t="s">
        <v>616</v>
      </c>
      <c r="F274" s="2" t="s">
        <v>613</v>
      </c>
      <c r="G274" s="2">
        <v>3</v>
      </c>
      <c r="H274" s="2">
        <v>0</v>
      </c>
      <c r="I274" s="2">
        <v>2</v>
      </c>
      <c r="J274" s="2">
        <v>2.8</v>
      </c>
      <c r="K274" s="2">
        <v>226</v>
      </c>
      <c r="L274" s="55">
        <v>0</v>
      </c>
      <c r="M274" s="2">
        <v>118</v>
      </c>
      <c r="N274" s="2" t="s">
        <v>614</v>
      </c>
      <c r="O274" s="2">
        <v>999999</v>
      </c>
      <c r="P274" s="156">
        <v>0</v>
      </c>
      <c r="Q274" s="2">
        <v>248</v>
      </c>
      <c r="R274" s="157">
        <v>0.79634212299999996</v>
      </c>
      <c r="S274" s="2">
        <v>60</v>
      </c>
      <c r="T274" s="158">
        <v>0.9</v>
      </c>
      <c r="U274" s="2">
        <v>107</v>
      </c>
      <c r="V274" s="55">
        <v>0</v>
      </c>
      <c r="W274" s="2">
        <v>230</v>
      </c>
      <c r="X274" s="55">
        <v>1</v>
      </c>
      <c r="Y274" s="2">
        <v>237</v>
      </c>
      <c r="Z274" s="2">
        <v>11</v>
      </c>
      <c r="AA274" s="2">
        <v>155</v>
      </c>
      <c r="AB274" s="2">
        <v>0</v>
      </c>
      <c r="AC274" s="2">
        <v>222</v>
      </c>
      <c r="AD274" s="105">
        <v>0</v>
      </c>
      <c r="AE274" s="2">
        <v>259</v>
      </c>
      <c r="AF274" s="55">
        <v>0</v>
      </c>
      <c r="AG274" s="2">
        <v>184</v>
      </c>
      <c r="AH274" s="55">
        <v>0</v>
      </c>
      <c r="AI274" s="2">
        <v>135</v>
      </c>
      <c r="AJ274" s="55">
        <v>0.49469999999999997</v>
      </c>
      <c r="AK274" s="2">
        <v>145</v>
      </c>
      <c r="AL274" s="30">
        <v>43145</v>
      </c>
      <c r="AM274" s="2">
        <v>26</v>
      </c>
      <c r="AN274" s="2">
        <v>1</v>
      </c>
      <c r="AO274" s="2">
        <v>36</v>
      </c>
      <c r="AP274" s="2">
        <v>0</v>
      </c>
      <c r="AQ274" s="2">
        <v>222</v>
      </c>
      <c r="AR274" s="55">
        <v>0</v>
      </c>
      <c r="AS274" s="2">
        <v>184</v>
      </c>
      <c r="AT274" s="159">
        <v>0</v>
      </c>
      <c r="AU274" s="2">
        <v>81</v>
      </c>
      <c r="AV274" s="55">
        <v>1</v>
      </c>
      <c r="AW274" s="2">
        <v>1</v>
      </c>
      <c r="AX274" s="2" t="s">
        <v>615</v>
      </c>
      <c r="AY274" s="2">
        <v>999999</v>
      </c>
      <c r="AZ274" s="106">
        <v>0</v>
      </c>
      <c r="BA274" s="2">
        <v>14</v>
      </c>
      <c r="BB274" s="30" t="s">
        <v>614</v>
      </c>
      <c r="BC274" s="2">
        <v>999999</v>
      </c>
      <c r="BD274" s="160">
        <v>43259</v>
      </c>
      <c r="BE274" s="2">
        <v>41</v>
      </c>
      <c r="BF274" s="55">
        <v>1</v>
      </c>
      <c r="BG274" s="2">
        <v>1</v>
      </c>
      <c r="BH274" s="2">
        <v>4</v>
      </c>
      <c r="BI274" s="2">
        <v>34</v>
      </c>
      <c r="BJ274" s="2">
        <v>1</v>
      </c>
      <c r="BK274" s="2">
        <v>231</v>
      </c>
      <c r="BL274" s="161">
        <v>2891964.5925925928</v>
      </c>
      <c r="BM274" s="2" t="str">
        <f t="shared" si="4"/>
        <v>255/283</v>
      </c>
      <c r="BN274" s="142"/>
    </row>
    <row r="275" spans="1:66" x14ac:dyDescent="0.25">
      <c r="A275" s="2">
        <v>540270</v>
      </c>
      <c r="B275" s="2" t="s">
        <v>313</v>
      </c>
      <c r="C275" s="2" t="s">
        <v>69</v>
      </c>
      <c r="D275" s="2" t="s">
        <v>612</v>
      </c>
      <c r="E275" s="2" t="s">
        <v>616</v>
      </c>
      <c r="F275" s="2" t="s">
        <v>613</v>
      </c>
      <c r="G275" s="2">
        <v>3</v>
      </c>
      <c r="H275" s="2">
        <v>0</v>
      </c>
      <c r="I275" s="2">
        <v>0</v>
      </c>
      <c r="J275" s="2">
        <v>2.8</v>
      </c>
      <c r="K275" s="2">
        <v>226</v>
      </c>
      <c r="L275" s="55" t="s">
        <v>614</v>
      </c>
      <c r="M275" s="2">
        <v>999999</v>
      </c>
      <c r="N275" s="2" t="s">
        <v>614</v>
      </c>
      <c r="O275" s="2">
        <v>999999</v>
      </c>
      <c r="P275" s="156" t="s">
        <v>614</v>
      </c>
      <c r="Q275" s="2">
        <v>999999</v>
      </c>
      <c r="R275" s="157">
        <v>0.79634212299999996</v>
      </c>
      <c r="S275" s="2">
        <v>60</v>
      </c>
      <c r="T275" s="158">
        <v>0.9</v>
      </c>
      <c r="U275" s="2">
        <v>107</v>
      </c>
      <c r="V275" s="55" t="s">
        <v>614</v>
      </c>
      <c r="W275" s="2">
        <v>999999</v>
      </c>
      <c r="X275" s="55" t="s">
        <v>614</v>
      </c>
      <c r="Y275" s="2">
        <v>999999</v>
      </c>
      <c r="Z275" s="2">
        <v>11</v>
      </c>
      <c r="AA275" s="2">
        <v>155</v>
      </c>
      <c r="AB275" s="2">
        <v>0</v>
      </c>
      <c r="AC275" s="2">
        <v>222</v>
      </c>
      <c r="AD275" s="105" t="s">
        <v>614</v>
      </c>
      <c r="AE275" s="2">
        <v>999999</v>
      </c>
      <c r="AF275" s="55" t="s">
        <v>614</v>
      </c>
      <c r="AG275" s="2">
        <v>999999</v>
      </c>
      <c r="AH275" s="55">
        <v>0</v>
      </c>
      <c r="AI275" s="2">
        <v>135</v>
      </c>
      <c r="AJ275" s="55">
        <v>0.49469999999999997</v>
      </c>
      <c r="AK275" s="2">
        <v>145</v>
      </c>
      <c r="AL275" s="30">
        <v>43145</v>
      </c>
      <c r="AM275" s="2">
        <v>26</v>
      </c>
      <c r="AN275" s="2">
        <v>1</v>
      </c>
      <c r="AO275" s="2">
        <v>36</v>
      </c>
      <c r="AP275" s="2">
        <v>0</v>
      </c>
      <c r="AQ275" s="2">
        <v>222</v>
      </c>
      <c r="AR275" s="55" t="s">
        <v>614</v>
      </c>
      <c r="AS275" s="2">
        <v>999999</v>
      </c>
      <c r="AT275" s="159">
        <v>0</v>
      </c>
      <c r="AU275" s="2">
        <v>81</v>
      </c>
      <c r="AV275" s="55">
        <v>0</v>
      </c>
      <c r="AW275" s="2">
        <v>194</v>
      </c>
      <c r="AX275" s="2" t="s">
        <v>615</v>
      </c>
      <c r="AY275" s="2">
        <v>999999</v>
      </c>
      <c r="AZ275" s="106">
        <v>0</v>
      </c>
      <c r="BA275" s="2">
        <v>14</v>
      </c>
      <c r="BB275" s="30" t="s">
        <v>614</v>
      </c>
      <c r="BC275" s="2">
        <v>999999</v>
      </c>
      <c r="BD275" s="160">
        <v>41806</v>
      </c>
      <c r="BE275" s="2">
        <v>1</v>
      </c>
      <c r="BF275" s="55">
        <v>0</v>
      </c>
      <c r="BG275" s="2">
        <v>183</v>
      </c>
      <c r="BH275" s="2">
        <v>3</v>
      </c>
      <c r="BI275" s="2">
        <v>46</v>
      </c>
      <c r="BJ275" s="2">
        <v>1</v>
      </c>
      <c r="BK275" s="2">
        <v>231</v>
      </c>
      <c r="BL275" s="161">
        <v>9631626.8148148134</v>
      </c>
      <c r="BM275" s="2" t="str">
        <f t="shared" si="4"/>
        <v>278/283</v>
      </c>
      <c r="BN275" s="142"/>
    </row>
    <row r="276" spans="1:66" x14ac:dyDescent="0.25">
      <c r="A276" s="2">
        <v>540257</v>
      </c>
      <c r="B276" s="2" t="s">
        <v>302</v>
      </c>
      <c r="C276" s="2" t="s">
        <v>69</v>
      </c>
      <c r="D276" s="2" t="s">
        <v>612</v>
      </c>
      <c r="E276" s="2" t="s">
        <v>616</v>
      </c>
      <c r="F276" s="2" t="s">
        <v>613</v>
      </c>
      <c r="G276" s="2">
        <v>3</v>
      </c>
      <c r="H276" s="2">
        <v>0</v>
      </c>
      <c r="I276" s="2">
        <v>2</v>
      </c>
      <c r="J276" s="2">
        <v>2.8</v>
      </c>
      <c r="K276" s="2">
        <v>226</v>
      </c>
      <c r="L276" s="55">
        <v>0</v>
      </c>
      <c r="M276" s="2">
        <v>118</v>
      </c>
      <c r="N276" s="2" t="s">
        <v>614</v>
      </c>
      <c r="O276" s="2">
        <v>999999</v>
      </c>
      <c r="P276" s="156">
        <v>0</v>
      </c>
      <c r="Q276" s="2">
        <v>248</v>
      </c>
      <c r="R276" s="157">
        <v>0.79634212299999996</v>
      </c>
      <c r="S276" s="2">
        <v>60</v>
      </c>
      <c r="T276" s="158">
        <v>0.9</v>
      </c>
      <c r="U276" s="2">
        <v>107</v>
      </c>
      <c r="V276" s="55">
        <v>0</v>
      </c>
      <c r="W276" s="2">
        <v>230</v>
      </c>
      <c r="X276" s="55">
        <v>1</v>
      </c>
      <c r="Y276" s="2">
        <v>237</v>
      </c>
      <c r="Z276" s="2">
        <v>11</v>
      </c>
      <c r="AA276" s="2">
        <v>155</v>
      </c>
      <c r="AB276" s="2">
        <v>1</v>
      </c>
      <c r="AC276" s="2">
        <v>186</v>
      </c>
      <c r="AD276" s="105">
        <v>1</v>
      </c>
      <c r="AE276" s="2">
        <v>242</v>
      </c>
      <c r="AF276" s="55">
        <v>0</v>
      </c>
      <c r="AG276" s="2">
        <v>184</v>
      </c>
      <c r="AH276" s="55">
        <v>0</v>
      </c>
      <c r="AI276" s="2">
        <v>135</v>
      </c>
      <c r="AJ276" s="55">
        <v>0.49469999999999997</v>
      </c>
      <c r="AK276" s="2">
        <v>145</v>
      </c>
      <c r="AL276" s="30">
        <v>43145</v>
      </c>
      <c r="AM276" s="2">
        <v>26</v>
      </c>
      <c r="AN276" s="2">
        <v>1</v>
      </c>
      <c r="AO276" s="2">
        <v>36</v>
      </c>
      <c r="AP276" s="2">
        <v>1</v>
      </c>
      <c r="AQ276" s="2">
        <v>186</v>
      </c>
      <c r="AR276" s="55">
        <v>0</v>
      </c>
      <c r="AS276" s="2">
        <v>184</v>
      </c>
      <c r="AT276" s="159">
        <v>0</v>
      </c>
      <c r="AU276" s="2">
        <v>81</v>
      </c>
      <c r="AV276" s="55">
        <v>1</v>
      </c>
      <c r="AW276" s="2">
        <v>1</v>
      </c>
      <c r="AX276" s="2" t="s">
        <v>615</v>
      </c>
      <c r="AY276" s="2">
        <v>999999</v>
      </c>
      <c r="AZ276" s="106">
        <v>0</v>
      </c>
      <c r="BA276" s="2">
        <v>14</v>
      </c>
      <c r="BB276" s="30" t="s">
        <v>614</v>
      </c>
      <c r="BC276" s="2">
        <v>999999</v>
      </c>
      <c r="BD276" s="160">
        <v>41806</v>
      </c>
      <c r="BE276" s="2">
        <v>1</v>
      </c>
      <c r="BF276" s="55">
        <v>1</v>
      </c>
      <c r="BG276" s="2">
        <v>1</v>
      </c>
      <c r="BH276" s="2">
        <v>3</v>
      </c>
      <c r="BI276" s="2">
        <v>46</v>
      </c>
      <c r="BJ276" s="2">
        <v>1</v>
      </c>
      <c r="BK276" s="2">
        <v>231</v>
      </c>
      <c r="BL276" s="161">
        <v>2891851.9259259258</v>
      </c>
      <c r="BM276" s="2" t="str">
        <f t="shared" si="4"/>
        <v>253/283</v>
      </c>
      <c r="BN276" s="142"/>
    </row>
    <row r="277" spans="1:66" x14ac:dyDescent="0.25">
      <c r="A277" s="2">
        <v>540137</v>
      </c>
      <c r="B277" s="2" t="s">
        <v>220</v>
      </c>
      <c r="C277" s="2" t="s">
        <v>69</v>
      </c>
      <c r="D277" s="2" t="s">
        <v>612</v>
      </c>
      <c r="E277" s="2" t="s">
        <v>616</v>
      </c>
      <c r="F277" s="2" t="s">
        <v>613</v>
      </c>
      <c r="G277" s="2">
        <v>3</v>
      </c>
      <c r="H277" s="2">
        <v>0</v>
      </c>
      <c r="I277" s="2">
        <v>2</v>
      </c>
      <c r="J277" s="2">
        <v>2.8</v>
      </c>
      <c r="K277" s="2">
        <v>226</v>
      </c>
      <c r="L277" s="55" t="s">
        <v>614</v>
      </c>
      <c r="M277" s="2">
        <v>999999</v>
      </c>
      <c r="N277" s="2" t="s">
        <v>614</v>
      </c>
      <c r="O277" s="2">
        <v>999999</v>
      </c>
      <c r="P277" s="156">
        <v>0</v>
      </c>
      <c r="Q277" s="2">
        <v>248</v>
      </c>
      <c r="R277" s="157">
        <v>0.79634212299999996</v>
      </c>
      <c r="S277" s="2">
        <v>60</v>
      </c>
      <c r="T277" s="158">
        <v>0.9</v>
      </c>
      <c r="U277" s="2">
        <v>107</v>
      </c>
      <c r="V277" s="55" t="s">
        <v>614</v>
      </c>
      <c r="W277" s="2">
        <v>999999</v>
      </c>
      <c r="X277" s="55">
        <v>0</v>
      </c>
      <c r="Y277" s="2">
        <v>256</v>
      </c>
      <c r="Z277" s="2">
        <v>11</v>
      </c>
      <c r="AA277" s="2">
        <v>155</v>
      </c>
      <c r="AB277" s="2">
        <v>0</v>
      </c>
      <c r="AC277" s="2">
        <v>222</v>
      </c>
      <c r="AD277" s="105">
        <v>1</v>
      </c>
      <c r="AE277" s="2">
        <v>242</v>
      </c>
      <c r="AF277" s="55" t="s">
        <v>614</v>
      </c>
      <c r="AG277" s="2">
        <v>999999</v>
      </c>
      <c r="AH277" s="55">
        <v>0</v>
      </c>
      <c r="AI277" s="2">
        <v>135</v>
      </c>
      <c r="AJ277" s="55">
        <v>0.49469999999999997</v>
      </c>
      <c r="AK277" s="2">
        <v>145</v>
      </c>
      <c r="AL277" s="30">
        <v>43145</v>
      </c>
      <c r="AM277" s="2">
        <v>26</v>
      </c>
      <c r="AN277" s="2">
        <v>1</v>
      </c>
      <c r="AO277" s="2">
        <v>36</v>
      </c>
      <c r="AP277" s="2">
        <v>0</v>
      </c>
      <c r="AQ277" s="2">
        <v>222</v>
      </c>
      <c r="AR277" s="55" t="s">
        <v>614</v>
      </c>
      <c r="AS277" s="2">
        <v>999999</v>
      </c>
      <c r="AT277" s="159">
        <v>0</v>
      </c>
      <c r="AU277" s="2">
        <v>81</v>
      </c>
      <c r="AV277" s="55">
        <v>0</v>
      </c>
      <c r="AW277" s="2">
        <v>194</v>
      </c>
      <c r="AX277" s="2" t="s">
        <v>615</v>
      </c>
      <c r="AY277" s="2">
        <v>999999</v>
      </c>
      <c r="AZ277" s="106">
        <v>0</v>
      </c>
      <c r="BA277" s="2">
        <v>14</v>
      </c>
      <c r="BB277" s="30" t="s">
        <v>614</v>
      </c>
      <c r="BC277" s="2">
        <v>999999</v>
      </c>
      <c r="BD277" s="160">
        <v>41806</v>
      </c>
      <c r="BE277" s="2">
        <v>1</v>
      </c>
      <c r="BF277" s="55">
        <v>0</v>
      </c>
      <c r="BG277" s="2">
        <v>183</v>
      </c>
      <c r="BH277" s="2">
        <v>2</v>
      </c>
      <c r="BI277" s="2">
        <v>68</v>
      </c>
      <c r="BJ277" s="2">
        <v>1</v>
      </c>
      <c r="BK277" s="2">
        <v>231</v>
      </c>
      <c r="BL277" s="161">
        <v>6743480.3703703703</v>
      </c>
      <c r="BM277" s="2" t="str">
        <f t="shared" si="4"/>
        <v>271/283</v>
      </c>
      <c r="BN277" s="142"/>
    </row>
    <row r="278" spans="1:66" x14ac:dyDescent="0.25">
      <c r="A278" s="2">
        <v>540267</v>
      </c>
      <c r="B278" s="2" t="s">
        <v>310</v>
      </c>
      <c r="C278" s="2" t="s">
        <v>75</v>
      </c>
      <c r="D278" s="2" t="s">
        <v>612</v>
      </c>
      <c r="E278" s="2" t="s">
        <v>616</v>
      </c>
      <c r="F278" s="2" t="s">
        <v>613</v>
      </c>
      <c r="G278" s="2">
        <v>3</v>
      </c>
      <c r="H278" s="2">
        <v>0</v>
      </c>
      <c r="I278" s="2">
        <v>2</v>
      </c>
      <c r="J278" s="2">
        <v>5</v>
      </c>
      <c r="K278" s="2">
        <v>197</v>
      </c>
      <c r="L278" s="55">
        <v>9</v>
      </c>
      <c r="M278" s="2">
        <v>39</v>
      </c>
      <c r="N278" s="2" t="s">
        <v>614</v>
      </c>
      <c r="O278" s="2">
        <v>999999</v>
      </c>
      <c r="P278" s="156">
        <v>136564</v>
      </c>
      <c r="Q278" s="2">
        <v>151</v>
      </c>
      <c r="R278" s="157">
        <v>-0.63248252199999999</v>
      </c>
      <c r="S278" s="2">
        <v>219</v>
      </c>
      <c r="T278" s="158">
        <v>0.9</v>
      </c>
      <c r="U278" s="2">
        <v>107</v>
      </c>
      <c r="V278" s="55">
        <v>4</v>
      </c>
      <c r="W278" s="2">
        <v>142</v>
      </c>
      <c r="X278" s="55">
        <v>15</v>
      </c>
      <c r="Y278" s="2">
        <v>163</v>
      </c>
      <c r="Z278" s="2">
        <v>11</v>
      </c>
      <c r="AA278" s="2">
        <v>155</v>
      </c>
      <c r="AB278" s="2">
        <v>1</v>
      </c>
      <c r="AC278" s="2">
        <v>186</v>
      </c>
      <c r="AD278" s="105">
        <v>8</v>
      </c>
      <c r="AE278" s="2">
        <v>172</v>
      </c>
      <c r="AF278" s="55">
        <v>9</v>
      </c>
      <c r="AG278" s="2">
        <v>112</v>
      </c>
      <c r="AH278" s="55">
        <v>0</v>
      </c>
      <c r="AI278" s="2">
        <v>135</v>
      </c>
      <c r="AJ278" s="55">
        <v>0.54759999999999998</v>
      </c>
      <c r="AK278" s="2">
        <v>159</v>
      </c>
      <c r="AL278" s="30">
        <v>42944</v>
      </c>
      <c r="AM278" s="2">
        <v>135</v>
      </c>
      <c r="AN278" s="2">
        <v>47</v>
      </c>
      <c r="AO278" s="2">
        <v>203</v>
      </c>
      <c r="AP278" s="2">
        <v>1</v>
      </c>
      <c r="AQ278" s="2">
        <v>186</v>
      </c>
      <c r="AR278" s="55">
        <v>9</v>
      </c>
      <c r="AS278" s="2">
        <v>112</v>
      </c>
      <c r="AT278" s="159">
        <v>0</v>
      </c>
      <c r="AU278" s="2">
        <v>81</v>
      </c>
      <c r="AV278" s="55">
        <v>1</v>
      </c>
      <c r="AW278" s="2">
        <v>1</v>
      </c>
      <c r="AX278" s="2" t="s">
        <v>615</v>
      </c>
      <c r="AY278" s="2">
        <v>999999</v>
      </c>
      <c r="AZ278" s="106">
        <v>0</v>
      </c>
      <c r="BA278" s="2">
        <v>14</v>
      </c>
      <c r="BB278" s="30" t="s">
        <v>614</v>
      </c>
      <c r="BC278" s="2">
        <v>999999</v>
      </c>
      <c r="BD278" s="160">
        <v>41806</v>
      </c>
      <c r="BE278" s="2">
        <v>1</v>
      </c>
      <c r="BF278" s="55">
        <v>0</v>
      </c>
      <c r="BG278" s="2">
        <v>183</v>
      </c>
      <c r="BH278" s="2">
        <v>2</v>
      </c>
      <c r="BI278" s="2">
        <v>68</v>
      </c>
      <c r="BJ278" s="2">
        <v>47</v>
      </c>
      <c r="BK278" s="2">
        <v>72</v>
      </c>
      <c r="BL278" s="161">
        <v>2891768.1481481479</v>
      </c>
      <c r="BM278" s="2" t="str">
        <f t="shared" si="4"/>
        <v>251/283</v>
      </c>
      <c r="BN278" s="142"/>
    </row>
    <row r="279" spans="1:66" x14ac:dyDescent="0.25">
      <c r="A279" s="2">
        <v>540178</v>
      </c>
      <c r="B279" s="2" t="s">
        <v>249</v>
      </c>
      <c r="C279" s="2" t="s">
        <v>75</v>
      </c>
      <c r="D279" s="2" t="s">
        <v>612</v>
      </c>
      <c r="E279" s="2" t="s">
        <v>616</v>
      </c>
      <c r="F279" s="2" t="s">
        <v>613</v>
      </c>
      <c r="G279" s="2">
        <v>3</v>
      </c>
      <c r="H279" s="2">
        <v>0</v>
      </c>
      <c r="I279" s="2">
        <v>2</v>
      </c>
      <c r="J279" s="2">
        <v>5</v>
      </c>
      <c r="K279" s="2">
        <v>197</v>
      </c>
      <c r="L279" s="55">
        <v>0</v>
      </c>
      <c r="M279" s="2">
        <v>118</v>
      </c>
      <c r="N279" s="2" t="s">
        <v>614</v>
      </c>
      <c r="O279" s="2">
        <v>999999</v>
      </c>
      <c r="P279" s="156">
        <v>26577</v>
      </c>
      <c r="Q279" s="2">
        <v>205</v>
      </c>
      <c r="R279" s="157">
        <v>-0.63248252199999999</v>
      </c>
      <c r="S279" s="2">
        <v>219</v>
      </c>
      <c r="T279" s="158">
        <v>0.9</v>
      </c>
      <c r="U279" s="2">
        <v>107</v>
      </c>
      <c r="V279" s="55">
        <v>3</v>
      </c>
      <c r="W279" s="2">
        <v>153</v>
      </c>
      <c r="X279" s="55">
        <v>3</v>
      </c>
      <c r="Y279" s="2">
        <v>218</v>
      </c>
      <c r="Z279" s="2">
        <v>11</v>
      </c>
      <c r="AA279" s="2">
        <v>155</v>
      </c>
      <c r="AB279" s="2">
        <v>0</v>
      </c>
      <c r="AC279" s="2">
        <v>222</v>
      </c>
      <c r="AD279" s="105">
        <v>1</v>
      </c>
      <c r="AE279" s="2">
        <v>242</v>
      </c>
      <c r="AF279" s="55">
        <v>0</v>
      </c>
      <c r="AG279" s="2">
        <v>184</v>
      </c>
      <c r="AH279" s="55">
        <v>0</v>
      </c>
      <c r="AI279" s="2">
        <v>135</v>
      </c>
      <c r="AJ279" s="55">
        <v>0.54759999999999998</v>
      </c>
      <c r="AK279" s="2">
        <v>159</v>
      </c>
      <c r="AL279" s="30">
        <v>42944</v>
      </c>
      <c r="AM279" s="2">
        <v>135</v>
      </c>
      <c r="AN279" s="2">
        <v>47</v>
      </c>
      <c r="AO279" s="2">
        <v>203</v>
      </c>
      <c r="AP279" s="2">
        <v>0</v>
      </c>
      <c r="AQ279" s="2">
        <v>222</v>
      </c>
      <c r="AR279" s="55">
        <v>0</v>
      </c>
      <c r="AS279" s="2">
        <v>184</v>
      </c>
      <c r="AT279" s="159">
        <v>0</v>
      </c>
      <c r="AU279" s="2">
        <v>81</v>
      </c>
      <c r="AV279" s="55">
        <v>1</v>
      </c>
      <c r="AW279" s="2">
        <v>1</v>
      </c>
      <c r="AX279" s="2" t="s">
        <v>615</v>
      </c>
      <c r="AY279" s="2">
        <v>999999</v>
      </c>
      <c r="AZ279" s="106">
        <v>0</v>
      </c>
      <c r="BA279" s="2">
        <v>14</v>
      </c>
      <c r="BB279" s="30" t="s">
        <v>614</v>
      </c>
      <c r="BC279" s="2">
        <v>999999</v>
      </c>
      <c r="BD279" s="160">
        <v>41806</v>
      </c>
      <c r="BE279" s="2">
        <v>1</v>
      </c>
      <c r="BF279" s="55">
        <v>1</v>
      </c>
      <c r="BG279" s="2">
        <v>1</v>
      </c>
      <c r="BH279" s="2">
        <v>2</v>
      </c>
      <c r="BI279" s="2">
        <v>68</v>
      </c>
      <c r="BJ279" s="2">
        <v>47</v>
      </c>
      <c r="BK279" s="2">
        <v>72</v>
      </c>
      <c r="BL279" s="161">
        <v>2892059.9259259263</v>
      </c>
      <c r="BM279" s="2" t="str">
        <f t="shared" si="4"/>
        <v>256/283</v>
      </c>
      <c r="BN279" s="142"/>
    </row>
    <row r="280" spans="1:66" x14ac:dyDescent="0.25">
      <c r="A280" s="2">
        <v>540264</v>
      </c>
      <c r="B280" s="2" t="s">
        <v>307</v>
      </c>
      <c r="C280" s="2" t="s">
        <v>75</v>
      </c>
      <c r="D280" s="2" t="s">
        <v>612</v>
      </c>
      <c r="E280" s="2" t="s">
        <v>616</v>
      </c>
      <c r="F280" s="2" t="s">
        <v>613</v>
      </c>
      <c r="G280" s="2">
        <v>3</v>
      </c>
      <c r="H280" s="2">
        <v>0</v>
      </c>
      <c r="I280" s="2">
        <v>2</v>
      </c>
      <c r="J280" s="2">
        <v>5</v>
      </c>
      <c r="K280" s="2">
        <v>197</v>
      </c>
      <c r="L280" s="55">
        <v>0</v>
      </c>
      <c r="M280" s="2">
        <v>118</v>
      </c>
      <c r="N280" s="2" t="s">
        <v>614</v>
      </c>
      <c r="O280" s="2">
        <v>999999</v>
      </c>
      <c r="P280" s="156">
        <v>2110</v>
      </c>
      <c r="Q280" s="2">
        <v>240</v>
      </c>
      <c r="R280" s="157">
        <v>-0.63248252199999999</v>
      </c>
      <c r="S280" s="2">
        <v>219</v>
      </c>
      <c r="T280" s="158">
        <v>0.9</v>
      </c>
      <c r="U280" s="2">
        <v>107</v>
      </c>
      <c r="V280" s="55">
        <v>0</v>
      </c>
      <c r="W280" s="2">
        <v>230</v>
      </c>
      <c r="X280" s="55">
        <v>2</v>
      </c>
      <c r="Y280" s="2">
        <v>225</v>
      </c>
      <c r="Z280" s="2">
        <v>11</v>
      </c>
      <c r="AA280" s="2">
        <v>155</v>
      </c>
      <c r="AB280" s="2">
        <v>0</v>
      </c>
      <c r="AC280" s="2">
        <v>222</v>
      </c>
      <c r="AD280" s="105">
        <v>1</v>
      </c>
      <c r="AE280" s="2">
        <v>242</v>
      </c>
      <c r="AF280" s="55">
        <v>0</v>
      </c>
      <c r="AG280" s="2">
        <v>184</v>
      </c>
      <c r="AH280" s="55">
        <v>0</v>
      </c>
      <c r="AI280" s="2">
        <v>135</v>
      </c>
      <c r="AJ280" s="55">
        <v>0.54759999999999998</v>
      </c>
      <c r="AK280" s="2">
        <v>159</v>
      </c>
      <c r="AL280" s="30">
        <v>42944</v>
      </c>
      <c r="AM280" s="2">
        <v>135</v>
      </c>
      <c r="AN280" s="2">
        <v>47</v>
      </c>
      <c r="AO280" s="2">
        <v>203</v>
      </c>
      <c r="AP280" s="2">
        <v>0</v>
      </c>
      <c r="AQ280" s="2">
        <v>222</v>
      </c>
      <c r="AR280" s="55">
        <v>0</v>
      </c>
      <c r="AS280" s="2">
        <v>184</v>
      </c>
      <c r="AT280" s="159">
        <v>0</v>
      </c>
      <c r="AU280" s="2">
        <v>81</v>
      </c>
      <c r="AV280" s="55">
        <v>1</v>
      </c>
      <c r="AW280" s="2">
        <v>1</v>
      </c>
      <c r="AX280" s="2" t="s">
        <v>615</v>
      </c>
      <c r="AY280" s="2">
        <v>999999</v>
      </c>
      <c r="AZ280" s="106">
        <v>0</v>
      </c>
      <c r="BA280" s="2">
        <v>14</v>
      </c>
      <c r="BB280" s="30" t="s">
        <v>614</v>
      </c>
      <c r="BC280" s="2">
        <v>999999</v>
      </c>
      <c r="BD280" s="160">
        <v>41806</v>
      </c>
      <c r="BE280" s="2">
        <v>1</v>
      </c>
      <c r="BF280" s="55">
        <v>0</v>
      </c>
      <c r="BG280" s="2">
        <v>183</v>
      </c>
      <c r="BH280" s="2">
        <v>1</v>
      </c>
      <c r="BI280" s="2">
        <v>151</v>
      </c>
      <c r="BJ280" s="2">
        <v>47</v>
      </c>
      <c r="BK280" s="2">
        <v>72</v>
      </c>
      <c r="BL280" s="161">
        <v>2892429.7037037034</v>
      </c>
      <c r="BM280" s="2" t="str">
        <f t="shared" si="4"/>
        <v>258/283</v>
      </c>
      <c r="BN280" s="142"/>
    </row>
    <row r="281" spans="1:66" x14ac:dyDescent="0.25">
      <c r="A281" s="2">
        <v>540266</v>
      </c>
      <c r="B281" s="2" t="s">
        <v>309</v>
      </c>
      <c r="C281" s="2" t="s">
        <v>75</v>
      </c>
      <c r="D281" s="2" t="s">
        <v>612</v>
      </c>
      <c r="E281" s="2" t="s">
        <v>616</v>
      </c>
      <c r="F281" s="2" t="s">
        <v>613</v>
      </c>
      <c r="G281" s="2">
        <v>3</v>
      </c>
      <c r="H281" s="2">
        <v>0</v>
      </c>
      <c r="I281" s="2">
        <v>2</v>
      </c>
      <c r="J281" s="2">
        <v>5</v>
      </c>
      <c r="K281" s="2">
        <v>197</v>
      </c>
      <c r="L281" s="55">
        <v>0</v>
      </c>
      <c r="M281" s="2">
        <v>118</v>
      </c>
      <c r="N281" s="2" t="s">
        <v>614</v>
      </c>
      <c r="O281" s="2">
        <v>999999</v>
      </c>
      <c r="P281" s="156">
        <v>9730</v>
      </c>
      <c r="Q281" s="2">
        <v>226</v>
      </c>
      <c r="R281" s="157">
        <v>-0.63248252199999999</v>
      </c>
      <c r="S281" s="2">
        <v>219</v>
      </c>
      <c r="T281" s="158">
        <v>0.9</v>
      </c>
      <c r="U281" s="2">
        <v>107</v>
      </c>
      <c r="V281" s="55">
        <v>0</v>
      </c>
      <c r="W281" s="2">
        <v>230</v>
      </c>
      <c r="X281" s="55">
        <v>2</v>
      </c>
      <c r="Y281" s="2">
        <v>225</v>
      </c>
      <c r="Z281" s="2">
        <v>11</v>
      </c>
      <c r="AA281" s="2">
        <v>155</v>
      </c>
      <c r="AB281" s="2">
        <v>1</v>
      </c>
      <c r="AC281" s="2">
        <v>186</v>
      </c>
      <c r="AD281" s="105">
        <v>2</v>
      </c>
      <c r="AE281" s="2">
        <v>228</v>
      </c>
      <c r="AF281" s="55">
        <v>0</v>
      </c>
      <c r="AG281" s="2">
        <v>184</v>
      </c>
      <c r="AH281" s="55">
        <v>0</v>
      </c>
      <c r="AI281" s="2">
        <v>135</v>
      </c>
      <c r="AJ281" s="55">
        <v>0.54759999999999998</v>
      </c>
      <c r="AK281" s="2">
        <v>159</v>
      </c>
      <c r="AL281" s="30">
        <v>42944</v>
      </c>
      <c r="AM281" s="2">
        <v>135</v>
      </c>
      <c r="AN281" s="2">
        <v>47</v>
      </c>
      <c r="AO281" s="2">
        <v>203</v>
      </c>
      <c r="AP281" s="2">
        <v>1</v>
      </c>
      <c r="AQ281" s="2">
        <v>186</v>
      </c>
      <c r="AR281" s="55">
        <v>0</v>
      </c>
      <c r="AS281" s="2">
        <v>184</v>
      </c>
      <c r="AT281" s="159">
        <v>0</v>
      </c>
      <c r="AU281" s="2">
        <v>81</v>
      </c>
      <c r="AV281" s="55">
        <v>1</v>
      </c>
      <c r="AW281" s="2">
        <v>1</v>
      </c>
      <c r="AX281" s="2" t="s">
        <v>615</v>
      </c>
      <c r="AY281" s="2">
        <v>999999</v>
      </c>
      <c r="AZ281" s="106">
        <v>0</v>
      </c>
      <c r="BA281" s="2">
        <v>14</v>
      </c>
      <c r="BB281" s="30" t="s">
        <v>614</v>
      </c>
      <c r="BC281" s="2">
        <v>999999</v>
      </c>
      <c r="BD281" s="160">
        <v>41806</v>
      </c>
      <c r="BE281" s="2">
        <v>1</v>
      </c>
      <c r="BF281" s="55">
        <v>0</v>
      </c>
      <c r="BG281" s="2">
        <v>183</v>
      </c>
      <c r="BH281" s="2">
        <v>1</v>
      </c>
      <c r="BI281" s="2">
        <v>151</v>
      </c>
      <c r="BJ281" s="2">
        <v>47</v>
      </c>
      <c r="BK281" s="2">
        <v>72</v>
      </c>
      <c r="BL281" s="161">
        <v>2892333.4074074072</v>
      </c>
      <c r="BM281" s="2" t="str">
        <f t="shared" si="4"/>
        <v>257/283</v>
      </c>
      <c r="BN281" s="142"/>
    </row>
    <row r="282" spans="1:66" x14ac:dyDescent="0.25">
      <c r="A282" s="2">
        <v>540176</v>
      </c>
      <c r="B282" s="2" t="s">
        <v>247</v>
      </c>
      <c r="C282" s="2" t="s">
        <v>75</v>
      </c>
      <c r="D282" s="2" t="s">
        <v>612</v>
      </c>
      <c r="E282" s="2" t="s">
        <v>616</v>
      </c>
      <c r="F282" s="2" t="s">
        <v>613</v>
      </c>
      <c r="G282" s="2">
        <v>3</v>
      </c>
      <c r="H282" s="2">
        <v>0</v>
      </c>
      <c r="I282" s="2">
        <v>2</v>
      </c>
      <c r="J282" s="2">
        <v>5</v>
      </c>
      <c r="K282" s="2">
        <v>197</v>
      </c>
      <c r="L282" s="55">
        <v>0</v>
      </c>
      <c r="M282" s="2">
        <v>118</v>
      </c>
      <c r="N282" s="2" t="s">
        <v>614</v>
      </c>
      <c r="O282" s="2">
        <v>999999</v>
      </c>
      <c r="P282" s="156">
        <v>19370</v>
      </c>
      <c r="Q282" s="2">
        <v>212</v>
      </c>
      <c r="R282" s="157">
        <v>-0.63248252199999999</v>
      </c>
      <c r="S282" s="2">
        <v>219</v>
      </c>
      <c r="T282" s="158">
        <v>0.9</v>
      </c>
      <c r="U282" s="2">
        <v>107</v>
      </c>
      <c r="V282" s="55">
        <v>2</v>
      </c>
      <c r="W282" s="2">
        <v>170</v>
      </c>
      <c r="X282" s="55">
        <v>6</v>
      </c>
      <c r="Y282" s="2">
        <v>197</v>
      </c>
      <c r="Z282" s="2">
        <v>11</v>
      </c>
      <c r="AA282" s="2">
        <v>155</v>
      </c>
      <c r="AB282" s="2">
        <v>4</v>
      </c>
      <c r="AC282" s="2">
        <v>139</v>
      </c>
      <c r="AD282" s="105">
        <v>9</v>
      </c>
      <c r="AE282" s="2">
        <v>160</v>
      </c>
      <c r="AF282" s="55">
        <v>0</v>
      </c>
      <c r="AG282" s="2">
        <v>184</v>
      </c>
      <c r="AH282" s="55">
        <v>0</v>
      </c>
      <c r="AI282" s="2">
        <v>135</v>
      </c>
      <c r="AJ282" s="55">
        <v>0.54759999999999998</v>
      </c>
      <c r="AK282" s="2">
        <v>159</v>
      </c>
      <c r="AL282" s="30">
        <v>42944</v>
      </c>
      <c r="AM282" s="2">
        <v>135</v>
      </c>
      <c r="AN282" s="2">
        <v>47</v>
      </c>
      <c r="AO282" s="2">
        <v>203</v>
      </c>
      <c r="AP282" s="2">
        <v>4</v>
      </c>
      <c r="AQ282" s="2">
        <v>139</v>
      </c>
      <c r="AR282" s="55">
        <v>0</v>
      </c>
      <c r="AS282" s="2">
        <v>184</v>
      </c>
      <c r="AT282" s="159">
        <v>0</v>
      </c>
      <c r="AU282" s="2">
        <v>81</v>
      </c>
      <c r="AV282" s="55">
        <v>1</v>
      </c>
      <c r="AW282" s="2">
        <v>1</v>
      </c>
      <c r="AX282" s="2" t="s">
        <v>615</v>
      </c>
      <c r="AY282" s="2">
        <v>999999</v>
      </c>
      <c r="AZ282" s="106">
        <v>0</v>
      </c>
      <c r="BA282" s="2">
        <v>14</v>
      </c>
      <c r="BB282" s="30" t="s">
        <v>614</v>
      </c>
      <c r="BC282" s="2">
        <v>999999</v>
      </c>
      <c r="BD282" s="160">
        <v>41806</v>
      </c>
      <c r="BE282" s="2">
        <v>1</v>
      </c>
      <c r="BF282" s="55">
        <v>1</v>
      </c>
      <c r="BG282" s="2">
        <v>1</v>
      </c>
      <c r="BH282" s="2">
        <v>1</v>
      </c>
      <c r="BI282" s="2">
        <v>151</v>
      </c>
      <c r="BJ282" s="2">
        <v>47</v>
      </c>
      <c r="BK282" s="2">
        <v>72</v>
      </c>
      <c r="BL282" s="161">
        <v>2891903.9259259258</v>
      </c>
      <c r="BM282" s="2" t="str">
        <f t="shared" si="4"/>
        <v>254/283</v>
      </c>
      <c r="BN282" s="142"/>
    </row>
    <row r="283" spans="1:66" x14ac:dyDescent="0.25">
      <c r="A283" s="2">
        <v>540192</v>
      </c>
      <c r="B283" s="2" t="s">
        <v>343</v>
      </c>
      <c r="C283" s="2" t="s">
        <v>113</v>
      </c>
      <c r="D283" s="2" t="s">
        <v>612</v>
      </c>
      <c r="E283" s="2" t="s">
        <v>616</v>
      </c>
      <c r="F283" s="2" t="s">
        <v>613</v>
      </c>
      <c r="G283" s="2">
        <v>3</v>
      </c>
      <c r="H283" s="2">
        <v>0</v>
      </c>
      <c r="I283" s="2">
        <v>0</v>
      </c>
      <c r="J283" s="2">
        <v>3.4</v>
      </c>
      <c r="K283" s="2">
        <v>220</v>
      </c>
      <c r="L283" s="55">
        <v>0</v>
      </c>
      <c r="M283" s="2">
        <v>118</v>
      </c>
      <c r="N283" s="2" t="s">
        <v>614</v>
      </c>
      <c r="O283" s="2">
        <v>999999</v>
      </c>
      <c r="P283" s="156" t="s">
        <v>614</v>
      </c>
      <c r="Q283" s="2">
        <v>999999</v>
      </c>
      <c r="R283" s="157">
        <v>0.29943795499999998</v>
      </c>
      <c r="S283" s="2">
        <v>112</v>
      </c>
      <c r="T283" s="158">
        <v>0.73</v>
      </c>
      <c r="U283" s="2">
        <v>275</v>
      </c>
      <c r="V283" s="55">
        <v>0</v>
      </c>
      <c r="W283" s="2">
        <v>230</v>
      </c>
      <c r="X283" s="55" t="s">
        <v>614</v>
      </c>
      <c r="Y283" s="2">
        <v>999999</v>
      </c>
      <c r="Z283" s="2">
        <v>13</v>
      </c>
      <c r="AA283" s="2">
        <v>78</v>
      </c>
      <c r="AB283" s="2">
        <v>0</v>
      </c>
      <c r="AC283" s="2">
        <v>222</v>
      </c>
      <c r="AD283" s="105" t="s">
        <v>614</v>
      </c>
      <c r="AE283" s="2">
        <v>999999</v>
      </c>
      <c r="AF283" s="55">
        <v>0</v>
      </c>
      <c r="AG283" s="2">
        <v>184</v>
      </c>
      <c r="AH283" s="55">
        <v>0</v>
      </c>
      <c r="AI283" s="2">
        <v>135</v>
      </c>
      <c r="AJ283" s="55">
        <v>0.32379999999999998</v>
      </c>
      <c r="AK283" s="2">
        <v>35</v>
      </c>
      <c r="AL283" s="30">
        <v>42944</v>
      </c>
      <c r="AM283" s="2">
        <v>135</v>
      </c>
      <c r="AN283" s="2">
        <v>53</v>
      </c>
      <c r="AO283" s="2">
        <v>220</v>
      </c>
      <c r="AP283" s="2">
        <v>0</v>
      </c>
      <c r="AQ283" s="2">
        <v>222</v>
      </c>
      <c r="AR283" s="55">
        <v>0</v>
      </c>
      <c r="AS283" s="2">
        <v>184</v>
      </c>
      <c r="AT283" s="159">
        <v>0</v>
      </c>
      <c r="AU283" s="2">
        <v>81</v>
      </c>
      <c r="AV283" s="55">
        <v>1</v>
      </c>
      <c r="AW283" s="2">
        <v>1</v>
      </c>
      <c r="AX283" s="2" t="s">
        <v>615</v>
      </c>
      <c r="AY283" s="2">
        <v>999999</v>
      </c>
      <c r="AZ283" s="106">
        <v>0</v>
      </c>
      <c r="BA283" s="2">
        <v>14</v>
      </c>
      <c r="BB283" s="30" t="s">
        <v>614</v>
      </c>
      <c r="BC283" s="2">
        <v>999999</v>
      </c>
      <c r="BD283" s="160">
        <v>41806</v>
      </c>
      <c r="BE283" s="2">
        <v>1</v>
      </c>
      <c r="BF283" s="55">
        <v>1</v>
      </c>
      <c r="BG283" s="2">
        <v>1</v>
      </c>
      <c r="BH283" s="2">
        <v>1</v>
      </c>
      <c r="BI283" s="2">
        <v>151</v>
      </c>
      <c r="BJ283" s="2">
        <v>53</v>
      </c>
      <c r="BK283" s="2">
        <v>54</v>
      </c>
      <c r="BL283" s="161">
        <v>5780346.0000000009</v>
      </c>
      <c r="BM283" s="2" t="str">
        <f t="shared" si="4"/>
        <v>268/283</v>
      </c>
      <c r="BN283" s="142"/>
    </row>
    <row r="284" spans="1:66" ht="15.75" thickBot="1" x14ac:dyDescent="0.3">
      <c r="A284" s="2">
        <v>540042</v>
      </c>
      <c r="B284" s="2" t="s">
        <v>143</v>
      </c>
      <c r="C284" s="2" t="s">
        <v>93</v>
      </c>
      <c r="D284" s="2" t="s">
        <v>612</v>
      </c>
      <c r="E284" s="2" t="s">
        <v>611</v>
      </c>
      <c r="F284" s="2" t="s">
        <v>613</v>
      </c>
      <c r="G284" s="2">
        <v>3</v>
      </c>
      <c r="H284" s="2">
        <v>0</v>
      </c>
      <c r="I284" s="2">
        <v>0</v>
      </c>
      <c r="J284" s="2">
        <v>96</v>
      </c>
      <c r="K284" s="2">
        <v>39</v>
      </c>
      <c r="L284" s="55" t="s">
        <v>614</v>
      </c>
      <c r="M284" s="2">
        <v>999999</v>
      </c>
      <c r="N284" s="2" t="s">
        <v>614</v>
      </c>
      <c r="O284" s="2">
        <v>999999</v>
      </c>
      <c r="P284" s="156" t="s">
        <v>614</v>
      </c>
      <c r="Q284" s="2">
        <v>999999</v>
      </c>
      <c r="R284" s="157">
        <v>-0.76612294999999997</v>
      </c>
      <c r="S284" s="2">
        <v>240</v>
      </c>
      <c r="T284" s="158">
        <v>0.89</v>
      </c>
      <c r="U284" s="2">
        <v>153</v>
      </c>
      <c r="V284" s="55" t="s">
        <v>614</v>
      </c>
      <c r="W284" s="2">
        <v>999999</v>
      </c>
      <c r="X284" s="55" t="s">
        <v>614</v>
      </c>
      <c r="Y284" s="2">
        <v>999999</v>
      </c>
      <c r="Z284" s="2">
        <v>9</v>
      </c>
      <c r="AA284" s="2">
        <v>230</v>
      </c>
      <c r="AB284" s="2">
        <v>0</v>
      </c>
      <c r="AC284" s="2">
        <v>222</v>
      </c>
      <c r="AD284" s="105" t="s">
        <v>614</v>
      </c>
      <c r="AE284" s="2">
        <v>999999</v>
      </c>
      <c r="AF284" s="55" t="s">
        <v>614</v>
      </c>
      <c r="AG284" s="2">
        <v>999999</v>
      </c>
      <c r="AH284" s="55">
        <v>0</v>
      </c>
      <c r="AI284" s="2">
        <v>135</v>
      </c>
      <c r="AJ284" s="55">
        <v>0.36930000000000002</v>
      </c>
      <c r="AK284" s="2">
        <v>71</v>
      </c>
      <c r="AL284" s="30">
        <v>43145</v>
      </c>
      <c r="AM284" s="2">
        <v>26</v>
      </c>
      <c r="AN284" s="2">
        <v>18</v>
      </c>
      <c r="AO284" s="2">
        <v>156</v>
      </c>
      <c r="AP284" s="2">
        <v>0</v>
      </c>
      <c r="AQ284" s="2">
        <v>222</v>
      </c>
      <c r="AR284" s="55" t="s">
        <v>614</v>
      </c>
      <c r="AS284" s="2">
        <v>999999</v>
      </c>
      <c r="AT284" s="159">
        <v>0</v>
      </c>
      <c r="AU284" s="2">
        <v>81</v>
      </c>
      <c r="AV284" s="55">
        <v>0</v>
      </c>
      <c r="AW284" s="2">
        <v>194</v>
      </c>
      <c r="AX284" s="2" t="s">
        <v>615</v>
      </c>
      <c r="AY284" s="2">
        <v>999999</v>
      </c>
      <c r="AZ284" s="106">
        <v>0</v>
      </c>
      <c r="BA284" s="2">
        <v>14</v>
      </c>
      <c r="BB284" s="30" t="s">
        <v>614</v>
      </c>
      <c r="BC284" s="2">
        <v>999999</v>
      </c>
      <c r="BD284" s="160" t="s">
        <v>614</v>
      </c>
      <c r="BE284" s="2">
        <v>999999</v>
      </c>
      <c r="BF284" s="55">
        <v>0</v>
      </c>
      <c r="BG284" s="2">
        <v>183</v>
      </c>
      <c r="BH284" s="2">
        <v>0</v>
      </c>
      <c r="BI284" s="2">
        <v>239</v>
      </c>
      <c r="BJ284" s="2">
        <v>18</v>
      </c>
      <c r="BK284" s="2">
        <v>114</v>
      </c>
      <c r="BL284" s="161">
        <v>10594815.11111111</v>
      </c>
      <c r="BM284" s="2" t="str">
        <f t="shared" si="4"/>
        <v>281/283</v>
      </c>
      <c r="BN284" s="192"/>
    </row>
    <row r="285" spans="1:66" ht="15.75" hidden="1" thickTop="1" x14ac:dyDescent="0.25"/>
    <row r="286" spans="1:66" ht="15.75" thickTop="1" x14ac:dyDescent="0.25"/>
    <row r="287" spans="1:66" x14ac:dyDescent="0.25"/>
    <row r="288" spans="1:66" x14ac:dyDescent="0.25"/>
    <row r="289" x14ac:dyDescent="0.25"/>
    <row r="290" x14ac:dyDescent="0.25"/>
    <row r="291" x14ac:dyDescent="0.25"/>
  </sheetData>
  <hyperlinks>
    <hyperlink ref="BP3"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60"/>
  <sheetViews>
    <sheetView topLeftCell="R1" workbookViewId="0">
      <selection activeCell="AB9" sqref="AB9"/>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11.140625" bestFit="1" customWidth="1"/>
    <col min="7" max="7" width="19" bestFit="1" customWidth="1"/>
    <col min="8" max="8" width="15.5703125" bestFit="1" customWidth="1"/>
    <col min="9" max="9" width="22.28515625" bestFit="1" customWidth="1"/>
    <col min="10" max="10" width="9" bestFit="1" customWidth="1"/>
    <col min="11" max="11" width="15.5703125" bestFit="1" customWidth="1"/>
    <col min="12" max="12" width="11.28515625" bestFit="1" customWidth="1"/>
    <col min="13" max="13" width="18" bestFit="1" customWidth="1"/>
    <col min="14" max="14" width="11.85546875" bestFit="1" customWidth="1"/>
    <col min="15" max="15" width="18.5703125" bestFit="1" customWidth="1"/>
    <col min="16" max="16" width="14.140625" bestFit="1" customWidth="1"/>
    <col min="17" max="17" width="35.85546875" bestFit="1" customWidth="1"/>
    <col min="18" max="18" width="37" bestFit="1" customWidth="1"/>
    <col min="19" max="19" width="15.28515625" bestFit="1" customWidth="1"/>
    <col min="20" max="20" width="22" bestFit="1" customWidth="1"/>
    <col min="21" max="21" width="12.85546875" bestFit="1" customWidth="1"/>
    <col min="22" max="22" width="19.5703125" bestFit="1" customWidth="1"/>
    <col min="23" max="23" width="15.42578125" bestFit="1" customWidth="1"/>
    <col min="24" max="24" width="22.140625" bestFit="1" customWidth="1"/>
    <col min="27" max="27" width="117.42578125" bestFit="1" customWidth="1"/>
  </cols>
  <sheetData>
    <row r="1" spans="1:27" s="119" customFormat="1" x14ac:dyDescent="0.25">
      <c r="A1" s="181" t="s">
        <v>0</v>
      </c>
      <c r="B1" s="181" t="s">
        <v>1</v>
      </c>
      <c r="C1" s="181" t="s">
        <v>2</v>
      </c>
      <c r="D1" s="181" t="s">
        <v>512</v>
      </c>
      <c r="E1" s="181" t="s">
        <v>403</v>
      </c>
      <c r="F1" s="181" t="s">
        <v>2273</v>
      </c>
      <c r="G1" s="181" t="s">
        <v>2274</v>
      </c>
      <c r="H1" s="181" t="s">
        <v>2275</v>
      </c>
      <c r="I1" s="181" t="s">
        <v>2276</v>
      </c>
      <c r="J1" s="181" t="s">
        <v>2277</v>
      </c>
      <c r="K1" s="351" t="s">
        <v>2278</v>
      </c>
      <c r="L1" s="181" t="s">
        <v>2279</v>
      </c>
      <c r="M1" s="181" t="s">
        <v>2280</v>
      </c>
      <c r="N1" s="181" t="s">
        <v>2281</v>
      </c>
      <c r="O1" s="181" t="s">
        <v>2282</v>
      </c>
      <c r="P1" s="181" t="s">
        <v>2283</v>
      </c>
      <c r="Q1" s="181" t="s">
        <v>2263</v>
      </c>
      <c r="R1" s="181" t="s">
        <v>2264</v>
      </c>
      <c r="S1" s="181" t="s">
        <v>2284</v>
      </c>
      <c r="T1" s="181" t="s">
        <v>2285</v>
      </c>
      <c r="U1" s="181" t="s">
        <v>2286</v>
      </c>
      <c r="V1" s="181" t="s">
        <v>2287</v>
      </c>
      <c r="W1" s="181" t="s">
        <v>2288</v>
      </c>
      <c r="X1" s="181" t="s">
        <v>2289</v>
      </c>
      <c r="Z1" s="119" t="s">
        <v>5539</v>
      </c>
    </row>
    <row r="2" spans="1:27" x14ac:dyDescent="0.25">
      <c r="A2" s="117">
        <v>540001</v>
      </c>
      <c r="B2" s="2" t="s">
        <v>3</v>
      </c>
      <c r="C2" s="2" t="s">
        <v>4</v>
      </c>
      <c r="D2" s="2" t="s">
        <v>5</v>
      </c>
      <c r="E2" s="117">
        <v>7</v>
      </c>
      <c r="F2" s="117">
        <v>654</v>
      </c>
      <c r="G2" s="117">
        <v>57.8</v>
      </c>
      <c r="H2" s="117">
        <v>0</v>
      </c>
      <c r="I2" s="158">
        <v>0</v>
      </c>
      <c r="J2" s="117">
        <v>2.5</v>
      </c>
      <c r="K2" s="267">
        <v>4.3299999999999998E-2</v>
      </c>
      <c r="L2" s="117">
        <v>4.9000000000000004</v>
      </c>
      <c r="M2" s="267">
        <v>8.48E-2</v>
      </c>
      <c r="N2" s="117">
        <v>50.3</v>
      </c>
      <c r="O2" s="158">
        <v>0.87019999999999997</v>
      </c>
      <c r="P2" s="117">
        <v>33.299999999999997</v>
      </c>
      <c r="Q2" s="267">
        <v>0.57609999999999995</v>
      </c>
      <c r="R2" s="158">
        <v>5.0900000000000001E-2</v>
      </c>
      <c r="S2" s="117">
        <v>4.9000000000000004</v>
      </c>
      <c r="T2" s="267">
        <v>0.14710000000000001</v>
      </c>
      <c r="U2" s="117">
        <v>7.6</v>
      </c>
      <c r="V2" s="267">
        <v>0.22819999999999999</v>
      </c>
      <c r="W2" s="117">
        <v>20.8</v>
      </c>
      <c r="X2" s="267">
        <v>0.62460000000000004</v>
      </c>
      <c r="Z2" s="206" t="s">
        <v>1325</v>
      </c>
      <c r="AA2" s="62" t="s">
        <v>5540</v>
      </c>
    </row>
    <row r="3" spans="1:27" x14ac:dyDescent="0.25">
      <c r="A3" s="117">
        <v>540002</v>
      </c>
      <c r="B3" s="2" t="s">
        <v>114</v>
      </c>
      <c r="C3" s="2" t="s">
        <v>4</v>
      </c>
      <c r="D3" s="2" t="s">
        <v>115</v>
      </c>
      <c r="E3" s="117">
        <v>7</v>
      </c>
      <c r="F3" s="117">
        <v>14.5</v>
      </c>
      <c r="G3" s="117">
        <v>2.1</v>
      </c>
      <c r="H3" s="117">
        <v>0</v>
      </c>
      <c r="I3" s="158">
        <v>0</v>
      </c>
      <c r="J3" s="117">
        <v>0.7</v>
      </c>
      <c r="K3" s="267">
        <v>0.33329999999999999</v>
      </c>
      <c r="L3" s="117">
        <v>0.3</v>
      </c>
      <c r="M3" s="267">
        <v>0.1429</v>
      </c>
      <c r="N3" s="117">
        <v>1.1000000000000001</v>
      </c>
      <c r="O3" s="158">
        <v>0.52380000000000004</v>
      </c>
      <c r="P3" s="117">
        <v>0</v>
      </c>
      <c r="Q3" s="267">
        <v>0</v>
      </c>
      <c r="R3" s="158">
        <v>0</v>
      </c>
      <c r="S3" s="117">
        <v>0</v>
      </c>
      <c r="T3" s="267" t="s">
        <v>488</v>
      </c>
      <c r="U3" s="117">
        <v>0</v>
      </c>
      <c r="V3" s="267" t="s">
        <v>488</v>
      </c>
      <c r="W3" s="117">
        <v>0</v>
      </c>
      <c r="X3" s="267" t="s">
        <v>488</v>
      </c>
      <c r="Z3" s="206" t="s">
        <v>1326</v>
      </c>
      <c r="AA3" s="393" t="s">
        <v>5623</v>
      </c>
    </row>
    <row r="4" spans="1:27" x14ac:dyDescent="0.25">
      <c r="A4" s="117">
        <v>540003</v>
      </c>
      <c r="B4" s="2" t="s">
        <v>116</v>
      </c>
      <c r="C4" s="2" t="s">
        <v>4</v>
      </c>
      <c r="D4" s="2" t="s">
        <v>115</v>
      </c>
      <c r="E4" s="117">
        <v>7</v>
      </c>
      <c r="F4" s="117">
        <v>5.9</v>
      </c>
      <c r="G4" s="117">
        <v>0.8</v>
      </c>
      <c r="H4" s="117">
        <v>0</v>
      </c>
      <c r="I4" s="158">
        <v>0</v>
      </c>
      <c r="J4" s="117">
        <v>0.1</v>
      </c>
      <c r="K4" s="267">
        <v>0.125</v>
      </c>
      <c r="L4" s="117">
        <v>0</v>
      </c>
      <c r="M4" s="267">
        <v>0</v>
      </c>
      <c r="N4" s="117">
        <v>0.8</v>
      </c>
      <c r="O4" s="158">
        <v>1</v>
      </c>
      <c r="P4" s="117">
        <v>0.8</v>
      </c>
      <c r="Q4" s="267">
        <v>1</v>
      </c>
      <c r="R4" s="158">
        <v>0.1356</v>
      </c>
      <c r="S4" s="117">
        <v>0.1</v>
      </c>
      <c r="T4" s="267">
        <v>0.125</v>
      </c>
      <c r="U4" s="117">
        <v>0.1</v>
      </c>
      <c r="V4" s="267">
        <v>0.125</v>
      </c>
      <c r="W4" s="117">
        <v>0.6</v>
      </c>
      <c r="X4" s="267">
        <v>0.75</v>
      </c>
    </row>
    <row r="5" spans="1:27" x14ac:dyDescent="0.25">
      <c r="A5" s="117">
        <v>540004</v>
      </c>
      <c r="B5" s="2" t="s">
        <v>117</v>
      </c>
      <c r="C5" s="2" t="s">
        <v>4</v>
      </c>
      <c r="D5" s="2" t="s">
        <v>115</v>
      </c>
      <c r="E5" s="117">
        <v>7</v>
      </c>
      <c r="F5" s="117">
        <v>27.8</v>
      </c>
      <c r="G5" s="117">
        <v>3.8</v>
      </c>
      <c r="H5" s="117">
        <v>0</v>
      </c>
      <c r="I5" s="158">
        <v>0</v>
      </c>
      <c r="J5" s="117">
        <v>2.2000000000000002</v>
      </c>
      <c r="K5" s="267">
        <v>0.57889999999999997</v>
      </c>
      <c r="L5" s="117">
        <v>0</v>
      </c>
      <c r="M5" s="267">
        <v>0</v>
      </c>
      <c r="N5" s="117">
        <v>1.6</v>
      </c>
      <c r="O5" s="158">
        <v>0.42109999999999997</v>
      </c>
      <c r="P5" s="117">
        <v>0.5</v>
      </c>
      <c r="Q5" s="267">
        <v>0.13159999999999999</v>
      </c>
      <c r="R5" s="158">
        <v>1.7999999999999999E-2</v>
      </c>
      <c r="S5" s="117">
        <v>0</v>
      </c>
      <c r="T5" s="267">
        <v>0</v>
      </c>
      <c r="U5" s="117">
        <v>0.1</v>
      </c>
      <c r="V5" s="267">
        <v>0.2</v>
      </c>
      <c r="W5" s="117">
        <v>0.4</v>
      </c>
      <c r="X5" s="267">
        <v>0.8</v>
      </c>
    </row>
    <row r="6" spans="1:27" x14ac:dyDescent="0.25">
      <c r="A6" s="269"/>
      <c r="B6" s="269"/>
      <c r="C6" s="269" t="s">
        <v>4</v>
      </c>
      <c r="D6" s="269"/>
      <c r="E6" s="269"/>
      <c r="F6" s="270">
        <v>702.2</v>
      </c>
      <c r="G6" s="270">
        <v>64.5</v>
      </c>
      <c r="H6" s="270">
        <v>0</v>
      </c>
      <c r="I6" s="352">
        <v>0</v>
      </c>
      <c r="J6" s="270">
        <v>5.5</v>
      </c>
      <c r="K6" s="271">
        <v>8.5300000000000001E-2</v>
      </c>
      <c r="L6" s="270">
        <v>5.2</v>
      </c>
      <c r="M6" s="271">
        <v>8.0600000000000005E-2</v>
      </c>
      <c r="N6" s="270">
        <v>53.8</v>
      </c>
      <c r="O6" s="352">
        <v>0.83409999999999995</v>
      </c>
      <c r="P6" s="270">
        <v>34.6</v>
      </c>
      <c r="Q6" s="271">
        <v>0.53639999999999999</v>
      </c>
      <c r="R6" s="352">
        <v>4.9299999999999997E-2</v>
      </c>
      <c r="S6" s="270">
        <v>5</v>
      </c>
      <c r="T6" s="271">
        <v>0.14449999999999999</v>
      </c>
      <c r="U6" s="270">
        <v>7.8</v>
      </c>
      <c r="V6" s="271">
        <v>0.22539999999999999</v>
      </c>
      <c r="W6" s="270">
        <v>21.8</v>
      </c>
      <c r="X6" s="271">
        <v>0.63009999999999999</v>
      </c>
    </row>
    <row r="7" spans="1:27" x14ac:dyDescent="0.25">
      <c r="A7" s="117">
        <v>540007</v>
      </c>
      <c r="B7" s="2" t="s">
        <v>6</v>
      </c>
      <c r="C7" s="2" t="s">
        <v>7</v>
      </c>
      <c r="D7" s="2" t="s">
        <v>5</v>
      </c>
      <c r="E7" s="117">
        <v>3</v>
      </c>
      <c r="F7" s="117">
        <v>413.8</v>
      </c>
      <c r="G7" s="117">
        <v>137.4</v>
      </c>
      <c r="H7" s="117">
        <v>0</v>
      </c>
      <c r="I7" s="158">
        <v>0</v>
      </c>
      <c r="J7" s="117">
        <v>6.2</v>
      </c>
      <c r="K7" s="267">
        <v>4.5100000000000001E-2</v>
      </c>
      <c r="L7" s="117">
        <v>30.8</v>
      </c>
      <c r="M7" s="267">
        <v>0.22420000000000001</v>
      </c>
      <c r="N7" s="117">
        <v>100.3</v>
      </c>
      <c r="O7" s="158">
        <v>0.73</v>
      </c>
      <c r="P7" s="117">
        <v>53.1</v>
      </c>
      <c r="Q7" s="267">
        <v>0.38650000000000001</v>
      </c>
      <c r="R7" s="158">
        <v>0.1283</v>
      </c>
      <c r="S7" s="117">
        <v>14</v>
      </c>
      <c r="T7" s="267">
        <v>0.26369999999999999</v>
      </c>
      <c r="U7" s="117">
        <v>25.3</v>
      </c>
      <c r="V7" s="267">
        <v>0.47649999999999998</v>
      </c>
      <c r="W7" s="117">
        <v>13.8</v>
      </c>
      <c r="X7" s="267">
        <v>0.25990000000000002</v>
      </c>
    </row>
    <row r="8" spans="1:27" x14ac:dyDescent="0.25">
      <c r="A8" s="117">
        <v>540008</v>
      </c>
      <c r="B8" s="2" t="s">
        <v>120</v>
      </c>
      <c r="C8" s="2" t="s">
        <v>7</v>
      </c>
      <c r="D8" s="2" t="s">
        <v>115</v>
      </c>
      <c r="E8" s="117">
        <v>3</v>
      </c>
      <c r="F8" s="117">
        <v>10.1</v>
      </c>
      <c r="G8" s="117">
        <v>3.2</v>
      </c>
      <c r="H8" s="117">
        <v>0</v>
      </c>
      <c r="I8" s="158">
        <v>0</v>
      </c>
      <c r="J8" s="117">
        <v>0</v>
      </c>
      <c r="K8" s="267">
        <v>0</v>
      </c>
      <c r="L8" s="117">
        <v>1</v>
      </c>
      <c r="M8" s="267">
        <v>0.3125</v>
      </c>
      <c r="N8" s="117">
        <v>2.1</v>
      </c>
      <c r="O8" s="158">
        <v>0.65629999999999999</v>
      </c>
      <c r="P8" s="117">
        <v>0</v>
      </c>
      <c r="Q8" s="267">
        <v>0</v>
      </c>
      <c r="R8" s="158">
        <v>0</v>
      </c>
      <c r="S8" s="117">
        <v>0</v>
      </c>
      <c r="T8" s="267" t="s">
        <v>488</v>
      </c>
      <c r="U8" s="117">
        <v>0</v>
      </c>
      <c r="V8" s="267" t="s">
        <v>488</v>
      </c>
      <c r="W8" s="117">
        <v>0</v>
      </c>
      <c r="X8" s="267" t="s">
        <v>488</v>
      </c>
    </row>
    <row r="9" spans="1:27" x14ac:dyDescent="0.25">
      <c r="A9" s="117">
        <v>540229</v>
      </c>
      <c r="B9" s="2" t="s">
        <v>279</v>
      </c>
      <c r="C9" s="2" t="s">
        <v>7</v>
      </c>
      <c r="D9" s="2" t="s">
        <v>115</v>
      </c>
      <c r="E9" s="117">
        <v>3</v>
      </c>
      <c r="F9" s="117">
        <v>2.9</v>
      </c>
      <c r="G9" s="117">
        <v>0.9</v>
      </c>
      <c r="H9" s="117">
        <v>0</v>
      </c>
      <c r="I9" s="158">
        <v>0</v>
      </c>
      <c r="J9" s="117">
        <v>0</v>
      </c>
      <c r="K9" s="267">
        <v>0</v>
      </c>
      <c r="L9" s="117">
        <v>0.8</v>
      </c>
      <c r="M9" s="267">
        <v>0.88890000000000002</v>
      </c>
      <c r="N9" s="117">
        <v>0.1</v>
      </c>
      <c r="O9" s="158">
        <v>0.1111</v>
      </c>
      <c r="P9" s="117">
        <v>0</v>
      </c>
      <c r="Q9" s="267">
        <v>0</v>
      </c>
      <c r="R9" s="158">
        <v>0</v>
      </c>
      <c r="S9" s="117">
        <v>0</v>
      </c>
      <c r="T9" s="267" t="s">
        <v>488</v>
      </c>
      <c r="U9" s="117">
        <v>0</v>
      </c>
      <c r="V9" s="267" t="s">
        <v>488</v>
      </c>
      <c r="W9" s="117">
        <v>0</v>
      </c>
      <c r="X9" s="267" t="s">
        <v>488</v>
      </c>
    </row>
    <row r="10" spans="1:27" x14ac:dyDescent="0.25">
      <c r="A10" s="117">
        <v>540230</v>
      </c>
      <c r="B10" s="2" t="s">
        <v>280</v>
      </c>
      <c r="C10" s="2" t="s">
        <v>7</v>
      </c>
      <c r="D10" s="2" t="s">
        <v>115</v>
      </c>
      <c r="E10" s="117">
        <v>3</v>
      </c>
      <c r="F10" s="117">
        <v>8.1</v>
      </c>
      <c r="G10" s="117">
        <v>3.5</v>
      </c>
      <c r="H10" s="117">
        <v>0</v>
      </c>
      <c r="I10" s="158">
        <v>0</v>
      </c>
      <c r="J10" s="117">
        <v>0.5</v>
      </c>
      <c r="K10" s="267">
        <v>0.1429</v>
      </c>
      <c r="L10" s="117">
        <v>0.3</v>
      </c>
      <c r="M10" s="267">
        <v>8.5699999999999998E-2</v>
      </c>
      <c r="N10" s="117">
        <v>2.7</v>
      </c>
      <c r="O10" s="158">
        <v>0.77139999999999997</v>
      </c>
      <c r="P10" s="117">
        <v>0.8</v>
      </c>
      <c r="Q10" s="267">
        <v>0.2286</v>
      </c>
      <c r="R10" s="158">
        <v>9.8799999999999999E-2</v>
      </c>
      <c r="S10" s="117">
        <v>0.1</v>
      </c>
      <c r="T10" s="267">
        <v>0.125</v>
      </c>
      <c r="U10" s="117">
        <v>0.2</v>
      </c>
      <c r="V10" s="267">
        <v>0.25</v>
      </c>
      <c r="W10" s="117">
        <v>0.5</v>
      </c>
      <c r="X10" s="267">
        <v>0.625</v>
      </c>
    </row>
    <row r="11" spans="1:27" x14ac:dyDescent="0.25">
      <c r="A11" s="117">
        <v>540238</v>
      </c>
      <c r="B11" s="2" t="s">
        <v>286</v>
      </c>
      <c r="C11" s="2" t="s">
        <v>7</v>
      </c>
      <c r="D11" s="2" t="s">
        <v>115</v>
      </c>
      <c r="E11" s="117">
        <v>3</v>
      </c>
      <c r="F11" s="117">
        <v>1.4</v>
      </c>
      <c r="G11" s="117">
        <v>1</v>
      </c>
      <c r="H11" s="117">
        <v>0</v>
      </c>
      <c r="I11" s="158">
        <v>0</v>
      </c>
      <c r="J11" s="117">
        <v>0</v>
      </c>
      <c r="K11" s="267">
        <v>0</v>
      </c>
      <c r="L11" s="117">
        <v>0</v>
      </c>
      <c r="M11" s="267">
        <v>0</v>
      </c>
      <c r="N11" s="117">
        <v>1</v>
      </c>
      <c r="O11" s="158">
        <v>1</v>
      </c>
      <c r="P11" s="117">
        <v>0</v>
      </c>
      <c r="Q11" s="267">
        <v>0</v>
      </c>
      <c r="R11" s="158">
        <v>0</v>
      </c>
      <c r="S11" s="117">
        <v>0</v>
      </c>
      <c r="T11" s="267" t="s">
        <v>488</v>
      </c>
      <c r="U11" s="117">
        <v>0</v>
      </c>
      <c r="V11" s="267" t="s">
        <v>488</v>
      </c>
      <c r="W11" s="117">
        <v>0</v>
      </c>
      <c r="X11" s="267" t="s">
        <v>488</v>
      </c>
    </row>
    <row r="12" spans="1:27" x14ac:dyDescent="0.25">
      <c r="A12" s="269"/>
      <c r="B12" s="269"/>
      <c r="C12" s="269" t="s">
        <v>7</v>
      </c>
      <c r="D12" s="269"/>
      <c r="E12" s="269"/>
      <c r="F12" s="270">
        <v>436.3</v>
      </c>
      <c r="G12" s="270">
        <v>146</v>
      </c>
      <c r="H12" s="270">
        <v>0</v>
      </c>
      <c r="I12" s="352">
        <v>0</v>
      </c>
      <c r="J12" s="270">
        <v>6.7</v>
      </c>
      <c r="K12" s="271">
        <v>4.5900000000000003E-2</v>
      </c>
      <c r="L12" s="270">
        <v>32.9</v>
      </c>
      <c r="M12" s="271">
        <v>0.2253</v>
      </c>
      <c r="N12" s="270">
        <v>106.2</v>
      </c>
      <c r="O12" s="352">
        <v>0.72740000000000005</v>
      </c>
      <c r="P12" s="270">
        <v>53.9</v>
      </c>
      <c r="Q12" s="271">
        <v>0.36919999999999997</v>
      </c>
      <c r="R12" s="352">
        <v>0.1235</v>
      </c>
      <c r="S12" s="270">
        <v>14.1</v>
      </c>
      <c r="T12" s="271">
        <v>0.2616</v>
      </c>
      <c r="U12" s="270">
        <v>25.5</v>
      </c>
      <c r="V12" s="271">
        <v>0.47310000000000002</v>
      </c>
      <c r="W12" s="270">
        <v>14.3</v>
      </c>
      <c r="X12" s="271">
        <v>0.26529999999999998</v>
      </c>
    </row>
    <row r="13" spans="1:27" x14ac:dyDescent="0.25">
      <c r="A13" s="117">
        <v>540009</v>
      </c>
      <c r="B13" s="2" t="s">
        <v>8</v>
      </c>
      <c r="C13" s="2" t="s">
        <v>9</v>
      </c>
      <c r="D13" s="2" t="s">
        <v>5</v>
      </c>
      <c r="E13" s="117">
        <v>7</v>
      </c>
      <c r="F13" s="117">
        <v>862.2</v>
      </c>
      <c r="G13" s="117">
        <v>74</v>
      </c>
      <c r="H13" s="117">
        <v>1.8</v>
      </c>
      <c r="I13" s="158">
        <v>2.4299999999999999E-2</v>
      </c>
      <c r="J13" s="117">
        <v>6.4</v>
      </c>
      <c r="K13" s="267">
        <v>8.6499999999999994E-2</v>
      </c>
      <c r="L13" s="117">
        <v>4.7</v>
      </c>
      <c r="M13" s="267">
        <v>6.3500000000000001E-2</v>
      </c>
      <c r="N13" s="117">
        <v>61.2</v>
      </c>
      <c r="O13" s="158">
        <v>0.82699999999999996</v>
      </c>
      <c r="P13" s="117">
        <v>0</v>
      </c>
      <c r="Q13" s="267">
        <v>0</v>
      </c>
      <c r="R13" s="158">
        <v>0</v>
      </c>
      <c r="S13" s="117">
        <v>0</v>
      </c>
      <c r="T13" s="267" t="s">
        <v>488</v>
      </c>
      <c r="U13" s="117">
        <v>0</v>
      </c>
      <c r="V13" s="267" t="s">
        <v>488</v>
      </c>
      <c r="W13" s="117">
        <v>0</v>
      </c>
      <c r="X13" s="267" t="s">
        <v>488</v>
      </c>
    </row>
    <row r="14" spans="1:27" x14ac:dyDescent="0.25">
      <c r="A14" s="117">
        <v>540010</v>
      </c>
      <c r="B14" s="2" t="s">
        <v>121</v>
      </c>
      <c r="C14" s="2" t="s">
        <v>9</v>
      </c>
      <c r="D14" s="2" t="s">
        <v>115</v>
      </c>
      <c r="E14" s="117">
        <v>7</v>
      </c>
      <c r="F14" s="117">
        <v>9.1</v>
      </c>
      <c r="G14" s="117">
        <v>1.3</v>
      </c>
      <c r="H14" s="117">
        <v>0.7</v>
      </c>
      <c r="I14" s="158">
        <v>0.53849999999999998</v>
      </c>
      <c r="J14" s="117">
        <v>0</v>
      </c>
      <c r="K14" s="267">
        <v>0</v>
      </c>
      <c r="L14" s="117">
        <v>0</v>
      </c>
      <c r="M14" s="267">
        <v>0</v>
      </c>
      <c r="N14" s="117">
        <v>0.6</v>
      </c>
      <c r="O14" s="158">
        <v>0.46150000000000002</v>
      </c>
      <c r="P14" s="117">
        <v>0</v>
      </c>
      <c r="Q14" s="267">
        <v>0</v>
      </c>
      <c r="R14" s="158">
        <v>0</v>
      </c>
      <c r="S14" s="117">
        <v>0</v>
      </c>
      <c r="T14" s="267" t="s">
        <v>488</v>
      </c>
      <c r="U14" s="117">
        <v>0</v>
      </c>
      <c r="V14" s="267" t="s">
        <v>488</v>
      </c>
      <c r="W14" s="117">
        <v>0</v>
      </c>
      <c r="X14" s="267" t="s">
        <v>488</v>
      </c>
    </row>
    <row r="15" spans="1:27" x14ac:dyDescent="0.25">
      <c r="A15" s="117">
        <v>540235</v>
      </c>
      <c r="B15" s="2" t="s">
        <v>283</v>
      </c>
      <c r="C15" s="2" t="s">
        <v>9</v>
      </c>
      <c r="D15" s="2" t="s">
        <v>115</v>
      </c>
      <c r="E15" s="117">
        <v>7</v>
      </c>
      <c r="F15" s="117">
        <v>5.7</v>
      </c>
      <c r="G15" s="117">
        <v>0</v>
      </c>
      <c r="H15" s="117">
        <v>0</v>
      </c>
      <c r="I15" s="267" t="s">
        <v>488</v>
      </c>
      <c r="J15" s="117">
        <v>0</v>
      </c>
      <c r="K15" s="267" t="s">
        <v>488</v>
      </c>
      <c r="L15" s="117">
        <v>0</v>
      </c>
      <c r="M15" s="267" t="s">
        <v>488</v>
      </c>
      <c r="N15" s="117">
        <v>0</v>
      </c>
      <c r="O15" s="267" t="s">
        <v>488</v>
      </c>
      <c r="P15" s="117">
        <v>0</v>
      </c>
      <c r="Q15" s="267" t="s">
        <v>488</v>
      </c>
      <c r="R15" s="158">
        <v>0</v>
      </c>
      <c r="S15" s="117">
        <v>0</v>
      </c>
      <c r="T15" s="267" t="s">
        <v>488</v>
      </c>
      <c r="U15" s="117">
        <v>0</v>
      </c>
      <c r="V15" s="267" t="s">
        <v>488</v>
      </c>
      <c r="W15" s="117">
        <v>0</v>
      </c>
      <c r="X15" s="267" t="s">
        <v>488</v>
      </c>
    </row>
    <row r="16" spans="1:27" x14ac:dyDescent="0.25">
      <c r="A16" s="117">
        <v>540236</v>
      </c>
      <c r="B16" s="2" t="s">
        <v>284</v>
      </c>
      <c r="C16" s="2" t="s">
        <v>9</v>
      </c>
      <c r="D16" s="2" t="s">
        <v>115</v>
      </c>
      <c r="E16" s="117">
        <v>7</v>
      </c>
      <c r="F16" s="117">
        <v>9.4</v>
      </c>
      <c r="G16" s="117">
        <v>0.5</v>
      </c>
      <c r="H16" s="117">
        <v>0</v>
      </c>
      <c r="I16" s="158">
        <v>0</v>
      </c>
      <c r="J16" s="117">
        <v>0</v>
      </c>
      <c r="K16" s="267">
        <v>0</v>
      </c>
      <c r="L16" s="117">
        <v>0.1</v>
      </c>
      <c r="M16" s="267">
        <v>0.2</v>
      </c>
      <c r="N16" s="117">
        <v>0.4</v>
      </c>
      <c r="O16" s="158">
        <v>0.8</v>
      </c>
      <c r="P16" s="117">
        <v>0</v>
      </c>
      <c r="Q16" s="267">
        <v>0</v>
      </c>
      <c r="R16" s="158">
        <v>0</v>
      </c>
      <c r="S16" s="117">
        <v>0</v>
      </c>
      <c r="T16" s="267" t="s">
        <v>488</v>
      </c>
      <c r="U16" s="117">
        <v>0</v>
      </c>
      <c r="V16" s="267" t="s">
        <v>488</v>
      </c>
      <c r="W16" s="117">
        <v>0</v>
      </c>
      <c r="X16" s="267" t="s">
        <v>488</v>
      </c>
    </row>
    <row r="17" spans="1:24" x14ac:dyDescent="0.25">
      <c r="A17" s="117">
        <v>540237</v>
      </c>
      <c r="B17" s="2" t="s">
        <v>285</v>
      </c>
      <c r="C17" s="2" t="s">
        <v>9</v>
      </c>
      <c r="D17" s="2" t="s">
        <v>115</v>
      </c>
      <c r="E17" s="117">
        <v>7</v>
      </c>
      <c r="F17" s="117">
        <v>9.8000000000000007</v>
      </c>
      <c r="G17" s="117">
        <v>0.8</v>
      </c>
      <c r="H17" s="117">
        <v>0</v>
      </c>
      <c r="I17" s="158">
        <v>0</v>
      </c>
      <c r="J17" s="117">
        <v>0</v>
      </c>
      <c r="K17" s="267">
        <v>0</v>
      </c>
      <c r="L17" s="117">
        <v>0.1</v>
      </c>
      <c r="M17" s="267">
        <v>0.125</v>
      </c>
      <c r="N17" s="117">
        <v>0.7</v>
      </c>
      <c r="O17" s="158">
        <v>0.875</v>
      </c>
      <c r="P17" s="117">
        <v>0</v>
      </c>
      <c r="Q17" s="267">
        <v>0</v>
      </c>
      <c r="R17" s="158">
        <v>0</v>
      </c>
      <c r="S17" s="117">
        <v>0</v>
      </c>
      <c r="T17" s="267" t="s">
        <v>488</v>
      </c>
      <c r="U17" s="117">
        <v>0</v>
      </c>
      <c r="V17" s="267" t="s">
        <v>488</v>
      </c>
      <c r="W17" s="117">
        <v>0</v>
      </c>
      <c r="X17" s="267" t="s">
        <v>488</v>
      </c>
    </row>
    <row r="18" spans="1:24" x14ac:dyDescent="0.25">
      <c r="A18" s="269"/>
      <c r="B18" s="269"/>
      <c r="C18" s="269" t="s">
        <v>9</v>
      </c>
      <c r="D18" s="269"/>
      <c r="E18" s="269"/>
      <c r="F18" s="270">
        <v>896.2</v>
      </c>
      <c r="G18" s="270">
        <v>76.599999999999994</v>
      </c>
      <c r="H18" s="270">
        <v>2.5</v>
      </c>
      <c r="I18" s="352">
        <v>3.2599999999999997E-2</v>
      </c>
      <c r="J18" s="270">
        <v>6.4</v>
      </c>
      <c r="K18" s="271">
        <v>8.3599999999999994E-2</v>
      </c>
      <c r="L18" s="270">
        <v>4.9000000000000004</v>
      </c>
      <c r="M18" s="271">
        <v>6.4000000000000001E-2</v>
      </c>
      <c r="N18" s="270">
        <v>62.9</v>
      </c>
      <c r="O18" s="352">
        <v>0.82110000000000005</v>
      </c>
      <c r="P18" s="270">
        <v>0</v>
      </c>
      <c r="Q18" s="271">
        <v>0</v>
      </c>
      <c r="R18" s="352">
        <v>0</v>
      </c>
      <c r="S18" s="270">
        <v>0</v>
      </c>
      <c r="T18" s="271" t="s">
        <v>488</v>
      </c>
      <c r="U18" s="270">
        <v>0</v>
      </c>
      <c r="V18" s="271" t="s">
        <v>488</v>
      </c>
      <c r="W18" s="270">
        <v>0</v>
      </c>
      <c r="X18" s="271" t="s">
        <v>488</v>
      </c>
    </row>
    <row r="19" spans="1:24" x14ac:dyDescent="0.25">
      <c r="A19" s="117">
        <v>540011</v>
      </c>
      <c r="B19" s="2" t="s">
        <v>10</v>
      </c>
      <c r="C19" s="2" t="s">
        <v>11</v>
      </c>
      <c r="D19" s="2" t="s">
        <v>5</v>
      </c>
      <c r="E19" s="117">
        <v>11</v>
      </c>
      <c r="F19" s="117">
        <v>201.9</v>
      </c>
      <c r="G19" s="117">
        <v>14.6</v>
      </c>
      <c r="H19" s="117">
        <v>0</v>
      </c>
      <c r="I19" s="158">
        <v>0</v>
      </c>
      <c r="J19" s="117">
        <v>0</v>
      </c>
      <c r="K19" s="267">
        <v>0</v>
      </c>
      <c r="L19" s="117">
        <v>4.2</v>
      </c>
      <c r="M19" s="267">
        <v>0.28770000000000001</v>
      </c>
      <c r="N19" s="117">
        <v>10.3</v>
      </c>
      <c r="O19" s="158">
        <v>0.70550000000000002</v>
      </c>
      <c r="P19" s="117">
        <v>8.9</v>
      </c>
      <c r="Q19" s="267">
        <v>0.60960000000000003</v>
      </c>
      <c r="R19" s="158">
        <v>4.41E-2</v>
      </c>
      <c r="S19" s="117">
        <v>1.5</v>
      </c>
      <c r="T19" s="267">
        <v>0.16850000000000001</v>
      </c>
      <c r="U19" s="117">
        <v>3.3</v>
      </c>
      <c r="V19" s="267">
        <v>0.37080000000000002</v>
      </c>
      <c r="W19" s="117">
        <v>4.0999999999999996</v>
      </c>
      <c r="X19" s="267">
        <v>0.4607</v>
      </c>
    </row>
    <row r="20" spans="1:24" x14ac:dyDescent="0.25">
      <c r="A20" s="117">
        <v>540012</v>
      </c>
      <c r="B20" s="2" t="s">
        <v>122</v>
      </c>
      <c r="C20" s="2" t="s">
        <v>11</v>
      </c>
      <c r="D20" s="2" t="s">
        <v>115</v>
      </c>
      <c r="E20" s="117">
        <v>11</v>
      </c>
      <c r="F20" s="117">
        <v>4.3</v>
      </c>
      <c r="G20" s="117">
        <v>0.1</v>
      </c>
      <c r="H20" s="117">
        <v>0</v>
      </c>
      <c r="I20" s="158">
        <v>0</v>
      </c>
      <c r="J20" s="117">
        <v>0</v>
      </c>
      <c r="K20" s="267">
        <v>0</v>
      </c>
      <c r="L20" s="117">
        <v>0.1</v>
      </c>
      <c r="M20" s="267">
        <v>1</v>
      </c>
      <c r="N20" s="117">
        <v>0.1</v>
      </c>
      <c r="O20" s="158">
        <v>1</v>
      </c>
      <c r="P20" s="117">
        <v>0</v>
      </c>
      <c r="Q20" s="267">
        <v>0</v>
      </c>
      <c r="R20" s="158">
        <v>0</v>
      </c>
      <c r="S20" s="117">
        <v>0</v>
      </c>
      <c r="T20" s="267" t="s">
        <v>488</v>
      </c>
      <c r="U20" s="117">
        <v>0</v>
      </c>
      <c r="V20" s="267" t="s">
        <v>488</v>
      </c>
      <c r="W20" s="117">
        <v>0</v>
      </c>
      <c r="X20" s="267" t="s">
        <v>488</v>
      </c>
    </row>
    <row r="21" spans="1:24" x14ac:dyDescent="0.25">
      <c r="A21" s="117">
        <v>540013</v>
      </c>
      <c r="B21" s="2" t="s">
        <v>123</v>
      </c>
      <c r="C21" s="2" t="s">
        <v>11</v>
      </c>
      <c r="D21" s="2" t="s">
        <v>115</v>
      </c>
      <c r="E21" s="117">
        <v>11</v>
      </c>
      <c r="F21" s="117">
        <v>5.5</v>
      </c>
      <c r="G21" s="117">
        <v>0.1</v>
      </c>
      <c r="H21" s="117">
        <v>0</v>
      </c>
      <c r="I21" s="158">
        <v>0</v>
      </c>
      <c r="J21" s="117">
        <v>0</v>
      </c>
      <c r="K21" s="267">
        <v>0</v>
      </c>
      <c r="L21" s="117">
        <v>0.1</v>
      </c>
      <c r="M21" s="267">
        <v>1</v>
      </c>
      <c r="N21" s="117">
        <v>0</v>
      </c>
      <c r="O21" s="158">
        <v>0</v>
      </c>
      <c r="P21" s="117">
        <v>0</v>
      </c>
      <c r="Q21" s="267">
        <v>0</v>
      </c>
      <c r="R21" s="158">
        <v>0</v>
      </c>
      <c r="S21" s="117">
        <v>0</v>
      </c>
      <c r="T21" s="267" t="s">
        <v>488</v>
      </c>
      <c r="U21" s="117">
        <v>0</v>
      </c>
      <c r="V21" s="267" t="s">
        <v>488</v>
      </c>
      <c r="W21" s="117">
        <v>0</v>
      </c>
      <c r="X21" s="267" t="s">
        <v>488</v>
      </c>
    </row>
    <row r="22" spans="1:24" x14ac:dyDescent="0.25">
      <c r="A22" s="117">
        <v>540014</v>
      </c>
      <c r="B22" s="2" t="s">
        <v>124</v>
      </c>
      <c r="C22" s="2" t="s">
        <v>11</v>
      </c>
      <c r="D22" s="2" t="s">
        <v>115</v>
      </c>
      <c r="E22" s="117">
        <v>11</v>
      </c>
      <c r="F22" s="117">
        <v>19.100000000000001</v>
      </c>
      <c r="G22" s="117">
        <v>1.2</v>
      </c>
      <c r="H22" s="117">
        <v>0</v>
      </c>
      <c r="I22" s="158">
        <v>0</v>
      </c>
      <c r="J22" s="117">
        <v>0.6</v>
      </c>
      <c r="K22" s="267">
        <v>0.5</v>
      </c>
      <c r="L22" s="117">
        <v>0.2</v>
      </c>
      <c r="M22" s="267">
        <v>0.16669999999999999</v>
      </c>
      <c r="N22" s="117">
        <v>0.5</v>
      </c>
      <c r="O22" s="158">
        <v>0.41670000000000001</v>
      </c>
      <c r="P22" s="117">
        <v>0.1</v>
      </c>
      <c r="Q22" s="267">
        <v>8.3299999999999999E-2</v>
      </c>
      <c r="R22" s="158">
        <v>5.1999999999999998E-3</v>
      </c>
      <c r="S22" s="117">
        <v>0</v>
      </c>
      <c r="T22" s="267" t="s">
        <v>488</v>
      </c>
      <c r="U22" s="117">
        <v>0.1</v>
      </c>
      <c r="V22" s="267" t="s">
        <v>488</v>
      </c>
      <c r="W22" s="117">
        <v>0</v>
      </c>
      <c r="X22" s="267" t="s">
        <v>488</v>
      </c>
    </row>
    <row r="23" spans="1:24" x14ac:dyDescent="0.25">
      <c r="A23" s="117">
        <v>540015</v>
      </c>
      <c r="B23" s="2" t="s">
        <v>125</v>
      </c>
      <c r="C23" s="2" t="s">
        <v>11</v>
      </c>
      <c r="D23" s="2" t="s">
        <v>115</v>
      </c>
      <c r="E23" s="117">
        <v>11</v>
      </c>
      <c r="F23" s="117">
        <v>9.1999999999999993</v>
      </c>
      <c r="G23" s="117">
        <v>3.6</v>
      </c>
      <c r="H23" s="117">
        <v>0</v>
      </c>
      <c r="I23" s="158">
        <v>0</v>
      </c>
      <c r="J23" s="117">
        <v>0</v>
      </c>
      <c r="K23" s="267">
        <v>0</v>
      </c>
      <c r="L23" s="117">
        <v>1</v>
      </c>
      <c r="M23" s="267">
        <v>0.27779999999999999</v>
      </c>
      <c r="N23" s="117">
        <v>2.6</v>
      </c>
      <c r="O23" s="158">
        <v>0.72219999999999995</v>
      </c>
      <c r="P23" s="117">
        <v>0</v>
      </c>
      <c r="Q23" s="267">
        <v>0</v>
      </c>
      <c r="R23" s="158">
        <v>0</v>
      </c>
      <c r="S23" s="117">
        <v>0</v>
      </c>
      <c r="T23" s="267" t="s">
        <v>488</v>
      </c>
      <c r="U23" s="117">
        <v>0</v>
      </c>
      <c r="V23" s="267" t="s">
        <v>488</v>
      </c>
      <c r="W23" s="117">
        <v>0</v>
      </c>
      <c r="X23" s="267" t="s">
        <v>488</v>
      </c>
    </row>
    <row r="24" spans="1:24" x14ac:dyDescent="0.25">
      <c r="A24" s="117">
        <v>540093</v>
      </c>
      <c r="B24" s="2" t="s">
        <v>184</v>
      </c>
      <c r="C24" s="2" t="s">
        <v>11</v>
      </c>
      <c r="D24" s="2" t="s">
        <v>115</v>
      </c>
      <c r="E24" s="117">
        <v>11</v>
      </c>
      <c r="F24" s="117">
        <v>4.4000000000000004</v>
      </c>
      <c r="G24" s="117">
        <v>0.1</v>
      </c>
      <c r="H24" s="117">
        <v>0</v>
      </c>
      <c r="I24" s="158">
        <v>0</v>
      </c>
      <c r="J24" s="117">
        <v>0</v>
      </c>
      <c r="K24" s="267">
        <v>0</v>
      </c>
      <c r="L24" s="117">
        <v>0.1</v>
      </c>
      <c r="M24" s="267">
        <v>1</v>
      </c>
      <c r="N24" s="117">
        <v>0</v>
      </c>
      <c r="O24" s="158">
        <v>0</v>
      </c>
      <c r="P24" s="117">
        <v>0</v>
      </c>
      <c r="Q24" s="267">
        <v>0</v>
      </c>
      <c r="R24" s="158">
        <v>0</v>
      </c>
      <c r="S24" s="117">
        <v>0</v>
      </c>
      <c r="T24" s="267" t="s">
        <v>488</v>
      </c>
      <c r="U24" s="117">
        <v>0</v>
      </c>
      <c r="V24" s="267" t="s">
        <v>488</v>
      </c>
      <c r="W24" s="117">
        <v>0</v>
      </c>
      <c r="X24" s="267" t="s">
        <v>488</v>
      </c>
    </row>
    <row r="25" spans="1:24" x14ac:dyDescent="0.25">
      <c r="A25" s="117">
        <v>540084</v>
      </c>
      <c r="B25" s="2" t="s">
        <v>341</v>
      </c>
      <c r="C25" s="2" t="s">
        <v>11</v>
      </c>
      <c r="D25" s="2" t="s">
        <v>115</v>
      </c>
      <c r="E25" s="117">
        <v>11</v>
      </c>
      <c r="F25" s="117">
        <v>0.5</v>
      </c>
      <c r="G25" s="117">
        <v>0</v>
      </c>
      <c r="H25" s="117">
        <v>0</v>
      </c>
      <c r="I25" s="267" t="s">
        <v>488</v>
      </c>
      <c r="J25" s="117">
        <v>0</v>
      </c>
      <c r="K25" s="267" t="s">
        <v>488</v>
      </c>
      <c r="L25" s="117">
        <v>0</v>
      </c>
      <c r="M25" s="267" t="s">
        <v>488</v>
      </c>
      <c r="N25" s="117">
        <v>0</v>
      </c>
      <c r="O25" s="267" t="s">
        <v>488</v>
      </c>
      <c r="P25" s="117">
        <v>0</v>
      </c>
      <c r="Q25" s="267" t="s">
        <v>488</v>
      </c>
      <c r="R25" s="158">
        <v>0</v>
      </c>
      <c r="S25" s="117">
        <v>0</v>
      </c>
      <c r="T25" s="267" t="s">
        <v>488</v>
      </c>
      <c r="U25" s="117">
        <v>0</v>
      </c>
      <c r="V25" s="267" t="s">
        <v>488</v>
      </c>
      <c r="W25" s="117">
        <v>0</v>
      </c>
      <c r="X25" s="267" t="s">
        <v>488</v>
      </c>
    </row>
    <row r="26" spans="1:24" x14ac:dyDescent="0.25">
      <c r="A26" s="269"/>
      <c r="B26" s="269"/>
      <c r="C26" s="269" t="s">
        <v>11</v>
      </c>
      <c r="D26" s="269"/>
      <c r="E26" s="269"/>
      <c r="F26" s="270">
        <v>244.9</v>
      </c>
      <c r="G26" s="270">
        <v>19.7</v>
      </c>
      <c r="H26" s="270">
        <v>0</v>
      </c>
      <c r="I26" s="352">
        <v>0</v>
      </c>
      <c r="J26" s="270">
        <v>0.6</v>
      </c>
      <c r="K26" s="271">
        <v>3.0499999999999999E-2</v>
      </c>
      <c r="L26" s="270">
        <v>5.7</v>
      </c>
      <c r="M26" s="271">
        <v>0.2893</v>
      </c>
      <c r="N26" s="270">
        <v>13.5</v>
      </c>
      <c r="O26" s="352">
        <v>0.68530000000000002</v>
      </c>
      <c r="P26" s="270">
        <v>9</v>
      </c>
      <c r="Q26" s="271">
        <v>0.45689999999999997</v>
      </c>
      <c r="R26" s="352">
        <v>3.6700000000000003E-2</v>
      </c>
      <c r="S26" s="270">
        <v>1.5</v>
      </c>
      <c r="T26" s="271">
        <v>0.16669999999999999</v>
      </c>
      <c r="U26" s="270">
        <v>3.4</v>
      </c>
      <c r="V26" s="271">
        <v>0.37780000000000002</v>
      </c>
      <c r="W26" s="270">
        <v>4.0999999999999996</v>
      </c>
      <c r="X26" s="271">
        <v>0.4556</v>
      </c>
    </row>
    <row r="27" spans="1:24" x14ac:dyDescent="0.25">
      <c r="A27" s="117">
        <v>540016</v>
      </c>
      <c r="B27" s="2" t="s">
        <v>12</v>
      </c>
      <c r="C27" s="2" t="s">
        <v>13</v>
      </c>
      <c r="D27" s="2" t="s">
        <v>5</v>
      </c>
      <c r="E27" s="117">
        <v>2</v>
      </c>
      <c r="F27" s="117">
        <v>620.5</v>
      </c>
      <c r="G27" s="117">
        <v>88.5</v>
      </c>
      <c r="H27" s="117">
        <v>0.8</v>
      </c>
      <c r="I27" s="158">
        <v>8.9999999999999993E-3</v>
      </c>
      <c r="J27" s="117">
        <v>2.7</v>
      </c>
      <c r="K27" s="267">
        <v>3.0499999999999999E-2</v>
      </c>
      <c r="L27" s="117">
        <v>5.6</v>
      </c>
      <c r="M27" s="267">
        <v>6.3299999999999995E-2</v>
      </c>
      <c r="N27" s="117">
        <v>79.400000000000006</v>
      </c>
      <c r="O27" s="158">
        <v>0.8972</v>
      </c>
      <c r="P27" s="117">
        <v>17.8</v>
      </c>
      <c r="Q27" s="267">
        <v>0.2011</v>
      </c>
      <c r="R27" s="158">
        <v>2.87E-2</v>
      </c>
      <c r="S27" s="117">
        <v>3.5</v>
      </c>
      <c r="T27" s="267">
        <v>0.1966</v>
      </c>
      <c r="U27" s="117">
        <v>6.8</v>
      </c>
      <c r="V27" s="267">
        <v>0.38200000000000001</v>
      </c>
      <c r="W27" s="117">
        <v>7.5</v>
      </c>
      <c r="X27" s="267">
        <v>0.42130000000000001</v>
      </c>
    </row>
    <row r="28" spans="1:24" x14ac:dyDescent="0.25">
      <c r="A28" s="117">
        <v>540017</v>
      </c>
      <c r="B28" s="2" t="s">
        <v>126</v>
      </c>
      <c r="C28" s="2" t="s">
        <v>13</v>
      </c>
      <c r="D28" s="2" t="s">
        <v>115</v>
      </c>
      <c r="E28" s="117">
        <v>2</v>
      </c>
      <c r="F28" s="117">
        <v>44.2</v>
      </c>
      <c r="G28" s="117">
        <v>6.9</v>
      </c>
      <c r="H28" s="117">
        <v>0.6</v>
      </c>
      <c r="I28" s="158">
        <v>8.6999999999999994E-2</v>
      </c>
      <c r="J28" s="117">
        <v>3.7</v>
      </c>
      <c r="K28" s="267">
        <v>0.53620000000000001</v>
      </c>
      <c r="L28" s="117">
        <v>0.3</v>
      </c>
      <c r="M28" s="267">
        <v>4.3499999999999997E-2</v>
      </c>
      <c r="N28" s="117">
        <v>2.2999999999999998</v>
      </c>
      <c r="O28" s="158">
        <v>0.33329999999999999</v>
      </c>
      <c r="P28" s="117">
        <v>0</v>
      </c>
      <c r="Q28" s="267">
        <v>0</v>
      </c>
      <c r="R28" s="158">
        <v>0</v>
      </c>
      <c r="S28" s="117">
        <v>0</v>
      </c>
      <c r="T28" s="267" t="s">
        <v>488</v>
      </c>
      <c r="U28" s="117">
        <v>0</v>
      </c>
      <c r="V28" s="267" t="s">
        <v>488</v>
      </c>
      <c r="W28" s="117">
        <v>0</v>
      </c>
      <c r="X28" s="267" t="s">
        <v>488</v>
      </c>
    </row>
    <row r="29" spans="1:24" x14ac:dyDescent="0.25">
      <c r="A29" s="117">
        <v>540018</v>
      </c>
      <c r="B29" s="2" t="s">
        <v>127</v>
      </c>
      <c r="C29" s="2" t="s">
        <v>13</v>
      </c>
      <c r="D29" s="2" t="s">
        <v>115</v>
      </c>
      <c r="E29" s="117">
        <v>2</v>
      </c>
      <c r="F29" s="117">
        <v>98.7</v>
      </c>
      <c r="G29" s="117">
        <v>9.1999999999999993</v>
      </c>
      <c r="H29" s="117">
        <v>0.4</v>
      </c>
      <c r="I29" s="158">
        <v>4.3499999999999997E-2</v>
      </c>
      <c r="J29" s="117">
        <v>1.8</v>
      </c>
      <c r="K29" s="267">
        <v>0.19570000000000001</v>
      </c>
      <c r="L29" s="117">
        <v>2.8</v>
      </c>
      <c r="M29" s="267">
        <v>0.30430000000000001</v>
      </c>
      <c r="N29" s="117">
        <v>4.0999999999999996</v>
      </c>
      <c r="O29" s="158">
        <v>0.44569999999999999</v>
      </c>
      <c r="P29" s="117">
        <v>0.1</v>
      </c>
      <c r="Q29" s="267">
        <v>1.09E-2</v>
      </c>
      <c r="R29" s="158">
        <v>1E-3</v>
      </c>
      <c r="S29" s="117">
        <v>0</v>
      </c>
      <c r="T29" s="267" t="s">
        <v>488</v>
      </c>
      <c r="U29" s="117">
        <v>0.1</v>
      </c>
      <c r="V29" s="267" t="s">
        <v>488</v>
      </c>
      <c r="W29" s="117">
        <v>0</v>
      </c>
      <c r="X29" s="267" t="s">
        <v>488</v>
      </c>
    </row>
    <row r="30" spans="1:24" x14ac:dyDescent="0.25">
      <c r="A30" s="117">
        <v>540019</v>
      </c>
      <c r="B30" s="2" t="s">
        <v>128</v>
      </c>
      <c r="C30" s="2" t="s">
        <v>13</v>
      </c>
      <c r="D30" s="2" t="s">
        <v>115</v>
      </c>
      <c r="E30" s="117">
        <v>2</v>
      </c>
      <c r="F30" s="117">
        <v>18.8</v>
      </c>
      <c r="G30" s="117">
        <v>2.9</v>
      </c>
      <c r="H30" s="117">
        <v>0.1</v>
      </c>
      <c r="I30" s="158">
        <v>3.4500000000000003E-2</v>
      </c>
      <c r="J30" s="117">
        <v>1.9</v>
      </c>
      <c r="K30" s="267">
        <v>0.6552</v>
      </c>
      <c r="L30" s="117">
        <v>0</v>
      </c>
      <c r="M30" s="267">
        <v>0</v>
      </c>
      <c r="N30" s="117">
        <v>1</v>
      </c>
      <c r="O30" s="158">
        <v>0.3448</v>
      </c>
      <c r="P30" s="117">
        <v>0</v>
      </c>
      <c r="Q30" s="267">
        <v>0</v>
      </c>
      <c r="R30" s="158">
        <v>0</v>
      </c>
      <c r="S30" s="117">
        <v>0</v>
      </c>
      <c r="T30" s="267" t="s">
        <v>488</v>
      </c>
      <c r="U30" s="117">
        <v>0</v>
      </c>
      <c r="V30" s="267" t="s">
        <v>488</v>
      </c>
      <c r="W30" s="117">
        <v>0</v>
      </c>
      <c r="X30" s="267" t="s">
        <v>488</v>
      </c>
    </row>
    <row r="31" spans="1:24" x14ac:dyDescent="0.25">
      <c r="A31" s="269"/>
      <c r="B31" s="269"/>
      <c r="C31" s="269" t="s">
        <v>13</v>
      </c>
      <c r="D31" s="269"/>
      <c r="E31" s="269"/>
      <c r="F31" s="270">
        <v>782.2</v>
      </c>
      <c r="G31" s="270">
        <v>107.5</v>
      </c>
      <c r="H31" s="270">
        <v>1.9</v>
      </c>
      <c r="I31" s="352">
        <v>1.77E-2</v>
      </c>
      <c r="J31" s="270">
        <v>10.1</v>
      </c>
      <c r="K31" s="271">
        <v>9.4E-2</v>
      </c>
      <c r="L31" s="270">
        <v>8.6999999999999993</v>
      </c>
      <c r="M31" s="271">
        <v>8.09E-2</v>
      </c>
      <c r="N31" s="270">
        <v>86.8</v>
      </c>
      <c r="O31" s="352">
        <v>0.80740000000000001</v>
      </c>
      <c r="P31" s="270">
        <v>17.899999999999999</v>
      </c>
      <c r="Q31" s="271">
        <v>0.16650000000000001</v>
      </c>
      <c r="R31" s="352">
        <v>2.29E-2</v>
      </c>
      <c r="S31" s="270">
        <v>3.5</v>
      </c>
      <c r="T31" s="271">
        <v>0.19550000000000001</v>
      </c>
      <c r="U31" s="270">
        <v>6.9</v>
      </c>
      <c r="V31" s="271">
        <v>0.38550000000000001</v>
      </c>
      <c r="W31" s="270">
        <v>7.5</v>
      </c>
      <c r="X31" s="271">
        <v>0.41899999999999998</v>
      </c>
    </row>
    <row r="32" spans="1:24" x14ac:dyDescent="0.25">
      <c r="A32" s="117">
        <v>540020</v>
      </c>
      <c r="B32" s="2" t="s">
        <v>14</v>
      </c>
      <c r="C32" s="2" t="s">
        <v>15</v>
      </c>
      <c r="D32" s="2" t="s">
        <v>5</v>
      </c>
      <c r="E32" s="117">
        <v>5</v>
      </c>
      <c r="F32" s="117">
        <v>494.7</v>
      </c>
      <c r="G32" s="117">
        <v>62.2</v>
      </c>
      <c r="H32" s="117">
        <v>0</v>
      </c>
      <c r="I32" s="158">
        <v>0</v>
      </c>
      <c r="J32" s="117">
        <v>2.5</v>
      </c>
      <c r="K32" s="267">
        <v>4.02E-2</v>
      </c>
      <c r="L32" s="117">
        <v>8.6</v>
      </c>
      <c r="M32" s="267">
        <v>0.13830000000000001</v>
      </c>
      <c r="N32" s="117">
        <v>51.1</v>
      </c>
      <c r="O32" s="158">
        <v>0.82150000000000001</v>
      </c>
      <c r="P32" s="117">
        <v>0</v>
      </c>
      <c r="Q32" s="267">
        <v>0</v>
      </c>
      <c r="R32" s="158">
        <v>0</v>
      </c>
      <c r="S32" s="117">
        <v>0</v>
      </c>
      <c r="T32" s="267" t="s">
        <v>488</v>
      </c>
      <c r="U32" s="117">
        <v>0</v>
      </c>
      <c r="V32" s="267" t="s">
        <v>488</v>
      </c>
      <c r="W32" s="117">
        <v>0</v>
      </c>
      <c r="X32" s="267" t="s">
        <v>488</v>
      </c>
    </row>
    <row r="33" spans="1:24" x14ac:dyDescent="0.25">
      <c r="A33" s="117">
        <v>540021</v>
      </c>
      <c r="B33" s="2" t="s">
        <v>129</v>
      </c>
      <c r="C33" s="2" t="s">
        <v>15</v>
      </c>
      <c r="D33" s="2" t="s">
        <v>115</v>
      </c>
      <c r="E33" s="117">
        <v>5</v>
      </c>
      <c r="F33" s="117">
        <v>5</v>
      </c>
      <c r="G33" s="117">
        <v>1.8</v>
      </c>
      <c r="H33" s="117">
        <v>0</v>
      </c>
      <c r="I33" s="158">
        <v>0</v>
      </c>
      <c r="J33" s="117">
        <v>0</v>
      </c>
      <c r="K33" s="267">
        <v>0</v>
      </c>
      <c r="L33" s="117">
        <v>0.5</v>
      </c>
      <c r="M33" s="267">
        <v>0.27779999999999999</v>
      </c>
      <c r="N33" s="117">
        <v>1.3</v>
      </c>
      <c r="O33" s="158">
        <v>0.72219999999999995</v>
      </c>
      <c r="P33" s="117">
        <v>0</v>
      </c>
      <c r="Q33" s="267">
        <v>0</v>
      </c>
      <c r="R33" s="158">
        <v>0</v>
      </c>
      <c r="S33" s="117">
        <v>0</v>
      </c>
      <c r="T33" s="267" t="s">
        <v>488</v>
      </c>
      <c r="U33" s="117">
        <v>0</v>
      </c>
      <c r="V33" s="267" t="s">
        <v>488</v>
      </c>
      <c r="W33" s="117">
        <v>0</v>
      </c>
      <c r="X33" s="267" t="s">
        <v>488</v>
      </c>
    </row>
    <row r="34" spans="1:24" x14ac:dyDescent="0.25">
      <c r="A34" s="269"/>
      <c r="B34" s="269"/>
      <c r="C34" s="269" t="s">
        <v>15</v>
      </c>
      <c r="D34" s="269"/>
      <c r="E34" s="269"/>
      <c r="F34" s="270">
        <v>499.7</v>
      </c>
      <c r="G34" s="270">
        <v>64</v>
      </c>
      <c r="H34" s="270">
        <v>0</v>
      </c>
      <c r="I34" s="352">
        <v>0</v>
      </c>
      <c r="J34" s="270">
        <v>2.5</v>
      </c>
      <c r="K34" s="271">
        <v>3.9100000000000003E-2</v>
      </c>
      <c r="L34" s="270">
        <v>9.1</v>
      </c>
      <c r="M34" s="271">
        <v>0.14219999999999999</v>
      </c>
      <c r="N34" s="270">
        <v>52.4</v>
      </c>
      <c r="O34" s="352">
        <v>0.81869999999999998</v>
      </c>
      <c r="P34" s="270">
        <v>0</v>
      </c>
      <c r="Q34" s="271">
        <v>0</v>
      </c>
      <c r="R34" s="352">
        <v>0</v>
      </c>
      <c r="S34" s="270">
        <v>0</v>
      </c>
      <c r="T34" s="271" t="s">
        <v>488</v>
      </c>
      <c r="U34" s="270">
        <v>0</v>
      </c>
      <c r="V34" s="271" t="s">
        <v>488</v>
      </c>
      <c r="W34" s="270">
        <v>0</v>
      </c>
      <c r="X34" s="271" t="s">
        <v>488</v>
      </c>
    </row>
    <row r="35" spans="1:24" x14ac:dyDescent="0.25">
      <c r="A35" s="117">
        <v>540022</v>
      </c>
      <c r="B35" s="2" t="s">
        <v>16</v>
      </c>
      <c r="C35" s="2" t="s">
        <v>17</v>
      </c>
      <c r="D35" s="2" t="s">
        <v>5</v>
      </c>
      <c r="E35" s="117">
        <v>3</v>
      </c>
      <c r="F35" s="117">
        <v>528.9</v>
      </c>
      <c r="G35" s="117">
        <v>51.9</v>
      </c>
      <c r="H35" s="117">
        <v>1.9</v>
      </c>
      <c r="I35" s="158">
        <v>3.6600000000000001E-2</v>
      </c>
      <c r="J35" s="117">
        <v>0</v>
      </c>
      <c r="K35" s="267">
        <v>0</v>
      </c>
      <c r="L35" s="117">
        <v>7.2</v>
      </c>
      <c r="M35" s="267">
        <v>0.13869999999999999</v>
      </c>
      <c r="N35" s="117">
        <v>42.7</v>
      </c>
      <c r="O35" s="158">
        <v>0.82269999999999999</v>
      </c>
      <c r="P35" s="117">
        <v>0</v>
      </c>
      <c r="Q35" s="267">
        <v>0</v>
      </c>
      <c r="R35" s="158">
        <v>0</v>
      </c>
      <c r="S35" s="117">
        <v>0</v>
      </c>
      <c r="T35" s="267" t="s">
        <v>488</v>
      </c>
      <c r="U35" s="117">
        <v>0</v>
      </c>
      <c r="V35" s="267" t="s">
        <v>488</v>
      </c>
      <c r="W35" s="117">
        <v>0</v>
      </c>
      <c r="X35" s="267" t="s">
        <v>488</v>
      </c>
    </row>
    <row r="36" spans="1:24" x14ac:dyDescent="0.25">
      <c r="A36" s="117">
        <v>540023</v>
      </c>
      <c r="B36" s="2" t="s">
        <v>130</v>
      </c>
      <c r="C36" s="2" t="s">
        <v>17</v>
      </c>
      <c r="D36" s="2" t="s">
        <v>115</v>
      </c>
      <c r="E36" s="117">
        <v>3</v>
      </c>
      <c r="F36" s="117">
        <v>7.3</v>
      </c>
      <c r="G36" s="117">
        <v>0.5</v>
      </c>
      <c r="H36" s="117">
        <v>0</v>
      </c>
      <c r="I36" s="158">
        <v>0</v>
      </c>
      <c r="J36" s="117">
        <v>0</v>
      </c>
      <c r="K36" s="267">
        <v>0</v>
      </c>
      <c r="L36" s="117">
        <v>0.4</v>
      </c>
      <c r="M36" s="267">
        <v>0.8</v>
      </c>
      <c r="N36" s="117">
        <v>0.1</v>
      </c>
      <c r="O36" s="158">
        <v>0.2</v>
      </c>
      <c r="P36" s="117">
        <v>0</v>
      </c>
      <c r="Q36" s="267">
        <v>0</v>
      </c>
      <c r="R36" s="158">
        <v>0</v>
      </c>
      <c r="S36" s="117">
        <v>0</v>
      </c>
      <c r="T36" s="267" t="s">
        <v>488</v>
      </c>
      <c r="U36" s="117">
        <v>0</v>
      </c>
      <c r="V36" s="267" t="s">
        <v>488</v>
      </c>
      <c r="W36" s="117">
        <v>0</v>
      </c>
      <c r="X36" s="267" t="s">
        <v>488</v>
      </c>
    </row>
    <row r="37" spans="1:24" x14ac:dyDescent="0.25">
      <c r="A37" s="269"/>
      <c r="B37" s="269"/>
      <c r="C37" s="269" t="s">
        <v>17</v>
      </c>
      <c r="D37" s="269"/>
      <c r="E37" s="269"/>
      <c r="F37" s="270">
        <v>536.20000000000005</v>
      </c>
      <c r="G37" s="270">
        <v>52.4</v>
      </c>
      <c r="H37" s="270">
        <v>1.9</v>
      </c>
      <c r="I37" s="352">
        <v>3.6299999999999999E-2</v>
      </c>
      <c r="J37" s="270">
        <v>0</v>
      </c>
      <c r="K37" s="271">
        <v>0</v>
      </c>
      <c r="L37" s="270">
        <v>7.6</v>
      </c>
      <c r="M37" s="271">
        <v>0.14499999999999999</v>
      </c>
      <c r="N37" s="270">
        <v>42.8</v>
      </c>
      <c r="O37" s="352">
        <v>0.81679999999999997</v>
      </c>
      <c r="P37" s="270">
        <v>0</v>
      </c>
      <c r="Q37" s="271">
        <v>0</v>
      </c>
      <c r="R37" s="352">
        <v>0</v>
      </c>
      <c r="S37" s="270">
        <v>0</v>
      </c>
      <c r="T37" s="271" t="s">
        <v>488</v>
      </c>
      <c r="U37" s="270">
        <v>0</v>
      </c>
      <c r="V37" s="271" t="s">
        <v>488</v>
      </c>
      <c r="W37" s="270">
        <v>0</v>
      </c>
      <c r="X37" s="271" t="s">
        <v>488</v>
      </c>
    </row>
    <row r="38" spans="1:24" x14ac:dyDescent="0.25">
      <c r="A38" s="117">
        <v>540024</v>
      </c>
      <c r="B38" s="2" t="s">
        <v>18</v>
      </c>
      <c r="C38" s="2" t="s">
        <v>19</v>
      </c>
      <c r="D38" s="2" t="s">
        <v>5</v>
      </c>
      <c r="E38" s="117">
        <v>6</v>
      </c>
      <c r="F38" s="117">
        <v>563.6</v>
      </c>
      <c r="G38" s="117">
        <v>75.3</v>
      </c>
      <c r="H38" s="117">
        <v>0</v>
      </c>
      <c r="I38" s="158">
        <v>0</v>
      </c>
      <c r="J38" s="117">
        <v>2.9</v>
      </c>
      <c r="K38" s="267">
        <v>3.85E-2</v>
      </c>
      <c r="L38" s="117">
        <v>14</v>
      </c>
      <c r="M38" s="267">
        <v>0.18590000000000001</v>
      </c>
      <c r="N38" s="117">
        <v>58.5</v>
      </c>
      <c r="O38" s="158">
        <v>0.77690000000000003</v>
      </c>
      <c r="P38" s="117">
        <v>14.3</v>
      </c>
      <c r="Q38" s="267">
        <v>0.18990000000000001</v>
      </c>
      <c r="R38" s="158">
        <v>2.5399999999999999E-2</v>
      </c>
      <c r="S38" s="117">
        <v>3.5</v>
      </c>
      <c r="T38" s="267">
        <v>0.24479999999999999</v>
      </c>
      <c r="U38" s="117">
        <v>6.6</v>
      </c>
      <c r="V38" s="267">
        <v>0.46150000000000002</v>
      </c>
      <c r="W38" s="117">
        <v>4.2</v>
      </c>
      <c r="X38" s="267">
        <v>0.29370000000000002</v>
      </c>
    </row>
    <row r="39" spans="1:24" x14ac:dyDescent="0.25">
      <c r="A39" s="117">
        <v>540025</v>
      </c>
      <c r="B39" s="2" t="s">
        <v>131</v>
      </c>
      <c r="C39" s="2" t="s">
        <v>19</v>
      </c>
      <c r="D39" s="2" t="s">
        <v>115</v>
      </c>
      <c r="E39" s="117">
        <v>6</v>
      </c>
      <c r="F39" s="117">
        <v>3</v>
      </c>
      <c r="G39" s="117">
        <v>0.1</v>
      </c>
      <c r="H39" s="117">
        <v>0</v>
      </c>
      <c r="I39" s="158">
        <v>0</v>
      </c>
      <c r="J39" s="117">
        <v>0</v>
      </c>
      <c r="K39" s="267">
        <v>0</v>
      </c>
      <c r="L39" s="117">
        <v>0.1</v>
      </c>
      <c r="M39" s="267">
        <v>1</v>
      </c>
      <c r="N39" s="117">
        <v>0</v>
      </c>
      <c r="O39" s="158">
        <v>0</v>
      </c>
      <c r="P39" s="117">
        <v>0</v>
      </c>
      <c r="Q39" s="267">
        <v>0</v>
      </c>
      <c r="R39" s="158">
        <v>0</v>
      </c>
      <c r="S39" s="117">
        <v>0</v>
      </c>
      <c r="T39" s="267" t="s">
        <v>488</v>
      </c>
      <c r="U39" s="117">
        <v>0</v>
      </c>
      <c r="V39" s="267" t="s">
        <v>488</v>
      </c>
      <c r="W39" s="117">
        <v>0</v>
      </c>
      <c r="X39" s="267" t="s">
        <v>488</v>
      </c>
    </row>
    <row r="40" spans="1:24" x14ac:dyDescent="0.25">
      <c r="A40" s="269"/>
      <c r="B40" s="269"/>
      <c r="C40" s="269" t="s">
        <v>19</v>
      </c>
      <c r="D40" s="269"/>
      <c r="E40" s="269"/>
      <c r="F40" s="270">
        <v>566.6</v>
      </c>
      <c r="G40" s="270">
        <v>75.400000000000006</v>
      </c>
      <c r="H40" s="270">
        <v>0</v>
      </c>
      <c r="I40" s="352">
        <v>0</v>
      </c>
      <c r="J40" s="270">
        <v>2.9</v>
      </c>
      <c r="K40" s="271">
        <v>3.85E-2</v>
      </c>
      <c r="L40" s="270">
        <v>14.1</v>
      </c>
      <c r="M40" s="271">
        <v>0.187</v>
      </c>
      <c r="N40" s="270">
        <v>58.5</v>
      </c>
      <c r="O40" s="352">
        <v>0.77590000000000003</v>
      </c>
      <c r="P40" s="270">
        <v>14.3</v>
      </c>
      <c r="Q40" s="271">
        <v>0.18970000000000001</v>
      </c>
      <c r="R40" s="352">
        <v>2.52E-2</v>
      </c>
      <c r="S40" s="270">
        <v>3.5</v>
      </c>
      <c r="T40" s="271">
        <v>0.24479999999999999</v>
      </c>
      <c r="U40" s="270">
        <v>6.6</v>
      </c>
      <c r="V40" s="271">
        <v>0.46150000000000002</v>
      </c>
      <c r="W40" s="270">
        <v>4.2</v>
      </c>
      <c r="X40" s="271">
        <v>0.29370000000000002</v>
      </c>
    </row>
    <row r="41" spans="1:24" x14ac:dyDescent="0.25">
      <c r="A41" s="117">
        <v>540035</v>
      </c>
      <c r="B41" s="2" t="s">
        <v>22</v>
      </c>
      <c r="C41" s="2" t="s">
        <v>23</v>
      </c>
      <c r="D41" s="2" t="s">
        <v>5</v>
      </c>
      <c r="E41" s="117">
        <v>7</v>
      </c>
      <c r="F41" s="117">
        <v>542.79999999999995</v>
      </c>
      <c r="G41" s="117">
        <v>38.4</v>
      </c>
      <c r="H41" s="117">
        <v>0</v>
      </c>
      <c r="I41" s="158">
        <v>0</v>
      </c>
      <c r="J41" s="117">
        <v>3.2</v>
      </c>
      <c r="K41" s="267">
        <v>8.3299999999999999E-2</v>
      </c>
      <c r="L41" s="117">
        <v>3.7</v>
      </c>
      <c r="M41" s="267">
        <v>9.64E-2</v>
      </c>
      <c r="N41" s="117">
        <v>31.5</v>
      </c>
      <c r="O41" s="158">
        <v>0.82030000000000003</v>
      </c>
      <c r="P41" s="117">
        <v>0</v>
      </c>
      <c r="Q41" s="267">
        <v>0</v>
      </c>
      <c r="R41" s="158">
        <v>0</v>
      </c>
      <c r="S41" s="117">
        <v>0</v>
      </c>
      <c r="T41" s="267" t="s">
        <v>488</v>
      </c>
      <c r="U41" s="117">
        <v>0</v>
      </c>
      <c r="V41" s="267" t="s">
        <v>488</v>
      </c>
      <c r="W41" s="117">
        <v>0</v>
      </c>
      <c r="X41" s="267" t="s">
        <v>488</v>
      </c>
    </row>
    <row r="42" spans="1:24" x14ac:dyDescent="0.25">
      <c r="A42" s="117">
        <v>540036</v>
      </c>
      <c r="B42" s="2" t="s">
        <v>139</v>
      </c>
      <c r="C42" s="2" t="s">
        <v>23</v>
      </c>
      <c r="D42" s="2" t="s">
        <v>115</v>
      </c>
      <c r="E42" s="117">
        <v>7</v>
      </c>
      <c r="F42" s="117">
        <v>8.3000000000000007</v>
      </c>
      <c r="G42" s="117">
        <v>1.6</v>
      </c>
      <c r="H42" s="117">
        <v>0</v>
      </c>
      <c r="I42" s="158">
        <v>0</v>
      </c>
      <c r="J42" s="117">
        <v>0.2</v>
      </c>
      <c r="K42" s="267">
        <v>0.125</v>
      </c>
      <c r="L42" s="117">
        <v>0.6</v>
      </c>
      <c r="M42" s="267">
        <v>0.375</v>
      </c>
      <c r="N42" s="117">
        <v>0.9</v>
      </c>
      <c r="O42" s="158">
        <v>0.5625</v>
      </c>
      <c r="P42" s="117">
        <v>0</v>
      </c>
      <c r="Q42" s="267">
        <v>0</v>
      </c>
      <c r="R42" s="158">
        <v>0</v>
      </c>
      <c r="S42" s="117">
        <v>0</v>
      </c>
      <c r="T42" s="267" t="s">
        <v>488</v>
      </c>
      <c r="U42" s="117">
        <v>0</v>
      </c>
      <c r="V42" s="267" t="s">
        <v>488</v>
      </c>
      <c r="W42" s="117">
        <v>0</v>
      </c>
      <c r="X42" s="267" t="s">
        <v>488</v>
      </c>
    </row>
    <row r="43" spans="1:24" x14ac:dyDescent="0.25">
      <c r="A43" s="117">
        <v>540037</v>
      </c>
      <c r="B43" s="2" t="s">
        <v>140</v>
      </c>
      <c r="C43" s="2" t="s">
        <v>23</v>
      </c>
      <c r="D43" s="2" t="s">
        <v>115</v>
      </c>
      <c r="E43" s="117">
        <v>7</v>
      </c>
      <c r="F43" s="117">
        <v>2.9</v>
      </c>
      <c r="G43" s="117">
        <v>0.6</v>
      </c>
      <c r="H43" s="117">
        <v>0</v>
      </c>
      <c r="I43" s="158">
        <v>0</v>
      </c>
      <c r="J43" s="117">
        <v>0</v>
      </c>
      <c r="K43" s="267">
        <v>0</v>
      </c>
      <c r="L43" s="117">
        <v>0.1</v>
      </c>
      <c r="M43" s="267">
        <v>0.16669999999999999</v>
      </c>
      <c r="N43" s="117">
        <v>0.4</v>
      </c>
      <c r="O43" s="158">
        <v>0.66669999999999996</v>
      </c>
      <c r="P43" s="117">
        <v>0</v>
      </c>
      <c r="Q43" s="267">
        <v>0</v>
      </c>
      <c r="R43" s="158">
        <v>0</v>
      </c>
      <c r="S43" s="117">
        <v>0</v>
      </c>
      <c r="T43" s="267" t="s">
        <v>488</v>
      </c>
      <c r="U43" s="117">
        <v>0</v>
      </c>
      <c r="V43" s="267" t="s">
        <v>488</v>
      </c>
      <c r="W43" s="117">
        <v>0</v>
      </c>
      <c r="X43" s="267" t="s">
        <v>488</v>
      </c>
    </row>
    <row r="44" spans="1:24" x14ac:dyDescent="0.25">
      <c r="A44" s="269"/>
      <c r="B44" s="269"/>
      <c r="C44" s="269" t="s">
        <v>23</v>
      </c>
      <c r="D44" s="269"/>
      <c r="E44" s="269"/>
      <c r="F44" s="270">
        <v>554</v>
      </c>
      <c r="G44" s="270">
        <v>40.6</v>
      </c>
      <c r="H44" s="270">
        <v>0</v>
      </c>
      <c r="I44" s="352">
        <v>0</v>
      </c>
      <c r="J44" s="270">
        <v>3.4</v>
      </c>
      <c r="K44" s="271">
        <v>8.3699999999999997E-2</v>
      </c>
      <c r="L44" s="270">
        <v>4.4000000000000004</v>
      </c>
      <c r="M44" s="271">
        <v>0.1084</v>
      </c>
      <c r="N44" s="270">
        <v>32.799999999999997</v>
      </c>
      <c r="O44" s="352">
        <v>0.80789999999999995</v>
      </c>
      <c r="P44" s="270">
        <v>0</v>
      </c>
      <c r="Q44" s="271">
        <v>0</v>
      </c>
      <c r="R44" s="352">
        <v>0</v>
      </c>
      <c r="S44" s="270">
        <v>0</v>
      </c>
      <c r="T44" s="271" t="s">
        <v>488</v>
      </c>
      <c r="U44" s="270">
        <v>0</v>
      </c>
      <c r="V44" s="271" t="s">
        <v>488</v>
      </c>
      <c r="W44" s="270">
        <v>0</v>
      </c>
      <c r="X44" s="271" t="s">
        <v>488</v>
      </c>
    </row>
    <row r="45" spans="1:24" x14ac:dyDescent="0.25">
      <c r="A45" s="117">
        <v>540038</v>
      </c>
      <c r="B45" s="2" t="s">
        <v>24</v>
      </c>
      <c r="C45" s="2" t="s">
        <v>25</v>
      </c>
      <c r="D45" s="2" t="s">
        <v>5</v>
      </c>
      <c r="E45" s="117">
        <v>8</v>
      </c>
      <c r="F45" s="117">
        <v>433.5</v>
      </c>
      <c r="G45" s="117">
        <v>18.399999999999999</v>
      </c>
      <c r="H45" s="117">
        <v>0</v>
      </c>
      <c r="I45" s="158">
        <v>0</v>
      </c>
      <c r="J45" s="117">
        <v>4.2</v>
      </c>
      <c r="K45" s="267">
        <v>0.2283</v>
      </c>
      <c r="L45" s="117">
        <v>4.3</v>
      </c>
      <c r="M45" s="267">
        <v>0.23369999999999999</v>
      </c>
      <c r="N45" s="117">
        <v>10</v>
      </c>
      <c r="O45" s="158">
        <v>0.54349999999999998</v>
      </c>
      <c r="P45" s="117">
        <v>0</v>
      </c>
      <c r="Q45" s="267">
        <v>0</v>
      </c>
      <c r="R45" s="158">
        <v>0</v>
      </c>
      <c r="S45" s="117">
        <v>0</v>
      </c>
      <c r="T45" s="267" t="s">
        <v>488</v>
      </c>
      <c r="U45" s="117">
        <v>0</v>
      </c>
      <c r="V45" s="267" t="s">
        <v>488</v>
      </c>
      <c r="W45" s="117">
        <v>0</v>
      </c>
      <c r="X45" s="267" t="s">
        <v>488</v>
      </c>
    </row>
    <row r="46" spans="1:24" x14ac:dyDescent="0.25">
      <c r="A46" s="117">
        <v>540039</v>
      </c>
      <c r="B46" s="2" t="s">
        <v>141</v>
      </c>
      <c r="C46" s="2" t="s">
        <v>25</v>
      </c>
      <c r="D46" s="2" t="s">
        <v>115</v>
      </c>
      <c r="E46" s="117">
        <v>8</v>
      </c>
      <c r="F46" s="117">
        <v>7.1</v>
      </c>
      <c r="G46" s="117">
        <v>0.4</v>
      </c>
      <c r="H46" s="117">
        <v>0</v>
      </c>
      <c r="I46" s="158">
        <v>0</v>
      </c>
      <c r="J46" s="117">
        <v>0.3</v>
      </c>
      <c r="K46" s="267">
        <v>0.75</v>
      </c>
      <c r="L46" s="117">
        <v>0</v>
      </c>
      <c r="M46" s="267">
        <v>0</v>
      </c>
      <c r="N46" s="117">
        <v>0.1</v>
      </c>
      <c r="O46" s="158">
        <v>0.25</v>
      </c>
      <c r="P46" s="117">
        <v>0</v>
      </c>
      <c r="Q46" s="267">
        <v>0</v>
      </c>
      <c r="R46" s="158">
        <v>0</v>
      </c>
      <c r="S46" s="117">
        <v>0</v>
      </c>
      <c r="T46" s="267" t="s">
        <v>488</v>
      </c>
      <c r="U46" s="117">
        <v>0</v>
      </c>
      <c r="V46" s="267" t="s">
        <v>488</v>
      </c>
      <c r="W46" s="117">
        <v>0</v>
      </c>
      <c r="X46" s="267" t="s">
        <v>488</v>
      </c>
    </row>
    <row r="47" spans="1:24" x14ac:dyDescent="0.25">
      <c r="A47" s="117">
        <v>540240</v>
      </c>
      <c r="B47" s="2" t="s">
        <v>287</v>
      </c>
      <c r="C47" s="2" t="s">
        <v>25</v>
      </c>
      <c r="D47" s="2" t="s">
        <v>115</v>
      </c>
      <c r="E47" s="117">
        <v>8</v>
      </c>
      <c r="F47" s="117">
        <v>1.3</v>
      </c>
      <c r="G47" s="117">
        <v>0.1</v>
      </c>
      <c r="H47" s="117">
        <v>0</v>
      </c>
      <c r="I47" s="158">
        <v>0</v>
      </c>
      <c r="J47" s="117">
        <v>0</v>
      </c>
      <c r="K47" s="267">
        <v>0</v>
      </c>
      <c r="L47" s="117">
        <v>0.1</v>
      </c>
      <c r="M47" s="267">
        <v>1</v>
      </c>
      <c r="N47" s="117">
        <v>0</v>
      </c>
      <c r="O47" s="158">
        <v>0</v>
      </c>
      <c r="P47" s="117">
        <v>0</v>
      </c>
      <c r="Q47" s="267">
        <v>0</v>
      </c>
      <c r="R47" s="158">
        <v>0</v>
      </c>
      <c r="S47" s="117">
        <v>0</v>
      </c>
      <c r="T47" s="267" t="s">
        <v>488</v>
      </c>
      <c r="U47" s="117">
        <v>0</v>
      </c>
      <c r="V47" s="267" t="s">
        <v>488</v>
      </c>
      <c r="W47" s="117">
        <v>0</v>
      </c>
      <c r="X47" s="267" t="s">
        <v>488</v>
      </c>
    </row>
    <row r="48" spans="1:24" x14ac:dyDescent="0.25">
      <c r="A48" s="269"/>
      <c r="B48" s="269"/>
      <c r="C48" s="269" t="s">
        <v>25</v>
      </c>
      <c r="D48" s="269"/>
      <c r="E48" s="269"/>
      <c r="F48" s="270">
        <v>441.9</v>
      </c>
      <c r="G48" s="270">
        <v>18.899999999999999</v>
      </c>
      <c r="H48" s="270">
        <v>0</v>
      </c>
      <c r="I48" s="352">
        <v>0</v>
      </c>
      <c r="J48" s="270">
        <v>4.5</v>
      </c>
      <c r="K48" s="271">
        <v>0.23810000000000001</v>
      </c>
      <c r="L48" s="270">
        <v>4.4000000000000004</v>
      </c>
      <c r="M48" s="271">
        <v>0.23280000000000001</v>
      </c>
      <c r="N48" s="270">
        <v>10.1</v>
      </c>
      <c r="O48" s="352">
        <v>0.53439999999999999</v>
      </c>
      <c r="P48" s="270">
        <v>0</v>
      </c>
      <c r="Q48" s="271">
        <v>0</v>
      </c>
      <c r="R48" s="352">
        <v>0</v>
      </c>
      <c r="S48" s="270">
        <v>0</v>
      </c>
      <c r="T48" s="271" t="s">
        <v>488</v>
      </c>
      <c r="U48" s="270">
        <v>0</v>
      </c>
      <c r="V48" s="271" t="s">
        <v>488</v>
      </c>
      <c r="W48" s="270">
        <v>0</v>
      </c>
      <c r="X48" s="271" t="s">
        <v>488</v>
      </c>
    </row>
    <row r="49" spans="1:24" x14ac:dyDescent="0.25">
      <c r="A49" s="117">
        <v>540040</v>
      </c>
      <c r="B49" s="2" t="s">
        <v>26</v>
      </c>
      <c r="C49" s="2" t="s">
        <v>27</v>
      </c>
      <c r="D49" s="2" t="s">
        <v>5</v>
      </c>
      <c r="E49" s="117">
        <v>4</v>
      </c>
      <c r="F49" s="117">
        <v>1077</v>
      </c>
      <c r="G49" s="117">
        <v>61</v>
      </c>
      <c r="H49" s="117">
        <v>3.1</v>
      </c>
      <c r="I49" s="158">
        <v>5.0799999999999998E-2</v>
      </c>
      <c r="J49" s="117">
        <v>10.6</v>
      </c>
      <c r="K49" s="267">
        <v>0.17380000000000001</v>
      </c>
      <c r="L49" s="117">
        <v>3.2</v>
      </c>
      <c r="M49" s="267">
        <v>5.2499999999999998E-2</v>
      </c>
      <c r="N49" s="117">
        <v>44.1</v>
      </c>
      <c r="O49" s="158">
        <v>0.72299999999999998</v>
      </c>
      <c r="P49" s="117">
        <v>55</v>
      </c>
      <c r="Q49" s="267">
        <v>0.90159999999999996</v>
      </c>
      <c r="R49" s="158">
        <v>5.11E-2</v>
      </c>
      <c r="S49" s="117">
        <v>13.3</v>
      </c>
      <c r="T49" s="267">
        <v>0.24179999999999999</v>
      </c>
      <c r="U49" s="117">
        <v>19.8</v>
      </c>
      <c r="V49" s="267">
        <v>0.36</v>
      </c>
      <c r="W49" s="117">
        <v>21.9</v>
      </c>
      <c r="X49" s="267">
        <v>0.3982</v>
      </c>
    </row>
    <row r="50" spans="1:24" x14ac:dyDescent="0.25">
      <c r="A50" s="117">
        <v>540041</v>
      </c>
      <c r="B50" s="2" t="s">
        <v>142</v>
      </c>
      <c r="C50" s="2" t="s">
        <v>27</v>
      </c>
      <c r="D50" s="2" t="s">
        <v>115</v>
      </c>
      <c r="E50" s="117">
        <v>4</v>
      </c>
      <c r="F50" s="117">
        <v>3.1</v>
      </c>
      <c r="G50" s="117">
        <v>1.6</v>
      </c>
      <c r="H50" s="117">
        <v>0</v>
      </c>
      <c r="I50" s="158">
        <v>0</v>
      </c>
      <c r="J50" s="117">
        <v>0</v>
      </c>
      <c r="K50" s="267">
        <v>0</v>
      </c>
      <c r="L50" s="117">
        <v>1.2</v>
      </c>
      <c r="M50" s="267">
        <v>0.75</v>
      </c>
      <c r="N50" s="117">
        <v>0.5</v>
      </c>
      <c r="O50" s="158">
        <v>0.3125</v>
      </c>
      <c r="P50" s="117">
        <v>1.6</v>
      </c>
      <c r="Q50" s="267">
        <v>1</v>
      </c>
      <c r="R50" s="158">
        <v>0.5161</v>
      </c>
      <c r="S50" s="117">
        <v>0.1</v>
      </c>
      <c r="T50" s="267">
        <v>6.25E-2</v>
      </c>
      <c r="U50" s="117">
        <v>0.8</v>
      </c>
      <c r="V50" s="267">
        <v>0.5</v>
      </c>
      <c r="W50" s="117">
        <v>0.7</v>
      </c>
      <c r="X50" s="267">
        <v>0.4375</v>
      </c>
    </row>
    <row r="51" spans="1:24" x14ac:dyDescent="0.25">
      <c r="A51" s="117">
        <v>540043</v>
      </c>
      <c r="B51" s="2" t="s">
        <v>144</v>
      </c>
      <c r="C51" s="2" t="s">
        <v>27</v>
      </c>
      <c r="D51" s="2" t="s">
        <v>115</v>
      </c>
      <c r="E51" s="117">
        <v>4</v>
      </c>
      <c r="F51" s="117">
        <v>9.1</v>
      </c>
      <c r="G51" s="117">
        <v>0.6</v>
      </c>
      <c r="H51" s="117">
        <v>0</v>
      </c>
      <c r="I51" s="158">
        <v>0</v>
      </c>
      <c r="J51" s="117">
        <v>0.4</v>
      </c>
      <c r="K51" s="267">
        <v>0.66669999999999996</v>
      </c>
      <c r="L51" s="117">
        <v>0</v>
      </c>
      <c r="M51" s="267">
        <v>0</v>
      </c>
      <c r="N51" s="117">
        <v>0.2</v>
      </c>
      <c r="O51" s="158">
        <v>0.33329999999999999</v>
      </c>
      <c r="P51" s="117">
        <v>0.6</v>
      </c>
      <c r="Q51" s="267">
        <v>1</v>
      </c>
      <c r="R51" s="158">
        <v>6.59E-2</v>
      </c>
      <c r="S51" s="117">
        <v>0.1</v>
      </c>
      <c r="T51" s="267">
        <v>0.16669999999999999</v>
      </c>
      <c r="U51" s="117">
        <v>0.1</v>
      </c>
      <c r="V51" s="267">
        <v>0.16669999999999999</v>
      </c>
      <c r="W51" s="117">
        <v>0.4</v>
      </c>
      <c r="X51" s="267">
        <v>0.66669999999999996</v>
      </c>
    </row>
    <row r="52" spans="1:24" x14ac:dyDescent="0.25">
      <c r="A52" s="117">
        <v>540044</v>
      </c>
      <c r="B52" s="2" t="s">
        <v>145</v>
      </c>
      <c r="C52" s="2" t="s">
        <v>27</v>
      </c>
      <c r="D52" s="2" t="s">
        <v>115</v>
      </c>
      <c r="E52" s="117">
        <v>4</v>
      </c>
      <c r="F52" s="117">
        <v>3.5</v>
      </c>
      <c r="G52" s="117">
        <v>0.1</v>
      </c>
      <c r="H52" s="117">
        <v>0</v>
      </c>
      <c r="I52" s="158">
        <v>0</v>
      </c>
      <c r="J52" s="117">
        <v>0</v>
      </c>
      <c r="K52" s="267">
        <v>0</v>
      </c>
      <c r="L52" s="117">
        <v>0</v>
      </c>
      <c r="M52" s="267">
        <v>0</v>
      </c>
      <c r="N52" s="117">
        <v>0</v>
      </c>
      <c r="O52" s="158">
        <v>0</v>
      </c>
      <c r="P52" s="117">
        <v>0</v>
      </c>
      <c r="Q52" s="267">
        <v>0</v>
      </c>
      <c r="R52" s="158">
        <v>0</v>
      </c>
      <c r="S52" s="117">
        <v>0</v>
      </c>
      <c r="T52" s="267" t="s">
        <v>488</v>
      </c>
      <c r="U52" s="117">
        <v>0</v>
      </c>
      <c r="V52" s="267" t="s">
        <v>488</v>
      </c>
      <c r="W52" s="117">
        <v>0</v>
      </c>
      <c r="X52" s="267" t="s">
        <v>488</v>
      </c>
    </row>
    <row r="53" spans="1:24" x14ac:dyDescent="0.25">
      <c r="A53" s="117">
        <v>540045</v>
      </c>
      <c r="B53" s="2" t="s">
        <v>146</v>
      </c>
      <c r="C53" s="2" t="s">
        <v>27</v>
      </c>
      <c r="D53" s="2" t="s">
        <v>115</v>
      </c>
      <c r="E53" s="117">
        <v>4</v>
      </c>
      <c r="F53" s="117">
        <v>15</v>
      </c>
      <c r="G53" s="117">
        <v>4.8</v>
      </c>
      <c r="H53" s="117">
        <v>0.1</v>
      </c>
      <c r="I53" s="158">
        <v>2.0799999999999999E-2</v>
      </c>
      <c r="J53" s="117">
        <v>3</v>
      </c>
      <c r="K53" s="267">
        <v>0.625</v>
      </c>
      <c r="L53" s="117">
        <v>0.1</v>
      </c>
      <c r="M53" s="267">
        <v>2.0799999999999999E-2</v>
      </c>
      <c r="N53" s="117">
        <v>1.6</v>
      </c>
      <c r="O53" s="158">
        <v>0.33329999999999999</v>
      </c>
      <c r="P53" s="117">
        <v>4.2</v>
      </c>
      <c r="Q53" s="267">
        <v>0.875</v>
      </c>
      <c r="R53" s="158">
        <v>0.28000000000000003</v>
      </c>
      <c r="S53" s="117">
        <v>1.4</v>
      </c>
      <c r="T53" s="267">
        <v>0.33329999999999999</v>
      </c>
      <c r="U53" s="117">
        <v>2</v>
      </c>
      <c r="V53" s="267">
        <v>0.47620000000000001</v>
      </c>
      <c r="W53" s="117">
        <v>0.8</v>
      </c>
      <c r="X53" s="267">
        <v>0.1905</v>
      </c>
    </row>
    <row r="54" spans="1:24" x14ac:dyDescent="0.25">
      <c r="A54" s="117">
        <v>540228</v>
      </c>
      <c r="B54" s="2" t="s">
        <v>278</v>
      </c>
      <c r="C54" s="2" t="s">
        <v>27</v>
      </c>
      <c r="D54" s="2" t="s">
        <v>115</v>
      </c>
      <c r="E54" s="117">
        <v>4</v>
      </c>
      <c r="F54" s="117">
        <v>7.2</v>
      </c>
      <c r="G54" s="117">
        <v>2.5</v>
      </c>
      <c r="H54" s="117">
        <v>0</v>
      </c>
      <c r="I54" s="158">
        <v>0</v>
      </c>
      <c r="J54" s="117">
        <v>1.6</v>
      </c>
      <c r="K54" s="267">
        <v>0.64</v>
      </c>
      <c r="L54" s="117">
        <v>0</v>
      </c>
      <c r="M54" s="267">
        <v>0</v>
      </c>
      <c r="N54" s="117">
        <v>0.9</v>
      </c>
      <c r="O54" s="158">
        <v>0.36</v>
      </c>
      <c r="P54" s="117">
        <v>2.5</v>
      </c>
      <c r="Q54" s="267">
        <v>1</v>
      </c>
      <c r="R54" s="158">
        <v>0.34720000000000001</v>
      </c>
      <c r="S54" s="117">
        <v>1.3</v>
      </c>
      <c r="T54" s="267">
        <v>0.52</v>
      </c>
      <c r="U54" s="117">
        <v>1</v>
      </c>
      <c r="V54" s="267">
        <v>0.4</v>
      </c>
      <c r="W54" s="117">
        <v>0.2</v>
      </c>
      <c r="X54" s="267">
        <v>0.08</v>
      </c>
    </row>
    <row r="55" spans="1:24" x14ac:dyDescent="0.25">
      <c r="A55" s="117">
        <v>540243</v>
      </c>
      <c r="B55" s="2" t="s">
        <v>290</v>
      </c>
      <c r="C55" s="2" t="s">
        <v>27</v>
      </c>
      <c r="D55" s="2" t="s">
        <v>115</v>
      </c>
      <c r="E55" s="117">
        <v>4</v>
      </c>
      <c r="F55" s="117">
        <v>2.2000000000000002</v>
      </c>
      <c r="G55" s="117">
        <v>0.1</v>
      </c>
      <c r="H55" s="117">
        <v>0</v>
      </c>
      <c r="I55" s="158">
        <v>0</v>
      </c>
      <c r="J55" s="117">
        <v>0</v>
      </c>
      <c r="K55" s="267">
        <v>0</v>
      </c>
      <c r="L55" s="117">
        <v>0</v>
      </c>
      <c r="M55" s="267">
        <v>0</v>
      </c>
      <c r="N55" s="117">
        <v>0.1</v>
      </c>
      <c r="O55" s="158">
        <v>1</v>
      </c>
      <c r="P55" s="117">
        <v>0</v>
      </c>
      <c r="Q55" s="267">
        <v>0</v>
      </c>
      <c r="R55" s="158">
        <v>0</v>
      </c>
      <c r="S55" s="117">
        <v>0</v>
      </c>
      <c r="T55" s="267" t="s">
        <v>488</v>
      </c>
      <c r="U55" s="117">
        <v>0</v>
      </c>
      <c r="V55" s="267" t="s">
        <v>488</v>
      </c>
      <c r="W55" s="117">
        <v>0</v>
      </c>
      <c r="X55" s="267" t="s">
        <v>488</v>
      </c>
    </row>
    <row r="56" spans="1:24" x14ac:dyDescent="0.25">
      <c r="A56" s="117">
        <v>540244</v>
      </c>
      <c r="B56" s="2" t="s">
        <v>291</v>
      </c>
      <c r="C56" s="2" t="s">
        <v>27</v>
      </c>
      <c r="D56" s="2" t="s">
        <v>115</v>
      </c>
      <c r="E56" s="117">
        <v>4</v>
      </c>
      <c r="F56" s="117">
        <v>3.9</v>
      </c>
      <c r="G56" s="117">
        <v>0</v>
      </c>
      <c r="H56" s="117">
        <v>0</v>
      </c>
      <c r="I56" s="267" t="s">
        <v>488</v>
      </c>
      <c r="J56" s="117">
        <v>0</v>
      </c>
      <c r="K56" s="267" t="s">
        <v>488</v>
      </c>
      <c r="L56" s="117">
        <v>0</v>
      </c>
      <c r="M56" s="267" t="s">
        <v>488</v>
      </c>
      <c r="N56" s="117">
        <v>0</v>
      </c>
      <c r="O56" s="267" t="s">
        <v>488</v>
      </c>
      <c r="P56" s="117">
        <v>0</v>
      </c>
      <c r="Q56" s="267" t="s">
        <v>488</v>
      </c>
      <c r="R56" s="158">
        <v>0</v>
      </c>
      <c r="S56" s="117">
        <v>0</v>
      </c>
      <c r="T56" s="267" t="s">
        <v>488</v>
      </c>
      <c r="U56" s="117">
        <v>0</v>
      </c>
      <c r="V56" s="267" t="s">
        <v>488</v>
      </c>
      <c r="W56" s="117">
        <v>0</v>
      </c>
      <c r="X56" s="267" t="s">
        <v>488</v>
      </c>
    </row>
    <row r="57" spans="1:24" x14ac:dyDescent="0.25">
      <c r="A57" s="117">
        <v>540281</v>
      </c>
      <c r="B57" s="2" t="s">
        <v>322</v>
      </c>
      <c r="C57" s="2" t="s">
        <v>27</v>
      </c>
      <c r="D57" s="2" t="s">
        <v>115</v>
      </c>
      <c r="E57" s="117">
        <v>4</v>
      </c>
      <c r="F57" s="117">
        <v>24.6</v>
      </c>
      <c r="G57" s="117">
        <v>0</v>
      </c>
      <c r="H57" s="117">
        <v>0</v>
      </c>
      <c r="I57" s="267" t="s">
        <v>488</v>
      </c>
      <c r="J57" s="117">
        <v>0</v>
      </c>
      <c r="K57" s="267" t="s">
        <v>488</v>
      </c>
      <c r="L57" s="117">
        <v>0</v>
      </c>
      <c r="M57" s="267" t="s">
        <v>488</v>
      </c>
      <c r="N57" s="117">
        <v>0</v>
      </c>
      <c r="O57" s="267" t="s">
        <v>488</v>
      </c>
      <c r="P57" s="117">
        <v>0</v>
      </c>
      <c r="Q57" s="267" t="s">
        <v>488</v>
      </c>
      <c r="R57" s="158">
        <v>0</v>
      </c>
      <c r="S57" s="117">
        <v>0</v>
      </c>
      <c r="T57" s="267" t="s">
        <v>488</v>
      </c>
      <c r="U57" s="117">
        <v>0</v>
      </c>
      <c r="V57" s="267" t="s">
        <v>488</v>
      </c>
      <c r="W57" s="117">
        <v>0</v>
      </c>
      <c r="X57" s="267" t="s">
        <v>488</v>
      </c>
    </row>
    <row r="58" spans="1:24" x14ac:dyDescent="0.25">
      <c r="A58" s="269"/>
      <c r="B58" s="269"/>
      <c r="C58" s="269" t="s">
        <v>27</v>
      </c>
      <c r="D58" s="269"/>
      <c r="E58" s="269"/>
      <c r="F58" s="270">
        <v>1145.5999999999999</v>
      </c>
      <c r="G58" s="270">
        <v>70.7</v>
      </c>
      <c r="H58" s="270">
        <v>3.2</v>
      </c>
      <c r="I58" s="352">
        <v>4.53E-2</v>
      </c>
      <c r="J58" s="270">
        <v>15.6</v>
      </c>
      <c r="K58" s="271">
        <v>0.22070000000000001</v>
      </c>
      <c r="L58" s="270">
        <v>4.5</v>
      </c>
      <c r="M58" s="271">
        <v>6.3600000000000004E-2</v>
      </c>
      <c r="N58" s="270">
        <v>47.4</v>
      </c>
      <c r="O58" s="352">
        <v>0.6704</v>
      </c>
      <c r="P58" s="270">
        <v>63.9</v>
      </c>
      <c r="Q58" s="271">
        <v>0.90380000000000005</v>
      </c>
      <c r="R58" s="352">
        <v>5.5800000000000002E-2</v>
      </c>
      <c r="S58" s="270">
        <v>16.2</v>
      </c>
      <c r="T58" s="271">
        <v>0.2535</v>
      </c>
      <c r="U58" s="270">
        <v>23.7</v>
      </c>
      <c r="V58" s="271">
        <v>0.37090000000000001</v>
      </c>
      <c r="W58" s="270">
        <v>24</v>
      </c>
      <c r="X58" s="271">
        <v>0.37559999999999999</v>
      </c>
    </row>
    <row r="59" spans="1:24" x14ac:dyDescent="0.25">
      <c r="A59" s="117">
        <v>540047</v>
      </c>
      <c r="B59" s="2" t="s">
        <v>28</v>
      </c>
      <c r="C59" s="2" t="s">
        <v>29</v>
      </c>
      <c r="D59" s="2" t="s">
        <v>5</v>
      </c>
      <c r="E59" s="117">
        <v>11</v>
      </c>
      <c r="F59" s="117">
        <v>198.2</v>
      </c>
      <c r="G59" s="117">
        <v>8.8000000000000007</v>
      </c>
      <c r="H59" s="117">
        <v>0</v>
      </c>
      <c r="I59" s="158">
        <v>0</v>
      </c>
      <c r="J59" s="117">
        <v>0.7</v>
      </c>
      <c r="K59" s="267">
        <v>7.9500000000000001E-2</v>
      </c>
      <c r="L59" s="117">
        <v>1.6</v>
      </c>
      <c r="M59" s="267">
        <v>0.18179999999999999</v>
      </c>
      <c r="N59" s="117">
        <v>6.5</v>
      </c>
      <c r="O59" s="158">
        <v>0.73860000000000003</v>
      </c>
      <c r="P59" s="117">
        <v>1.9</v>
      </c>
      <c r="Q59" s="267">
        <v>0.21590000000000001</v>
      </c>
      <c r="R59" s="158">
        <v>9.5999999999999992E-3</v>
      </c>
      <c r="S59" s="117">
        <v>0.5</v>
      </c>
      <c r="T59" s="267">
        <v>0.26319999999999999</v>
      </c>
      <c r="U59" s="117">
        <v>1</v>
      </c>
      <c r="V59" s="267">
        <v>0.52629999999999999</v>
      </c>
      <c r="W59" s="117">
        <v>0.4</v>
      </c>
      <c r="X59" s="267">
        <v>0.21049999999999999</v>
      </c>
    </row>
    <row r="60" spans="1:24" x14ac:dyDescent="0.25">
      <c r="A60" s="117">
        <v>540014</v>
      </c>
      <c r="B60" s="2" t="s">
        <v>124</v>
      </c>
      <c r="C60" s="2" t="s">
        <v>29</v>
      </c>
      <c r="D60" s="2" t="s">
        <v>115</v>
      </c>
      <c r="E60" s="117">
        <v>11</v>
      </c>
      <c r="F60" s="117">
        <v>24.3</v>
      </c>
      <c r="G60" s="117">
        <v>0.7</v>
      </c>
      <c r="H60" s="117">
        <v>0</v>
      </c>
      <c r="I60" s="158">
        <v>0</v>
      </c>
      <c r="J60" s="117">
        <v>0</v>
      </c>
      <c r="K60" s="267">
        <v>0</v>
      </c>
      <c r="L60" s="117">
        <v>0</v>
      </c>
      <c r="M60" s="267">
        <v>0</v>
      </c>
      <c r="N60" s="117">
        <v>0.7</v>
      </c>
      <c r="O60" s="158">
        <v>1</v>
      </c>
      <c r="P60" s="117">
        <v>0</v>
      </c>
      <c r="Q60" s="267">
        <v>0</v>
      </c>
      <c r="R60" s="158">
        <v>0</v>
      </c>
      <c r="S60" s="117">
        <v>0</v>
      </c>
      <c r="T60" s="267" t="s">
        <v>488</v>
      </c>
      <c r="U60" s="117">
        <v>0</v>
      </c>
      <c r="V60" s="267" t="s">
        <v>488</v>
      </c>
      <c r="W60" s="117">
        <v>0</v>
      </c>
      <c r="X60" s="267" t="s">
        <v>488</v>
      </c>
    </row>
    <row r="61" spans="1:24" x14ac:dyDescent="0.25">
      <c r="A61" s="117">
        <v>540048</v>
      </c>
      <c r="B61" s="2" t="s">
        <v>148</v>
      </c>
      <c r="C61" s="2" t="s">
        <v>29</v>
      </c>
      <c r="D61" s="2" t="s">
        <v>115</v>
      </c>
      <c r="E61" s="117">
        <v>11</v>
      </c>
      <c r="F61" s="117">
        <v>6.3</v>
      </c>
      <c r="G61" s="117">
        <v>0.3</v>
      </c>
      <c r="H61" s="117">
        <v>0</v>
      </c>
      <c r="I61" s="158">
        <v>0</v>
      </c>
      <c r="J61" s="117">
        <v>0.3</v>
      </c>
      <c r="K61" s="267">
        <v>1</v>
      </c>
      <c r="L61" s="117">
        <v>0</v>
      </c>
      <c r="M61" s="267">
        <v>0</v>
      </c>
      <c r="N61" s="117">
        <v>0</v>
      </c>
      <c r="O61" s="158">
        <v>0</v>
      </c>
      <c r="P61" s="117">
        <v>0</v>
      </c>
      <c r="Q61" s="267">
        <v>0</v>
      </c>
      <c r="R61" s="158">
        <v>0</v>
      </c>
      <c r="S61" s="117">
        <v>0</v>
      </c>
      <c r="T61" s="267" t="s">
        <v>488</v>
      </c>
      <c r="U61" s="117">
        <v>0</v>
      </c>
      <c r="V61" s="267" t="s">
        <v>488</v>
      </c>
      <c r="W61" s="117">
        <v>0</v>
      </c>
      <c r="X61" s="267" t="s">
        <v>488</v>
      </c>
    </row>
    <row r="62" spans="1:24" x14ac:dyDescent="0.25">
      <c r="A62" s="117">
        <v>540049</v>
      </c>
      <c r="B62" s="2" t="s">
        <v>149</v>
      </c>
      <c r="C62" s="2" t="s">
        <v>29</v>
      </c>
      <c r="D62" s="2" t="s">
        <v>115</v>
      </c>
      <c r="E62" s="117">
        <v>11</v>
      </c>
      <c r="F62" s="117">
        <v>5.7</v>
      </c>
      <c r="G62" s="117">
        <v>1.2</v>
      </c>
      <c r="H62" s="117">
        <v>0</v>
      </c>
      <c r="I62" s="158">
        <v>0</v>
      </c>
      <c r="J62" s="117">
        <v>0</v>
      </c>
      <c r="K62" s="267">
        <v>0</v>
      </c>
      <c r="L62" s="117">
        <v>1.1000000000000001</v>
      </c>
      <c r="M62" s="267">
        <v>0.91669999999999996</v>
      </c>
      <c r="N62" s="117">
        <v>0.1</v>
      </c>
      <c r="O62" s="158">
        <v>8.3299999999999999E-2</v>
      </c>
      <c r="P62" s="117">
        <v>0</v>
      </c>
      <c r="Q62" s="267">
        <v>0</v>
      </c>
      <c r="R62" s="158">
        <v>0</v>
      </c>
      <c r="S62" s="117">
        <v>0</v>
      </c>
      <c r="T62" s="267" t="s">
        <v>488</v>
      </c>
      <c r="U62" s="117">
        <v>0</v>
      </c>
      <c r="V62" s="267" t="s">
        <v>488</v>
      </c>
      <c r="W62" s="117">
        <v>0</v>
      </c>
      <c r="X62" s="267" t="s">
        <v>488</v>
      </c>
    </row>
    <row r="63" spans="1:24" x14ac:dyDescent="0.25">
      <c r="A63" s="269"/>
      <c r="B63" s="269"/>
      <c r="C63" s="269" t="s">
        <v>29</v>
      </c>
      <c r="D63" s="269"/>
      <c r="E63" s="269"/>
      <c r="F63" s="270">
        <v>234.5</v>
      </c>
      <c r="G63" s="270">
        <v>11</v>
      </c>
      <c r="H63" s="270">
        <v>0</v>
      </c>
      <c r="I63" s="352">
        <v>0</v>
      </c>
      <c r="J63" s="270">
        <v>1</v>
      </c>
      <c r="K63" s="271">
        <v>9.0899999999999995E-2</v>
      </c>
      <c r="L63" s="270">
        <v>2.7</v>
      </c>
      <c r="M63" s="271">
        <v>0.2455</v>
      </c>
      <c r="N63" s="270">
        <v>7.3</v>
      </c>
      <c r="O63" s="352">
        <v>0.66359999999999997</v>
      </c>
      <c r="P63" s="270">
        <v>1.9</v>
      </c>
      <c r="Q63" s="271">
        <v>0.17269999999999999</v>
      </c>
      <c r="R63" s="352">
        <v>8.0999999999999996E-3</v>
      </c>
      <c r="S63" s="270">
        <v>0.5</v>
      </c>
      <c r="T63" s="271">
        <v>0.26319999999999999</v>
      </c>
      <c r="U63" s="270">
        <v>1</v>
      </c>
      <c r="V63" s="271">
        <v>0.52629999999999999</v>
      </c>
      <c r="W63" s="270">
        <v>0.4</v>
      </c>
      <c r="X63" s="271">
        <v>0.21049999999999999</v>
      </c>
    </row>
    <row r="64" spans="1:24" x14ac:dyDescent="0.25">
      <c r="A64" s="117">
        <v>540051</v>
      </c>
      <c r="B64" s="2" t="s">
        <v>30</v>
      </c>
      <c r="C64" s="2" t="s">
        <v>31</v>
      </c>
      <c r="D64" s="2" t="s">
        <v>5</v>
      </c>
      <c r="E64" s="117">
        <v>8</v>
      </c>
      <c r="F64" s="117">
        <v>559.29999999999995</v>
      </c>
      <c r="G64" s="117">
        <v>50.4</v>
      </c>
      <c r="H64" s="117">
        <v>0</v>
      </c>
      <c r="I64" s="158">
        <v>0</v>
      </c>
      <c r="J64" s="117">
        <v>6.2</v>
      </c>
      <c r="K64" s="267">
        <v>0.123</v>
      </c>
      <c r="L64" s="117">
        <v>2.8</v>
      </c>
      <c r="M64" s="267">
        <v>5.5599999999999997E-2</v>
      </c>
      <c r="N64" s="117">
        <v>41.4</v>
      </c>
      <c r="O64" s="158">
        <v>0.82140000000000002</v>
      </c>
      <c r="P64" s="117">
        <v>29</v>
      </c>
      <c r="Q64" s="267">
        <v>0.57540000000000002</v>
      </c>
      <c r="R64" s="158">
        <v>5.1900000000000002E-2</v>
      </c>
      <c r="S64" s="117">
        <v>9.9</v>
      </c>
      <c r="T64" s="267">
        <v>0.34139999999999998</v>
      </c>
      <c r="U64" s="117">
        <v>12.2</v>
      </c>
      <c r="V64" s="267">
        <v>0.42070000000000002</v>
      </c>
      <c r="W64" s="117">
        <v>6.9</v>
      </c>
      <c r="X64" s="267">
        <v>0.2379</v>
      </c>
    </row>
    <row r="65" spans="1:27" x14ac:dyDescent="0.25">
      <c r="A65" s="117">
        <v>540052</v>
      </c>
      <c r="B65" s="2" t="s">
        <v>151</v>
      </c>
      <c r="C65" s="2" t="s">
        <v>31</v>
      </c>
      <c r="D65" s="2" t="s">
        <v>115</v>
      </c>
      <c r="E65" s="117">
        <v>8</v>
      </c>
      <c r="F65" s="117">
        <v>17</v>
      </c>
      <c r="G65" s="117">
        <v>3.6</v>
      </c>
      <c r="H65" s="117">
        <v>0</v>
      </c>
      <c r="I65" s="158">
        <v>0</v>
      </c>
      <c r="J65" s="117">
        <v>3.1</v>
      </c>
      <c r="K65" s="267">
        <v>0.86109999999999998</v>
      </c>
      <c r="L65" s="117">
        <v>0</v>
      </c>
      <c r="M65" s="267">
        <v>0</v>
      </c>
      <c r="N65" s="117">
        <v>0.5</v>
      </c>
      <c r="O65" s="158">
        <v>0.1389</v>
      </c>
      <c r="P65" s="117">
        <v>0</v>
      </c>
      <c r="Q65" s="267">
        <v>0</v>
      </c>
      <c r="R65" s="158">
        <v>0</v>
      </c>
      <c r="S65" s="117">
        <v>0</v>
      </c>
      <c r="T65" s="267" t="s">
        <v>488</v>
      </c>
      <c r="U65" s="117">
        <v>0</v>
      </c>
      <c r="V65" s="267" t="s">
        <v>488</v>
      </c>
      <c r="W65" s="117">
        <v>0</v>
      </c>
      <c r="X65" s="267" t="s">
        <v>488</v>
      </c>
    </row>
    <row r="66" spans="1:27" x14ac:dyDescent="0.25">
      <c r="A66" s="117">
        <v>540245</v>
      </c>
      <c r="B66" s="2" t="s">
        <v>292</v>
      </c>
      <c r="C66" s="2" t="s">
        <v>31</v>
      </c>
      <c r="D66" s="2" t="s">
        <v>115</v>
      </c>
      <c r="E66" s="117">
        <v>8</v>
      </c>
      <c r="F66" s="117">
        <v>1.8</v>
      </c>
      <c r="G66" s="117">
        <v>0</v>
      </c>
      <c r="H66" s="117">
        <v>0</v>
      </c>
      <c r="I66" s="267" t="s">
        <v>488</v>
      </c>
      <c r="J66" s="117">
        <v>0</v>
      </c>
      <c r="K66" s="267" t="s">
        <v>488</v>
      </c>
      <c r="L66" s="117">
        <v>0</v>
      </c>
      <c r="M66" s="267" t="s">
        <v>488</v>
      </c>
      <c r="N66" s="117">
        <v>0</v>
      </c>
      <c r="O66" s="267" t="s">
        <v>488</v>
      </c>
      <c r="P66" s="117">
        <v>0</v>
      </c>
      <c r="Q66" s="267" t="s">
        <v>488</v>
      </c>
      <c r="R66" s="158">
        <v>0</v>
      </c>
      <c r="S66" s="117">
        <v>0</v>
      </c>
      <c r="T66" s="267" t="s">
        <v>488</v>
      </c>
      <c r="U66" s="117">
        <v>0</v>
      </c>
      <c r="V66" s="267" t="s">
        <v>488</v>
      </c>
      <c r="W66" s="117">
        <v>0</v>
      </c>
      <c r="X66" s="267" t="s">
        <v>488</v>
      </c>
    </row>
    <row r="67" spans="1:27" x14ac:dyDescent="0.25">
      <c r="A67" s="269"/>
      <c r="B67" s="269"/>
      <c r="C67" s="269" t="s">
        <v>31</v>
      </c>
      <c r="D67" s="269"/>
      <c r="E67" s="269"/>
      <c r="F67" s="270">
        <v>578.1</v>
      </c>
      <c r="G67" s="270">
        <v>54</v>
      </c>
      <c r="H67" s="270">
        <v>0</v>
      </c>
      <c r="I67" s="352">
        <v>0</v>
      </c>
      <c r="J67" s="270">
        <v>9.3000000000000007</v>
      </c>
      <c r="K67" s="271">
        <v>0.17219999999999999</v>
      </c>
      <c r="L67" s="270">
        <v>2.8</v>
      </c>
      <c r="M67" s="271">
        <v>5.1900000000000002E-2</v>
      </c>
      <c r="N67" s="270">
        <v>41.9</v>
      </c>
      <c r="O67" s="352">
        <v>0.77590000000000003</v>
      </c>
      <c r="P67" s="270">
        <v>29</v>
      </c>
      <c r="Q67" s="271">
        <v>0.53700000000000003</v>
      </c>
      <c r="R67" s="352">
        <v>5.0200000000000002E-2</v>
      </c>
      <c r="S67" s="270">
        <v>9.9</v>
      </c>
      <c r="T67" s="271">
        <v>0.34139999999999998</v>
      </c>
      <c r="U67" s="270">
        <v>12.2</v>
      </c>
      <c r="V67" s="271">
        <v>0.42070000000000002</v>
      </c>
      <c r="W67" s="270">
        <v>6.9</v>
      </c>
      <c r="X67" s="271">
        <v>0.2379</v>
      </c>
    </row>
    <row r="68" spans="1:27" x14ac:dyDescent="0.25">
      <c r="A68" s="117">
        <v>540053</v>
      </c>
      <c r="B68" s="2" t="s">
        <v>32</v>
      </c>
      <c r="C68" s="2" t="s">
        <v>33</v>
      </c>
      <c r="D68" s="2" t="s">
        <v>5</v>
      </c>
      <c r="E68" s="117">
        <v>6</v>
      </c>
      <c r="F68" s="117">
        <v>857.5</v>
      </c>
      <c r="G68" s="117">
        <v>66</v>
      </c>
      <c r="H68" s="117">
        <v>0.2</v>
      </c>
      <c r="I68" s="158">
        <v>3.0000000000000001E-3</v>
      </c>
      <c r="J68" s="117">
        <v>8.1</v>
      </c>
      <c r="K68" s="267">
        <v>0.1227</v>
      </c>
      <c r="L68" s="117">
        <v>3.8</v>
      </c>
      <c r="M68" s="267">
        <v>5.7599999999999998E-2</v>
      </c>
      <c r="N68" s="117">
        <v>53.9</v>
      </c>
      <c r="O68" s="158">
        <v>0.81669999999999998</v>
      </c>
      <c r="P68" s="117">
        <v>26.7</v>
      </c>
      <c r="Q68" s="267">
        <v>0.40450000000000003</v>
      </c>
      <c r="R68" s="158">
        <v>3.1099999999999999E-2</v>
      </c>
      <c r="S68" s="117">
        <v>5.8</v>
      </c>
      <c r="T68" s="267">
        <v>0.2172</v>
      </c>
      <c r="U68" s="117">
        <v>10.7</v>
      </c>
      <c r="V68" s="267">
        <v>0.4007</v>
      </c>
      <c r="W68" s="117">
        <v>10.199999999999999</v>
      </c>
      <c r="X68" s="267">
        <v>0.38200000000000001</v>
      </c>
    </row>
    <row r="69" spans="1:27" x14ac:dyDescent="0.25">
      <c r="A69" s="117">
        <v>540054</v>
      </c>
      <c r="B69" s="2" t="s">
        <v>152</v>
      </c>
      <c r="C69" s="2" t="s">
        <v>33</v>
      </c>
      <c r="D69" s="2" t="s">
        <v>115</v>
      </c>
      <c r="E69" s="117">
        <v>6</v>
      </c>
      <c r="F69" s="117">
        <v>6.9</v>
      </c>
      <c r="G69" s="117">
        <v>0.3</v>
      </c>
      <c r="H69" s="117">
        <v>0</v>
      </c>
      <c r="I69" s="158">
        <v>0</v>
      </c>
      <c r="J69" s="117">
        <v>0</v>
      </c>
      <c r="K69" s="267">
        <v>0</v>
      </c>
      <c r="L69" s="117">
        <v>0.1</v>
      </c>
      <c r="M69" s="267">
        <v>0.33329999999999999</v>
      </c>
      <c r="N69" s="117">
        <v>0.2</v>
      </c>
      <c r="O69" s="158">
        <v>0.66669999999999996</v>
      </c>
      <c r="P69" s="117">
        <v>0</v>
      </c>
      <c r="Q69" s="267">
        <v>0</v>
      </c>
      <c r="R69" s="158">
        <v>0</v>
      </c>
      <c r="S69" s="117">
        <v>0</v>
      </c>
      <c r="T69" s="267" t="s">
        <v>488</v>
      </c>
      <c r="U69" s="117">
        <v>0</v>
      </c>
      <c r="V69" s="267" t="s">
        <v>488</v>
      </c>
      <c r="W69" s="117">
        <v>0</v>
      </c>
      <c r="X69" s="267" t="s">
        <v>488</v>
      </c>
      <c r="Z69" s="206" t="s">
        <v>1325</v>
      </c>
      <c r="AA69" t="s">
        <v>5541</v>
      </c>
    </row>
    <row r="70" spans="1:27" x14ac:dyDescent="0.25">
      <c r="A70" s="117">
        <v>540055</v>
      </c>
      <c r="B70" s="2" t="s">
        <v>153</v>
      </c>
      <c r="C70" s="2" t="s">
        <v>33</v>
      </c>
      <c r="D70" s="2" t="s">
        <v>115</v>
      </c>
      <c r="E70" s="117">
        <v>6</v>
      </c>
      <c r="F70" s="117">
        <v>61.6</v>
      </c>
      <c r="G70" s="117">
        <v>1.6</v>
      </c>
      <c r="H70" s="117">
        <v>0.1</v>
      </c>
      <c r="I70" s="158">
        <v>6.25E-2</v>
      </c>
      <c r="J70" s="117">
        <v>0.5</v>
      </c>
      <c r="K70" s="267">
        <v>0.3125</v>
      </c>
      <c r="L70" s="117">
        <v>0.1</v>
      </c>
      <c r="M70" s="267">
        <v>6.25E-2</v>
      </c>
      <c r="N70" s="117">
        <v>1</v>
      </c>
      <c r="O70" s="158">
        <v>0.625</v>
      </c>
      <c r="P70" s="117">
        <v>0.2</v>
      </c>
      <c r="Q70" s="267">
        <v>0.125</v>
      </c>
      <c r="R70" s="158">
        <v>3.2000000000000002E-3</v>
      </c>
      <c r="S70" s="117">
        <v>0.1</v>
      </c>
      <c r="T70" s="267" t="s">
        <v>488</v>
      </c>
      <c r="U70" s="117">
        <v>0.1</v>
      </c>
      <c r="V70" s="267" t="s">
        <v>488</v>
      </c>
      <c r="W70" s="117">
        <v>0</v>
      </c>
      <c r="X70" s="267" t="s">
        <v>488</v>
      </c>
      <c r="Z70" s="206" t="s">
        <v>1326</v>
      </c>
      <c r="AA70" s="254" t="s">
        <v>5542</v>
      </c>
    </row>
    <row r="71" spans="1:27" x14ac:dyDescent="0.25">
      <c r="A71" s="117">
        <v>540056</v>
      </c>
      <c r="B71" s="2" t="s">
        <v>154</v>
      </c>
      <c r="C71" s="2" t="s">
        <v>33</v>
      </c>
      <c r="D71" s="2" t="s">
        <v>115</v>
      </c>
      <c r="E71" s="117">
        <v>6</v>
      </c>
      <c r="F71" s="117">
        <v>60.2</v>
      </c>
      <c r="G71" s="117">
        <v>4.0999999999999996</v>
      </c>
      <c r="H71" s="117">
        <v>0</v>
      </c>
      <c r="I71" s="158">
        <v>0</v>
      </c>
      <c r="J71" s="117">
        <v>1.8</v>
      </c>
      <c r="K71" s="267">
        <v>0.439</v>
      </c>
      <c r="L71" s="117">
        <v>0.5</v>
      </c>
      <c r="M71" s="267">
        <v>0.122</v>
      </c>
      <c r="N71" s="117">
        <v>1.9</v>
      </c>
      <c r="O71" s="158">
        <v>0.46339999999999998</v>
      </c>
      <c r="P71" s="117">
        <v>0.1</v>
      </c>
      <c r="Q71" s="267">
        <v>2.4400000000000002E-2</v>
      </c>
      <c r="R71" s="158">
        <v>1.6999999999999999E-3</v>
      </c>
      <c r="S71" s="117">
        <v>0</v>
      </c>
      <c r="T71" s="267" t="s">
        <v>488</v>
      </c>
      <c r="U71" s="117">
        <v>0.1</v>
      </c>
      <c r="V71" s="267" t="s">
        <v>488</v>
      </c>
      <c r="W71" s="117">
        <v>0</v>
      </c>
      <c r="X71" s="267" t="s">
        <v>488</v>
      </c>
    </row>
    <row r="72" spans="1:27" x14ac:dyDescent="0.25">
      <c r="A72" s="117">
        <v>540057</v>
      </c>
      <c r="B72" s="2" t="s">
        <v>155</v>
      </c>
      <c r="C72" s="2" t="s">
        <v>33</v>
      </c>
      <c r="D72" s="2" t="s">
        <v>115</v>
      </c>
      <c r="E72" s="117">
        <v>6</v>
      </c>
      <c r="F72" s="117">
        <v>9.6999999999999993</v>
      </c>
      <c r="G72" s="117">
        <v>1.7</v>
      </c>
      <c r="H72" s="117">
        <v>0.2</v>
      </c>
      <c r="I72" s="158">
        <v>0.1176</v>
      </c>
      <c r="J72" s="117">
        <v>0</v>
      </c>
      <c r="K72" s="267">
        <v>0</v>
      </c>
      <c r="L72" s="117">
        <v>0</v>
      </c>
      <c r="M72" s="267">
        <v>0</v>
      </c>
      <c r="N72" s="117">
        <v>1.5</v>
      </c>
      <c r="O72" s="158">
        <v>0.88239999999999996</v>
      </c>
      <c r="P72" s="117">
        <v>0</v>
      </c>
      <c r="Q72" s="267">
        <v>0</v>
      </c>
      <c r="R72" s="158">
        <v>0</v>
      </c>
      <c r="S72" s="117">
        <v>0</v>
      </c>
      <c r="T72" s="267" t="s">
        <v>488</v>
      </c>
      <c r="U72" s="117">
        <v>0</v>
      </c>
      <c r="V72" s="267" t="s">
        <v>488</v>
      </c>
      <c r="W72" s="117">
        <v>0</v>
      </c>
      <c r="X72" s="267" t="s">
        <v>488</v>
      </c>
    </row>
    <row r="73" spans="1:27" x14ac:dyDescent="0.25">
      <c r="A73" s="117">
        <v>540058</v>
      </c>
      <c r="B73" s="2" t="s">
        <v>156</v>
      </c>
      <c r="C73" s="2" t="s">
        <v>33</v>
      </c>
      <c r="D73" s="2" t="s">
        <v>115</v>
      </c>
      <c r="E73" s="117">
        <v>6</v>
      </c>
      <c r="F73" s="117">
        <v>3.8</v>
      </c>
      <c r="G73" s="117">
        <v>0.3</v>
      </c>
      <c r="H73" s="117">
        <v>0</v>
      </c>
      <c r="I73" s="158">
        <v>0</v>
      </c>
      <c r="J73" s="117">
        <v>0</v>
      </c>
      <c r="K73" s="267">
        <v>0</v>
      </c>
      <c r="L73" s="117">
        <v>0.1</v>
      </c>
      <c r="M73" s="267">
        <v>0.33329999999999999</v>
      </c>
      <c r="N73" s="117">
        <v>0.2</v>
      </c>
      <c r="O73" s="158">
        <v>0.66669999999999996</v>
      </c>
      <c r="P73" s="117">
        <v>0</v>
      </c>
      <c r="Q73" s="267">
        <v>0</v>
      </c>
      <c r="R73" s="158">
        <v>0</v>
      </c>
      <c r="S73" s="117">
        <v>0</v>
      </c>
      <c r="T73" s="267" t="s">
        <v>488</v>
      </c>
      <c r="U73" s="117">
        <v>0</v>
      </c>
      <c r="V73" s="267" t="s">
        <v>488</v>
      </c>
      <c r="W73" s="117">
        <v>0</v>
      </c>
      <c r="X73" s="267" t="s">
        <v>488</v>
      </c>
    </row>
    <row r="74" spans="1:27" x14ac:dyDescent="0.25">
      <c r="A74" s="117">
        <v>540059</v>
      </c>
      <c r="B74" s="2" t="s">
        <v>157</v>
      </c>
      <c r="C74" s="2" t="s">
        <v>33</v>
      </c>
      <c r="D74" s="2" t="s">
        <v>115</v>
      </c>
      <c r="E74" s="117">
        <v>6</v>
      </c>
      <c r="F74" s="117">
        <v>3.8</v>
      </c>
      <c r="G74" s="117">
        <v>0.8</v>
      </c>
      <c r="H74" s="117">
        <v>0</v>
      </c>
      <c r="I74" s="158">
        <v>0</v>
      </c>
      <c r="J74" s="117">
        <v>0</v>
      </c>
      <c r="K74" s="267">
        <v>0</v>
      </c>
      <c r="L74" s="117">
        <v>0.3</v>
      </c>
      <c r="M74" s="267">
        <v>0.375</v>
      </c>
      <c r="N74" s="117">
        <v>0.5</v>
      </c>
      <c r="O74" s="158">
        <v>0.625</v>
      </c>
      <c r="P74" s="117">
        <v>0</v>
      </c>
      <c r="Q74" s="267">
        <v>0</v>
      </c>
      <c r="R74" s="158">
        <v>0</v>
      </c>
      <c r="S74" s="117">
        <v>0</v>
      </c>
      <c r="T74" s="267" t="s">
        <v>488</v>
      </c>
      <c r="U74" s="117">
        <v>0</v>
      </c>
      <c r="V74" s="267" t="s">
        <v>488</v>
      </c>
      <c r="W74" s="117">
        <v>0</v>
      </c>
      <c r="X74" s="267" t="s">
        <v>488</v>
      </c>
    </row>
    <row r="75" spans="1:27" x14ac:dyDescent="0.25">
      <c r="A75" s="117">
        <v>540060</v>
      </c>
      <c r="B75" s="2" t="s">
        <v>158</v>
      </c>
      <c r="C75" s="2" t="s">
        <v>33</v>
      </c>
      <c r="D75" s="2" t="s">
        <v>115</v>
      </c>
      <c r="E75" s="117">
        <v>6</v>
      </c>
      <c r="F75" s="117">
        <v>8.6</v>
      </c>
      <c r="G75" s="117">
        <v>2</v>
      </c>
      <c r="H75" s="117">
        <v>0</v>
      </c>
      <c r="I75" s="158">
        <v>0</v>
      </c>
      <c r="J75" s="117">
        <v>1.4</v>
      </c>
      <c r="K75" s="267">
        <v>0.7</v>
      </c>
      <c r="L75" s="117">
        <v>0.1</v>
      </c>
      <c r="M75" s="267">
        <v>0.05</v>
      </c>
      <c r="N75" s="117">
        <v>0.5</v>
      </c>
      <c r="O75" s="158">
        <v>0.25</v>
      </c>
      <c r="P75" s="117">
        <v>0</v>
      </c>
      <c r="Q75" s="267">
        <v>0</v>
      </c>
      <c r="R75" s="158">
        <v>0</v>
      </c>
      <c r="S75" s="117">
        <v>0</v>
      </c>
      <c r="T75" s="267" t="s">
        <v>488</v>
      </c>
      <c r="U75" s="117">
        <v>0</v>
      </c>
      <c r="V75" s="267" t="s">
        <v>488</v>
      </c>
      <c r="W75" s="117">
        <v>0</v>
      </c>
      <c r="X75" s="267" t="s">
        <v>488</v>
      </c>
    </row>
    <row r="76" spans="1:27" x14ac:dyDescent="0.25">
      <c r="A76" s="117">
        <v>540061</v>
      </c>
      <c r="B76" s="2" t="s">
        <v>159</v>
      </c>
      <c r="C76" s="2" t="s">
        <v>33</v>
      </c>
      <c r="D76" s="2" t="s">
        <v>115</v>
      </c>
      <c r="E76" s="117">
        <v>6</v>
      </c>
      <c r="F76" s="117">
        <v>3.9</v>
      </c>
      <c r="G76" s="117">
        <v>0.6</v>
      </c>
      <c r="H76" s="117">
        <v>0</v>
      </c>
      <c r="I76" s="158">
        <v>0</v>
      </c>
      <c r="J76" s="117">
        <v>0</v>
      </c>
      <c r="K76" s="267">
        <v>0</v>
      </c>
      <c r="L76" s="117">
        <v>0</v>
      </c>
      <c r="M76" s="267">
        <v>0</v>
      </c>
      <c r="N76" s="117">
        <v>0.6</v>
      </c>
      <c r="O76" s="158">
        <v>1</v>
      </c>
      <c r="P76" s="117">
        <v>0</v>
      </c>
      <c r="Q76" s="267">
        <v>0</v>
      </c>
      <c r="R76" s="158">
        <v>0</v>
      </c>
      <c r="S76" s="117">
        <v>0</v>
      </c>
      <c r="T76" s="267" t="s">
        <v>488</v>
      </c>
      <c r="U76" s="117">
        <v>0</v>
      </c>
      <c r="V76" s="267" t="s">
        <v>488</v>
      </c>
      <c r="W76" s="117">
        <v>0</v>
      </c>
      <c r="X76" s="267" t="s">
        <v>488</v>
      </c>
    </row>
    <row r="77" spans="1:27" x14ac:dyDescent="0.25">
      <c r="A77" s="117">
        <v>540062</v>
      </c>
      <c r="B77" s="2" t="s">
        <v>160</v>
      </c>
      <c r="C77" s="2" t="s">
        <v>33</v>
      </c>
      <c r="D77" s="2" t="s">
        <v>115</v>
      </c>
      <c r="E77" s="117">
        <v>6</v>
      </c>
      <c r="F77" s="117">
        <v>4.5999999999999996</v>
      </c>
      <c r="G77" s="117">
        <v>0</v>
      </c>
      <c r="H77" s="117">
        <v>0</v>
      </c>
      <c r="I77" s="267" t="s">
        <v>488</v>
      </c>
      <c r="J77" s="117">
        <v>0</v>
      </c>
      <c r="K77" s="267" t="s">
        <v>488</v>
      </c>
      <c r="L77" s="117">
        <v>0</v>
      </c>
      <c r="M77" s="267" t="s">
        <v>488</v>
      </c>
      <c r="N77" s="117">
        <v>0</v>
      </c>
      <c r="O77" s="267" t="s">
        <v>488</v>
      </c>
      <c r="P77" s="117">
        <v>0</v>
      </c>
      <c r="Q77" s="267" t="s">
        <v>488</v>
      </c>
      <c r="R77" s="158">
        <v>0</v>
      </c>
      <c r="S77" s="117">
        <v>0</v>
      </c>
      <c r="T77" s="267" t="s">
        <v>488</v>
      </c>
      <c r="U77" s="117">
        <v>0</v>
      </c>
      <c r="V77" s="267" t="s">
        <v>488</v>
      </c>
      <c r="W77" s="117">
        <v>0</v>
      </c>
      <c r="X77" s="267" t="s">
        <v>488</v>
      </c>
    </row>
    <row r="78" spans="1:27" x14ac:dyDescent="0.25">
      <c r="A78" s="117">
        <v>540242</v>
      </c>
      <c r="B78" s="2" t="s">
        <v>289</v>
      </c>
      <c r="C78" s="2" t="s">
        <v>33</v>
      </c>
      <c r="D78" s="2" t="s">
        <v>115</v>
      </c>
      <c r="E78" s="117">
        <v>6</v>
      </c>
      <c r="F78" s="117">
        <v>6.7</v>
      </c>
      <c r="G78" s="117">
        <v>0.6</v>
      </c>
      <c r="H78" s="117">
        <v>0</v>
      </c>
      <c r="I78" s="158">
        <v>0</v>
      </c>
      <c r="J78" s="117">
        <v>0</v>
      </c>
      <c r="K78" s="267">
        <v>0</v>
      </c>
      <c r="L78" s="117">
        <v>0</v>
      </c>
      <c r="M78" s="267">
        <v>0</v>
      </c>
      <c r="N78" s="117">
        <v>0.6</v>
      </c>
      <c r="O78" s="158">
        <v>1</v>
      </c>
      <c r="P78" s="117">
        <v>0.6</v>
      </c>
      <c r="Q78" s="267">
        <v>1</v>
      </c>
      <c r="R78" s="158">
        <v>8.9599999999999999E-2</v>
      </c>
      <c r="S78" s="117">
        <v>0.2</v>
      </c>
      <c r="T78" s="267">
        <v>0.33329999999999999</v>
      </c>
      <c r="U78" s="117">
        <v>0.3</v>
      </c>
      <c r="V78" s="267">
        <v>0.5</v>
      </c>
      <c r="W78" s="117">
        <v>0.1</v>
      </c>
      <c r="X78" s="267">
        <v>0.16669999999999999</v>
      </c>
    </row>
    <row r="79" spans="1:27" x14ac:dyDescent="0.25">
      <c r="A79" s="269"/>
      <c r="B79" s="269"/>
      <c r="C79" s="269" t="s">
        <v>33</v>
      </c>
      <c r="D79" s="269"/>
      <c r="E79" s="269"/>
      <c r="F79" s="270">
        <v>1027.3</v>
      </c>
      <c r="G79" s="270">
        <v>78</v>
      </c>
      <c r="H79" s="270">
        <v>0.5</v>
      </c>
      <c r="I79" s="352">
        <v>6.4000000000000003E-3</v>
      </c>
      <c r="J79" s="270">
        <v>11.8</v>
      </c>
      <c r="K79" s="271">
        <v>0.15129999999999999</v>
      </c>
      <c r="L79" s="270">
        <v>5</v>
      </c>
      <c r="M79" s="271">
        <v>6.4100000000000004E-2</v>
      </c>
      <c r="N79" s="270">
        <v>60.9</v>
      </c>
      <c r="O79" s="352">
        <v>0.78080000000000005</v>
      </c>
      <c r="P79" s="270">
        <v>27.6</v>
      </c>
      <c r="Q79" s="271">
        <v>0.3538</v>
      </c>
      <c r="R79" s="352">
        <v>2.69E-2</v>
      </c>
      <c r="S79" s="270">
        <v>6.1</v>
      </c>
      <c r="T79" s="271">
        <v>0.221</v>
      </c>
      <c r="U79" s="270">
        <v>11.2</v>
      </c>
      <c r="V79" s="271">
        <v>0.40579999999999999</v>
      </c>
      <c r="W79" s="270">
        <v>10.3</v>
      </c>
      <c r="X79" s="271">
        <v>0.37319999999999998</v>
      </c>
    </row>
    <row r="80" spans="1:27" x14ac:dyDescent="0.25">
      <c r="A80" s="117">
        <v>540063</v>
      </c>
      <c r="B80" s="2" t="s">
        <v>34</v>
      </c>
      <c r="C80" s="2" t="s">
        <v>35</v>
      </c>
      <c r="D80" s="2" t="s">
        <v>5</v>
      </c>
      <c r="E80" s="117">
        <v>5</v>
      </c>
      <c r="F80" s="117">
        <v>961.3</v>
      </c>
      <c r="G80" s="117">
        <v>94.9</v>
      </c>
      <c r="H80" s="117">
        <v>5.2</v>
      </c>
      <c r="I80" s="158">
        <v>5.4800000000000001E-2</v>
      </c>
      <c r="J80" s="117">
        <v>10</v>
      </c>
      <c r="K80" s="267">
        <v>0.10539999999999999</v>
      </c>
      <c r="L80" s="117">
        <v>5.7</v>
      </c>
      <c r="M80" s="267">
        <v>6.0100000000000001E-2</v>
      </c>
      <c r="N80" s="117">
        <v>73.900000000000006</v>
      </c>
      <c r="O80" s="158">
        <v>0.77869999999999995</v>
      </c>
      <c r="P80" s="117">
        <v>0</v>
      </c>
      <c r="Q80" s="267">
        <v>0</v>
      </c>
      <c r="R80" s="158">
        <v>0</v>
      </c>
      <c r="S80" s="117">
        <v>0</v>
      </c>
      <c r="T80" s="267" t="s">
        <v>488</v>
      </c>
      <c r="U80" s="117">
        <v>0</v>
      </c>
      <c r="V80" s="267" t="s">
        <v>488</v>
      </c>
      <c r="W80" s="117">
        <v>0</v>
      </c>
      <c r="X80" s="267" t="s">
        <v>488</v>
      </c>
    </row>
    <row r="81" spans="1:27" x14ac:dyDescent="0.25">
      <c r="A81" s="117">
        <v>540064</v>
      </c>
      <c r="B81" s="2" t="s">
        <v>161</v>
      </c>
      <c r="C81" s="2" t="s">
        <v>35</v>
      </c>
      <c r="D81" s="2" t="s">
        <v>115</v>
      </c>
      <c r="E81" s="117">
        <v>5</v>
      </c>
      <c r="F81" s="117">
        <v>15.6</v>
      </c>
      <c r="G81" s="117">
        <v>0.4</v>
      </c>
      <c r="H81" s="117">
        <v>0</v>
      </c>
      <c r="I81" s="158">
        <v>0</v>
      </c>
      <c r="J81" s="117">
        <v>0.1</v>
      </c>
      <c r="K81" s="267">
        <v>0.25</v>
      </c>
      <c r="L81" s="117">
        <v>0</v>
      </c>
      <c r="M81" s="267">
        <v>0</v>
      </c>
      <c r="N81" s="117">
        <v>0.3</v>
      </c>
      <c r="O81" s="158">
        <v>0.75</v>
      </c>
      <c r="P81" s="117">
        <v>0</v>
      </c>
      <c r="Q81" s="267">
        <v>0</v>
      </c>
      <c r="R81" s="158">
        <v>0</v>
      </c>
      <c r="S81" s="117">
        <v>0</v>
      </c>
      <c r="T81" s="267" t="s">
        <v>488</v>
      </c>
      <c r="U81" s="117">
        <v>0</v>
      </c>
      <c r="V81" s="267" t="s">
        <v>488</v>
      </c>
      <c r="W81" s="117">
        <v>0</v>
      </c>
      <c r="X81" s="267" t="s">
        <v>488</v>
      </c>
    </row>
    <row r="82" spans="1:27" x14ac:dyDescent="0.25">
      <c r="A82" s="117">
        <v>540241</v>
      </c>
      <c r="B82" s="2" t="s">
        <v>288</v>
      </c>
      <c r="C82" s="2" t="s">
        <v>35</v>
      </c>
      <c r="D82" s="2" t="s">
        <v>115</v>
      </c>
      <c r="E82" s="117">
        <v>5</v>
      </c>
      <c r="F82" s="117">
        <v>6.5</v>
      </c>
      <c r="G82" s="117">
        <v>2.6</v>
      </c>
      <c r="H82" s="117">
        <v>0</v>
      </c>
      <c r="I82" s="158">
        <v>0</v>
      </c>
      <c r="J82" s="117">
        <v>1</v>
      </c>
      <c r="K82" s="267">
        <v>0.3846</v>
      </c>
      <c r="L82" s="117">
        <v>0.5</v>
      </c>
      <c r="M82" s="267">
        <v>0.1923</v>
      </c>
      <c r="N82" s="117">
        <v>1.1000000000000001</v>
      </c>
      <c r="O82" s="158">
        <v>0.42309999999999998</v>
      </c>
      <c r="P82" s="117">
        <v>0</v>
      </c>
      <c r="Q82" s="267">
        <v>0</v>
      </c>
      <c r="R82" s="158">
        <v>0</v>
      </c>
      <c r="S82" s="117">
        <v>0</v>
      </c>
      <c r="T82" s="267" t="s">
        <v>488</v>
      </c>
      <c r="U82" s="117">
        <v>0</v>
      </c>
      <c r="V82" s="267" t="s">
        <v>488</v>
      </c>
      <c r="W82" s="117">
        <v>0</v>
      </c>
      <c r="X82" s="267" t="s">
        <v>488</v>
      </c>
    </row>
    <row r="83" spans="1:27" x14ac:dyDescent="0.25">
      <c r="A83" s="269"/>
      <c r="B83" s="269"/>
      <c r="C83" s="269" t="s">
        <v>35</v>
      </c>
      <c r="D83" s="269"/>
      <c r="E83" s="269"/>
      <c r="F83" s="270">
        <v>983.4</v>
      </c>
      <c r="G83" s="270">
        <v>97.9</v>
      </c>
      <c r="H83" s="270">
        <v>5.2</v>
      </c>
      <c r="I83" s="352">
        <v>5.3100000000000001E-2</v>
      </c>
      <c r="J83" s="270">
        <v>11.1</v>
      </c>
      <c r="K83" s="271">
        <v>0.1134</v>
      </c>
      <c r="L83" s="270">
        <v>6.2</v>
      </c>
      <c r="M83" s="271">
        <v>6.3299999999999995E-2</v>
      </c>
      <c r="N83" s="270">
        <v>75.3</v>
      </c>
      <c r="O83" s="352">
        <v>0.76919999999999999</v>
      </c>
      <c r="P83" s="270">
        <v>0</v>
      </c>
      <c r="Q83" s="271">
        <v>0</v>
      </c>
      <c r="R83" s="352">
        <v>0</v>
      </c>
      <c r="S83" s="270">
        <v>0</v>
      </c>
      <c r="T83" s="271" t="s">
        <v>488</v>
      </c>
      <c r="U83" s="270">
        <v>0</v>
      </c>
      <c r="V83" s="271" t="s">
        <v>488</v>
      </c>
      <c r="W83" s="270">
        <v>0</v>
      </c>
      <c r="X83" s="271" t="s">
        <v>488</v>
      </c>
    </row>
    <row r="84" spans="1:27" x14ac:dyDescent="0.25">
      <c r="A84" s="353">
        <v>540065</v>
      </c>
      <c r="B84" s="62" t="s">
        <v>36</v>
      </c>
      <c r="C84" s="62" t="s">
        <v>37</v>
      </c>
      <c r="D84" s="62" t="s">
        <v>5</v>
      </c>
      <c r="E84" s="353">
        <v>9</v>
      </c>
      <c r="F84" s="353">
        <v>434.8</v>
      </c>
      <c r="G84" s="353">
        <v>30.8</v>
      </c>
      <c r="H84" s="353">
        <v>0</v>
      </c>
      <c r="I84" s="354">
        <v>0</v>
      </c>
      <c r="J84" s="353">
        <v>1.1000000000000001</v>
      </c>
      <c r="K84" s="355">
        <v>3.5700000000000003E-2</v>
      </c>
      <c r="L84" s="353">
        <v>2.2999999999999998</v>
      </c>
      <c r="M84" s="355">
        <v>7.4700000000000003E-2</v>
      </c>
      <c r="N84" s="353">
        <v>27.3</v>
      </c>
      <c r="O84" s="354">
        <v>0.88639999999999997</v>
      </c>
      <c r="P84" s="353">
        <v>20.8</v>
      </c>
      <c r="Q84" s="355">
        <v>0.67530000000000001</v>
      </c>
      <c r="R84" s="354">
        <v>4.7800000000000002E-2</v>
      </c>
      <c r="S84" s="353">
        <v>2.2999999999999998</v>
      </c>
      <c r="T84" s="355">
        <v>0.1106</v>
      </c>
      <c r="U84" s="353">
        <v>2.9</v>
      </c>
      <c r="V84" s="355">
        <v>0.1394</v>
      </c>
      <c r="W84" s="353">
        <v>15.6</v>
      </c>
      <c r="X84" s="355">
        <v>0.75</v>
      </c>
      <c r="Y84" s="61"/>
      <c r="Z84" s="61"/>
      <c r="AA84" s="61"/>
    </row>
    <row r="85" spans="1:27" x14ac:dyDescent="0.25">
      <c r="A85" s="117">
        <v>540030</v>
      </c>
      <c r="B85" s="2" t="s">
        <v>135</v>
      </c>
      <c r="C85" s="2" t="s">
        <v>37</v>
      </c>
      <c r="D85" s="2" t="s">
        <v>115</v>
      </c>
      <c r="E85" s="117">
        <v>9</v>
      </c>
      <c r="F85" s="117">
        <v>3</v>
      </c>
      <c r="G85" s="117">
        <v>0.1</v>
      </c>
      <c r="H85" s="117">
        <v>0</v>
      </c>
      <c r="I85" s="158">
        <v>0</v>
      </c>
      <c r="J85" s="117">
        <v>0</v>
      </c>
      <c r="K85" s="267">
        <v>0</v>
      </c>
      <c r="L85" s="117">
        <v>0</v>
      </c>
      <c r="M85" s="267">
        <v>0</v>
      </c>
      <c r="N85" s="117">
        <v>0.1</v>
      </c>
      <c r="O85" s="158">
        <v>1</v>
      </c>
      <c r="P85" s="117">
        <v>0.1</v>
      </c>
      <c r="Q85" s="267">
        <v>1</v>
      </c>
      <c r="R85" s="158">
        <v>3.3300000000000003E-2</v>
      </c>
      <c r="S85" s="117">
        <v>0</v>
      </c>
      <c r="T85" s="267">
        <v>0</v>
      </c>
      <c r="U85" s="117">
        <v>0</v>
      </c>
      <c r="V85" s="267">
        <v>0</v>
      </c>
      <c r="W85" s="117">
        <v>0.1</v>
      </c>
      <c r="X85" s="267">
        <v>1</v>
      </c>
    </row>
    <row r="86" spans="1:27" x14ac:dyDescent="0.25">
      <c r="A86" s="117">
        <v>540066</v>
      </c>
      <c r="B86" s="2" t="s">
        <v>162</v>
      </c>
      <c r="C86" s="2" t="s">
        <v>37</v>
      </c>
      <c r="D86" s="2" t="s">
        <v>115</v>
      </c>
      <c r="E86" s="117">
        <v>9</v>
      </c>
      <c r="F86" s="117">
        <v>23</v>
      </c>
      <c r="G86" s="117">
        <v>1</v>
      </c>
      <c r="H86" s="117">
        <v>0</v>
      </c>
      <c r="I86" s="158">
        <v>0</v>
      </c>
      <c r="J86" s="117">
        <v>0.5</v>
      </c>
      <c r="K86" s="267">
        <v>0.5</v>
      </c>
      <c r="L86" s="117">
        <v>0.2</v>
      </c>
      <c r="M86" s="267">
        <v>0.2</v>
      </c>
      <c r="N86" s="117">
        <v>0.3</v>
      </c>
      <c r="O86" s="158">
        <v>0.3</v>
      </c>
      <c r="P86" s="117">
        <v>0</v>
      </c>
      <c r="Q86" s="267">
        <v>0</v>
      </c>
      <c r="R86" s="158">
        <v>0</v>
      </c>
      <c r="S86" s="117">
        <v>0</v>
      </c>
      <c r="T86" s="267" t="s">
        <v>488</v>
      </c>
      <c r="U86" s="117">
        <v>0</v>
      </c>
      <c r="V86" s="267" t="s">
        <v>488</v>
      </c>
      <c r="W86" s="117">
        <v>0</v>
      </c>
      <c r="X86" s="267" t="s">
        <v>488</v>
      </c>
    </row>
    <row r="87" spans="1:27" x14ac:dyDescent="0.25">
      <c r="A87" s="117">
        <v>540067</v>
      </c>
      <c r="B87" s="2" t="s">
        <v>163</v>
      </c>
      <c r="C87" s="2" t="s">
        <v>37</v>
      </c>
      <c r="D87" s="2" t="s">
        <v>115</v>
      </c>
      <c r="E87" s="117">
        <v>9</v>
      </c>
      <c r="F87" s="117">
        <v>1.7</v>
      </c>
      <c r="G87" s="117">
        <v>0.7</v>
      </c>
      <c r="H87" s="117">
        <v>0</v>
      </c>
      <c r="I87" s="158">
        <v>0</v>
      </c>
      <c r="J87" s="117">
        <v>0.4</v>
      </c>
      <c r="K87" s="267">
        <v>0.57140000000000002</v>
      </c>
      <c r="L87" s="117">
        <v>0</v>
      </c>
      <c r="M87" s="267">
        <v>0</v>
      </c>
      <c r="N87" s="117">
        <v>0.3</v>
      </c>
      <c r="O87" s="158">
        <v>0.42859999999999998</v>
      </c>
      <c r="P87" s="117">
        <v>0.6</v>
      </c>
      <c r="Q87" s="267">
        <v>0.85709999999999997</v>
      </c>
      <c r="R87" s="158">
        <v>0.35289999999999999</v>
      </c>
      <c r="S87" s="117">
        <v>0.1</v>
      </c>
      <c r="T87" s="267">
        <v>0.16669999999999999</v>
      </c>
      <c r="U87" s="117">
        <v>0.1</v>
      </c>
      <c r="V87" s="267">
        <v>0.16669999999999999</v>
      </c>
      <c r="W87" s="117">
        <v>0.4</v>
      </c>
      <c r="X87" s="267">
        <v>0.66669999999999996</v>
      </c>
    </row>
    <row r="88" spans="1:27" x14ac:dyDescent="0.25">
      <c r="A88" s="117">
        <v>540068</v>
      </c>
      <c r="B88" s="2" t="s">
        <v>164</v>
      </c>
      <c r="C88" s="2" t="s">
        <v>37</v>
      </c>
      <c r="D88" s="2" t="s">
        <v>115</v>
      </c>
      <c r="E88" s="117">
        <v>9</v>
      </c>
      <c r="F88" s="117">
        <v>29.2</v>
      </c>
      <c r="G88" s="117">
        <v>0</v>
      </c>
      <c r="H88" s="117">
        <v>0</v>
      </c>
      <c r="I88" s="267" t="s">
        <v>488</v>
      </c>
      <c r="J88" s="117">
        <v>0</v>
      </c>
      <c r="K88" s="267" t="s">
        <v>488</v>
      </c>
      <c r="L88" s="117">
        <v>0</v>
      </c>
      <c r="M88" s="267" t="s">
        <v>488</v>
      </c>
      <c r="N88" s="117">
        <v>0</v>
      </c>
      <c r="O88" s="267" t="s">
        <v>488</v>
      </c>
      <c r="P88" s="117">
        <v>0</v>
      </c>
      <c r="Q88" s="267" t="s">
        <v>488</v>
      </c>
      <c r="R88" s="158">
        <v>0</v>
      </c>
      <c r="S88" s="117">
        <v>0</v>
      </c>
      <c r="T88" s="267" t="s">
        <v>488</v>
      </c>
      <c r="U88" s="117">
        <v>0</v>
      </c>
      <c r="V88" s="267" t="s">
        <v>488</v>
      </c>
      <c r="W88" s="117">
        <v>0</v>
      </c>
      <c r="X88" s="267" t="s">
        <v>488</v>
      </c>
    </row>
    <row r="89" spans="1:27" x14ac:dyDescent="0.25">
      <c r="A89" s="117">
        <v>540069</v>
      </c>
      <c r="B89" s="2" t="s">
        <v>165</v>
      </c>
      <c r="C89" s="2" t="s">
        <v>37</v>
      </c>
      <c r="D89" s="2" t="s">
        <v>115</v>
      </c>
      <c r="E89" s="117">
        <v>9</v>
      </c>
      <c r="F89" s="117">
        <v>2.2000000000000002</v>
      </c>
      <c r="G89" s="117">
        <v>0.4</v>
      </c>
      <c r="H89" s="117">
        <v>0</v>
      </c>
      <c r="I89" s="158">
        <v>0</v>
      </c>
      <c r="J89" s="117">
        <v>0</v>
      </c>
      <c r="K89" s="267">
        <v>0</v>
      </c>
      <c r="L89" s="117">
        <v>0.1</v>
      </c>
      <c r="M89" s="267">
        <v>0.25</v>
      </c>
      <c r="N89" s="117">
        <v>0.3</v>
      </c>
      <c r="O89" s="158">
        <v>0.75</v>
      </c>
      <c r="P89" s="117">
        <v>0.3</v>
      </c>
      <c r="Q89" s="267">
        <v>0.75</v>
      </c>
      <c r="R89" s="158">
        <v>0.13639999999999999</v>
      </c>
      <c r="S89" s="117">
        <v>0</v>
      </c>
      <c r="T89" s="267" t="s">
        <v>488</v>
      </c>
      <c r="U89" s="117">
        <v>0.3</v>
      </c>
      <c r="V89" s="267" t="s">
        <v>488</v>
      </c>
      <c r="W89" s="117">
        <v>0</v>
      </c>
      <c r="X89" s="267" t="s">
        <v>488</v>
      </c>
    </row>
    <row r="90" spans="1:27" x14ac:dyDescent="0.25">
      <c r="A90" s="269"/>
      <c r="B90" s="269"/>
      <c r="C90" s="269" t="s">
        <v>37</v>
      </c>
      <c r="D90" s="269"/>
      <c r="E90" s="269"/>
      <c r="F90" s="270">
        <v>493.9</v>
      </c>
      <c r="G90" s="270">
        <v>33</v>
      </c>
      <c r="H90" s="270">
        <v>0</v>
      </c>
      <c r="I90" s="352">
        <v>0</v>
      </c>
      <c r="J90" s="270">
        <v>2</v>
      </c>
      <c r="K90" s="271">
        <v>6.0600000000000001E-2</v>
      </c>
      <c r="L90" s="270">
        <v>2.6</v>
      </c>
      <c r="M90" s="271">
        <v>7.8799999999999995E-2</v>
      </c>
      <c r="N90" s="270">
        <v>28.3</v>
      </c>
      <c r="O90" s="352">
        <v>0.85760000000000003</v>
      </c>
      <c r="P90" s="270">
        <v>21.8</v>
      </c>
      <c r="Q90" s="271">
        <v>0.66059999999999997</v>
      </c>
      <c r="R90" s="352">
        <v>4.41E-2</v>
      </c>
      <c r="S90" s="270">
        <v>2.4</v>
      </c>
      <c r="T90" s="271">
        <v>0.1101</v>
      </c>
      <c r="U90" s="270">
        <v>3.3</v>
      </c>
      <c r="V90" s="271">
        <v>0.15140000000000001</v>
      </c>
      <c r="W90" s="270">
        <v>16.100000000000001</v>
      </c>
      <c r="X90" s="271">
        <v>0.73850000000000005</v>
      </c>
    </row>
    <row r="91" spans="1:27" x14ac:dyDescent="0.25">
      <c r="A91" s="117">
        <v>540070</v>
      </c>
      <c r="B91" s="2" t="s">
        <v>38</v>
      </c>
      <c r="C91" s="2" t="s">
        <v>39</v>
      </c>
      <c r="D91" s="2" t="s">
        <v>5</v>
      </c>
      <c r="E91" s="117">
        <v>3</v>
      </c>
      <c r="F91" s="117">
        <v>1415.2</v>
      </c>
      <c r="G91" s="117">
        <v>317.39999999999998</v>
      </c>
      <c r="H91" s="117">
        <v>8.1</v>
      </c>
      <c r="I91" s="158">
        <v>2.5499999999999998E-2</v>
      </c>
      <c r="J91" s="117">
        <v>24</v>
      </c>
      <c r="K91" s="267">
        <v>7.5600000000000001E-2</v>
      </c>
      <c r="L91" s="117">
        <v>16.3</v>
      </c>
      <c r="M91" s="267">
        <v>5.1400000000000001E-2</v>
      </c>
      <c r="N91" s="117">
        <v>268.89999999999998</v>
      </c>
      <c r="O91" s="158">
        <v>0.84719999999999995</v>
      </c>
      <c r="P91" s="117">
        <v>76.400000000000006</v>
      </c>
      <c r="Q91" s="267">
        <v>0.2407</v>
      </c>
      <c r="R91" s="158">
        <v>5.3999999999999999E-2</v>
      </c>
      <c r="S91" s="117">
        <v>15.3</v>
      </c>
      <c r="T91" s="267">
        <v>0.20030000000000001</v>
      </c>
      <c r="U91" s="117">
        <v>27.9</v>
      </c>
      <c r="V91" s="267">
        <v>0.36520000000000002</v>
      </c>
      <c r="W91" s="117">
        <v>33.200000000000003</v>
      </c>
      <c r="X91" s="267">
        <v>0.43459999999999999</v>
      </c>
    </row>
    <row r="92" spans="1:27" x14ac:dyDescent="0.25">
      <c r="A92" s="117">
        <v>540029</v>
      </c>
      <c r="B92" s="2" t="s">
        <v>134</v>
      </c>
      <c r="C92" s="2" t="s">
        <v>39</v>
      </c>
      <c r="D92" s="2" t="s">
        <v>115</v>
      </c>
      <c r="E92" s="117">
        <v>3</v>
      </c>
      <c r="F92" s="117">
        <v>3.4</v>
      </c>
      <c r="G92" s="117">
        <v>0.5</v>
      </c>
      <c r="H92" s="117">
        <v>0</v>
      </c>
      <c r="I92" s="158">
        <v>0</v>
      </c>
      <c r="J92" s="117">
        <v>0</v>
      </c>
      <c r="K92" s="267">
        <v>0</v>
      </c>
      <c r="L92" s="117">
        <v>0.3</v>
      </c>
      <c r="M92" s="267">
        <v>0.6</v>
      </c>
      <c r="N92" s="117">
        <v>0.2</v>
      </c>
      <c r="O92" s="158">
        <v>0.4</v>
      </c>
      <c r="P92" s="117">
        <v>0.1</v>
      </c>
      <c r="Q92" s="267">
        <v>0.2</v>
      </c>
      <c r="R92" s="158">
        <v>2.9399999999999999E-2</v>
      </c>
      <c r="S92" s="117">
        <v>0</v>
      </c>
      <c r="T92" s="267" t="s">
        <v>488</v>
      </c>
      <c r="U92" s="117">
        <v>0.1</v>
      </c>
      <c r="V92" s="267" t="s">
        <v>488</v>
      </c>
      <c r="W92" s="117">
        <v>0</v>
      </c>
      <c r="X92" s="267" t="s">
        <v>488</v>
      </c>
    </row>
    <row r="93" spans="1:27" x14ac:dyDescent="0.25">
      <c r="A93" s="117">
        <v>540071</v>
      </c>
      <c r="B93" s="2" t="s">
        <v>166</v>
      </c>
      <c r="C93" s="2" t="s">
        <v>39</v>
      </c>
      <c r="D93" s="2" t="s">
        <v>115</v>
      </c>
      <c r="E93" s="117">
        <v>3</v>
      </c>
      <c r="F93" s="117">
        <v>7.6</v>
      </c>
      <c r="G93" s="117">
        <v>0.1</v>
      </c>
      <c r="H93" s="117">
        <v>0</v>
      </c>
      <c r="I93" s="158">
        <v>0</v>
      </c>
      <c r="J93" s="117">
        <v>0.1</v>
      </c>
      <c r="K93" s="267">
        <v>1</v>
      </c>
      <c r="L93" s="117">
        <v>0</v>
      </c>
      <c r="M93" s="267">
        <v>0</v>
      </c>
      <c r="N93" s="117">
        <v>0</v>
      </c>
      <c r="O93" s="158">
        <v>0</v>
      </c>
      <c r="P93" s="117">
        <v>0</v>
      </c>
      <c r="Q93" s="267">
        <v>0</v>
      </c>
      <c r="R93" s="158">
        <v>0</v>
      </c>
      <c r="S93" s="117">
        <v>0</v>
      </c>
      <c r="T93" s="267" t="s">
        <v>488</v>
      </c>
      <c r="U93" s="117">
        <v>0</v>
      </c>
      <c r="V93" s="267" t="s">
        <v>488</v>
      </c>
      <c r="W93" s="117">
        <v>0</v>
      </c>
      <c r="X93" s="267" t="s">
        <v>488</v>
      </c>
    </row>
    <row r="94" spans="1:27" x14ac:dyDescent="0.25">
      <c r="A94" s="117">
        <v>540072</v>
      </c>
      <c r="B94" s="2" t="s">
        <v>167</v>
      </c>
      <c r="C94" s="2" t="s">
        <v>39</v>
      </c>
      <c r="D94" s="2" t="s">
        <v>115</v>
      </c>
      <c r="E94" s="117">
        <v>3</v>
      </c>
      <c r="F94" s="117">
        <v>5.5</v>
      </c>
      <c r="G94" s="117">
        <v>0.6</v>
      </c>
      <c r="H94" s="117">
        <v>0</v>
      </c>
      <c r="I94" s="158">
        <v>0</v>
      </c>
      <c r="J94" s="117">
        <v>0.1</v>
      </c>
      <c r="K94" s="267">
        <v>0.16669999999999999</v>
      </c>
      <c r="L94" s="117">
        <v>0</v>
      </c>
      <c r="M94" s="267">
        <v>0</v>
      </c>
      <c r="N94" s="117">
        <v>0.5</v>
      </c>
      <c r="O94" s="158">
        <v>0.83330000000000004</v>
      </c>
      <c r="P94" s="117">
        <v>0</v>
      </c>
      <c r="Q94" s="267">
        <v>0</v>
      </c>
      <c r="R94" s="158">
        <v>0</v>
      </c>
      <c r="S94" s="117">
        <v>0</v>
      </c>
      <c r="T94" s="267" t="s">
        <v>488</v>
      </c>
      <c r="U94" s="117">
        <v>0</v>
      </c>
      <c r="V94" s="267" t="s">
        <v>488</v>
      </c>
      <c r="W94" s="117">
        <v>0</v>
      </c>
      <c r="X94" s="267" t="s">
        <v>488</v>
      </c>
    </row>
    <row r="95" spans="1:27" x14ac:dyDescent="0.25">
      <c r="A95" s="117">
        <v>540073</v>
      </c>
      <c r="B95" s="2" t="s">
        <v>168</v>
      </c>
      <c r="C95" s="2" t="s">
        <v>39</v>
      </c>
      <c r="D95" s="2" t="s">
        <v>115</v>
      </c>
      <c r="E95" s="117">
        <v>3</v>
      </c>
      <c r="F95" s="117">
        <v>154.4</v>
      </c>
      <c r="G95" s="117">
        <v>15.9</v>
      </c>
      <c r="H95" s="117">
        <v>1.1000000000000001</v>
      </c>
      <c r="I95" s="158">
        <v>6.9199999999999998E-2</v>
      </c>
      <c r="J95" s="117">
        <v>3.3</v>
      </c>
      <c r="K95" s="267">
        <v>0.20749999999999999</v>
      </c>
      <c r="L95" s="117">
        <v>2.9</v>
      </c>
      <c r="M95" s="267">
        <v>0.18240000000000001</v>
      </c>
      <c r="N95" s="117">
        <v>8.6999999999999993</v>
      </c>
      <c r="O95" s="158">
        <v>0.54720000000000002</v>
      </c>
      <c r="P95" s="117">
        <v>0.4</v>
      </c>
      <c r="Q95" s="267">
        <v>2.52E-2</v>
      </c>
      <c r="R95" s="158">
        <v>2.5999999999999999E-3</v>
      </c>
      <c r="S95" s="117">
        <v>0.1</v>
      </c>
      <c r="T95" s="267">
        <v>0.25</v>
      </c>
      <c r="U95" s="117">
        <v>0.1</v>
      </c>
      <c r="V95" s="267">
        <v>0.25</v>
      </c>
      <c r="W95" s="117">
        <v>0.2</v>
      </c>
      <c r="X95" s="267">
        <v>0.5</v>
      </c>
    </row>
    <row r="96" spans="1:27" x14ac:dyDescent="0.25">
      <c r="A96" s="117">
        <v>540074</v>
      </c>
      <c r="B96" s="2" t="s">
        <v>169</v>
      </c>
      <c r="C96" s="2" t="s">
        <v>39</v>
      </c>
      <c r="D96" s="2" t="s">
        <v>115</v>
      </c>
      <c r="E96" s="117">
        <v>3</v>
      </c>
      <c r="F96" s="117">
        <v>11.9</v>
      </c>
      <c r="G96" s="117">
        <v>1.6</v>
      </c>
      <c r="H96" s="117">
        <v>0</v>
      </c>
      <c r="I96" s="158">
        <v>0</v>
      </c>
      <c r="J96" s="117">
        <v>0</v>
      </c>
      <c r="K96" s="267">
        <v>0</v>
      </c>
      <c r="L96" s="117">
        <v>0.3</v>
      </c>
      <c r="M96" s="267">
        <v>0.1875</v>
      </c>
      <c r="N96" s="117">
        <v>1.2</v>
      </c>
      <c r="O96" s="158">
        <v>0.75</v>
      </c>
      <c r="P96" s="117">
        <v>0</v>
      </c>
      <c r="Q96" s="267">
        <v>0</v>
      </c>
      <c r="R96" s="158">
        <v>0</v>
      </c>
      <c r="S96" s="117">
        <v>0</v>
      </c>
      <c r="T96" s="267" t="s">
        <v>488</v>
      </c>
      <c r="U96" s="117">
        <v>0</v>
      </c>
      <c r="V96" s="267" t="s">
        <v>488</v>
      </c>
      <c r="W96" s="117">
        <v>0</v>
      </c>
      <c r="X96" s="267" t="s">
        <v>488</v>
      </c>
    </row>
    <row r="97" spans="1:24" x14ac:dyDescent="0.25">
      <c r="A97" s="117">
        <v>540075</v>
      </c>
      <c r="B97" s="2" t="s">
        <v>170</v>
      </c>
      <c r="C97" s="2" t="s">
        <v>39</v>
      </c>
      <c r="D97" s="2" t="s">
        <v>115</v>
      </c>
      <c r="E97" s="117">
        <v>3</v>
      </c>
      <c r="F97" s="117">
        <v>10</v>
      </c>
      <c r="G97" s="117">
        <v>5.0999999999999996</v>
      </c>
      <c r="H97" s="117">
        <v>0</v>
      </c>
      <c r="I97" s="158">
        <v>0</v>
      </c>
      <c r="J97" s="117">
        <v>2.2999999999999998</v>
      </c>
      <c r="K97" s="267">
        <v>0.45100000000000001</v>
      </c>
      <c r="L97" s="117">
        <v>0.9</v>
      </c>
      <c r="M97" s="267">
        <v>0.17649999999999999</v>
      </c>
      <c r="N97" s="117">
        <v>1.9</v>
      </c>
      <c r="O97" s="158">
        <v>0.3725</v>
      </c>
      <c r="P97" s="117">
        <v>3.5</v>
      </c>
      <c r="Q97" s="267">
        <v>0.68630000000000002</v>
      </c>
      <c r="R97" s="158">
        <v>0.35</v>
      </c>
      <c r="S97" s="117">
        <v>0.4</v>
      </c>
      <c r="T97" s="267">
        <v>0.1143</v>
      </c>
      <c r="U97" s="117">
        <v>1</v>
      </c>
      <c r="V97" s="267">
        <v>0.28570000000000001</v>
      </c>
      <c r="W97" s="117">
        <v>2.1</v>
      </c>
      <c r="X97" s="267">
        <v>0.6</v>
      </c>
    </row>
    <row r="98" spans="1:24" x14ac:dyDescent="0.25">
      <c r="A98" s="117">
        <v>540076</v>
      </c>
      <c r="B98" s="2" t="s">
        <v>171</v>
      </c>
      <c r="C98" s="2" t="s">
        <v>39</v>
      </c>
      <c r="D98" s="2" t="s">
        <v>115</v>
      </c>
      <c r="E98" s="117">
        <v>3</v>
      </c>
      <c r="F98" s="117">
        <v>17.399999999999999</v>
      </c>
      <c r="G98" s="117">
        <v>4.5</v>
      </c>
      <c r="H98" s="117">
        <v>0.5</v>
      </c>
      <c r="I98" s="158">
        <v>0.1111</v>
      </c>
      <c r="J98" s="117">
        <v>0</v>
      </c>
      <c r="K98" s="267">
        <v>0</v>
      </c>
      <c r="L98" s="117">
        <v>0.7</v>
      </c>
      <c r="M98" s="267">
        <v>0.15559999999999999</v>
      </c>
      <c r="N98" s="117">
        <v>3.3</v>
      </c>
      <c r="O98" s="158">
        <v>0.73329999999999995</v>
      </c>
      <c r="P98" s="117">
        <v>0</v>
      </c>
      <c r="Q98" s="267">
        <v>0</v>
      </c>
      <c r="R98" s="158">
        <v>0</v>
      </c>
      <c r="S98" s="117">
        <v>0</v>
      </c>
      <c r="T98" s="267" t="s">
        <v>488</v>
      </c>
      <c r="U98" s="117">
        <v>0</v>
      </c>
      <c r="V98" s="267" t="s">
        <v>488</v>
      </c>
      <c r="W98" s="117">
        <v>0</v>
      </c>
      <c r="X98" s="267" t="s">
        <v>488</v>
      </c>
    </row>
    <row r="99" spans="1:24" x14ac:dyDescent="0.25">
      <c r="A99" s="117">
        <v>540077</v>
      </c>
      <c r="B99" s="2" t="s">
        <v>172</v>
      </c>
      <c r="C99" s="2" t="s">
        <v>39</v>
      </c>
      <c r="D99" s="2" t="s">
        <v>115</v>
      </c>
      <c r="E99" s="117">
        <v>3</v>
      </c>
      <c r="F99" s="117">
        <v>1.3</v>
      </c>
      <c r="G99" s="117">
        <v>0.1</v>
      </c>
      <c r="H99" s="117">
        <v>0</v>
      </c>
      <c r="I99" s="158">
        <v>0</v>
      </c>
      <c r="J99" s="117">
        <v>0</v>
      </c>
      <c r="K99" s="267">
        <v>0</v>
      </c>
      <c r="L99" s="117">
        <v>0.1</v>
      </c>
      <c r="M99" s="267">
        <v>1</v>
      </c>
      <c r="N99" s="117">
        <v>0</v>
      </c>
      <c r="O99" s="158">
        <v>0</v>
      </c>
      <c r="P99" s="117">
        <v>0</v>
      </c>
      <c r="Q99" s="267">
        <v>0</v>
      </c>
      <c r="R99" s="158">
        <v>0</v>
      </c>
      <c r="S99" s="117">
        <v>0</v>
      </c>
      <c r="T99" s="267" t="s">
        <v>488</v>
      </c>
      <c r="U99" s="117">
        <v>0</v>
      </c>
      <c r="V99" s="267" t="s">
        <v>488</v>
      </c>
      <c r="W99" s="117">
        <v>0</v>
      </c>
      <c r="X99" s="267" t="s">
        <v>488</v>
      </c>
    </row>
    <row r="100" spans="1:24" x14ac:dyDescent="0.25">
      <c r="A100" s="117">
        <v>540078</v>
      </c>
      <c r="B100" s="2" t="s">
        <v>173</v>
      </c>
      <c r="C100" s="2" t="s">
        <v>39</v>
      </c>
      <c r="D100" s="2" t="s">
        <v>115</v>
      </c>
      <c r="E100" s="117">
        <v>3</v>
      </c>
      <c r="F100" s="117">
        <v>1.7</v>
      </c>
      <c r="G100" s="117">
        <v>0</v>
      </c>
      <c r="H100" s="117">
        <v>0</v>
      </c>
      <c r="I100" s="267" t="s">
        <v>488</v>
      </c>
      <c r="J100" s="117">
        <v>0</v>
      </c>
      <c r="K100" s="267" t="s">
        <v>488</v>
      </c>
      <c r="L100" s="117">
        <v>0</v>
      </c>
      <c r="M100" s="267" t="s">
        <v>488</v>
      </c>
      <c r="N100" s="117">
        <v>0</v>
      </c>
      <c r="O100" s="267" t="s">
        <v>488</v>
      </c>
      <c r="P100" s="117">
        <v>0</v>
      </c>
      <c r="Q100" s="267" t="s">
        <v>488</v>
      </c>
      <c r="R100" s="158">
        <v>0</v>
      </c>
      <c r="S100" s="117">
        <v>0</v>
      </c>
      <c r="T100" s="267" t="s">
        <v>488</v>
      </c>
      <c r="U100" s="117">
        <v>0</v>
      </c>
      <c r="V100" s="267" t="s">
        <v>488</v>
      </c>
      <c r="W100" s="117">
        <v>0</v>
      </c>
      <c r="X100" s="267" t="s">
        <v>488</v>
      </c>
    </row>
    <row r="101" spans="1:24" x14ac:dyDescent="0.25">
      <c r="A101" s="117">
        <v>540079</v>
      </c>
      <c r="B101" s="2" t="s">
        <v>174</v>
      </c>
      <c r="C101" s="2" t="s">
        <v>39</v>
      </c>
      <c r="D101" s="2" t="s">
        <v>115</v>
      </c>
      <c r="E101" s="117">
        <v>3</v>
      </c>
      <c r="F101" s="117">
        <v>7.5</v>
      </c>
      <c r="G101" s="117">
        <v>0.3</v>
      </c>
      <c r="H101" s="117">
        <v>0.1</v>
      </c>
      <c r="I101" s="158">
        <v>0.33329999999999999</v>
      </c>
      <c r="J101" s="117">
        <v>0</v>
      </c>
      <c r="K101" s="267">
        <v>0</v>
      </c>
      <c r="L101" s="117">
        <v>0.2</v>
      </c>
      <c r="M101" s="267">
        <v>0.66669999999999996</v>
      </c>
      <c r="N101" s="117">
        <v>0</v>
      </c>
      <c r="O101" s="158">
        <v>0</v>
      </c>
      <c r="P101" s="117">
        <v>0</v>
      </c>
      <c r="Q101" s="267">
        <v>0</v>
      </c>
      <c r="R101" s="158">
        <v>0</v>
      </c>
      <c r="S101" s="117">
        <v>0</v>
      </c>
      <c r="T101" s="267" t="s">
        <v>488</v>
      </c>
      <c r="U101" s="117">
        <v>0</v>
      </c>
      <c r="V101" s="267" t="s">
        <v>488</v>
      </c>
      <c r="W101" s="117">
        <v>0</v>
      </c>
      <c r="X101" s="267" t="s">
        <v>488</v>
      </c>
    </row>
    <row r="102" spans="1:24" x14ac:dyDescent="0.25">
      <c r="A102" s="117">
        <v>540081</v>
      </c>
      <c r="B102" s="2" t="s">
        <v>176</v>
      </c>
      <c r="C102" s="2" t="s">
        <v>39</v>
      </c>
      <c r="D102" s="2" t="s">
        <v>115</v>
      </c>
      <c r="E102" s="117">
        <v>3</v>
      </c>
      <c r="F102" s="117">
        <v>17.600000000000001</v>
      </c>
      <c r="G102" s="117">
        <v>1.1000000000000001</v>
      </c>
      <c r="H102" s="117">
        <v>0</v>
      </c>
      <c r="I102" s="158">
        <v>0</v>
      </c>
      <c r="J102" s="117">
        <v>0</v>
      </c>
      <c r="K102" s="267">
        <v>0</v>
      </c>
      <c r="L102" s="117">
        <v>0.6</v>
      </c>
      <c r="M102" s="267">
        <v>0.54549999999999998</v>
      </c>
      <c r="N102" s="117">
        <v>0.5</v>
      </c>
      <c r="O102" s="158">
        <v>0.45450000000000002</v>
      </c>
      <c r="P102" s="117">
        <v>0</v>
      </c>
      <c r="Q102" s="267">
        <v>0</v>
      </c>
      <c r="R102" s="158">
        <v>0</v>
      </c>
      <c r="S102" s="117">
        <v>0</v>
      </c>
      <c r="T102" s="267" t="s">
        <v>488</v>
      </c>
      <c r="U102" s="117">
        <v>0</v>
      </c>
      <c r="V102" s="267" t="s">
        <v>488</v>
      </c>
      <c r="W102" s="117">
        <v>0</v>
      </c>
      <c r="X102" s="267" t="s">
        <v>488</v>
      </c>
    </row>
    <row r="103" spans="1:24" x14ac:dyDescent="0.25">
      <c r="A103" s="117">
        <v>540082</v>
      </c>
      <c r="B103" s="2" t="s">
        <v>177</v>
      </c>
      <c r="C103" s="2" t="s">
        <v>39</v>
      </c>
      <c r="D103" s="2" t="s">
        <v>115</v>
      </c>
      <c r="E103" s="117">
        <v>3</v>
      </c>
      <c r="F103" s="117">
        <v>3.3</v>
      </c>
      <c r="G103" s="117">
        <v>0.1</v>
      </c>
      <c r="H103" s="117">
        <v>0</v>
      </c>
      <c r="I103" s="158">
        <v>0</v>
      </c>
      <c r="J103" s="117">
        <v>0</v>
      </c>
      <c r="K103" s="267">
        <v>0</v>
      </c>
      <c r="L103" s="117">
        <v>0</v>
      </c>
      <c r="M103" s="267">
        <v>0</v>
      </c>
      <c r="N103" s="117">
        <v>0.1</v>
      </c>
      <c r="O103" s="158">
        <v>1</v>
      </c>
      <c r="P103" s="117">
        <v>0</v>
      </c>
      <c r="Q103" s="267">
        <v>0</v>
      </c>
      <c r="R103" s="158">
        <v>0</v>
      </c>
      <c r="S103" s="117">
        <v>0</v>
      </c>
      <c r="T103" s="267" t="s">
        <v>488</v>
      </c>
      <c r="U103" s="117">
        <v>0</v>
      </c>
      <c r="V103" s="267" t="s">
        <v>488</v>
      </c>
      <c r="W103" s="117">
        <v>0</v>
      </c>
      <c r="X103" s="267" t="s">
        <v>488</v>
      </c>
    </row>
    <row r="104" spans="1:24" x14ac:dyDescent="0.25">
      <c r="A104" s="117">
        <v>540083</v>
      </c>
      <c r="B104" s="2" t="s">
        <v>178</v>
      </c>
      <c r="C104" s="2" t="s">
        <v>39</v>
      </c>
      <c r="D104" s="2" t="s">
        <v>115</v>
      </c>
      <c r="E104" s="117">
        <v>3</v>
      </c>
      <c r="F104" s="117">
        <v>18.899999999999999</v>
      </c>
      <c r="G104" s="117">
        <v>0.6</v>
      </c>
      <c r="H104" s="117">
        <v>0</v>
      </c>
      <c r="I104" s="158">
        <v>0</v>
      </c>
      <c r="J104" s="117">
        <v>0.2</v>
      </c>
      <c r="K104" s="267">
        <v>0.33329999999999999</v>
      </c>
      <c r="L104" s="117">
        <v>0</v>
      </c>
      <c r="M104" s="267">
        <v>0</v>
      </c>
      <c r="N104" s="117">
        <v>0.4</v>
      </c>
      <c r="O104" s="158">
        <v>0.66669999999999996</v>
      </c>
      <c r="P104" s="117">
        <v>0</v>
      </c>
      <c r="Q104" s="267">
        <v>0</v>
      </c>
      <c r="R104" s="158">
        <v>0</v>
      </c>
      <c r="S104" s="117">
        <v>0</v>
      </c>
      <c r="T104" s="267" t="s">
        <v>488</v>
      </c>
      <c r="U104" s="117">
        <v>0</v>
      </c>
      <c r="V104" s="267" t="s">
        <v>488</v>
      </c>
      <c r="W104" s="117">
        <v>0</v>
      </c>
      <c r="X104" s="267" t="s">
        <v>488</v>
      </c>
    </row>
    <row r="105" spans="1:24" x14ac:dyDescent="0.25">
      <c r="A105" s="117">
        <v>540223</v>
      </c>
      <c r="B105" s="2" t="s">
        <v>277</v>
      </c>
      <c r="C105" s="2" t="s">
        <v>39</v>
      </c>
      <c r="D105" s="2" t="s">
        <v>115</v>
      </c>
      <c r="E105" s="117">
        <v>3</v>
      </c>
      <c r="F105" s="117">
        <v>46.8</v>
      </c>
      <c r="G105" s="117">
        <v>2.5</v>
      </c>
      <c r="H105" s="117">
        <v>0.7</v>
      </c>
      <c r="I105" s="158">
        <v>0.28000000000000003</v>
      </c>
      <c r="J105" s="117">
        <v>0.5</v>
      </c>
      <c r="K105" s="267">
        <v>0.2</v>
      </c>
      <c r="L105" s="117">
        <v>0.7</v>
      </c>
      <c r="M105" s="267">
        <v>0.28000000000000003</v>
      </c>
      <c r="N105" s="117">
        <v>0.6</v>
      </c>
      <c r="O105" s="158">
        <v>0.24</v>
      </c>
      <c r="P105" s="117">
        <v>0.2</v>
      </c>
      <c r="Q105" s="267">
        <v>0.08</v>
      </c>
      <c r="R105" s="158">
        <v>4.3E-3</v>
      </c>
      <c r="S105" s="117">
        <v>0.1</v>
      </c>
      <c r="T105" s="267" t="s">
        <v>488</v>
      </c>
      <c r="U105" s="117">
        <v>0.1</v>
      </c>
      <c r="V105" s="267" t="s">
        <v>488</v>
      </c>
      <c r="W105" s="117">
        <v>0</v>
      </c>
      <c r="X105" s="267" t="s">
        <v>488</v>
      </c>
    </row>
    <row r="106" spans="1:24" x14ac:dyDescent="0.25">
      <c r="A106" s="117">
        <v>540279</v>
      </c>
      <c r="B106" s="2" t="s">
        <v>320</v>
      </c>
      <c r="C106" s="2" t="s">
        <v>39</v>
      </c>
      <c r="D106" s="2" t="s">
        <v>115</v>
      </c>
      <c r="E106" s="117">
        <v>3</v>
      </c>
      <c r="F106" s="117">
        <v>2.4</v>
      </c>
      <c r="G106" s="117">
        <v>0.2</v>
      </c>
      <c r="H106" s="117">
        <v>0</v>
      </c>
      <c r="I106" s="158">
        <v>0</v>
      </c>
      <c r="J106" s="117">
        <v>0</v>
      </c>
      <c r="K106" s="267">
        <v>0</v>
      </c>
      <c r="L106" s="117">
        <v>0.1</v>
      </c>
      <c r="M106" s="267">
        <v>0.5</v>
      </c>
      <c r="N106" s="117">
        <v>0</v>
      </c>
      <c r="O106" s="158">
        <v>0</v>
      </c>
      <c r="P106" s="117">
        <v>0</v>
      </c>
      <c r="Q106" s="267">
        <v>0</v>
      </c>
      <c r="R106" s="158">
        <v>0</v>
      </c>
      <c r="S106" s="117">
        <v>0</v>
      </c>
      <c r="T106" s="267" t="s">
        <v>488</v>
      </c>
      <c r="U106" s="117">
        <v>0</v>
      </c>
      <c r="V106" s="267" t="s">
        <v>488</v>
      </c>
      <c r="W106" s="117">
        <v>0</v>
      </c>
      <c r="X106" s="267" t="s">
        <v>488</v>
      </c>
    </row>
    <row r="107" spans="1:24" x14ac:dyDescent="0.25">
      <c r="A107" s="117">
        <v>540033</v>
      </c>
      <c r="B107" s="2" t="s">
        <v>138</v>
      </c>
      <c r="C107" s="2" t="s">
        <v>39</v>
      </c>
      <c r="D107" s="2" t="s">
        <v>115</v>
      </c>
      <c r="E107" s="117">
        <v>3</v>
      </c>
      <c r="F107" s="117">
        <v>0.2</v>
      </c>
      <c r="G107" s="117">
        <v>0</v>
      </c>
      <c r="H107" s="117">
        <v>0</v>
      </c>
      <c r="I107" s="267" t="s">
        <v>488</v>
      </c>
      <c r="J107" s="117">
        <v>0</v>
      </c>
      <c r="K107" s="267" t="s">
        <v>488</v>
      </c>
      <c r="L107" s="117">
        <v>0</v>
      </c>
      <c r="M107" s="267" t="s">
        <v>488</v>
      </c>
      <c r="N107" s="117">
        <v>0</v>
      </c>
      <c r="O107" s="267" t="s">
        <v>488</v>
      </c>
      <c r="P107" s="117">
        <v>0</v>
      </c>
      <c r="Q107" s="267" t="s">
        <v>488</v>
      </c>
      <c r="R107" s="158">
        <v>0</v>
      </c>
      <c r="S107" s="117">
        <v>0</v>
      </c>
      <c r="T107" s="267" t="s">
        <v>488</v>
      </c>
      <c r="U107" s="117">
        <v>0</v>
      </c>
      <c r="V107" s="267" t="s">
        <v>488</v>
      </c>
      <c r="W107" s="117">
        <v>0</v>
      </c>
      <c r="X107" s="267" t="s">
        <v>488</v>
      </c>
    </row>
    <row r="108" spans="1:24" x14ac:dyDescent="0.25">
      <c r="A108" s="269"/>
      <c r="B108" s="269"/>
      <c r="C108" s="269" t="s">
        <v>39</v>
      </c>
      <c r="D108" s="269"/>
      <c r="E108" s="269"/>
      <c r="F108" s="270">
        <v>1725.1</v>
      </c>
      <c r="G108" s="270">
        <v>350.6</v>
      </c>
      <c r="H108" s="270">
        <v>10.5</v>
      </c>
      <c r="I108" s="352">
        <v>2.9899999999999999E-2</v>
      </c>
      <c r="J108" s="270">
        <v>30.5</v>
      </c>
      <c r="K108" s="271">
        <v>8.6999999999999994E-2</v>
      </c>
      <c r="L108" s="270">
        <v>23.1</v>
      </c>
      <c r="M108" s="271">
        <v>6.59E-2</v>
      </c>
      <c r="N108" s="270">
        <v>286.3</v>
      </c>
      <c r="O108" s="352">
        <v>0.81659999999999999</v>
      </c>
      <c r="P108" s="270">
        <v>80.599999999999994</v>
      </c>
      <c r="Q108" s="271">
        <v>0.22989999999999999</v>
      </c>
      <c r="R108" s="352">
        <v>4.6699999999999998E-2</v>
      </c>
      <c r="S108" s="270">
        <v>15.9</v>
      </c>
      <c r="T108" s="271">
        <v>0.1973</v>
      </c>
      <c r="U108" s="270">
        <v>29.2</v>
      </c>
      <c r="V108" s="271">
        <v>0.36230000000000001</v>
      </c>
      <c r="W108" s="270">
        <v>35.5</v>
      </c>
      <c r="X108" s="271">
        <v>0.44040000000000001</v>
      </c>
    </row>
    <row r="109" spans="1:24" x14ac:dyDescent="0.25">
      <c r="A109" s="117">
        <v>540085</v>
      </c>
      <c r="B109" s="2" t="s">
        <v>40</v>
      </c>
      <c r="C109" s="2" t="s">
        <v>41</v>
      </c>
      <c r="D109" s="2" t="s">
        <v>5</v>
      </c>
      <c r="E109" s="117">
        <v>7</v>
      </c>
      <c r="F109" s="117">
        <v>703.9</v>
      </c>
      <c r="G109" s="117">
        <v>63.9</v>
      </c>
      <c r="H109" s="117">
        <v>2.5</v>
      </c>
      <c r="I109" s="158">
        <v>3.9100000000000003E-2</v>
      </c>
      <c r="J109" s="117">
        <v>16.399999999999999</v>
      </c>
      <c r="K109" s="267">
        <v>0.25669999999999998</v>
      </c>
      <c r="L109" s="117">
        <v>0.2</v>
      </c>
      <c r="M109" s="267">
        <v>3.0999999999999999E-3</v>
      </c>
      <c r="N109" s="117">
        <v>44.8</v>
      </c>
      <c r="O109" s="158">
        <v>0.70109999999999995</v>
      </c>
      <c r="P109" s="117">
        <v>0.2</v>
      </c>
      <c r="Q109" s="267">
        <v>3.0999999999999999E-3</v>
      </c>
      <c r="R109" s="158">
        <v>2.9999999999999997E-4</v>
      </c>
      <c r="S109" s="117">
        <v>0</v>
      </c>
      <c r="T109" s="267">
        <v>0</v>
      </c>
      <c r="U109" s="117">
        <v>0.1</v>
      </c>
      <c r="V109" s="267">
        <v>0.5</v>
      </c>
      <c r="W109" s="117">
        <v>0.1</v>
      </c>
      <c r="X109" s="267">
        <v>0.5</v>
      </c>
    </row>
    <row r="110" spans="1:24" x14ac:dyDescent="0.25">
      <c r="A110" s="117">
        <v>540086</v>
      </c>
      <c r="B110" s="2" t="s">
        <v>179</v>
      </c>
      <c r="C110" s="2" t="s">
        <v>41</v>
      </c>
      <c r="D110" s="2" t="s">
        <v>115</v>
      </c>
      <c r="E110" s="117">
        <v>7</v>
      </c>
      <c r="F110" s="117">
        <v>3.6</v>
      </c>
      <c r="G110" s="117">
        <v>0.7</v>
      </c>
      <c r="H110" s="117">
        <v>0</v>
      </c>
      <c r="I110" s="158">
        <v>0</v>
      </c>
      <c r="J110" s="117">
        <v>0.3</v>
      </c>
      <c r="K110" s="267">
        <v>0.42859999999999998</v>
      </c>
      <c r="L110" s="117">
        <v>0</v>
      </c>
      <c r="M110" s="267">
        <v>0</v>
      </c>
      <c r="N110" s="117">
        <v>0.4</v>
      </c>
      <c r="O110" s="158">
        <v>0.57140000000000002</v>
      </c>
      <c r="P110" s="117">
        <v>0</v>
      </c>
      <c r="Q110" s="267">
        <v>0</v>
      </c>
      <c r="R110" s="158">
        <v>0</v>
      </c>
      <c r="S110" s="117">
        <v>0</v>
      </c>
      <c r="T110" s="267" t="s">
        <v>488</v>
      </c>
      <c r="U110" s="117">
        <v>0</v>
      </c>
      <c r="V110" s="267" t="s">
        <v>488</v>
      </c>
      <c r="W110" s="117">
        <v>0</v>
      </c>
      <c r="X110" s="267" t="s">
        <v>488</v>
      </c>
    </row>
    <row r="111" spans="1:24" x14ac:dyDescent="0.25">
      <c r="A111" s="117">
        <v>540087</v>
      </c>
      <c r="B111" s="2" t="s">
        <v>180</v>
      </c>
      <c r="C111" s="2" t="s">
        <v>41</v>
      </c>
      <c r="D111" s="2" t="s">
        <v>115</v>
      </c>
      <c r="E111" s="117">
        <v>7</v>
      </c>
      <c r="F111" s="117">
        <v>23.5</v>
      </c>
      <c r="G111" s="117">
        <v>5.7</v>
      </c>
      <c r="H111" s="117">
        <v>0.1</v>
      </c>
      <c r="I111" s="158">
        <v>1.7500000000000002E-2</v>
      </c>
      <c r="J111" s="117">
        <v>3.7</v>
      </c>
      <c r="K111" s="267">
        <v>0.64910000000000001</v>
      </c>
      <c r="L111" s="117">
        <v>0</v>
      </c>
      <c r="M111" s="267">
        <v>0</v>
      </c>
      <c r="N111" s="117">
        <v>2</v>
      </c>
      <c r="O111" s="158">
        <v>0.35089999999999999</v>
      </c>
      <c r="P111" s="117">
        <v>0</v>
      </c>
      <c r="Q111" s="267">
        <v>0</v>
      </c>
      <c r="R111" s="158">
        <v>0</v>
      </c>
      <c r="S111" s="117">
        <v>0</v>
      </c>
      <c r="T111" s="267" t="s">
        <v>488</v>
      </c>
      <c r="U111" s="117">
        <v>0</v>
      </c>
      <c r="V111" s="267" t="s">
        <v>488</v>
      </c>
      <c r="W111" s="117">
        <v>0</v>
      </c>
      <c r="X111" s="267" t="s">
        <v>488</v>
      </c>
    </row>
    <row r="112" spans="1:24" x14ac:dyDescent="0.25">
      <c r="A112" s="269"/>
      <c r="B112" s="269"/>
      <c r="C112" s="269" t="s">
        <v>41</v>
      </c>
      <c r="D112" s="269"/>
      <c r="E112" s="269"/>
      <c r="F112" s="270">
        <v>731</v>
      </c>
      <c r="G112" s="270">
        <v>70.3</v>
      </c>
      <c r="H112" s="270">
        <v>2.6</v>
      </c>
      <c r="I112" s="352">
        <v>3.6999999999999998E-2</v>
      </c>
      <c r="J112" s="270">
        <v>20.399999999999999</v>
      </c>
      <c r="K112" s="271">
        <v>0.29020000000000001</v>
      </c>
      <c r="L112" s="270">
        <v>0.2</v>
      </c>
      <c r="M112" s="271">
        <v>2.8E-3</v>
      </c>
      <c r="N112" s="270">
        <v>47.2</v>
      </c>
      <c r="O112" s="352">
        <v>0.6714</v>
      </c>
      <c r="P112" s="270">
        <v>0.2</v>
      </c>
      <c r="Q112" s="271">
        <v>2.8E-3</v>
      </c>
      <c r="R112" s="352">
        <v>2.9999999999999997E-4</v>
      </c>
      <c r="S112" s="270">
        <v>0</v>
      </c>
      <c r="T112" s="271">
        <v>0</v>
      </c>
      <c r="U112" s="270">
        <v>0.1</v>
      </c>
      <c r="V112" s="271">
        <v>0.5</v>
      </c>
      <c r="W112" s="270">
        <v>0.1</v>
      </c>
      <c r="X112" s="271">
        <v>0.5</v>
      </c>
    </row>
    <row r="113" spans="1:24" x14ac:dyDescent="0.25">
      <c r="A113" s="117">
        <v>540088</v>
      </c>
      <c r="B113" s="2" t="s">
        <v>42</v>
      </c>
      <c r="C113" s="2" t="s">
        <v>43</v>
      </c>
      <c r="D113" s="2" t="s">
        <v>5</v>
      </c>
      <c r="E113" s="117">
        <v>2</v>
      </c>
      <c r="F113" s="117">
        <v>690.1</v>
      </c>
      <c r="G113" s="117">
        <v>168.3</v>
      </c>
      <c r="H113" s="117">
        <v>0</v>
      </c>
      <c r="I113" s="158">
        <v>0</v>
      </c>
      <c r="J113" s="117">
        <v>0.3</v>
      </c>
      <c r="K113" s="267">
        <v>1.8E-3</v>
      </c>
      <c r="L113" s="117">
        <v>17.8</v>
      </c>
      <c r="M113" s="267">
        <v>0.10580000000000001</v>
      </c>
      <c r="N113" s="117">
        <v>150.19999999999999</v>
      </c>
      <c r="O113" s="158">
        <v>0.89249999999999996</v>
      </c>
      <c r="P113" s="117">
        <v>0.1</v>
      </c>
      <c r="Q113" s="267">
        <v>5.9999999999999995E-4</v>
      </c>
      <c r="R113" s="158">
        <v>1E-4</v>
      </c>
      <c r="S113" s="117">
        <v>0</v>
      </c>
      <c r="T113" s="267">
        <v>0</v>
      </c>
      <c r="U113" s="117">
        <v>0</v>
      </c>
      <c r="V113" s="267">
        <v>0</v>
      </c>
      <c r="W113" s="117">
        <v>0.1</v>
      </c>
      <c r="X113" s="267">
        <v>1</v>
      </c>
    </row>
    <row r="114" spans="1:24" x14ac:dyDescent="0.25">
      <c r="A114" s="117">
        <v>540089</v>
      </c>
      <c r="B114" s="2" t="s">
        <v>181</v>
      </c>
      <c r="C114" s="2" t="s">
        <v>43</v>
      </c>
      <c r="D114" s="2" t="s">
        <v>115</v>
      </c>
      <c r="E114" s="117">
        <v>2</v>
      </c>
      <c r="F114" s="117">
        <v>9.9</v>
      </c>
      <c r="G114" s="117">
        <v>2.4</v>
      </c>
      <c r="H114" s="117">
        <v>0</v>
      </c>
      <c r="I114" s="158">
        <v>0</v>
      </c>
      <c r="J114" s="117">
        <v>0</v>
      </c>
      <c r="K114" s="267">
        <v>0</v>
      </c>
      <c r="L114" s="117">
        <v>0.2</v>
      </c>
      <c r="M114" s="267">
        <v>8.3299999999999999E-2</v>
      </c>
      <c r="N114" s="117">
        <v>2.2000000000000002</v>
      </c>
      <c r="O114" s="158">
        <v>0.91669999999999996</v>
      </c>
      <c r="P114" s="117">
        <v>0</v>
      </c>
      <c r="Q114" s="267">
        <v>0</v>
      </c>
      <c r="R114" s="158">
        <v>0</v>
      </c>
      <c r="S114" s="117">
        <v>0</v>
      </c>
      <c r="T114" s="267" t="s">
        <v>488</v>
      </c>
      <c r="U114" s="117">
        <v>0</v>
      </c>
      <c r="V114" s="267" t="s">
        <v>488</v>
      </c>
      <c r="W114" s="117">
        <v>0</v>
      </c>
      <c r="X114" s="267" t="s">
        <v>488</v>
      </c>
    </row>
    <row r="115" spans="1:24" x14ac:dyDescent="0.25">
      <c r="A115" s="117">
        <v>540090</v>
      </c>
      <c r="B115" s="2" t="s">
        <v>182</v>
      </c>
      <c r="C115" s="2" t="s">
        <v>43</v>
      </c>
      <c r="D115" s="2" t="s">
        <v>115</v>
      </c>
      <c r="E115" s="117">
        <v>2</v>
      </c>
      <c r="F115" s="117">
        <v>6.2</v>
      </c>
      <c r="G115" s="117">
        <v>1</v>
      </c>
      <c r="H115" s="117">
        <v>0</v>
      </c>
      <c r="I115" s="158">
        <v>0</v>
      </c>
      <c r="J115" s="117">
        <v>0</v>
      </c>
      <c r="K115" s="267">
        <v>0</v>
      </c>
      <c r="L115" s="117">
        <v>0.8</v>
      </c>
      <c r="M115" s="267">
        <v>0.8</v>
      </c>
      <c r="N115" s="117">
        <v>0.2</v>
      </c>
      <c r="O115" s="158">
        <v>0.2</v>
      </c>
      <c r="P115" s="117">
        <v>0</v>
      </c>
      <c r="Q115" s="267">
        <v>0</v>
      </c>
      <c r="R115" s="158">
        <v>0</v>
      </c>
      <c r="S115" s="117">
        <v>0</v>
      </c>
      <c r="T115" s="267" t="s">
        <v>488</v>
      </c>
      <c r="U115" s="117">
        <v>0</v>
      </c>
      <c r="V115" s="267" t="s">
        <v>488</v>
      </c>
      <c r="W115" s="117">
        <v>0</v>
      </c>
      <c r="X115" s="267" t="s">
        <v>488</v>
      </c>
    </row>
    <row r="116" spans="1:24" x14ac:dyDescent="0.25">
      <c r="A116" s="269"/>
      <c r="B116" s="269"/>
      <c r="C116" s="269" t="s">
        <v>43</v>
      </c>
      <c r="D116" s="269"/>
      <c r="E116" s="269"/>
      <c r="F116" s="270">
        <v>706.2</v>
      </c>
      <c r="G116" s="270">
        <v>171.7</v>
      </c>
      <c r="H116" s="270">
        <v>0</v>
      </c>
      <c r="I116" s="352">
        <v>0</v>
      </c>
      <c r="J116" s="270">
        <v>0.3</v>
      </c>
      <c r="K116" s="271">
        <v>1.6999999999999999E-3</v>
      </c>
      <c r="L116" s="270">
        <v>18.8</v>
      </c>
      <c r="M116" s="271">
        <v>0.1095</v>
      </c>
      <c r="N116" s="270">
        <v>152.6</v>
      </c>
      <c r="O116" s="352">
        <v>0.88880000000000003</v>
      </c>
      <c r="P116" s="270">
        <v>0.1</v>
      </c>
      <c r="Q116" s="271">
        <v>5.9999999999999995E-4</v>
      </c>
      <c r="R116" s="352">
        <v>1E-4</v>
      </c>
      <c r="S116" s="270">
        <v>0</v>
      </c>
      <c r="T116" s="271">
        <v>0</v>
      </c>
      <c r="U116" s="270">
        <v>0</v>
      </c>
      <c r="V116" s="271">
        <v>0</v>
      </c>
      <c r="W116" s="270">
        <v>0.1</v>
      </c>
      <c r="X116" s="271">
        <v>1</v>
      </c>
    </row>
    <row r="117" spans="1:24" x14ac:dyDescent="0.25">
      <c r="A117" s="117">
        <v>540097</v>
      </c>
      <c r="B117" s="2" t="s">
        <v>44</v>
      </c>
      <c r="C117" s="2" t="s">
        <v>45</v>
      </c>
      <c r="D117" s="2" t="s">
        <v>5</v>
      </c>
      <c r="E117" s="117">
        <v>6</v>
      </c>
      <c r="F117" s="117">
        <v>724.7</v>
      </c>
      <c r="G117" s="117">
        <v>51.9</v>
      </c>
      <c r="H117" s="117">
        <v>0.2</v>
      </c>
      <c r="I117" s="158">
        <v>3.8999999999999998E-3</v>
      </c>
      <c r="J117" s="117">
        <v>12</v>
      </c>
      <c r="K117" s="267">
        <v>0.23119999999999999</v>
      </c>
      <c r="L117" s="117">
        <v>1.1000000000000001</v>
      </c>
      <c r="M117" s="267">
        <v>2.12E-2</v>
      </c>
      <c r="N117" s="117">
        <v>38.6</v>
      </c>
      <c r="O117" s="158">
        <v>0.74370000000000003</v>
      </c>
      <c r="P117" s="117">
        <v>44.8</v>
      </c>
      <c r="Q117" s="267">
        <v>0.86319999999999997</v>
      </c>
      <c r="R117" s="158">
        <v>6.1800000000000001E-2</v>
      </c>
      <c r="S117" s="117">
        <v>18</v>
      </c>
      <c r="T117" s="267">
        <v>0.40179999999999999</v>
      </c>
      <c r="U117" s="117">
        <v>12.1</v>
      </c>
      <c r="V117" s="267">
        <v>0.27010000000000001</v>
      </c>
      <c r="W117" s="117">
        <v>14.7</v>
      </c>
      <c r="X117" s="267">
        <v>0.3281</v>
      </c>
    </row>
    <row r="118" spans="1:24" x14ac:dyDescent="0.25">
      <c r="A118" s="117">
        <v>540098</v>
      </c>
      <c r="B118" s="2" t="s">
        <v>187</v>
      </c>
      <c r="C118" s="2" t="s">
        <v>45</v>
      </c>
      <c r="D118" s="2" t="s">
        <v>115</v>
      </c>
      <c r="E118" s="117">
        <v>6</v>
      </c>
      <c r="F118" s="117">
        <v>5.4</v>
      </c>
      <c r="G118" s="117">
        <v>0.8</v>
      </c>
      <c r="H118" s="117">
        <v>0</v>
      </c>
      <c r="I118" s="158">
        <v>0</v>
      </c>
      <c r="J118" s="117">
        <v>0.2</v>
      </c>
      <c r="K118" s="267">
        <v>0.25</v>
      </c>
      <c r="L118" s="117">
        <v>0</v>
      </c>
      <c r="M118" s="267">
        <v>0</v>
      </c>
      <c r="N118" s="117">
        <v>0.7</v>
      </c>
      <c r="O118" s="158">
        <v>0.875</v>
      </c>
      <c r="P118" s="117">
        <v>0.8</v>
      </c>
      <c r="Q118" s="267">
        <v>1</v>
      </c>
      <c r="R118" s="158">
        <v>0.14810000000000001</v>
      </c>
      <c r="S118" s="117">
        <v>0.5</v>
      </c>
      <c r="T118" s="267">
        <v>0.625</v>
      </c>
      <c r="U118" s="117">
        <v>0.1</v>
      </c>
      <c r="V118" s="267">
        <v>0.125</v>
      </c>
      <c r="W118" s="117">
        <v>0.2</v>
      </c>
      <c r="X118" s="267">
        <v>0.25</v>
      </c>
    </row>
    <row r="119" spans="1:24" x14ac:dyDescent="0.25">
      <c r="A119" s="117">
        <v>540099</v>
      </c>
      <c r="B119" s="2" t="s">
        <v>188</v>
      </c>
      <c r="C119" s="2" t="s">
        <v>45</v>
      </c>
      <c r="D119" s="2" t="s">
        <v>115</v>
      </c>
      <c r="E119" s="117">
        <v>6</v>
      </c>
      <c r="F119" s="117">
        <v>50.1</v>
      </c>
      <c r="G119" s="117">
        <v>1.3</v>
      </c>
      <c r="H119" s="117">
        <v>0</v>
      </c>
      <c r="I119" s="158">
        <v>0</v>
      </c>
      <c r="J119" s="117">
        <v>0.2</v>
      </c>
      <c r="K119" s="267">
        <v>0.15379999999999999</v>
      </c>
      <c r="L119" s="117">
        <v>0.2</v>
      </c>
      <c r="M119" s="267">
        <v>0.15379999999999999</v>
      </c>
      <c r="N119" s="117">
        <v>0.9</v>
      </c>
      <c r="O119" s="158">
        <v>0.69230000000000003</v>
      </c>
      <c r="P119" s="117">
        <v>0.9</v>
      </c>
      <c r="Q119" s="267">
        <v>0.69230000000000003</v>
      </c>
      <c r="R119" s="158">
        <v>1.7999999999999999E-2</v>
      </c>
      <c r="S119" s="117">
        <v>0.2</v>
      </c>
      <c r="T119" s="267">
        <v>0.22220000000000001</v>
      </c>
      <c r="U119" s="117">
        <v>0.2</v>
      </c>
      <c r="V119" s="267">
        <v>0.22220000000000001</v>
      </c>
      <c r="W119" s="117">
        <v>0.5</v>
      </c>
      <c r="X119" s="267">
        <v>0.55559999999999998</v>
      </c>
    </row>
    <row r="120" spans="1:24" x14ac:dyDescent="0.25">
      <c r="A120" s="117">
        <v>540100</v>
      </c>
      <c r="B120" s="2" t="s">
        <v>189</v>
      </c>
      <c r="C120" s="2" t="s">
        <v>45</v>
      </c>
      <c r="D120" s="2" t="s">
        <v>115</v>
      </c>
      <c r="E120" s="117">
        <v>6</v>
      </c>
      <c r="F120" s="117">
        <v>3</v>
      </c>
      <c r="G120" s="117">
        <v>0.4</v>
      </c>
      <c r="H120" s="117">
        <v>0</v>
      </c>
      <c r="I120" s="158">
        <v>0</v>
      </c>
      <c r="J120" s="117">
        <v>0</v>
      </c>
      <c r="K120" s="267">
        <v>0</v>
      </c>
      <c r="L120" s="117">
        <v>0.3</v>
      </c>
      <c r="M120" s="267">
        <v>0.75</v>
      </c>
      <c r="N120" s="117">
        <v>0.1</v>
      </c>
      <c r="O120" s="158">
        <v>0.25</v>
      </c>
      <c r="P120" s="117">
        <v>0.4</v>
      </c>
      <c r="Q120" s="267">
        <v>1</v>
      </c>
      <c r="R120" s="158">
        <v>0.1333</v>
      </c>
      <c r="S120" s="117">
        <v>0.2</v>
      </c>
      <c r="T120" s="267">
        <v>0.5</v>
      </c>
      <c r="U120" s="117">
        <v>0.1</v>
      </c>
      <c r="V120" s="267">
        <v>0.25</v>
      </c>
      <c r="W120" s="117">
        <v>0.1</v>
      </c>
      <c r="X120" s="267">
        <v>0.25</v>
      </c>
    </row>
    <row r="121" spans="1:24" x14ac:dyDescent="0.25">
      <c r="A121" s="117">
        <v>540101</v>
      </c>
      <c r="B121" s="2" t="s">
        <v>190</v>
      </c>
      <c r="C121" s="2" t="s">
        <v>45</v>
      </c>
      <c r="D121" s="2" t="s">
        <v>115</v>
      </c>
      <c r="E121" s="117">
        <v>6</v>
      </c>
      <c r="F121" s="117">
        <v>4.4000000000000004</v>
      </c>
      <c r="G121" s="117">
        <v>1.7</v>
      </c>
      <c r="H121" s="117">
        <v>0</v>
      </c>
      <c r="I121" s="158">
        <v>0</v>
      </c>
      <c r="J121" s="117">
        <v>1.5</v>
      </c>
      <c r="K121" s="267">
        <v>0.88239999999999996</v>
      </c>
      <c r="L121" s="117">
        <v>0.1</v>
      </c>
      <c r="M121" s="267">
        <v>5.8799999999999998E-2</v>
      </c>
      <c r="N121" s="117">
        <v>0</v>
      </c>
      <c r="O121" s="158">
        <v>0</v>
      </c>
      <c r="P121" s="117">
        <v>1.7</v>
      </c>
      <c r="Q121" s="267">
        <v>1</v>
      </c>
      <c r="R121" s="158">
        <v>0.38640000000000002</v>
      </c>
      <c r="S121" s="117">
        <v>1.7</v>
      </c>
      <c r="T121" s="267" t="s">
        <v>488</v>
      </c>
      <c r="U121" s="117">
        <v>0</v>
      </c>
      <c r="V121" s="267" t="s">
        <v>488</v>
      </c>
      <c r="W121" s="117">
        <v>0</v>
      </c>
      <c r="X121" s="267" t="s">
        <v>488</v>
      </c>
    </row>
    <row r="122" spans="1:24" x14ac:dyDescent="0.25">
      <c r="A122" s="117">
        <v>540102</v>
      </c>
      <c r="B122" s="2" t="s">
        <v>191</v>
      </c>
      <c r="C122" s="2" t="s">
        <v>45</v>
      </c>
      <c r="D122" s="2" t="s">
        <v>115</v>
      </c>
      <c r="E122" s="117">
        <v>6</v>
      </c>
      <c r="F122" s="117">
        <v>3.4</v>
      </c>
      <c r="G122" s="117">
        <v>0.3</v>
      </c>
      <c r="H122" s="117">
        <v>0</v>
      </c>
      <c r="I122" s="158">
        <v>0</v>
      </c>
      <c r="J122" s="117">
        <v>0</v>
      </c>
      <c r="K122" s="267">
        <v>0</v>
      </c>
      <c r="L122" s="117">
        <v>0</v>
      </c>
      <c r="M122" s="267">
        <v>0</v>
      </c>
      <c r="N122" s="117">
        <v>0.3</v>
      </c>
      <c r="O122" s="158">
        <v>1</v>
      </c>
      <c r="P122" s="117">
        <v>0.3</v>
      </c>
      <c r="Q122" s="267">
        <v>1</v>
      </c>
      <c r="R122" s="158">
        <v>8.8200000000000001E-2</v>
      </c>
      <c r="S122" s="117">
        <v>0.3</v>
      </c>
      <c r="T122" s="267" t="s">
        <v>488</v>
      </c>
      <c r="U122" s="117">
        <v>0</v>
      </c>
      <c r="V122" s="267" t="s">
        <v>488</v>
      </c>
      <c r="W122" s="117">
        <v>0</v>
      </c>
      <c r="X122" s="267" t="s">
        <v>488</v>
      </c>
    </row>
    <row r="123" spans="1:24" x14ac:dyDescent="0.25">
      <c r="A123" s="117">
        <v>540103</v>
      </c>
      <c r="B123" s="2" t="s">
        <v>192</v>
      </c>
      <c r="C123" s="2" t="s">
        <v>45</v>
      </c>
      <c r="D123" s="2" t="s">
        <v>115</v>
      </c>
      <c r="E123" s="117">
        <v>6</v>
      </c>
      <c r="F123" s="117">
        <v>8</v>
      </c>
      <c r="G123" s="117">
        <v>1.1000000000000001</v>
      </c>
      <c r="H123" s="117">
        <v>0</v>
      </c>
      <c r="I123" s="158">
        <v>0</v>
      </c>
      <c r="J123" s="117">
        <v>0.1</v>
      </c>
      <c r="K123" s="267">
        <v>9.0899999999999995E-2</v>
      </c>
      <c r="L123" s="117">
        <v>0</v>
      </c>
      <c r="M123" s="267">
        <v>0</v>
      </c>
      <c r="N123" s="117">
        <v>1</v>
      </c>
      <c r="O123" s="158">
        <v>0.90910000000000002</v>
      </c>
      <c r="P123" s="117">
        <v>1.1000000000000001</v>
      </c>
      <c r="Q123" s="267">
        <v>1</v>
      </c>
      <c r="R123" s="158">
        <v>0.13750000000000001</v>
      </c>
      <c r="S123" s="117">
        <v>0.2</v>
      </c>
      <c r="T123" s="267">
        <v>0.18179999999999999</v>
      </c>
      <c r="U123" s="117">
        <v>0.2</v>
      </c>
      <c r="V123" s="267">
        <v>0.18179999999999999</v>
      </c>
      <c r="W123" s="117">
        <v>0.7</v>
      </c>
      <c r="X123" s="267">
        <v>0.63639999999999997</v>
      </c>
    </row>
    <row r="124" spans="1:24" x14ac:dyDescent="0.25">
      <c r="A124" s="117">
        <v>540104</v>
      </c>
      <c r="B124" s="2" t="s">
        <v>193</v>
      </c>
      <c r="C124" s="2" t="s">
        <v>45</v>
      </c>
      <c r="D124" s="2" t="s">
        <v>115</v>
      </c>
      <c r="E124" s="117">
        <v>6</v>
      </c>
      <c r="F124" s="117">
        <v>4.9000000000000004</v>
      </c>
      <c r="G124" s="117">
        <v>1.3</v>
      </c>
      <c r="H124" s="117">
        <v>0</v>
      </c>
      <c r="I124" s="158">
        <v>0</v>
      </c>
      <c r="J124" s="117">
        <v>0</v>
      </c>
      <c r="K124" s="267">
        <v>0</v>
      </c>
      <c r="L124" s="117">
        <v>0</v>
      </c>
      <c r="M124" s="267">
        <v>0</v>
      </c>
      <c r="N124" s="117">
        <v>1.3</v>
      </c>
      <c r="O124" s="158">
        <v>1</v>
      </c>
      <c r="P124" s="117">
        <v>0</v>
      </c>
      <c r="Q124" s="267">
        <v>0</v>
      </c>
      <c r="R124" s="158">
        <v>0</v>
      </c>
      <c r="S124" s="117">
        <v>0</v>
      </c>
      <c r="T124" s="267" t="s">
        <v>488</v>
      </c>
      <c r="U124" s="117">
        <v>0</v>
      </c>
      <c r="V124" s="267" t="s">
        <v>488</v>
      </c>
      <c r="W124" s="117">
        <v>0</v>
      </c>
      <c r="X124" s="267" t="s">
        <v>488</v>
      </c>
    </row>
    <row r="125" spans="1:24" x14ac:dyDescent="0.25">
      <c r="A125" s="117">
        <v>540105</v>
      </c>
      <c r="B125" s="2" t="s">
        <v>194</v>
      </c>
      <c r="C125" s="2" t="s">
        <v>45</v>
      </c>
      <c r="D125" s="2" t="s">
        <v>115</v>
      </c>
      <c r="E125" s="117">
        <v>6</v>
      </c>
      <c r="F125" s="117">
        <v>8.3000000000000007</v>
      </c>
      <c r="G125" s="117">
        <v>0.9</v>
      </c>
      <c r="H125" s="117">
        <v>0</v>
      </c>
      <c r="I125" s="158">
        <v>0</v>
      </c>
      <c r="J125" s="117">
        <v>0.8</v>
      </c>
      <c r="K125" s="267">
        <v>0.88890000000000002</v>
      </c>
      <c r="L125" s="117">
        <v>0</v>
      </c>
      <c r="M125" s="267">
        <v>0</v>
      </c>
      <c r="N125" s="117">
        <v>0.2</v>
      </c>
      <c r="O125" s="158">
        <v>0.22220000000000001</v>
      </c>
      <c r="P125" s="117">
        <v>0.9</v>
      </c>
      <c r="Q125" s="267">
        <v>1</v>
      </c>
      <c r="R125" s="158">
        <v>0.1084</v>
      </c>
      <c r="S125" s="117">
        <v>0.1</v>
      </c>
      <c r="T125" s="267">
        <v>0.1111</v>
      </c>
      <c r="U125" s="117">
        <v>0.4</v>
      </c>
      <c r="V125" s="267">
        <v>0.44440000000000002</v>
      </c>
      <c r="W125" s="117">
        <v>0.4</v>
      </c>
      <c r="X125" s="267">
        <v>0.44440000000000002</v>
      </c>
    </row>
    <row r="126" spans="1:24" x14ac:dyDescent="0.25">
      <c r="A126" s="117">
        <v>540106</v>
      </c>
      <c r="B126" s="2" t="s">
        <v>195</v>
      </c>
      <c r="C126" s="2" t="s">
        <v>45</v>
      </c>
      <c r="D126" s="2" t="s">
        <v>115</v>
      </c>
      <c r="E126" s="117">
        <v>6</v>
      </c>
      <c r="F126" s="117">
        <v>2</v>
      </c>
      <c r="G126" s="117">
        <v>1.2</v>
      </c>
      <c r="H126" s="117">
        <v>0</v>
      </c>
      <c r="I126" s="158">
        <v>0</v>
      </c>
      <c r="J126" s="117">
        <v>0.9</v>
      </c>
      <c r="K126" s="267">
        <v>0.75</v>
      </c>
      <c r="L126" s="117">
        <v>0</v>
      </c>
      <c r="M126" s="267">
        <v>0</v>
      </c>
      <c r="N126" s="117">
        <v>0.3</v>
      </c>
      <c r="O126" s="158">
        <v>0.25</v>
      </c>
      <c r="P126" s="117">
        <v>0</v>
      </c>
      <c r="Q126" s="267">
        <v>0</v>
      </c>
      <c r="R126" s="158">
        <v>0</v>
      </c>
      <c r="S126" s="117">
        <v>0</v>
      </c>
      <c r="T126" s="267" t="s">
        <v>488</v>
      </c>
      <c r="U126" s="117">
        <v>0</v>
      </c>
      <c r="V126" s="267" t="s">
        <v>488</v>
      </c>
      <c r="W126" s="117">
        <v>0</v>
      </c>
      <c r="X126" s="267" t="s">
        <v>488</v>
      </c>
    </row>
    <row r="127" spans="1:24" x14ac:dyDescent="0.25">
      <c r="A127" s="117">
        <v>540292</v>
      </c>
      <c r="B127" s="2" t="s">
        <v>329</v>
      </c>
      <c r="C127" s="2" t="s">
        <v>45</v>
      </c>
      <c r="D127" s="2" t="s">
        <v>115</v>
      </c>
      <c r="E127" s="117">
        <v>6</v>
      </c>
      <c r="F127" s="117">
        <v>28.4</v>
      </c>
      <c r="G127" s="117">
        <v>0.2</v>
      </c>
      <c r="H127" s="117">
        <v>0.1</v>
      </c>
      <c r="I127" s="158">
        <v>0.5</v>
      </c>
      <c r="J127" s="117">
        <v>0</v>
      </c>
      <c r="K127" s="267">
        <v>0</v>
      </c>
      <c r="L127" s="117">
        <v>0</v>
      </c>
      <c r="M127" s="267">
        <v>0</v>
      </c>
      <c r="N127" s="117">
        <v>0.1</v>
      </c>
      <c r="O127" s="158">
        <v>0.5</v>
      </c>
      <c r="P127" s="117">
        <v>0.1</v>
      </c>
      <c r="Q127" s="267">
        <v>0.5</v>
      </c>
      <c r="R127" s="158">
        <v>3.5000000000000001E-3</v>
      </c>
      <c r="S127" s="117">
        <v>0</v>
      </c>
      <c r="T127" s="267">
        <v>0</v>
      </c>
      <c r="U127" s="117">
        <v>0</v>
      </c>
      <c r="V127" s="267">
        <v>0</v>
      </c>
      <c r="W127" s="117">
        <v>0.1</v>
      </c>
      <c r="X127" s="267">
        <v>1</v>
      </c>
    </row>
    <row r="128" spans="1:24" x14ac:dyDescent="0.25">
      <c r="A128" s="117">
        <v>545556</v>
      </c>
      <c r="B128" s="2" t="s">
        <v>337</v>
      </c>
      <c r="C128" s="2" t="s">
        <v>45</v>
      </c>
      <c r="D128" s="2" t="s">
        <v>115</v>
      </c>
      <c r="E128" s="117">
        <v>6</v>
      </c>
      <c r="F128" s="117">
        <v>11.9</v>
      </c>
      <c r="G128" s="117">
        <v>1.3</v>
      </c>
      <c r="H128" s="117">
        <v>0</v>
      </c>
      <c r="I128" s="158">
        <v>0</v>
      </c>
      <c r="J128" s="117">
        <v>0.2</v>
      </c>
      <c r="K128" s="267">
        <v>0.15379999999999999</v>
      </c>
      <c r="L128" s="117">
        <v>0</v>
      </c>
      <c r="M128" s="267">
        <v>0</v>
      </c>
      <c r="N128" s="117">
        <v>1</v>
      </c>
      <c r="O128" s="158">
        <v>0.76919999999999999</v>
      </c>
      <c r="P128" s="117">
        <v>0.5</v>
      </c>
      <c r="Q128" s="267">
        <v>0.3846</v>
      </c>
      <c r="R128" s="158">
        <v>4.2000000000000003E-2</v>
      </c>
      <c r="S128" s="117">
        <v>0.1</v>
      </c>
      <c r="T128" s="267">
        <v>0.2</v>
      </c>
      <c r="U128" s="117">
        <v>0.2</v>
      </c>
      <c r="V128" s="267">
        <v>0.4</v>
      </c>
      <c r="W128" s="117">
        <v>0.2</v>
      </c>
      <c r="X128" s="267">
        <v>0.4</v>
      </c>
    </row>
    <row r="129" spans="1:24" x14ac:dyDescent="0.25">
      <c r="A129" s="269"/>
      <c r="B129" s="269"/>
      <c r="C129" s="269" t="s">
        <v>45</v>
      </c>
      <c r="D129" s="269"/>
      <c r="E129" s="269"/>
      <c r="F129" s="270">
        <v>854.5</v>
      </c>
      <c r="G129" s="270">
        <v>62.4</v>
      </c>
      <c r="H129" s="270">
        <v>0.3</v>
      </c>
      <c r="I129" s="352">
        <v>4.7999999999999996E-3</v>
      </c>
      <c r="J129" s="270">
        <v>15.9</v>
      </c>
      <c r="K129" s="271">
        <v>0.25480000000000003</v>
      </c>
      <c r="L129" s="270">
        <v>1.7</v>
      </c>
      <c r="M129" s="271">
        <v>2.7199999999999998E-2</v>
      </c>
      <c r="N129" s="270">
        <v>44.5</v>
      </c>
      <c r="O129" s="352">
        <v>0.71309999999999996</v>
      </c>
      <c r="P129" s="270">
        <v>51.5</v>
      </c>
      <c r="Q129" s="271">
        <v>0.82530000000000003</v>
      </c>
      <c r="R129" s="352">
        <v>6.0299999999999999E-2</v>
      </c>
      <c r="S129" s="270">
        <v>21.3</v>
      </c>
      <c r="T129" s="271">
        <v>0.41360000000000002</v>
      </c>
      <c r="U129" s="270">
        <v>13.3</v>
      </c>
      <c r="V129" s="271">
        <v>0.25829999999999997</v>
      </c>
      <c r="W129" s="270">
        <v>16.899999999999999</v>
      </c>
      <c r="X129" s="271">
        <v>0.32819999999999999</v>
      </c>
    </row>
    <row r="130" spans="1:24" x14ac:dyDescent="0.25">
      <c r="A130" s="117">
        <v>540107</v>
      </c>
      <c r="B130" s="2" t="s">
        <v>46</v>
      </c>
      <c r="C130" s="2" t="s">
        <v>47</v>
      </c>
      <c r="D130" s="2" t="s">
        <v>5</v>
      </c>
      <c r="E130" s="117">
        <v>10</v>
      </c>
      <c r="F130" s="117">
        <v>575.79999999999995</v>
      </c>
      <c r="G130" s="117">
        <v>38.799999999999997</v>
      </c>
      <c r="H130" s="117">
        <v>0</v>
      </c>
      <c r="I130" s="158">
        <v>0</v>
      </c>
      <c r="J130" s="117">
        <v>1.2</v>
      </c>
      <c r="K130" s="267">
        <v>3.09E-2</v>
      </c>
      <c r="L130" s="117">
        <v>3.1</v>
      </c>
      <c r="M130" s="267">
        <v>7.9899999999999999E-2</v>
      </c>
      <c r="N130" s="117">
        <v>34.4</v>
      </c>
      <c r="O130" s="158">
        <v>0.88660000000000005</v>
      </c>
      <c r="P130" s="117">
        <v>0</v>
      </c>
      <c r="Q130" s="267">
        <v>0</v>
      </c>
      <c r="R130" s="158">
        <v>0</v>
      </c>
      <c r="S130" s="117">
        <v>0</v>
      </c>
      <c r="T130" s="267" t="s">
        <v>488</v>
      </c>
      <c r="U130" s="117">
        <v>0</v>
      </c>
      <c r="V130" s="267" t="s">
        <v>488</v>
      </c>
      <c r="W130" s="117">
        <v>0</v>
      </c>
      <c r="X130" s="267" t="s">
        <v>488</v>
      </c>
    </row>
    <row r="131" spans="1:24" x14ac:dyDescent="0.25">
      <c r="A131" s="117">
        <v>540108</v>
      </c>
      <c r="B131" s="2" t="s">
        <v>196</v>
      </c>
      <c r="C131" s="2" t="s">
        <v>47</v>
      </c>
      <c r="D131" s="2" t="s">
        <v>115</v>
      </c>
      <c r="E131" s="117">
        <v>10</v>
      </c>
      <c r="F131" s="117">
        <v>11.6</v>
      </c>
      <c r="G131" s="117">
        <v>1.2</v>
      </c>
      <c r="H131" s="117">
        <v>0</v>
      </c>
      <c r="I131" s="158">
        <v>0</v>
      </c>
      <c r="J131" s="117">
        <v>0.4</v>
      </c>
      <c r="K131" s="267">
        <v>0.33329999999999999</v>
      </c>
      <c r="L131" s="117">
        <v>0</v>
      </c>
      <c r="M131" s="267">
        <v>0</v>
      </c>
      <c r="N131" s="117">
        <v>0.8</v>
      </c>
      <c r="O131" s="158">
        <v>0.66669999999999996</v>
      </c>
      <c r="P131" s="117">
        <v>0</v>
      </c>
      <c r="Q131" s="267">
        <v>0</v>
      </c>
      <c r="R131" s="158">
        <v>0</v>
      </c>
      <c r="S131" s="117">
        <v>0</v>
      </c>
      <c r="T131" s="267" t="s">
        <v>488</v>
      </c>
      <c r="U131" s="117">
        <v>0</v>
      </c>
      <c r="V131" s="267" t="s">
        <v>488</v>
      </c>
      <c r="W131" s="117">
        <v>0</v>
      </c>
      <c r="X131" s="267" t="s">
        <v>488</v>
      </c>
    </row>
    <row r="132" spans="1:24" x14ac:dyDescent="0.25">
      <c r="A132" s="117">
        <v>540109</v>
      </c>
      <c r="B132" s="2" t="s">
        <v>197</v>
      </c>
      <c r="C132" s="2" t="s">
        <v>47</v>
      </c>
      <c r="D132" s="2" t="s">
        <v>115</v>
      </c>
      <c r="E132" s="117">
        <v>10</v>
      </c>
      <c r="F132" s="117">
        <v>5.0999999999999996</v>
      </c>
      <c r="G132" s="117">
        <v>0.2</v>
      </c>
      <c r="H132" s="117">
        <v>0</v>
      </c>
      <c r="I132" s="158">
        <v>0</v>
      </c>
      <c r="J132" s="117">
        <v>0</v>
      </c>
      <c r="K132" s="267">
        <v>0</v>
      </c>
      <c r="L132" s="117">
        <v>0</v>
      </c>
      <c r="M132" s="267">
        <v>0</v>
      </c>
      <c r="N132" s="117">
        <v>0.2</v>
      </c>
      <c r="O132" s="158">
        <v>1</v>
      </c>
      <c r="P132" s="117">
        <v>0</v>
      </c>
      <c r="Q132" s="267">
        <v>0</v>
      </c>
      <c r="R132" s="158">
        <v>0</v>
      </c>
      <c r="S132" s="117">
        <v>0</v>
      </c>
      <c r="T132" s="267" t="s">
        <v>488</v>
      </c>
      <c r="U132" s="117">
        <v>0</v>
      </c>
      <c r="V132" s="267" t="s">
        <v>488</v>
      </c>
      <c r="W132" s="117">
        <v>0</v>
      </c>
      <c r="X132" s="267" t="s">
        <v>488</v>
      </c>
    </row>
    <row r="133" spans="1:24" x14ac:dyDescent="0.25">
      <c r="A133" s="117">
        <v>540110</v>
      </c>
      <c r="B133" s="2" t="s">
        <v>198</v>
      </c>
      <c r="C133" s="2" t="s">
        <v>47</v>
      </c>
      <c r="D133" s="2" t="s">
        <v>115</v>
      </c>
      <c r="E133" s="117">
        <v>10</v>
      </c>
      <c r="F133" s="117">
        <v>5.2</v>
      </c>
      <c r="G133" s="117">
        <v>0.5</v>
      </c>
      <c r="H133" s="117">
        <v>0</v>
      </c>
      <c r="I133" s="158">
        <v>0</v>
      </c>
      <c r="J133" s="117">
        <v>0</v>
      </c>
      <c r="K133" s="267">
        <v>0</v>
      </c>
      <c r="L133" s="117">
        <v>0</v>
      </c>
      <c r="M133" s="267">
        <v>0</v>
      </c>
      <c r="N133" s="117">
        <v>0.5</v>
      </c>
      <c r="O133" s="158">
        <v>1</v>
      </c>
      <c r="P133" s="117">
        <v>0</v>
      </c>
      <c r="Q133" s="267">
        <v>0</v>
      </c>
      <c r="R133" s="158">
        <v>0</v>
      </c>
      <c r="S133" s="117">
        <v>0</v>
      </c>
      <c r="T133" s="267" t="s">
        <v>488</v>
      </c>
      <c r="U133" s="117">
        <v>0</v>
      </c>
      <c r="V133" s="267" t="s">
        <v>488</v>
      </c>
      <c r="W133" s="117">
        <v>0</v>
      </c>
      <c r="X133" s="267" t="s">
        <v>488</v>
      </c>
    </row>
    <row r="134" spans="1:24" x14ac:dyDescent="0.25">
      <c r="A134" s="117">
        <v>540111</v>
      </c>
      <c r="B134" s="2" t="s">
        <v>199</v>
      </c>
      <c r="C134" s="2" t="s">
        <v>47</v>
      </c>
      <c r="D134" s="2" t="s">
        <v>115</v>
      </c>
      <c r="E134" s="117">
        <v>10</v>
      </c>
      <c r="F134" s="117">
        <v>12.4</v>
      </c>
      <c r="G134" s="117">
        <v>2.7</v>
      </c>
      <c r="H134" s="117">
        <v>0</v>
      </c>
      <c r="I134" s="158">
        <v>0</v>
      </c>
      <c r="J134" s="117">
        <v>0.9</v>
      </c>
      <c r="K134" s="267">
        <v>0.33329999999999999</v>
      </c>
      <c r="L134" s="117">
        <v>0.9</v>
      </c>
      <c r="M134" s="267">
        <v>0.33329999999999999</v>
      </c>
      <c r="N134" s="117">
        <v>0.9</v>
      </c>
      <c r="O134" s="158">
        <v>0.33329999999999999</v>
      </c>
      <c r="P134" s="117">
        <v>0</v>
      </c>
      <c r="Q134" s="267">
        <v>0</v>
      </c>
      <c r="R134" s="158">
        <v>0</v>
      </c>
      <c r="S134" s="117">
        <v>0</v>
      </c>
      <c r="T134" s="267" t="s">
        <v>488</v>
      </c>
      <c r="U134" s="117">
        <v>0</v>
      </c>
      <c r="V134" s="267" t="s">
        <v>488</v>
      </c>
      <c r="W134" s="117">
        <v>0</v>
      </c>
      <c r="X134" s="267" t="s">
        <v>488</v>
      </c>
    </row>
    <row r="135" spans="1:24" x14ac:dyDescent="0.25">
      <c r="A135" s="117">
        <v>540287</v>
      </c>
      <c r="B135" s="2" t="s">
        <v>326</v>
      </c>
      <c r="C135" s="2" t="s">
        <v>47</v>
      </c>
      <c r="D135" s="2" t="s">
        <v>115</v>
      </c>
      <c r="E135" s="117">
        <v>10</v>
      </c>
      <c r="F135" s="117">
        <v>9.4</v>
      </c>
      <c r="G135" s="117">
        <v>0.7</v>
      </c>
      <c r="H135" s="117">
        <v>0</v>
      </c>
      <c r="I135" s="158">
        <v>0</v>
      </c>
      <c r="J135" s="117">
        <v>0.1</v>
      </c>
      <c r="K135" s="267">
        <v>0.1429</v>
      </c>
      <c r="L135" s="117">
        <v>0</v>
      </c>
      <c r="M135" s="267">
        <v>0</v>
      </c>
      <c r="N135" s="117">
        <v>0.6</v>
      </c>
      <c r="O135" s="158">
        <v>0.85709999999999997</v>
      </c>
      <c r="P135" s="117">
        <v>0</v>
      </c>
      <c r="Q135" s="267">
        <v>0</v>
      </c>
      <c r="R135" s="158">
        <v>0</v>
      </c>
      <c r="S135" s="117">
        <v>0</v>
      </c>
      <c r="T135" s="267" t="s">
        <v>488</v>
      </c>
      <c r="U135" s="117">
        <v>0</v>
      </c>
      <c r="V135" s="267" t="s">
        <v>488</v>
      </c>
      <c r="W135" s="117">
        <v>0</v>
      </c>
      <c r="X135" s="267" t="s">
        <v>488</v>
      </c>
    </row>
    <row r="136" spans="1:24" x14ac:dyDescent="0.25">
      <c r="A136" s="117">
        <v>540152</v>
      </c>
      <c r="B136" s="2" t="s">
        <v>229</v>
      </c>
      <c r="C136" s="2" t="s">
        <v>47</v>
      </c>
      <c r="D136" s="2" t="s">
        <v>115</v>
      </c>
      <c r="E136" s="117">
        <v>10</v>
      </c>
      <c r="F136" s="117">
        <v>1.1000000000000001</v>
      </c>
      <c r="G136" s="117">
        <v>0.1</v>
      </c>
      <c r="H136" s="117">
        <v>0</v>
      </c>
      <c r="I136" s="158">
        <v>0</v>
      </c>
      <c r="J136" s="117">
        <v>0</v>
      </c>
      <c r="K136" s="267">
        <v>0</v>
      </c>
      <c r="L136" s="117">
        <v>0</v>
      </c>
      <c r="M136" s="267">
        <v>0</v>
      </c>
      <c r="N136" s="117">
        <v>0.1</v>
      </c>
      <c r="O136" s="158">
        <v>1</v>
      </c>
      <c r="P136" s="117">
        <v>0</v>
      </c>
      <c r="Q136" s="267">
        <v>0</v>
      </c>
      <c r="R136" s="158">
        <v>0</v>
      </c>
      <c r="S136" s="117">
        <v>0</v>
      </c>
      <c r="T136" s="267" t="s">
        <v>488</v>
      </c>
      <c r="U136" s="117">
        <v>0</v>
      </c>
      <c r="V136" s="267" t="s">
        <v>488</v>
      </c>
      <c r="W136" s="117">
        <v>0</v>
      </c>
      <c r="X136" s="267" t="s">
        <v>488</v>
      </c>
    </row>
    <row r="137" spans="1:24" x14ac:dyDescent="0.25">
      <c r="A137" s="269"/>
      <c r="B137" s="269"/>
      <c r="C137" s="269" t="s">
        <v>47</v>
      </c>
      <c r="D137" s="269"/>
      <c r="E137" s="269"/>
      <c r="F137" s="270">
        <v>620.6</v>
      </c>
      <c r="G137" s="270">
        <v>44.2</v>
      </c>
      <c r="H137" s="270">
        <v>0</v>
      </c>
      <c r="I137" s="352">
        <v>0</v>
      </c>
      <c r="J137" s="270">
        <v>2.6</v>
      </c>
      <c r="K137" s="271">
        <v>5.8799999999999998E-2</v>
      </c>
      <c r="L137" s="270">
        <v>4</v>
      </c>
      <c r="M137" s="271">
        <v>9.0499999999999997E-2</v>
      </c>
      <c r="N137" s="270">
        <v>37.5</v>
      </c>
      <c r="O137" s="352">
        <v>0.84840000000000004</v>
      </c>
      <c r="P137" s="270">
        <v>0</v>
      </c>
      <c r="Q137" s="271">
        <v>0</v>
      </c>
      <c r="R137" s="352">
        <v>0</v>
      </c>
      <c r="S137" s="270">
        <v>0</v>
      </c>
      <c r="T137" s="271" t="s">
        <v>488</v>
      </c>
      <c r="U137" s="270">
        <v>0</v>
      </c>
      <c r="V137" s="271" t="s">
        <v>488</v>
      </c>
      <c r="W137" s="270">
        <v>0</v>
      </c>
      <c r="X137" s="271" t="s">
        <v>488</v>
      </c>
    </row>
    <row r="138" spans="1:24" x14ac:dyDescent="0.25">
      <c r="A138" s="117">
        <v>540112</v>
      </c>
      <c r="B138" s="2" t="s">
        <v>48</v>
      </c>
      <c r="C138" s="2" t="s">
        <v>49</v>
      </c>
      <c r="D138" s="2" t="s">
        <v>5</v>
      </c>
      <c r="E138" s="117">
        <v>2</v>
      </c>
      <c r="F138" s="117">
        <v>820.4</v>
      </c>
      <c r="G138" s="117">
        <v>99.8</v>
      </c>
      <c r="H138" s="117">
        <v>0</v>
      </c>
      <c r="I138" s="158">
        <v>0</v>
      </c>
      <c r="J138" s="117">
        <v>12.2</v>
      </c>
      <c r="K138" s="267">
        <v>0.1222</v>
      </c>
      <c r="L138" s="117">
        <v>27.3</v>
      </c>
      <c r="M138" s="267">
        <v>0.27350000000000002</v>
      </c>
      <c r="N138" s="117">
        <v>60.3</v>
      </c>
      <c r="O138" s="158">
        <v>0.60419999999999996</v>
      </c>
      <c r="P138" s="117">
        <v>0</v>
      </c>
      <c r="Q138" s="267">
        <v>0</v>
      </c>
      <c r="R138" s="158">
        <v>0</v>
      </c>
      <c r="S138" s="117">
        <v>0</v>
      </c>
      <c r="T138" s="267" t="s">
        <v>488</v>
      </c>
      <c r="U138" s="117">
        <v>0</v>
      </c>
      <c r="V138" s="267" t="s">
        <v>488</v>
      </c>
      <c r="W138" s="117">
        <v>0</v>
      </c>
      <c r="X138" s="267" t="s">
        <v>488</v>
      </c>
    </row>
    <row r="139" spans="1:24" x14ac:dyDescent="0.25">
      <c r="A139" s="117">
        <v>540113</v>
      </c>
      <c r="B139" s="2" t="s">
        <v>200</v>
      </c>
      <c r="C139" s="2" t="s">
        <v>49</v>
      </c>
      <c r="D139" s="2" t="s">
        <v>115</v>
      </c>
      <c r="E139" s="117">
        <v>2</v>
      </c>
      <c r="F139" s="117">
        <v>2.6</v>
      </c>
      <c r="G139" s="117">
        <v>0.5</v>
      </c>
      <c r="H139" s="117">
        <v>0</v>
      </c>
      <c r="I139" s="158">
        <v>0</v>
      </c>
      <c r="J139" s="117">
        <v>0</v>
      </c>
      <c r="K139" s="267">
        <v>0</v>
      </c>
      <c r="L139" s="117">
        <v>0</v>
      </c>
      <c r="M139" s="267">
        <v>0</v>
      </c>
      <c r="N139" s="117">
        <v>0.5</v>
      </c>
      <c r="O139" s="158">
        <v>1</v>
      </c>
      <c r="P139" s="117">
        <v>0</v>
      </c>
      <c r="Q139" s="267">
        <v>0</v>
      </c>
      <c r="R139" s="158">
        <v>0</v>
      </c>
      <c r="S139" s="117">
        <v>0</v>
      </c>
      <c r="T139" s="267" t="s">
        <v>488</v>
      </c>
      <c r="U139" s="117">
        <v>0</v>
      </c>
      <c r="V139" s="267" t="s">
        <v>488</v>
      </c>
      <c r="W139" s="117">
        <v>0</v>
      </c>
      <c r="X139" s="267" t="s">
        <v>488</v>
      </c>
    </row>
    <row r="140" spans="1:24" x14ac:dyDescent="0.25">
      <c r="A140" s="117">
        <v>540247</v>
      </c>
      <c r="B140" s="2" t="s">
        <v>293</v>
      </c>
      <c r="C140" s="2" t="s">
        <v>49</v>
      </c>
      <c r="D140" s="2" t="s">
        <v>115</v>
      </c>
      <c r="E140" s="117">
        <v>2</v>
      </c>
      <c r="F140" s="117">
        <v>3.3</v>
      </c>
      <c r="G140" s="117">
        <v>0.9</v>
      </c>
      <c r="H140" s="117">
        <v>0</v>
      </c>
      <c r="I140" s="158">
        <v>0</v>
      </c>
      <c r="J140" s="117">
        <v>0</v>
      </c>
      <c r="K140" s="267">
        <v>0</v>
      </c>
      <c r="L140" s="117">
        <v>0.8</v>
      </c>
      <c r="M140" s="267">
        <v>0.88890000000000002</v>
      </c>
      <c r="N140" s="117">
        <v>0.1</v>
      </c>
      <c r="O140" s="158">
        <v>0.1111</v>
      </c>
      <c r="P140" s="117">
        <v>0</v>
      </c>
      <c r="Q140" s="267">
        <v>0</v>
      </c>
      <c r="R140" s="158">
        <v>0</v>
      </c>
      <c r="S140" s="117">
        <v>0</v>
      </c>
      <c r="T140" s="267" t="s">
        <v>488</v>
      </c>
      <c r="U140" s="117">
        <v>0</v>
      </c>
      <c r="V140" s="267" t="s">
        <v>488</v>
      </c>
      <c r="W140" s="117">
        <v>0</v>
      </c>
      <c r="X140" s="267" t="s">
        <v>488</v>
      </c>
    </row>
    <row r="141" spans="1:24" x14ac:dyDescent="0.25">
      <c r="A141" s="117">
        <v>540248</v>
      </c>
      <c r="B141" s="2" t="s">
        <v>294</v>
      </c>
      <c r="C141" s="2" t="s">
        <v>49</v>
      </c>
      <c r="D141" s="2" t="s">
        <v>115</v>
      </c>
      <c r="E141" s="117">
        <v>2</v>
      </c>
      <c r="F141" s="117">
        <v>2.7</v>
      </c>
      <c r="G141" s="117">
        <v>0.4</v>
      </c>
      <c r="H141" s="117">
        <v>0</v>
      </c>
      <c r="I141" s="158">
        <v>0</v>
      </c>
      <c r="J141" s="117">
        <v>0</v>
      </c>
      <c r="K141" s="267">
        <v>0</v>
      </c>
      <c r="L141" s="117">
        <v>0.2</v>
      </c>
      <c r="M141" s="267">
        <v>0.5</v>
      </c>
      <c r="N141" s="117">
        <v>0.2</v>
      </c>
      <c r="O141" s="158">
        <v>0.5</v>
      </c>
      <c r="P141" s="117">
        <v>0</v>
      </c>
      <c r="Q141" s="267">
        <v>0</v>
      </c>
      <c r="R141" s="158">
        <v>0</v>
      </c>
      <c r="S141" s="117">
        <v>0</v>
      </c>
      <c r="T141" s="267" t="s">
        <v>488</v>
      </c>
      <c r="U141" s="117">
        <v>0</v>
      </c>
      <c r="V141" s="267" t="s">
        <v>488</v>
      </c>
      <c r="W141" s="117">
        <v>0</v>
      </c>
      <c r="X141" s="267" t="s">
        <v>488</v>
      </c>
    </row>
    <row r="142" spans="1:24" x14ac:dyDescent="0.25">
      <c r="A142" s="117">
        <v>540249</v>
      </c>
      <c r="B142" s="2" t="s">
        <v>295</v>
      </c>
      <c r="C142" s="2" t="s">
        <v>49</v>
      </c>
      <c r="D142" s="2" t="s">
        <v>115</v>
      </c>
      <c r="E142" s="117">
        <v>2</v>
      </c>
      <c r="F142" s="117">
        <v>3.9</v>
      </c>
      <c r="G142" s="117">
        <v>0.3</v>
      </c>
      <c r="H142" s="117">
        <v>0</v>
      </c>
      <c r="I142" s="158">
        <v>0</v>
      </c>
      <c r="J142" s="117">
        <v>0</v>
      </c>
      <c r="K142" s="267">
        <v>0</v>
      </c>
      <c r="L142" s="117">
        <v>0</v>
      </c>
      <c r="M142" s="267">
        <v>0</v>
      </c>
      <c r="N142" s="117">
        <v>0.2</v>
      </c>
      <c r="O142" s="158">
        <v>0.66669999999999996</v>
      </c>
      <c r="P142" s="117">
        <v>0</v>
      </c>
      <c r="Q142" s="267">
        <v>0</v>
      </c>
      <c r="R142" s="158">
        <v>0</v>
      </c>
      <c r="S142" s="117">
        <v>0</v>
      </c>
      <c r="T142" s="267" t="s">
        <v>488</v>
      </c>
      <c r="U142" s="117">
        <v>0</v>
      </c>
      <c r="V142" s="267" t="s">
        <v>488</v>
      </c>
      <c r="W142" s="117">
        <v>0</v>
      </c>
      <c r="X142" s="267" t="s">
        <v>488</v>
      </c>
    </row>
    <row r="143" spans="1:24" x14ac:dyDescent="0.25">
      <c r="A143" s="117">
        <v>540250</v>
      </c>
      <c r="B143" s="2" t="s">
        <v>296</v>
      </c>
      <c r="C143" s="2" t="s">
        <v>49</v>
      </c>
      <c r="D143" s="2" t="s">
        <v>115</v>
      </c>
      <c r="E143" s="117">
        <v>2</v>
      </c>
      <c r="F143" s="117">
        <v>8.8000000000000007</v>
      </c>
      <c r="G143" s="117">
        <v>1.2</v>
      </c>
      <c r="H143" s="117">
        <v>0</v>
      </c>
      <c r="I143" s="158">
        <v>0</v>
      </c>
      <c r="J143" s="117">
        <v>0</v>
      </c>
      <c r="K143" s="267">
        <v>0</v>
      </c>
      <c r="L143" s="117">
        <v>1.2</v>
      </c>
      <c r="M143" s="267">
        <v>1</v>
      </c>
      <c r="N143" s="117">
        <v>0</v>
      </c>
      <c r="O143" s="158">
        <v>0</v>
      </c>
      <c r="P143" s="117">
        <v>0</v>
      </c>
      <c r="Q143" s="267">
        <v>0</v>
      </c>
      <c r="R143" s="158">
        <v>0</v>
      </c>
      <c r="S143" s="117">
        <v>0</v>
      </c>
      <c r="T143" s="267" t="s">
        <v>488</v>
      </c>
      <c r="U143" s="117">
        <v>0</v>
      </c>
      <c r="V143" s="267" t="s">
        <v>488</v>
      </c>
      <c r="W143" s="117">
        <v>0</v>
      </c>
      <c r="X143" s="267" t="s">
        <v>488</v>
      </c>
    </row>
    <row r="144" spans="1:24" x14ac:dyDescent="0.25">
      <c r="A144" s="117">
        <v>540251</v>
      </c>
      <c r="B144" s="2" t="s">
        <v>297</v>
      </c>
      <c r="C144" s="2" t="s">
        <v>49</v>
      </c>
      <c r="D144" s="2" t="s">
        <v>115</v>
      </c>
      <c r="E144" s="117">
        <v>2</v>
      </c>
      <c r="F144" s="117">
        <v>5.0999999999999996</v>
      </c>
      <c r="G144" s="117">
        <v>2.9</v>
      </c>
      <c r="H144" s="117">
        <v>0</v>
      </c>
      <c r="I144" s="158">
        <v>0</v>
      </c>
      <c r="J144" s="117">
        <v>0.9</v>
      </c>
      <c r="K144" s="267">
        <v>0.31030000000000002</v>
      </c>
      <c r="L144" s="117">
        <v>0.6</v>
      </c>
      <c r="M144" s="267">
        <v>0.2069</v>
      </c>
      <c r="N144" s="117">
        <v>1.4</v>
      </c>
      <c r="O144" s="158">
        <v>0.48280000000000001</v>
      </c>
      <c r="P144" s="117">
        <v>0</v>
      </c>
      <c r="Q144" s="267">
        <v>0</v>
      </c>
      <c r="R144" s="158">
        <v>0</v>
      </c>
      <c r="S144" s="117">
        <v>0</v>
      </c>
      <c r="T144" s="267" t="s">
        <v>488</v>
      </c>
      <c r="U144" s="117">
        <v>0</v>
      </c>
      <c r="V144" s="267" t="s">
        <v>488</v>
      </c>
      <c r="W144" s="117">
        <v>0</v>
      </c>
      <c r="X144" s="267" t="s">
        <v>488</v>
      </c>
    </row>
    <row r="145" spans="1:24" x14ac:dyDescent="0.25">
      <c r="A145" s="269"/>
      <c r="B145" s="269"/>
      <c r="C145" s="269" t="s">
        <v>49</v>
      </c>
      <c r="D145" s="269"/>
      <c r="E145" s="269"/>
      <c r="F145" s="270">
        <v>846.8</v>
      </c>
      <c r="G145" s="270">
        <v>106</v>
      </c>
      <c r="H145" s="270">
        <v>0</v>
      </c>
      <c r="I145" s="352">
        <v>0</v>
      </c>
      <c r="J145" s="270">
        <v>13.1</v>
      </c>
      <c r="K145" s="271">
        <v>0.1236</v>
      </c>
      <c r="L145" s="270">
        <v>30.1</v>
      </c>
      <c r="M145" s="271">
        <v>0.28399999999999997</v>
      </c>
      <c r="N145" s="270">
        <v>62.7</v>
      </c>
      <c r="O145" s="352">
        <v>0.59150000000000003</v>
      </c>
      <c r="P145" s="270">
        <v>0</v>
      </c>
      <c r="Q145" s="271">
        <v>0</v>
      </c>
      <c r="R145" s="352">
        <v>0</v>
      </c>
      <c r="S145" s="270">
        <v>0</v>
      </c>
      <c r="T145" s="271" t="s">
        <v>488</v>
      </c>
      <c r="U145" s="270">
        <v>0</v>
      </c>
      <c r="V145" s="271" t="s">
        <v>488</v>
      </c>
      <c r="W145" s="270">
        <v>0</v>
      </c>
      <c r="X145" s="271" t="s">
        <v>488</v>
      </c>
    </row>
    <row r="146" spans="1:24" x14ac:dyDescent="0.25">
      <c r="A146" s="117">
        <v>540114</v>
      </c>
      <c r="B146" s="2" t="s">
        <v>50</v>
      </c>
      <c r="C146" s="2" t="s">
        <v>51</v>
      </c>
      <c r="D146" s="2" t="s">
        <v>5</v>
      </c>
      <c r="E146" s="117">
        <v>1</v>
      </c>
      <c r="F146" s="117">
        <v>682</v>
      </c>
      <c r="G146" s="117">
        <v>121.3</v>
      </c>
      <c r="H146" s="117">
        <v>0</v>
      </c>
      <c r="I146" s="158">
        <v>0</v>
      </c>
      <c r="J146" s="117">
        <v>18.7</v>
      </c>
      <c r="K146" s="267">
        <v>0.1542</v>
      </c>
      <c r="L146" s="117">
        <v>22.7</v>
      </c>
      <c r="M146" s="267">
        <v>0.18709999999999999</v>
      </c>
      <c r="N146" s="117">
        <v>79.900000000000006</v>
      </c>
      <c r="O146" s="158">
        <v>0.65869999999999995</v>
      </c>
      <c r="P146" s="117">
        <v>107.4</v>
      </c>
      <c r="Q146" s="267">
        <v>0.88539999999999996</v>
      </c>
      <c r="R146" s="158">
        <v>0.1575</v>
      </c>
      <c r="S146" s="117">
        <v>20.8</v>
      </c>
      <c r="T146" s="267">
        <v>0.19370000000000001</v>
      </c>
      <c r="U146" s="117">
        <v>42.6</v>
      </c>
      <c r="V146" s="267">
        <v>0.39660000000000001</v>
      </c>
      <c r="W146" s="117">
        <v>44</v>
      </c>
      <c r="X146" s="267">
        <v>0.40970000000000001</v>
      </c>
    </row>
    <row r="147" spans="1:24" x14ac:dyDescent="0.25">
      <c r="A147" s="117">
        <v>540115</v>
      </c>
      <c r="B147" s="2" t="s">
        <v>201</v>
      </c>
      <c r="C147" s="2" t="s">
        <v>51</v>
      </c>
      <c r="D147" s="2" t="s">
        <v>115</v>
      </c>
      <c r="E147" s="117">
        <v>1</v>
      </c>
      <c r="F147" s="117">
        <v>5.9</v>
      </c>
      <c r="G147" s="117">
        <v>1.4</v>
      </c>
      <c r="H147" s="117">
        <v>0</v>
      </c>
      <c r="I147" s="158">
        <v>0</v>
      </c>
      <c r="J147" s="117">
        <v>0</v>
      </c>
      <c r="K147" s="267">
        <v>0</v>
      </c>
      <c r="L147" s="117">
        <v>0</v>
      </c>
      <c r="M147" s="267">
        <v>0</v>
      </c>
      <c r="N147" s="117">
        <v>1.4</v>
      </c>
      <c r="O147" s="158">
        <v>1</v>
      </c>
      <c r="P147" s="117">
        <v>1.4</v>
      </c>
      <c r="Q147" s="267">
        <v>1</v>
      </c>
      <c r="R147" s="158">
        <v>0.23730000000000001</v>
      </c>
      <c r="S147" s="117">
        <v>0.2</v>
      </c>
      <c r="T147" s="267">
        <v>0.1429</v>
      </c>
      <c r="U147" s="117">
        <v>0.3</v>
      </c>
      <c r="V147" s="267">
        <v>0.21429999999999999</v>
      </c>
      <c r="W147" s="117">
        <v>0.9</v>
      </c>
      <c r="X147" s="267">
        <v>0.64290000000000003</v>
      </c>
    </row>
    <row r="148" spans="1:24" x14ac:dyDescent="0.25">
      <c r="A148" s="117">
        <v>540116</v>
      </c>
      <c r="B148" s="2" t="s">
        <v>202</v>
      </c>
      <c r="C148" s="2" t="s">
        <v>51</v>
      </c>
      <c r="D148" s="2" t="s">
        <v>115</v>
      </c>
      <c r="E148" s="117">
        <v>1</v>
      </c>
      <c r="F148" s="117">
        <v>4</v>
      </c>
      <c r="G148" s="117">
        <v>1.6</v>
      </c>
      <c r="H148" s="117">
        <v>0</v>
      </c>
      <c r="I148" s="158">
        <v>0</v>
      </c>
      <c r="J148" s="117">
        <v>0</v>
      </c>
      <c r="K148" s="267">
        <v>0</v>
      </c>
      <c r="L148" s="117">
        <v>0</v>
      </c>
      <c r="M148" s="267">
        <v>0</v>
      </c>
      <c r="N148" s="117">
        <v>1.6</v>
      </c>
      <c r="O148" s="158">
        <v>1</v>
      </c>
      <c r="P148" s="117">
        <v>1.5</v>
      </c>
      <c r="Q148" s="267">
        <v>0.9375</v>
      </c>
      <c r="R148" s="158">
        <v>0.375</v>
      </c>
      <c r="S148" s="117">
        <v>0.2</v>
      </c>
      <c r="T148" s="267">
        <v>0.1333</v>
      </c>
      <c r="U148" s="117">
        <v>0.5</v>
      </c>
      <c r="V148" s="267">
        <v>0.33329999999999999</v>
      </c>
      <c r="W148" s="117">
        <v>0.8</v>
      </c>
      <c r="X148" s="267">
        <v>0.5333</v>
      </c>
    </row>
    <row r="149" spans="1:24" x14ac:dyDescent="0.25">
      <c r="A149" s="117">
        <v>540117</v>
      </c>
      <c r="B149" s="2" t="s">
        <v>203</v>
      </c>
      <c r="C149" s="2" t="s">
        <v>51</v>
      </c>
      <c r="D149" s="2" t="s">
        <v>115</v>
      </c>
      <c r="E149" s="117">
        <v>1</v>
      </c>
      <c r="F149" s="117">
        <v>11.7</v>
      </c>
      <c r="G149" s="117">
        <v>4.9000000000000004</v>
      </c>
      <c r="H149" s="117">
        <v>0</v>
      </c>
      <c r="I149" s="158">
        <v>0</v>
      </c>
      <c r="J149" s="117">
        <v>0</v>
      </c>
      <c r="K149" s="267">
        <v>0</v>
      </c>
      <c r="L149" s="117">
        <v>2.4</v>
      </c>
      <c r="M149" s="267">
        <v>0.48980000000000001</v>
      </c>
      <c r="N149" s="117">
        <v>2.5</v>
      </c>
      <c r="O149" s="158">
        <v>0.51019999999999999</v>
      </c>
      <c r="P149" s="117">
        <v>3.4</v>
      </c>
      <c r="Q149" s="267">
        <v>0.69389999999999996</v>
      </c>
      <c r="R149" s="158">
        <v>0.29060000000000002</v>
      </c>
      <c r="S149" s="117">
        <v>0.4</v>
      </c>
      <c r="T149" s="267">
        <v>0.1176</v>
      </c>
      <c r="U149" s="117">
        <v>0.8</v>
      </c>
      <c r="V149" s="267">
        <v>0.23530000000000001</v>
      </c>
      <c r="W149" s="117">
        <v>2.2000000000000002</v>
      </c>
      <c r="X149" s="267">
        <v>0.64710000000000001</v>
      </c>
    </row>
    <row r="150" spans="1:24" x14ac:dyDescent="0.25">
      <c r="A150" s="117">
        <v>540118</v>
      </c>
      <c r="B150" s="2" t="s">
        <v>204</v>
      </c>
      <c r="C150" s="2" t="s">
        <v>51</v>
      </c>
      <c r="D150" s="2" t="s">
        <v>115</v>
      </c>
      <c r="E150" s="117">
        <v>1</v>
      </c>
      <c r="F150" s="117">
        <v>7.6</v>
      </c>
      <c r="G150" s="117">
        <v>2.4</v>
      </c>
      <c r="H150" s="117">
        <v>0</v>
      </c>
      <c r="I150" s="158">
        <v>0</v>
      </c>
      <c r="J150" s="117">
        <v>1</v>
      </c>
      <c r="K150" s="267">
        <v>0.41670000000000001</v>
      </c>
      <c r="L150" s="117">
        <v>0.7</v>
      </c>
      <c r="M150" s="267">
        <v>0.29170000000000001</v>
      </c>
      <c r="N150" s="117">
        <v>0.7</v>
      </c>
      <c r="O150" s="158">
        <v>0.29170000000000001</v>
      </c>
      <c r="P150" s="117">
        <v>2.4</v>
      </c>
      <c r="Q150" s="267">
        <v>1</v>
      </c>
      <c r="R150" s="158">
        <v>0.31580000000000003</v>
      </c>
      <c r="S150" s="117">
        <v>0.4</v>
      </c>
      <c r="T150" s="267">
        <v>0.16669999999999999</v>
      </c>
      <c r="U150" s="117">
        <v>0.8</v>
      </c>
      <c r="V150" s="267">
        <v>0.33329999999999999</v>
      </c>
      <c r="W150" s="117">
        <v>1.2</v>
      </c>
      <c r="X150" s="267">
        <v>0.5</v>
      </c>
    </row>
    <row r="151" spans="1:24" x14ac:dyDescent="0.25">
      <c r="A151" s="117">
        <v>540119</v>
      </c>
      <c r="B151" s="2" t="s">
        <v>205</v>
      </c>
      <c r="C151" s="2" t="s">
        <v>51</v>
      </c>
      <c r="D151" s="2" t="s">
        <v>115</v>
      </c>
      <c r="E151" s="117">
        <v>1</v>
      </c>
      <c r="F151" s="117">
        <v>3</v>
      </c>
      <c r="G151" s="117">
        <v>2.2999999999999998</v>
      </c>
      <c r="H151" s="117">
        <v>0</v>
      </c>
      <c r="I151" s="158">
        <v>0</v>
      </c>
      <c r="J151" s="117">
        <v>1.7</v>
      </c>
      <c r="K151" s="267">
        <v>0.73909999999999998</v>
      </c>
      <c r="L151" s="117">
        <v>0</v>
      </c>
      <c r="M151" s="267">
        <v>0</v>
      </c>
      <c r="N151" s="117">
        <v>0.6</v>
      </c>
      <c r="O151" s="158">
        <v>0.26090000000000002</v>
      </c>
      <c r="P151" s="117">
        <v>2.2000000000000002</v>
      </c>
      <c r="Q151" s="267">
        <v>0.95650000000000002</v>
      </c>
      <c r="R151" s="158">
        <v>0.73329999999999995</v>
      </c>
      <c r="S151" s="117">
        <v>0.2</v>
      </c>
      <c r="T151" s="267">
        <v>9.0899999999999995E-2</v>
      </c>
      <c r="U151" s="117">
        <v>0.5</v>
      </c>
      <c r="V151" s="267">
        <v>0.2273</v>
      </c>
      <c r="W151" s="117">
        <v>1.5</v>
      </c>
      <c r="X151" s="267">
        <v>0.68179999999999996</v>
      </c>
    </row>
    <row r="152" spans="1:24" x14ac:dyDescent="0.25">
      <c r="A152" s="117">
        <v>540120</v>
      </c>
      <c r="B152" s="2" t="s">
        <v>206</v>
      </c>
      <c r="C152" s="2" t="s">
        <v>51</v>
      </c>
      <c r="D152" s="2" t="s">
        <v>115</v>
      </c>
      <c r="E152" s="117">
        <v>1</v>
      </c>
      <c r="F152" s="117">
        <v>5.2</v>
      </c>
      <c r="G152" s="117">
        <v>3.4</v>
      </c>
      <c r="H152" s="117">
        <v>0</v>
      </c>
      <c r="I152" s="158">
        <v>0</v>
      </c>
      <c r="J152" s="117">
        <v>2.2000000000000002</v>
      </c>
      <c r="K152" s="267">
        <v>0.64710000000000001</v>
      </c>
      <c r="L152" s="117">
        <v>0</v>
      </c>
      <c r="M152" s="267">
        <v>0</v>
      </c>
      <c r="N152" s="117">
        <v>1.2</v>
      </c>
      <c r="O152" s="158">
        <v>0.35289999999999999</v>
      </c>
      <c r="P152" s="117">
        <v>3.4</v>
      </c>
      <c r="Q152" s="267">
        <v>1</v>
      </c>
      <c r="R152" s="158">
        <v>0.65380000000000005</v>
      </c>
      <c r="S152" s="117">
        <v>0</v>
      </c>
      <c r="T152" s="267">
        <v>0</v>
      </c>
      <c r="U152" s="117">
        <v>0.3</v>
      </c>
      <c r="V152" s="267">
        <v>8.8200000000000001E-2</v>
      </c>
      <c r="W152" s="117">
        <v>3.1</v>
      </c>
      <c r="X152" s="267">
        <v>0.91180000000000005</v>
      </c>
    </row>
    <row r="153" spans="1:24" x14ac:dyDescent="0.25">
      <c r="A153" s="117">
        <v>540121</v>
      </c>
      <c r="B153" s="2" t="s">
        <v>207</v>
      </c>
      <c r="C153" s="2" t="s">
        <v>51</v>
      </c>
      <c r="D153" s="2" t="s">
        <v>115</v>
      </c>
      <c r="E153" s="117">
        <v>1</v>
      </c>
      <c r="F153" s="117">
        <v>9.8000000000000007</v>
      </c>
      <c r="G153" s="117">
        <v>4.7</v>
      </c>
      <c r="H153" s="117">
        <v>0</v>
      </c>
      <c r="I153" s="158">
        <v>0</v>
      </c>
      <c r="J153" s="117">
        <v>1.7</v>
      </c>
      <c r="K153" s="267">
        <v>0.36170000000000002</v>
      </c>
      <c r="L153" s="117">
        <v>0</v>
      </c>
      <c r="M153" s="267">
        <v>0</v>
      </c>
      <c r="N153" s="117">
        <v>3</v>
      </c>
      <c r="O153" s="158">
        <v>0.63829999999999998</v>
      </c>
      <c r="P153" s="117">
        <v>4.5999999999999996</v>
      </c>
      <c r="Q153" s="267">
        <v>0.97870000000000001</v>
      </c>
      <c r="R153" s="158">
        <v>0.46939999999999998</v>
      </c>
      <c r="S153" s="117">
        <v>0.4</v>
      </c>
      <c r="T153" s="267">
        <v>8.6999999999999994E-2</v>
      </c>
      <c r="U153" s="117">
        <v>1</v>
      </c>
      <c r="V153" s="267">
        <v>0.21740000000000001</v>
      </c>
      <c r="W153" s="117">
        <v>3.2</v>
      </c>
      <c r="X153" s="267">
        <v>0.69569999999999999</v>
      </c>
    </row>
    <row r="154" spans="1:24" x14ac:dyDescent="0.25">
      <c r="A154" s="117">
        <v>540122</v>
      </c>
      <c r="B154" s="2" t="s">
        <v>208</v>
      </c>
      <c r="C154" s="2" t="s">
        <v>51</v>
      </c>
      <c r="D154" s="2" t="s">
        <v>115</v>
      </c>
      <c r="E154" s="117">
        <v>1</v>
      </c>
      <c r="F154" s="117">
        <v>6.5</v>
      </c>
      <c r="G154" s="117">
        <v>2.2999999999999998</v>
      </c>
      <c r="H154" s="117">
        <v>0</v>
      </c>
      <c r="I154" s="158">
        <v>0</v>
      </c>
      <c r="J154" s="117">
        <v>0</v>
      </c>
      <c r="K154" s="267">
        <v>0</v>
      </c>
      <c r="L154" s="117">
        <v>0.8</v>
      </c>
      <c r="M154" s="267">
        <v>0.3478</v>
      </c>
      <c r="N154" s="117">
        <v>1.5</v>
      </c>
      <c r="O154" s="158">
        <v>0.6522</v>
      </c>
      <c r="P154" s="117">
        <v>2.2000000000000002</v>
      </c>
      <c r="Q154" s="267">
        <v>0.95650000000000002</v>
      </c>
      <c r="R154" s="158">
        <v>0.33850000000000002</v>
      </c>
      <c r="S154" s="117">
        <v>0.5</v>
      </c>
      <c r="T154" s="267">
        <v>0.2273</v>
      </c>
      <c r="U154" s="117">
        <v>1.1000000000000001</v>
      </c>
      <c r="V154" s="267">
        <v>0.5</v>
      </c>
      <c r="W154" s="117">
        <v>0.6</v>
      </c>
      <c r="X154" s="267">
        <v>0.2727</v>
      </c>
    </row>
    <row r="155" spans="1:24" x14ac:dyDescent="0.25">
      <c r="A155" s="117">
        <v>540123</v>
      </c>
      <c r="B155" s="2" t="s">
        <v>209</v>
      </c>
      <c r="C155" s="2" t="s">
        <v>51</v>
      </c>
      <c r="D155" s="2" t="s">
        <v>115</v>
      </c>
      <c r="E155" s="117">
        <v>1</v>
      </c>
      <c r="F155" s="117">
        <v>50.8</v>
      </c>
      <c r="G155" s="117">
        <v>10.1</v>
      </c>
      <c r="H155" s="117">
        <v>0</v>
      </c>
      <c r="I155" s="158">
        <v>0</v>
      </c>
      <c r="J155" s="117">
        <v>2.7</v>
      </c>
      <c r="K155" s="267">
        <v>0.26729999999999998</v>
      </c>
      <c r="L155" s="117">
        <v>3.6</v>
      </c>
      <c r="M155" s="267">
        <v>0.35639999999999999</v>
      </c>
      <c r="N155" s="117">
        <v>3.9</v>
      </c>
      <c r="O155" s="158">
        <v>0.3861</v>
      </c>
      <c r="P155" s="117">
        <v>9.9</v>
      </c>
      <c r="Q155" s="267">
        <v>0.98019999999999996</v>
      </c>
      <c r="R155" s="158">
        <v>0.19489999999999999</v>
      </c>
      <c r="S155" s="117">
        <v>1.8</v>
      </c>
      <c r="T155" s="267">
        <v>0.18179999999999999</v>
      </c>
      <c r="U155" s="117">
        <v>2.9</v>
      </c>
      <c r="V155" s="267">
        <v>0.29289999999999999</v>
      </c>
      <c r="W155" s="117">
        <v>5.2</v>
      </c>
      <c r="X155" s="267">
        <v>0.52529999999999999</v>
      </c>
    </row>
    <row r="156" spans="1:24" x14ac:dyDescent="0.25">
      <c r="A156" s="117">
        <v>540291</v>
      </c>
      <c r="B156" s="2" t="s">
        <v>328</v>
      </c>
      <c r="C156" s="2" t="s">
        <v>51</v>
      </c>
      <c r="D156" s="2" t="s">
        <v>115</v>
      </c>
      <c r="E156" s="117">
        <v>1</v>
      </c>
      <c r="F156" s="117">
        <v>6.4</v>
      </c>
      <c r="G156" s="117">
        <v>2.2999999999999998</v>
      </c>
      <c r="H156" s="117">
        <v>0</v>
      </c>
      <c r="I156" s="158">
        <v>0</v>
      </c>
      <c r="J156" s="117">
        <v>0</v>
      </c>
      <c r="K156" s="267">
        <v>0</v>
      </c>
      <c r="L156" s="117">
        <v>2</v>
      </c>
      <c r="M156" s="267">
        <v>0.86960000000000004</v>
      </c>
      <c r="N156" s="117">
        <v>0.3</v>
      </c>
      <c r="O156" s="158">
        <v>0.13039999999999999</v>
      </c>
      <c r="P156" s="117">
        <v>2.2999999999999998</v>
      </c>
      <c r="Q156" s="267">
        <v>1</v>
      </c>
      <c r="R156" s="158">
        <v>0.3594</v>
      </c>
      <c r="S156" s="117">
        <v>0.3</v>
      </c>
      <c r="T156" s="267">
        <v>0.13039999999999999</v>
      </c>
      <c r="U156" s="117">
        <v>0.8</v>
      </c>
      <c r="V156" s="267">
        <v>0.3478</v>
      </c>
      <c r="W156" s="117">
        <v>1.2</v>
      </c>
      <c r="X156" s="267">
        <v>0.52170000000000005</v>
      </c>
    </row>
    <row r="157" spans="1:24" x14ac:dyDescent="0.25">
      <c r="A157" s="269"/>
      <c r="B157" s="269"/>
      <c r="C157" s="269" t="s">
        <v>51</v>
      </c>
      <c r="D157" s="269"/>
      <c r="E157" s="269"/>
      <c r="F157" s="270">
        <v>792.9</v>
      </c>
      <c r="G157" s="270">
        <v>156.69999999999999</v>
      </c>
      <c r="H157" s="270">
        <v>0</v>
      </c>
      <c r="I157" s="352">
        <v>0</v>
      </c>
      <c r="J157" s="270">
        <v>28</v>
      </c>
      <c r="K157" s="271">
        <v>0.1787</v>
      </c>
      <c r="L157" s="270">
        <v>32.200000000000003</v>
      </c>
      <c r="M157" s="271">
        <v>0.20549999999999999</v>
      </c>
      <c r="N157" s="270">
        <v>96.6</v>
      </c>
      <c r="O157" s="352">
        <v>0.61650000000000005</v>
      </c>
      <c r="P157" s="270">
        <v>140.69999999999999</v>
      </c>
      <c r="Q157" s="271">
        <v>0.89790000000000003</v>
      </c>
      <c r="R157" s="352">
        <v>0.1774</v>
      </c>
      <c r="S157" s="270">
        <v>25.2</v>
      </c>
      <c r="T157" s="271">
        <v>0.17910000000000001</v>
      </c>
      <c r="U157" s="270">
        <v>51.6</v>
      </c>
      <c r="V157" s="271">
        <v>0.36670000000000003</v>
      </c>
      <c r="W157" s="270">
        <v>63.9</v>
      </c>
      <c r="X157" s="271">
        <v>0.45419999999999999</v>
      </c>
    </row>
    <row r="158" spans="1:24" x14ac:dyDescent="0.25">
      <c r="A158" s="117">
        <v>540124</v>
      </c>
      <c r="B158" s="2" t="s">
        <v>52</v>
      </c>
      <c r="C158" s="2" t="s">
        <v>53</v>
      </c>
      <c r="D158" s="2" t="s">
        <v>5</v>
      </c>
      <c r="E158" s="117">
        <v>1</v>
      </c>
      <c r="F158" s="117">
        <v>1031.9000000000001</v>
      </c>
      <c r="G158" s="117">
        <v>71.400000000000006</v>
      </c>
      <c r="H158" s="117">
        <v>0.6</v>
      </c>
      <c r="I158" s="158">
        <v>8.3999999999999995E-3</v>
      </c>
      <c r="J158" s="117">
        <v>9.6</v>
      </c>
      <c r="K158" s="267">
        <v>0.13450000000000001</v>
      </c>
      <c r="L158" s="117">
        <v>9.9</v>
      </c>
      <c r="M158" s="267">
        <v>0.13869999999999999</v>
      </c>
      <c r="N158" s="117">
        <v>51.4</v>
      </c>
      <c r="O158" s="158">
        <v>0.71989999999999998</v>
      </c>
      <c r="P158" s="117">
        <v>37</v>
      </c>
      <c r="Q158" s="267">
        <v>0.51819999999999999</v>
      </c>
      <c r="R158" s="158">
        <v>3.5900000000000001E-2</v>
      </c>
      <c r="S158" s="117">
        <v>8.8000000000000007</v>
      </c>
      <c r="T158" s="267">
        <v>0.23780000000000001</v>
      </c>
      <c r="U158" s="117">
        <v>16.100000000000001</v>
      </c>
      <c r="V158" s="267">
        <v>0.43509999999999999</v>
      </c>
      <c r="W158" s="117">
        <v>12.1</v>
      </c>
      <c r="X158" s="267">
        <v>0.32700000000000001</v>
      </c>
    </row>
    <row r="159" spans="1:24" x14ac:dyDescent="0.25">
      <c r="A159" s="117">
        <v>540125</v>
      </c>
      <c r="B159" s="2" t="s">
        <v>210</v>
      </c>
      <c r="C159" s="2" t="s">
        <v>53</v>
      </c>
      <c r="D159" s="2" t="s">
        <v>115</v>
      </c>
      <c r="E159" s="117">
        <v>1</v>
      </c>
      <c r="F159" s="117">
        <v>8.6999999999999993</v>
      </c>
      <c r="G159" s="117">
        <v>0.7</v>
      </c>
      <c r="H159" s="117">
        <v>0</v>
      </c>
      <c r="I159" s="158">
        <v>0</v>
      </c>
      <c r="J159" s="117">
        <v>0.1</v>
      </c>
      <c r="K159" s="267">
        <v>0.1429</v>
      </c>
      <c r="L159" s="117">
        <v>0</v>
      </c>
      <c r="M159" s="267">
        <v>0</v>
      </c>
      <c r="N159" s="117">
        <v>0.6</v>
      </c>
      <c r="O159" s="158">
        <v>0.85709999999999997</v>
      </c>
      <c r="P159" s="117">
        <v>0.6</v>
      </c>
      <c r="Q159" s="267">
        <v>0.85709999999999997</v>
      </c>
      <c r="R159" s="158">
        <v>6.9000000000000006E-2</v>
      </c>
      <c r="S159" s="117">
        <v>0.3</v>
      </c>
      <c r="T159" s="267">
        <v>0.5</v>
      </c>
      <c r="U159" s="117">
        <v>0.1</v>
      </c>
      <c r="V159" s="267">
        <v>0.16669999999999999</v>
      </c>
      <c r="W159" s="117">
        <v>0.2</v>
      </c>
      <c r="X159" s="267">
        <v>0.33329999999999999</v>
      </c>
    </row>
    <row r="160" spans="1:24" x14ac:dyDescent="0.25">
      <c r="A160" s="117">
        <v>540126</v>
      </c>
      <c r="B160" s="2" t="s">
        <v>211</v>
      </c>
      <c r="C160" s="2" t="s">
        <v>53</v>
      </c>
      <c r="D160" s="2" t="s">
        <v>115</v>
      </c>
      <c r="E160" s="117">
        <v>1</v>
      </c>
      <c r="F160" s="117">
        <v>3.5</v>
      </c>
      <c r="G160" s="117">
        <v>0.9</v>
      </c>
      <c r="H160" s="117">
        <v>0</v>
      </c>
      <c r="I160" s="158">
        <v>0</v>
      </c>
      <c r="J160" s="117">
        <v>0</v>
      </c>
      <c r="K160" s="267">
        <v>0</v>
      </c>
      <c r="L160" s="117">
        <v>0.4</v>
      </c>
      <c r="M160" s="267">
        <v>0.44440000000000002</v>
      </c>
      <c r="N160" s="117">
        <v>0.5</v>
      </c>
      <c r="O160" s="158">
        <v>0.55559999999999998</v>
      </c>
      <c r="P160" s="117">
        <v>1</v>
      </c>
      <c r="Q160" s="267">
        <v>1.1111</v>
      </c>
      <c r="R160" s="158">
        <v>0.28570000000000001</v>
      </c>
      <c r="S160" s="117">
        <v>0.1</v>
      </c>
      <c r="T160" s="267">
        <v>0.1</v>
      </c>
      <c r="U160" s="117">
        <v>0.1</v>
      </c>
      <c r="V160" s="267">
        <v>0.1</v>
      </c>
      <c r="W160" s="117">
        <v>0.8</v>
      </c>
      <c r="X160" s="267">
        <v>0.8</v>
      </c>
    </row>
    <row r="161" spans="1:24" x14ac:dyDescent="0.25">
      <c r="A161" s="117">
        <v>540127</v>
      </c>
      <c r="B161" s="2" t="s">
        <v>212</v>
      </c>
      <c r="C161" s="2" t="s">
        <v>53</v>
      </c>
      <c r="D161" s="2" t="s">
        <v>115</v>
      </c>
      <c r="E161" s="117">
        <v>1</v>
      </c>
      <c r="F161" s="117">
        <v>3.2</v>
      </c>
      <c r="G161" s="117">
        <v>0.2</v>
      </c>
      <c r="H161" s="117">
        <v>0</v>
      </c>
      <c r="I161" s="158">
        <v>0</v>
      </c>
      <c r="J161" s="117">
        <v>0</v>
      </c>
      <c r="K161" s="267">
        <v>0</v>
      </c>
      <c r="L161" s="117">
        <v>0</v>
      </c>
      <c r="M161" s="267">
        <v>0</v>
      </c>
      <c r="N161" s="117">
        <v>0.1</v>
      </c>
      <c r="O161" s="158">
        <v>0.5</v>
      </c>
      <c r="P161" s="117">
        <v>0.4</v>
      </c>
      <c r="Q161" s="267">
        <v>2</v>
      </c>
      <c r="R161" s="158">
        <v>0.125</v>
      </c>
      <c r="S161" s="117">
        <v>0.3</v>
      </c>
      <c r="T161" s="267" t="s">
        <v>488</v>
      </c>
      <c r="U161" s="117">
        <v>0.1</v>
      </c>
      <c r="V161" s="267" t="s">
        <v>488</v>
      </c>
      <c r="W161" s="117">
        <v>0</v>
      </c>
      <c r="X161" s="267" t="s">
        <v>488</v>
      </c>
    </row>
    <row r="162" spans="1:24" x14ac:dyDescent="0.25">
      <c r="A162" s="117">
        <v>540128</v>
      </c>
      <c r="B162" s="2" t="s">
        <v>213</v>
      </c>
      <c r="C162" s="2" t="s">
        <v>53</v>
      </c>
      <c r="D162" s="2" t="s">
        <v>115</v>
      </c>
      <c r="E162" s="117">
        <v>1</v>
      </c>
      <c r="F162" s="117">
        <v>21.9</v>
      </c>
      <c r="G162" s="117">
        <v>3</v>
      </c>
      <c r="H162" s="117">
        <v>0</v>
      </c>
      <c r="I162" s="158">
        <v>0</v>
      </c>
      <c r="J162" s="117">
        <v>0.3</v>
      </c>
      <c r="K162" s="267">
        <v>0.1</v>
      </c>
      <c r="L162" s="117">
        <v>1.8</v>
      </c>
      <c r="M162" s="267">
        <v>0.6</v>
      </c>
      <c r="N162" s="117">
        <v>0.9</v>
      </c>
      <c r="O162" s="158">
        <v>0.3</v>
      </c>
      <c r="P162" s="117">
        <v>2.2999999999999998</v>
      </c>
      <c r="Q162" s="267">
        <v>0.76670000000000005</v>
      </c>
      <c r="R162" s="158">
        <v>0.105</v>
      </c>
      <c r="S162" s="117">
        <v>0.8</v>
      </c>
      <c r="T162" s="267">
        <v>0.3478</v>
      </c>
      <c r="U162" s="117">
        <v>1.4</v>
      </c>
      <c r="V162" s="267">
        <v>0.60870000000000002</v>
      </c>
      <c r="W162" s="117">
        <v>0.1</v>
      </c>
      <c r="X162" s="267">
        <v>4.3499999999999997E-2</v>
      </c>
    </row>
    <row r="163" spans="1:24" x14ac:dyDescent="0.25">
      <c r="A163" s="117">
        <v>540172</v>
      </c>
      <c r="B163" s="2" t="s">
        <v>244</v>
      </c>
      <c r="C163" s="2" t="s">
        <v>53</v>
      </c>
      <c r="D163" s="2" t="s">
        <v>115</v>
      </c>
      <c r="E163" s="117">
        <v>1</v>
      </c>
      <c r="F163" s="117">
        <v>1.8</v>
      </c>
      <c r="G163" s="117">
        <v>0</v>
      </c>
      <c r="H163" s="117">
        <v>0</v>
      </c>
      <c r="I163" s="267" t="s">
        <v>488</v>
      </c>
      <c r="J163" s="117">
        <v>0</v>
      </c>
      <c r="K163" s="267" t="s">
        <v>488</v>
      </c>
      <c r="L163" s="117">
        <v>0</v>
      </c>
      <c r="M163" s="267" t="s">
        <v>488</v>
      </c>
      <c r="N163" s="117">
        <v>0</v>
      </c>
      <c r="O163" s="267" t="s">
        <v>488</v>
      </c>
      <c r="P163" s="117">
        <v>0</v>
      </c>
      <c r="Q163" s="267" t="s">
        <v>488</v>
      </c>
      <c r="R163" s="158">
        <v>0</v>
      </c>
      <c r="S163" s="117">
        <v>0</v>
      </c>
      <c r="T163" s="267" t="s">
        <v>488</v>
      </c>
      <c r="U163" s="117">
        <v>0</v>
      </c>
      <c r="V163" s="267" t="s">
        <v>488</v>
      </c>
      <c r="W163" s="117">
        <v>0</v>
      </c>
      <c r="X163" s="267" t="s">
        <v>488</v>
      </c>
    </row>
    <row r="164" spans="1:24" x14ac:dyDescent="0.25">
      <c r="A164" s="117">
        <v>540285</v>
      </c>
      <c r="B164" s="2" t="s">
        <v>324</v>
      </c>
      <c r="C164" s="2" t="s">
        <v>53</v>
      </c>
      <c r="D164" s="2" t="s">
        <v>115</v>
      </c>
      <c r="E164" s="117">
        <v>1</v>
      </c>
      <c r="F164" s="117">
        <v>56.7</v>
      </c>
      <c r="G164" s="117">
        <v>0.7</v>
      </c>
      <c r="H164" s="117">
        <v>0</v>
      </c>
      <c r="I164" s="158">
        <v>0</v>
      </c>
      <c r="J164" s="117">
        <v>0</v>
      </c>
      <c r="K164" s="267">
        <v>0</v>
      </c>
      <c r="L164" s="117">
        <v>0</v>
      </c>
      <c r="M164" s="267">
        <v>0</v>
      </c>
      <c r="N164" s="117">
        <v>0.7</v>
      </c>
      <c r="O164" s="158">
        <v>1</v>
      </c>
      <c r="P164" s="117">
        <v>0</v>
      </c>
      <c r="Q164" s="267">
        <v>0</v>
      </c>
      <c r="R164" s="158">
        <v>0</v>
      </c>
      <c r="S164" s="117">
        <v>0</v>
      </c>
      <c r="T164" s="267" t="s">
        <v>488</v>
      </c>
      <c r="U164" s="117">
        <v>0</v>
      </c>
      <c r="V164" s="267" t="s">
        <v>488</v>
      </c>
      <c r="W164" s="117">
        <v>0</v>
      </c>
      <c r="X164" s="267" t="s">
        <v>488</v>
      </c>
    </row>
    <row r="165" spans="1:24" x14ac:dyDescent="0.25">
      <c r="A165" s="269"/>
      <c r="B165" s="269"/>
      <c r="C165" s="269" t="s">
        <v>53</v>
      </c>
      <c r="D165" s="269"/>
      <c r="E165" s="269"/>
      <c r="F165" s="270">
        <v>1127.7</v>
      </c>
      <c r="G165" s="270">
        <v>76.900000000000006</v>
      </c>
      <c r="H165" s="270">
        <v>0.6</v>
      </c>
      <c r="I165" s="352">
        <v>7.7999999999999996E-3</v>
      </c>
      <c r="J165" s="270">
        <v>10</v>
      </c>
      <c r="K165" s="271">
        <v>0.13</v>
      </c>
      <c r="L165" s="270">
        <v>12.1</v>
      </c>
      <c r="M165" s="271">
        <v>0.1573</v>
      </c>
      <c r="N165" s="270">
        <v>54.2</v>
      </c>
      <c r="O165" s="352">
        <v>0.70479999999999998</v>
      </c>
      <c r="P165" s="270">
        <v>41.3</v>
      </c>
      <c r="Q165" s="271">
        <v>0.53710000000000002</v>
      </c>
      <c r="R165" s="352">
        <v>3.6600000000000001E-2</v>
      </c>
      <c r="S165" s="270">
        <v>10.3</v>
      </c>
      <c r="T165" s="271">
        <v>0.24940000000000001</v>
      </c>
      <c r="U165" s="270">
        <v>17.8</v>
      </c>
      <c r="V165" s="271">
        <v>0.43099999999999999</v>
      </c>
      <c r="W165" s="270">
        <v>13.2</v>
      </c>
      <c r="X165" s="271">
        <v>0.3196</v>
      </c>
    </row>
    <row r="166" spans="1:24" x14ac:dyDescent="0.25">
      <c r="A166" s="117">
        <v>540129</v>
      </c>
      <c r="B166" s="2" t="s">
        <v>54</v>
      </c>
      <c r="C166" s="2" t="s">
        <v>55</v>
      </c>
      <c r="D166" s="2" t="s">
        <v>5</v>
      </c>
      <c r="E166" s="117">
        <v>8</v>
      </c>
      <c r="F166" s="117">
        <v>412.9</v>
      </c>
      <c r="G166" s="117">
        <v>29.6</v>
      </c>
      <c r="H166" s="117">
        <v>0</v>
      </c>
      <c r="I166" s="158">
        <v>0</v>
      </c>
      <c r="J166" s="117">
        <v>9.8000000000000007</v>
      </c>
      <c r="K166" s="267">
        <v>0.33110000000000001</v>
      </c>
      <c r="L166" s="117">
        <v>6.3</v>
      </c>
      <c r="M166" s="267">
        <v>0.21279999999999999</v>
      </c>
      <c r="N166" s="117">
        <v>13.5</v>
      </c>
      <c r="O166" s="158">
        <v>0.45610000000000001</v>
      </c>
      <c r="P166" s="117">
        <v>22.3</v>
      </c>
      <c r="Q166" s="267">
        <v>0.75339999999999996</v>
      </c>
      <c r="R166" s="158">
        <v>5.3999999999999999E-2</v>
      </c>
      <c r="S166" s="117">
        <v>3</v>
      </c>
      <c r="T166" s="267">
        <v>0.13450000000000001</v>
      </c>
      <c r="U166" s="117">
        <v>6.4</v>
      </c>
      <c r="V166" s="267">
        <v>0.28699999999999998</v>
      </c>
      <c r="W166" s="117">
        <v>12.9</v>
      </c>
      <c r="X166" s="267">
        <v>0.57850000000000001</v>
      </c>
    </row>
    <row r="167" spans="1:24" x14ac:dyDescent="0.25">
      <c r="A167" s="117">
        <v>540130</v>
      </c>
      <c r="B167" s="2" t="s">
        <v>214</v>
      </c>
      <c r="C167" s="2" t="s">
        <v>55</v>
      </c>
      <c r="D167" s="2" t="s">
        <v>115</v>
      </c>
      <c r="E167" s="117">
        <v>8</v>
      </c>
      <c r="F167" s="117">
        <v>11.7</v>
      </c>
      <c r="G167" s="117">
        <v>2.9</v>
      </c>
      <c r="H167" s="117">
        <v>0</v>
      </c>
      <c r="I167" s="158">
        <v>0</v>
      </c>
      <c r="J167" s="117">
        <v>0.2</v>
      </c>
      <c r="K167" s="267">
        <v>6.9000000000000006E-2</v>
      </c>
      <c r="L167" s="117">
        <v>0.5</v>
      </c>
      <c r="M167" s="267">
        <v>0.1724</v>
      </c>
      <c r="N167" s="117">
        <v>2.2999999999999998</v>
      </c>
      <c r="O167" s="158">
        <v>0.79310000000000003</v>
      </c>
      <c r="P167" s="117">
        <v>2.9</v>
      </c>
      <c r="Q167" s="267">
        <v>1</v>
      </c>
      <c r="R167" s="158">
        <v>0.24790000000000001</v>
      </c>
      <c r="S167" s="117">
        <v>0.5</v>
      </c>
      <c r="T167" s="267">
        <v>0.1724</v>
      </c>
      <c r="U167" s="117">
        <v>1.3</v>
      </c>
      <c r="V167" s="267">
        <v>0.44829999999999998</v>
      </c>
      <c r="W167" s="117">
        <v>1.1000000000000001</v>
      </c>
      <c r="X167" s="267">
        <v>0.37930000000000003</v>
      </c>
    </row>
    <row r="168" spans="1:24" x14ac:dyDescent="0.25">
      <c r="A168" s="117">
        <v>540131</v>
      </c>
      <c r="B168" s="2" t="s">
        <v>215</v>
      </c>
      <c r="C168" s="2" t="s">
        <v>55</v>
      </c>
      <c r="D168" s="2" t="s">
        <v>115</v>
      </c>
      <c r="E168" s="117">
        <v>8</v>
      </c>
      <c r="F168" s="117">
        <v>1.6</v>
      </c>
      <c r="G168" s="117">
        <v>0.1</v>
      </c>
      <c r="H168" s="117">
        <v>0</v>
      </c>
      <c r="I168" s="158">
        <v>0</v>
      </c>
      <c r="J168" s="117">
        <v>0</v>
      </c>
      <c r="K168" s="267">
        <v>0</v>
      </c>
      <c r="L168" s="117">
        <v>0.1</v>
      </c>
      <c r="M168" s="267">
        <v>1</v>
      </c>
      <c r="N168" s="117">
        <v>0</v>
      </c>
      <c r="O168" s="158">
        <v>0</v>
      </c>
      <c r="P168" s="117">
        <v>0</v>
      </c>
      <c r="Q168" s="267">
        <v>0</v>
      </c>
      <c r="R168" s="158">
        <v>0</v>
      </c>
      <c r="S168" s="117">
        <v>0</v>
      </c>
      <c r="T168" s="267" t="s">
        <v>488</v>
      </c>
      <c r="U168" s="117">
        <v>0</v>
      </c>
      <c r="V168" s="267" t="s">
        <v>488</v>
      </c>
      <c r="W168" s="117">
        <v>0</v>
      </c>
      <c r="X168" s="267" t="s">
        <v>488</v>
      </c>
    </row>
    <row r="169" spans="1:24" x14ac:dyDescent="0.25">
      <c r="A169" s="117">
        <v>540155</v>
      </c>
      <c r="B169" s="2" t="s">
        <v>231</v>
      </c>
      <c r="C169" s="2" t="s">
        <v>55</v>
      </c>
      <c r="D169" s="2" t="s">
        <v>115</v>
      </c>
      <c r="E169" s="117">
        <v>8</v>
      </c>
      <c r="F169" s="117">
        <v>1.5</v>
      </c>
      <c r="G169" s="117">
        <v>0.1</v>
      </c>
      <c r="H169" s="117">
        <v>0</v>
      </c>
      <c r="I169" s="158">
        <v>0</v>
      </c>
      <c r="J169" s="117">
        <v>0</v>
      </c>
      <c r="K169" s="267">
        <v>0</v>
      </c>
      <c r="L169" s="117">
        <v>0.1</v>
      </c>
      <c r="M169" s="267">
        <v>1</v>
      </c>
      <c r="N169" s="117">
        <v>0</v>
      </c>
      <c r="O169" s="158">
        <v>0</v>
      </c>
      <c r="P169" s="117">
        <v>0</v>
      </c>
      <c r="Q169" s="267">
        <v>0</v>
      </c>
      <c r="R169" s="158">
        <v>0</v>
      </c>
      <c r="S169" s="117">
        <v>0</v>
      </c>
      <c r="T169" s="267" t="s">
        <v>488</v>
      </c>
      <c r="U169" s="117">
        <v>0</v>
      </c>
      <c r="V169" s="267" t="s">
        <v>488</v>
      </c>
      <c r="W169" s="117">
        <v>0</v>
      </c>
      <c r="X169" s="267" t="s">
        <v>488</v>
      </c>
    </row>
    <row r="170" spans="1:24" x14ac:dyDescent="0.25">
      <c r="A170" s="117">
        <v>545555</v>
      </c>
      <c r="B170" s="2" t="s">
        <v>336</v>
      </c>
      <c r="C170" s="2" t="s">
        <v>55</v>
      </c>
      <c r="D170" s="2" t="s">
        <v>115</v>
      </c>
      <c r="E170" s="117">
        <v>8</v>
      </c>
      <c r="F170" s="117">
        <v>2.2999999999999998</v>
      </c>
      <c r="G170" s="117">
        <v>0</v>
      </c>
      <c r="H170" s="117">
        <v>0</v>
      </c>
      <c r="I170" s="267" t="s">
        <v>488</v>
      </c>
      <c r="J170" s="117">
        <v>0</v>
      </c>
      <c r="K170" s="267" t="s">
        <v>488</v>
      </c>
      <c r="L170" s="117">
        <v>0</v>
      </c>
      <c r="M170" s="267" t="s">
        <v>488</v>
      </c>
      <c r="N170" s="117">
        <v>0</v>
      </c>
      <c r="O170" s="267" t="s">
        <v>488</v>
      </c>
      <c r="P170" s="117">
        <v>0</v>
      </c>
      <c r="Q170" s="267" t="s">
        <v>488</v>
      </c>
      <c r="R170" s="158">
        <v>0</v>
      </c>
      <c r="S170" s="117">
        <v>0</v>
      </c>
      <c r="T170" s="267" t="s">
        <v>488</v>
      </c>
      <c r="U170" s="117">
        <v>0</v>
      </c>
      <c r="V170" s="267" t="s">
        <v>488</v>
      </c>
      <c r="W170" s="117">
        <v>0</v>
      </c>
      <c r="X170" s="267" t="s">
        <v>488</v>
      </c>
    </row>
    <row r="171" spans="1:24" x14ac:dyDescent="0.25">
      <c r="A171" s="117">
        <v>540091</v>
      </c>
      <c r="B171" s="2" t="s">
        <v>338</v>
      </c>
      <c r="C171" s="2" t="s">
        <v>55</v>
      </c>
      <c r="D171" s="2" t="s">
        <v>115</v>
      </c>
      <c r="E171" s="117">
        <v>8</v>
      </c>
      <c r="F171" s="117">
        <v>1.2</v>
      </c>
      <c r="G171" s="117">
        <v>0</v>
      </c>
      <c r="H171" s="117">
        <v>0</v>
      </c>
      <c r="I171" s="267" t="s">
        <v>488</v>
      </c>
      <c r="J171" s="117">
        <v>0</v>
      </c>
      <c r="K171" s="267" t="s">
        <v>488</v>
      </c>
      <c r="L171" s="117">
        <v>0</v>
      </c>
      <c r="M171" s="267" t="s">
        <v>488</v>
      </c>
      <c r="N171" s="117">
        <v>0</v>
      </c>
      <c r="O171" s="267" t="s">
        <v>488</v>
      </c>
      <c r="P171" s="117">
        <v>0</v>
      </c>
      <c r="Q171" s="267" t="s">
        <v>488</v>
      </c>
      <c r="R171" s="158">
        <v>0</v>
      </c>
      <c r="S171" s="117">
        <v>0</v>
      </c>
      <c r="T171" s="267" t="s">
        <v>488</v>
      </c>
      <c r="U171" s="117">
        <v>0</v>
      </c>
      <c r="V171" s="267" t="s">
        <v>488</v>
      </c>
      <c r="W171" s="117">
        <v>0</v>
      </c>
      <c r="X171" s="267" t="s">
        <v>488</v>
      </c>
    </row>
    <row r="172" spans="1:24" x14ac:dyDescent="0.25">
      <c r="A172" s="269"/>
      <c r="B172" s="269"/>
      <c r="C172" s="269" t="s">
        <v>55</v>
      </c>
      <c r="D172" s="269"/>
      <c r="E172" s="269"/>
      <c r="F172" s="270">
        <v>431.2</v>
      </c>
      <c r="G172" s="270">
        <v>32.700000000000003</v>
      </c>
      <c r="H172" s="270">
        <v>0</v>
      </c>
      <c r="I172" s="352">
        <v>0</v>
      </c>
      <c r="J172" s="270">
        <v>10</v>
      </c>
      <c r="K172" s="271">
        <v>0.30580000000000002</v>
      </c>
      <c r="L172" s="270">
        <v>7</v>
      </c>
      <c r="M172" s="271">
        <v>0.21410000000000001</v>
      </c>
      <c r="N172" s="270">
        <v>15.8</v>
      </c>
      <c r="O172" s="352">
        <v>0.48320000000000002</v>
      </c>
      <c r="P172" s="270">
        <v>25.2</v>
      </c>
      <c r="Q172" s="271">
        <v>0.77059999999999995</v>
      </c>
      <c r="R172" s="352">
        <v>5.8400000000000001E-2</v>
      </c>
      <c r="S172" s="270">
        <v>3.5</v>
      </c>
      <c r="T172" s="271">
        <v>0.1389</v>
      </c>
      <c r="U172" s="270">
        <v>7.7</v>
      </c>
      <c r="V172" s="271">
        <v>0.30559999999999998</v>
      </c>
      <c r="W172" s="270">
        <v>14</v>
      </c>
      <c r="X172" s="271">
        <v>0.55559999999999998</v>
      </c>
    </row>
    <row r="173" spans="1:24" x14ac:dyDescent="0.25">
      <c r="A173" s="117">
        <v>540133</v>
      </c>
      <c r="B173" s="2" t="s">
        <v>56</v>
      </c>
      <c r="C173" s="2" t="s">
        <v>57</v>
      </c>
      <c r="D173" s="2" t="s">
        <v>5</v>
      </c>
      <c r="E173" s="117">
        <v>2</v>
      </c>
      <c r="F173" s="117">
        <v>516.6</v>
      </c>
      <c r="G173" s="117">
        <v>100.7</v>
      </c>
      <c r="H173" s="117">
        <v>0</v>
      </c>
      <c r="I173" s="158">
        <v>0</v>
      </c>
      <c r="J173" s="117">
        <v>15.3</v>
      </c>
      <c r="K173" s="267">
        <v>0.15190000000000001</v>
      </c>
      <c r="L173" s="117">
        <v>6</v>
      </c>
      <c r="M173" s="267">
        <v>5.96E-2</v>
      </c>
      <c r="N173" s="117">
        <v>79.3</v>
      </c>
      <c r="O173" s="158">
        <v>0.78749999999999998</v>
      </c>
      <c r="P173" s="117">
        <v>63.3</v>
      </c>
      <c r="Q173" s="267">
        <v>0.62860000000000005</v>
      </c>
      <c r="R173" s="158">
        <v>0.1225</v>
      </c>
      <c r="S173" s="117">
        <v>15.1</v>
      </c>
      <c r="T173" s="267">
        <v>0.23849999999999999</v>
      </c>
      <c r="U173" s="117">
        <v>31.3</v>
      </c>
      <c r="V173" s="267">
        <v>0.4945</v>
      </c>
      <c r="W173" s="117">
        <v>16.899999999999999</v>
      </c>
      <c r="X173" s="267">
        <v>0.26700000000000002</v>
      </c>
    </row>
    <row r="174" spans="1:24" x14ac:dyDescent="0.25">
      <c r="A174" s="117">
        <v>540134</v>
      </c>
      <c r="B174" s="2" t="s">
        <v>217</v>
      </c>
      <c r="C174" s="2" t="s">
        <v>57</v>
      </c>
      <c r="D174" s="2" t="s">
        <v>115</v>
      </c>
      <c r="E174" s="117">
        <v>2</v>
      </c>
      <c r="F174" s="117">
        <v>8.9</v>
      </c>
      <c r="G174" s="117">
        <v>3.3</v>
      </c>
      <c r="H174" s="117">
        <v>0</v>
      </c>
      <c r="I174" s="158">
        <v>0</v>
      </c>
      <c r="J174" s="117">
        <v>0.3</v>
      </c>
      <c r="K174" s="267">
        <v>9.0899999999999995E-2</v>
      </c>
      <c r="L174" s="117">
        <v>0.5</v>
      </c>
      <c r="M174" s="267">
        <v>0.1515</v>
      </c>
      <c r="N174" s="117">
        <v>2.5</v>
      </c>
      <c r="O174" s="158">
        <v>0.75760000000000005</v>
      </c>
      <c r="P174" s="117">
        <v>0.1</v>
      </c>
      <c r="Q174" s="267">
        <v>3.0300000000000001E-2</v>
      </c>
      <c r="R174" s="158">
        <v>1.12E-2</v>
      </c>
      <c r="S174" s="117">
        <v>0.1</v>
      </c>
      <c r="T174" s="267" t="s">
        <v>488</v>
      </c>
      <c r="U174" s="117">
        <v>0</v>
      </c>
      <c r="V174" s="267" t="s">
        <v>488</v>
      </c>
      <c r="W174" s="117">
        <v>0</v>
      </c>
      <c r="X174" s="267" t="s">
        <v>488</v>
      </c>
    </row>
    <row r="175" spans="1:24" x14ac:dyDescent="0.25">
      <c r="A175" s="117">
        <v>540135</v>
      </c>
      <c r="B175" s="2" t="s">
        <v>218</v>
      </c>
      <c r="C175" s="2" t="s">
        <v>57</v>
      </c>
      <c r="D175" s="2" t="s">
        <v>115</v>
      </c>
      <c r="E175" s="117">
        <v>2</v>
      </c>
      <c r="F175" s="117">
        <v>10.199999999999999</v>
      </c>
      <c r="G175" s="117">
        <v>1.6</v>
      </c>
      <c r="H175" s="117">
        <v>0</v>
      </c>
      <c r="I175" s="158">
        <v>0</v>
      </c>
      <c r="J175" s="117">
        <v>1</v>
      </c>
      <c r="K175" s="267">
        <v>0.625</v>
      </c>
      <c r="L175" s="117">
        <v>0</v>
      </c>
      <c r="M175" s="267">
        <v>0</v>
      </c>
      <c r="N175" s="117">
        <v>0.5</v>
      </c>
      <c r="O175" s="158">
        <v>0.3125</v>
      </c>
      <c r="P175" s="117">
        <v>0</v>
      </c>
      <c r="Q175" s="267">
        <v>0</v>
      </c>
      <c r="R175" s="158">
        <v>0</v>
      </c>
      <c r="S175" s="117">
        <v>0</v>
      </c>
      <c r="T175" s="267" t="s">
        <v>488</v>
      </c>
      <c r="U175" s="117">
        <v>0</v>
      </c>
      <c r="V175" s="267" t="s">
        <v>488</v>
      </c>
      <c r="W175" s="117">
        <v>0</v>
      </c>
      <c r="X175" s="267" t="s">
        <v>488</v>
      </c>
    </row>
    <row r="176" spans="1:24" x14ac:dyDescent="0.25">
      <c r="A176" s="117">
        <v>540136</v>
      </c>
      <c r="B176" s="2" t="s">
        <v>219</v>
      </c>
      <c r="C176" s="2" t="s">
        <v>57</v>
      </c>
      <c r="D176" s="2" t="s">
        <v>115</v>
      </c>
      <c r="E176" s="117">
        <v>2</v>
      </c>
      <c r="F176" s="117">
        <v>6.1</v>
      </c>
      <c r="G176" s="117">
        <v>1.6</v>
      </c>
      <c r="H176" s="117">
        <v>0</v>
      </c>
      <c r="I176" s="158">
        <v>0</v>
      </c>
      <c r="J176" s="117">
        <v>0.2</v>
      </c>
      <c r="K176" s="267">
        <v>0.125</v>
      </c>
      <c r="L176" s="117">
        <v>0</v>
      </c>
      <c r="M176" s="267">
        <v>0</v>
      </c>
      <c r="N176" s="117">
        <v>1.4</v>
      </c>
      <c r="O176" s="158">
        <v>0.875</v>
      </c>
      <c r="P176" s="117">
        <v>1.5</v>
      </c>
      <c r="Q176" s="267">
        <v>0.9375</v>
      </c>
      <c r="R176" s="158">
        <v>0.24590000000000001</v>
      </c>
      <c r="S176" s="117">
        <v>0.2</v>
      </c>
      <c r="T176" s="267">
        <v>0.1333</v>
      </c>
      <c r="U176" s="117">
        <v>0.5</v>
      </c>
      <c r="V176" s="267">
        <v>0.33329999999999999</v>
      </c>
      <c r="W176" s="117">
        <v>0.8</v>
      </c>
      <c r="X176" s="267">
        <v>0.5333</v>
      </c>
    </row>
    <row r="177" spans="1:24" x14ac:dyDescent="0.25">
      <c r="A177" s="117">
        <v>540138</v>
      </c>
      <c r="B177" s="2" t="s">
        <v>221</v>
      </c>
      <c r="C177" s="2" t="s">
        <v>57</v>
      </c>
      <c r="D177" s="2" t="s">
        <v>115</v>
      </c>
      <c r="E177" s="117">
        <v>2</v>
      </c>
      <c r="F177" s="117">
        <v>24.3</v>
      </c>
      <c r="G177" s="117">
        <v>4.3</v>
      </c>
      <c r="H177" s="117">
        <v>0</v>
      </c>
      <c r="I177" s="158">
        <v>0</v>
      </c>
      <c r="J177" s="117">
        <v>2</v>
      </c>
      <c r="K177" s="267">
        <v>0.46510000000000001</v>
      </c>
      <c r="L177" s="117">
        <v>0</v>
      </c>
      <c r="M177" s="267">
        <v>0</v>
      </c>
      <c r="N177" s="117">
        <v>2.2999999999999998</v>
      </c>
      <c r="O177" s="158">
        <v>0.53490000000000004</v>
      </c>
      <c r="P177" s="117">
        <v>2.7</v>
      </c>
      <c r="Q177" s="267">
        <v>0.62790000000000001</v>
      </c>
      <c r="R177" s="158">
        <v>0.1111</v>
      </c>
      <c r="S177" s="117">
        <v>0.4</v>
      </c>
      <c r="T177" s="267">
        <v>0.14810000000000001</v>
      </c>
      <c r="U177" s="117">
        <v>1.1000000000000001</v>
      </c>
      <c r="V177" s="267">
        <v>0.40739999999999998</v>
      </c>
      <c r="W177" s="117">
        <v>1.2</v>
      </c>
      <c r="X177" s="267">
        <v>0.44440000000000002</v>
      </c>
    </row>
    <row r="178" spans="1:24" x14ac:dyDescent="0.25">
      <c r="A178" s="117">
        <v>545538</v>
      </c>
      <c r="B178" s="2" t="s">
        <v>334</v>
      </c>
      <c r="C178" s="2" t="s">
        <v>57</v>
      </c>
      <c r="D178" s="2" t="s">
        <v>115</v>
      </c>
      <c r="E178" s="117">
        <v>2</v>
      </c>
      <c r="F178" s="117">
        <v>6.8</v>
      </c>
      <c r="G178" s="117">
        <v>1.2</v>
      </c>
      <c r="H178" s="117">
        <v>0</v>
      </c>
      <c r="I178" s="158">
        <v>0</v>
      </c>
      <c r="J178" s="117">
        <v>0</v>
      </c>
      <c r="K178" s="267">
        <v>0</v>
      </c>
      <c r="L178" s="117">
        <v>1</v>
      </c>
      <c r="M178" s="267">
        <v>0.83330000000000004</v>
      </c>
      <c r="N178" s="117">
        <v>0.2</v>
      </c>
      <c r="O178" s="158">
        <v>0.16669999999999999</v>
      </c>
      <c r="P178" s="117">
        <v>0.8</v>
      </c>
      <c r="Q178" s="267">
        <v>0.66669999999999996</v>
      </c>
      <c r="R178" s="158">
        <v>0.1176</v>
      </c>
      <c r="S178" s="117">
        <v>0.2</v>
      </c>
      <c r="T178" s="267">
        <v>0.25</v>
      </c>
      <c r="U178" s="117">
        <v>0.3</v>
      </c>
      <c r="V178" s="267">
        <v>0.375</v>
      </c>
      <c r="W178" s="117">
        <v>0.3</v>
      </c>
      <c r="X178" s="267">
        <v>0.375</v>
      </c>
    </row>
    <row r="179" spans="1:24" x14ac:dyDescent="0.25">
      <c r="A179" s="269"/>
      <c r="B179" s="269"/>
      <c r="C179" s="269" t="s">
        <v>57</v>
      </c>
      <c r="D179" s="269"/>
      <c r="E179" s="269"/>
      <c r="F179" s="270">
        <v>572.9</v>
      </c>
      <c r="G179" s="270">
        <v>112.7</v>
      </c>
      <c r="H179" s="270">
        <v>0</v>
      </c>
      <c r="I179" s="352">
        <v>0</v>
      </c>
      <c r="J179" s="270">
        <v>18.8</v>
      </c>
      <c r="K179" s="271">
        <v>0.1668</v>
      </c>
      <c r="L179" s="270">
        <v>7.5</v>
      </c>
      <c r="M179" s="271">
        <v>6.6500000000000004E-2</v>
      </c>
      <c r="N179" s="270">
        <v>86.2</v>
      </c>
      <c r="O179" s="352">
        <v>0.76490000000000002</v>
      </c>
      <c r="P179" s="270">
        <v>68.400000000000006</v>
      </c>
      <c r="Q179" s="271">
        <v>0.6069</v>
      </c>
      <c r="R179" s="352">
        <v>0.11940000000000001</v>
      </c>
      <c r="S179" s="270">
        <v>16</v>
      </c>
      <c r="T179" s="271">
        <v>0.2339</v>
      </c>
      <c r="U179" s="270">
        <v>33.200000000000003</v>
      </c>
      <c r="V179" s="271">
        <v>0.4854</v>
      </c>
      <c r="W179" s="270">
        <v>19.2</v>
      </c>
      <c r="X179" s="271">
        <v>0.28070000000000001</v>
      </c>
    </row>
    <row r="180" spans="1:24" x14ac:dyDescent="0.25">
      <c r="A180" s="117">
        <v>540139</v>
      </c>
      <c r="B180" s="2" t="s">
        <v>58</v>
      </c>
      <c r="C180" s="2" t="s">
        <v>59</v>
      </c>
      <c r="D180" s="2" t="s">
        <v>5</v>
      </c>
      <c r="E180" s="117">
        <v>6</v>
      </c>
      <c r="F180" s="117">
        <v>915.9</v>
      </c>
      <c r="G180" s="117">
        <v>56.6</v>
      </c>
      <c r="H180" s="117">
        <v>1.7</v>
      </c>
      <c r="I180" s="158">
        <v>0.03</v>
      </c>
      <c r="J180" s="117">
        <v>3.2</v>
      </c>
      <c r="K180" s="267">
        <v>5.6500000000000002E-2</v>
      </c>
      <c r="L180" s="117">
        <v>11</v>
      </c>
      <c r="M180" s="267">
        <v>0.1943</v>
      </c>
      <c r="N180" s="117">
        <v>40.700000000000003</v>
      </c>
      <c r="O180" s="158">
        <v>0.71909999999999996</v>
      </c>
      <c r="P180" s="117">
        <v>48</v>
      </c>
      <c r="Q180" s="267">
        <v>0.84809999999999997</v>
      </c>
      <c r="R180" s="158">
        <v>5.2400000000000002E-2</v>
      </c>
      <c r="S180" s="117">
        <v>18.100000000000001</v>
      </c>
      <c r="T180" s="267">
        <v>0.37709999999999999</v>
      </c>
      <c r="U180" s="117">
        <v>14</v>
      </c>
      <c r="V180" s="267">
        <v>0.29170000000000001</v>
      </c>
      <c r="W180" s="117">
        <v>15.9</v>
      </c>
      <c r="X180" s="267">
        <v>0.33119999999999999</v>
      </c>
    </row>
    <row r="181" spans="1:24" x14ac:dyDescent="0.25">
      <c r="A181" s="117">
        <v>540140</v>
      </c>
      <c r="B181" s="2" t="s">
        <v>222</v>
      </c>
      <c r="C181" s="2" t="s">
        <v>59</v>
      </c>
      <c r="D181" s="2" t="s">
        <v>115</v>
      </c>
      <c r="E181" s="117">
        <v>6</v>
      </c>
      <c r="F181" s="117">
        <v>2.4</v>
      </c>
      <c r="G181" s="117">
        <v>0.3</v>
      </c>
      <c r="H181" s="117">
        <v>0</v>
      </c>
      <c r="I181" s="158">
        <v>0</v>
      </c>
      <c r="J181" s="117">
        <v>0</v>
      </c>
      <c r="K181" s="267">
        <v>0</v>
      </c>
      <c r="L181" s="117">
        <v>0.2</v>
      </c>
      <c r="M181" s="267">
        <v>0.66669999999999996</v>
      </c>
      <c r="N181" s="117">
        <v>0.1</v>
      </c>
      <c r="O181" s="158">
        <v>0.33329999999999999</v>
      </c>
      <c r="P181" s="117">
        <v>0.2</v>
      </c>
      <c r="Q181" s="267">
        <v>0.66669999999999996</v>
      </c>
      <c r="R181" s="158">
        <v>8.3299999999999999E-2</v>
      </c>
      <c r="S181" s="117">
        <v>0</v>
      </c>
      <c r="T181" s="267">
        <v>0</v>
      </c>
      <c r="U181" s="117">
        <v>0.1</v>
      </c>
      <c r="V181" s="267">
        <v>0.5</v>
      </c>
      <c r="W181" s="117">
        <v>0.1</v>
      </c>
      <c r="X181" s="267">
        <v>0.5</v>
      </c>
    </row>
    <row r="182" spans="1:24" x14ac:dyDescent="0.25">
      <c r="A182" s="117">
        <v>540141</v>
      </c>
      <c r="B182" s="2" t="s">
        <v>223</v>
      </c>
      <c r="C182" s="2" t="s">
        <v>59</v>
      </c>
      <c r="D182" s="2" t="s">
        <v>115</v>
      </c>
      <c r="E182" s="117">
        <v>6</v>
      </c>
      <c r="F182" s="117">
        <v>62.3</v>
      </c>
      <c r="G182" s="117">
        <v>3.4</v>
      </c>
      <c r="H182" s="117">
        <v>0</v>
      </c>
      <c r="I182" s="158">
        <v>0</v>
      </c>
      <c r="J182" s="117">
        <v>0.3</v>
      </c>
      <c r="K182" s="267">
        <v>8.8200000000000001E-2</v>
      </c>
      <c r="L182" s="117">
        <v>1.1000000000000001</v>
      </c>
      <c r="M182" s="267">
        <v>0.32350000000000001</v>
      </c>
      <c r="N182" s="117">
        <v>1.9</v>
      </c>
      <c r="O182" s="158">
        <v>0.55879999999999996</v>
      </c>
      <c r="P182" s="117">
        <v>3.4</v>
      </c>
      <c r="Q182" s="267">
        <v>1</v>
      </c>
      <c r="R182" s="158">
        <v>5.4600000000000003E-2</v>
      </c>
      <c r="S182" s="117">
        <v>1.5</v>
      </c>
      <c r="T182" s="267">
        <v>0.44119999999999998</v>
      </c>
      <c r="U182" s="117">
        <v>1.1000000000000001</v>
      </c>
      <c r="V182" s="267">
        <v>0.32350000000000001</v>
      </c>
      <c r="W182" s="117">
        <v>0.8</v>
      </c>
      <c r="X182" s="267">
        <v>0.23530000000000001</v>
      </c>
    </row>
    <row r="183" spans="1:24" x14ac:dyDescent="0.25">
      <c r="A183" s="117">
        <v>540272</v>
      </c>
      <c r="B183" s="2" t="s">
        <v>315</v>
      </c>
      <c r="C183" s="2" t="s">
        <v>59</v>
      </c>
      <c r="D183" s="2" t="s">
        <v>115</v>
      </c>
      <c r="E183" s="117">
        <v>6</v>
      </c>
      <c r="F183" s="117">
        <v>5.2</v>
      </c>
      <c r="G183" s="117">
        <v>1.2</v>
      </c>
      <c r="H183" s="117">
        <v>0</v>
      </c>
      <c r="I183" s="158">
        <v>0</v>
      </c>
      <c r="J183" s="117">
        <v>0</v>
      </c>
      <c r="K183" s="267">
        <v>0</v>
      </c>
      <c r="L183" s="117">
        <v>0.6</v>
      </c>
      <c r="M183" s="267">
        <v>0.5</v>
      </c>
      <c r="N183" s="117">
        <v>0.6</v>
      </c>
      <c r="O183" s="158">
        <v>0.5</v>
      </c>
      <c r="P183" s="117">
        <v>1.1000000000000001</v>
      </c>
      <c r="Q183" s="267">
        <v>0.91669999999999996</v>
      </c>
      <c r="R183" s="158">
        <v>0.21149999999999999</v>
      </c>
      <c r="S183" s="117">
        <v>0.2</v>
      </c>
      <c r="T183" s="267">
        <v>0.18179999999999999</v>
      </c>
      <c r="U183" s="117">
        <v>0.6</v>
      </c>
      <c r="V183" s="267">
        <v>0.54549999999999998</v>
      </c>
      <c r="W183" s="117">
        <v>0.3</v>
      </c>
      <c r="X183" s="267">
        <v>0.2727</v>
      </c>
    </row>
    <row r="184" spans="1:24" x14ac:dyDescent="0.25">
      <c r="A184" s="117">
        <v>540273</v>
      </c>
      <c r="B184" s="2" t="s">
        <v>316</v>
      </c>
      <c r="C184" s="2" t="s">
        <v>59</v>
      </c>
      <c r="D184" s="2" t="s">
        <v>115</v>
      </c>
      <c r="E184" s="117">
        <v>6</v>
      </c>
      <c r="F184" s="117">
        <v>3.8</v>
      </c>
      <c r="G184" s="117">
        <v>0.2</v>
      </c>
      <c r="H184" s="117">
        <v>0</v>
      </c>
      <c r="I184" s="158">
        <v>0</v>
      </c>
      <c r="J184" s="117">
        <v>0.2</v>
      </c>
      <c r="K184" s="267">
        <v>1</v>
      </c>
      <c r="L184" s="117">
        <v>0</v>
      </c>
      <c r="M184" s="267">
        <v>0</v>
      </c>
      <c r="N184" s="117">
        <v>0</v>
      </c>
      <c r="O184" s="158">
        <v>0</v>
      </c>
      <c r="P184" s="117">
        <v>0.2</v>
      </c>
      <c r="Q184" s="267">
        <v>1</v>
      </c>
      <c r="R184" s="158">
        <v>5.2600000000000001E-2</v>
      </c>
      <c r="S184" s="117">
        <v>0</v>
      </c>
      <c r="T184" s="267">
        <v>0</v>
      </c>
      <c r="U184" s="117">
        <v>0</v>
      </c>
      <c r="V184" s="267">
        <v>0</v>
      </c>
      <c r="W184" s="117">
        <v>0.2</v>
      </c>
      <c r="X184" s="267">
        <v>1</v>
      </c>
    </row>
    <row r="185" spans="1:24" x14ac:dyDescent="0.25">
      <c r="A185" s="117">
        <v>540274</v>
      </c>
      <c r="B185" s="2" t="s">
        <v>317</v>
      </c>
      <c r="C185" s="2" t="s">
        <v>59</v>
      </c>
      <c r="D185" s="2" t="s">
        <v>115</v>
      </c>
      <c r="E185" s="117">
        <v>6</v>
      </c>
      <c r="F185" s="117">
        <v>11.4</v>
      </c>
      <c r="G185" s="117">
        <v>0.1</v>
      </c>
      <c r="H185" s="117">
        <v>0</v>
      </c>
      <c r="I185" s="158">
        <v>0</v>
      </c>
      <c r="J185" s="117">
        <v>0</v>
      </c>
      <c r="K185" s="267">
        <v>0</v>
      </c>
      <c r="L185" s="117">
        <v>0</v>
      </c>
      <c r="M185" s="267">
        <v>0</v>
      </c>
      <c r="N185" s="117">
        <v>0.1</v>
      </c>
      <c r="O185" s="158">
        <v>1</v>
      </c>
      <c r="P185" s="117">
        <v>0.1</v>
      </c>
      <c r="Q185" s="267">
        <v>1</v>
      </c>
      <c r="R185" s="158">
        <v>8.8000000000000005E-3</v>
      </c>
      <c r="S185" s="117">
        <v>0.1</v>
      </c>
      <c r="T185" s="267" t="s">
        <v>488</v>
      </c>
      <c r="U185" s="117">
        <v>0</v>
      </c>
      <c r="V185" s="267" t="s">
        <v>488</v>
      </c>
      <c r="W185" s="117">
        <v>0</v>
      </c>
      <c r="X185" s="267" t="s">
        <v>488</v>
      </c>
    </row>
    <row r="186" spans="1:24" x14ac:dyDescent="0.25">
      <c r="A186" s="269"/>
      <c r="B186" s="269"/>
      <c r="C186" s="269" t="s">
        <v>59</v>
      </c>
      <c r="D186" s="269"/>
      <c r="E186" s="269"/>
      <c r="F186" s="270">
        <v>1001</v>
      </c>
      <c r="G186" s="270">
        <v>61.8</v>
      </c>
      <c r="H186" s="270">
        <v>1.7</v>
      </c>
      <c r="I186" s="352">
        <v>2.75E-2</v>
      </c>
      <c r="J186" s="270">
        <v>3.7</v>
      </c>
      <c r="K186" s="271">
        <v>5.9900000000000002E-2</v>
      </c>
      <c r="L186" s="270">
        <v>12.9</v>
      </c>
      <c r="M186" s="271">
        <v>0.2087</v>
      </c>
      <c r="N186" s="270">
        <v>43.4</v>
      </c>
      <c r="O186" s="352">
        <v>0.70230000000000004</v>
      </c>
      <c r="P186" s="270">
        <v>53</v>
      </c>
      <c r="Q186" s="271">
        <v>0.85760000000000003</v>
      </c>
      <c r="R186" s="352">
        <v>5.2900000000000003E-2</v>
      </c>
      <c r="S186" s="270">
        <v>19.899999999999999</v>
      </c>
      <c r="T186" s="271">
        <v>0.3755</v>
      </c>
      <c r="U186" s="270">
        <v>15.8</v>
      </c>
      <c r="V186" s="271">
        <v>0.29809999999999998</v>
      </c>
      <c r="W186" s="270">
        <v>17.3</v>
      </c>
      <c r="X186" s="271">
        <v>0.32640000000000002</v>
      </c>
    </row>
    <row r="187" spans="1:24" x14ac:dyDescent="0.25">
      <c r="A187" s="117">
        <v>540144</v>
      </c>
      <c r="B187" s="2" t="s">
        <v>60</v>
      </c>
      <c r="C187" s="2" t="s">
        <v>61</v>
      </c>
      <c r="D187" s="2" t="s">
        <v>5</v>
      </c>
      <c r="E187" s="117">
        <v>9</v>
      </c>
      <c r="F187" s="117">
        <v>423.9</v>
      </c>
      <c r="G187" s="117">
        <v>33.6</v>
      </c>
      <c r="H187" s="117">
        <v>0</v>
      </c>
      <c r="I187" s="158">
        <v>0</v>
      </c>
      <c r="J187" s="117">
        <v>1.8</v>
      </c>
      <c r="K187" s="267">
        <v>5.3600000000000002E-2</v>
      </c>
      <c r="L187" s="117">
        <v>3.7</v>
      </c>
      <c r="M187" s="267">
        <v>0.1101</v>
      </c>
      <c r="N187" s="117">
        <v>28.1</v>
      </c>
      <c r="O187" s="158">
        <v>0.83630000000000004</v>
      </c>
      <c r="P187" s="117">
        <v>13.2</v>
      </c>
      <c r="Q187" s="267">
        <v>0.39290000000000003</v>
      </c>
      <c r="R187" s="158">
        <v>3.1099999999999999E-2</v>
      </c>
      <c r="S187" s="117">
        <v>2.6</v>
      </c>
      <c r="T187" s="267">
        <v>0.19700000000000001</v>
      </c>
      <c r="U187" s="117">
        <v>2.9</v>
      </c>
      <c r="V187" s="267">
        <v>0.21970000000000001</v>
      </c>
      <c r="W187" s="117">
        <v>7.7</v>
      </c>
      <c r="X187" s="267">
        <v>0.58330000000000004</v>
      </c>
    </row>
    <row r="188" spans="1:24" x14ac:dyDescent="0.25">
      <c r="A188" s="117">
        <v>540005</v>
      </c>
      <c r="B188" s="2" t="s">
        <v>118</v>
      </c>
      <c r="C188" s="2" t="s">
        <v>61</v>
      </c>
      <c r="D188" s="2" t="s">
        <v>115</v>
      </c>
      <c r="E188" s="117">
        <v>9</v>
      </c>
      <c r="F188" s="117">
        <v>4.5</v>
      </c>
      <c r="G188" s="117">
        <v>1.7</v>
      </c>
      <c r="H188" s="117">
        <v>0</v>
      </c>
      <c r="I188" s="158">
        <v>0</v>
      </c>
      <c r="J188" s="117">
        <v>1</v>
      </c>
      <c r="K188" s="267">
        <v>0.58819999999999995</v>
      </c>
      <c r="L188" s="117">
        <v>0.1</v>
      </c>
      <c r="M188" s="267">
        <v>5.8799999999999998E-2</v>
      </c>
      <c r="N188" s="117">
        <v>0.6</v>
      </c>
      <c r="O188" s="158">
        <v>0.35289999999999999</v>
      </c>
      <c r="P188" s="117">
        <v>1.5</v>
      </c>
      <c r="Q188" s="267">
        <v>0.88239999999999996</v>
      </c>
      <c r="R188" s="158">
        <v>0.33329999999999999</v>
      </c>
      <c r="S188" s="117">
        <v>0.1</v>
      </c>
      <c r="T188" s="267">
        <v>6.6699999999999995E-2</v>
      </c>
      <c r="U188" s="117">
        <v>0.7</v>
      </c>
      <c r="V188" s="267">
        <v>0.4667</v>
      </c>
      <c r="W188" s="117">
        <v>0.7</v>
      </c>
      <c r="X188" s="267">
        <v>0.4667</v>
      </c>
    </row>
    <row r="189" spans="1:24" x14ac:dyDescent="0.25">
      <c r="A189" s="117">
        <v>540252</v>
      </c>
      <c r="B189" s="2" t="s">
        <v>298</v>
      </c>
      <c r="C189" s="2" t="s">
        <v>61</v>
      </c>
      <c r="D189" s="2" t="s">
        <v>115</v>
      </c>
      <c r="E189" s="117">
        <v>9</v>
      </c>
      <c r="F189" s="117">
        <v>2.7</v>
      </c>
      <c r="G189" s="117">
        <v>0.7</v>
      </c>
      <c r="H189" s="117">
        <v>0</v>
      </c>
      <c r="I189" s="158">
        <v>0</v>
      </c>
      <c r="J189" s="117">
        <v>0</v>
      </c>
      <c r="K189" s="267">
        <v>0</v>
      </c>
      <c r="L189" s="117">
        <v>0.6</v>
      </c>
      <c r="M189" s="267">
        <v>0.85709999999999997</v>
      </c>
      <c r="N189" s="117">
        <v>0.1</v>
      </c>
      <c r="O189" s="158">
        <v>0.1429</v>
      </c>
      <c r="P189" s="117">
        <v>0</v>
      </c>
      <c r="Q189" s="267">
        <v>0</v>
      </c>
      <c r="R189" s="158">
        <v>0</v>
      </c>
      <c r="S189" s="117">
        <v>0</v>
      </c>
      <c r="T189" s="267" t="s">
        <v>488</v>
      </c>
      <c r="U189" s="117">
        <v>0</v>
      </c>
      <c r="V189" s="267" t="s">
        <v>488</v>
      </c>
      <c r="W189" s="117">
        <v>0</v>
      </c>
      <c r="X189" s="267" t="s">
        <v>488</v>
      </c>
    </row>
    <row r="190" spans="1:24" x14ac:dyDescent="0.25">
      <c r="A190" s="269"/>
      <c r="B190" s="269"/>
      <c r="C190" s="269" t="s">
        <v>61</v>
      </c>
      <c r="D190" s="269"/>
      <c r="E190" s="269"/>
      <c r="F190" s="270">
        <v>431.1</v>
      </c>
      <c r="G190" s="270">
        <v>36</v>
      </c>
      <c r="H190" s="270">
        <v>0</v>
      </c>
      <c r="I190" s="352">
        <v>0</v>
      </c>
      <c r="J190" s="270">
        <v>2.8</v>
      </c>
      <c r="K190" s="271">
        <v>7.7799999999999994E-2</v>
      </c>
      <c r="L190" s="270">
        <v>4.4000000000000004</v>
      </c>
      <c r="M190" s="271">
        <v>0.1222</v>
      </c>
      <c r="N190" s="270">
        <v>28.8</v>
      </c>
      <c r="O190" s="352">
        <v>0.8</v>
      </c>
      <c r="P190" s="270">
        <v>14.7</v>
      </c>
      <c r="Q190" s="271">
        <v>0.4083</v>
      </c>
      <c r="R190" s="352">
        <v>3.4099999999999998E-2</v>
      </c>
      <c r="S190" s="270">
        <v>2.7</v>
      </c>
      <c r="T190" s="271">
        <v>0.1837</v>
      </c>
      <c r="U190" s="270">
        <v>3.6</v>
      </c>
      <c r="V190" s="271">
        <v>0.24490000000000001</v>
      </c>
      <c r="W190" s="270">
        <v>8.4</v>
      </c>
      <c r="X190" s="271">
        <v>0.57140000000000002</v>
      </c>
    </row>
    <row r="191" spans="1:24" x14ac:dyDescent="0.25">
      <c r="A191" s="117">
        <v>540146</v>
      </c>
      <c r="B191" s="2" t="s">
        <v>62</v>
      </c>
      <c r="C191" s="2" t="s">
        <v>63</v>
      </c>
      <c r="D191" s="2" t="s">
        <v>5</v>
      </c>
      <c r="E191" s="117">
        <v>4</v>
      </c>
      <c r="F191" s="117">
        <v>707.6</v>
      </c>
      <c r="G191" s="117">
        <v>41.2</v>
      </c>
      <c r="H191" s="117">
        <v>0</v>
      </c>
      <c r="I191" s="158">
        <v>0</v>
      </c>
      <c r="J191" s="117">
        <v>1.7</v>
      </c>
      <c r="K191" s="267">
        <v>4.1300000000000003E-2</v>
      </c>
      <c r="L191" s="117">
        <v>9.5</v>
      </c>
      <c r="M191" s="267">
        <v>0.2306</v>
      </c>
      <c r="N191" s="117">
        <v>30</v>
      </c>
      <c r="O191" s="158">
        <v>0.72819999999999996</v>
      </c>
      <c r="P191" s="117">
        <v>3.7</v>
      </c>
      <c r="Q191" s="267">
        <v>8.9800000000000005E-2</v>
      </c>
      <c r="R191" s="158">
        <v>5.1999999999999998E-3</v>
      </c>
      <c r="S191" s="117">
        <v>1.3</v>
      </c>
      <c r="T191" s="267">
        <v>0.35139999999999999</v>
      </c>
      <c r="U191" s="117">
        <v>1.6</v>
      </c>
      <c r="V191" s="267">
        <v>0.43240000000000001</v>
      </c>
      <c r="W191" s="117">
        <v>0.8</v>
      </c>
      <c r="X191" s="267">
        <v>0.2162</v>
      </c>
    </row>
    <row r="192" spans="1:24" x14ac:dyDescent="0.25">
      <c r="A192" s="117">
        <v>540147</v>
      </c>
      <c r="B192" s="2" t="s">
        <v>225</v>
      </c>
      <c r="C192" s="2" t="s">
        <v>63</v>
      </c>
      <c r="D192" s="2" t="s">
        <v>115</v>
      </c>
      <c r="E192" s="117">
        <v>4</v>
      </c>
      <c r="F192" s="117">
        <v>10.3</v>
      </c>
      <c r="G192" s="117">
        <v>2.5</v>
      </c>
      <c r="H192" s="117">
        <v>0</v>
      </c>
      <c r="I192" s="158">
        <v>0</v>
      </c>
      <c r="J192" s="117">
        <v>0</v>
      </c>
      <c r="K192" s="267">
        <v>0</v>
      </c>
      <c r="L192" s="117">
        <v>0.2</v>
      </c>
      <c r="M192" s="267">
        <v>0.08</v>
      </c>
      <c r="N192" s="117">
        <v>2.2999999999999998</v>
      </c>
      <c r="O192" s="158">
        <v>0.92</v>
      </c>
      <c r="P192" s="117">
        <v>2.2999999999999998</v>
      </c>
      <c r="Q192" s="267">
        <v>0.92</v>
      </c>
      <c r="R192" s="158">
        <v>0.2233</v>
      </c>
      <c r="S192" s="117">
        <v>0.8</v>
      </c>
      <c r="T192" s="267">
        <v>0.3478</v>
      </c>
      <c r="U192" s="117">
        <v>0.8</v>
      </c>
      <c r="V192" s="267">
        <v>0.3478</v>
      </c>
      <c r="W192" s="117">
        <v>0.7</v>
      </c>
      <c r="X192" s="267">
        <v>0.30430000000000001</v>
      </c>
    </row>
    <row r="193" spans="1:24" x14ac:dyDescent="0.25">
      <c r="A193" s="117">
        <v>540148</v>
      </c>
      <c r="B193" s="2" t="s">
        <v>226</v>
      </c>
      <c r="C193" s="2" t="s">
        <v>63</v>
      </c>
      <c r="D193" s="2" t="s">
        <v>115</v>
      </c>
      <c r="E193" s="117">
        <v>4</v>
      </c>
      <c r="F193" s="117">
        <v>26.9</v>
      </c>
      <c r="G193" s="117">
        <v>1.3</v>
      </c>
      <c r="H193" s="117">
        <v>0</v>
      </c>
      <c r="I193" s="158">
        <v>0</v>
      </c>
      <c r="J193" s="117">
        <v>1</v>
      </c>
      <c r="K193" s="267">
        <v>0.76919999999999999</v>
      </c>
      <c r="L193" s="117">
        <v>0.2</v>
      </c>
      <c r="M193" s="267">
        <v>0.15379999999999999</v>
      </c>
      <c r="N193" s="117">
        <v>0.1</v>
      </c>
      <c r="O193" s="158">
        <v>7.6899999999999996E-2</v>
      </c>
      <c r="P193" s="117">
        <v>0</v>
      </c>
      <c r="Q193" s="267">
        <v>0</v>
      </c>
      <c r="R193" s="158">
        <v>0</v>
      </c>
      <c r="S193" s="117">
        <v>0</v>
      </c>
      <c r="T193" s="267" t="s">
        <v>488</v>
      </c>
      <c r="U193" s="117">
        <v>0</v>
      </c>
      <c r="V193" s="267" t="s">
        <v>488</v>
      </c>
      <c r="W193" s="117">
        <v>0</v>
      </c>
      <c r="X193" s="267" t="s">
        <v>488</v>
      </c>
    </row>
    <row r="194" spans="1:24" x14ac:dyDescent="0.25">
      <c r="A194" s="269"/>
      <c r="B194" s="269"/>
      <c r="C194" s="269" t="s">
        <v>63</v>
      </c>
      <c r="D194" s="269"/>
      <c r="E194" s="269"/>
      <c r="F194" s="270">
        <v>744.8</v>
      </c>
      <c r="G194" s="270">
        <v>45</v>
      </c>
      <c r="H194" s="270">
        <v>0</v>
      </c>
      <c r="I194" s="352">
        <v>0</v>
      </c>
      <c r="J194" s="270">
        <v>2.7</v>
      </c>
      <c r="K194" s="271">
        <v>0.06</v>
      </c>
      <c r="L194" s="270">
        <v>9.9</v>
      </c>
      <c r="M194" s="271">
        <v>0.22</v>
      </c>
      <c r="N194" s="270">
        <v>32.4</v>
      </c>
      <c r="O194" s="352">
        <v>0.72</v>
      </c>
      <c r="P194" s="270">
        <v>6</v>
      </c>
      <c r="Q194" s="271">
        <v>0.1333</v>
      </c>
      <c r="R194" s="352">
        <v>8.0999999999999996E-3</v>
      </c>
      <c r="S194" s="270">
        <v>2.1</v>
      </c>
      <c r="T194" s="271">
        <v>0.35</v>
      </c>
      <c r="U194" s="270">
        <v>2.4</v>
      </c>
      <c r="V194" s="271">
        <v>0.4</v>
      </c>
      <c r="W194" s="270">
        <v>1.5</v>
      </c>
      <c r="X194" s="271">
        <v>0.25</v>
      </c>
    </row>
    <row r="195" spans="1:24" x14ac:dyDescent="0.25">
      <c r="A195" s="117">
        <v>540149</v>
      </c>
      <c r="B195" s="2" t="s">
        <v>64</v>
      </c>
      <c r="C195" s="2" t="s">
        <v>65</v>
      </c>
      <c r="D195" s="2" t="s">
        <v>5</v>
      </c>
      <c r="E195" s="117">
        <v>10</v>
      </c>
      <c r="F195" s="117">
        <v>201.9</v>
      </c>
      <c r="G195" s="117">
        <v>21.6</v>
      </c>
      <c r="H195" s="117">
        <v>0</v>
      </c>
      <c r="I195" s="158">
        <v>0</v>
      </c>
      <c r="J195" s="117">
        <v>1.4</v>
      </c>
      <c r="K195" s="267">
        <v>6.4799999999999996E-2</v>
      </c>
      <c r="L195" s="117">
        <v>0.1</v>
      </c>
      <c r="M195" s="267">
        <v>4.5999999999999999E-3</v>
      </c>
      <c r="N195" s="117">
        <v>20.100000000000001</v>
      </c>
      <c r="O195" s="158">
        <v>0.93059999999999998</v>
      </c>
      <c r="P195" s="117">
        <v>8.8000000000000007</v>
      </c>
      <c r="Q195" s="267">
        <v>0.40739999999999998</v>
      </c>
      <c r="R195" s="158">
        <v>4.36E-2</v>
      </c>
      <c r="S195" s="117">
        <v>2.8</v>
      </c>
      <c r="T195" s="267">
        <v>0.31819999999999998</v>
      </c>
      <c r="U195" s="117">
        <v>4.5</v>
      </c>
      <c r="V195" s="267">
        <v>0.51139999999999997</v>
      </c>
      <c r="W195" s="117">
        <v>1.5</v>
      </c>
      <c r="X195" s="267">
        <v>0.17050000000000001</v>
      </c>
    </row>
    <row r="196" spans="1:24" x14ac:dyDescent="0.25">
      <c r="A196" s="117">
        <v>540080</v>
      </c>
      <c r="B196" s="2" t="s">
        <v>175</v>
      </c>
      <c r="C196" s="2" t="s">
        <v>65</v>
      </c>
      <c r="D196" s="2" t="s">
        <v>115</v>
      </c>
      <c r="E196" s="117">
        <v>10</v>
      </c>
      <c r="F196" s="117">
        <v>2.2999999999999998</v>
      </c>
      <c r="G196" s="117">
        <v>0</v>
      </c>
      <c r="H196" s="117">
        <v>0</v>
      </c>
      <c r="I196" s="267" t="s">
        <v>488</v>
      </c>
      <c r="J196" s="117">
        <v>0</v>
      </c>
      <c r="K196" s="267" t="s">
        <v>488</v>
      </c>
      <c r="L196" s="117">
        <v>0</v>
      </c>
      <c r="M196" s="267" t="s">
        <v>488</v>
      </c>
      <c r="N196" s="117">
        <v>0</v>
      </c>
      <c r="O196" s="267" t="s">
        <v>488</v>
      </c>
      <c r="P196" s="117">
        <v>0</v>
      </c>
      <c r="Q196" s="267" t="s">
        <v>488</v>
      </c>
      <c r="R196" s="158">
        <v>0</v>
      </c>
      <c r="S196" s="117">
        <v>0</v>
      </c>
      <c r="T196" s="267" t="s">
        <v>488</v>
      </c>
      <c r="U196" s="117">
        <v>0</v>
      </c>
      <c r="V196" s="267" t="s">
        <v>488</v>
      </c>
      <c r="W196" s="117">
        <v>0</v>
      </c>
      <c r="X196" s="267" t="s">
        <v>488</v>
      </c>
    </row>
    <row r="197" spans="1:24" x14ac:dyDescent="0.25">
      <c r="A197" s="117">
        <v>540094</v>
      </c>
      <c r="B197" s="2" t="s">
        <v>185</v>
      </c>
      <c r="C197" s="2" t="s">
        <v>65</v>
      </c>
      <c r="D197" s="2" t="s">
        <v>115</v>
      </c>
      <c r="E197" s="117">
        <v>10</v>
      </c>
      <c r="F197" s="117">
        <v>4.5999999999999996</v>
      </c>
      <c r="G197" s="117">
        <v>0.8</v>
      </c>
      <c r="H197" s="117">
        <v>0</v>
      </c>
      <c r="I197" s="158">
        <v>0</v>
      </c>
      <c r="J197" s="117">
        <v>0</v>
      </c>
      <c r="K197" s="267">
        <v>0</v>
      </c>
      <c r="L197" s="117">
        <v>0.1</v>
      </c>
      <c r="M197" s="267">
        <v>0.125</v>
      </c>
      <c r="N197" s="117">
        <v>0.7</v>
      </c>
      <c r="O197" s="158">
        <v>0.875</v>
      </c>
      <c r="P197" s="117">
        <v>0</v>
      </c>
      <c r="Q197" s="267">
        <v>0</v>
      </c>
      <c r="R197" s="158">
        <v>0</v>
      </c>
      <c r="S197" s="117">
        <v>0</v>
      </c>
      <c r="T197" s="267" t="s">
        <v>488</v>
      </c>
      <c r="U197" s="117">
        <v>0</v>
      </c>
      <c r="V197" s="267" t="s">
        <v>488</v>
      </c>
      <c r="W197" s="117">
        <v>0</v>
      </c>
      <c r="X197" s="267" t="s">
        <v>488</v>
      </c>
    </row>
    <row r="198" spans="1:24" x14ac:dyDescent="0.25">
      <c r="A198" s="117">
        <v>540150</v>
      </c>
      <c r="B198" s="2" t="s">
        <v>227</v>
      </c>
      <c r="C198" s="2" t="s">
        <v>65</v>
      </c>
      <c r="D198" s="2" t="s">
        <v>115</v>
      </c>
      <c r="E198" s="117">
        <v>10</v>
      </c>
      <c r="F198" s="117">
        <v>8.6</v>
      </c>
      <c r="G198" s="117">
        <v>1</v>
      </c>
      <c r="H198" s="117">
        <v>0.1</v>
      </c>
      <c r="I198" s="158">
        <v>0.1</v>
      </c>
      <c r="J198" s="117">
        <v>0.8</v>
      </c>
      <c r="K198" s="267">
        <v>0.8</v>
      </c>
      <c r="L198" s="117">
        <v>0</v>
      </c>
      <c r="M198" s="267">
        <v>0</v>
      </c>
      <c r="N198" s="117">
        <v>0.1</v>
      </c>
      <c r="O198" s="158">
        <v>0.1</v>
      </c>
      <c r="P198" s="117">
        <v>0</v>
      </c>
      <c r="Q198" s="267">
        <v>0</v>
      </c>
      <c r="R198" s="158">
        <v>0</v>
      </c>
      <c r="S198" s="117">
        <v>0</v>
      </c>
      <c r="T198" s="267" t="s">
        <v>488</v>
      </c>
      <c r="U198" s="117">
        <v>0</v>
      </c>
      <c r="V198" s="267" t="s">
        <v>488</v>
      </c>
      <c r="W198" s="117">
        <v>0</v>
      </c>
      <c r="X198" s="267" t="s">
        <v>488</v>
      </c>
    </row>
    <row r="199" spans="1:24" x14ac:dyDescent="0.25">
      <c r="A199" s="117">
        <v>540151</v>
      </c>
      <c r="B199" s="2" t="s">
        <v>228</v>
      </c>
      <c r="C199" s="2" t="s">
        <v>65</v>
      </c>
      <c r="D199" s="2" t="s">
        <v>115</v>
      </c>
      <c r="E199" s="117">
        <v>10</v>
      </c>
      <c r="F199" s="117">
        <v>7.8</v>
      </c>
      <c r="G199" s="117">
        <v>3.7</v>
      </c>
      <c r="H199" s="117">
        <v>0</v>
      </c>
      <c r="I199" s="158">
        <v>0</v>
      </c>
      <c r="J199" s="117">
        <v>2.8</v>
      </c>
      <c r="K199" s="267">
        <v>0.75680000000000003</v>
      </c>
      <c r="L199" s="117">
        <v>0</v>
      </c>
      <c r="M199" s="267">
        <v>0</v>
      </c>
      <c r="N199" s="117">
        <v>0.9</v>
      </c>
      <c r="O199" s="158">
        <v>0.2432</v>
      </c>
      <c r="P199" s="117">
        <v>0.8</v>
      </c>
      <c r="Q199" s="267">
        <v>0.2162</v>
      </c>
      <c r="R199" s="158">
        <v>0.1026</v>
      </c>
      <c r="S199" s="117">
        <v>0.3</v>
      </c>
      <c r="T199" s="267">
        <v>0.375</v>
      </c>
      <c r="U199" s="117">
        <v>0.4</v>
      </c>
      <c r="V199" s="267">
        <v>0.5</v>
      </c>
      <c r="W199" s="117">
        <v>0.1</v>
      </c>
      <c r="X199" s="267">
        <v>0.125</v>
      </c>
    </row>
    <row r="200" spans="1:24" x14ac:dyDescent="0.25">
      <c r="A200" s="117">
        <v>540152</v>
      </c>
      <c r="B200" s="2" t="s">
        <v>229</v>
      </c>
      <c r="C200" s="2" t="s">
        <v>65</v>
      </c>
      <c r="D200" s="2" t="s">
        <v>115</v>
      </c>
      <c r="E200" s="117">
        <v>10</v>
      </c>
      <c r="F200" s="117">
        <v>90.8</v>
      </c>
      <c r="G200" s="117">
        <v>17.8</v>
      </c>
      <c r="H200" s="117">
        <v>4.0999999999999996</v>
      </c>
      <c r="I200" s="158">
        <v>0.2303</v>
      </c>
      <c r="J200" s="117">
        <v>3.2</v>
      </c>
      <c r="K200" s="267">
        <v>0.17979999999999999</v>
      </c>
      <c r="L200" s="117">
        <v>2</v>
      </c>
      <c r="M200" s="267">
        <v>0.1124</v>
      </c>
      <c r="N200" s="117">
        <v>8.4</v>
      </c>
      <c r="O200" s="158">
        <v>0.47189999999999999</v>
      </c>
      <c r="P200" s="117">
        <v>0.1</v>
      </c>
      <c r="Q200" s="267">
        <v>5.5999999999999999E-3</v>
      </c>
      <c r="R200" s="158">
        <v>1.1000000000000001E-3</v>
      </c>
      <c r="S200" s="117">
        <v>0.1</v>
      </c>
      <c r="T200" s="267" t="s">
        <v>488</v>
      </c>
      <c r="U200" s="117">
        <v>0</v>
      </c>
      <c r="V200" s="267" t="s">
        <v>488</v>
      </c>
      <c r="W200" s="117">
        <v>0</v>
      </c>
      <c r="X200" s="267" t="s">
        <v>488</v>
      </c>
    </row>
    <row r="201" spans="1:24" x14ac:dyDescent="0.25">
      <c r="A201" s="117">
        <v>540275</v>
      </c>
      <c r="B201" s="2" t="s">
        <v>318</v>
      </c>
      <c r="C201" s="2" t="s">
        <v>65</v>
      </c>
      <c r="D201" s="2" t="s">
        <v>115</v>
      </c>
      <c r="E201" s="117">
        <v>10</v>
      </c>
      <c r="F201" s="117">
        <v>11.1</v>
      </c>
      <c r="G201" s="117">
        <v>0</v>
      </c>
      <c r="H201" s="117">
        <v>0</v>
      </c>
      <c r="I201" s="267" t="s">
        <v>488</v>
      </c>
      <c r="J201" s="117">
        <v>0</v>
      </c>
      <c r="K201" s="267" t="s">
        <v>488</v>
      </c>
      <c r="L201" s="117">
        <v>0</v>
      </c>
      <c r="M201" s="267" t="s">
        <v>488</v>
      </c>
      <c r="N201" s="117">
        <v>0</v>
      </c>
      <c r="O201" s="267" t="s">
        <v>488</v>
      </c>
      <c r="P201" s="117">
        <v>0</v>
      </c>
      <c r="Q201" s="267" t="s">
        <v>488</v>
      </c>
      <c r="R201" s="158">
        <v>0</v>
      </c>
      <c r="S201" s="117">
        <v>0</v>
      </c>
      <c r="T201" s="267" t="s">
        <v>488</v>
      </c>
      <c r="U201" s="117">
        <v>0</v>
      </c>
      <c r="V201" s="267" t="s">
        <v>488</v>
      </c>
      <c r="W201" s="117">
        <v>0</v>
      </c>
      <c r="X201" s="267" t="s">
        <v>488</v>
      </c>
    </row>
    <row r="202" spans="1:24" x14ac:dyDescent="0.25">
      <c r="A202" s="269"/>
      <c r="B202" s="269"/>
      <c r="C202" s="269" t="s">
        <v>65</v>
      </c>
      <c r="D202" s="269"/>
      <c r="E202" s="269"/>
      <c r="F202" s="270">
        <v>327.10000000000002</v>
      </c>
      <c r="G202" s="270">
        <v>44.9</v>
      </c>
      <c r="H202" s="270">
        <v>4.2</v>
      </c>
      <c r="I202" s="352">
        <v>9.35E-2</v>
      </c>
      <c r="J202" s="270">
        <v>8.1999999999999993</v>
      </c>
      <c r="K202" s="271">
        <v>0.18260000000000001</v>
      </c>
      <c r="L202" s="270">
        <v>2.2000000000000002</v>
      </c>
      <c r="M202" s="271">
        <v>4.9000000000000002E-2</v>
      </c>
      <c r="N202" s="270">
        <v>30.2</v>
      </c>
      <c r="O202" s="352">
        <v>0.67259999999999998</v>
      </c>
      <c r="P202" s="270">
        <v>9.6999999999999993</v>
      </c>
      <c r="Q202" s="271">
        <v>0.216</v>
      </c>
      <c r="R202" s="352">
        <v>2.9700000000000001E-2</v>
      </c>
      <c r="S202" s="270">
        <v>3.2</v>
      </c>
      <c r="T202" s="271">
        <v>0.32990000000000003</v>
      </c>
      <c r="U202" s="270">
        <v>4.9000000000000004</v>
      </c>
      <c r="V202" s="271">
        <v>0.50519999999999998</v>
      </c>
      <c r="W202" s="270">
        <v>1.6</v>
      </c>
      <c r="X202" s="271">
        <v>0.16489999999999999</v>
      </c>
    </row>
    <row r="203" spans="1:24" x14ac:dyDescent="0.25">
      <c r="A203" s="117">
        <v>540153</v>
      </c>
      <c r="B203" s="2" t="s">
        <v>66</v>
      </c>
      <c r="C203" s="2" t="s">
        <v>67</v>
      </c>
      <c r="D203" s="2" t="s">
        <v>5</v>
      </c>
      <c r="E203" s="117">
        <v>8</v>
      </c>
      <c r="F203" s="117">
        <v>634.79999999999995</v>
      </c>
      <c r="G203" s="117">
        <v>80</v>
      </c>
      <c r="H203" s="117">
        <v>0</v>
      </c>
      <c r="I203" s="158">
        <v>0</v>
      </c>
      <c r="J203" s="117">
        <v>23.8</v>
      </c>
      <c r="K203" s="267">
        <v>0.29749999999999999</v>
      </c>
      <c r="L203" s="117">
        <v>8.1999999999999993</v>
      </c>
      <c r="M203" s="267">
        <v>0.10249999999999999</v>
      </c>
      <c r="N203" s="117">
        <v>48</v>
      </c>
      <c r="O203" s="158">
        <v>0.6</v>
      </c>
      <c r="P203" s="117">
        <v>0</v>
      </c>
      <c r="Q203" s="267">
        <v>0</v>
      </c>
      <c r="R203" s="158">
        <v>0</v>
      </c>
      <c r="S203" s="117">
        <v>0</v>
      </c>
      <c r="T203" s="267" t="s">
        <v>488</v>
      </c>
      <c r="U203" s="117">
        <v>0</v>
      </c>
      <c r="V203" s="267" t="s">
        <v>488</v>
      </c>
      <c r="W203" s="117">
        <v>0</v>
      </c>
      <c r="X203" s="267" t="s">
        <v>488</v>
      </c>
    </row>
    <row r="204" spans="1:24" x14ac:dyDescent="0.25">
      <c r="A204" s="117">
        <v>540154</v>
      </c>
      <c r="B204" s="2" t="s">
        <v>230</v>
      </c>
      <c r="C204" s="2" t="s">
        <v>67</v>
      </c>
      <c r="D204" s="2" t="s">
        <v>115</v>
      </c>
      <c r="E204" s="117">
        <v>8</v>
      </c>
      <c r="F204" s="117">
        <v>6.6</v>
      </c>
      <c r="G204" s="117">
        <v>0.5</v>
      </c>
      <c r="H204" s="117">
        <v>0</v>
      </c>
      <c r="I204" s="158">
        <v>0</v>
      </c>
      <c r="J204" s="117">
        <v>0.2</v>
      </c>
      <c r="K204" s="267">
        <v>0.4</v>
      </c>
      <c r="L204" s="117">
        <v>0</v>
      </c>
      <c r="M204" s="267">
        <v>0</v>
      </c>
      <c r="N204" s="117">
        <v>0.3</v>
      </c>
      <c r="O204" s="158">
        <v>0.6</v>
      </c>
      <c r="P204" s="117">
        <v>0</v>
      </c>
      <c r="Q204" s="267">
        <v>0</v>
      </c>
      <c r="R204" s="158">
        <v>0</v>
      </c>
      <c r="S204" s="117">
        <v>0</v>
      </c>
      <c r="T204" s="267" t="s">
        <v>488</v>
      </c>
      <c r="U204" s="117">
        <v>0</v>
      </c>
      <c r="V204" s="267" t="s">
        <v>488</v>
      </c>
      <c r="W204" s="117">
        <v>0</v>
      </c>
      <c r="X204" s="267" t="s">
        <v>488</v>
      </c>
    </row>
    <row r="205" spans="1:24" x14ac:dyDescent="0.25">
      <c r="A205" s="269"/>
      <c r="B205" s="269"/>
      <c r="C205" s="269" t="s">
        <v>67</v>
      </c>
      <c r="D205" s="269"/>
      <c r="E205" s="269"/>
      <c r="F205" s="270">
        <v>641.4</v>
      </c>
      <c r="G205" s="270">
        <v>80.5</v>
      </c>
      <c r="H205" s="270">
        <v>0</v>
      </c>
      <c r="I205" s="352">
        <v>0</v>
      </c>
      <c r="J205" s="270">
        <v>24</v>
      </c>
      <c r="K205" s="271">
        <v>0.29809999999999998</v>
      </c>
      <c r="L205" s="270">
        <v>8.1999999999999993</v>
      </c>
      <c r="M205" s="271">
        <v>0.1019</v>
      </c>
      <c r="N205" s="270">
        <v>48.3</v>
      </c>
      <c r="O205" s="352">
        <v>0.6</v>
      </c>
      <c r="P205" s="270">
        <v>0</v>
      </c>
      <c r="Q205" s="271">
        <v>0</v>
      </c>
      <c r="R205" s="352">
        <v>0</v>
      </c>
      <c r="S205" s="270">
        <v>0</v>
      </c>
      <c r="T205" s="271" t="s">
        <v>488</v>
      </c>
      <c r="U205" s="270">
        <v>0</v>
      </c>
      <c r="V205" s="271" t="s">
        <v>488</v>
      </c>
      <c r="W205" s="270">
        <v>0</v>
      </c>
      <c r="X205" s="271" t="s">
        <v>488</v>
      </c>
    </row>
    <row r="206" spans="1:24" x14ac:dyDescent="0.25">
      <c r="A206" s="117">
        <v>540160</v>
      </c>
      <c r="B206" s="2" t="s">
        <v>68</v>
      </c>
      <c r="C206" s="2" t="s">
        <v>69</v>
      </c>
      <c r="D206" s="2" t="s">
        <v>5</v>
      </c>
      <c r="E206" s="117">
        <v>6</v>
      </c>
      <c r="F206" s="117">
        <v>1266.9000000000001</v>
      </c>
      <c r="G206" s="117">
        <v>56.8</v>
      </c>
      <c r="H206" s="117">
        <v>0.2</v>
      </c>
      <c r="I206" s="158">
        <v>3.5000000000000001E-3</v>
      </c>
      <c r="J206" s="117">
        <v>7.7</v>
      </c>
      <c r="K206" s="267">
        <v>0.1356</v>
      </c>
      <c r="L206" s="117">
        <v>9</v>
      </c>
      <c r="M206" s="267">
        <v>0.1585</v>
      </c>
      <c r="N206" s="117">
        <v>40</v>
      </c>
      <c r="O206" s="158">
        <v>0.70420000000000005</v>
      </c>
      <c r="P206" s="117">
        <v>54</v>
      </c>
      <c r="Q206" s="267">
        <v>0.95069999999999999</v>
      </c>
      <c r="R206" s="158">
        <v>4.2599999999999999E-2</v>
      </c>
      <c r="S206" s="117">
        <v>11.1</v>
      </c>
      <c r="T206" s="267">
        <v>0.2056</v>
      </c>
      <c r="U206" s="117">
        <v>16.600000000000001</v>
      </c>
      <c r="V206" s="267">
        <v>0.30740000000000001</v>
      </c>
      <c r="W206" s="117">
        <v>26.3</v>
      </c>
      <c r="X206" s="267">
        <v>0.48699999999999999</v>
      </c>
    </row>
    <row r="207" spans="1:24" x14ac:dyDescent="0.25">
      <c r="A207" s="117">
        <v>540137</v>
      </c>
      <c r="B207" s="2" t="s">
        <v>220</v>
      </c>
      <c r="C207" s="2" t="s">
        <v>69</v>
      </c>
      <c r="D207" s="2" t="s">
        <v>115</v>
      </c>
      <c r="E207" s="117">
        <v>6</v>
      </c>
      <c r="F207" s="117">
        <v>2.6</v>
      </c>
      <c r="G207" s="117">
        <v>0</v>
      </c>
      <c r="H207" s="117">
        <v>0</v>
      </c>
      <c r="I207" s="267" t="s">
        <v>488</v>
      </c>
      <c r="J207" s="117">
        <v>0</v>
      </c>
      <c r="K207" s="267" t="s">
        <v>488</v>
      </c>
      <c r="L207" s="117">
        <v>0</v>
      </c>
      <c r="M207" s="267" t="s">
        <v>488</v>
      </c>
      <c r="N207" s="117">
        <v>0</v>
      </c>
      <c r="O207" s="267" t="s">
        <v>488</v>
      </c>
      <c r="P207" s="117">
        <v>0</v>
      </c>
      <c r="Q207" s="267" t="s">
        <v>488</v>
      </c>
      <c r="R207" s="158">
        <v>0</v>
      </c>
      <c r="S207" s="117">
        <v>0</v>
      </c>
      <c r="T207" s="267" t="s">
        <v>488</v>
      </c>
      <c r="U207" s="117">
        <v>0</v>
      </c>
      <c r="V207" s="267" t="s">
        <v>488</v>
      </c>
      <c r="W207" s="117">
        <v>0</v>
      </c>
      <c r="X207" s="267" t="s">
        <v>488</v>
      </c>
    </row>
    <row r="208" spans="1:24" x14ac:dyDescent="0.25">
      <c r="A208" s="117">
        <v>540161</v>
      </c>
      <c r="B208" s="2" t="s">
        <v>235</v>
      </c>
      <c r="C208" s="2" t="s">
        <v>69</v>
      </c>
      <c r="D208" s="2" t="s">
        <v>115</v>
      </c>
      <c r="E208" s="117">
        <v>6</v>
      </c>
      <c r="F208" s="117">
        <v>2.2999999999999998</v>
      </c>
      <c r="G208" s="117">
        <v>1</v>
      </c>
      <c r="H208" s="117">
        <v>0</v>
      </c>
      <c r="I208" s="158">
        <v>0</v>
      </c>
      <c r="J208" s="117">
        <v>0</v>
      </c>
      <c r="K208" s="267">
        <v>0</v>
      </c>
      <c r="L208" s="117">
        <v>0.2</v>
      </c>
      <c r="M208" s="267">
        <v>0.2</v>
      </c>
      <c r="N208" s="117">
        <v>0.8</v>
      </c>
      <c r="O208" s="158">
        <v>0.8</v>
      </c>
      <c r="P208" s="117">
        <v>1</v>
      </c>
      <c r="Q208" s="267">
        <v>1</v>
      </c>
      <c r="R208" s="158">
        <v>0.43480000000000002</v>
      </c>
      <c r="S208" s="117">
        <v>0.1</v>
      </c>
      <c r="T208" s="267">
        <v>0.1</v>
      </c>
      <c r="U208" s="117">
        <v>0.1</v>
      </c>
      <c r="V208" s="267">
        <v>0.1</v>
      </c>
      <c r="W208" s="117">
        <v>0.8</v>
      </c>
      <c r="X208" s="267">
        <v>0.8</v>
      </c>
    </row>
    <row r="209" spans="1:24" x14ac:dyDescent="0.25">
      <c r="A209" s="117">
        <v>540162</v>
      </c>
      <c r="B209" s="2" t="s">
        <v>236</v>
      </c>
      <c r="C209" s="2" t="s">
        <v>69</v>
      </c>
      <c r="D209" s="2" t="s">
        <v>115</v>
      </c>
      <c r="E209" s="117">
        <v>6</v>
      </c>
      <c r="F209" s="117">
        <v>0.4</v>
      </c>
      <c r="G209" s="117">
        <v>0.2</v>
      </c>
      <c r="H209" s="117">
        <v>0</v>
      </c>
      <c r="I209" s="158">
        <v>0</v>
      </c>
      <c r="J209" s="117">
        <v>0</v>
      </c>
      <c r="K209" s="267">
        <v>0</v>
      </c>
      <c r="L209" s="117">
        <v>0</v>
      </c>
      <c r="M209" s="267">
        <v>0</v>
      </c>
      <c r="N209" s="117">
        <v>0.2</v>
      </c>
      <c r="O209" s="158">
        <v>1</v>
      </c>
      <c r="P209" s="117">
        <v>0.2</v>
      </c>
      <c r="Q209" s="267">
        <v>1</v>
      </c>
      <c r="R209" s="158">
        <v>0.5</v>
      </c>
      <c r="S209" s="117">
        <v>0</v>
      </c>
      <c r="T209" s="267">
        <v>0</v>
      </c>
      <c r="U209" s="117">
        <v>0.1</v>
      </c>
      <c r="V209" s="267">
        <v>0.5</v>
      </c>
      <c r="W209" s="117">
        <v>0.1</v>
      </c>
      <c r="X209" s="267">
        <v>0.5</v>
      </c>
    </row>
    <row r="210" spans="1:24" x14ac:dyDescent="0.25">
      <c r="A210" s="117">
        <v>540163</v>
      </c>
      <c r="B210" s="2" t="s">
        <v>237</v>
      </c>
      <c r="C210" s="2" t="s">
        <v>69</v>
      </c>
      <c r="D210" s="2" t="s">
        <v>115</v>
      </c>
      <c r="E210" s="117">
        <v>6</v>
      </c>
      <c r="F210" s="117">
        <v>4.5999999999999996</v>
      </c>
      <c r="G210" s="117">
        <v>1.9</v>
      </c>
      <c r="H210" s="117">
        <v>0</v>
      </c>
      <c r="I210" s="158">
        <v>0</v>
      </c>
      <c r="J210" s="117">
        <v>0</v>
      </c>
      <c r="K210" s="267">
        <v>0</v>
      </c>
      <c r="L210" s="117">
        <v>1.1000000000000001</v>
      </c>
      <c r="M210" s="267">
        <v>0.57889999999999997</v>
      </c>
      <c r="N210" s="117">
        <v>0.8</v>
      </c>
      <c r="O210" s="158">
        <v>0.42109999999999997</v>
      </c>
      <c r="P210" s="117">
        <v>1.8</v>
      </c>
      <c r="Q210" s="267">
        <v>0.94740000000000002</v>
      </c>
      <c r="R210" s="158">
        <v>0.39129999999999998</v>
      </c>
      <c r="S210" s="117">
        <v>0.2</v>
      </c>
      <c r="T210" s="267">
        <v>0.1111</v>
      </c>
      <c r="U210" s="117">
        <v>0.3</v>
      </c>
      <c r="V210" s="267">
        <v>0.16669999999999999</v>
      </c>
      <c r="W210" s="117">
        <v>1.3</v>
      </c>
      <c r="X210" s="267">
        <v>0.72219999999999995</v>
      </c>
    </row>
    <row r="211" spans="1:24" x14ac:dyDescent="0.25">
      <c r="A211" s="117">
        <v>540254</v>
      </c>
      <c r="B211" s="2" t="s">
        <v>300</v>
      </c>
      <c r="C211" s="2" t="s">
        <v>69</v>
      </c>
      <c r="D211" s="2" t="s">
        <v>115</v>
      </c>
      <c r="E211" s="117">
        <v>6</v>
      </c>
      <c r="F211" s="117">
        <v>11.7</v>
      </c>
      <c r="G211" s="117">
        <v>0</v>
      </c>
      <c r="H211" s="117">
        <v>0</v>
      </c>
      <c r="I211" s="267" t="s">
        <v>488</v>
      </c>
      <c r="J211" s="117">
        <v>0</v>
      </c>
      <c r="K211" s="267" t="s">
        <v>488</v>
      </c>
      <c r="L211" s="117">
        <v>0</v>
      </c>
      <c r="M211" s="267" t="s">
        <v>488</v>
      </c>
      <c r="N211" s="117">
        <v>0</v>
      </c>
      <c r="O211" s="267" t="s">
        <v>488</v>
      </c>
      <c r="P211" s="117">
        <v>0</v>
      </c>
      <c r="Q211" s="267" t="s">
        <v>488</v>
      </c>
      <c r="R211" s="158">
        <v>0</v>
      </c>
      <c r="S211" s="117">
        <v>0</v>
      </c>
      <c r="T211" s="267" t="s">
        <v>488</v>
      </c>
      <c r="U211" s="117">
        <v>0</v>
      </c>
      <c r="V211" s="267" t="s">
        <v>488</v>
      </c>
      <c r="W211" s="117">
        <v>0</v>
      </c>
      <c r="X211" s="267" t="s">
        <v>488</v>
      </c>
    </row>
    <row r="212" spans="1:24" x14ac:dyDescent="0.25">
      <c r="A212" s="117">
        <v>540257</v>
      </c>
      <c r="B212" s="2" t="s">
        <v>302</v>
      </c>
      <c r="C212" s="2" t="s">
        <v>69</v>
      </c>
      <c r="D212" s="2" t="s">
        <v>115</v>
      </c>
      <c r="E212" s="117">
        <v>6</v>
      </c>
      <c r="F212" s="117">
        <v>12.4</v>
      </c>
      <c r="G212" s="117">
        <v>0.6</v>
      </c>
      <c r="H212" s="117">
        <v>0</v>
      </c>
      <c r="I212" s="158">
        <v>0</v>
      </c>
      <c r="J212" s="117">
        <v>0</v>
      </c>
      <c r="K212" s="267">
        <v>0</v>
      </c>
      <c r="L212" s="117">
        <v>0.1</v>
      </c>
      <c r="M212" s="267">
        <v>0.16669999999999999</v>
      </c>
      <c r="N212" s="117">
        <v>0.5</v>
      </c>
      <c r="O212" s="158">
        <v>0.83330000000000004</v>
      </c>
      <c r="P212" s="117">
        <v>0.5</v>
      </c>
      <c r="Q212" s="267">
        <v>0.83330000000000004</v>
      </c>
      <c r="R212" s="158">
        <v>4.0300000000000002E-2</v>
      </c>
      <c r="S212" s="117">
        <v>0.2</v>
      </c>
      <c r="T212" s="267" t="s">
        <v>488</v>
      </c>
      <c r="U212" s="117">
        <v>0.3</v>
      </c>
      <c r="V212" s="267" t="s">
        <v>488</v>
      </c>
      <c r="W212" s="117">
        <v>0</v>
      </c>
      <c r="X212" s="267" t="s">
        <v>488</v>
      </c>
    </row>
    <row r="213" spans="1:24" x14ac:dyDescent="0.25">
      <c r="A213" s="117">
        <v>540268</v>
      </c>
      <c r="B213" s="2" t="s">
        <v>311</v>
      </c>
      <c r="C213" s="2" t="s">
        <v>69</v>
      </c>
      <c r="D213" s="2" t="s">
        <v>115</v>
      </c>
      <c r="E213" s="117">
        <v>6</v>
      </c>
      <c r="F213" s="117">
        <v>4</v>
      </c>
      <c r="G213" s="117">
        <v>0</v>
      </c>
      <c r="H213" s="117">
        <v>0</v>
      </c>
      <c r="I213" s="267" t="s">
        <v>488</v>
      </c>
      <c r="J213" s="117">
        <v>0</v>
      </c>
      <c r="K213" s="267" t="s">
        <v>488</v>
      </c>
      <c r="L213" s="117">
        <v>0</v>
      </c>
      <c r="M213" s="267" t="s">
        <v>488</v>
      </c>
      <c r="N213" s="117">
        <v>0</v>
      </c>
      <c r="O213" s="267" t="s">
        <v>488</v>
      </c>
      <c r="P213" s="117">
        <v>0</v>
      </c>
      <c r="Q213" s="267" t="s">
        <v>488</v>
      </c>
      <c r="R213" s="158">
        <v>0</v>
      </c>
      <c r="S213" s="117">
        <v>0</v>
      </c>
      <c r="T213" s="267" t="s">
        <v>488</v>
      </c>
      <c r="U213" s="117">
        <v>0</v>
      </c>
      <c r="V213" s="267" t="s">
        <v>488</v>
      </c>
      <c r="W213" s="117">
        <v>0</v>
      </c>
      <c r="X213" s="267" t="s">
        <v>488</v>
      </c>
    </row>
    <row r="214" spans="1:24" x14ac:dyDescent="0.25">
      <c r="A214" s="117">
        <v>540269</v>
      </c>
      <c r="B214" s="2" t="s">
        <v>312</v>
      </c>
      <c r="C214" s="2" t="s">
        <v>69</v>
      </c>
      <c r="D214" s="2" t="s">
        <v>115</v>
      </c>
      <c r="E214" s="117">
        <v>6</v>
      </c>
      <c r="F214" s="117">
        <v>2.1</v>
      </c>
      <c r="G214" s="117">
        <v>0</v>
      </c>
      <c r="H214" s="117">
        <v>0</v>
      </c>
      <c r="I214" s="267" t="s">
        <v>488</v>
      </c>
      <c r="J214" s="117">
        <v>0</v>
      </c>
      <c r="K214" s="267" t="s">
        <v>488</v>
      </c>
      <c r="L214" s="117">
        <v>0</v>
      </c>
      <c r="M214" s="267" t="s">
        <v>488</v>
      </c>
      <c r="N214" s="117">
        <v>0</v>
      </c>
      <c r="O214" s="267" t="s">
        <v>488</v>
      </c>
      <c r="P214" s="117">
        <v>0</v>
      </c>
      <c r="Q214" s="267" t="s">
        <v>488</v>
      </c>
      <c r="R214" s="158">
        <v>0</v>
      </c>
      <c r="S214" s="117">
        <v>0</v>
      </c>
      <c r="T214" s="267" t="s">
        <v>488</v>
      </c>
      <c r="U214" s="117">
        <v>0</v>
      </c>
      <c r="V214" s="267" t="s">
        <v>488</v>
      </c>
      <c r="W214" s="117">
        <v>0</v>
      </c>
      <c r="X214" s="267" t="s">
        <v>488</v>
      </c>
    </row>
    <row r="215" spans="1:24" x14ac:dyDescent="0.25">
      <c r="A215" s="117">
        <v>540270</v>
      </c>
      <c r="B215" s="2" t="s">
        <v>313</v>
      </c>
      <c r="C215" s="2" t="s">
        <v>69</v>
      </c>
      <c r="D215" s="2" t="s">
        <v>115</v>
      </c>
      <c r="E215" s="117">
        <v>6</v>
      </c>
      <c r="F215" s="117">
        <v>3.3</v>
      </c>
      <c r="G215" s="117">
        <v>0</v>
      </c>
      <c r="H215" s="117">
        <v>0</v>
      </c>
      <c r="I215" s="267" t="s">
        <v>488</v>
      </c>
      <c r="J215" s="117">
        <v>0</v>
      </c>
      <c r="K215" s="267" t="s">
        <v>488</v>
      </c>
      <c r="L215" s="117">
        <v>0</v>
      </c>
      <c r="M215" s="267" t="s">
        <v>488</v>
      </c>
      <c r="N215" s="117">
        <v>0</v>
      </c>
      <c r="O215" s="267" t="s">
        <v>488</v>
      </c>
      <c r="P215" s="117">
        <v>0</v>
      </c>
      <c r="Q215" s="267" t="s">
        <v>488</v>
      </c>
      <c r="R215" s="158">
        <v>0</v>
      </c>
      <c r="S215" s="117">
        <v>0</v>
      </c>
      <c r="T215" s="267" t="s">
        <v>488</v>
      </c>
      <c r="U215" s="117">
        <v>0</v>
      </c>
      <c r="V215" s="267" t="s">
        <v>488</v>
      </c>
      <c r="W215" s="117">
        <v>0</v>
      </c>
      <c r="X215" s="267" t="s">
        <v>488</v>
      </c>
    </row>
    <row r="216" spans="1:24" x14ac:dyDescent="0.25">
      <c r="A216" s="117">
        <v>540284</v>
      </c>
      <c r="B216" s="2" t="s">
        <v>323</v>
      </c>
      <c r="C216" s="2" t="s">
        <v>69</v>
      </c>
      <c r="D216" s="2" t="s">
        <v>115</v>
      </c>
      <c r="E216" s="117">
        <v>6</v>
      </c>
      <c r="F216" s="117">
        <v>2</v>
      </c>
      <c r="G216" s="117">
        <v>0</v>
      </c>
      <c r="H216" s="117">
        <v>0</v>
      </c>
      <c r="I216" s="267" t="s">
        <v>488</v>
      </c>
      <c r="J216" s="117">
        <v>0</v>
      </c>
      <c r="K216" s="267" t="s">
        <v>488</v>
      </c>
      <c r="L216" s="117">
        <v>0</v>
      </c>
      <c r="M216" s="267" t="s">
        <v>488</v>
      </c>
      <c r="N216" s="117">
        <v>0</v>
      </c>
      <c r="O216" s="267" t="s">
        <v>488</v>
      </c>
      <c r="P216" s="117">
        <v>0</v>
      </c>
      <c r="Q216" s="267" t="s">
        <v>488</v>
      </c>
      <c r="R216" s="158">
        <v>0</v>
      </c>
      <c r="S216" s="117">
        <v>0</v>
      </c>
      <c r="T216" s="267" t="s">
        <v>488</v>
      </c>
      <c r="U216" s="117">
        <v>0</v>
      </c>
      <c r="V216" s="267" t="s">
        <v>488</v>
      </c>
      <c r="W216" s="117">
        <v>0</v>
      </c>
      <c r="X216" s="267" t="s">
        <v>488</v>
      </c>
    </row>
    <row r="217" spans="1:24" x14ac:dyDescent="0.25">
      <c r="A217" s="269"/>
      <c r="B217" s="269"/>
      <c r="C217" s="269" t="s">
        <v>69</v>
      </c>
      <c r="D217" s="269"/>
      <c r="E217" s="269"/>
      <c r="F217" s="270">
        <v>1312.3</v>
      </c>
      <c r="G217" s="270">
        <v>60.5</v>
      </c>
      <c r="H217" s="270">
        <v>0.2</v>
      </c>
      <c r="I217" s="352">
        <v>3.3E-3</v>
      </c>
      <c r="J217" s="270">
        <v>7.7</v>
      </c>
      <c r="K217" s="271">
        <v>0.1273</v>
      </c>
      <c r="L217" s="270">
        <v>10.4</v>
      </c>
      <c r="M217" s="271">
        <v>0.1719</v>
      </c>
      <c r="N217" s="270">
        <v>42.3</v>
      </c>
      <c r="O217" s="352">
        <v>0.69920000000000004</v>
      </c>
      <c r="P217" s="270">
        <v>57.5</v>
      </c>
      <c r="Q217" s="271">
        <v>0.95040000000000002</v>
      </c>
      <c r="R217" s="352">
        <v>4.3799999999999999E-2</v>
      </c>
      <c r="S217" s="270">
        <v>11.6</v>
      </c>
      <c r="T217" s="271">
        <v>0.20169999999999999</v>
      </c>
      <c r="U217" s="270">
        <v>17.399999999999999</v>
      </c>
      <c r="V217" s="271">
        <v>0.30259999999999998</v>
      </c>
      <c r="W217" s="270">
        <v>28.5</v>
      </c>
      <c r="X217" s="271">
        <v>0.49569999999999997</v>
      </c>
    </row>
    <row r="218" spans="1:24" x14ac:dyDescent="0.25">
      <c r="A218" s="117">
        <v>540164</v>
      </c>
      <c r="B218" s="2" t="s">
        <v>70</v>
      </c>
      <c r="C218" s="2" t="s">
        <v>71</v>
      </c>
      <c r="D218" s="2" t="s">
        <v>5</v>
      </c>
      <c r="E218" s="117">
        <v>3</v>
      </c>
      <c r="F218" s="117">
        <v>681.8</v>
      </c>
      <c r="G218" s="117">
        <v>80.7</v>
      </c>
      <c r="H218" s="117">
        <v>0.5</v>
      </c>
      <c r="I218" s="158">
        <v>6.1999999999999998E-3</v>
      </c>
      <c r="J218" s="117">
        <v>10.199999999999999</v>
      </c>
      <c r="K218" s="267">
        <v>0.12640000000000001</v>
      </c>
      <c r="L218" s="117">
        <v>12.9</v>
      </c>
      <c r="M218" s="267">
        <v>0.15989999999999999</v>
      </c>
      <c r="N218" s="117">
        <v>57.2</v>
      </c>
      <c r="O218" s="158">
        <v>0.70879999999999999</v>
      </c>
      <c r="P218" s="117">
        <v>17.899999999999999</v>
      </c>
      <c r="Q218" s="267">
        <v>0.2218</v>
      </c>
      <c r="R218" s="158">
        <v>2.63E-2</v>
      </c>
      <c r="S218" s="117">
        <v>3.4</v>
      </c>
      <c r="T218" s="267">
        <v>0.18990000000000001</v>
      </c>
      <c r="U218" s="117">
        <v>7.5</v>
      </c>
      <c r="V218" s="267">
        <v>0.41899999999999998</v>
      </c>
      <c r="W218" s="117">
        <v>7</v>
      </c>
      <c r="X218" s="267">
        <v>0.3911</v>
      </c>
    </row>
    <row r="219" spans="1:24" x14ac:dyDescent="0.25">
      <c r="A219" s="117">
        <v>540081</v>
      </c>
      <c r="B219" s="2" t="s">
        <v>176</v>
      </c>
      <c r="C219" s="2" t="s">
        <v>71</v>
      </c>
      <c r="D219" s="2" t="s">
        <v>115</v>
      </c>
      <c r="E219" s="117">
        <v>3</v>
      </c>
      <c r="F219" s="117">
        <v>8.4</v>
      </c>
      <c r="G219" s="117">
        <v>0.2</v>
      </c>
      <c r="H219" s="117">
        <v>0</v>
      </c>
      <c r="I219" s="158">
        <v>0</v>
      </c>
      <c r="J219" s="117">
        <v>0</v>
      </c>
      <c r="K219" s="267">
        <v>0</v>
      </c>
      <c r="L219" s="117">
        <v>0</v>
      </c>
      <c r="M219" s="267">
        <v>0</v>
      </c>
      <c r="N219" s="117">
        <v>0.2</v>
      </c>
      <c r="O219" s="158">
        <v>1</v>
      </c>
      <c r="P219" s="117">
        <v>0</v>
      </c>
      <c r="Q219" s="267">
        <v>0</v>
      </c>
      <c r="R219" s="158">
        <v>0</v>
      </c>
      <c r="S219" s="117">
        <v>0</v>
      </c>
      <c r="T219" s="267" t="s">
        <v>488</v>
      </c>
      <c r="U219" s="117">
        <v>0</v>
      </c>
      <c r="V219" s="267" t="s">
        <v>488</v>
      </c>
      <c r="W219" s="117">
        <v>0</v>
      </c>
      <c r="X219" s="267" t="s">
        <v>488</v>
      </c>
    </row>
    <row r="220" spans="1:24" x14ac:dyDescent="0.25">
      <c r="A220" s="117">
        <v>540165</v>
      </c>
      <c r="B220" s="2" t="s">
        <v>238</v>
      </c>
      <c r="C220" s="2" t="s">
        <v>71</v>
      </c>
      <c r="D220" s="2" t="s">
        <v>115</v>
      </c>
      <c r="E220" s="117">
        <v>3</v>
      </c>
      <c r="F220" s="117">
        <v>0.9</v>
      </c>
      <c r="G220" s="117">
        <v>0.1</v>
      </c>
      <c r="H220" s="117">
        <v>0</v>
      </c>
      <c r="I220" s="158">
        <v>0</v>
      </c>
      <c r="J220" s="117">
        <v>0</v>
      </c>
      <c r="K220" s="267">
        <v>0</v>
      </c>
      <c r="L220" s="117">
        <v>0</v>
      </c>
      <c r="M220" s="267">
        <v>0</v>
      </c>
      <c r="N220" s="117">
        <v>0</v>
      </c>
      <c r="O220" s="158">
        <v>0</v>
      </c>
      <c r="P220" s="117">
        <v>0</v>
      </c>
      <c r="Q220" s="267">
        <v>0</v>
      </c>
      <c r="R220" s="158">
        <v>0</v>
      </c>
      <c r="S220" s="117">
        <v>0</v>
      </c>
      <c r="T220" s="267" t="s">
        <v>488</v>
      </c>
      <c r="U220" s="117">
        <v>0</v>
      </c>
      <c r="V220" s="267" t="s">
        <v>488</v>
      </c>
      <c r="W220" s="117">
        <v>0</v>
      </c>
      <c r="X220" s="267" t="s">
        <v>488</v>
      </c>
    </row>
    <row r="221" spans="1:24" x14ac:dyDescent="0.25">
      <c r="A221" s="117">
        <v>540166</v>
      </c>
      <c r="B221" s="2" t="s">
        <v>239</v>
      </c>
      <c r="C221" s="2" t="s">
        <v>71</v>
      </c>
      <c r="D221" s="2" t="s">
        <v>115</v>
      </c>
      <c r="E221" s="117">
        <v>3</v>
      </c>
      <c r="F221" s="117">
        <v>8.4</v>
      </c>
      <c r="G221" s="117">
        <v>3.2</v>
      </c>
      <c r="H221" s="117">
        <v>0</v>
      </c>
      <c r="I221" s="158">
        <v>0</v>
      </c>
      <c r="J221" s="117">
        <v>0</v>
      </c>
      <c r="K221" s="267">
        <v>0</v>
      </c>
      <c r="L221" s="117">
        <v>1.1000000000000001</v>
      </c>
      <c r="M221" s="267">
        <v>0.34379999999999999</v>
      </c>
      <c r="N221" s="117">
        <v>2.1</v>
      </c>
      <c r="O221" s="158">
        <v>0.65629999999999999</v>
      </c>
      <c r="P221" s="117">
        <v>0</v>
      </c>
      <c r="Q221" s="267">
        <v>0</v>
      </c>
      <c r="R221" s="158">
        <v>0</v>
      </c>
      <c r="S221" s="117">
        <v>0</v>
      </c>
      <c r="T221" s="267" t="s">
        <v>488</v>
      </c>
      <c r="U221" s="117">
        <v>0</v>
      </c>
      <c r="V221" s="267" t="s">
        <v>488</v>
      </c>
      <c r="W221" s="117">
        <v>0</v>
      </c>
      <c r="X221" s="267" t="s">
        <v>488</v>
      </c>
    </row>
    <row r="222" spans="1:24" x14ac:dyDescent="0.25">
      <c r="A222" s="117">
        <v>540167</v>
      </c>
      <c r="B222" s="2" t="s">
        <v>240</v>
      </c>
      <c r="C222" s="2" t="s">
        <v>71</v>
      </c>
      <c r="D222" s="2" t="s">
        <v>115</v>
      </c>
      <c r="E222" s="117">
        <v>3</v>
      </c>
      <c r="F222" s="117">
        <v>32.200000000000003</v>
      </c>
      <c r="G222" s="117">
        <v>1.3</v>
      </c>
      <c r="H222" s="117">
        <v>0</v>
      </c>
      <c r="I222" s="158">
        <v>0</v>
      </c>
      <c r="J222" s="117">
        <v>1</v>
      </c>
      <c r="K222" s="267">
        <v>0.76919999999999999</v>
      </c>
      <c r="L222" s="117">
        <v>0.2</v>
      </c>
      <c r="M222" s="267">
        <v>0.15379999999999999</v>
      </c>
      <c r="N222" s="117">
        <v>0.1</v>
      </c>
      <c r="O222" s="158">
        <v>7.6899999999999996E-2</v>
      </c>
      <c r="P222" s="117">
        <v>0.5</v>
      </c>
      <c r="Q222" s="267">
        <v>0.3846</v>
      </c>
      <c r="R222" s="158">
        <v>1.55E-2</v>
      </c>
      <c r="S222" s="117">
        <v>0.4</v>
      </c>
      <c r="T222" s="267" t="s">
        <v>488</v>
      </c>
      <c r="U222" s="117">
        <v>0.1</v>
      </c>
      <c r="V222" s="267" t="s">
        <v>488</v>
      </c>
      <c r="W222" s="117">
        <v>0</v>
      </c>
      <c r="X222" s="267" t="s">
        <v>488</v>
      </c>
    </row>
    <row r="223" spans="1:24" x14ac:dyDescent="0.25">
      <c r="A223" s="117">
        <v>540168</v>
      </c>
      <c r="B223" s="2" t="s">
        <v>241</v>
      </c>
      <c r="C223" s="2" t="s">
        <v>71</v>
      </c>
      <c r="D223" s="2" t="s">
        <v>115</v>
      </c>
      <c r="E223" s="117">
        <v>3</v>
      </c>
      <c r="F223" s="117">
        <v>4.3</v>
      </c>
      <c r="G223" s="117">
        <v>0.4</v>
      </c>
      <c r="H223" s="117">
        <v>0</v>
      </c>
      <c r="I223" s="158">
        <v>0</v>
      </c>
      <c r="J223" s="117">
        <v>0</v>
      </c>
      <c r="K223" s="267">
        <v>0</v>
      </c>
      <c r="L223" s="117">
        <v>0.2</v>
      </c>
      <c r="M223" s="267">
        <v>0.5</v>
      </c>
      <c r="N223" s="117">
        <v>0.2</v>
      </c>
      <c r="O223" s="158">
        <v>0.5</v>
      </c>
      <c r="P223" s="117">
        <v>0</v>
      </c>
      <c r="Q223" s="267">
        <v>0</v>
      </c>
      <c r="R223" s="158">
        <v>0</v>
      </c>
      <c r="S223" s="117">
        <v>0</v>
      </c>
      <c r="T223" s="267" t="s">
        <v>488</v>
      </c>
      <c r="U223" s="117">
        <v>0</v>
      </c>
      <c r="V223" s="267" t="s">
        <v>488</v>
      </c>
      <c r="W223" s="117">
        <v>0</v>
      </c>
      <c r="X223" s="267" t="s">
        <v>488</v>
      </c>
    </row>
    <row r="224" spans="1:24" x14ac:dyDescent="0.25">
      <c r="A224" s="117">
        <v>540222</v>
      </c>
      <c r="B224" s="2" t="s">
        <v>276</v>
      </c>
      <c r="C224" s="2" t="s">
        <v>71</v>
      </c>
      <c r="D224" s="2" t="s">
        <v>115</v>
      </c>
      <c r="E224" s="117">
        <v>3</v>
      </c>
      <c r="F224" s="117">
        <v>3.7</v>
      </c>
      <c r="G224" s="117">
        <v>0.1</v>
      </c>
      <c r="H224" s="117">
        <v>0</v>
      </c>
      <c r="I224" s="158">
        <v>0</v>
      </c>
      <c r="J224" s="117">
        <v>0</v>
      </c>
      <c r="K224" s="267">
        <v>0</v>
      </c>
      <c r="L224" s="117">
        <v>0.1</v>
      </c>
      <c r="M224" s="267">
        <v>1</v>
      </c>
      <c r="N224" s="117">
        <v>0</v>
      </c>
      <c r="O224" s="158">
        <v>0</v>
      </c>
      <c r="P224" s="117">
        <v>0</v>
      </c>
      <c r="Q224" s="267">
        <v>0</v>
      </c>
      <c r="R224" s="158">
        <v>0</v>
      </c>
      <c r="S224" s="117">
        <v>0</v>
      </c>
      <c r="T224" s="267" t="s">
        <v>488</v>
      </c>
      <c r="U224" s="117">
        <v>0</v>
      </c>
      <c r="V224" s="267" t="s">
        <v>488</v>
      </c>
      <c r="W224" s="117">
        <v>0</v>
      </c>
      <c r="X224" s="267" t="s">
        <v>488</v>
      </c>
    </row>
    <row r="225" spans="1:24" x14ac:dyDescent="0.25">
      <c r="A225" s="117">
        <v>540271</v>
      </c>
      <c r="B225" s="2" t="s">
        <v>314</v>
      </c>
      <c r="C225" s="2" t="s">
        <v>71</v>
      </c>
      <c r="D225" s="2" t="s">
        <v>115</v>
      </c>
      <c r="E225" s="117">
        <v>3</v>
      </c>
      <c r="F225" s="117">
        <v>4.4000000000000004</v>
      </c>
      <c r="G225" s="117">
        <v>0.5</v>
      </c>
      <c r="H225" s="117">
        <v>0</v>
      </c>
      <c r="I225" s="158">
        <v>0</v>
      </c>
      <c r="J225" s="117">
        <v>0</v>
      </c>
      <c r="K225" s="267">
        <v>0</v>
      </c>
      <c r="L225" s="117">
        <v>0.2</v>
      </c>
      <c r="M225" s="267">
        <v>0.4</v>
      </c>
      <c r="N225" s="117">
        <v>0.2</v>
      </c>
      <c r="O225" s="158">
        <v>0.4</v>
      </c>
      <c r="P225" s="117">
        <v>0</v>
      </c>
      <c r="Q225" s="267">
        <v>0</v>
      </c>
      <c r="R225" s="158">
        <v>0</v>
      </c>
      <c r="S225" s="117">
        <v>0</v>
      </c>
      <c r="T225" s="267" t="s">
        <v>488</v>
      </c>
      <c r="U225" s="117">
        <v>0</v>
      </c>
      <c r="V225" s="267" t="s">
        <v>488</v>
      </c>
      <c r="W225" s="117">
        <v>0</v>
      </c>
      <c r="X225" s="267" t="s">
        <v>488</v>
      </c>
    </row>
    <row r="226" spans="1:24" x14ac:dyDescent="0.25">
      <c r="A226" s="269"/>
      <c r="B226" s="269"/>
      <c r="C226" s="269" t="s">
        <v>71</v>
      </c>
      <c r="D226" s="269"/>
      <c r="E226" s="269"/>
      <c r="F226" s="270">
        <v>744.1</v>
      </c>
      <c r="G226" s="270">
        <v>86.5</v>
      </c>
      <c r="H226" s="270">
        <v>0.5</v>
      </c>
      <c r="I226" s="352">
        <v>5.7999999999999996E-3</v>
      </c>
      <c r="J226" s="270">
        <v>11.2</v>
      </c>
      <c r="K226" s="271">
        <v>0.1295</v>
      </c>
      <c r="L226" s="270">
        <v>14.7</v>
      </c>
      <c r="M226" s="271">
        <v>0.1699</v>
      </c>
      <c r="N226" s="270">
        <v>60</v>
      </c>
      <c r="O226" s="352">
        <v>0.69359999999999999</v>
      </c>
      <c r="P226" s="270">
        <v>18.399999999999999</v>
      </c>
      <c r="Q226" s="271">
        <v>0.2127</v>
      </c>
      <c r="R226" s="352">
        <v>2.47E-2</v>
      </c>
      <c r="S226" s="270">
        <v>3.8</v>
      </c>
      <c r="T226" s="271">
        <v>0.20649999999999999</v>
      </c>
      <c r="U226" s="270">
        <v>7.6</v>
      </c>
      <c r="V226" s="271">
        <v>0.41299999999999998</v>
      </c>
      <c r="W226" s="270">
        <v>7</v>
      </c>
      <c r="X226" s="271">
        <v>0.38040000000000002</v>
      </c>
    </row>
    <row r="227" spans="1:24" x14ac:dyDescent="0.25">
      <c r="A227" s="117">
        <v>540169</v>
      </c>
      <c r="B227" s="2" t="s">
        <v>72</v>
      </c>
      <c r="C227" s="2" t="s">
        <v>73</v>
      </c>
      <c r="D227" s="2" t="s">
        <v>5</v>
      </c>
      <c r="E227" s="117">
        <v>1</v>
      </c>
      <c r="F227" s="117">
        <v>1075.5999999999999</v>
      </c>
      <c r="G227" s="117">
        <v>104.9</v>
      </c>
      <c r="H227" s="117">
        <v>2.1</v>
      </c>
      <c r="I227" s="158">
        <v>0.02</v>
      </c>
      <c r="J227" s="117">
        <v>1.5</v>
      </c>
      <c r="K227" s="267">
        <v>1.43E-2</v>
      </c>
      <c r="L227" s="117">
        <v>17.899999999999999</v>
      </c>
      <c r="M227" s="267">
        <v>0.1706</v>
      </c>
      <c r="N227" s="117">
        <v>83.5</v>
      </c>
      <c r="O227" s="158">
        <v>0.79600000000000004</v>
      </c>
      <c r="P227" s="117">
        <v>48.1</v>
      </c>
      <c r="Q227" s="267">
        <v>0.45850000000000002</v>
      </c>
      <c r="R227" s="158">
        <v>4.4699999999999997E-2</v>
      </c>
      <c r="S227" s="117">
        <v>10.7</v>
      </c>
      <c r="T227" s="267">
        <v>0.2225</v>
      </c>
      <c r="U227" s="117">
        <v>20.2</v>
      </c>
      <c r="V227" s="267">
        <v>0.42</v>
      </c>
      <c r="W227" s="117">
        <v>17.2</v>
      </c>
      <c r="X227" s="267">
        <v>0.35759999999999997</v>
      </c>
    </row>
    <row r="228" spans="1:24" x14ac:dyDescent="0.25">
      <c r="A228" s="117">
        <v>540170</v>
      </c>
      <c r="B228" s="2" t="s">
        <v>242</v>
      </c>
      <c r="C228" s="2" t="s">
        <v>73</v>
      </c>
      <c r="D228" s="2" t="s">
        <v>115</v>
      </c>
      <c r="E228" s="117">
        <v>1</v>
      </c>
      <c r="F228" s="117">
        <v>64</v>
      </c>
      <c r="G228" s="117">
        <v>0.4</v>
      </c>
      <c r="H228" s="117">
        <v>0</v>
      </c>
      <c r="I228" s="158">
        <v>0</v>
      </c>
      <c r="J228" s="117">
        <v>0.1</v>
      </c>
      <c r="K228" s="267">
        <v>0.25</v>
      </c>
      <c r="L228" s="117">
        <v>0.2</v>
      </c>
      <c r="M228" s="267">
        <v>0.5</v>
      </c>
      <c r="N228" s="117">
        <v>0.1</v>
      </c>
      <c r="O228" s="158">
        <v>0.25</v>
      </c>
      <c r="P228" s="117">
        <v>0.1</v>
      </c>
      <c r="Q228" s="267">
        <v>0.25</v>
      </c>
      <c r="R228" s="158">
        <v>1.6000000000000001E-3</v>
      </c>
      <c r="S228" s="117">
        <v>0</v>
      </c>
      <c r="T228" s="267">
        <v>0</v>
      </c>
      <c r="U228" s="117">
        <v>0</v>
      </c>
      <c r="V228" s="267">
        <v>0</v>
      </c>
      <c r="W228" s="117">
        <v>0.1</v>
      </c>
      <c r="X228" s="267">
        <v>1</v>
      </c>
    </row>
    <row r="229" spans="1:24" x14ac:dyDescent="0.25">
      <c r="A229" s="117">
        <v>540171</v>
      </c>
      <c r="B229" s="2" t="s">
        <v>243</v>
      </c>
      <c r="C229" s="2" t="s">
        <v>73</v>
      </c>
      <c r="D229" s="2" t="s">
        <v>115</v>
      </c>
      <c r="E229" s="117">
        <v>1</v>
      </c>
      <c r="F229" s="117">
        <v>7.8</v>
      </c>
      <c r="G229" s="117">
        <v>1.3</v>
      </c>
      <c r="H229" s="117">
        <v>0</v>
      </c>
      <c r="I229" s="158">
        <v>0</v>
      </c>
      <c r="J229" s="117">
        <v>0</v>
      </c>
      <c r="K229" s="267">
        <v>0</v>
      </c>
      <c r="L229" s="117">
        <v>0.4</v>
      </c>
      <c r="M229" s="267">
        <v>0.30769999999999997</v>
      </c>
      <c r="N229" s="117">
        <v>0.8</v>
      </c>
      <c r="O229" s="158">
        <v>0.61539999999999995</v>
      </c>
      <c r="P229" s="117">
        <v>0.5</v>
      </c>
      <c r="Q229" s="267">
        <v>0.3846</v>
      </c>
      <c r="R229" s="158">
        <v>6.4100000000000004E-2</v>
      </c>
      <c r="S229" s="117">
        <v>0.2</v>
      </c>
      <c r="T229" s="267" t="s">
        <v>488</v>
      </c>
      <c r="U229" s="117">
        <v>0.3</v>
      </c>
      <c r="V229" s="267" t="s">
        <v>488</v>
      </c>
      <c r="W229" s="117">
        <v>0</v>
      </c>
      <c r="X229" s="267" t="s">
        <v>488</v>
      </c>
    </row>
    <row r="230" spans="1:24" x14ac:dyDescent="0.25">
      <c r="A230" s="117">
        <v>540173</v>
      </c>
      <c r="B230" s="2" t="s">
        <v>245</v>
      </c>
      <c r="C230" s="2" t="s">
        <v>73</v>
      </c>
      <c r="D230" s="2" t="s">
        <v>115</v>
      </c>
      <c r="E230" s="117">
        <v>1</v>
      </c>
      <c r="F230" s="117">
        <v>1.9</v>
      </c>
      <c r="G230" s="117">
        <v>1.8</v>
      </c>
      <c r="H230" s="117">
        <v>0</v>
      </c>
      <c r="I230" s="158">
        <v>0</v>
      </c>
      <c r="J230" s="117">
        <v>0</v>
      </c>
      <c r="K230" s="267">
        <v>0</v>
      </c>
      <c r="L230" s="117">
        <v>0</v>
      </c>
      <c r="M230" s="267">
        <v>0</v>
      </c>
      <c r="N230" s="117">
        <v>1.8</v>
      </c>
      <c r="O230" s="158">
        <v>1</v>
      </c>
      <c r="P230" s="117">
        <v>0.9</v>
      </c>
      <c r="Q230" s="267">
        <v>0.5</v>
      </c>
      <c r="R230" s="158">
        <v>0.47370000000000001</v>
      </c>
      <c r="S230" s="117">
        <v>0.1</v>
      </c>
      <c r="T230" s="267">
        <v>0.1111</v>
      </c>
      <c r="U230" s="117">
        <v>0.2</v>
      </c>
      <c r="V230" s="267">
        <v>0.22220000000000001</v>
      </c>
      <c r="W230" s="117">
        <v>0.6</v>
      </c>
      <c r="X230" s="267">
        <v>0.66669999999999996</v>
      </c>
    </row>
    <row r="231" spans="1:24" x14ac:dyDescent="0.25">
      <c r="A231" s="117">
        <v>540174</v>
      </c>
      <c r="B231" s="2" t="s">
        <v>246</v>
      </c>
      <c r="C231" s="2" t="s">
        <v>73</v>
      </c>
      <c r="D231" s="2" t="s">
        <v>115</v>
      </c>
      <c r="E231" s="117">
        <v>1</v>
      </c>
      <c r="F231" s="117">
        <v>13.6</v>
      </c>
      <c r="G231" s="117">
        <v>0.1</v>
      </c>
      <c r="H231" s="117">
        <v>0</v>
      </c>
      <c r="I231" s="158">
        <v>0</v>
      </c>
      <c r="J231" s="117">
        <v>0</v>
      </c>
      <c r="K231" s="267">
        <v>0</v>
      </c>
      <c r="L231" s="117">
        <v>0</v>
      </c>
      <c r="M231" s="267">
        <v>0</v>
      </c>
      <c r="N231" s="117">
        <v>0.1</v>
      </c>
      <c r="O231" s="158">
        <v>1</v>
      </c>
      <c r="P231" s="117">
        <v>0</v>
      </c>
      <c r="Q231" s="267">
        <v>0</v>
      </c>
      <c r="R231" s="158">
        <v>0</v>
      </c>
      <c r="S231" s="117">
        <v>0</v>
      </c>
      <c r="T231" s="267" t="s">
        <v>488</v>
      </c>
      <c r="U231" s="117">
        <v>0</v>
      </c>
      <c r="V231" s="267" t="s">
        <v>488</v>
      </c>
      <c r="W231" s="117">
        <v>0</v>
      </c>
      <c r="X231" s="267" t="s">
        <v>488</v>
      </c>
    </row>
    <row r="232" spans="1:24" x14ac:dyDescent="0.25">
      <c r="A232" s="117">
        <v>540286</v>
      </c>
      <c r="B232" s="2" t="s">
        <v>325</v>
      </c>
      <c r="C232" s="2" t="s">
        <v>73</v>
      </c>
      <c r="D232" s="2" t="s">
        <v>115</v>
      </c>
      <c r="E232" s="117">
        <v>1</v>
      </c>
      <c r="F232" s="117">
        <v>5.7</v>
      </c>
      <c r="G232" s="117">
        <v>0.8</v>
      </c>
      <c r="H232" s="117">
        <v>0</v>
      </c>
      <c r="I232" s="158">
        <v>0</v>
      </c>
      <c r="J232" s="117">
        <v>0</v>
      </c>
      <c r="K232" s="267">
        <v>0</v>
      </c>
      <c r="L232" s="117">
        <v>0</v>
      </c>
      <c r="M232" s="267">
        <v>0</v>
      </c>
      <c r="N232" s="117">
        <v>0.8</v>
      </c>
      <c r="O232" s="158">
        <v>1</v>
      </c>
      <c r="P232" s="117">
        <v>0</v>
      </c>
      <c r="Q232" s="267">
        <v>0</v>
      </c>
      <c r="R232" s="158">
        <v>0</v>
      </c>
      <c r="S232" s="117">
        <v>0</v>
      </c>
      <c r="T232" s="267" t="s">
        <v>488</v>
      </c>
      <c r="U232" s="117">
        <v>0</v>
      </c>
      <c r="V232" s="267" t="s">
        <v>488</v>
      </c>
      <c r="W232" s="117">
        <v>0</v>
      </c>
      <c r="X232" s="267" t="s">
        <v>488</v>
      </c>
    </row>
    <row r="233" spans="1:24" x14ac:dyDescent="0.25">
      <c r="A233" s="269"/>
      <c r="B233" s="269"/>
      <c r="C233" s="269" t="s">
        <v>73</v>
      </c>
      <c r="D233" s="269"/>
      <c r="E233" s="269"/>
      <c r="F233" s="270">
        <v>1168.5999999999999</v>
      </c>
      <c r="G233" s="270">
        <v>109.3</v>
      </c>
      <c r="H233" s="270">
        <v>2.1</v>
      </c>
      <c r="I233" s="352">
        <v>1.9199999999999998E-2</v>
      </c>
      <c r="J233" s="270">
        <v>1.6</v>
      </c>
      <c r="K233" s="271">
        <v>1.46E-2</v>
      </c>
      <c r="L233" s="270">
        <v>18.5</v>
      </c>
      <c r="M233" s="271">
        <v>0.16930000000000001</v>
      </c>
      <c r="N233" s="270">
        <v>87.1</v>
      </c>
      <c r="O233" s="352">
        <v>0.79690000000000005</v>
      </c>
      <c r="P233" s="270">
        <v>49.6</v>
      </c>
      <c r="Q233" s="271">
        <v>0.45379999999999998</v>
      </c>
      <c r="R233" s="352">
        <v>4.24E-2</v>
      </c>
      <c r="S233" s="270">
        <v>11</v>
      </c>
      <c r="T233" s="271">
        <v>0.2218</v>
      </c>
      <c r="U233" s="270">
        <v>20.7</v>
      </c>
      <c r="V233" s="271">
        <v>0.4173</v>
      </c>
      <c r="W233" s="270">
        <v>17.899999999999999</v>
      </c>
      <c r="X233" s="271">
        <v>0.3609</v>
      </c>
    </row>
    <row r="234" spans="1:24" x14ac:dyDescent="0.25">
      <c r="A234" s="117">
        <v>540183</v>
      </c>
      <c r="B234" s="2" t="s">
        <v>76</v>
      </c>
      <c r="C234" s="2" t="s">
        <v>77</v>
      </c>
      <c r="D234" s="2" t="s">
        <v>5</v>
      </c>
      <c r="E234" s="117">
        <v>5</v>
      </c>
      <c r="F234" s="117">
        <v>890.5</v>
      </c>
      <c r="G234" s="117">
        <v>87.1</v>
      </c>
      <c r="H234" s="117">
        <v>0.3</v>
      </c>
      <c r="I234" s="158">
        <v>3.3999999999999998E-3</v>
      </c>
      <c r="J234" s="117">
        <v>8.8000000000000007</v>
      </c>
      <c r="K234" s="267">
        <v>0.10100000000000001</v>
      </c>
      <c r="L234" s="117">
        <v>4.7</v>
      </c>
      <c r="M234" s="267">
        <v>5.3999999999999999E-2</v>
      </c>
      <c r="N234" s="117">
        <v>73.400000000000006</v>
      </c>
      <c r="O234" s="158">
        <v>0.8427</v>
      </c>
      <c r="P234" s="117">
        <v>63.2</v>
      </c>
      <c r="Q234" s="267">
        <v>0.72560000000000002</v>
      </c>
      <c r="R234" s="158">
        <v>7.0999999999999994E-2</v>
      </c>
      <c r="S234" s="117">
        <v>8.8000000000000007</v>
      </c>
      <c r="T234" s="267">
        <v>0.13919999999999999</v>
      </c>
      <c r="U234" s="117">
        <v>22.6</v>
      </c>
      <c r="V234" s="267">
        <v>0.35759999999999997</v>
      </c>
      <c r="W234" s="117">
        <v>31.8</v>
      </c>
      <c r="X234" s="267">
        <v>0.50319999999999998</v>
      </c>
    </row>
    <row r="235" spans="1:24" x14ac:dyDescent="0.25">
      <c r="A235" s="117">
        <v>540184</v>
      </c>
      <c r="B235" s="2" t="s">
        <v>253</v>
      </c>
      <c r="C235" s="2" t="s">
        <v>77</v>
      </c>
      <c r="D235" s="2" t="s">
        <v>115</v>
      </c>
      <c r="E235" s="117">
        <v>5</v>
      </c>
      <c r="F235" s="117">
        <v>2.6</v>
      </c>
      <c r="G235" s="117">
        <v>1.2</v>
      </c>
      <c r="H235" s="117">
        <v>0</v>
      </c>
      <c r="I235" s="158">
        <v>0</v>
      </c>
      <c r="J235" s="117">
        <v>0</v>
      </c>
      <c r="K235" s="267">
        <v>0</v>
      </c>
      <c r="L235" s="117">
        <v>0</v>
      </c>
      <c r="M235" s="267">
        <v>0</v>
      </c>
      <c r="N235" s="117">
        <v>1.2</v>
      </c>
      <c r="O235" s="158">
        <v>1</v>
      </c>
      <c r="P235" s="117">
        <v>0</v>
      </c>
      <c r="Q235" s="267">
        <v>0</v>
      </c>
      <c r="R235" s="158">
        <v>0</v>
      </c>
      <c r="S235" s="117">
        <v>0</v>
      </c>
      <c r="T235" s="267" t="s">
        <v>488</v>
      </c>
      <c r="U235" s="117">
        <v>0</v>
      </c>
      <c r="V235" s="267" t="s">
        <v>488</v>
      </c>
      <c r="W235" s="117">
        <v>0</v>
      </c>
      <c r="X235" s="267" t="s">
        <v>488</v>
      </c>
    </row>
    <row r="236" spans="1:24" x14ac:dyDescent="0.25">
      <c r="A236" s="117">
        <v>540185</v>
      </c>
      <c r="B236" s="2" t="s">
        <v>254</v>
      </c>
      <c r="C236" s="2" t="s">
        <v>77</v>
      </c>
      <c r="D236" s="2" t="s">
        <v>115</v>
      </c>
      <c r="E236" s="117">
        <v>5</v>
      </c>
      <c r="F236" s="117">
        <v>10.1</v>
      </c>
      <c r="G236" s="117">
        <v>2.2999999999999998</v>
      </c>
      <c r="H236" s="117">
        <v>0</v>
      </c>
      <c r="I236" s="158">
        <v>0</v>
      </c>
      <c r="J236" s="117">
        <v>1.7</v>
      </c>
      <c r="K236" s="267">
        <v>0.73909999999999998</v>
      </c>
      <c r="L236" s="117">
        <v>0</v>
      </c>
      <c r="M236" s="267">
        <v>0</v>
      </c>
      <c r="N236" s="117">
        <v>0.6</v>
      </c>
      <c r="O236" s="158">
        <v>0.26090000000000002</v>
      </c>
      <c r="P236" s="117">
        <v>0</v>
      </c>
      <c r="Q236" s="267">
        <v>0</v>
      </c>
      <c r="R236" s="158">
        <v>0</v>
      </c>
      <c r="S236" s="117">
        <v>0</v>
      </c>
      <c r="T236" s="267" t="s">
        <v>488</v>
      </c>
      <c r="U236" s="117">
        <v>0</v>
      </c>
      <c r="V236" s="267" t="s">
        <v>488</v>
      </c>
      <c r="W236" s="117">
        <v>0</v>
      </c>
      <c r="X236" s="267" t="s">
        <v>488</v>
      </c>
    </row>
    <row r="237" spans="1:24" x14ac:dyDescent="0.25">
      <c r="A237" s="269"/>
      <c r="B237" s="269"/>
      <c r="C237" s="269" t="s">
        <v>77</v>
      </c>
      <c r="D237" s="269"/>
      <c r="E237" s="269"/>
      <c r="F237" s="270">
        <v>903.2</v>
      </c>
      <c r="G237" s="270">
        <v>90.6</v>
      </c>
      <c r="H237" s="270">
        <v>0.3</v>
      </c>
      <c r="I237" s="352">
        <v>3.3E-3</v>
      </c>
      <c r="J237" s="270">
        <v>10.5</v>
      </c>
      <c r="K237" s="271">
        <v>0.1159</v>
      </c>
      <c r="L237" s="270">
        <v>4.7</v>
      </c>
      <c r="M237" s="271">
        <v>5.1900000000000002E-2</v>
      </c>
      <c r="N237" s="270">
        <v>75.2</v>
      </c>
      <c r="O237" s="352">
        <v>0.83</v>
      </c>
      <c r="P237" s="270">
        <v>63.2</v>
      </c>
      <c r="Q237" s="271">
        <v>0.6976</v>
      </c>
      <c r="R237" s="352">
        <v>7.0000000000000007E-2</v>
      </c>
      <c r="S237" s="270">
        <v>8.8000000000000007</v>
      </c>
      <c r="T237" s="271">
        <v>0.13919999999999999</v>
      </c>
      <c r="U237" s="270">
        <v>22.6</v>
      </c>
      <c r="V237" s="271">
        <v>0.35759999999999997</v>
      </c>
      <c r="W237" s="270">
        <v>31.8</v>
      </c>
      <c r="X237" s="271">
        <v>0.50319999999999998</v>
      </c>
    </row>
    <row r="238" spans="1:24" x14ac:dyDescent="0.25">
      <c r="A238" s="117">
        <v>540186</v>
      </c>
      <c r="B238" s="2" t="s">
        <v>78</v>
      </c>
      <c r="C238" s="2" t="s">
        <v>79</v>
      </c>
      <c r="D238" s="2" t="s">
        <v>5</v>
      </c>
      <c r="E238" s="117">
        <v>1</v>
      </c>
      <c r="F238" s="117">
        <v>622.20000000000005</v>
      </c>
      <c r="G238" s="117">
        <v>37.200000000000003</v>
      </c>
      <c r="H238" s="117">
        <v>2.5</v>
      </c>
      <c r="I238" s="158">
        <v>6.7199999999999996E-2</v>
      </c>
      <c r="J238" s="117">
        <v>0</v>
      </c>
      <c r="K238" s="267">
        <v>0</v>
      </c>
      <c r="L238" s="117">
        <v>9.1999999999999993</v>
      </c>
      <c r="M238" s="267">
        <v>0.24729999999999999</v>
      </c>
      <c r="N238" s="117">
        <v>25.5</v>
      </c>
      <c r="O238" s="158">
        <v>0.6855</v>
      </c>
      <c r="P238" s="117">
        <v>24.4</v>
      </c>
      <c r="Q238" s="267">
        <v>0.65590000000000004</v>
      </c>
      <c r="R238" s="158">
        <v>3.9199999999999999E-2</v>
      </c>
      <c r="S238" s="117">
        <v>5.6</v>
      </c>
      <c r="T238" s="267">
        <v>0.22950000000000001</v>
      </c>
      <c r="U238" s="117">
        <v>6.7</v>
      </c>
      <c r="V238" s="267">
        <v>0.27460000000000001</v>
      </c>
      <c r="W238" s="117">
        <v>12.1</v>
      </c>
      <c r="X238" s="267">
        <v>0.49590000000000001</v>
      </c>
    </row>
    <row r="239" spans="1:24" x14ac:dyDescent="0.25">
      <c r="A239" s="117">
        <v>540187</v>
      </c>
      <c r="B239" s="2" t="s">
        <v>255</v>
      </c>
      <c r="C239" s="2" t="s">
        <v>79</v>
      </c>
      <c r="D239" s="2" t="s">
        <v>115</v>
      </c>
      <c r="E239" s="117">
        <v>1</v>
      </c>
      <c r="F239" s="117">
        <v>11.2</v>
      </c>
      <c r="G239" s="117">
        <v>2.2999999999999998</v>
      </c>
      <c r="H239" s="117">
        <v>0</v>
      </c>
      <c r="I239" s="158">
        <v>0</v>
      </c>
      <c r="J239" s="117">
        <v>0</v>
      </c>
      <c r="K239" s="267">
        <v>0</v>
      </c>
      <c r="L239" s="117">
        <v>2.2000000000000002</v>
      </c>
      <c r="M239" s="267">
        <v>0.95650000000000002</v>
      </c>
      <c r="N239" s="117">
        <v>0.1</v>
      </c>
      <c r="O239" s="158">
        <v>4.3499999999999997E-2</v>
      </c>
      <c r="P239" s="117">
        <v>1.4</v>
      </c>
      <c r="Q239" s="267">
        <v>0.60870000000000002</v>
      </c>
      <c r="R239" s="158">
        <v>0.125</v>
      </c>
      <c r="S239" s="117">
        <v>0</v>
      </c>
      <c r="T239" s="267">
        <v>0</v>
      </c>
      <c r="U239" s="117">
        <v>0.4</v>
      </c>
      <c r="V239" s="267">
        <v>0.28570000000000001</v>
      </c>
      <c r="W239" s="117">
        <v>1</v>
      </c>
      <c r="X239" s="267">
        <v>0.71430000000000005</v>
      </c>
    </row>
    <row r="240" spans="1:24" x14ac:dyDescent="0.25">
      <c r="A240" s="269"/>
      <c r="B240" s="269"/>
      <c r="C240" s="269" t="s">
        <v>79</v>
      </c>
      <c r="D240" s="269"/>
      <c r="E240" s="269"/>
      <c r="F240" s="270">
        <v>633.4</v>
      </c>
      <c r="G240" s="270">
        <v>39.5</v>
      </c>
      <c r="H240" s="270">
        <v>2.5</v>
      </c>
      <c r="I240" s="352">
        <v>6.3299999999999995E-2</v>
      </c>
      <c r="J240" s="270">
        <v>0</v>
      </c>
      <c r="K240" s="271">
        <v>0</v>
      </c>
      <c r="L240" s="270">
        <v>11.4</v>
      </c>
      <c r="M240" s="271">
        <v>0.28860000000000002</v>
      </c>
      <c r="N240" s="270">
        <v>25.6</v>
      </c>
      <c r="O240" s="352">
        <v>0.64810000000000001</v>
      </c>
      <c r="P240" s="270">
        <v>25.8</v>
      </c>
      <c r="Q240" s="271">
        <v>0.6532</v>
      </c>
      <c r="R240" s="352">
        <v>4.07E-2</v>
      </c>
      <c r="S240" s="270">
        <v>5.6</v>
      </c>
      <c r="T240" s="271">
        <v>0.21709999999999999</v>
      </c>
      <c r="U240" s="270">
        <v>7.1</v>
      </c>
      <c r="V240" s="271">
        <v>0.2752</v>
      </c>
      <c r="W240" s="270">
        <v>13.1</v>
      </c>
      <c r="X240" s="271">
        <v>0.50780000000000003</v>
      </c>
    </row>
    <row r="241" spans="1:24" x14ac:dyDescent="0.25">
      <c r="A241" s="117">
        <v>540188</v>
      </c>
      <c r="B241" s="2" t="s">
        <v>80</v>
      </c>
      <c r="C241" s="2" t="s">
        <v>81</v>
      </c>
      <c r="D241" s="2" t="s">
        <v>5</v>
      </c>
      <c r="E241" s="117">
        <v>6</v>
      </c>
      <c r="F241" s="117">
        <v>430.2</v>
      </c>
      <c r="G241" s="117">
        <v>24.3</v>
      </c>
      <c r="H241" s="117">
        <v>0</v>
      </c>
      <c r="I241" s="158">
        <v>0</v>
      </c>
      <c r="J241" s="117">
        <v>4.8</v>
      </c>
      <c r="K241" s="267">
        <v>0.19750000000000001</v>
      </c>
      <c r="L241" s="117">
        <v>1.2</v>
      </c>
      <c r="M241" s="267">
        <v>4.9399999999999999E-2</v>
      </c>
      <c r="N241" s="117">
        <v>18.3</v>
      </c>
      <c r="O241" s="158">
        <v>0.75309999999999999</v>
      </c>
      <c r="P241" s="117">
        <v>19.5</v>
      </c>
      <c r="Q241" s="267">
        <v>0.80249999999999999</v>
      </c>
      <c r="R241" s="158">
        <v>4.53E-2</v>
      </c>
      <c r="S241" s="117">
        <v>3</v>
      </c>
      <c r="T241" s="267">
        <v>0.15379999999999999</v>
      </c>
      <c r="U241" s="117">
        <v>5</v>
      </c>
      <c r="V241" s="267">
        <v>0.25640000000000002</v>
      </c>
      <c r="W241" s="117">
        <v>11.5</v>
      </c>
      <c r="X241" s="267">
        <v>0.5897</v>
      </c>
    </row>
    <row r="242" spans="1:24" x14ac:dyDescent="0.25">
      <c r="A242" s="117">
        <v>540189</v>
      </c>
      <c r="B242" s="2" t="s">
        <v>256</v>
      </c>
      <c r="C242" s="2" t="s">
        <v>81</v>
      </c>
      <c r="D242" s="2" t="s">
        <v>115</v>
      </c>
      <c r="E242" s="117">
        <v>6</v>
      </c>
      <c r="F242" s="117">
        <v>4.8</v>
      </c>
      <c r="G242" s="117">
        <v>0.4</v>
      </c>
      <c r="H242" s="117">
        <v>0</v>
      </c>
      <c r="I242" s="158">
        <v>0</v>
      </c>
      <c r="J242" s="117">
        <v>0</v>
      </c>
      <c r="K242" s="267">
        <v>0</v>
      </c>
      <c r="L242" s="117">
        <v>0.2</v>
      </c>
      <c r="M242" s="267">
        <v>0.5</v>
      </c>
      <c r="N242" s="117">
        <v>0.2</v>
      </c>
      <c r="O242" s="158">
        <v>0.5</v>
      </c>
      <c r="P242" s="117">
        <v>0.3</v>
      </c>
      <c r="Q242" s="267">
        <v>0.75</v>
      </c>
      <c r="R242" s="158">
        <v>6.25E-2</v>
      </c>
      <c r="S242" s="117">
        <v>0.1</v>
      </c>
      <c r="T242" s="267">
        <v>0.33329999999999999</v>
      </c>
      <c r="U242" s="117">
        <v>0.1</v>
      </c>
      <c r="V242" s="267">
        <v>0.33329999999999999</v>
      </c>
      <c r="W242" s="117">
        <v>0.1</v>
      </c>
      <c r="X242" s="267">
        <v>0.33329999999999999</v>
      </c>
    </row>
    <row r="243" spans="1:24" x14ac:dyDescent="0.25">
      <c r="A243" s="117">
        <v>540190</v>
      </c>
      <c r="B243" s="2" t="s">
        <v>257</v>
      </c>
      <c r="C243" s="2" t="s">
        <v>81</v>
      </c>
      <c r="D243" s="2" t="s">
        <v>115</v>
      </c>
      <c r="E243" s="117">
        <v>6</v>
      </c>
      <c r="F243" s="117">
        <v>30.5</v>
      </c>
      <c r="G243" s="117">
        <v>3.5</v>
      </c>
      <c r="H243" s="117">
        <v>0</v>
      </c>
      <c r="I243" s="158">
        <v>0</v>
      </c>
      <c r="J243" s="117">
        <v>1.7</v>
      </c>
      <c r="K243" s="267">
        <v>0.48570000000000002</v>
      </c>
      <c r="L243" s="117">
        <v>0</v>
      </c>
      <c r="M243" s="267">
        <v>0</v>
      </c>
      <c r="N243" s="117">
        <v>1.8</v>
      </c>
      <c r="O243" s="158">
        <v>0.51429999999999998</v>
      </c>
      <c r="P243" s="117">
        <v>2.5</v>
      </c>
      <c r="Q243" s="267">
        <v>0.71430000000000005</v>
      </c>
      <c r="R243" s="158">
        <v>8.2000000000000003E-2</v>
      </c>
      <c r="S243" s="117">
        <v>0.3</v>
      </c>
      <c r="T243" s="267">
        <v>0.12</v>
      </c>
      <c r="U243" s="117">
        <v>0.8</v>
      </c>
      <c r="V243" s="267">
        <v>0.32</v>
      </c>
      <c r="W243" s="117">
        <v>1.4</v>
      </c>
      <c r="X243" s="267">
        <v>0.56000000000000005</v>
      </c>
    </row>
    <row r="244" spans="1:24" x14ac:dyDescent="0.25">
      <c r="A244" s="269"/>
      <c r="B244" s="269"/>
      <c r="C244" s="269" t="s">
        <v>81</v>
      </c>
      <c r="D244" s="269"/>
      <c r="E244" s="269"/>
      <c r="F244" s="270">
        <v>465.5</v>
      </c>
      <c r="G244" s="270">
        <v>28.2</v>
      </c>
      <c r="H244" s="270">
        <v>0</v>
      </c>
      <c r="I244" s="352">
        <v>0</v>
      </c>
      <c r="J244" s="270">
        <v>6.5</v>
      </c>
      <c r="K244" s="271">
        <v>0.23050000000000001</v>
      </c>
      <c r="L244" s="270">
        <v>1.4</v>
      </c>
      <c r="M244" s="271">
        <v>4.9599999999999998E-2</v>
      </c>
      <c r="N244" s="270">
        <v>20.3</v>
      </c>
      <c r="O244" s="352">
        <v>0.71989999999999998</v>
      </c>
      <c r="P244" s="270">
        <v>22.3</v>
      </c>
      <c r="Q244" s="271">
        <v>0.79079999999999995</v>
      </c>
      <c r="R244" s="352">
        <v>4.7899999999999998E-2</v>
      </c>
      <c r="S244" s="270">
        <v>3.4</v>
      </c>
      <c r="T244" s="271">
        <v>0.1525</v>
      </c>
      <c r="U244" s="270">
        <v>5.9</v>
      </c>
      <c r="V244" s="271">
        <v>0.2646</v>
      </c>
      <c r="W244" s="270">
        <v>13</v>
      </c>
      <c r="X244" s="271">
        <v>0.58299999999999996</v>
      </c>
    </row>
    <row r="245" spans="1:24" x14ac:dyDescent="0.25">
      <c r="A245" s="117">
        <v>540198</v>
      </c>
      <c r="B245" s="2" t="s">
        <v>82</v>
      </c>
      <c r="C245" s="2" t="s">
        <v>83</v>
      </c>
      <c r="D245" s="2" t="s">
        <v>5</v>
      </c>
      <c r="E245" s="117">
        <v>7</v>
      </c>
      <c r="F245" s="117">
        <v>736.8</v>
      </c>
      <c r="G245" s="117">
        <v>32.9</v>
      </c>
      <c r="H245" s="117">
        <v>0</v>
      </c>
      <c r="I245" s="158">
        <v>0</v>
      </c>
      <c r="J245" s="117">
        <v>3</v>
      </c>
      <c r="K245" s="267">
        <v>9.1200000000000003E-2</v>
      </c>
      <c r="L245" s="117">
        <v>0.4</v>
      </c>
      <c r="M245" s="267">
        <v>1.2200000000000001E-2</v>
      </c>
      <c r="N245" s="117">
        <v>29.5</v>
      </c>
      <c r="O245" s="158">
        <v>0.89670000000000005</v>
      </c>
      <c r="P245" s="117">
        <v>0</v>
      </c>
      <c r="Q245" s="267">
        <v>0</v>
      </c>
      <c r="R245" s="158">
        <v>0</v>
      </c>
      <c r="S245" s="117">
        <v>0</v>
      </c>
      <c r="T245" s="267" t="s">
        <v>488</v>
      </c>
      <c r="U245" s="117">
        <v>0</v>
      </c>
      <c r="V245" s="267" t="s">
        <v>488</v>
      </c>
      <c r="W245" s="117">
        <v>0</v>
      </c>
      <c r="X245" s="267" t="s">
        <v>488</v>
      </c>
    </row>
    <row r="246" spans="1:24" x14ac:dyDescent="0.25">
      <c r="A246" s="117">
        <v>540199</v>
      </c>
      <c r="B246" s="2" t="s">
        <v>261</v>
      </c>
      <c r="C246" s="2" t="s">
        <v>83</v>
      </c>
      <c r="D246" s="2" t="s">
        <v>115</v>
      </c>
      <c r="E246" s="117">
        <v>7</v>
      </c>
      <c r="F246" s="117">
        <v>24.8</v>
      </c>
      <c r="G246" s="117">
        <v>3.1</v>
      </c>
      <c r="H246" s="117">
        <v>0</v>
      </c>
      <c r="I246" s="158">
        <v>0</v>
      </c>
      <c r="J246" s="117">
        <v>0.1</v>
      </c>
      <c r="K246" s="267">
        <v>3.2300000000000002E-2</v>
      </c>
      <c r="L246" s="117">
        <v>0.5</v>
      </c>
      <c r="M246" s="267">
        <v>0.1613</v>
      </c>
      <c r="N246" s="117">
        <v>2.5</v>
      </c>
      <c r="O246" s="158">
        <v>0.80649999999999999</v>
      </c>
      <c r="P246" s="117">
        <v>0</v>
      </c>
      <c r="Q246" s="267">
        <v>0</v>
      </c>
      <c r="R246" s="158">
        <v>0</v>
      </c>
      <c r="S246" s="117">
        <v>0</v>
      </c>
      <c r="T246" s="267" t="s">
        <v>488</v>
      </c>
      <c r="U246" s="117">
        <v>0</v>
      </c>
      <c r="V246" s="267" t="s">
        <v>488</v>
      </c>
      <c r="W246" s="117">
        <v>0</v>
      </c>
      <c r="X246" s="267" t="s">
        <v>488</v>
      </c>
    </row>
    <row r="247" spans="1:24" x14ac:dyDescent="0.25">
      <c r="A247" s="269"/>
      <c r="B247" s="269"/>
      <c r="C247" s="269" t="s">
        <v>83</v>
      </c>
      <c r="D247" s="269"/>
      <c r="E247" s="269"/>
      <c r="F247" s="270">
        <v>761.6</v>
      </c>
      <c r="G247" s="270">
        <v>36</v>
      </c>
      <c r="H247" s="270">
        <v>0</v>
      </c>
      <c r="I247" s="352">
        <v>0</v>
      </c>
      <c r="J247" s="270">
        <v>3.1</v>
      </c>
      <c r="K247" s="271">
        <v>8.6099999999999996E-2</v>
      </c>
      <c r="L247" s="270">
        <v>0.9</v>
      </c>
      <c r="M247" s="271">
        <v>2.5000000000000001E-2</v>
      </c>
      <c r="N247" s="270">
        <v>32</v>
      </c>
      <c r="O247" s="352">
        <v>0.88890000000000002</v>
      </c>
      <c r="P247" s="270">
        <v>0</v>
      </c>
      <c r="Q247" s="271">
        <v>0</v>
      </c>
      <c r="R247" s="352">
        <v>0</v>
      </c>
      <c r="S247" s="270">
        <v>0</v>
      </c>
      <c r="T247" s="271" t="s">
        <v>488</v>
      </c>
      <c r="U247" s="270">
        <v>0</v>
      </c>
      <c r="V247" s="271" t="s">
        <v>488</v>
      </c>
      <c r="W247" s="270">
        <v>0</v>
      </c>
      <c r="X247" s="271" t="s">
        <v>488</v>
      </c>
    </row>
    <row r="248" spans="1:24" x14ac:dyDescent="0.25">
      <c r="A248" s="117">
        <v>540200</v>
      </c>
      <c r="B248" s="2" t="s">
        <v>84</v>
      </c>
      <c r="C248" s="2" t="s">
        <v>85</v>
      </c>
      <c r="D248" s="2" t="s">
        <v>5</v>
      </c>
      <c r="E248" s="117">
        <v>2</v>
      </c>
      <c r="F248" s="117">
        <v>946.5</v>
      </c>
      <c r="G248" s="117">
        <v>129.6</v>
      </c>
      <c r="H248" s="117">
        <v>0.1</v>
      </c>
      <c r="I248" s="158">
        <v>8.0000000000000004E-4</v>
      </c>
      <c r="J248" s="117">
        <v>17.2</v>
      </c>
      <c r="K248" s="267">
        <v>0.13270000000000001</v>
      </c>
      <c r="L248" s="117">
        <v>19.100000000000001</v>
      </c>
      <c r="M248" s="267">
        <v>0.1474</v>
      </c>
      <c r="N248" s="117">
        <v>93.2</v>
      </c>
      <c r="O248" s="158">
        <v>0.71909999999999996</v>
      </c>
      <c r="P248" s="117">
        <v>77.2</v>
      </c>
      <c r="Q248" s="267">
        <v>0.59570000000000001</v>
      </c>
      <c r="R248" s="158">
        <v>8.1600000000000006E-2</v>
      </c>
      <c r="S248" s="117">
        <v>8.4</v>
      </c>
      <c r="T248" s="267">
        <v>0.10879999999999999</v>
      </c>
      <c r="U248" s="117">
        <v>21.7</v>
      </c>
      <c r="V248" s="267">
        <v>0.28110000000000002</v>
      </c>
      <c r="W248" s="117">
        <v>47.1</v>
      </c>
      <c r="X248" s="267">
        <v>0.61009999999999998</v>
      </c>
    </row>
    <row r="249" spans="1:24" x14ac:dyDescent="0.25">
      <c r="A249" s="117">
        <v>540018</v>
      </c>
      <c r="B249" s="2" t="s">
        <v>127</v>
      </c>
      <c r="C249" s="2" t="s">
        <v>85</v>
      </c>
      <c r="D249" s="2" t="s">
        <v>115</v>
      </c>
      <c r="E249" s="117">
        <v>2</v>
      </c>
      <c r="F249" s="117">
        <v>9.1</v>
      </c>
      <c r="G249" s="117">
        <v>0.8</v>
      </c>
      <c r="H249" s="117">
        <v>0</v>
      </c>
      <c r="I249" s="158">
        <v>0</v>
      </c>
      <c r="J249" s="117">
        <v>0</v>
      </c>
      <c r="K249" s="267">
        <v>0</v>
      </c>
      <c r="L249" s="117">
        <v>0</v>
      </c>
      <c r="M249" s="267">
        <v>0</v>
      </c>
      <c r="N249" s="117">
        <v>0.7</v>
      </c>
      <c r="O249" s="158">
        <v>0.875</v>
      </c>
      <c r="P249" s="117">
        <v>0</v>
      </c>
      <c r="Q249" s="267">
        <v>0</v>
      </c>
      <c r="R249" s="158">
        <v>0</v>
      </c>
      <c r="S249" s="117">
        <v>0</v>
      </c>
      <c r="T249" s="267" t="s">
        <v>488</v>
      </c>
      <c r="U249" s="117">
        <v>0</v>
      </c>
      <c r="V249" s="267" t="s">
        <v>488</v>
      </c>
      <c r="W249" s="117">
        <v>0</v>
      </c>
      <c r="X249" s="267" t="s">
        <v>488</v>
      </c>
    </row>
    <row r="250" spans="1:24" x14ac:dyDescent="0.25">
      <c r="A250" s="117">
        <v>540202</v>
      </c>
      <c r="B250" s="2" t="s">
        <v>262</v>
      </c>
      <c r="C250" s="2" t="s">
        <v>85</v>
      </c>
      <c r="D250" s="2" t="s">
        <v>115</v>
      </c>
      <c r="E250" s="117">
        <v>2</v>
      </c>
      <c r="F250" s="117">
        <v>4.7</v>
      </c>
      <c r="G250" s="117">
        <v>0.8</v>
      </c>
      <c r="H250" s="117">
        <v>0</v>
      </c>
      <c r="I250" s="158">
        <v>0</v>
      </c>
      <c r="J250" s="117">
        <v>0.3</v>
      </c>
      <c r="K250" s="267">
        <v>0.375</v>
      </c>
      <c r="L250" s="117">
        <v>0.3</v>
      </c>
      <c r="M250" s="267">
        <v>0.375</v>
      </c>
      <c r="N250" s="117">
        <v>0.2</v>
      </c>
      <c r="O250" s="158">
        <v>0.25</v>
      </c>
      <c r="P250" s="117">
        <v>0.8</v>
      </c>
      <c r="Q250" s="267">
        <v>1</v>
      </c>
      <c r="R250" s="158">
        <v>0.17019999999999999</v>
      </c>
      <c r="S250" s="117">
        <v>0</v>
      </c>
      <c r="T250" s="267">
        <v>0</v>
      </c>
      <c r="U250" s="117">
        <v>0.1</v>
      </c>
      <c r="V250" s="267">
        <v>0.125</v>
      </c>
      <c r="W250" s="117">
        <v>0.7</v>
      </c>
      <c r="X250" s="267">
        <v>0.875</v>
      </c>
    </row>
    <row r="251" spans="1:24" x14ac:dyDescent="0.25">
      <c r="A251" s="117">
        <v>540221</v>
      </c>
      <c r="B251" s="2" t="s">
        <v>275</v>
      </c>
      <c r="C251" s="2" t="s">
        <v>85</v>
      </c>
      <c r="D251" s="2" t="s">
        <v>115</v>
      </c>
      <c r="E251" s="117">
        <v>2</v>
      </c>
      <c r="F251" s="117">
        <v>11.2</v>
      </c>
      <c r="G251" s="117">
        <v>0.9</v>
      </c>
      <c r="H251" s="117">
        <v>0.1</v>
      </c>
      <c r="I251" s="158">
        <v>0.1111</v>
      </c>
      <c r="J251" s="117">
        <v>0.3</v>
      </c>
      <c r="K251" s="267">
        <v>0.33329999999999999</v>
      </c>
      <c r="L251" s="117">
        <v>0</v>
      </c>
      <c r="M251" s="267">
        <v>0</v>
      </c>
      <c r="N251" s="117">
        <v>0.6</v>
      </c>
      <c r="O251" s="158">
        <v>0.66669999999999996</v>
      </c>
      <c r="P251" s="117">
        <v>0</v>
      </c>
      <c r="Q251" s="267">
        <v>0</v>
      </c>
      <c r="R251" s="158">
        <v>0</v>
      </c>
      <c r="S251" s="117">
        <v>0</v>
      </c>
      <c r="T251" s="267" t="s">
        <v>488</v>
      </c>
      <c r="U251" s="117">
        <v>0</v>
      </c>
      <c r="V251" s="267" t="s">
        <v>488</v>
      </c>
      <c r="W251" s="117">
        <v>0</v>
      </c>
      <c r="X251" s="267" t="s">
        <v>488</v>
      </c>
    </row>
    <row r="252" spans="1:24" x14ac:dyDescent="0.25">
      <c r="A252" s="117">
        <v>540231</v>
      </c>
      <c r="B252" s="2" t="s">
        <v>281</v>
      </c>
      <c r="C252" s="2" t="s">
        <v>85</v>
      </c>
      <c r="D252" s="2" t="s">
        <v>115</v>
      </c>
      <c r="E252" s="117">
        <v>2</v>
      </c>
      <c r="F252" s="117">
        <v>11.5</v>
      </c>
      <c r="G252" s="117">
        <v>2.7</v>
      </c>
      <c r="H252" s="117">
        <v>0</v>
      </c>
      <c r="I252" s="158">
        <v>0</v>
      </c>
      <c r="J252" s="117">
        <v>0</v>
      </c>
      <c r="K252" s="267">
        <v>0</v>
      </c>
      <c r="L252" s="117">
        <v>0.9</v>
      </c>
      <c r="M252" s="267">
        <v>0.33329999999999999</v>
      </c>
      <c r="N252" s="117">
        <v>1.8</v>
      </c>
      <c r="O252" s="158">
        <v>0.66669999999999996</v>
      </c>
      <c r="P252" s="117">
        <v>0</v>
      </c>
      <c r="Q252" s="267">
        <v>0</v>
      </c>
      <c r="R252" s="158">
        <v>0</v>
      </c>
      <c r="S252" s="117">
        <v>0</v>
      </c>
      <c r="T252" s="267" t="s">
        <v>488</v>
      </c>
      <c r="U252" s="117">
        <v>0</v>
      </c>
      <c r="V252" s="267" t="s">
        <v>488</v>
      </c>
      <c r="W252" s="117">
        <v>0</v>
      </c>
      <c r="X252" s="267" t="s">
        <v>488</v>
      </c>
    </row>
    <row r="253" spans="1:24" x14ac:dyDescent="0.25">
      <c r="A253" s="117">
        <v>540232</v>
      </c>
      <c r="B253" s="2" t="s">
        <v>282</v>
      </c>
      <c r="C253" s="2" t="s">
        <v>85</v>
      </c>
      <c r="D253" s="2" t="s">
        <v>115</v>
      </c>
      <c r="E253" s="117">
        <v>2</v>
      </c>
      <c r="F253" s="117">
        <v>16.2</v>
      </c>
      <c r="G253" s="117">
        <v>3.5</v>
      </c>
      <c r="H253" s="117">
        <v>0.2</v>
      </c>
      <c r="I253" s="158">
        <v>5.7099999999999998E-2</v>
      </c>
      <c r="J253" s="117">
        <v>2.2999999999999998</v>
      </c>
      <c r="K253" s="267">
        <v>0.65710000000000002</v>
      </c>
      <c r="L253" s="117">
        <v>0</v>
      </c>
      <c r="M253" s="267">
        <v>0</v>
      </c>
      <c r="N253" s="117">
        <v>1</v>
      </c>
      <c r="O253" s="158">
        <v>0.28570000000000001</v>
      </c>
      <c r="P253" s="117">
        <v>0</v>
      </c>
      <c r="Q253" s="267">
        <v>0</v>
      </c>
      <c r="R253" s="158">
        <v>0</v>
      </c>
      <c r="S253" s="117">
        <v>0</v>
      </c>
      <c r="T253" s="267" t="s">
        <v>488</v>
      </c>
      <c r="U253" s="117">
        <v>0</v>
      </c>
      <c r="V253" s="267" t="s">
        <v>488</v>
      </c>
      <c r="W253" s="117">
        <v>0</v>
      </c>
      <c r="X253" s="267" t="s">
        <v>488</v>
      </c>
    </row>
    <row r="254" spans="1:24" x14ac:dyDescent="0.25">
      <c r="A254" s="269"/>
      <c r="B254" s="269"/>
      <c r="C254" s="269" t="s">
        <v>85</v>
      </c>
      <c r="D254" s="269"/>
      <c r="E254" s="269"/>
      <c r="F254" s="270">
        <v>999.2</v>
      </c>
      <c r="G254" s="270">
        <v>138.30000000000001</v>
      </c>
      <c r="H254" s="270">
        <v>0.4</v>
      </c>
      <c r="I254" s="352">
        <v>2.8999999999999998E-3</v>
      </c>
      <c r="J254" s="270">
        <v>20.100000000000001</v>
      </c>
      <c r="K254" s="271">
        <v>0.14530000000000001</v>
      </c>
      <c r="L254" s="270">
        <v>20.3</v>
      </c>
      <c r="M254" s="271">
        <v>0.14680000000000001</v>
      </c>
      <c r="N254" s="270">
        <v>97.5</v>
      </c>
      <c r="O254" s="352">
        <v>0.70499999999999996</v>
      </c>
      <c r="P254" s="270">
        <v>78</v>
      </c>
      <c r="Q254" s="271">
        <v>0.56399999999999995</v>
      </c>
      <c r="R254" s="352">
        <v>7.8100000000000003E-2</v>
      </c>
      <c r="S254" s="270">
        <v>8.4</v>
      </c>
      <c r="T254" s="271">
        <v>0.1077</v>
      </c>
      <c r="U254" s="270">
        <v>21.8</v>
      </c>
      <c r="V254" s="271">
        <v>0.27950000000000003</v>
      </c>
      <c r="W254" s="270">
        <v>47.8</v>
      </c>
      <c r="X254" s="271">
        <v>0.61280000000000001</v>
      </c>
    </row>
    <row r="255" spans="1:24" x14ac:dyDescent="0.25">
      <c r="A255" s="117">
        <v>540203</v>
      </c>
      <c r="B255" s="2" t="s">
        <v>86</v>
      </c>
      <c r="C255" s="2" t="s">
        <v>87</v>
      </c>
      <c r="D255" s="2" t="s">
        <v>5</v>
      </c>
      <c r="E255" s="117">
        <v>4</v>
      </c>
      <c r="F255" s="117">
        <v>476.4</v>
      </c>
      <c r="G255" s="117">
        <v>58.2</v>
      </c>
      <c r="H255" s="117">
        <v>0</v>
      </c>
      <c r="I255" s="158">
        <v>0</v>
      </c>
      <c r="J255" s="117">
        <v>0</v>
      </c>
      <c r="K255" s="267">
        <v>0</v>
      </c>
      <c r="L255" s="117">
        <v>10</v>
      </c>
      <c r="M255" s="267">
        <v>0.17180000000000001</v>
      </c>
      <c r="N255" s="117">
        <v>48.2</v>
      </c>
      <c r="O255" s="158">
        <v>0.82820000000000005</v>
      </c>
      <c r="P255" s="117">
        <v>20.3</v>
      </c>
      <c r="Q255" s="267">
        <v>0.3488</v>
      </c>
      <c r="R255" s="158">
        <v>4.2599999999999999E-2</v>
      </c>
      <c r="S255" s="117">
        <v>4.3</v>
      </c>
      <c r="T255" s="267">
        <v>0.21179999999999999</v>
      </c>
      <c r="U255" s="117">
        <v>7.2</v>
      </c>
      <c r="V255" s="267">
        <v>0.35470000000000002</v>
      </c>
      <c r="W255" s="117">
        <v>8.8000000000000007</v>
      </c>
      <c r="X255" s="267">
        <v>0.4335</v>
      </c>
    </row>
    <row r="256" spans="1:24" x14ac:dyDescent="0.25">
      <c r="A256" s="117">
        <v>540204</v>
      </c>
      <c r="B256" s="2" t="s">
        <v>263</v>
      </c>
      <c r="C256" s="2" t="s">
        <v>87</v>
      </c>
      <c r="D256" s="2" t="s">
        <v>115</v>
      </c>
      <c r="E256" s="117">
        <v>4</v>
      </c>
      <c r="F256" s="117">
        <v>4.8</v>
      </c>
      <c r="G256" s="117">
        <v>1.3</v>
      </c>
      <c r="H256" s="117">
        <v>0</v>
      </c>
      <c r="I256" s="158">
        <v>0</v>
      </c>
      <c r="J256" s="117">
        <v>0</v>
      </c>
      <c r="K256" s="267">
        <v>0</v>
      </c>
      <c r="L256" s="117">
        <v>0.2</v>
      </c>
      <c r="M256" s="267">
        <v>0.15379999999999999</v>
      </c>
      <c r="N256" s="117">
        <v>1.2</v>
      </c>
      <c r="O256" s="158">
        <v>0.92310000000000003</v>
      </c>
      <c r="P256" s="117">
        <v>0.4</v>
      </c>
      <c r="Q256" s="267">
        <v>0.30769999999999997</v>
      </c>
      <c r="R256" s="158">
        <v>8.3299999999999999E-2</v>
      </c>
      <c r="S256" s="117">
        <v>0.3</v>
      </c>
      <c r="T256" s="267" t="s">
        <v>488</v>
      </c>
      <c r="U256" s="117">
        <v>0.1</v>
      </c>
      <c r="V256" s="267" t="s">
        <v>488</v>
      </c>
      <c r="W256" s="117">
        <v>0</v>
      </c>
      <c r="X256" s="267" t="s">
        <v>488</v>
      </c>
    </row>
    <row r="257" spans="1:24" x14ac:dyDescent="0.25">
      <c r="A257" s="117">
        <v>540205</v>
      </c>
      <c r="B257" s="2" t="s">
        <v>264</v>
      </c>
      <c r="C257" s="2" t="s">
        <v>87</v>
      </c>
      <c r="D257" s="2" t="s">
        <v>115</v>
      </c>
      <c r="E257" s="117">
        <v>4</v>
      </c>
      <c r="F257" s="117">
        <v>2</v>
      </c>
      <c r="G257" s="117">
        <v>0.9</v>
      </c>
      <c r="H257" s="117">
        <v>0</v>
      </c>
      <c r="I257" s="158">
        <v>0</v>
      </c>
      <c r="J257" s="117">
        <v>0</v>
      </c>
      <c r="K257" s="267">
        <v>0</v>
      </c>
      <c r="L257" s="117">
        <v>0.5</v>
      </c>
      <c r="M257" s="267">
        <v>0.55559999999999998</v>
      </c>
      <c r="N257" s="117">
        <v>0.5</v>
      </c>
      <c r="O257" s="158">
        <v>0.55559999999999998</v>
      </c>
      <c r="P257" s="117">
        <v>0.7</v>
      </c>
      <c r="Q257" s="267">
        <v>0.77780000000000005</v>
      </c>
      <c r="R257" s="158">
        <v>0.35</v>
      </c>
      <c r="S257" s="117">
        <v>0</v>
      </c>
      <c r="T257" s="267">
        <v>0</v>
      </c>
      <c r="U257" s="117">
        <v>0</v>
      </c>
      <c r="V257" s="267">
        <v>0</v>
      </c>
      <c r="W257" s="117">
        <v>0.7</v>
      </c>
      <c r="X257" s="267">
        <v>1</v>
      </c>
    </row>
    <row r="258" spans="1:24" x14ac:dyDescent="0.25">
      <c r="A258" s="117">
        <v>540206</v>
      </c>
      <c r="B258" s="2" t="s">
        <v>265</v>
      </c>
      <c r="C258" s="2" t="s">
        <v>87</v>
      </c>
      <c r="D258" s="2" t="s">
        <v>115</v>
      </c>
      <c r="E258" s="117">
        <v>4</v>
      </c>
      <c r="F258" s="117">
        <v>4.7</v>
      </c>
      <c r="G258" s="117">
        <v>0.5</v>
      </c>
      <c r="H258" s="117">
        <v>0</v>
      </c>
      <c r="I258" s="158">
        <v>0</v>
      </c>
      <c r="J258" s="117">
        <v>0</v>
      </c>
      <c r="K258" s="267">
        <v>0</v>
      </c>
      <c r="L258" s="117">
        <v>0</v>
      </c>
      <c r="M258" s="267">
        <v>0</v>
      </c>
      <c r="N258" s="117">
        <v>0.5</v>
      </c>
      <c r="O258" s="158">
        <v>1</v>
      </c>
      <c r="P258" s="117">
        <v>0</v>
      </c>
      <c r="Q258" s="267">
        <v>0</v>
      </c>
      <c r="R258" s="158">
        <v>0</v>
      </c>
      <c r="S258" s="117">
        <v>0</v>
      </c>
      <c r="T258" s="267" t="s">
        <v>488</v>
      </c>
      <c r="U258" s="117">
        <v>0</v>
      </c>
      <c r="V258" s="267" t="s">
        <v>488</v>
      </c>
      <c r="W258" s="117">
        <v>0</v>
      </c>
      <c r="X258" s="267" t="s">
        <v>488</v>
      </c>
    </row>
    <row r="259" spans="1:24" x14ac:dyDescent="0.25">
      <c r="A259" s="269"/>
      <c r="B259" s="269"/>
      <c r="C259" s="269" t="s">
        <v>87</v>
      </c>
      <c r="D259" s="269"/>
      <c r="E259" s="269"/>
      <c r="F259" s="270">
        <v>487.9</v>
      </c>
      <c r="G259" s="270">
        <v>60.9</v>
      </c>
      <c r="H259" s="270">
        <v>0</v>
      </c>
      <c r="I259" s="352">
        <v>0</v>
      </c>
      <c r="J259" s="270">
        <v>0</v>
      </c>
      <c r="K259" s="271">
        <v>0</v>
      </c>
      <c r="L259" s="270">
        <v>10.7</v>
      </c>
      <c r="M259" s="271">
        <v>0.1757</v>
      </c>
      <c r="N259" s="270">
        <v>50.4</v>
      </c>
      <c r="O259" s="352">
        <v>0.8276</v>
      </c>
      <c r="P259" s="270">
        <v>21.4</v>
      </c>
      <c r="Q259" s="271">
        <v>0.35139999999999999</v>
      </c>
      <c r="R259" s="352">
        <v>4.3900000000000002E-2</v>
      </c>
      <c r="S259" s="270">
        <v>4.5999999999999996</v>
      </c>
      <c r="T259" s="271">
        <v>0.215</v>
      </c>
      <c r="U259" s="270">
        <v>7.3</v>
      </c>
      <c r="V259" s="271">
        <v>0.34110000000000001</v>
      </c>
      <c r="W259" s="270">
        <v>9.5</v>
      </c>
      <c r="X259" s="271">
        <v>0.44390000000000002</v>
      </c>
    </row>
    <row r="260" spans="1:24" x14ac:dyDescent="0.25">
      <c r="A260" s="117">
        <v>540207</v>
      </c>
      <c r="B260" s="2" t="s">
        <v>88</v>
      </c>
      <c r="C260" s="2" t="s">
        <v>89</v>
      </c>
      <c r="D260" s="2" t="s">
        <v>5</v>
      </c>
      <c r="E260" s="117">
        <v>10</v>
      </c>
      <c r="F260" s="117">
        <v>618.1</v>
      </c>
      <c r="G260" s="117">
        <v>64.2</v>
      </c>
      <c r="H260" s="117">
        <v>0</v>
      </c>
      <c r="I260" s="158">
        <v>0</v>
      </c>
      <c r="J260" s="117">
        <v>1.5</v>
      </c>
      <c r="K260" s="267">
        <v>2.3400000000000001E-2</v>
      </c>
      <c r="L260" s="117">
        <v>19.2</v>
      </c>
      <c r="M260" s="267">
        <v>0.29909999999999998</v>
      </c>
      <c r="N260" s="117">
        <v>43.6</v>
      </c>
      <c r="O260" s="158">
        <v>0.67910000000000004</v>
      </c>
      <c r="P260" s="117">
        <v>0</v>
      </c>
      <c r="Q260" s="267">
        <v>0</v>
      </c>
      <c r="R260" s="158">
        <v>0</v>
      </c>
      <c r="S260" s="117">
        <v>0</v>
      </c>
      <c r="T260" s="267" t="s">
        <v>488</v>
      </c>
      <c r="U260" s="117">
        <v>0</v>
      </c>
      <c r="V260" s="267" t="s">
        <v>488</v>
      </c>
      <c r="W260" s="117">
        <v>0</v>
      </c>
      <c r="X260" s="267" t="s">
        <v>488</v>
      </c>
    </row>
    <row r="261" spans="1:24" x14ac:dyDescent="0.25">
      <c r="A261" s="117">
        <v>540196</v>
      </c>
      <c r="B261" s="2" t="s">
        <v>259</v>
      </c>
      <c r="C261" s="2" t="s">
        <v>89</v>
      </c>
      <c r="D261" s="2" t="s">
        <v>115</v>
      </c>
      <c r="E261" s="117">
        <v>5</v>
      </c>
      <c r="F261" s="117">
        <v>1.5</v>
      </c>
      <c r="G261" s="117">
        <v>0</v>
      </c>
      <c r="H261" s="117">
        <v>0</v>
      </c>
      <c r="I261" s="267" t="s">
        <v>488</v>
      </c>
      <c r="J261" s="117">
        <v>0</v>
      </c>
      <c r="K261" s="267" t="s">
        <v>488</v>
      </c>
      <c r="L261" s="117">
        <v>0</v>
      </c>
      <c r="M261" s="267" t="s">
        <v>488</v>
      </c>
      <c r="N261" s="117">
        <v>0</v>
      </c>
      <c r="O261" s="267" t="s">
        <v>488</v>
      </c>
      <c r="P261" s="117">
        <v>0</v>
      </c>
      <c r="Q261" s="267" t="s">
        <v>488</v>
      </c>
      <c r="R261" s="158">
        <v>0</v>
      </c>
      <c r="S261" s="117">
        <v>0</v>
      </c>
      <c r="T261" s="267" t="s">
        <v>488</v>
      </c>
      <c r="U261" s="117">
        <v>0</v>
      </c>
      <c r="V261" s="267" t="s">
        <v>488</v>
      </c>
      <c r="W261" s="117">
        <v>0</v>
      </c>
      <c r="X261" s="267" t="s">
        <v>488</v>
      </c>
    </row>
    <row r="262" spans="1:24" x14ac:dyDescent="0.25">
      <c r="A262" s="117">
        <v>540208</v>
      </c>
      <c r="B262" s="2" t="s">
        <v>266</v>
      </c>
      <c r="C262" s="2" t="s">
        <v>89</v>
      </c>
      <c r="D262" s="2" t="s">
        <v>115</v>
      </c>
      <c r="E262" s="117">
        <v>10</v>
      </c>
      <c r="F262" s="117">
        <v>15.6</v>
      </c>
      <c r="G262" s="117">
        <v>6.2</v>
      </c>
      <c r="H262" s="117">
        <v>0</v>
      </c>
      <c r="I262" s="158">
        <v>0</v>
      </c>
      <c r="J262" s="117">
        <v>0</v>
      </c>
      <c r="K262" s="267">
        <v>0</v>
      </c>
      <c r="L262" s="117">
        <v>1.6</v>
      </c>
      <c r="M262" s="267">
        <v>0.2581</v>
      </c>
      <c r="N262" s="117">
        <v>4.5</v>
      </c>
      <c r="O262" s="158">
        <v>0.7258</v>
      </c>
      <c r="P262" s="117">
        <v>0</v>
      </c>
      <c r="Q262" s="267">
        <v>0</v>
      </c>
      <c r="R262" s="158">
        <v>0</v>
      </c>
      <c r="S262" s="117">
        <v>0</v>
      </c>
      <c r="T262" s="267" t="s">
        <v>488</v>
      </c>
      <c r="U262" s="117">
        <v>0</v>
      </c>
      <c r="V262" s="267" t="s">
        <v>488</v>
      </c>
      <c r="W262" s="117">
        <v>0</v>
      </c>
      <c r="X262" s="267" t="s">
        <v>488</v>
      </c>
    </row>
    <row r="263" spans="1:24" x14ac:dyDescent="0.25">
      <c r="A263" s="117">
        <v>540210</v>
      </c>
      <c r="B263" s="2" t="s">
        <v>267</v>
      </c>
      <c r="C263" s="2" t="s">
        <v>89</v>
      </c>
      <c r="D263" s="2" t="s">
        <v>115</v>
      </c>
      <c r="E263" s="117">
        <v>10</v>
      </c>
      <c r="F263" s="117">
        <v>3</v>
      </c>
      <c r="G263" s="117">
        <v>1.6</v>
      </c>
      <c r="H263" s="117">
        <v>0</v>
      </c>
      <c r="I263" s="158">
        <v>0</v>
      </c>
      <c r="J263" s="117">
        <v>0</v>
      </c>
      <c r="K263" s="267">
        <v>0</v>
      </c>
      <c r="L263" s="117">
        <v>0.8</v>
      </c>
      <c r="M263" s="267">
        <v>0.5</v>
      </c>
      <c r="N263" s="117">
        <v>0.8</v>
      </c>
      <c r="O263" s="158">
        <v>0.5</v>
      </c>
      <c r="P263" s="117">
        <v>0</v>
      </c>
      <c r="Q263" s="267">
        <v>0</v>
      </c>
      <c r="R263" s="158">
        <v>0</v>
      </c>
      <c r="S263" s="117">
        <v>0</v>
      </c>
      <c r="T263" s="267" t="s">
        <v>488</v>
      </c>
      <c r="U263" s="117">
        <v>0</v>
      </c>
      <c r="V263" s="267" t="s">
        <v>488</v>
      </c>
      <c r="W263" s="117">
        <v>0</v>
      </c>
      <c r="X263" s="267" t="s">
        <v>488</v>
      </c>
    </row>
    <row r="264" spans="1:24" x14ac:dyDescent="0.25">
      <c r="A264" s="117">
        <v>540256</v>
      </c>
      <c r="B264" s="2" t="s">
        <v>301</v>
      </c>
      <c r="C264" s="2" t="s">
        <v>89</v>
      </c>
      <c r="D264" s="2" t="s">
        <v>115</v>
      </c>
      <c r="E264" s="117">
        <v>10</v>
      </c>
      <c r="F264" s="117">
        <v>3.1</v>
      </c>
      <c r="G264" s="117">
        <v>1.5</v>
      </c>
      <c r="H264" s="117">
        <v>0</v>
      </c>
      <c r="I264" s="158">
        <v>0</v>
      </c>
      <c r="J264" s="117">
        <v>1.2</v>
      </c>
      <c r="K264" s="267">
        <v>0.8</v>
      </c>
      <c r="L264" s="117">
        <v>0.2</v>
      </c>
      <c r="M264" s="267">
        <v>0.1333</v>
      </c>
      <c r="N264" s="117">
        <v>0.1</v>
      </c>
      <c r="O264" s="158">
        <v>6.6699999999999995E-2</v>
      </c>
      <c r="P264" s="117">
        <v>0.8</v>
      </c>
      <c r="Q264" s="267">
        <v>0.5333</v>
      </c>
      <c r="R264" s="158">
        <v>0.2581</v>
      </c>
      <c r="S264" s="117">
        <v>0.2</v>
      </c>
      <c r="T264" s="267">
        <v>0.25</v>
      </c>
      <c r="U264" s="117">
        <v>0.3</v>
      </c>
      <c r="V264" s="267">
        <v>0.375</v>
      </c>
      <c r="W264" s="117">
        <v>0.3</v>
      </c>
      <c r="X264" s="267">
        <v>0.375</v>
      </c>
    </row>
    <row r="265" spans="1:24" x14ac:dyDescent="0.25">
      <c r="A265" s="117">
        <v>540258</v>
      </c>
      <c r="B265" s="2" t="s">
        <v>303</v>
      </c>
      <c r="C265" s="2" t="s">
        <v>89</v>
      </c>
      <c r="D265" s="2" t="s">
        <v>115</v>
      </c>
      <c r="E265" s="117">
        <v>10</v>
      </c>
      <c r="F265" s="117">
        <v>2.9</v>
      </c>
      <c r="G265" s="117">
        <v>0.7</v>
      </c>
      <c r="H265" s="117">
        <v>0</v>
      </c>
      <c r="I265" s="158">
        <v>0</v>
      </c>
      <c r="J265" s="117">
        <v>0</v>
      </c>
      <c r="K265" s="267">
        <v>0</v>
      </c>
      <c r="L265" s="117">
        <v>0.4</v>
      </c>
      <c r="M265" s="267">
        <v>0.57140000000000002</v>
      </c>
      <c r="N265" s="117">
        <v>0.3</v>
      </c>
      <c r="O265" s="158">
        <v>0.42859999999999998</v>
      </c>
      <c r="P265" s="117">
        <v>0</v>
      </c>
      <c r="Q265" s="267">
        <v>0</v>
      </c>
      <c r="R265" s="158">
        <v>0</v>
      </c>
      <c r="S265" s="117">
        <v>0</v>
      </c>
      <c r="T265" s="267" t="s">
        <v>488</v>
      </c>
      <c r="U265" s="117">
        <v>0</v>
      </c>
      <c r="V265" s="267" t="s">
        <v>488</v>
      </c>
      <c r="W265" s="117">
        <v>0</v>
      </c>
      <c r="X265" s="267" t="s">
        <v>488</v>
      </c>
    </row>
    <row r="266" spans="1:24" x14ac:dyDescent="0.25">
      <c r="A266" s="269"/>
      <c r="B266" s="269"/>
      <c r="C266" s="269" t="s">
        <v>89</v>
      </c>
      <c r="D266" s="269"/>
      <c r="E266" s="269"/>
      <c r="F266" s="270">
        <v>644.20000000000005</v>
      </c>
      <c r="G266" s="270">
        <v>74.2</v>
      </c>
      <c r="H266" s="270">
        <v>0</v>
      </c>
      <c r="I266" s="352">
        <v>0</v>
      </c>
      <c r="J266" s="270">
        <v>2.7</v>
      </c>
      <c r="K266" s="271">
        <v>3.6400000000000002E-2</v>
      </c>
      <c r="L266" s="270">
        <v>22.2</v>
      </c>
      <c r="M266" s="271">
        <v>0.29920000000000002</v>
      </c>
      <c r="N266" s="270">
        <v>49.3</v>
      </c>
      <c r="O266" s="352">
        <v>0.66439999999999999</v>
      </c>
      <c r="P266" s="270">
        <v>0.8</v>
      </c>
      <c r="Q266" s="271">
        <v>1.0800000000000001E-2</v>
      </c>
      <c r="R266" s="352">
        <v>1.1999999999999999E-3</v>
      </c>
      <c r="S266" s="270">
        <v>0.2</v>
      </c>
      <c r="T266" s="271">
        <v>0.25</v>
      </c>
      <c r="U266" s="270">
        <v>0.3</v>
      </c>
      <c r="V266" s="271">
        <v>0.375</v>
      </c>
      <c r="W266" s="270">
        <v>0.3</v>
      </c>
      <c r="X266" s="271">
        <v>0.375</v>
      </c>
    </row>
    <row r="267" spans="1:24" x14ac:dyDescent="0.25">
      <c r="A267" s="117">
        <v>540211</v>
      </c>
      <c r="B267" s="2" t="s">
        <v>90</v>
      </c>
      <c r="C267" s="2" t="s">
        <v>91</v>
      </c>
      <c r="D267" s="2" t="s">
        <v>5</v>
      </c>
      <c r="E267" s="117">
        <v>5</v>
      </c>
      <c r="F267" s="117">
        <v>404.8</v>
      </c>
      <c r="G267" s="117">
        <v>45.1</v>
      </c>
      <c r="H267" s="117">
        <v>0</v>
      </c>
      <c r="I267" s="158">
        <v>0</v>
      </c>
      <c r="J267" s="117">
        <v>0</v>
      </c>
      <c r="K267" s="267">
        <v>0</v>
      </c>
      <c r="L267" s="117">
        <v>8.1999999999999993</v>
      </c>
      <c r="M267" s="267">
        <v>0.18179999999999999</v>
      </c>
      <c r="N267" s="117">
        <v>36.9</v>
      </c>
      <c r="O267" s="158">
        <v>0.81820000000000004</v>
      </c>
      <c r="P267" s="117">
        <v>0</v>
      </c>
      <c r="Q267" s="267">
        <v>0</v>
      </c>
      <c r="R267" s="158">
        <v>0</v>
      </c>
      <c r="S267" s="117">
        <v>0</v>
      </c>
      <c r="T267" s="267" t="s">
        <v>488</v>
      </c>
      <c r="U267" s="117">
        <v>0</v>
      </c>
      <c r="V267" s="267" t="s">
        <v>488</v>
      </c>
      <c r="W267" s="117">
        <v>0</v>
      </c>
      <c r="X267" s="267" t="s">
        <v>488</v>
      </c>
    </row>
    <row r="268" spans="1:24" x14ac:dyDescent="0.25">
      <c r="A268" s="117">
        <v>540212</v>
      </c>
      <c r="B268" s="2" t="s">
        <v>268</v>
      </c>
      <c r="C268" s="2" t="s">
        <v>91</v>
      </c>
      <c r="D268" s="2" t="s">
        <v>115</v>
      </c>
      <c r="E268" s="117">
        <v>5</v>
      </c>
      <c r="F268" s="117">
        <v>5.9</v>
      </c>
      <c r="G268" s="117">
        <v>0.7</v>
      </c>
      <c r="H268" s="117">
        <v>0</v>
      </c>
      <c r="I268" s="158">
        <v>0</v>
      </c>
      <c r="J268" s="117">
        <v>0</v>
      </c>
      <c r="K268" s="267">
        <v>0</v>
      </c>
      <c r="L268" s="117">
        <v>0.3</v>
      </c>
      <c r="M268" s="267">
        <v>0.42859999999999998</v>
      </c>
      <c r="N268" s="117">
        <v>0.4</v>
      </c>
      <c r="O268" s="158">
        <v>0.57140000000000002</v>
      </c>
      <c r="P268" s="117">
        <v>0</v>
      </c>
      <c r="Q268" s="267">
        <v>0</v>
      </c>
      <c r="R268" s="158">
        <v>0</v>
      </c>
      <c r="S268" s="117">
        <v>0</v>
      </c>
      <c r="T268" s="267" t="s">
        <v>488</v>
      </c>
      <c r="U268" s="117">
        <v>0</v>
      </c>
      <c r="V268" s="267" t="s">
        <v>488</v>
      </c>
      <c r="W268" s="117">
        <v>0</v>
      </c>
      <c r="X268" s="267" t="s">
        <v>488</v>
      </c>
    </row>
    <row r="269" spans="1:24" x14ac:dyDescent="0.25">
      <c r="A269" s="269"/>
      <c r="B269" s="269"/>
      <c r="C269" s="269" t="s">
        <v>91</v>
      </c>
      <c r="D269" s="269"/>
      <c r="E269" s="269"/>
      <c r="F269" s="270">
        <v>410.7</v>
      </c>
      <c r="G269" s="270">
        <v>45.8</v>
      </c>
      <c r="H269" s="270">
        <v>0</v>
      </c>
      <c r="I269" s="352">
        <v>0</v>
      </c>
      <c r="J269" s="270">
        <v>0</v>
      </c>
      <c r="K269" s="271">
        <v>0</v>
      </c>
      <c r="L269" s="270">
        <v>8.5</v>
      </c>
      <c r="M269" s="271">
        <v>0.18559999999999999</v>
      </c>
      <c r="N269" s="270">
        <v>37.299999999999997</v>
      </c>
      <c r="O269" s="352">
        <v>0.81440000000000001</v>
      </c>
      <c r="P269" s="270">
        <v>0</v>
      </c>
      <c r="Q269" s="271">
        <v>0</v>
      </c>
      <c r="R269" s="352">
        <v>0</v>
      </c>
      <c r="S269" s="270">
        <v>0</v>
      </c>
      <c r="T269" s="271" t="s">
        <v>488</v>
      </c>
      <c r="U269" s="270">
        <v>0</v>
      </c>
      <c r="V269" s="271" t="s">
        <v>488</v>
      </c>
      <c r="W269" s="270">
        <v>0</v>
      </c>
      <c r="X269" s="271" t="s">
        <v>488</v>
      </c>
    </row>
    <row r="270" spans="1:24" x14ac:dyDescent="0.25">
      <c r="A270" s="117">
        <v>540213</v>
      </c>
      <c r="B270" s="2" t="s">
        <v>92</v>
      </c>
      <c r="C270" s="2" t="s">
        <v>93</v>
      </c>
      <c r="D270" s="2" t="s">
        <v>5</v>
      </c>
      <c r="E270" s="117">
        <v>5</v>
      </c>
      <c r="F270" s="117">
        <v>898.3</v>
      </c>
      <c r="G270" s="117">
        <v>103.9</v>
      </c>
      <c r="H270" s="117">
        <v>4.2</v>
      </c>
      <c r="I270" s="158">
        <v>4.0399999999999998E-2</v>
      </c>
      <c r="J270" s="117">
        <v>7.7</v>
      </c>
      <c r="K270" s="267">
        <v>7.4099999999999999E-2</v>
      </c>
      <c r="L270" s="117">
        <v>7.4</v>
      </c>
      <c r="M270" s="267">
        <v>7.1199999999999999E-2</v>
      </c>
      <c r="N270" s="117">
        <v>84.6</v>
      </c>
      <c r="O270" s="158">
        <v>0.81420000000000003</v>
      </c>
      <c r="P270" s="117">
        <v>0</v>
      </c>
      <c r="Q270" s="267">
        <v>0</v>
      </c>
      <c r="R270" s="158">
        <v>0</v>
      </c>
      <c r="S270" s="117">
        <v>0</v>
      </c>
      <c r="T270" s="267" t="s">
        <v>488</v>
      </c>
      <c r="U270" s="117">
        <v>0</v>
      </c>
      <c r="V270" s="267" t="s">
        <v>488</v>
      </c>
      <c r="W270" s="117">
        <v>0</v>
      </c>
      <c r="X270" s="267" t="s">
        <v>488</v>
      </c>
    </row>
    <row r="271" spans="1:24" x14ac:dyDescent="0.25">
      <c r="A271" s="117">
        <v>540042</v>
      </c>
      <c r="B271" s="2" t="s">
        <v>143</v>
      </c>
      <c r="C271" s="2" t="s">
        <v>93</v>
      </c>
      <c r="D271" s="2" t="s">
        <v>115</v>
      </c>
      <c r="E271" s="117">
        <v>5</v>
      </c>
      <c r="F271" s="117">
        <v>0.1</v>
      </c>
      <c r="G271" s="117">
        <v>0</v>
      </c>
      <c r="H271" s="117">
        <v>0</v>
      </c>
      <c r="I271" s="267" t="s">
        <v>488</v>
      </c>
      <c r="J271" s="117">
        <v>0</v>
      </c>
      <c r="K271" s="267" t="s">
        <v>488</v>
      </c>
      <c r="L271" s="117">
        <v>0</v>
      </c>
      <c r="M271" s="267" t="s">
        <v>488</v>
      </c>
      <c r="N271" s="117">
        <v>0</v>
      </c>
      <c r="O271" s="267" t="s">
        <v>488</v>
      </c>
      <c r="P271" s="117">
        <v>0</v>
      </c>
      <c r="Q271" s="267" t="s">
        <v>488</v>
      </c>
      <c r="R271" s="158">
        <v>0</v>
      </c>
      <c r="S271" s="117">
        <v>0</v>
      </c>
      <c r="T271" s="267" t="s">
        <v>488</v>
      </c>
      <c r="U271" s="117">
        <v>0</v>
      </c>
      <c r="V271" s="267" t="s">
        <v>488</v>
      </c>
      <c r="W271" s="117">
        <v>0</v>
      </c>
      <c r="X271" s="267" t="s">
        <v>488</v>
      </c>
    </row>
    <row r="272" spans="1:24" x14ac:dyDescent="0.25">
      <c r="A272" s="117">
        <v>540214</v>
      </c>
      <c r="B272" s="2" t="s">
        <v>269</v>
      </c>
      <c r="C272" s="2" t="s">
        <v>93</v>
      </c>
      <c r="D272" s="2" t="s">
        <v>115</v>
      </c>
      <c r="E272" s="117">
        <v>5</v>
      </c>
      <c r="F272" s="117">
        <v>67.2</v>
      </c>
      <c r="G272" s="117">
        <v>6.6</v>
      </c>
      <c r="H272" s="117">
        <v>0.1</v>
      </c>
      <c r="I272" s="158">
        <v>1.52E-2</v>
      </c>
      <c r="J272" s="117">
        <v>3</v>
      </c>
      <c r="K272" s="267">
        <v>0.45450000000000002</v>
      </c>
      <c r="L272" s="117">
        <v>1.9</v>
      </c>
      <c r="M272" s="267">
        <v>0.28789999999999999</v>
      </c>
      <c r="N272" s="117">
        <v>1.6</v>
      </c>
      <c r="O272" s="158">
        <v>0.2424</v>
      </c>
      <c r="P272" s="117">
        <v>0</v>
      </c>
      <c r="Q272" s="267">
        <v>0</v>
      </c>
      <c r="R272" s="158">
        <v>0</v>
      </c>
      <c r="S272" s="117">
        <v>0</v>
      </c>
      <c r="T272" s="267" t="s">
        <v>488</v>
      </c>
      <c r="U272" s="117">
        <v>0</v>
      </c>
      <c r="V272" s="267" t="s">
        <v>488</v>
      </c>
      <c r="W272" s="117">
        <v>0</v>
      </c>
      <c r="X272" s="267" t="s">
        <v>488</v>
      </c>
    </row>
    <row r="273" spans="1:24" x14ac:dyDescent="0.25">
      <c r="A273" s="117">
        <v>540215</v>
      </c>
      <c r="B273" s="2" t="s">
        <v>270</v>
      </c>
      <c r="C273" s="2" t="s">
        <v>93</v>
      </c>
      <c r="D273" s="2" t="s">
        <v>115</v>
      </c>
      <c r="E273" s="117">
        <v>5</v>
      </c>
      <c r="F273" s="117">
        <v>13.3</v>
      </c>
      <c r="G273" s="117">
        <v>1</v>
      </c>
      <c r="H273" s="117">
        <v>0</v>
      </c>
      <c r="I273" s="158">
        <v>0</v>
      </c>
      <c r="J273" s="117">
        <v>0</v>
      </c>
      <c r="K273" s="267">
        <v>0</v>
      </c>
      <c r="L273" s="117">
        <v>0.6</v>
      </c>
      <c r="M273" s="267">
        <v>0.6</v>
      </c>
      <c r="N273" s="117">
        <v>0.4</v>
      </c>
      <c r="O273" s="158">
        <v>0.4</v>
      </c>
      <c r="P273" s="117">
        <v>0</v>
      </c>
      <c r="Q273" s="267">
        <v>0</v>
      </c>
      <c r="R273" s="158">
        <v>0</v>
      </c>
      <c r="S273" s="117">
        <v>0</v>
      </c>
      <c r="T273" s="267" t="s">
        <v>488</v>
      </c>
      <c r="U273" s="117">
        <v>0</v>
      </c>
      <c r="V273" s="267" t="s">
        <v>488</v>
      </c>
      <c r="W273" s="117">
        <v>0</v>
      </c>
      <c r="X273" s="267" t="s">
        <v>488</v>
      </c>
    </row>
    <row r="274" spans="1:24" x14ac:dyDescent="0.25">
      <c r="A274" s="117">
        <v>540216</v>
      </c>
      <c r="B274" s="2" t="s">
        <v>271</v>
      </c>
      <c r="C274" s="2" t="s">
        <v>93</v>
      </c>
      <c r="D274" s="2" t="s">
        <v>115</v>
      </c>
      <c r="E274" s="117">
        <v>5</v>
      </c>
      <c r="F274" s="117">
        <v>3.9</v>
      </c>
      <c r="G274" s="117">
        <v>1.4</v>
      </c>
      <c r="H274" s="117">
        <v>0</v>
      </c>
      <c r="I274" s="158">
        <v>0</v>
      </c>
      <c r="J274" s="117">
        <v>0</v>
      </c>
      <c r="K274" s="267">
        <v>0</v>
      </c>
      <c r="L274" s="117">
        <v>1</v>
      </c>
      <c r="M274" s="267">
        <v>0.71430000000000005</v>
      </c>
      <c r="N274" s="117">
        <v>0.3</v>
      </c>
      <c r="O274" s="158">
        <v>0.21429999999999999</v>
      </c>
      <c r="P274" s="117">
        <v>0</v>
      </c>
      <c r="Q274" s="267">
        <v>0</v>
      </c>
      <c r="R274" s="158">
        <v>0</v>
      </c>
      <c r="S274" s="117">
        <v>0</v>
      </c>
      <c r="T274" s="267" t="s">
        <v>488</v>
      </c>
      <c r="U274" s="117">
        <v>0</v>
      </c>
      <c r="V274" s="267" t="s">
        <v>488</v>
      </c>
      <c r="W274" s="117">
        <v>0</v>
      </c>
      <c r="X274" s="267" t="s">
        <v>488</v>
      </c>
    </row>
    <row r="275" spans="1:24" x14ac:dyDescent="0.25">
      <c r="A275" s="269"/>
      <c r="B275" s="269"/>
      <c r="C275" s="269" t="s">
        <v>93</v>
      </c>
      <c r="D275" s="269"/>
      <c r="E275" s="269"/>
      <c r="F275" s="270">
        <v>982.8</v>
      </c>
      <c r="G275" s="270">
        <v>112.9</v>
      </c>
      <c r="H275" s="270">
        <v>4.3</v>
      </c>
      <c r="I275" s="352">
        <v>3.8100000000000002E-2</v>
      </c>
      <c r="J275" s="270">
        <v>10.7</v>
      </c>
      <c r="K275" s="271">
        <v>9.4799999999999995E-2</v>
      </c>
      <c r="L275" s="270">
        <v>10.9</v>
      </c>
      <c r="M275" s="271">
        <v>9.6500000000000002E-2</v>
      </c>
      <c r="N275" s="270">
        <v>86.9</v>
      </c>
      <c r="O275" s="352">
        <v>0.76970000000000005</v>
      </c>
      <c r="P275" s="270">
        <v>0</v>
      </c>
      <c r="Q275" s="271">
        <v>0</v>
      </c>
      <c r="R275" s="352">
        <v>0</v>
      </c>
      <c r="S275" s="270">
        <v>0</v>
      </c>
      <c r="T275" s="271" t="s">
        <v>488</v>
      </c>
      <c r="U275" s="270">
        <v>0</v>
      </c>
      <c r="V275" s="271" t="s">
        <v>488</v>
      </c>
      <c r="W275" s="270">
        <v>0</v>
      </c>
      <c r="X275" s="271" t="s">
        <v>488</v>
      </c>
    </row>
    <row r="276" spans="1:24" x14ac:dyDescent="0.25">
      <c r="A276" s="117">
        <v>540224</v>
      </c>
      <c r="B276" s="2" t="s">
        <v>96</v>
      </c>
      <c r="C276" s="2" t="s">
        <v>97</v>
      </c>
      <c r="D276" s="2" t="s">
        <v>5</v>
      </c>
      <c r="E276" s="117">
        <v>5</v>
      </c>
      <c r="F276" s="117">
        <v>772.4</v>
      </c>
      <c r="G276" s="117">
        <v>74.099999999999994</v>
      </c>
      <c r="H276" s="117">
        <v>0</v>
      </c>
      <c r="I276" s="158">
        <v>0</v>
      </c>
      <c r="J276" s="117">
        <v>0.5</v>
      </c>
      <c r="K276" s="267">
        <v>6.7000000000000002E-3</v>
      </c>
      <c r="L276" s="117">
        <v>12.9</v>
      </c>
      <c r="M276" s="267">
        <v>0.1741</v>
      </c>
      <c r="N276" s="117">
        <v>60.7</v>
      </c>
      <c r="O276" s="158">
        <v>0.81920000000000004</v>
      </c>
      <c r="P276" s="117">
        <v>51.8</v>
      </c>
      <c r="Q276" s="267">
        <v>0.69910000000000005</v>
      </c>
      <c r="R276" s="158">
        <v>6.7100000000000007E-2</v>
      </c>
      <c r="S276" s="117">
        <v>7.7</v>
      </c>
      <c r="T276" s="267">
        <v>0.14860000000000001</v>
      </c>
      <c r="U276" s="117">
        <v>15.2</v>
      </c>
      <c r="V276" s="267">
        <v>0.29339999999999999</v>
      </c>
      <c r="W276" s="117">
        <v>28.9</v>
      </c>
      <c r="X276" s="267">
        <v>0.55789999999999995</v>
      </c>
    </row>
    <row r="277" spans="1:24" x14ac:dyDescent="0.25">
      <c r="A277" s="117">
        <v>540132</v>
      </c>
      <c r="B277" s="2" t="s">
        <v>216</v>
      </c>
      <c r="C277" s="2" t="s">
        <v>97</v>
      </c>
      <c r="D277" s="2" t="s">
        <v>115</v>
      </c>
      <c r="E277" s="117">
        <v>5</v>
      </c>
      <c r="F277" s="117">
        <v>6.9</v>
      </c>
      <c r="G277" s="117">
        <v>0</v>
      </c>
      <c r="H277" s="117">
        <v>0</v>
      </c>
      <c r="I277" s="267" t="s">
        <v>488</v>
      </c>
      <c r="J277" s="117">
        <v>0</v>
      </c>
      <c r="K277" s="267" t="s">
        <v>488</v>
      </c>
      <c r="L277" s="117">
        <v>0</v>
      </c>
      <c r="M277" s="267" t="s">
        <v>488</v>
      </c>
      <c r="N277" s="117">
        <v>0</v>
      </c>
      <c r="O277" s="267" t="s">
        <v>488</v>
      </c>
      <c r="P277" s="117">
        <v>0</v>
      </c>
      <c r="Q277" s="267" t="s">
        <v>488</v>
      </c>
      <c r="R277" s="158">
        <v>0</v>
      </c>
      <c r="S277" s="117">
        <v>0</v>
      </c>
      <c r="T277" s="267" t="s">
        <v>488</v>
      </c>
      <c r="U277" s="117">
        <v>0</v>
      </c>
      <c r="V277" s="267" t="s">
        <v>488</v>
      </c>
      <c r="W277" s="117">
        <v>0</v>
      </c>
      <c r="X277" s="267" t="s">
        <v>488</v>
      </c>
    </row>
    <row r="278" spans="1:24" x14ac:dyDescent="0.25">
      <c r="A278" s="117">
        <v>540179</v>
      </c>
      <c r="B278" s="2" t="s">
        <v>250</v>
      </c>
      <c r="C278" s="2" t="s">
        <v>97</v>
      </c>
      <c r="D278" s="2" t="s">
        <v>115</v>
      </c>
      <c r="E278" s="117">
        <v>5</v>
      </c>
      <c r="F278" s="117">
        <v>3.9</v>
      </c>
      <c r="G278" s="117">
        <v>0.4</v>
      </c>
      <c r="H278" s="117">
        <v>0</v>
      </c>
      <c r="I278" s="158">
        <v>0</v>
      </c>
      <c r="J278" s="117">
        <v>0</v>
      </c>
      <c r="K278" s="267">
        <v>0</v>
      </c>
      <c r="L278" s="117">
        <v>0.2</v>
      </c>
      <c r="M278" s="267">
        <v>0.5</v>
      </c>
      <c r="N278" s="117">
        <v>0.2</v>
      </c>
      <c r="O278" s="158">
        <v>0.5</v>
      </c>
      <c r="P278" s="117">
        <v>0</v>
      </c>
      <c r="Q278" s="267">
        <v>0</v>
      </c>
      <c r="R278" s="158">
        <v>0</v>
      </c>
      <c r="S278" s="117">
        <v>0</v>
      </c>
      <c r="T278" s="267" t="s">
        <v>488</v>
      </c>
      <c r="U278" s="117">
        <v>0</v>
      </c>
      <c r="V278" s="267" t="s">
        <v>488</v>
      </c>
      <c r="W278" s="117">
        <v>0</v>
      </c>
      <c r="X278" s="267" t="s">
        <v>488</v>
      </c>
    </row>
    <row r="279" spans="1:24" x14ac:dyDescent="0.25">
      <c r="A279" s="117">
        <v>540180</v>
      </c>
      <c r="B279" s="2" t="s">
        <v>251</v>
      </c>
      <c r="C279" s="2" t="s">
        <v>97</v>
      </c>
      <c r="D279" s="2" t="s">
        <v>115</v>
      </c>
      <c r="E279" s="117">
        <v>5</v>
      </c>
      <c r="F279" s="117">
        <v>9.9</v>
      </c>
      <c r="G279" s="117">
        <v>0.7</v>
      </c>
      <c r="H279" s="117">
        <v>0</v>
      </c>
      <c r="I279" s="158">
        <v>0</v>
      </c>
      <c r="J279" s="117">
        <v>0.1</v>
      </c>
      <c r="K279" s="267">
        <v>0.1429</v>
      </c>
      <c r="L279" s="117">
        <v>0</v>
      </c>
      <c r="M279" s="267">
        <v>0</v>
      </c>
      <c r="N279" s="117">
        <v>0.6</v>
      </c>
      <c r="O279" s="158">
        <v>0.85709999999999997</v>
      </c>
      <c r="P279" s="117">
        <v>0.5</v>
      </c>
      <c r="Q279" s="267">
        <v>0.71430000000000005</v>
      </c>
      <c r="R279" s="158">
        <v>5.0500000000000003E-2</v>
      </c>
      <c r="S279" s="117">
        <v>0.2</v>
      </c>
      <c r="T279" s="267">
        <v>0.4</v>
      </c>
      <c r="U279" s="117">
        <v>0.2</v>
      </c>
      <c r="V279" s="267">
        <v>0.4</v>
      </c>
      <c r="W279" s="117">
        <v>0.1</v>
      </c>
      <c r="X279" s="267">
        <v>0.2</v>
      </c>
    </row>
    <row r="280" spans="1:24" x14ac:dyDescent="0.25">
      <c r="A280" s="117">
        <v>540182</v>
      </c>
      <c r="B280" s="2" t="s">
        <v>252</v>
      </c>
      <c r="C280" s="2" t="s">
        <v>97</v>
      </c>
      <c r="D280" s="2" t="s">
        <v>115</v>
      </c>
      <c r="E280" s="117">
        <v>5</v>
      </c>
      <c r="F280" s="117">
        <v>13.2</v>
      </c>
      <c r="G280" s="117">
        <v>0.5</v>
      </c>
      <c r="H280" s="117">
        <v>0</v>
      </c>
      <c r="I280" s="158">
        <v>0</v>
      </c>
      <c r="J280" s="117">
        <v>0.1</v>
      </c>
      <c r="K280" s="267">
        <v>0.2</v>
      </c>
      <c r="L280" s="117">
        <v>0</v>
      </c>
      <c r="M280" s="267">
        <v>0</v>
      </c>
      <c r="N280" s="117">
        <v>0.4</v>
      </c>
      <c r="O280" s="158">
        <v>0.8</v>
      </c>
      <c r="P280" s="117">
        <v>0.3</v>
      </c>
      <c r="Q280" s="267">
        <v>0.6</v>
      </c>
      <c r="R280" s="158">
        <v>2.2700000000000001E-2</v>
      </c>
      <c r="S280" s="117">
        <v>0.1</v>
      </c>
      <c r="T280" s="267">
        <v>0.33329999999999999</v>
      </c>
      <c r="U280" s="117">
        <v>0.1</v>
      </c>
      <c r="V280" s="267">
        <v>0.33329999999999999</v>
      </c>
      <c r="W280" s="117">
        <v>0.1</v>
      </c>
      <c r="X280" s="267">
        <v>0.33329999999999999</v>
      </c>
    </row>
    <row r="281" spans="1:24" x14ac:dyDescent="0.25">
      <c r="A281" s="117">
        <v>540262</v>
      </c>
      <c r="B281" s="2" t="s">
        <v>305</v>
      </c>
      <c r="C281" s="2" t="s">
        <v>97</v>
      </c>
      <c r="D281" s="2" t="s">
        <v>115</v>
      </c>
      <c r="E281" s="117">
        <v>5</v>
      </c>
      <c r="F281" s="117">
        <v>1.5</v>
      </c>
      <c r="G281" s="117">
        <v>0.3</v>
      </c>
      <c r="H281" s="117">
        <v>0</v>
      </c>
      <c r="I281" s="158">
        <v>0</v>
      </c>
      <c r="J281" s="117">
        <v>0</v>
      </c>
      <c r="K281" s="267">
        <v>0</v>
      </c>
      <c r="L281" s="117">
        <v>0.2</v>
      </c>
      <c r="M281" s="267">
        <v>0.66669999999999996</v>
      </c>
      <c r="N281" s="117">
        <v>0.1</v>
      </c>
      <c r="O281" s="158">
        <v>0.33329999999999999</v>
      </c>
      <c r="P281" s="117">
        <v>0.3</v>
      </c>
      <c r="Q281" s="267">
        <v>1</v>
      </c>
      <c r="R281" s="158">
        <v>0.2</v>
      </c>
      <c r="S281" s="117">
        <v>0.2</v>
      </c>
      <c r="T281" s="267" t="s">
        <v>488</v>
      </c>
      <c r="U281" s="117">
        <v>0.1</v>
      </c>
      <c r="V281" s="267" t="s">
        <v>488</v>
      </c>
      <c r="W281" s="117">
        <v>0</v>
      </c>
      <c r="X281" s="267" t="s">
        <v>488</v>
      </c>
    </row>
    <row r="282" spans="1:24" x14ac:dyDescent="0.25">
      <c r="A282" s="117">
        <v>540263</v>
      </c>
      <c r="B282" s="2" t="s">
        <v>306</v>
      </c>
      <c r="C282" s="2" t="s">
        <v>97</v>
      </c>
      <c r="D282" s="2" t="s">
        <v>115</v>
      </c>
      <c r="E282" s="117">
        <v>5</v>
      </c>
      <c r="F282" s="117">
        <v>2.5</v>
      </c>
      <c r="G282" s="117">
        <v>0.2</v>
      </c>
      <c r="H282" s="117">
        <v>0</v>
      </c>
      <c r="I282" s="158">
        <v>0</v>
      </c>
      <c r="J282" s="117">
        <v>0</v>
      </c>
      <c r="K282" s="267">
        <v>0</v>
      </c>
      <c r="L282" s="117">
        <v>0.1</v>
      </c>
      <c r="M282" s="267">
        <v>0.5</v>
      </c>
      <c r="N282" s="117">
        <v>0.1</v>
      </c>
      <c r="O282" s="158">
        <v>0.5</v>
      </c>
      <c r="P282" s="117">
        <v>0.2</v>
      </c>
      <c r="Q282" s="267">
        <v>1</v>
      </c>
      <c r="R282" s="158">
        <v>0.08</v>
      </c>
      <c r="S282" s="117">
        <v>0.1</v>
      </c>
      <c r="T282" s="267" t="s">
        <v>488</v>
      </c>
      <c r="U282" s="117">
        <v>0.1</v>
      </c>
      <c r="V282" s="267" t="s">
        <v>488</v>
      </c>
      <c r="W282" s="117">
        <v>0</v>
      </c>
      <c r="X282" s="267" t="s">
        <v>488</v>
      </c>
    </row>
    <row r="283" spans="1:24" x14ac:dyDescent="0.25">
      <c r="A283" s="269"/>
      <c r="B283" s="269"/>
      <c r="C283" s="269" t="s">
        <v>97</v>
      </c>
      <c r="D283" s="269"/>
      <c r="E283" s="269"/>
      <c r="F283" s="270">
        <v>810.3</v>
      </c>
      <c r="G283" s="270">
        <v>76.2</v>
      </c>
      <c r="H283" s="270">
        <v>0</v>
      </c>
      <c r="I283" s="352">
        <v>0</v>
      </c>
      <c r="J283" s="270">
        <v>0.7</v>
      </c>
      <c r="K283" s="271">
        <v>9.1999999999999998E-3</v>
      </c>
      <c r="L283" s="270">
        <v>13.4</v>
      </c>
      <c r="M283" s="271">
        <v>0.1759</v>
      </c>
      <c r="N283" s="270">
        <v>62.1</v>
      </c>
      <c r="O283" s="352">
        <v>0.81499999999999995</v>
      </c>
      <c r="P283" s="270">
        <v>53.1</v>
      </c>
      <c r="Q283" s="271">
        <v>0.69689999999999996</v>
      </c>
      <c r="R283" s="352">
        <v>6.5500000000000003E-2</v>
      </c>
      <c r="S283" s="270">
        <v>8.3000000000000007</v>
      </c>
      <c r="T283" s="271">
        <v>0.15629999999999999</v>
      </c>
      <c r="U283" s="270">
        <v>15.7</v>
      </c>
      <c r="V283" s="271">
        <v>0.29570000000000002</v>
      </c>
      <c r="W283" s="270">
        <v>29.1</v>
      </c>
      <c r="X283" s="271">
        <v>0.54800000000000004</v>
      </c>
    </row>
    <row r="284" spans="1:24" x14ac:dyDescent="0.25">
      <c r="A284" s="117">
        <v>540225</v>
      </c>
      <c r="B284" s="2" t="s">
        <v>98</v>
      </c>
      <c r="C284" s="2" t="s">
        <v>99</v>
      </c>
      <c r="D284" s="2" t="s">
        <v>5</v>
      </c>
      <c r="E284" s="117">
        <v>5</v>
      </c>
      <c r="F284" s="117">
        <v>248.4</v>
      </c>
      <c r="G284" s="117">
        <v>30.6</v>
      </c>
      <c r="H284" s="117">
        <v>0</v>
      </c>
      <c r="I284" s="158">
        <v>0</v>
      </c>
      <c r="J284" s="117">
        <v>0</v>
      </c>
      <c r="K284" s="267">
        <v>0</v>
      </c>
      <c r="L284" s="117">
        <v>4.0999999999999996</v>
      </c>
      <c r="M284" s="267">
        <v>0.13400000000000001</v>
      </c>
      <c r="N284" s="117">
        <v>26.6</v>
      </c>
      <c r="O284" s="158">
        <v>0.86929999999999996</v>
      </c>
      <c r="P284" s="117">
        <v>8.3000000000000007</v>
      </c>
      <c r="Q284" s="267">
        <v>0.2712</v>
      </c>
      <c r="R284" s="158">
        <v>3.3399999999999999E-2</v>
      </c>
      <c r="S284" s="117">
        <v>1.3</v>
      </c>
      <c r="T284" s="267">
        <v>0.15659999999999999</v>
      </c>
      <c r="U284" s="117">
        <v>2.4</v>
      </c>
      <c r="V284" s="267">
        <v>0.28920000000000001</v>
      </c>
      <c r="W284" s="117">
        <v>4.5999999999999996</v>
      </c>
      <c r="X284" s="267">
        <v>0.55420000000000003</v>
      </c>
    </row>
    <row r="285" spans="1:24" x14ac:dyDescent="0.25">
      <c r="A285" s="117">
        <v>540156</v>
      </c>
      <c r="B285" s="2" t="s">
        <v>232</v>
      </c>
      <c r="C285" s="2" t="s">
        <v>99</v>
      </c>
      <c r="D285" s="2" t="s">
        <v>115</v>
      </c>
      <c r="E285" s="117">
        <v>5</v>
      </c>
      <c r="F285" s="117">
        <v>4.7</v>
      </c>
      <c r="G285" s="117">
        <v>0.6</v>
      </c>
      <c r="H285" s="117">
        <v>0</v>
      </c>
      <c r="I285" s="158">
        <v>0</v>
      </c>
      <c r="J285" s="117">
        <v>0</v>
      </c>
      <c r="K285" s="267">
        <v>0</v>
      </c>
      <c r="L285" s="117">
        <v>0.4</v>
      </c>
      <c r="M285" s="267">
        <v>0.66669999999999996</v>
      </c>
      <c r="N285" s="117">
        <v>0.2</v>
      </c>
      <c r="O285" s="158">
        <v>0.33329999999999999</v>
      </c>
      <c r="P285" s="117">
        <v>0</v>
      </c>
      <c r="Q285" s="267">
        <v>0</v>
      </c>
      <c r="R285" s="158">
        <v>0</v>
      </c>
      <c r="S285" s="117">
        <v>0</v>
      </c>
      <c r="T285" s="267" t="s">
        <v>488</v>
      </c>
      <c r="U285" s="117">
        <v>0</v>
      </c>
      <c r="V285" s="267" t="s">
        <v>488</v>
      </c>
      <c r="W285" s="117">
        <v>0</v>
      </c>
      <c r="X285" s="267" t="s">
        <v>488</v>
      </c>
    </row>
    <row r="286" spans="1:24" x14ac:dyDescent="0.25">
      <c r="A286" s="117">
        <v>540253</v>
      </c>
      <c r="B286" s="2" t="s">
        <v>299</v>
      </c>
      <c r="C286" s="2" t="s">
        <v>99</v>
      </c>
      <c r="D286" s="2" t="s">
        <v>115</v>
      </c>
      <c r="E286" s="117">
        <v>5</v>
      </c>
      <c r="F286" s="117">
        <v>4.8</v>
      </c>
      <c r="G286" s="117">
        <v>0.3</v>
      </c>
      <c r="H286" s="117">
        <v>0</v>
      </c>
      <c r="I286" s="158">
        <v>0</v>
      </c>
      <c r="J286" s="117">
        <v>0</v>
      </c>
      <c r="K286" s="267">
        <v>0</v>
      </c>
      <c r="L286" s="117">
        <v>0.2</v>
      </c>
      <c r="M286" s="267">
        <v>0.66669999999999996</v>
      </c>
      <c r="N286" s="117">
        <v>0.1</v>
      </c>
      <c r="O286" s="158">
        <v>0.33329999999999999</v>
      </c>
      <c r="P286" s="117">
        <v>0</v>
      </c>
      <c r="Q286" s="267">
        <v>0</v>
      </c>
      <c r="R286" s="158">
        <v>0</v>
      </c>
      <c r="S286" s="117">
        <v>0</v>
      </c>
      <c r="T286" s="267" t="s">
        <v>488</v>
      </c>
      <c r="U286" s="117">
        <v>0</v>
      </c>
      <c r="V286" s="267" t="s">
        <v>488</v>
      </c>
      <c r="W286" s="117">
        <v>0</v>
      </c>
      <c r="X286" s="267" t="s">
        <v>488</v>
      </c>
    </row>
    <row r="287" spans="1:24" x14ac:dyDescent="0.25">
      <c r="A287" s="269"/>
      <c r="B287" s="269"/>
      <c r="C287" s="269" t="s">
        <v>99</v>
      </c>
      <c r="D287" s="269"/>
      <c r="E287" s="269"/>
      <c r="F287" s="270">
        <v>257.89999999999998</v>
      </c>
      <c r="G287" s="270">
        <v>31.5</v>
      </c>
      <c r="H287" s="270">
        <v>0</v>
      </c>
      <c r="I287" s="352">
        <v>0</v>
      </c>
      <c r="J287" s="270">
        <v>0</v>
      </c>
      <c r="K287" s="271">
        <v>0</v>
      </c>
      <c r="L287" s="270">
        <v>4.7</v>
      </c>
      <c r="M287" s="271">
        <v>0.1492</v>
      </c>
      <c r="N287" s="270">
        <v>26.9</v>
      </c>
      <c r="O287" s="352">
        <v>0.85399999999999998</v>
      </c>
      <c r="P287" s="270">
        <v>8.3000000000000007</v>
      </c>
      <c r="Q287" s="271">
        <v>0.26350000000000001</v>
      </c>
      <c r="R287" s="352">
        <v>3.2199999999999999E-2</v>
      </c>
      <c r="S287" s="270">
        <v>1.3</v>
      </c>
      <c r="T287" s="271">
        <v>0.15659999999999999</v>
      </c>
      <c r="U287" s="270">
        <v>2.4</v>
      </c>
      <c r="V287" s="271">
        <v>0.28920000000000001</v>
      </c>
      <c r="W287" s="270">
        <v>4.5999999999999996</v>
      </c>
      <c r="X287" s="271">
        <v>0.55420000000000003</v>
      </c>
    </row>
    <row r="288" spans="1:24" x14ac:dyDescent="0.25">
      <c r="A288" s="117">
        <v>540226</v>
      </c>
      <c r="B288" s="2" t="s">
        <v>100</v>
      </c>
      <c r="C288" s="2" t="s">
        <v>101</v>
      </c>
      <c r="D288" s="2" t="s">
        <v>5</v>
      </c>
      <c r="E288" s="117">
        <v>8</v>
      </c>
      <c r="F288" s="117">
        <v>734.8</v>
      </c>
      <c r="G288" s="117">
        <v>99</v>
      </c>
      <c r="H288" s="117">
        <v>0</v>
      </c>
      <c r="I288" s="158">
        <v>0</v>
      </c>
      <c r="J288" s="117">
        <v>22</v>
      </c>
      <c r="K288" s="267">
        <v>0.22220000000000001</v>
      </c>
      <c r="L288" s="117">
        <v>10.3</v>
      </c>
      <c r="M288" s="267">
        <v>0.104</v>
      </c>
      <c r="N288" s="117">
        <v>66.7</v>
      </c>
      <c r="O288" s="158">
        <v>0.67369999999999997</v>
      </c>
      <c r="P288" s="117">
        <v>0</v>
      </c>
      <c r="Q288" s="267">
        <v>0</v>
      </c>
      <c r="R288" s="158">
        <v>0</v>
      </c>
      <c r="S288" s="117">
        <v>0</v>
      </c>
      <c r="T288" s="267" t="s">
        <v>488</v>
      </c>
      <c r="U288" s="117">
        <v>0</v>
      </c>
      <c r="V288" s="267" t="s">
        <v>488</v>
      </c>
      <c r="W288" s="117">
        <v>0</v>
      </c>
      <c r="X288" s="267" t="s">
        <v>488</v>
      </c>
    </row>
    <row r="289" spans="1:24" x14ac:dyDescent="0.25">
      <c r="A289" s="117">
        <v>540046</v>
      </c>
      <c r="B289" s="2" t="s">
        <v>147</v>
      </c>
      <c r="C289" s="2" t="s">
        <v>101</v>
      </c>
      <c r="D289" s="2" t="s">
        <v>115</v>
      </c>
      <c r="E289" s="117">
        <v>8</v>
      </c>
      <c r="F289" s="117">
        <v>3.8</v>
      </c>
      <c r="G289" s="117">
        <v>0.9</v>
      </c>
      <c r="H289" s="117">
        <v>0</v>
      </c>
      <c r="I289" s="158">
        <v>0</v>
      </c>
      <c r="J289" s="117">
        <v>0.5</v>
      </c>
      <c r="K289" s="267">
        <v>0.55559999999999998</v>
      </c>
      <c r="L289" s="117">
        <v>0</v>
      </c>
      <c r="M289" s="267">
        <v>0</v>
      </c>
      <c r="N289" s="117">
        <v>0.3</v>
      </c>
      <c r="O289" s="158">
        <v>0.33329999999999999</v>
      </c>
      <c r="P289" s="117">
        <v>0</v>
      </c>
      <c r="Q289" s="267">
        <v>0</v>
      </c>
      <c r="R289" s="158">
        <v>0</v>
      </c>
      <c r="S289" s="117">
        <v>0</v>
      </c>
      <c r="T289" s="267" t="s">
        <v>488</v>
      </c>
      <c r="U289" s="117">
        <v>0</v>
      </c>
      <c r="V289" s="267" t="s">
        <v>488</v>
      </c>
      <c r="W289" s="117">
        <v>0</v>
      </c>
      <c r="X289" s="267" t="s">
        <v>488</v>
      </c>
    </row>
    <row r="290" spans="1:24" x14ac:dyDescent="0.25">
      <c r="A290" s="117">
        <v>540276</v>
      </c>
      <c r="B290" s="2" t="s">
        <v>319</v>
      </c>
      <c r="C290" s="2" t="s">
        <v>101</v>
      </c>
      <c r="D290" s="2" t="s">
        <v>115</v>
      </c>
      <c r="E290" s="117">
        <v>8</v>
      </c>
      <c r="F290" s="117">
        <v>4.2</v>
      </c>
      <c r="G290" s="117">
        <v>0.2</v>
      </c>
      <c r="H290" s="117">
        <v>0</v>
      </c>
      <c r="I290" s="158">
        <v>0</v>
      </c>
      <c r="J290" s="117">
        <v>0</v>
      </c>
      <c r="K290" s="267">
        <v>0</v>
      </c>
      <c r="L290" s="117">
        <v>0.1</v>
      </c>
      <c r="M290" s="267">
        <v>0.5</v>
      </c>
      <c r="N290" s="117">
        <v>0.1</v>
      </c>
      <c r="O290" s="158">
        <v>0.5</v>
      </c>
      <c r="P290" s="117">
        <v>0</v>
      </c>
      <c r="Q290" s="267">
        <v>0</v>
      </c>
      <c r="R290" s="158">
        <v>0</v>
      </c>
      <c r="S290" s="117">
        <v>0</v>
      </c>
      <c r="T290" s="267" t="s">
        <v>488</v>
      </c>
      <c r="U290" s="117">
        <v>0</v>
      </c>
      <c r="V290" s="267" t="s">
        <v>488</v>
      </c>
      <c r="W290" s="117">
        <v>0</v>
      </c>
      <c r="X290" s="267" t="s">
        <v>488</v>
      </c>
    </row>
    <row r="291" spans="1:24" x14ac:dyDescent="0.25">
      <c r="A291" s="269"/>
      <c r="B291" s="269"/>
      <c r="C291" s="269" t="s">
        <v>101</v>
      </c>
      <c r="D291" s="269"/>
      <c r="E291" s="269"/>
      <c r="F291" s="270">
        <v>742.8</v>
      </c>
      <c r="G291" s="270">
        <v>100.1</v>
      </c>
      <c r="H291" s="270">
        <v>0</v>
      </c>
      <c r="I291" s="352">
        <v>0</v>
      </c>
      <c r="J291" s="270">
        <v>22.5</v>
      </c>
      <c r="K291" s="271">
        <v>0.2248</v>
      </c>
      <c r="L291" s="270">
        <v>10.4</v>
      </c>
      <c r="M291" s="271">
        <v>0.10390000000000001</v>
      </c>
      <c r="N291" s="270">
        <v>67.099999999999994</v>
      </c>
      <c r="O291" s="352">
        <v>0.67030000000000001</v>
      </c>
      <c r="P291" s="270">
        <v>0</v>
      </c>
      <c r="Q291" s="271">
        <v>0</v>
      </c>
      <c r="R291" s="352">
        <v>0</v>
      </c>
      <c r="S291" s="270">
        <v>0</v>
      </c>
      <c r="T291" s="271" t="s">
        <v>488</v>
      </c>
      <c r="U291" s="270">
        <v>0</v>
      </c>
      <c r="V291" s="271" t="s">
        <v>488</v>
      </c>
      <c r="W291" s="270">
        <v>0</v>
      </c>
      <c r="X291" s="271" t="s">
        <v>488</v>
      </c>
    </row>
    <row r="292" spans="1:24" x14ac:dyDescent="0.25">
      <c r="A292" s="117">
        <v>540277</v>
      </c>
      <c r="B292" s="2" t="s">
        <v>102</v>
      </c>
      <c r="C292" s="2" t="s">
        <v>103</v>
      </c>
      <c r="D292" s="2" t="s">
        <v>5</v>
      </c>
      <c r="E292" s="117">
        <v>5</v>
      </c>
      <c r="F292" s="117">
        <v>432.3</v>
      </c>
      <c r="G292" s="117">
        <v>67.400000000000006</v>
      </c>
      <c r="H292" s="117">
        <v>0</v>
      </c>
      <c r="I292" s="158">
        <v>0</v>
      </c>
      <c r="J292" s="117">
        <v>0</v>
      </c>
      <c r="K292" s="267">
        <v>0</v>
      </c>
      <c r="L292" s="117">
        <v>25.2</v>
      </c>
      <c r="M292" s="267">
        <v>0.37390000000000001</v>
      </c>
      <c r="N292" s="117">
        <v>42.2</v>
      </c>
      <c r="O292" s="158">
        <v>0.62609999999999999</v>
      </c>
      <c r="P292" s="117">
        <v>35.4</v>
      </c>
      <c r="Q292" s="267">
        <v>0.5252</v>
      </c>
      <c r="R292" s="158">
        <v>8.1900000000000001E-2</v>
      </c>
      <c r="S292" s="117">
        <v>4.5</v>
      </c>
      <c r="T292" s="267">
        <v>0.12709999999999999</v>
      </c>
      <c r="U292" s="117">
        <v>8.9</v>
      </c>
      <c r="V292" s="267">
        <v>0.25140000000000001</v>
      </c>
      <c r="W292" s="117">
        <v>22</v>
      </c>
      <c r="X292" s="267">
        <v>0.62150000000000005</v>
      </c>
    </row>
    <row r="293" spans="1:24" x14ac:dyDescent="0.25">
      <c r="A293" s="117">
        <v>540195</v>
      </c>
      <c r="B293" s="2" t="s">
        <v>258</v>
      </c>
      <c r="C293" s="2" t="s">
        <v>103</v>
      </c>
      <c r="D293" s="2" t="s">
        <v>115</v>
      </c>
      <c r="E293" s="117">
        <v>5</v>
      </c>
      <c r="F293" s="117">
        <v>1.4</v>
      </c>
      <c r="G293" s="117">
        <v>0</v>
      </c>
      <c r="H293" s="117">
        <v>0</v>
      </c>
      <c r="I293" s="267" t="s">
        <v>488</v>
      </c>
      <c r="J293" s="117">
        <v>0</v>
      </c>
      <c r="K293" s="267" t="s">
        <v>488</v>
      </c>
      <c r="L293" s="117">
        <v>0</v>
      </c>
      <c r="M293" s="267" t="s">
        <v>488</v>
      </c>
      <c r="N293" s="117">
        <v>0</v>
      </c>
      <c r="O293" s="267" t="s">
        <v>488</v>
      </c>
      <c r="P293" s="117">
        <v>0</v>
      </c>
      <c r="Q293" s="267" t="s">
        <v>488</v>
      </c>
      <c r="R293" s="158">
        <v>0</v>
      </c>
      <c r="S293" s="117">
        <v>0</v>
      </c>
      <c r="T293" s="267" t="s">
        <v>488</v>
      </c>
      <c r="U293" s="117">
        <v>0</v>
      </c>
      <c r="V293" s="267" t="s">
        <v>488</v>
      </c>
      <c r="W293" s="117">
        <v>0</v>
      </c>
      <c r="X293" s="267" t="s">
        <v>488</v>
      </c>
    </row>
    <row r="294" spans="1:24" x14ac:dyDescent="0.25">
      <c r="A294" s="117">
        <v>540196</v>
      </c>
      <c r="B294" s="2" t="s">
        <v>259</v>
      </c>
      <c r="C294" s="2" t="s">
        <v>103</v>
      </c>
      <c r="D294" s="2" t="s">
        <v>115</v>
      </c>
      <c r="E294" s="117">
        <v>5</v>
      </c>
      <c r="F294" s="117">
        <v>1.3</v>
      </c>
      <c r="G294" s="117">
        <v>0</v>
      </c>
      <c r="H294" s="117">
        <v>0</v>
      </c>
      <c r="I294" s="267" t="s">
        <v>488</v>
      </c>
      <c r="J294" s="117">
        <v>0</v>
      </c>
      <c r="K294" s="267" t="s">
        <v>488</v>
      </c>
      <c r="L294" s="117">
        <v>0</v>
      </c>
      <c r="M294" s="267" t="s">
        <v>488</v>
      </c>
      <c r="N294" s="117">
        <v>0</v>
      </c>
      <c r="O294" s="267" t="s">
        <v>488</v>
      </c>
      <c r="P294" s="117">
        <v>0</v>
      </c>
      <c r="Q294" s="267" t="s">
        <v>488</v>
      </c>
      <c r="R294" s="158">
        <v>0</v>
      </c>
      <c r="S294" s="117">
        <v>0</v>
      </c>
      <c r="T294" s="267" t="s">
        <v>488</v>
      </c>
      <c r="U294" s="117">
        <v>0</v>
      </c>
      <c r="V294" s="267" t="s">
        <v>488</v>
      </c>
      <c r="W294" s="117">
        <v>0</v>
      </c>
      <c r="X294" s="267" t="s">
        <v>488</v>
      </c>
    </row>
    <row r="295" spans="1:24" x14ac:dyDescent="0.25">
      <c r="A295" s="117">
        <v>540197</v>
      </c>
      <c r="B295" s="2" t="s">
        <v>260</v>
      </c>
      <c r="C295" s="2" t="s">
        <v>103</v>
      </c>
      <c r="D295" s="2" t="s">
        <v>115</v>
      </c>
      <c r="E295" s="117">
        <v>5</v>
      </c>
      <c r="F295" s="117">
        <v>3.3</v>
      </c>
      <c r="G295" s="117">
        <v>0.1</v>
      </c>
      <c r="H295" s="117">
        <v>0</v>
      </c>
      <c r="I295" s="158">
        <v>0</v>
      </c>
      <c r="J295" s="117">
        <v>0</v>
      </c>
      <c r="K295" s="267">
        <v>0</v>
      </c>
      <c r="L295" s="117">
        <v>0.1</v>
      </c>
      <c r="M295" s="267">
        <v>1</v>
      </c>
      <c r="N295" s="117">
        <v>0</v>
      </c>
      <c r="O295" s="158">
        <v>0</v>
      </c>
      <c r="P295" s="117">
        <v>0</v>
      </c>
      <c r="Q295" s="267">
        <v>0</v>
      </c>
      <c r="R295" s="158">
        <v>0</v>
      </c>
      <c r="S295" s="117">
        <v>0</v>
      </c>
      <c r="T295" s="267" t="s">
        <v>488</v>
      </c>
      <c r="U295" s="117">
        <v>0</v>
      </c>
      <c r="V295" s="267" t="s">
        <v>488</v>
      </c>
      <c r="W295" s="117">
        <v>0</v>
      </c>
      <c r="X295" s="267" t="s">
        <v>488</v>
      </c>
    </row>
    <row r="296" spans="1:24" x14ac:dyDescent="0.25">
      <c r="A296" s="117">
        <v>540259</v>
      </c>
      <c r="B296" s="2" t="s">
        <v>304</v>
      </c>
      <c r="C296" s="2" t="s">
        <v>103</v>
      </c>
      <c r="D296" s="2" t="s">
        <v>115</v>
      </c>
      <c r="E296" s="117">
        <v>5</v>
      </c>
      <c r="F296" s="117">
        <v>1.2</v>
      </c>
      <c r="G296" s="117">
        <v>1</v>
      </c>
      <c r="H296" s="117">
        <v>0</v>
      </c>
      <c r="I296" s="158">
        <v>0</v>
      </c>
      <c r="J296" s="117">
        <v>0</v>
      </c>
      <c r="K296" s="267">
        <v>0</v>
      </c>
      <c r="L296" s="117">
        <v>0.5</v>
      </c>
      <c r="M296" s="267">
        <v>0.5</v>
      </c>
      <c r="N296" s="117">
        <v>0.5</v>
      </c>
      <c r="O296" s="158">
        <v>0.5</v>
      </c>
      <c r="P296" s="117">
        <v>0</v>
      </c>
      <c r="Q296" s="267">
        <v>0</v>
      </c>
      <c r="R296" s="158">
        <v>0</v>
      </c>
      <c r="S296" s="117">
        <v>0</v>
      </c>
      <c r="T296" s="267" t="s">
        <v>488</v>
      </c>
      <c r="U296" s="117">
        <v>0</v>
      </c>
      <c r="V296" s="267" t="s">
        <v>488</v>
      </c>
      <c r="W296" s="117">
        <v>0</v>
      </c>
      <c r="X296" s="267" t="s">
        <v>488</v>
      </c>
    </row>
    <row r="297" spans="1:24" x14ac:dyDescent="0.25">
      <c r="A297" s="269"/>
      <c r="B297" s="269"/>
      <c r="C297" s="269" t="s">
        <v>103</v>
      </c>
      <c r="D297" s="269"/>
      <c r="E297" s="269"/>
      <c r="F297" s="270">
        <v>439.5</v>
      </c>
      <c r="G297" s="270">
        <v>68.5</v>
      </c>
      <c r="H297" s="270">
        <v>0</v>
      </c>
      <c r="I297" s="352">
        <v>0</v>
      </c>
      <c r="J297" s="270">
        <v>0</v>
      </c>
      <c r="K297" s="271">
        <v>0</v>
      </c>
      <c r="L297" s="270">
        <v>25.8</v>
      </c>
      <c r="M297" s="271">
        <v>0.37659999999999999</v>
      </c>
      <c r="N297" s="270">
        <v>42.7</v>
      </c>
      <c r="O297" s="352">
        <v>0.62339999999999995</v>
      </c>
      <c r="P297" s="270">
        <v>35.4</v>
      </c>
      <c r="Q297" s="271">
        <v>0.51680000000000004</v>
      </c>
      <c r="R297" s="352">
        <v>8.0500000000000002E-2</v>
      </c>
      <c r="S297" s="270">
        <v>4.5</v>
      </c>
      <c r="T297" s="271">
        <v>0.12709999999999999</v>
      </c>
      <c r="U297" s="270">
        <v>8.9</v>
      </c>
      <c r="V297" s="271">
        <v>0.25140000000000001</v>
      </c>
      <c r="W297" s="270">
        <v>22</v>
      </c>
      <c r="X297" s="271">
        <v>0.62150000000000005</v>
      </c>
    </row>
    <row r="298" spans="1:24" x14ac:dyDescent="0.25">
      <c r="A298" s="117">
        <v>540278</v>
      </c>
      <c r="B298" s="2" t="s">
        <v>104</v>
      </c>
      <c r="C298" s="2" t="s">
        <v>105</v>
      </c>
      <c r="D298" s="2" t="s">
        <v>5</v>
      </c>
      <c r="E298" s="117">
        <v>1</v>
      </c>
      <c r="F298" s="117">
        <v>633.20000000000005</v>
      </c>
      <c r="G298" s="117">
        <v>53.9</v>
      </c>
      <c r="H298" s="117">
        <v>0</v>
      </c>
      <c r="I298" s="158">
        <v>0</v>
      </c>
      <c r="J298" s="117">
        <v>7.4</v>
      </c>
      <c r="K298" s="267">
        <v>0.13730000000000001</v>
      </c>
      <c r="L298" s="117">
        <v>9.4</v>
      </c>
      <c r="M298" s="267">
        <v>0.1744</v>
      </c>
      <c r="N298" s="117">
        <v>37.1</v>
      </c>
      <c r="O298" s="158">
        <v>0.68830000000000002</v>
      </c>
      <c r="P298" s="117">
        <v>22.9</v>
      </c>
      <c r="Q298" s="267">
        <v>0.4249</v>
      </c>
      <c r="R298" s="158">
        <v>3.6200000000000003E-2</v>
      </c>
      <c r="S298" s="117">
        <v>7.7</v>
      </c>
      <c r="T298" s="267">
        <v>0.3362</v>
      </c>
      <c r="U298" s="117">
        <v>8</v>
      </c>
      <c r="V298" s="267">
        <v>0.3493</v>
      </c>
      <c r="W298" s="117">
        <v>7.2</v>
      </c>
      <c r="X298" s="267">
        <v>0.31440000000000001</v>
      </c>
    </row>
    <row r="299" spans="1:24" x14ac:dyDescent="0.25">
      <c r="A299" s="117">
        <v>540041</v>
      </c>
      <c r="B299" s="2" t="s">
        <v>142</v>
      </c>
      <c r="C299" s="2" t="s">
        <v>105</v>
      </c>
      <c r="D299" s="2" t="s">
        <v>115</v>
      </c>
      <c r="E299" s="117">
        <v>1</v>
      </c>
      <c r="F299" s="117">
        <v>1.4</v>
      </c>
      <c r="G299" s="117">
        <v>0.5</v>
      </c>
      <c r="H299" s="117">
        <v>0</v>
      </c>
      <c r="I299" s="158">
        <v>0</v>
      </c>
      <c r="J299" s="117">
        <v>0</v>
      </c>
      <c r="K299" s="267">
        <v>0</v>
      </c>
      <c r="L299" s="117">
        <v>0.5</v>
      </c>
      <c r="M299" s="267">
        <v>1</v>
      </c>
      <c r="N299" s="117">
        <v>0</v>
      </c>
      <c r="O299" s="158">
        <v>0</v>
      </c>
      <c r="P299" s="117">
        <v>0.4</v>
      </c>
      <c r="Q299" s="267">
        <v>0.8</v>
      </c>
      <c r="R299" s="158">
        <v>0.28570000000000001</v>
      </c>
      <c r="S299" s="117">
        <v>0.1</v>
      </c>
      <c r="T299" s="267">
        <v>0.25</v>
      </c>
      <c r="U299" s="117">
        <v>0.1</v>
      </c>
      <c r="V299" s="267">
        <v>0.25</v>
      </c>
      <c r="W299" s="117">
        <v>0.2</v>
      </c>
      <c r="X299" s="267">
        <v>0.5</v>
      </c>
    </row>
    <row r="300" spans="1:24" x14ac:dyDescent="0.25">
      <c r="A300" s="117">
        <v>540143</v>
      </c>
      <c r="B300" s="2" t="s">
        <v>224</v>
      </c>
      <c r="C300" s="2" t="s">
        <v>105</v>
      </c>
      <c r="D300" s="2" t="s">
        <v>115</v>
      </c>
      <c r="E300" s="117">
        <v>1</v>
      </c>
      <c r="F300" s="117">
        <v>4.0999999999999996</v>
      </c>
      <c r="G300" s="117">
        <v>0.6</v>
      </c>
      <c r="H300" s="117">
        <v>0</v>
      </c>
      <c r="I300" s="158">
        <v>0</v>
      </c>
      <c r="J300" s="117">
        <v>0.1</v>
      </c>
      <c r="K300" s="267">
        <v>0.16669999999999999</v>
      </c>
      <c r="L300" s="117">
        <v>0.1</v>
      </c>
      <c r="M300" s="267">
        <v>0.16669999999999999</v>
      </c>
      <c r="N300" s="117">
        <v>0.3</v>
      </c>
      <c r="O300" s="158">
        <v>0.5</v>
      </c>
      <c r="P300" s="117">
        <v>0.2</v>
      </c>
      <c r="Q300" s="267">
        <v>0.33329999999999999</v>
      </c>
      <c r="R300" s="158">
        <v>4.8800000000000003E-2</v>
      </c>
      <c r="S300" s="117">
        <v>0.1</v>
      </c>
      <c r="T300" s="267">
        <v>0.5</v>
      </c>
      <c r="U300" s="117">
        <v>0</v>
      </c>
      <c r="V300" s="267">
        <v>0</v>
      </c>
      <c r="W300" s="117">
        <v>0.1</v>
      </c>
      <c r="X300" s="267">
        <v>0.5</v>
      </c>
    </row>
    <row r="301" spans="1:24" x14ac:dyDescent="0.25">
      <c r="A301" s="117">
        <v>540290</v>
      </c>
      <c r="B301" s="2" t="s">
        <v>327</v>
      </c>
      <c r="C301" s="2" t="s">
        <v>105</v>
      </c>
      <c r="D301" s="2" t="s">
        <v>115</v>
      </c>
      <c r="E301" s="117">
        <v>1</v>
      </c>
      <c r="F301" s="117">
        <v>5.0999999999999996</v>
      </c>
      <c r="G301" s="117">
        <v>0</v>
      </c>
      <c r="H301" s="117">
        <v>0</v>
      </c>
      <c r="I301" s="267" t="s">
        <v>488</v>
      </c>
      <c r="J301" s="117">
        <v>0</v>
      </c>
      <c r="K301" s="267" t="s">
        <v>488</v>
      </c>
      <c r="L301" s="117">
        <v>0</v>
      </c>
      <c r="M301" s="267" t="s">
        <v>488</v>
      </c>
      <c r="N301" s="117">
        <v>0</v>
      </c>
      <c r="O301" s="267" t="s">
        <v>488</v>
      </c>
      <c r="P301" s="117">
        <v>0</v>
      </c>
      <c r="Q301" s="267" t="s">
        <v>488</v>
      </c>
      <c r="R301" s="158">
        <v>0</v>
      </c>
      <c r="S301" s="117">
        <v>0</v>
      </c>
      <c r="T301" s="267" t="s">
        <v>488</v>
      </c>
      <c r="U301" s="117">
        <v>0</v>
      </c>
      <c r="V301" s="267" t="s">
        <v>488</v>
      </c>
      <c r="W301" s="117">
        <v>0</v>
      </c>
      <c r="X301" s="267" t="s">
        <v>488</v>
      </c>
    </row>
    <row r="302" spans="1:24" x14ac:dyDescent="0.25">
      <c r="A302" s="269"/>
      <c r="B302" s="269"/>
      <c r="C302" s="269" t="s">
        <v>105</v>
      </c>
      <c r="D302" s="269"/>
      <c r="E302" s="269"/>
      <c r="F302" s="270">
        <v>643.79999999999995</v>
      </c>
      <c r="G302" s="270">
        <v>55</v>
      </c>
      <c r="H302" s="270">
        <v>0</v>
      </c>
      <c r="I302" s="352">
        <v>0</v>
      </c>
      <c r="J302" s="270">
        <v>7.5</v>
      </c>
      <c r="K302" s="271">
        <v>0.13639999999999999</v>
      </c>
      <c r="L302" s="270">
        <v>10</v>
      </c>
      <c r="M302" s="271">
        <v>0.18179999999999999</v>
      </c>
      <c r="N302" s="270">
        <v>37.4</v>
      </c>
      <c r="O302" s="352">
        <v>0.68</v>
      </c>
      <c r="P302" s="270">
        <v>23.5</v>
      </c>
      <c r="Q302" s="271">
        <v>0.42730000000000001</v>
      </c>
      <c r="R302" s="352">
        <v>3.6499999999999998E-2</v>
      </c>
      <c r="S302" s="270">
        <v>7.9</v>
      </c>
      <c r="T302" s="271">
        <v>0.3362</v>
      </c>
      <c r="U302" s="270">
        <v>8.1</v>
      </c>
      <c r="V302" s="271">
        <v>0.34470000000000001</v>
      </c>
      <c r="W302" s="270">
        <v>7.5</v>
      </c>
      <c r="X302" s="271">
        <v>0.31909999999999999</v>
      </c>
    </row>
    <row r="303" spans="1:24" x14ac:dyDescent="0.25">
      <c r="A303" s="117">
        <v>540282</v>
      </c>
      <c r="B303" s="2" t="s">
        <v>106</v>
      </c>
      <c r="C303" s="2" t="s">
        <v>107</v>
      </c>
      <c r="D303" s="2" t="s">
        <v>5</v>
      </c>
      <c r="E303" s="117">
        <v>9</v>
      </c>
      <c r="F303" s="117">
        <v>701.6</v>
      </c>
      <c r="G303" s="117">
        <v>25.5</v>
      </c>
      <c r="H303" s="117">
        <v>0.5</v>
      </c>
      <c r="I303" s="158">
        <v>1.9599999999999999E-2</v>
      </c>
      <c r="J303" s="117">
        <v>1.1000000000000001</v>
      </c>
      <c r="K303" s="267">
        <v>4.3099999999999999E-2</v>
      </c>
      <c r="L303" s="117">
        <v>1.7</v>
      </c>
      <c r="M303" s="267">
        <v>6.6699999999999995E-2</v>
      </c>
      <c r="N303" s="117">
        <v>22.1</v>
      </c>
      <c r="O303" s="158">
        <v>0.86670000000000003</v>
      </c>
      <c r="P303" s="117">
        <v>16</v>
      </c>
      <c r="Q303" s="267">
        <v>0.62749999999999995</v>
      </c>
      <c r="R303" s="158">
        <v>2.2800000000000001E-2</v>
      </c>
      <c r="S303" s="117">
        <v>3.6</v>
      </c>
      <c r="T303" s="267">
        <v>0.22500000000000001</v>
      </c>
      <c r="U303" s="117">
        <v>3.8</v>
      </c>
      <c r="V303" s="267">
        <v>0.23749999999999999</v>
      </c>
      <c r="W303" s="117">
        <v>8.6</v>
      </c>
      <c r="X303" s="267">
        <v>0.53749999999999998</v>
      </c>
    </row>
    <row r="304" spans="1:24" x14ac:dyDescent="0.25">
      <c r="A304" s="117">
        <v>540006</v>
      </c>
      <c r="B304" s="2" t="s">
        <v>119</v>
      </c>
      <c r="C304" s="2" t="s">
        <v>107</v>
      </c>
      <c r="D304" s="2" t="s">
        <v>115</v>
      </c>
      <c r="E304" s="117">
        <v>9</v>
      </c>
      <c r="F304" s="117">
        <v>30.6</v>
      </c>
      <c r="G304" s="117">
        <v>0.8</v>
      </c>
      <c r="H304" s="117">
        <v>0</v>
      </c>
      <c r="I304" s="158">
        <v>0</v>
      </c>
      <c r="J304" s="117">
        <v>0.1</v>
      </c>
      <c r="K304" s="267">
        <v>0.125</v>
      </c>
      <c r="L304" s="117">
        <v>0</v>
      </c>
      <c r="M304" s="267">
        <v>0</v>
      </c>
      <c r="N304" s="117">
        <v>0.7</v>
      </c>
      <c r="O304" s="158">
        <v>0.875</v>
      </c>
      <c r="P304" s="117">
        <v>0.5</v>
      </c>
      <c r="Q304" s="267">
        <v>0.625</v>
      </c>
      <c r="R304" s="158">
        <v>1.6299999999999999E-2</v>
      </c>
      <c r="S304" s="117">
        <v>0.3</v>
      </c>
      <c r="T304" s="267">
        <v>0.6</v>
      </c>
      <c r="U304" s="117">
        <v>0.1</v>
      </c>
      <c r="V304" s="267">
        <v>0.2</v>
      </c>
      <c r="W304" s="117">
        <v>0.1</v>
      </c>
      <c r="X304" s="267">
        <v>0.2</v>
      </c>
    </row>
    <row r="305" spans="1:24" x14ac:dyDescent="0.25">
      <c r="A305" s="117">
        <v>545550</v>
      </c>
      <c r="B305" s="2" t="s">
        <v>339</v>
      </c>
      <c r="C305" s="2" t="s">
        <v>107</v>
      </c>
      <c r="D305" s="2" t="s">
        <v>115</v>
      </c>
      <c r="E305" s="117">
        <v>9</v>
      </c>
      <c r="F305" s="117">
        <v>0.9</v>
      </c>
      <c r="G305" s="117">
        <v>0</v>
      </c>
      <c r="H305" s="117">
        <v>0</v>
      </c>
      <c r="I305" s="267" t="s">
        <v>488</v>
      </c>
      <c r="J305" s="117">
        <v>0</v>
      </c>
      <c r="K305" s="267" t="s">
        <v>488</v>
      </c>
      <c r="L305" s="117">
        <v>0</v>
      </c>
      <c r="M305" s="267" t="s">
        <v>488</v>
      </c>
      <c r="N305" s="117">
        <v>0</v>
      </c>
      <c r="O305" s="267" t="s">
        <v>488</v>
      </c>
      <c r="P305" s="117">
        <v>0</v>
      </c>
      <c r="Q305" s="267" t="s">
        <v>488</v>
      </c>
      <c r="R305" s="158">
        <v>0</v>
      </c>
      <c r="S305" s="117">
        <v>0</v>
      </c>
      <c r="T305" s="267" t="s">
        <v>488</v>
      </c>
      <c r="U305" s="117">
        <v>0</v>
      </c>
      <c r="V305" s="267" t="s">
        <v>488</v>
      </c>
      <c r="W305" s="117">
        <v>0</v>
      </c>
      <c r="X305" s="267" t="s">
        <v>488</v>
      </c>
    </row>
    <row r="306" spans="1:24" x14ac:dyDescent="0.25">
      <c r="A306" s="269"/>
      <c r="B306" s="269"/>
      <c r="C306" s="269" t="s">
        <v>107</v>
      </c>
      <c r="D306" s="269"/>
      <c r="E306" s="269"/>
      <c r="F306" s="270">
        <v>733.1</v>
      </c>
      <c r="G306" s="270">
        <v>26.3</v>
      </c>
      <c r="H306" s="270">
        <v>0.5</v>
      </c>
      <c r="I306" s="352">
        <v>1.9E-2</v>
      </c>
      <c r="J306" s="270">
        <v>1.2</v>
      </c>
      <c r="K306" s="271">
        <v>4.5600000000000002E-2</v>
      </c>
      <c r="L306" s="270">
        <v>1.7</v>
      </c>
      <c r="M306" s="271">
        <v>6.4600000000000005E-2</v>
      </c>
      <c r="N306" s="270">
        <v>22.8</v>
      </c>
      <c r="O306" s="352">
        <v>0.8669</v>
      </c>
      <c r="P306" s="270">
        <v>16.5</v>
      </c>
      <c r="Q306" s="271">
        <v>0.62739999999999996</v>
      </c>
      <c r="R306" s="352">
        <v>2.2499999999999999E-2</v>
      </c>
      <c r="S306" s="270">
        <v>3.9</v>
      </c>
      <c r="T306" s="271">
        <v>0.2364</v>
      </c>
      <c r="U306" s="270">
        <v>3.9</v>
      </c>
      <c r="V306" s="271">
        <v>0.2364</v>
      </c>
      <c r="W306" s="270">
        <v>8.6999999999999993</v>
      </c>
      <c r="X306" s="271">
        <v>0.52729999999999999</v>
      </c>
    </row>
    <row r="307" spans="1:24" x14ac:dyDescent="0.25">
      <c r="A307" s="117">
        <v>540283</v>
      </c>
      <c r="B307" s="2" t="s">
        <v>108</v>
      </c>
      <c r="C307" s="2" t="s">
        <v>109</v>
      </c>
      <c r="D307" s="2" t="s">
        <v>5</v>
      </c>
      <c r="E307" s="117">
        <v>4</v>
      </c>
      <c r="F307" s="117">
        <v>688.2</v>
      </c>
      <c r="G307" s="117">
        <v>30.6</v>
      </c>
      <c r="H307" s="117">
        <v>0</v>
      </c>
      <c r="I307" s="158">
        <v>0</v>
      </c>
      <c r="J307" s="117">
        <v>4</v>
      </c>
      <c r="K307" s="267">
        <v>0.13070000000000001</v>
      </c>
      <c r="L307" s="117">
        <v>9.3000000000000007</v>
      </c>
      <c r="M307" s="267">
        <v>0.3039</v>
      </c>
      <c r="N307" s="117">
        <v>17.3</v>
      </c>
      <c r="O307" s="158">
        <v>0.56540000000000001</v>
      </c>
      <c r="P307" s="117">
        <v>0</v>
      </c>
      <c r="Q307" s="267">
        <v>0</v>
      </c>
      <c r="R307" s="158">
        <v>0</v>
      </c>
      <c r="S307" s="117">
        <v>0</v>
      </c>
      <c r="T307" s="267" t="s">
        <v>488</v>
      </c>
      <c r="U307" s="117">
        <v>0</v>
      </c>
      <c r="V307" s="267" t="s">
        <v>488</v>
      </c>
      <c r="W307" s="117">
        <v>0</v>
      </c>
      <c r="X307" s="267" t="s">
        <v>488</v>
      </c>
    </row>
    <row r="308" spans="1:24" x14ac:dyDescent="0.25">
      <c r="A308" s="117">
        <v>540158</v>
      </c>
      <c r="B308" s="2" t="s">
        <v>233</v>
      </c>
      <c r="C308" s="2" t="s">
        <v>109</v>
      </c>
      <c r="D308" s="2" t="s">
        <v>115</v>
      </c>
      <c r="E308" s="117">
        <v>4</v>
      </c>
      <c r="F308" s="117">
        <v>5.0999999999999996</v>
      </c>
      <c r="G308" s="117">
        <v>0.1</v>
      </c>
      <c r="H308" s="117">
        <v>0</v>
      </c>
      <c r="I308" s="158">
        <v>0</v>
      </c>
      <c r="J308" s="117">
        <v>0</v>
      </c>
      <c r="K308" s="267">
        <v>0</v>
      </c>
      <c r="L308" s="117">
        <v>0</v>
      </c>
      <c r="M308" s="267">
        <v>0</v>
      </c>
      <c r="N308" s="117">
        <v>0.1</v>
      </c>
      <c r="O308" s="158">
        <v>1</v>
      </c>
      <c r="P308" s="117">
        <v>0</v>
      </c>
      <c r="Q308" s="267">
        <v>0</v>
      </c>
      <c r="R308" s="158">
        <v>0</v>
      </c>
      <c r="S308" s="117">
        <v>0</v>
      </c>
      <c r="T308" s="267" t="s">
        <v>488</v>
      </c>
      <c r="U308" s="117">
        <v>0</v>
      </c>
      <c r="V308" s="267" t="s">
        <v>488</v>
      </c>
      <c r="W308" s="117">
        <v>0</v>
      </c>
      <c r="X308" s="267" t="s">
        <v>488</v>
      </c>
    </row>
    <row r="309" spans="1:24" x14ac:dyDescent="0.25">
      <c r="A309" s="117">
        <v>540159</v>
      </c>
      <c r="B309" s="2" t="s">
        <v>234</v>
      </c>
      <c r="C309" s="2" t="s">
        <v>109</v>
      </c>
      <c r="D309" s="2" t="s">
        <v>115</v>
      </c>
      <c r="E309" s="117">
        <v>4</v>
      </c>
      <c r="F309" s="117">
        <v>31.2</v>
      </c>
      <c r="G309" s="117">
        <v>6.8</v>
      </c>
      <c r="H309" s="117">
        <v>0</v>
      </c>
      <c r="I309" s="158">
        <v>0</v>
      </c>
      <c r="J309" s="117">
        <v>0.7</v>
      </c>
      <c r="K309" s="267">
        <v>0.10290000000000001</v>
      </c>
      <c r="L309" s="117">
        <v>0.4</v>
      </c>
      <c r="M309" s="267">
        <v>5.8799999999999998E-2</v>
      </c>
      <c r="N309" s="117">
        <v>5.7</v>
      </c>
      <c r="O309" s="158">
        <v>0.83819999999999995</v>
      </c>
      <c r="P309" s="117">
        <v>0</v>
      </c>
      <c r="Q309" s="267">
        <v>0</v>
      </c>
      <c r="R309" s="158">
        <v>0</v>
      </c>
      <c r="S309" s="117">
        <v>0</v>
      </c>
      <c r="T309" s="267" t="s">
        <v>488</v>
      </c>
      <c r="U309" s="117">
        <v>0</v>
      </c>
      <c r="V309" s="267" t="s">
        <v>488</v>
      </c>
      <c r="W309" s="117">
        <v>0</v>
      </c>
      <c r="X309" s="267" t="s">
        <v>488</v>
      </c>
    </row>
    <row r="310" spans="1:24" x14ac:dyDescent="0.25">
      <c r="A310" s="117">
        <v>540288</v>
      </c>
      <c r="B310" s="2" t="s">
        <v>340</v>
      </c>
      <c r="C310" s="2" t="s">
        <v>109</v>
      </c>
      <c r="D310" s="2" t="s">
        <v>115</v>
      </c>
      <c r="E310" s="117">
        <v>4</v>
      </c>
      <c r="F310" s="117">
        <v>3.2</v>
      </c>
      <c r="G310" s="117">
        <v>0</v>
      </c>
      <c r="H310" s="117">
        <v>0</v>
      </c>
      <c r="I310" s="267" t="s">
        <v>488</v>
      </c>
      <c r="J310" s="117">
        <v>0</v>
      </c>
      <c r="K310" s="267" t="s">
        <v>488</v>
      </c>
      <c r="L310" s="117">
        <v>0</v>
      </c>
      <c r="M310" s="267" t="s">
        <v>488</v>
      </c>
      <c r="N310" s="117">
        <v>0</v>
      </c>
      <c r="O310" s="267" t="s">
        <v>488</v>
      </c>
      <c r="P310" s="117">
        <v>0</v>
      </c>
      <c r="Q310" s="267" t="s">
        <v>488</v>
      </c>
      <c r="R310" s="158">
        <v>0</v>
      </c>
      <c r="S310" s="117">
        <v>0</v>
      </c>
      <c r="T310" s="267" t="s">
        <v>488</v>
      </c>
      <c r="U310" s="117">
        <v>0</v>
      </c>
      <c r="V310" s="267" t="s">
        <v>488</v>
      </c>
      <c r="W310" s="117">
        <v>0</v>
      </c>
      <c r="X310" s="267" t="s">
        <v>488</v>
      </c>
    </row>
    <row r="311" spans="1:24" x14ac:dyDescent="0.25">
      <c r="A311" s="269"/>
      <c r="B311" s="269"/>
      <c r="C311" s="269" t="s">
        <v>109</v>
      </c>
      <c r="D311" s="269"/>
      <c r="E311" s="269"/>
      <c r="F311" s="270">
        <v>727.7</v>
      </c>
      <c r="G311" s="270">
        <v>37.5</v>
      </c>
      <c r="H311" s="270">
        <v>0</v>
      </c>
      <c r="I311" s="352">
        <v>0</v>
      </c>
      <c r="J311" s="270">
        <v>4.7</v>
      </c>
      <c r="K311" s="271">
        <v>0.12529999999999999</v>
      </c>
      <c r="L311" s="270">
        <v>9.6999999999999993</v>
      </c>
      <c r="M311" s="271">
        <v>0.25869999999999999</v>
      </c>
      <c r="N311" s="270">
        <v>23.1</v>
      </c>
      <c r="O311" s="352">
        <v>0.61599999999999999</v>
      </c>
      <c r="P311" s="270">
        <v>0</v>
      </c>
      <c r="Q311" s="271">
        <v>0</v>
      </c>
      <c r="R311" s="352">
        <v>0</v>
      </c>
      <c r="S311" s="270">
        <v>0</v>
      </c>
      <c r="T311" s="271" t="s">
        <v>488</v>
      </c>
      <c r="U311" s="270">
        <v>0</v>
      </c>
      <c r="V311" s="271" t="s">
        <v>488</v>
      </c>
      <c r="W311" s="270">
        <v>0</v>
      </c>
      <c r="X311" s="271" t="s">
        <v>488</v>
      </c>
    </row>
    <row r="312" spans="1:24" x14ac:dyDescent="0.25">
      <c r="A312" s="117">
        <v>545536</v>
      </c>
      <c r="B312" s="2" t="s">
        <v>110</v>
      </c>
      <c r="C312" s="2" t="s">
        <v>111</v>
      </c>
      <c r="D312" s="2" t="s">
        <v>5</v>
      </c>
      <c r="E312" s="117">
        <v>2</v>
      </c>
      <c r="F312" s="117">
        <v>529.70000000000005</v>
      </c>
      <c r="G312" s="117">
        <v>142.4</v>
      </c>
      <c r="H312" s="117">
        <v>0</v>
      </c>
      <c r="I312" s="158">
        <v>0</v>
      </c>
      <c r="J312" s="117">
        <v>1.1000000000000001</v>
      </c>
      <c r="K312" s="267">
        <v>7.7000000000000002E-3</v>
      </c>
      <c r="L312" s="117">
        <v>26.2</v>
      </c>
      <c r="M312" s="267">
        <v>0.184</v>
      </c>
      <c r="N312" s="117">
        <v>115.1</v>
      </c>
      <c r="O312" s="158">
        <v>0.80830000000000002</v>
      </c>
      <c r="P312" s="117">
        <v>35.200000000000003</v>
      </c>
      <c r="Q312" s="267">
        <v>0.2472</v>
      </c>
      <c r="R312" s="158">
        <v>6.6500000000000004E-2</v>
      </c>
      <c r="S312" s="117">
        <v>10.3</v>
      </c>
      <c r="T312" s="267">
        <v>0.29260000000000003</v>
      </c>
      <c r="U312" s="117">
        <v>17.899999999999999</v>
      </c>
      <c r="V312" s="267">
        <v>0.50849999999999995</v>
      </c>
      <c r="W312" s="117">
        <v>7</v>
      </c>
      <c r="X312" s="267">
        <v>0.19889999999999999</v>
      </c>
    </row>
    <row r="313" spans="1:24" x14ac:dyDescent="0.25">
      <c r="A313" s="117">
        <v>540092</v>
      </c>
      <c r="B313" s="2" t="s">
        <v>183</v>
      </c>
      <c r="C313" s="2" t="s">
        <v>111</v>
      </c>
      <c r="D313" s="2" t="s">
        <v>115</v>
      </c>
      <c r="E313" s="117">
        <v>2</v>
      </c>
      <c r="F313" s="117">
        <v>11.1</v>
      </c>
      <c r="G313" s="117">
        <v>0.9</v>
      </c>
      <c r="H313" s="117">
        <v>0</v>
      </c>
      <c r="I313" s="158">
        <v>0</v>
      </c>
      <c r="J313" s="117">
        <v>0.2</v>
      </c>
      <c r="K313" s="267">
        <v>0.22220000000000001</v>
      </c>
      <c r="L313" s="117">
        <v>0.1</v>
      </c>
      <c r="M313" s="267">
        <v>0.1111</v>
      </c>
      <c r="N313" s="117">
        <v>0.6</v>
      </c>
      <c r="O313" s="158">
        <v>0.66669999999999996</v>
      </c>
      <c r="P313" s="117">
        <v>0</v>
      </c>
      <c r="Q313" s="267">
        <v>0</v>
      </c>
      <c r="R313" s="158">
        <v>0</v>
      </c>
      <c r="S313" s="117">
        <v>0</v>
      </c>
      <c r="T313" s="267" t="s">
        <v>488</v>
      </c>
      <c r="U313" s="117">
        <v>0</v>
      </c>
      <c r="V313" s="267" t="s">
        <v>488</v>
      </c>
      <c r="W313" s="117">
        <v>0</v>
      </c>
      <c r="X313" s="267" t="s">
        <v>488</v>
      </c>
    </row>
    <row r="314" spans="1:24" x14ac:dyDescent="0.25">
      <c r="A314" s="117">
        <v>540095</v>
      </c>
      <c r="B314" s="2" t="s">
        <v>186</v>
      </c>
      <c r="C314" s="2" t="s">
        <v>111</v>
      </c>
      <c r="D314" s="2" t="s">
        <v>115</v>
      </c>
      <c r="E314" s="117">
        <v>2</v>
      </c>
      <c r="F314" s="117">
        <v>2.1</v>
      </c>
      <c r="G314" s="117">
        <v>0.3</v>
      </c>
      <c r="H314" s="117">
        <v>0</v>
      </c>
      <c r="I314" s="158">
        <v>0</v>
      </c>
      <c r="J314" s="117">
        <v>0</v>
      </c>
      <c r="K314" s="267">
        <v>0</v>
      </c>
      <c r="L314" s="117">
        <v>0.1</v>
      </c>
      <c r="M314" s="267">
        <v>0.33329999999999999</v>
      </c>
      <c r="N314" s="117">
        <v>0.1</v>
      </c>
      <c r="O314" s="158">
        <v>0.33329999999999999</v>
      </c>
      <c r="P314" s="117">
        <v>0</v>
      </c>
      <c r="Q314" s="267">
        <v>0</v>
      </c>
      <c r="R314" s="158">
        <v>0</v>
      </c>
      <c r="S314" s="117">
        <v>0</v>
      </c>
      <c r="T314" s="267" t="s">
        <v>488</v>
      </c>
      <c r="U314" s="117">
        <v>0</v>
      </c>
      <c r="V314" s="267" t="s">
        <v>488</v>
      </c>
      <c r="W314" s="117">
        <v>0</v>
      </c>
      <c r="X314" s="267" t="s">
        <v>488</v>
      </c>
    </row>
    <row r="315" spans="1:24" x14ac:dyDescent="0.25">
      <c r="A315" s="117">
        <v>545535</v>
      </c>
      <c r="B315" s="2" t="s">
        <v>332</v>
      </c>
      <c r="C315" s="2" t="s">
        <v>111</v>
      </c>
      <c r="D315" s="2" t="s">
        <v>115</v>
      </c>
      <c r="E315" s="117">
        <v>2</v>
      </c>
      <c r="F315" s="117">
        <v>4.3</v>
      </c>
      <c r="G315" s="117">
        <v>0.5</v>
      </c>
      <c r="H315" s="117">
        <v>0</v>
      </c>
      <c r="I315" s="158">
        <v>0</v>
      </c>
      <c r="J315" s="117">
        <v>0</v>
      </c>
      <c r="K315" s="267">
        <v>0</v>
      </c>
      <c r="L315" s="117">
        <v>0.3</v>
      </c>
      <c r="M315" s="267">
        <v>0.6</v>
      </c>
      <c r="N315" s="117">
        <v>0.2</v>
      </c>
      <c r="O315" s="158">
        <v>0.4</v>
      </c>
      <c r="P315" s="117">
        <v>0</v>
      </c>
      <c r="Q315" s="267">
        <v>0</v>
      </c>
      <c r="R315" s="158">
        <v>0</v>
      </c>
      <c r="S315" s="117">
        <v>0</v>
      </c>
      <c r="T315" s="267" t="s">
        <v>488</v>
      </c>
      <c r="U315" s="117">
        <v>0</v>
      </c>
      <c r="V315" s="267" t="s">
        <v>488</v>
      </c>
      <c r="W315" s="117">
        <v>0</v>
      </c>
      <c r="X315" s="267" t="s">
        <v>488</v>
      </c>
    </row>
    <row r="316" spans="1:24" x14ac:dyDescent="0.25">
      <c r="A316" s="117">
        <v>545537</v>
      </c>
      <c r="B316" s="2" t="s">
        <v>333</v>
      </c>
      <c r="C316" s="2" t="s">
        <v>111</v>
      </c>
      <c r="D316" s="2" t="s">
        <v>115</v>
      </c>
      <c r="E316" s="117">
        <v>2</v>
      </c>
      <c r="F316" s="117">
        <v>14.1</v>
      </c>
      <c r="G316" s="117">
        <v>2.2999999999999998</v>
      </c>
      <c r="H316" s="117">
        <v>0</v>
      </c>
      <c r="I316" s="158">
        <v>0</v>
      </c>
      <c r="J316" s="117">
        <v>0</v>
      </c>
      <c r="K316" s="267">
        <v>0</v>
      </c>
      <c r="L316" s="117">
        <v>0.4</v>
      </c>
      <c r="M316" s="267">
        <v>0.1739</v>
      </c>
      <c r="N316" s="117">
        <v>1.9</v>
      </c>
      <c r="O316" s="158">
        <v>0.82609999999999995</v>
      </c>
      <c r="P316" s="117">
        <v>0</v>
      </c>
      <c r="Q316" s="267">
        <v>0</v>
      </c>
      <c r="R316" s="158">
        <v>0</v>
      </c>
      <c r="S316" s="117">
        <v>0</v>
      </c>
      <c r="T316" s="267" t="s">
        <v>488</v>
      </c>
      <c r="U316" s="117">
        <v>0</v>
      </c>
      <c r="V316" s="267" t="s">
        <v>488</v>
      </c>
      <c r="W316" s="117">
        <v>0</v>
      </c>
      <c r="X316" s="267" t="s">
        <v>488</v>
      </c>
    </row>
    <row r="317" spans="1:24" x14ac:dyDescent="0.25">
      <c r="A317" s="117">
        <v>545539</v>
      </c>
      <c r="B317" s="2" t="s">
        <v>335</v>
      </c>
      <c r="C317" s="2" t="s">
        <v>111</v>
      </c>
      <c r="D317" s="2" t="s">
        <v>115</v>
      </c>
      <c r="E317" s="117">
        <v>2</v>
      </c>
      <c r="F317" s="117">
        <v>2.2999999999999998</v>
      </c>
      <c r="G317" s="117">
        <v>0</v>
      </c>
      <c r="H317" s="117">
        <v>0</v>
      </c>
      <c r="I317" s="267" t="s">
        <v>488</v>
      </c>
      <c r="J317" s="117">
        <v>0</v>
      </c>
      <c r="K317" s="267" t="s">
        <v>488</v>
      </c>
      <c r="L317" s="117">
        <v>0</v>
      </c>
      <c r="M317" s="267" t="s">
        <v>488</v>
      </c>
      <c r="N317" s="117">
        <v>0</v>
      </c>
      <c r="O317" s="267" t="s">
        <v>488</v>
      </c>
      <c r="P317" s="117">
        <v>0</v>
      </c>
      <c r="Q317" s="267" t="s">
        <v>488</v>
      </c>
      <c r="R317" s="158">
        <v>0</v>
      </c>
      <c r="S317" s="117">
        <v>0</v>
      </c>
      <c r="T317" s="267" t="s">
        <v>488</v>
      </c>
      <c r="U317" s="117">
        <v>0</v>
      </c>
      <c r="V317" s="267" t="s">
        <v>488</v>
      </c>
      <c r="W317" s="117">
        <v>0</v>
      </c>
      <c r="X317" s="267" t="s">
        <v>488</v>
      </c>
    </row>
    <row r="318" spans="1:24" x14ac:dyDescent="0.25">
      <c r="A318" s="269"/>
      <c r="B318" s="269"/>
      <c r="C318" s="269" t="s">
        <v>111</v>
      </c>
      <c r="D318" s="269"/>
      <c r="E318" s="269"/>
      <c r="F318" s="270">
        <v>563.6</v>
      </c>
      <c r="G318" s="270">
        <v>146.4</v>
      </c>
      <c r="H318" s="270">
        <v>0</v>
      </c>
      <c r="I318" s="352">
        <v>0</v>
      </c>
      <c r="J318" s="270">
        <v>1.3</v>
      </c>
      <c r="K318" s="271">
        <v>8.8999999999999999E-3</v>
      </c>
      <c r="L318" s="270">
        <v>27.1</v>
      </c>
      <c r="M318" s="271">
        <v>0.18509999999999999</v>
      </c>
      <c r="N318" s="270">
        <v>117.9</v>
      </c>
      <c r="O318" s="352">
        <v>0.80530000000000002</v>
      </c>
      <c r="P318" s="270">
        <v>35.200000000000003</v>
      </c>
      <c r="Q318" s="271">
        <v>0.2404</v>
      </c>
      <c r="R318" s="352">
        <v>6.25E-2</v>
      </c>
      <c r="S318" s="270">
        <v>10.3</v>
      </c>
      <c r="T318" s="271">
        <v>0.29260000000000003</v>
      </c>
      <c r="U318" s="270">
        <v>17.899999999999999</v>
      </c>
      <c r="V318" s="271">
        <v>0.50849999999999995</v>
      </c>
      <c r="W318" s="270">
        <v>7</v>
      </c>
      <c r="X318" s="271">
        <v>0.19889999999999999</v>
      </c>
    </row>
    <row r="319" spans="1:24" x14ac:dyDescent="0.25">
      <c r="A319" s="117">
        <v>540191</v>
      </c>
      <c r="B319" s="2" t="s">
        <v>112</v>
      </c>
      <c r="C319" s="2" t="s">
        <v>113</v>
      </c>
      <c r="D319" s="2" t="s">
        <v>5</v>
      </c>
      <c r="E319" s="117">
        <v>7</v>
      </c>
      <c r="F319" s="117">
        <v>491.1</v>
      </c>
      <c r="G319" s="117">
        <v>38.1</v>
      </c>
      <c r="H319" s="117">
        <v>0</v>
      </c>
      <c r="I319" s="158">
        <v>0</v>
      </c>
      <c r="J319" s="117">
        <v>1.5</v>
      </c>
      <c r="K319" s="267">
        <v>3.9399999999999998E-2</v>
      </c>
      <c r="L319" s="117">
        <v>3.1</v>
      </c>
      <c r="M319" s="267">
        <v>8.14E-2</v>
      </c>
      <c r="N319" s="117">
        <v>33.5</v>
      </c>
      <c r="O319" s="158">
        <v>0.87929999999999997</v>
      </c>
      <c r="P319" s="117">
        <v>21.9</v>
      </c>
      <c r="Q319" s="267">
        <v>0.57479999999999998</v>
      </c>
      <c r="R319" s="158">
        <v>4.4600000000000001E-2</v>
      </c>
      <c r="S319" s="117">
        <v>3.3</v>
      </c>
      <c r="T319" s="267">
        <v>0.1507</v>
      </c>
      <c r="U319" s="117">
        <v>5</v>
      </c>
      <c r="V319" s="267">
        <v>0.2283</v>
      </c>
      <c r="W319" s="117">
        <v>13.6</v>
      </c>
      <c r="X319" s="267">
        <v>0.621</v>
      </c>
    </row>
    <row r="320" spans="1:24" x14ac:dyDescent="0.25">
      <c r="A320" s="117">
        <v>540193</v>
      </c>
      <c r="B320" s="2" t="s">
        <v>342</v>
      </c>
      <c r="C320" s="2" t="s">
        <v>113</v>
      </c>
      <c r="D320" s="2" t="s">
        <v>115</v>
      </c>
      <c r="E320" s="117">
        <v>7</v>
      </c>
      <c r="F320" s="117">
        <v>3.5</v>
      </c>
      <c r="G320" s="117">
        <v>0.5</v>
      </c>
      <c r="H320" s="117">
        <v>0</v>
      </c>
      <c r="I320" s="158">
        <v>0</v>
      </c>
      <c r="J320" s="117">
        <v>0</v>
      </c>
      <c r="K320" s="267">
        <v>0</v>
      </c>
      <c r="L320" s="117">
        <v>0.2</v>
      </c>
      <c r="M320" s="267">
        <v>0.4</v>
      </c>
      <c r="N320" s="117">
        <v>0.3</v>
      </c>
      <c r="O320" s="158">
        <v>0.6</v>
      </c>
      <c r="P320" s="117">
        <v>0</v>
      </c>
      <c r="Q320" s="267">
        <v>0</v>
      </c>
      <c r="R320" s="158">
        <v>0</v>
      </c>
      <c r="S320" s="117">
        <v>0</v>
      </c>
      <c r="T320" s="267" t="s">
        <v>488</v>
      </c>
      <c r="U320" s="117">
        <v>0</v>
      </c>
      <c r="V320" s="267" t="s">
        <v>488</v>
      </c>
      <c r="W320" s="117">
        <v>0</v>
      </c>
      <c r="X320" s="267" t="s">
        <v>488</v>
      </c>
    </row>
    <row r="321" spans="1:24" x14ac:dyDescent="0.25">
      <c r="A321" s="117">
        <v>540192</v>
      </c>
      <c r="B321" s="2" t="s">
        <v>343</v>
      </c>
      <c r="C321" s="2" t="s">
        <v>113</v>
      </c>
      <c r="D321" s="2" t="s">
        <v>115</v>
      </c>
      <c r="E321" s="117">
        <v>7</v>
      </c>
      <c r="F321" s="117">
        <v>0.9</v>
      </c>
      <c r="G321" s="117">
        <v>0</v>
      </c>
      <c r="H321" s="117">
        <v>0</v>
      </c>
      <c r="I321" s="267" t="s">
        <v>488</v>
      </c>
      <c r="J321" s="117">
        <v>0</v>
      </c>
      <c r="K321" s="267" t="s">
        <v>488</v>
      </c>
      <c r="L321" s="117">
        <v>0</v>
      </c>
      <c r="M321" s="267" t="s">
        <v>488</v>
      </c>
      <c r="N321" s="117">
        <v>0</v>
      </c>
      <c r="O321" s="267" t="s">
        <v>488</v>
      </c>
      <c r="P321" s="117">
        <v>0</v>
      </c>
      <c r="Q321" s="267" t="s">
        <v>488</v>
      </c>
      <c r="R321" s="158">
        <v>0</v>
      </c>
      <c r="S321" s="117">
        <v>0</v>
      </c>
      <c r="T321" s="267" t="s">
        <v>488</v>
      </c>
      <c r="U321" s="117">
        <v>0</v>
      </c>
      <c r="V321" s="267" t="s">
        <v>488</v>
      </c>
      <c r="W321" s="117">
        <v>0</v>
      </c>
      <c r="X321" s="267" t="s">
        <v>488</v>
      </c>
    </row>
    <row r="322" spans="1:24" x14ac:dyDescent="0.25">
      <c r="A322" s="117">
        <v>540194</v>
      </c>
      <c r="B322" s="2" t="s">
        <v>344</v>
      </c>
      <c r="C322" s="2" t="s">
        <v>113</v>
      </c>
      <c r="D322" s="2" t="s">
        <v>115</v>
      </c>
      <c r="E322" s="117">
        <v>7</v>
      </c>
      <c r="F322" s="117">
        <v>4.5999999999999996</v>
      </c>
      <c r="G322" s="117">
        <v>1.4</v>
      </c>
      <c r="H322" s="117">
        <v>0</v>
      </c>
      <c r="I322" s="158">
        <v>0</v>
      </c>
      <c r="J322" s="117">
        <v>1.4</v>
      </c>
      <c r="K322" s="267">
        <v>1</v>
      </c>
      <c r="L322" s="117">
        <v>0</v>
      </c>
      <c r="M322" s="267">
        <v>0</v>
      </c>
      <c r="N322" s="117">
        <v>0</v>
      </c>
      <c r="O322" s="158">
        <v>0</v>
      </c>
      <c r="P322" s="117">
        <v>0</v>
      </c>
      <c r="Q322" s="267">
        <v>0</v>
      </c>
      <c r="R322" s="158">
        <v>0</v>
      </c>
      <c r="S322" s="117">
        <v>0</v>
      </c>
      <c r="T322" s="267" t="s">
        <v>488</v>
      </c>
      <c r="U322" s="117">
        <v>0</v>
      </c>
      <c r="V322" s="267" t="s">
        <v>488</v>
      </c>
      <c r="W322" s="117">
        <v>0</v>
      </c>
      <c r="X322" s="267" t="s">
        <v>488</v>
      </c>
    </row>
    <row r="323" spans="1:24" x14ac:dyDescent="0.25">
      <c r="A323" s="117">
        <v>540261</v>
      </c>
      <c r="B323" s="2" t="s">
        <v>345</v>
      </c>
      <c r="C323" s="2" t="s">
        <v>113</v>
      </c>
      <c r="D323" s="2" t="s">
        <v>115</v>
      </c>
      <c r="E323" s="117">
        <v>7</v>
      </c>
      <c r="F323" s="117">
        <v>12.3</v>
      </c>
      <c r="G323" s="117">
        <v>0.3</v>
      </c>
      <c r="H323" s="117">
        <v>0</v>
      </c>
      <c r="I323" s="158">
        <v>0</v>
      </c>
      <c r="J323" s="117">
        <v>0.3</v>
      </c>
      <c r="K323" s="267">
        <v>1</v>
      </c>
      <c r="L323" s="117">
        <v>0</v>
      </c>
      <c r="M323" s="267">
        <v>0</v>
      </c>
      <c r="N323" s="117">
        <v>0</v>
      </c>
      <c r="O323" s="158">
        <v>0</v>
      </c>
      <c r="P323" s="117">
        <v>0.3</v>
      </c>
      <c r="Q323" s="267">
        <v>1</v>
      </c>
      <c r="R323" s="158">
        <v>2.4400000000000002E-2</v>
      </c>
      <c r="S323" s="117">
        <v>0.1</v>
      </c>
      <c r="T323" s="267">
        <v>0.33329999999999999</v>
      </c>
      <c r="U323" s="117">
        <v>0.1</v>
      </c>
      <c r="V323" s="267">
        <v>0.33329999999999999</v>
      </c>
      <c r="W323" s="117">
        <v>0.1</v>
      </c>
      <c r="X323" s="267">
        <v>0.33329999999999999</v>
      </c>
    </row>
    <row r="324" spans="1:24" x14ac:dyDescent="0.25">
      <c r="A324" s="117">
        <v>540260</v>
      </c>
      <c r="B324" s="2" t="s">
        <v>346</v>
      </c>
      <c r="C324" s="2" t="s">
        <v>113</v>
      </c>
      <c r="D324" s="2" t="s">
        <v>115</v>
      </c>
      <c r="E324" s="117">
        <v>7</v>
      </c>
      <c r="F324" s="117">
        <v>13.9</v>
      </c>
      <c r="G324" s="117">
        <v>0.1</v>
      </c>
      <c r="H324" s="117">
        <v>0</v>
      </c>
      <c r="I324" s="158">
        <v>0</v>
      </c>
      <c r="J324" s="117">
        <v>0</v>
      </c>
      <c r="K324" s="267">
        <v>0</v>
      </c>
      <c r="L324" s="117">
        <v>0</v>
      </c>
      <c r="M324" s="267">
        <v>0</v>
      </c>
      <c r="N324" s="117">
        <v>0.1</v>
      </c>
      <c r="O324" s="158">
        <v>1</v>
      </c>
      <c r="P324" s="117">
        <v>0</v>
      </c>
      <c r="Q324" s="267">
        <v>0</v>
      </c>
      <c r="R324" s="158">
        <v>0</v>
      </c>
      <c r="S324" s="117">
        <v>0</v>
      </c>
      <c r="T324" s="267" t="s">
        <v>488</v>
      </c>
      <c r="U324" s="117">
        <v>0</v>
      </c>
      <c r="V324" s="267" t="s">
        <v>488</v>
      </c>
      <c r="W324" s="117">
        <v>0</v>
      </c>
      <c r="X324" s="267" t="s">
        <v>488</v>
      </c>
    </row>
    <row r="325" spans="1:24" x14ac:dyDescent="0.25">
      <c r="A325" s="269"/>
      <c r="B325" s="269"/>
      <c r="C325" s="269" t="s">
        <v>113</v>
      </c>
      <c r="D325" s="269"/>
      <c r="E325" s="269"/>
      <c r="F325" s="270">
        <v>526.29999999999995</v>
      </c>
      <c r="G325" s="270">
        <v>40.4</v>
      </c>
      <c r="H325" s="270">
        <v>0</v>
      </c>
      <c r="I325" s="352">
        <v>0</v>
      </c>
      <c r="J325" s="270">
        <v>3.2</v>
      </c>
      <c r="K325" s="271">
        <v>7.9200000000000007E-2</v>
      </c>
      <c r="L325" s="270">
        <v>3.3</v>
      </c>
      <c r="M325" s="271">
        <v>8.1699999999999995E-2</v>
      </c>
      <c r="N325" s="270">
        <v>33.9</v>
      </c>
      <c r="O325" s="352">
        <v>0.83909999999999996</v>
      </c>
      <c r="P325" s="270">
        <v>22.2</v>
      </c>
      <c r="Q325" s="271">
        <v>0.54949999999999999</v>
      </c>
      <c r="R325" s="352">
        <v>4.2200000000000001E-2</v>
      </c>
      <c r="S325" s="270">
        <v>3.4</v>
      </c>
      <c r="T325" s="271">
        <v>0.1532</v>
      </c>
      <c r="U325" s="270">
        <v>5.0999999999999996</v>
      </c>
      <c r="V325" s="271">
        <v>0.22969999999999999</v>
      </c>
      <c r="W325" s="270">
        <v>13.7</v>
      </c>
      <c r="X325" s="271">
        <v>0.61709999999999998</v>
      </c>
    </row>
    <row r="326" spans="1:24" x14ac:dyDescent="0.25">
      <c r="A326" s="117">
        <v>540027</v>
      </c>
      <c r="B326" s="2" t="s">
        <v>132</v>
      </c>
      <c r="C326" s="2" t="s">
        <v>21</v>
      </c>
      <c r="D326" s="2" t="s">
        <v>115</v>
      </c>
      <c r="E326" s="117">
        <v>4</v>
      </c>
      <c r="F326" s="117">
        <v>10.5</v>
      </c>
      <c r="G326" s="117">
        <v>0.3</v>
      </c>
      <c r="H326" s="117">
        <v>0</v>
      </c>
      <c r="I326" s="158">
        <v>0</v>
      </c>
      <c r="J326" s="117">
        <v>0</v>
      </c>
      <c r="K326" s="267">
        <v>0</v>
      </c>
      <c r="L326" s="117">
        <v>0</v>
      </c>
      <c r="M326" s="267">
        <v>0</v>
      </c>
      <c r="N326" s="117">
        <v>0.3</v>
      </c>
      <c r="O326" s="158">
        <v>1</v>
      </c>
      <c r="P326" s="117">
        <v>0</v>
      </c>
      <c r="Q326" s="267">
        <v>0</v>
      </c>
      <c r="R326" s="158">
        <v>0</v>
      </c>
      <c r="S326" s="117">
        <v>0</v>
      </c>
      <c r="T326" s="267" t="s">
        <v>488</v>
      </c>
      <c r="U326" s="117">
        <v>0</v>
      </c>
      <c r="V326" s="267" t="s">
        <v>488</v>
      </c>
      <c r="W326" s="117">
        <v>0</v>
      </c>
      <c r="X326" s="267" t="s">
        <v>488</v>
      </c>
    </row>
    <row r="327" spans="1:24" x14ac:dyDescent="0.25">
      <c r="A327" s="117">
        <v>540028</v>
      </c>
      <c r="B327" s="2" t="s">
        <v>133</v>
      </c>
      <c r="C327" s="2" t="s">
        <v>21</v>
      </c>
      <c r="D327" s="2" t="s">
        <v>115</v>
      </c>
      <c r="E327" s="117">
        <v>4</v>
      </c>
      <c r="F327" s="117">
        <v>2.6</v>
      </c>
      <c r="G327" s="117">
        <v>0.4</v>
      </c>
      <c r="H327" s="117">
        <v>0</v>
      </c>
      <c r="I327" s="158">
        <v>0</v>
      </c>
      <c r="J327" s="117">
        <v>0</v>
      </c>
      <c r="K327" s="267">
        <v>0</v>
      </c>
      <c r="L327" s="117">
        <v>0</v>
      </c>
      <c r="M327" s="267">
        <v>0</v>
      </c>
      <c r="N327" s="117">
        <v>0.4</v>
      </c>
      <c r="O327" s="158">
        <v>1</v>
      </c>
      <c r="P327" s="117">
        <v>0.3</v>
      </c>
      <c r="Q327" s="267">
        <v>0.75</v>
      </c>
      <c r="R327" s="158">
        <v>0.1154</v>
      </c>
      <c r="S327" s="117">
        <v>0.2</v>
      </c>
      <c r="T327" s="267" t="s">
        <v>488</v>
      </c>
      <c r="U327" s="117">
        <v>0.1</v>
      </c>
      <c r="V327" s="267" t="s">
        <v>488</v>
      </c>
      <c r="W327" s="117">
        <v>0</v>
      </c>
      <c r="X327" s="267" t="s">
        <v>488</v>
      </c>
    </row>
    <row r="328" spans="1:24" x14ac:dyDescent="0.25">
      <c r="A328" s="117">
        <v>540029</v>
      </c>
      <c r="B328" s="2" t="s">
        <v>134</v>
      </c>
      <c r="C328" s="2" t="s">
        <v>21</v>
      </c>
      <c r="D328" s="2" t="s">
        <v>115</v>
      </c>
      <c r="E328" s="117">
        <v>4</v>
      </c>
      <c r="F328" s="117">
        <v>3.4</v>
      </c>
      <c r="G328" s="117">
        <v>0.2</v>
      </c>
      <c r="H328" s="117">
        <v>0</v>
      </c>
      <c r="I328" s="158">
        <v>0</v>
      </c>
      <c r="J328" s="117">
        <v>0</v>
      </c>
      <c r="K328" s="267">
        <v>0</v>
      </c>
      <c r="L328" s="117">
        <v>0.1</v>
      </c>
      <c r="M328" s="267">
        <v>0.5</v>
      </c>
      <c r="N328" s="117">
        <v>0.1</v>
      </c>
      <c r="O328" s="158">
        <v>0.5</v>
      </c>
      <c r="P328" s="117">
        <v>0.2</v>
      </c>
      <c r="Q328" s="267">
        <v>1</v>
      </c>
      <c r="R328" s="158">
        <v>5.8799999999999998E-2</v>
      </c>
      <c r="S328" s="117">
        <v>0</v>
      </c>
      <c r="T328" s="267">
        <v>0</v>
      </c>
      <c r="U328" s="117">
        <v>0.1</v>
      </c>
      <c r="V328" s="267">
        <v>0.5</v>
      </c>
      <c r="W328" s="117">
        <v>0.1</v>
      </c>
      <c r="X328" s="267">
        <v>0.5</v>
      </c>
    </row>
    <row r="329" spans="1:24" x14ac:dyDescent="0.25">
      <c r="A329" s="117">
        <v>540031</v>
      </c>
      <c r="B329" s="2" t="s">
        <v>136</v>
      </c>
      <c r="C329" s="2" t="s">
        <v>21</v>
      </c>
      <c r="D329" s="2" t="s">
        <v>115</v>
      </c>
      <c r="E329" s="117">
        <v>4</v>
      </c>
      <c r="F329" s="117">
        <v>50.4</v>
      </c>
      <c r="G329" s="117">
        <v>1.2</v>
      </c>
      <c r="H329" s="117">
        <v>0</v>
      </c>
      <c r="I329" s="158">
        <v>0</v>
      </c>
      <c r="J329" s="117">
        <v>0.1</v>
      </c>
      <c r="K329" s="267">
        <v>8.3299999999999999E-2</v>
      </c>
      <c r="L329" s="117">
        <v>0</v>
      </c>
      <c r="M329" s="267">
        <v>0</v>
      </c>
      <c r="N329" s="117">
        <v>1.1000000000000001</v>
      </c>
      <c r="O329" s="158">
        <v>0.91669999999999996</v>
      </c>
      <c r="P329" s="117">
        <v>0.7</v>
      </c>
      <c r="Q329" s="267">
        <v>0.58330000000000004</v>
      </c>
      <c r="R329" s="158">
        <v>1.3899999999999999E-2</v>
      </c>
      <c r="S329" s="117">
        <v>0.4</v>
      </c>
      <c r="T329" s="267" t="s">
        <v>488</v>
      </c>
      <c r="U329" s="117">
        <v>0.3</v>
      </c>
      <c r="V329" s="267" t="s">
        <v>488</v>
      </c>
      <c r="W329" s="117">
        <v>0</v>
      </c>
      <c r="X329" s="267" t="s">
        <v>488</v>
      </c>
    </row>
    <row r="330" spans="1:24" x14ac:dyDescent="0.25">
      <c r="A330" s="117">
        <v>540032</v>
      </c>
      <c r="B330" s="2" t="s">
        <v>137</v>
      </c>
      <c r="C330" s="2" t="s">
        <v>21</v>
      </c>
      <c r="D330" s="2" t="s">
        <v>115</v>
      </c>
      <c r="E330" s="117">
        <v>4</v>
      </c>
      <c r="F330" s="117">
        <v>4.4000000000000004</v>
      </c>
      <c r="G330" s="117">
        <v>1</v>
      </c>
      <c r="H330" s="117">
        <v>0</v>
      </c>
      <c r="I330" s="158">
        <v>0</v>
      </c>
      <c r="J330" s="117">
        <v>0</v>
      </c>
      <c r="K330" s="267">
        <v>0</v>
      </c>
      <c r="L330" s="117">
        <v>0</v>
      </c>
      <c r="M330" s="267">
        <v>0</v>
      </c>
      <c r="N330" s="117">
        <v>1</v>
      </c>
      <c r="O330" s="158">
        <v>1</v>
      </c>
      <c r="P330" s="117">
        <v>0.9</v>
      </c>
      <c r="Q330" s="267">
        <v>0.9</v>
      </c>
      <c r="R330" s="158">
        <v>0.20449999999999999</v>
      </c>
      <c r="S330" s="117">
        <v>0.1</v>
      </c>
      <c r="T330" s="267">
        <v>0.1111</v>
      </c>
      <c r="U330" s="117">
        <v>0.2</v>
      </c>
      <c r="V330" s="267">
        <v>0.22220000000000001</v>
      </c>
      <c r="W330" s="117">
        <v>0.6</v>
      </c>
      <c r="X330" s="267">
        <v>0.66669999999999996</v>
      </c>
    </row>
    <row r="331" spans="1:24" x14ac:dyDescent="0.25">
      <c r="A331" s="117">
        <v>540050</v>
      </c>
      <c r="B331" s="2" t="s">
        <v>150</v>
      </c>
      <c r="C331" s="2" t="s">
        <v>21</v>
      </c>
      <c r="D331" s="2" t="s">
        <v>115</v>
      </c>
      <c r="E331" s="117">
        <v>4</v>
      </c>
      <c r="F331" s="117">
        <v>1.2</v>
      </c>
      <c r="G331" s="117">
        <v>0</v>
      </c>
      <c r="H331" s="117">
        <v>0</v>
      </c>
      <c r="I331" s="267" t="s">
        <v>488</v>
      </c>
      <c r="J331" s="117">
        <v>0</v>
      </c>
      <c r="K331" s="267" t="s">
        <v>488</v>
      </c>
      <c r="L331" s="117">
        <v>0</v>
      </c>
      <c r="M331" s="267" t="s">
        <v>488</v>
      </c>
      <c r="N331" s="117">
        <v>0</v>
      </c>
      <c r="O331" s="267" t="s">
        <v>488</v>
      </c>
      <c r="P331" s="117">
        <v>0</v>
      </c>
      <c r="Q331" s="267" t="s">
        <v>488</v>
      </c>
      <c r="R331" s="158">
        <v>0</v>
      </c>
      <c r="S331" s="117">
        <v>0</v>
      </c>
      <c r="T331" s="267" t="s">
        <v>488</v>
      </c>
      <c r="U331" s="117">
        <v>0</v>
      </c>
      <c r="V331" s="267" t="s">
        <v>488</v>
      </c>
      <c r="W331" s="117">
        <v>0</v>
      </c>
      <c r="X331" s="267" t="s">
        <v>488</v>
      </c>
    </row>
    <row r="332" spans="1:24" x14ac:dyDescent="0.25">
      <c r="A332" s="117">
        <v>540293</v>
      </c>
      <c r="B332" s="2" t="s">
        <v>330</v>
      </c>
      <c r="C332" s="2" t="s">
        <v>21</v>
      </c>
      <c r="D332" s="2" t="s">
        <v>115</v>
      </c>
      <c r="E332" s="117">
        <v>4</v>
      </c>
      <c r="F332" s="117">
        <v>23</v>
      </c>
      <c r="G332" s="117">
        <v>0</v>
      </c>
      <c r="H332" s="117">
        <v>0</v>
      </c>
      <c r="I332" s="267" t="s">
        <v>488</v>
      </c>
      <c r="J332" s="117">
        <v>0</v>
      </c>
      <c r="K332" s="267" t="s">
        <v>488</v>
      </c>
      <c r="L332" s="117">
        <v>0</v>
      </c>
      <c r="M332" s="267" t="s">
        <v>488</v>
      </c>
      <c r="N332" s="117">
        <v>0</v>
      </c>
      <c r="O332" s="267" t="s">
        <v>488</v>
      </c>
      <c r="P332" s="117">
        <v>0</v>
      </c>
      <c r="Q332" s="267" t="s">
        <v>488</v>
      </c>
      <c r="R332" s="158">
        <v>0</v>
      </c>
      <c r="S332" s="117">
        <v>0</v>
      </c>
      <c r="T332" s="267" t="s">
        <v>488</v>
      </c>
      <c r="U332" s="117">
        <v>0</v>
      </c>
      <c r="V332" s="267" t="s">
        <v>488</v>
      </c>
      <c r="W332" s="117">
        <v>0</v>
      </c>
      <c r="X332" s="267" t="s">
        <v>488</v>
      </c>
    </row>
    <row r="333" spans="1:24" x14ac:dyDescent="0.25">
      <c r="A333" s="117">
        <v>540294</v>
      </c>
      <c r="B333" s="2" t="s">
        <v>331</v>
      </c>
      <c r="C333" s="2" t="s">
        <v>21</v>
      </c>
      <c r="D333" s="2" t="s">
        <v>115</v>
      </c>
      <c r="E333" s="117">
        <v>4</v>
      </c>
      <c r="F333" s="117">
        <v>9.6999999999999993</v>
      </c>
      <c r="G333" s="117">
        <v>0.8</v>
      </c>
      <c r="H333" s="117">
        <v>0</v>
      </c>
      <c r="I333" s="158">
        <v>0</v>
      </c>
      <c r="J333" s="117">
        <v>0.2</v>
      </c>
      <c r="K333" s="267">
        <v>0.25</v>
      </c>
      <c r="L333" s="117">
        <v>0.1</v>
      </c>
      <c r="M333" s="267">
        <v>0.125</v>
      </c>
      <c r="N333" s="117">
        <v>0.5</v>
      </c>
      <c r="O333" s="158">
        <v>0.625</v>
      </c>
      <c r="P333" s="117">
        <v>0.9</v>
      </c>
      <c r="Q333" s="267">
        <v>1.125</v>
      </c>
      <c r="R333" s="158">
        <v>9.2799999999999994E-2</v>
      </c>
      <c r="S333" s="117">
        <v>0.3</v>
      </c>
      <c r="T333" s="267">
        <v>0.33329999999999999</v>
      </c>
      <c r="U333" s="117">
        <v>0.4</v>
      </c>
      <c r="V333" s="267">
        <v>0.44440000000000002</v>
      </c>
      <c r="W333" s="117">
        <v>0.2</v>
      </c>
      <c r="X333" s="267">
        <v>0.22220000000000001</v>
      </c>
    </row>
    <row r="334" spans="1:24" x14ac:dyDescent="0.25">
      <c r="A334" s="117">
        <v>540033</v>
      </c>
      <c r="B334" s="2" t="s">
        <v>138</v>
      </c>
      <c r="C334" s="2" t="s">
        <v>21</v>
      </c>
      <c r="D334" s="2" t="s">
        <v>115</v>
      </c>
      <c r="E334" s="117">
        <v>4</v>
      </c>
      <c r="F334" s="117">
        <v>8.6</v>
      </c>
      <c r="G334" s="117">
        <v>0.8</v>
      </c>
      <c r="H334" s="117">
        <v>0</v>
      </c>
      <c r="I334" s="158">
        <v>0</v>
      </c>
      <c r="J334" s="117">
        <v>0</v>
      </c>
      <c r="K334" s="267">
        <v>0</v>
      </c>
      <c r="L334" s="117">
        <v>0</v>
      </c>
      <c r="M334" s="267">
        <v>0</v>
      </c>
      <c r="N334" s="117">
        <v>0.8</v>
      </c>
      <c r="O334" s="158">
        <v>1</v>
      </c>
      <c r="P334" s="117">
        <v>0.8</v>
      </c>
      <c r="Q334" s="267">
        <v>1</v>
      </c>
      <c r="R334" s="158">
        <v>9.2999999999999999E-2</v>
      </c>
      <c r="S334" s="117">
        <v>0.1</v>
      </c>
      <c r="T334" s="267">
        <v>0.125</v>
      </c>
      <c r="U334" s="117">
        <v>0.3</v>
      </c>
      <c r="V334" s="267">
        <v>0.375</v>
      </c>
      <c r="W334" s="117">
        <v>0.4</v>
      </c>
      <c r="X334" s="267">
        <v>0.5</v>
      </c>
    </row>
    <row r="335" spans="1:24" x14ac:dyDescent="0.25">
      <c r="A335" s="117">
        <v>540280</v>
      </c>
      <c r="B335" s="2" t="s">
        <v>321</v>
      </c>
      <c r="C335" s="2" t="s">
        <v>21</v>
      </c>
      <c r="D335" s="2" t="s">
        <v>115</v>
      </c>
      <c r="E335" s="117">
        <v>4</v>
      </c>
      <c r="F335" s="117">
        <v>11</v>
      </c>
      <c r="G335" s="117">
        <v>1</v>
      </c>
      <c r="H335" s="117">
        <v>0</v>
      </c>
      <c r="I335" s="158">
        <v>0</v>
      </c>
      <c r="J335" s="117">
        <v>0</v>
      </c>
      <c r="K335" s="267">
        <v>0</v>
      </c>
      <c r="L335" s="117">
        <v>0.2</v>
      </c>
      <c r="M335" s="267">
        <v>0.2</v>
      </c>
      <c r="N335" s="117">
        <v>0.8</v>
      </c>
      <c r="O335" s="158">
        <v>0.8</v>
      </c>
      <c r="P335" s="117">
        <v>0.8</v>
      </c>
      <c r="Q335" s="267">
        <v>0.8</v>
      </c>
      <c r="R335" s="158">
        <v>7.2700000000000001E-2</v>
      </c>
      <c r="S335" s="117">
        <v>0.3</v>
      </c>
      <c r="T335" s="267">
        <v>0.375</v>
      </c>
      <c r="U335" s="117">
        <v>0.4</v>
      </c>
      <c r="V335" s="267">
        <v>0.5</v>
      </c>
      <c r="W335" s="117">
        <v>0.1</v>
      </c>
      <c r="X335" s="267">
        <v>0.125</v>
      </c>
    </row>
    <row r="336" spans="1:24" x14ac:dyDescent="0.25">
      <c r="A336" s="117">
        <v>540026</v>
      </c>
      <c r="B336" s="2" t="s">
        <v>20</v>
      </c>
      <c r="C336" s="2" t="s">
        <v>21</v>
      </c>
      <c r="D336" s="2" t="s">
        <v>5</v>
      </c>
      <c r="E336" s="117">
        <v>4</v>
      </c>
      <c r="F336" s="117">
        <v>917.8</v>
      </c>
      <c r="G336" s="117">
        <v>57.4</v>
      </c>
      <c r="H336" s="117">
        <v>0.7</v>
      </c>
      <c r="I336" s="158">
        <v>1.2200000000000001E-2</v>
      </c>
      <c r="J336" s="117">
        <v>0.6</v>
      </c>
      <c r="K336" s="267">
        <v>1.0500000000000001E-2</v>
      </c>
      <c r="L336" s="117">
        <v>12.4</v>
      </c>
      <c r="M336" s="267">
        <v>0.216</v>
      </c>
      <c r="N336" s="117">
        <v>43.8</v>
      </c>
      <c r="O336" s="158">
        <v>0.7631</v>
      </c>
      <c r="P336" s="117">
        <v>44.1</v>
      </c>
      <c r="Q336" s="267">
        <v>0.76829999999999998</v>
      </c>
      <c r="R336" s="158">
        <v>4.8000000000000001E-2</v>
      </c>
      <c r="S336" s="117">
        <v>9.1</v>
      </c>
      <c r="T336" s="267">
        <v>0.20630000000000001</v>
      </c>
      <c r="U336" s="117">
        <v>17.100000000000001</v>
      </c>
      <c r="V336" s="267">
        <v>0.38779999999999998</v>
      </c>
      <c r="W336" s="117">
        <v>17.899999999999999</v>
      </c>
      <c r="X336" s="267">
        <v>0.40589999999999998</v>
      </c>
    </row>
    <row r="337" spans="1:24" x14ac:dyDescent="0.25">
      <c r="A337" s="269"/>
      <c r="B337" s="269"/>
      <c r="C337" s="269" t="s">
        <v>21</v>
      </c>
      <c r="D337" s="269"/>
      <c r="E337" s="269"/>
      <c r="F337" s="270">
        <v>1042.5999999999999</v>
      </c>
      <c r="G337" s="270">
        <v>63.1</v>
      </c>
      <c r="H337" s="270">
        <v>0.7</v>
      </c>
      <c r="I337" s="352">
        <v>1.11E-2</v>
      </c>
      <c r="J337" s="270">
        <v>0.9</v>
      </c>
      <c r="K337" s="271">
        <v>1.43E-2</v>
      </c>
      <c r="L337" s="270">
        <v>12.8</v>
      </c>
      <c r="M337" s="271">
        <v>0.2029</v>
      </c>
      <c r="N337" s="270">
        <v>48.8</v>
      </c>
      <c r="O337" s="352">
        <v>0.77339999999999998</v>
      </c>
      <c r="P337" s="270">
        <v>48.7</v>
      </c>
      <c r="Q337" s="271">
        <v>0.77180000000000004</v>
      </c>
      <c r="R337" s="352">
        <v>4.6699999999999998E-2</v>
      </c>
      <c r="S337" s="270">
        <v>10.5</v>
      </c>
      <c r="T337" s="271">
        <v>0.21560000000000001</v>
      </c>
      <c r="U337" s="270">
        <v>18.899999999999999</v>
      </c>
      <c r="V337" s="271">
        <v>0.3881</v>
      </c>
      <c r="W337" s="270">
        <v>19.3</v>
      </c>
      <c r="X337" s="271">
        <v>0.39629999999999999</v>
      </c>
    </row>
    <row r="338" spans="1:24" x14ac:dyDescent="0.25">
      <c r="A338" s="117">
        <v>540176</v>
      </c>
      <c r="B338" s="2" t="s">
        <v>247</v>
      </c>
      <c r="C338" s="2" t="s">
        <v>75</v>
      </c>
      <c r="D338" s="2" t="s">
        <v>115</v>
      </c>
      <c r="E338" s="117">
        <v>7</v>
      </c>
      <c r="F338" s="117">
        <v>2.6</v>
      </c>
      <c r="G338" s="117">
        <v>0.7</v>
      </c>
      <c r="H338" s="117">
        <v>0</v>
      </c>
      <c r="I338" s="158">
        <v>0</v>
      </c>
      <c r="J338" s="117">
        <v>0</v>
      </c>
      <c r="K338" s="267">
        <v>0</v>
      </c>
      <c r="L338" s="117">
        <v>0</v>
      </c>
      <c r="M338" s="267">
        <v>0</v>
      </c>
      <c r="N338" s="117">
        <v>0.7</v>
      </c>
      <c r="O338" s="158">
        <v>1</v>
      </c>
      <c r="P338" s="117">
        <v>0</v>
      </c>
      <c r="Q338" s="267">
        <v>0</v>
      </c>
      <c r="R338" s="158">
        <v>0</v>
      </c>
      <c r="S338" s="117">
        <v>0</v>
      </c>
      <c r="T338" s="267" t="s">
        <v>488</v>
      </c>
      <c r="U338" s="117">
        <v>0</v>
      </c>
      <c r="V338" s="267" t="s">
        <v>488</v>
      </c>
      <c r="W338" s="117">
        <v>0</v>
      </c>
      <c r="X338" s="267" t="s">
        <v>488</v>
      </c>
    </row>
    <row r="339" spans="1:24" x14ac:dyDescent="0.25">
      <c r="A339" s="117">
        <v>540178</v>
      </c>
      <c r="B339" s="2" t="s">
        <v>249</v>
      </c>
      <c r="C339" s="2" t="s">
        <v>75</v>
      </c>
      <c r="D339" s="2" t="s">
        <v>115</v>
      </c>
      <c r="E339" s="117">
        <v>7</v>
      </c>
      <c r="F339" s="117">
        <v>3.2</v>
      </c>
      <c r="G339" s="117">
        <v>0.4</v>
      </c>
      <c r="H339" s="117">
        <v>0</v>
      </c>
      <c r="I339" s="158">
        <v>0</v>
      </c>
      <c r="J339" s="117">
        <v>0.2</v>
      </c>
      <c r="K339" s="267">
        <v>0.5</v>
      </c>
      <c r="L339" s="117">
        <v>0</v>
      </c>
      <c r="M339" s="267">
        <v>0</v>
      </c>
      <c r="N339" s="117">
        <v>0.2</v>
      </c>
      <c r="O339" s="158">
        <v>0.5</v>
      </c>
      <c r="P339" s="117">
        <v>0</v>
      </c>
      <c r="Q339" s="267">
        <v>0</v>
      </c>
      <c r="R339" s="158">
        <v>0</v>
      </c>
      <c r="S339" s="117">
        <v>0</v>
      </c>
      <c r="T339" s="267" t="s">
        <v>488</v>
      </c>
      <c r="U339" s="117">
        <v>0</v>
      </c>
      <c r="V339" s="267" t="s">
        <v>488</v>
      </c>
      <c r="W339" s="117">
        <v>0</v>
      </c>
      <c r="X339" s="267" t="s">
        <v>488</v>
      </c>
    </row>
    <row r="340" spans="1:24" x14ac:dyDescent="0.25">
      <c r="A340" s="117">
        <v>540264</v>
      </c>
      <c r="B340" s="2" t="s">
        <v>307</v>
      </c>
      <c r="C340" s="2" t="s">
        <v>75</v>
      </c>
      <c r="D340" s="2" t="s">
        <v>115</v>
      </c>
      <c r="E340" s="117">
        <v>7</v>
      </c>
      <c r="F340" s="117">
        <v>2.5</v>
      </c>
      <c r="G340" s="117">
        <v>0</v>
      </c>
      <c r="H340" s="117">
        <v>0</v>
      </c>
      <c r="I340" s="267" t="s">
        <v>488</v>
      </c>
      <c r="J340" s="117">
        <v>0</v>
      </c>
      <c r="K340" s="267" t="s">
        <v>488</v>
      </c>
      <c r="L340" s="117">
        <v>0</v>
      </c>
      <c r="M340" s="267" t="s">
        <v>488</v>
      </c>
      <c r="N340" s="117">
        <v>0</v>
      </c>
      <c r="O340" s="267" t="s">
        <v>488</v>
      </c>
      <c r="P340" s="117">
        <v>0</v>
      </c>
      <c r="Q340" s="267" t="s">
        <v>488</v>
      </c>
      <c r="R340" s="158">
        <v>0</v>
      </c>
      <c r="S340" s="117">
        <v>0</v>
      </c>
      <c r="T340" s="267" t="s">
        <v>488</v>
      </c>
      <c r="U340" s="117">
        <v>0</v>
      </c>
      <c r="V340" s="267" t="s">
        <v>488</v>
      </c>
      <c r="W340" s="117">
        <v>0</v>
      </c>
      <c r="X340" s="267" t="s">
        <v>488</v>
      </c>
    </row>
    <row r="341" spans="1:24" x14ac:dyDescent="0.25">
      <c r="A341" s="117">
        <v>540265</v>
      </c>
      <c r="B341" s="2" t="s">
        <v>308</v>
      </c>
      <c r="C341" s="2" t="s">
        <v>75</v>
      </c>
      <c r="D341" s="2" t="s">
        <v>115</v>
      </c>
      <c r="E341" s="117">
        <v>7</v>
      </c>
      <c r="F341" s="117">
        <v>3.4</v>
      </c>
      <c r="G341" s="117">
        <v>0.4</v>
      </c>
      <c r="H341" s="117">
        <v>0</v>
      </c>
      <c r="I341" s="158">
        <v>0</v>
      </c>
      <c r="J341" s="117">
        <v>0</v>
      </c>
      <c r="K341" s="267">
        <v>0</v>
      </c>
      <c r="L341" s="117">
        <v>0</v>
      </c>
      <c r="M341" s="267">
        <v>0</v>
      </c>
      <c r="N341" s="117">
        <v>0.4</v>
      </c>
      <c r="O341" s="158">
        <v>1</v>
      </c>
      <c r="P341" s="117">
        <v>0</v>
      </c>
      <c r="Q341" s="267">
        <v>0</v>
      </c>
      <c r="R341" s="158">
        <v>0</v>
      </c>
      <c r="S341" s="117">
        <v>0</v>
      </c>
      <c r="T341" s="267" t="s">
        <v>488</v>
      </c>
      <c r="U341" s="117">
        <v>0</v>
      </c>
      <c r="V341" s="267" t="s">
        <v>488</v>
      </c>
      <c r="W341" s="117">
        <v>0</v>
      </c>
      <c r="X341" s="267" t="s">
        <v>488</v>
      </c>
    </row>
    <row r="342" spans="1:24" x14ac:dyDescent="0.25">
      <c r="A342" s="117">
        <v>540266</v>
      </c>
      <c r="B342" s="2" t="s">
        <v>309</v>
      </c>
      <c r="C342" s="2" t="s">
        <v>75</v>
      </c>
      <c r="D342" s="2" t="s">
        <v>115</v>
      </c>
      <c r="E342" s="117">
        <v>7</v>
      </c>
      <c r="F342" s="117">
        <v>4.9000000000000004</v>
      </c>
      <c r="G342" s="117">
        <v>0.1</v>
      </c>
      <c r="H342" s="117">
        <v>0</v>
      </c>
      <c r="I342" s="158">
        <v>0</v>
      </c>
      <c r="J342" s="117">
        <v>0.1</v>
      </c>
      <c r="K342" s="267">
        <v>1</v>
      </c>
      <c r="L342" s="117">
        <v>0</v>
      </c>
      <c r="M342" s="267">
        <v>0</v>
      </c>
      <c r="N342" s="117">
        <v>0</v>
      </c>
      <c r="O342" s="158">
        <v>0</v>
      </c>
      <c r="P342" s="117">
        <v>0</v>
      </c>
      <c r="Q342" s="267">
        <v>0</v>
      </c>
      <c r="R342" s="158">
        <v>0</v>
      </c>
      <c r="S342" s="117">
        <v>0</v>
      </c>
      <c r="T342" s="267" t="s">
        <v>488</v>
      </c>
      <c r="U342" s="117">
        <v>0</v>
      </c>
      <c r="V342" s="267" t="s">
        <v>488</v>
      </c>
      <c r="W342" s="117">
        <v>0</v>
      </c>
      <c r="X342" s="267" t="s">
        <v>488</v>
      </c>
    </row>
    <row r="343" spans="1:24" x14ac:dyDescent="0.25">
      <c r="A343" s="117">
        <v>540267</v>
      </c>
      <c r="B343" s="2" t="s">
        <v>310</v>
      </c>
      <c r="C343" s="2" t="s">
        <v>75</v>
      </c>
      <c r="D343" s="2" t="s">
        <v>115</v>
      </c>
      <c r="E343" s="117">
        <v>7</v>
      </c>
      <c r="F343" s="117">
        <v>9.4</v>
      </c>
      <c r="G343" s="117">
        <v>0.1</v>
      </c>
      <c r="H343" s="117">
        <v>0</v>
      </c>
      <c r="I343" s="158">
        <v>0</v>
      </c>
      <c r="J343" s="117">
        <v>0.1</v>
      </c>
      <c r="K343" s="267">
        <v>1</v>
      </c>
      <c r="L343" s="117">
        <v>0</v>
      </c>
      <c r="M343" s="267">
        <v>0</v>
      </c>
      <c r="N343" s="117">
        <v>0</v>
      </c>
      <c r="O343" s="158">
        <v>0</v>
      </c>
      <c r="P343" s="117">
        <v>0</v>
      </c>
      <c r="Q343" s="267">
        <v>0</v>
      </c>
      <c r="R343" s="158">
        <v>0</v>
      </c>
      <c r="S343" s="117">
        <v>0</v>
      </c>
      <c r="T343" s="267" t="s">
        <v>488</v>
      </c>
      <c r="U343" s="117">
        <v>0</v>
      </c>
      <c r="V343" s="267" t="s">
        <v>488</v>
      </c>
      <c r="W343" s="117">
        <v>0</v>
      </c>
      <c r="X343" s="267" t="s">
        <v>488</v>
      </c>
    </row>
    <row r="344" spans="1:24" x14ac:dyDescent="0.25">
      <c r="A344" s="117">
        <v>540177</v>
      </c>
      <c r="B344" s="2" t="s">
        <v>248</v>
      </c>
      <c r="C344" s="2" t="s">
        <v>75</v>
      </c>
      <c r="D344" s="2" t="s">
        <v>115</v>
      </c>
      <c r="E344" s="117">
        <v>7</v>
      </c>
      <c r="F344" s="117">
        <v>28.5</v>
      </c>
      <c r="G344" s="117">
        <v>1.5</v>
      </c>
      <c r="H344" s="117">
        <v>0</v>
      </c>
      <c r="I344" s="158">
        <v>0</v>
      </c>
      <c r="J344" s="117">
        <v>0.8</v>
      </c>
      <c r="K344" s="267">
        <v>0.5333</v>
      </c>
      <c r="L344" s="117">
        <v>0</v>
      </c>
      <c r="M344" s="267">
        <v>0</v>
      </c>
      <c r="N344" s="117">
        <v>0.7</v>
      </c>
      <c r="O344" s="158">
        <v>0.4667</v>
      </c>
      <c r="P344" s="117">
        <v>0</v>
      </c>
      <c r="Q344" s="267">
        <v>0</v>
      </c>
      <c r="R344" s="158">
        <v>0</v>
      </c>
      <c r="S344" s="117">
        <v>0</v>
      </c>
      <c r="T344" s="267" t="s">
        <v>488</v>
      </c>
      <c r="U344" s="117">
        <v>0</v>
      </c>
      <c r="V344" s="267" t="s">
        <v>488</v>
      </c>
      <c r="W344" s="117">
        <v>0</v>
      </c>
      <c r="X344" s="267" t="s">
        <v>488</v>
      </c>
    </row>
    <row r="345" spans="1:24" x14ac:dyDescent="0.25">
      <c r="A345" s="117">
        <v>540175</v>
      </c>
      <c r="B345" s="2" t="s">
        <v>74</v>
      </c>
      <c r="C345" s="2" t="s">
        <v>75</v>
      </c>
      <c r="D345" s="2" t="s">
        <v>5</v>
      </c>
      <c r="E345" s="117">
        <v>7</v>
      </c>
      <c r="F345" s="117">
        <v>944.4</v>
      </c>
      <c r="G345" s="117">
        <v>90.2</v>
      </c>
      <c r="H345" s="117">
        <v>0</v>
      </c>
      <c r="I345" s="158">
        <v>0</v>
      </c>
      <c r="J345" s="117">
        <v>16.7</v>
      </c>
      <c r="K345" s="267">
        <v>0.18509999999999999</v>
      </c>
      <c r="L345" s="117">
        <v>2.1</v>
      </c>
      <c r="M345" s="267">
        <v>2.3300000000000001E-2</v>
      </c>
      <c r="N345" s="117">
        <v>71.400000000000006</v>
      </c>
      <c r="O345" s="158">
        <v>0.79159999999999997</v>
      </c>
      <c r="P345" s="117">
        <v>0.3</v>
      </c>
      <c r="Q345" s="267">
        <v>3.3E-3</v>
      </c>
      <c r="R345" s="158">
        <v>2.9999999999999997E-4</v>
      </c>
      <c r="S345" s="117">
        <v>0.1</v>
      </c>
      <c r="T345" s="267">
        <v>0.33329999999999999</v>
      </c>
      <c r="U345" s="117">
        <v>0.1</v>
      </c>
      <c r="V345" s="267">
        <v>0.33329999999999999</v>
      </c>
      <c r="W345" s="117">
        <v>0.1</v>
      </c>
      <c r="X345" s="267">
        <v>0.33329999999999999</v>
      </c>
    </row>
    <row r="346" spans="1:24" x14ac:dyDescent="0.25">
      <c r="A346" s="269"/>
      <c r="B346" s="269"/>
      <c r="C346" s="269" t="s">
        <v>75</v>
      </c>
      <c r="D346" s="269"/>
      <c r="E346" s="269"/>
      <c r="F346" s="270">
        <v>998.9</v>
      </c>
      <c r="G346" s="270">
        <v>93.4</v>
      </c>
      <c r="H346" s="270">
        <v>0</v>
      </c>
      <c r="I346" s="352">
        <v>0</v>
      </c>
      <c r="J346" s="270">
        <v>17.899999999999999</v>
      </c>
      <c r="K346" s="271">
        <v>0.19159999999999999</v>
      </c>
      <c r="L346" s="270">
        <v>2.1</v>
      </c>
      <c r="M346" s="271">
        <v>2.2499999999999999E-2</v>
      </c>
      <c r="N346" s="270">
        <v>73.400000000000006</v>
      </c>
      <c r="O346" s="352">
        <v>0.78590000000000004</v>
      </c>
      <c r="P346" s="270">
        <v>0.3</v>
      </c>
      <c r="Q346" s="271">
        <v>3.2000000000000002E-3</v>
      </c>
      <c r="R346" s="352">
        <v>2.9999999999999997E-4</v>
      </c>
      <c r="S346" s="270">
        <v>0.1</v>
      </c>
      <c r="T346" s="271">
        <v>0.33329999999999999</v>
      </c>
      <c r="U346" s="270">
        <v>0.1</v>
      </c>
      <c r="V346" s="271">
        <v>0.33329999999999999</v>
      </c>
      <c r="W346" s="270">
        <v>0.1</v>
      </c>
      <c r="X346" s="271">
        <v>0.33329999999999999</v>
      </c>
    </row>
    <row r="347" spans="1:24" x14ac:dyDescent="0.25">
      <c r="A347" s="117">
        <v>540219</v>
      </c>
      <c r="B347" s="2" t="s">
        <v>273</v>
      </c>
      <c r="C347" s="2" t="s">
        <v>95</v>
      </c>
      <c r="D347" s="2" t="s">
        <v>115</v>
      </c>
      <c r="E347" s="117">
        <v>1</v>
      </c>
      <c r="F347" s="117">
        <v>5.7</v>
      </c>
      <c r="G347" s="117">
        <v>2.1</v>
      </c>
      <c r="H347" s="117">
        <v>0</v>
      </c>
      <c r="I347" s="158">
        <v>0</v>
      </c>
      <c r="J347" s="117">
        <v>0</v>
      </c>
      <c r="K347" s="267">
        <v>0</v>
      </c>
      <c r="L347" s="117">
        <v>1.5</v>
      </c>
      <c r="M347" s="267">
        <v>0.71430000000000005</v>
      </c>
      <c r="N347" s="117">
        <v>0.6</v>
      </c>
      <c r="O347" s="158">
        <v>0.28570000000000001</v>
      </c>
      <c r="P347" s="117">
        <v>2</v>
      </c>
      <c r="Q347" s="267">
        <v>0.95240000000000002</v>
      </c>
      <c r="R347" s="158">
        <v>0.35089999999999999</v>
      </c>
      <c r="S347" s="117">
        <v>0.3</v>
      </c>
      <c r="T347" s="267">
        <v>0.15</v>
      </c>
      <c r="U347" s="117">
        <v>0.8</v>
      </c>
      <c r="V347" s="267">
        <v>0.4</v>
      </c>
      <c r="W347" s="117">
        <v>0.9</v>
      </c>
      <c r="X347" s="267">
        <v>0.45</v>
      </c>
    </row>
    <row r="348" spans="1:24" x14ac:dyDescent="0.25">
      <c r="A348" s="117">
        <v>540220</v>
      </c>
      <c r="B348" s="2" t="s">
        <v>274</v>
      </c>
      <c r="C348" s="2" t="s">
        <v>95</v>
      </c>
      <c r="D348" s="2" t="s">
        <v>115</v>
      </c>
      <c r="E348" s="117">
        <v>1</v>
      </c>
      <c r="F348" s="117">
        <v>8.9</v>
      </c>
      <c r="G348" s="117">
        <v>2.1</v>
      </c>
      <c r="H348" s="117">
        <v>0</v>
      </c>
      <c r="I348" s="158">
        <v>0</v>
      </c>
      <c r="J348" s="117">
        <v>0</v>
      </c>
      <c r="K348" s="267">
        <v>0</v>
      </c>
      <c r="L348" s="117">
        <v>0.8</v>
      </c>
      <c r="M348" s="267">
        <v>0.38100000000000001</v>
      </c>
      <c r="N348" s="117">
        <v>1.4</v>
      </c>
      <c r="O348" s="158">
        <v>0.66669999999999996</v>
      </c>
      <c r="P348" s="117">
        <v>2</v>
      </c>
      <c r="Q348" s="267">
        <v>0.95240000000000002</v>
      </c>
      <c r="R348" s="158">
        <v>0.22470000000000001</v>
      </c>
      <c r="S348" s="117">
        <v>0.1</v>
      </c>
      <c r="T348" s="267">
        <v>0.05</v>
      </c>
      <c r="U348" s="117">
        <v>0.2</v>
      </c>
      <c r="V348" s="267">
        <v>0.1</v>
      </c>
      <c r="W348" s="117">
        <v>1.7</v>
      </c>
      <c r="X348" s="267">
        <v>0.85</v>
      </c>
    </row>
    <row r="349" spans="1:24" x14ac:dyDescent="0.25">
      <c r="A349" s="117">
        <v>540218</v>
      </c>
      <c r="B349" s="2" t="s">
        <v>272</v>
      </c>
      <c r="C349" s="2" t="s">
        <v>95</v>
      </c>
      <c r="D349" s="2" t="s">
        <v>115</v>
      </c>
      <c r="E349" s="117">
        <v>1</v>
      </c>
      <c r="F349" s="117">
        <v>7.8</v>
      </c>
      <c r="G349" s="117">
        <v>2</v>
      </c>
      <c r="H349" s="117">
        <v>0</v>
      </c>
      <c r="I349" s="158">
        <v>0</v>
      </c>
      <c r="J349" s="117">
        <v>0</v>
      </c>
      <c r="K349" s="267">
        <v>0</v>
      </c>
      <c r="L349" s="117">
        <v>1.5</v>
      </c>
      <c r="M349" s="267">
        <v>0.75</v>
      </c>
      <c r="N349" s="117">
        <v>0.4</v>
      </c>
      <c r="O349" s="158">
        <v>0.2</v>
      </c>
      <c r="P349" s="117">
        <v>1.9</v>
      </c>
      <c r="Q349" s="267">
        <v>0.95</v>
      </c>
      <c r="R349" s="158">
        <v>0.24360000000000001</v>
      </c>
      <c r="S349" s="117">
        <v>0.5</v>
      </c>
      <c r="T349" s="267">
        <v>0.26319999999999999</v>
      </c>
      <c r="U349" s="117">
        <v>0.4</v>
      </c>
      <c r="V349" s="267">
        <v>0.21049999999999999</v>
      </c>
      <c r="W349" s="117">
        <v>1</v>
      </c>
      <c r="X349" s="267">
        <v>0.52629999999999999</v>
      </c>
    </row>
    <row r="350" spans="1:24" x14ac:dyDescent="0.25">
      <c r="A350" s="117">
        <v>540217</v>
      </c>
      <c r="B350" s="2" t="s">
        <v>94</v>
      </c>
      <c r="C350" s="2" t="s">
        <v>95</v>
      </c>
      <c r="D350" s="2" t="s">
        <v>5</v>
      </c>
      <c r="E350" s="117">
        <v>1</v>
      </c>
      <c r="F350" s="117">
        <v>586.79999999999995</v>
      </c>
      <c r="G350" s="117">
        <v>94.8</v>
      </c>
      <c r="H350" s="117">
        <v>0</v>
      </c>
      <c r="I350" s="158">
        <v>0</v>
      </c>
      <c r="J350" s="117">
        <v>9.4</v>
      </c>
      <c r="K350" s="267">
        <v>9.9199999999999997E-2</v>
      </c>
      <c r="L350" s="117">
        <v>23.7</v>
      </c>
      <c r="M350" s="267">
        <v>0.25</v>
      </c>
      <c r="N350" s="117">
        <v>61.7</v>
      </c>
      <c r="O350" s="158">
        <v>0.65080000000000005</v>
      </c>
      <c r="P350" s="117">
        <v>95</v>
      </c>
      <c r="Q350" s="267">
        <v>1.0021</v>
      </c>
      <c r="R350" s="158">
        <v>0.16189999999999999</v>
      </c>
      <c r="S350" s="117">
        <v>21.1</v>
      </c>
      <c r="T350" s="267">
        <v>0.22209999999999999</v>
      </c>
      <c r="U350" s="117">
        <v>38.6</v>
      </c>
      <c r="V350" s="267">
        <v>0.40629999999999999</v>
      </c>
      <c r="W350" s="117">
        <v>35.299999999999997</v>
      </c>
      <c r="X350" s="267">
        <v>0.37159999999999999</v>
      </c>
    </row>
    <row r="351" spans="1:24" x14ac:dyDescent="0.25">
      <c r="A351" s="269"/>
      <c r="B351" s="269"/>
      <c r="C351" s="269" t="s">
        <v>95</v>
      </c>
      <c r="D351" s="269"/>
      <c r="E351" s="269"/>
      <c r="F351" s="270">
        <v>609.20000000000005</v>
      </c>
      <c r="G351" s="270">
        <v>101</v>
      </c>
      <c r="H351" s="270">
        <v>0</v>
      </c>
      <c r="I351" s="352">
        <v>0</v>
      </c>
      <c r="J351" s="270">
        <v>9.4</v>
      </c>
      <c r="K351" s="271">
        <v>9.3100000000000002E-2</v>
      </c>
      <c r="L351" s="270">
        <v>27.5</v>
      </c>
      <c r="M351" s="271">
        <v>0.27229999999999999</v>
      </c>
      <c r="N351" s="270">
        <v>64.099999999999994</v>
      </c>
      <c r="O351" s="352">
        <v>0.63470000000000004</v>
      </c>
      <c r="P351" s="270">
        <v>100.9</v>
      </c>
      <c r="Q351" s="271">
        <v>0.999</v>
      </c>
      <c r="R351" s="352">
        <v>0.1656</v>
      </c>
      <c r="S351" s="270">
        <v>22</v>
      </c>
      <c r="T351" s="271">
        <v>0.218</v>
      </c>
      <c r="U351" s="270">
        <v>40</v>
      </c>
      <c r="V351" s="271">
        <v>0.39639999999999997</v>
      </c>
      <c r="W351" s="270">
        <v>38.9</v>
      </c>
      <c r="X351" s="271">
        <v>0.38550000000000001</v>
      </c>
    </row>
    <row r="352" spans="1:24" x14ac:dyDescent="0.25">
      <c r="A352" s="2" t="s">
        <v>535</v>
      </c>
      <c r="B352" s="2"/>
      <c r="C352" s="2"/>
      <c r="D352" s="2"/>
      <c r="E352" s="2"/>
      <c r="F352" s="2"/>
      <c r="G352" s="2"/>
      <c r="H352" s="2"/>
      <c r="I352" s="267"/>
      <c r="J352" s="2"/>
      <c r="K352" s="267"/>
      <c r="L352" s="2"/>
      <c r="M352" s="267"/>
      <c r="N352" s="2"/>
      <c r="O352" s="267"/>
      <c r="P352" s="2"/>
      <c r="Q352" s="267"/>
      <c r="R352" s="267"/>
      <c r="S352" s="2"/>
      <c r="T352" s="267"/>
      <c r="U352" s="2"/>
      <c r="V352" s="267"/>
      <c r="W352" s="2"/>
      <c r="X352" s="267"/>
    </row>
    <row r="353" spans="1:24" x14ac:dyDescent="0.25">
      <c r="A353" s="117">
        <v>540152</v>
      </c>
      <c r="B353" s="2" t="s">
        <v>229</v>
      </c>
      <c r="C353" s="2" t="s">
        <v>544</v>
      </c>
      <c r="D353" s="2" t="s">
        <v>115</v>
      </c>
      <c r="E353" s="2" t="s">
        <v>545</v>
      </c>
      <c r="F353" s="117">
        <v>91.9</v>
      </c>
      <c r="G353" s="117">
        <v>17.899999999999999</v>
      </c>
      <c r="H353" s="117">
        <v>4.0999999999999996</v>
      </c>
      <c r="I353" s="158">
        <v>0.2291</v>
      </c>
      <c r="J353" s="117">
        <v>3.2</v>
      </c>
      <c r="K353" s="267">
        <v>0.17879999999999999</v>
      </c>
      <c r="L353" s="117">
        <v>2</v>
      </c>
      <c r="M353" s="267">
        <v>0.11169999999999999</v>
      </c>
      <c r="N353" s="117">
        <v>8.5</v>
      </c>
      <c r="O353" s="158">
        <v>0.47489999999999999</v>
      </c>
      <c r="P353" s="117">
        <v>0.1</v>
      </c>
      <c r="Q353" s="267">
        <v>5.5999999999999999E-3</v>
      </c>
      <c r="R353" s="158">
        <v>1.1000000000000001E-3</v>
      </c>
      <c r="S353" s="117">
        <v>0.1</v>
      </c>
      <c r="T353" s="267">
        <v>0.5</v>
      </c>
      <c r="U353" s="117">
        <v>0</v>
      </c>
      <c r="V353" s="267">
        <v>0</v>
      </c>
      <c r="W353" s="117">
        <v>0</v>
      </c>
      <c r="X353" s="267">
        <v>0</v>
      </c>
    </row>
    <row r="354" spans="1:24" x14ac:dyDescent="0.25">
      <c r="A354" s="117">
        <v>540196</v>
      </c>
      <c r="B354" s="2" t="s">
        <v>259</v>
      </c>
      <c r="C354" s="2" t="s">
        <v>546</v>
      </c>
      <c r="D354" s="2" t="s">
        <v>115</v>
      </c>
      <c r="E354" s="2" t="s">
        <v>547</v>
      </c>
      <c r="F354" s="117">
        <v>2.8</v>
      </c>
      <c r="G354" s="117">
        <v>0</v>
      </c>
      <c r="H354" s="117">
        <v>0</v>
      </c>
      <c r="I354" s="267" t="s">
        <v>488</v>
      </c>
      <c r="J354" s="117">
        <v>0</v>
      </c>
      <c r="K354" s="267" t="s">
        <v>488</v>
      </c>
      <c r="L354" s="117">
        <v>0</v>
      </c>
      <c r="M354" s="267"/>
      <c r="N354" s="117">
        <v>0</v>
      </c>
      <c r="O354" s="267"/>
      <c r="P354" s="117">
        <v>0</v>
      </c>
      <c r="Q354" s="267" t="s">
        <v>488</v>
      </c>
      <c r="R354" s="158">
        <v>0</v>
      </c>
      <c r="S354" s="117">
        <v>0</v>
      </c>
      <c r="T354" s="267" t="s">
        <v>488</v>
      </c>
      <c r="U354" s="117">
        <v>0</v>
      </c>
      <c r="V354" s="267" t="s">
        <v>488</v>
      </c>
      <c r="W354" s="117">
        <v>0</v>
      </c>
      <c r="X354" s="267" t="s">
        <v>488</v>
      </c>
    </row>
    <row r="355" spans="1:24" x14ac:dyDescent="0.25">
      <c r="A355" s="117">
        <v>540041</v>
      </c>
      <c r="B355" s="2" t="s">
        <v>142</v>
      </c>
      <c r="C355" s="2" t="s">
        <v>540</v>
      </c>
      <c r="D355" s="2" t="s">
        <v>115</v>
      </c>
      <c r="E355" s="2" t="s">
        <v>541</v>
      </c>
      <c r="F355" s="117">
        <v>4.5</v>
      </c>
      <c r="G355" s="117">
        <v>2.1</v>
      </c>
      <c r="H355" s="117">
        <v>0</v>
      </c>
      <c r="I355" s="158">
        <v>0</v>
      </c>
      <c r="J355" s="117">
        <v>0</v>
      </c>
      <c r="K355" s="267">
        <v>0</v>
      </c>
      <c r="L355" s="117">
        <v>1.7</v>
      </c>
      <c r="M355" s="267">
        <v>0.8095</v>
      </c>
      <c r="N355" s="117">
        <v>0.5</v>
      </c>
      <c r="O355" s="158">
        <v>0.23810000000000001</v>
      </c>
      <c r="P355" s="117">
        <v>2</v>
      </c>
      <c r="Q355" s="267">
        <v>0.95240000000000002</v>
      </c>
      <c r="R355" s="158">
        <v>0.44440000000000002</v>
      </c>
      <c r="S355" s="117">
        <v>0.2</v>
      </c>
      <c r="T355" s="267">
        <v>0.22220000000000001</v>
      </c>
      <c r="U355" s="117">
        <v>0.9</v>
      </c>
      <c r="V355" s="267">
        <v>1</v>
      </c>
      <c r="W355" s="117">
        <v>0.9</v>
      </c>
      <c r="X355" s="267">
        <v>1</v>
      </c>
    </row>
    <row r="356" spans="1:24" x14ac:dyDescent="0.25">
      <c r="A356" s="117">
        <v>540018</v>
      </c>
      <c r="B356" s="2" t="s">
        <v>127</v>
      </c>
      <c r="C356" s="2" t="s">
        <v>538</v>
      </c>
      <c r="D356" s="2" t="s">
        <v>115</v>
      </c>
      <c r="E356" s="2" t="s">
        <v>539</v>
      </c>
      <c r="F356" s="117">
        <v>107.8</v>
      </c>
      <c r="G356" s="117">
        <v>10</v>
      </c>
      <c r="H356" s="117">
        <v>0.4</v>
      </c>
      <c r="I356" s="158">
        <v>0.04</v>
      </c>
      <c r="J356" s="117">
        <v>1.8</v>
      </c>
      <c r="K356" s="267">
        <v>0.18</v>
      </c>
      <c r="L356" s="117">
        <v>2.8</v>
      </c>
      <c r="M356" s="267">
        <v>0.28000000000000003</v>
      </c>
      <c r="N356" s="117">
        <v>4.8</v>
      </c>
      <c r="O356" s="158">
        <v>0.48</v>
      </c>
      <c r="P356" s="117">
        <v>0.1</v>
      </c>
      <c r="Q356" s="267">
        <v>0.01</v>
      </c>
      <c r="R356" s="158">
        <v>8.9999999999999998E-4</v>
      </c>
      <c r="S356" s="117">
        <v>0</v>
      </c>
      <c r="T356" s="267">
        <v>0</v>
      </c>
      <c r="U356" s="117">
        <v>0.1</v>
      </c>
      <c r="V356" s="267">
        <v>2.4400000000000002E-2</v>
      </c>
      <c r="W356" s="117">
        <v>0</v>
      </c>
      <c r="X356" s="267">
        <v>0</v>
      </c>
    </row>
    <row r="357" spans="1:24" x14ac:dyDescent="0.25">
      <c r="A357" s="117">
        <v>540014</v>
      </c>
      <c r="B357" s="2" t="s">
        <v>124</v>
      </c>
      <c r="C357" s="2" t="s">
        <v>536</v>
      </c>
      <c r="D357" s="2" t="s">
        <v>115</v>
      </c>
      <c r="E357" s="2" t="s">
        <v>537</v>
      </c>
      <c r="F357" s="117">
        <v>43.4</v>
      </c>
      <c r="G357" s="117">
        <v>1.9</v>
      </c>
      <c r="H357" s="117">
        <v>0</v>
      </c>
      <c r="I357" s="158">
        <v>0</v>
      </c>
      <c r="J357" s="117">
        <v>0.6</v>
      </c>
      <c r="K357" s="267">
        <v>0.31580000000000003</v>
      </c>
      <c r="L357" s="117">
        <v>0.2</v>
      </c>
      <c r="M357" s="267">
        <v>0.1053</v>
      </c>
      <c r="N357" s="117">
        <v>1.2</v>
      </c>
      <c r="O357" s="158">
        <v>0.63160000000000005</v>
      </c>
      <c r="P357" s="117">
        <v>0.1</v>
      </c>
      <c r="Q357" s="267">
        <v>5.2600000000000001E-2</v>
      </c>
      <c r="R357" s="158">
        <v>2.3E-3</v>
      </c>
      <c r="S357" s="117">
        <v>0</v>
      </c>
      <c r="T357" s="267">
        <v>0</v>
      </c>
      <c r="U357" s="117">
        <v>0.1</v>
      </c>
      <c r="V357" s="267">
        <v>0.2</v>
      </c>
      <c r="W357" s="117">
        <v>0</v>
      </c>
      <c r="X357" s="267">
        <v>0</v>
      </c>
    </row>
    <row r="358" spans="1:24" x14ac:dyDescent="0.25">
      <c r="A358" s="117">
        <v>540081</v>
      </c>
      <c r="B358" s="2" t="s">
        <v>176</v>
      </c>
      <c r="C358" s="2" t="s">
        <v>542</v>
      </c>
      <c r="D358" s="2" t="s">
        <v>115</v>
      </c>
      <c r="E358" s="2" t="s">
        <v>543</v>
      </c>
      <c r="F358" s="117">
        <v>26</v>
      </c>
      <c r="G358" s="117">
        <v>1.3</v>
      </c>
      <c r="H358" s="117">
        <v>0</v>
      </c>
      <c r="I358" s="158">
        <v>0</v>
      </c>
      <c r="J358" s="117">
        <v>0</v>
      </c>
      <c r="K358" s="267">
        <v>0</v>
      </c>
      <c r="L358" s="117">
        <v>0.6</v>
      </c>
      <c r="M358" s="267">
        <v>0.46150000000000002</v>
      </c>
      <c r="N358" s="117">
        <v>0.7</v>
      </c>
      <c r="O358" s="158">
        <v>0.53849999999999998</v>
      </c>
      <c r="P358" s="117">
        <v>0</v>
      </c>
      <c r="Q358" s="267">
        <v>0</v>
      </c>
      <c r="R358" s="158">
        <v>0</v>
      </c>
      <c r="S358" s="117">
        <v>0</v>
      </c>
      <c r="T358" s="267" t="s">
        <v>488</v>
      </c>
      <c r="U358" s="117">
        <v>0</v>
      </c>
      <c r="V358" s="267" t="s">
        <v>488</v>
      </c>
      <c r="W358" s="117">
        <v>0</v>
      </c>
      <c r="X358" s="267" t="s">
        <v>488</v>
      </c>
    </row>
    <row r="359" spans="1:24" x14ac:dyDescent="0.25">
      <c r="A359" s="117">
        <v>540033</v>
      </c>
      <c r="B359" s="2" t="s">
        <v>138</v>
      </c>
      <c r="C359" s="2" t="s">
        <v>1299</v>
      </c>
      <c r="D359" s="2" t="s">
        <v>115</v>
      </c>
      <c r="E359" s="2" t="s">
        <v>1298</v>
      </c>
      <c r="F359" s="117">
        <v>8.8000000000000007</v>
      </c>
      <c r="G359" s="117">
        <v>0.8</v>
      </c>
      <c r="H359" s="117">
        <v>0</v>
      </c>
      <c r="I359" s="158">
        <v>0</v>
      </c>
      <c r="J359" s="117">
        <v>0</v>
      </c>
      <c r="K359" s="267">
        <v>0</v>
      </c>
      <c r="L359" s="117">
        <v>0</v>
      </c>
      <c r="M359" s="267">
        <v>0</v>
      </c>
      <c r="N359" s="117">
        <v>0.8</v>
      </c>
      <c r="O359" s="158">
        <v>1</v>
      </c>
      <c r="P359" s="117">
        <v>0.8</v>
      </c>
      <c r="Q359" s="267">
        <v>1</v>
      </c>
      <c r="R359" s="158">
        <v>9.0899999999999995E-2</v>
      </c>
      <c r="S359" s="117">
        <v>0.1</v>
      </c>
      <c r="T359" s="267">
        <v>0.125</v>
      </c>
      <c r="U359" s="117">
        <v>0.3</v>
      </c>
      <c r="V359" s="267">
        <v>0.375</v>
      </c>
      <c r="W359" s="117">
        <v>0.4</v>
      </c>
      <c r="X359" s="267">
        <v>0.5</v>
      </c>
    </row>
    <row r="360" spans="1:24" x14ac:dyDescent="0.25">
      <c r="A360" s="117">
        <v>540029</v>
      </c>
      <c r="B360" s="2" t="s">
        <v>134</v>
      </c>
      <c r="C360" s="2" t="s">
        <v>1299</v>
      </c>
      <c r="D360" s="2" t="s">
        <v>115</v>
      </c>
      <c r="E360" s="2" t="s">
        <v>1298</v>
      </c>
      <c r="F360" s="117">
        <v>6.8</v>
      </c>
      <c r="G360" s="117">
        <v>0.7</v>
      </c>
      <c r="H360" s="117">
        <v>0</v>
      </c>
      <c r="I360" s="158">
        <v>0</v>
      </c>
      <c r="J360" s="117">
        <v>0</v>
      </c>
      <c r="K360" s="267">
        <v>0</v>
      </c>
      <c r="L360" s="117">
        <v>0.4</v>
      </c>
      <c r="M360" s="267">
        <v>0.57140000000000002</v>
      </c>
      <c r="N360" s="117">
        <v>0.3</v>
      </c>
      <c r="O360" s="158">
        <v>0.42859999999999998</v>
      </c>
      <c r="P360" s="117">
        <v>0.3</v>
      </c>
      <c r="Q360" s="267">
        <v>0.42859999999999998</v>
      </c>
      <c r="R360" s="158">
        <v>4.41E-2</v>
      </c>
      <c r="S360" s="117">
        <v>0</v>
      </c>
      <c r="T360" s="267">
        <v>0</v>
      </c>
      <c r="U360" s="117">
        <v>0.2</v>
      </c>
      <c r="V360" s="267">
        <v>0.5</v>
      </c>
      <c r="W360" s="117">
        <v>0.1</v>
      </c>
      <c r="X360" s="267">
        <v>0.25</v>
      </c>
    </row>
  </sheetData>
  <hyperlinks>
    <hyperlink ref="AA70" r:id="rId1"/>
    <hyperlink ref="AA3" r:id="rId2"/>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0"/>
  <sheetViews>
    <sheetView topLeftCell="L1" workbookViewId="0">
      <selection activeCell="R2" sqref="R2:S3"/>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14.140625" bestFit="1" customWidth="1"/>
    <col min="7" max="7" width="21.5703125" bestFit="1" customWidth="1"/>
    <col min="8" max="8" width="17" bestFit="1" customWidth="1"/>
    <col min="9" max="9" width="35.85546875" bestFit="1" customWidth="1"/>
    <col min="10" max="10" width="37" bestFit="1" customWidth="1"/>
    <col min="11" max="11" width="18.28515625" bestFit="1" customWidth="1"/>
    <col min="12" max="12" width="24.85546875" bestFit="1" customWidth="1"/>
    <col min="13" max="13" width="15.85546875" bestFit="1" customWidth="1"/>
    <col min="14" max="14" width="22.5703125" bestFit="1" customWidth="1"/>
    <col min="15" max="15" width="18.42578125" bestFit="1" customWidth="1"/>
    <col min="16" max="16" width="25" bestFit="1" customWidth="1"/>
    <col min="19" max="19" width="120.28515625" bestFit="1" customWidth="1"/>
  </cols>
  <sheetData>
    <row r="1" spans="1:19" x14ac:dyDescent="0.25">
      <c r="A1" s="181" t="s">
        <v>0</v>
      </c>
      <c r="B1" s="181" t="s">
        <v>1</v>
      </c>
      <c r="C1" s="181" t="s">
        <v>2</v>
      </c>
      <c r="D1" s="181" t="s">
        <v>512</v>
      </c>
      <c r="E1" s="181" t="s">
        <v>403</v>
      </c>
      <c r="F1" s="181" t="s">
        <v>2260</v>
      </c>
      <c r="G1" s="181" t="s">
        <v>2261</v>
      </c>
      <c r="H1" s="181" t="s">
        <v>2262</v>
      </c>
      <c r="I1" s="181" t="s">
        <v>2263</v>
      </c>
      <c r="J1" s="181" t="s">
        <v>2264</v>
      </c>
      <c r="K1" s="181" t="s">
        <v>2265</v>
      </c>
      <c r="L1" s="181" t="s">
        <v>2266</v>
      </c>
      <c r="M1" s="181" t="s">
        <v>2267</v>
      </c>
      <c r="N1" s="181" t="s">
        <v>2268</v>
      </c>
      <c r="O1" s="181" t="s">
        <v>2269</v>
      </c>
      <c r="P1" s="181" t="s">
        <v>2270</v>
      </c>
      <c r="R1" s="119" t="s">
        <v>5539</v>
      </c>
    </row>
    <row r="2" spans="1:19" x14ac:dyDescent="0.25">
      <c r="A2" s="117">
        <v>540001</v>
      </c>
      <c r="B2" s="2" t="s">
        <v>3</v>
      </c>
      <c r="C2" s="2" t="s">
        <v>4</v>
      </c>
      <c r="D2" s="2" t="s">
        <v>5</v>
      </c>
      <c r="E2" s="117">
        <v>7</v>
      </c>
      <c r="F2" s="117">
        <v>40.799999999999997</v>
      </c>
      <c r="G2" s="117">
        <v>20.399999999999999</v>
      </c>
      <c r="H2" s="117">
        <v>8.9</v>
      </c>
      <c r="I2" s="267">
        <v>0.43630000000000002</v>
      </c>
      <c r="J2" s="267">
        <v>0.21809999999999999</v>
      </c>
      <c r="K2" s="117">
        <v>1.4</v>
      </c>
      <c r="L2" s="267">
        <v>0.1573</v>
      </c>
      <c r="M2" s="117">
        <v>2.4</v>
      </c>
      <c r="N2" s="267">
        <v>0.2697</v>
      </c>
      <c r="O2" s="117">
        <v>5.0999999999999996</v>
      </c>
      <c r="P2" s="267">
        <v>0.57299999999999995</v>
      </c>
      <c r="R2" s="206" t="s">
        <v>1325</v>
      </c>
      <c r="S2" s="62" t="s">
        <v>5543</v>
      </c>
    </row>
    <row r="3" spans="1:19" x14ac:dyDescent="0.25">
      <c r="A3" s="117">
        <v>540002</v>
      </c>
      <c r="B3" s="2" t="s">
        <v>114</v>
      </c>
      <c r="C3" s="2" t="s">
        <v>4</v>
      </c>
      <c r="D3" s="2" t="s">
        <v>115</v>
      </c>
      <c r="E3" s="117">
        <v>7</v>
      </c>
      <c r="F3" s="117">
        <v>5.7</v>
      </c>
      <c r="G3" s="117">
        <v>1.4</v>
      </c>
      <c r="H3" s="117">
        <v>0</v>
      </c>
      <c r="I3" s="267">
        <v>0</v>
      </c>
      <c r="J3" s="267">
        <v>0</v>
      </c>
      <c r="K3" s="117">
        <v>0</v>
      </c>
      <c r="L3" s="267" t="s">
        <v>488</v>
      </c>
      <c r="M3" s="117">
        <v>0</v>
      </c>
      <c r="N3" s="267" t="s">
        <v>488</v>
      </c>
      <c r="O3" s="117">
        <v>0</v>
      </c>
      <c r="P3" s="267" t="s">
        <v>488</v>
      </c>
      <c r="R3" s="206" t="s">
        <v>1326</v>
      </c>
      <c r="S3" s="393" t="s">
        <v>5624</v>
      </c>
    </row>
    <row r="4" spans="1:19" x14ac:dyDescent="0.25">
      <c r="A4" s="117">
        <v>540003</v>
      </c>
      <c r="B4" s="2" t="s">
        <v>116</v>
      </c>
      <c r="C4" s="2" t="s">
        <v>4</v>
      </c>
      <c r="D4" s="2" t="s">
        <v>115</v>
      </c>
      <c r="E4" s="117">
        <v>7</v>
      </c>
      <c r="F4" s="117">
        <v>1</v>
      </c>
      <c r="G4" s="117">
        <v>1</v>
      </c>
      <c r="H4" s="117">
        <v>1</v>
      </c>
      <c r="I4" s="267">
        <v>1</v>
      </c>
      <c r="J4" s="267">
        <v>1</v>
      </c>
      <c r="K4" s="117">
        <v>0.1</v>
      </c>
      <c r="L4" s="267">
        <v>0.1</v>
      </c>
      <c r="M4" s="117">
        <v>0.4</v>
      </c>
      <c r="N4" s="267">
        <v>0.4</v>
      </c>
      <c r="O4" s="117">
        <v>0.5</v>
      </c>
      <c r="P4" s="267">
        <v>0.5</v>
      </c>
    </row>
    <row r="5" spans="1:19" x14ac:dyDescent="0.25">
      <c r="A5" s="117">
        <v>540004</v>
      </c>
      <c r="B5" s="2" t="s">
        <v>117</v>
      </c>
      <c r="C5" s="2" t="s">
        <v>4</v>
      </c>
      <c r="D5" s="2" t="s">
        <v>115</v>
      </c>
      <c r="E5" s="117">
        <v>7</v>
      </c>
      <c r="F5" s="117">
        <v>2.4</v>
      </c>
      <c r="G5" s="117">
        <v>1.8</v>
      </c>
      <c r="H5" s="117">
        <v>0.7</v>
      </c>
      <c r="I5" s="267">
        <v>0.38890000000000002</v>
      </c>
      <c r="J5" s="267">
        <v>0.29170000000000001</v>
      </c>
      <c r="K5" s="117">
        <v>0</v>
      </c>
      <c r="L5" s="267">
        <v>0</v>
      </c>
      <c r="M5" s="117">
        <v>0</v>
      </c>
      <c r="N5" s="267">
        <v>0</v>
      </c>
      <c r="O5" s="117">
        <v>0.7</v>
      </c>
      <c r="P5" s="267">
        <v>1</v>
      </c>
    </row>
    <row r="6" spans="1:19" x14ac:dyDescent="0.25">
      <c r="A6" s="269"/>
      <c r="B6" s="269"/>
      <c r="C6" s="269" t="s">
        <v>4</v>
      </c>
      <c r="D6" s="269"/>
      <c r="E6" s="269"/>
      <c r="F6" s="270">
        <v>49.9</v>
      </c>
      <c r="G6" s="270">
        <v>24.6</v>
      </c>
      <c r="H6" s="270">
        <v>10.6</v>
      </c>
      <c r="I6" s="271">
        <v>0.43090000000000001</v>
      </c>
      <c r="J6" s="271">
        <v>0.21240000000000001</v>
      </c>
      <c r="K6" s="270">
        <v>1.5</v>
      </c>
      <c r="L6" s="271">
        <v>0.14149999999999999</v>
      </c>
      <c r="M6" s="270">
        <v>2.8</v>
      </c>
      <c r="N6" s="271">
        <v>0.26419999999999999</v>
      </c>
      <c r="O6" s="270">
        <v>6.3</v>
      </c>
      <c r="P6" s="271">
        <v>0.59430000000000005</v>
      </c>
    </row>
    <row r="7" spans="1:19" x14ac:dyDescent="0.25">
      <c r="A7" s="117">
        <v>540007</v>
      </c>
      <c r="B7" s="2" t="s">
        <v>6</v>
      </c>
      <c r="C7" s="2" t="s">
        <v>7</v>
      </c>
      <c r="D7" s="2" t="s">
        <v>5</v>
      </c>
      <c r="E7" s="117">
        <v>3</v>
      </c>
      <c r="F7" s="117">
        <v>117.4</v>
      </c>
      <c r="G7" s="117">
        <v>59</v>
      </c>
      <c r="H7" s="117">
        <v>4.5999999999999996</v>
      </c>
      <c r="I7" s="267">
        <v>7.8E-2</v>
      </c>
      <c r="J7" s="267">
        <v>3.9199999999999999E-2</v>
      </c>
      <c r="K7" s="117">
        <v>1.8</v>
      </c>
      <c r="L7" s="267">
        <v>0.39129999999999998</v>
      </c>
      <c r="M7" s="117">
        <v>1.9</v>
      </c>
      <c r="N7" s="267">
        <v>0.41299999999999998</v>
      </c>
      <c r="O7" s="117">
        <v>0.9</v>
      </c>
      <c r="P7" s="267">
        <v>0.19570000000000001</v>
      </c>
    </row>
    <row r="8" spans="1:19" x14ac:dyDescent="0.25">
      <c r="A8" s="117">
        <v>540008</v>
      </c>
      <c r="B8" s="2" t="s">
        <v>120</v>
      </c>
      <c r="C8" s="2" t="s">
        <v>7</v>
      </c>
      <c r="D8" s="2" t="s">
        <v>115</v>
      </c>
      <c r="E8" s="117">
        <v>3</v>
      </c>
      <c r="F8" s="117">
        <v>4.5</v>
      </c>
      <c r="G8" s="117">
        <v>2.8</v>
      </c>
      <c r="H8" s="117">
        <v>0</v>
      </c>
      <c r="I8" s="267">
        <v>0</v>
      </c>
      <c r="J8" s="267">
        <v>0</v>
      </c>
      <c r="K8" s="117">
        <v>0</v>
      </c>
      <c r="L8" s="267" t="s">
        <v>488</v>
      </c>
      <c r="M8" s="117">
        <v>0</v>
      </c>
      <c r="N8" s="267" t="s">
        <v>488</v>
      </c>
      <c r="O8" s="117">
        <v>0</v>
      </c>
      <c r="P8" s="267" t="s">
        <v>488</v>
      </c>
    </row>
    <row r="9" spans="1:19" x14ac:dyDescent="0.25">
      <c r="A9" s="117">
        <v>540229</v>
      </c>
      <c r="B9" s="2" t="s">
        <v>279</v>
      </c>
      <c r="C9" s="2" t="s">
        <v>7</v>
      </c>
      <c r="D9" s="2" t="s">
        <v>115</v>
      </c>
      <c r="E9" s="117">
        <v>3</v>
      </c>
      <c r="F9" s="117">
        <v>2</v>
      </c>
      <c r="G9" s="117">
        <v>0.5</v>
      </c>
      <c r="H9" s="117">
        <v>0</v>
      </c>
      <c r="I9" s="267">
        <v>0</v>
      </c>
      <c r="J9" s="267">
        <v>0</v>
      </c>
      <c r="K9" s="117">
        <v>0</v>
      </c>
      <c r="L9" s="267" t="s">
        <v>488</v>
      </c>
      <c r="M9" s="117">
        <v>0</v>
      </c>
      <c r="N9" s="267" t="s">
        <v>488</v>
      </c>
      <c r="O9" s="117">
        <v>0</v>
      </c>
      <c r="P9" s="267" t="s">
        <v>488</v>
      </c>
    </row>
    <row r="10" spans="1:19" x14ac:dyDescent="0.25">
      <c r="A10" s="117">
        <v>540230</v>
      </c>
      <c r="B10" s="2" t="s">
        <v>280</v>
      </c>
      <c r="C10" s="2" t="s">
        <v>7</v>
      </c>
      <c r="D10" s="2" t="s">
        <v>115</v>
      </c>
      <c r="E10" s="117">
        <v>3</v>
      </c>
      <c r="F10" s="117">
        <v>1.2</v>
      </c>
      <c r="G10" s="117">
        <v>1.2</v>
      </c>
      <c r="H10" s="117">
        <v>0</v>
      </c>
      <c r="I10" s="267">
        <v>0</v>
      </c>
      <c r="J10" s="267">
        <v>0</v>
      </c>
      <c r="K10" s="117">
        <v>0</v>
      </c>
      <c r="L10" s="267" t="s">
        <v>488</v>
      </c>
      <c r="M10" s="117">
        <v>0</v>
      </c>
      <c r="N10" s="267" t="s">
        <v>488</v>
      </c>
      <c r="O10" s="117">
        <v>0</v>
      </c>
      <c r="P10" s="267" t="s">
        <v>488</v>
      </c>
    </row>
    <row r="11" spans="1:19" x14ac:dyDescent="0.25">
      <c r="A11" s="117">
        <v>540238</v>
      </c>
      <c r="B11" s="2" t="s">
        <v>286</v>
      </c>
      <c r="C11" s="2" t="s">
        <v>7</v>
      </c>
      <c r="D11" s="2" t="s">
        <v>115</v>
      </c>
      <c r="E11" s="117">
        <v>3</v>
      </c>
      <c r="F11" s="117">
        <v>0.5</v>
      </c>
      <c r="G11" s="117">
        <v>0.1</v>
      </c>
      <c r="H11" s="117">
        <v>0</v>
      </c>
      <c r="I11" s="267">
        <v>0</v>
      </c>
      <c r="J11" s="267">
        <v>0</v>
      </c>
      <c r="K11" s="117">
        <v>0</v>
      </c>
      <c r="L11" s="267" t="s">
        <v>488</v>
      </c>
      <c r="M11" s="117">
        <v>0</v>
      </c>
      <c r="N11" s="267" t="s">
        <v>488</v>
      </c>
      <c r="O11" s="117">
        <v>0</v>
      </c>
      <c r="P11" s="267" t="s">
        <v>488</v>
      </c>
    </row>
    <row r="12" spans="1:19" x14ac:dyDescent="0.25">
      <c r="A12" s="269"/>
      <c r="B12" s="269"/>
      <c r="C12" s="269" t="s">
        <v>7</v>
      </c>
      <c r="D12" s="269"/>
      <c r="E12" s="269"/>
      <c r="F12" s="270">
        <v>125.6</v>
      </c>
      <c r="G12" s="270">
        <v>63.6</v>
      </c>
      <c r="H12" s="270">
        <v>4.5999999999999996</v>
      </c>
      <c r="I12" s="271">
        <v>7.2300000000000003E-2</v>
      </c>
      <c r="J12" s="271">
        <v>3.6600000000000001E-2</v>
      </c>
      <c r="K12" s="270">
        <v>1.8</v>
      </c>
      <c r="L12" s="271">
        <v>0.39129999999999998</v>
      </c>
      <c r="M12" s="270">
        <v>1.9</v>
      </c>
      <c r="N12" s="271">
        <v>0.41299999999999998</v>
      </c>
      <c r="O12" s="270">
        <v>0.9</v>
      </c>
      <c r="P12" s="271">
        <v>0.19570000000000001</v>
      </c>
    </row>
    <row r="13" spans="1:19" x14ac:dyDescent="0.25">
      <c r="A13" s="117">
        <v>540009</v>
      </c>
      <c r="B13" s="2" t="s">
        <v>8</v>
      </c>
      <c r="C13" s="2" t="s">
        <v>9</v>
      </c>
      <c r="D13" s="2" t="s">
        <v>5</v>
      </c>
      <c r="E13" s="117">
        <v>7</v>
      </c>
      <c r="F13" s="117">
        <v>65.599999999999994</v>
      </c>
      <c r="G13" s="117">
        <v>15.1</v>
      </c>
      <c r="H13" s="117">
        <v>0</v>
      </c>
      <c r="I13" s="267">
        <v>0</v>
      </c>
      <c r="J13" s="267">
        <v>0</v>
      </c>
      <c r="K13" s="117">
        <v>0</v>
      </c>
      <c r="L13" s="267" t="s">
        <v>488</v>
      </c>
      <c r="M13" s="117">
        <v>0</v>
      </c>
      <c r="N13" s="267" t="s">
        <v>488</v>
      </c>
      <c r="O13" s="117">
        <v>0</v>
      </c>
      <c r="P13" s="267" t="s">
        <v>488</v>
      </c>
    </row>
    <row r="14" spans="1:19" x14ac:dyDescent="0.25">
      <c r="A14" s="117">
        <v>540010</v>
      </c>
      <c r="B14" s="2" t="s">
        <v>121</v>
      </c>
      <c r="C14" s="2" t="s">
        <v>9</v>
      </c>
      <c r="D14" s="2" t="s">
        <v>115</v>
      </c>
      <c r="E14" s="117">
        <v>7</v>
      </c>
      <c r="F14" s="117">
        <v>2.2000000000000002</v>
      </c>
      <c r="G14" s="117">
        <v>0.5</v>
      </c>
      <c r="H14" s="117">
        <v>0</v>
      </c>
      <c r="I14" s="267">
        <v>0</v>
      </c>
      <c r="J14" s="267">
        <v>0</v>
      </c>
      <c r="K14" s="117">
        <v>0</v>
      </c>
      <c r="L14" s="267" t="s">
        <v>488</v>
      </c>
      <c r="M14" s="117">
        <v>0</v>
      </c>
      <c r="N14" s="267" t="s">
        <v>488</v>
      </c>
      <c r="O14" s="117">
        <v>0</v>
      </c>
      <c r="P14" s="267" t="s">
        <v>488</v>
      </c>
    </row>
    <row r="15" spans="1:19" x14ac:dyDescent="0.25">
      <c r="A15" s="117">
        <v>540235</v>
      </c>
      <c r="B15" s="2" t="s">
        <v>283</v>
      </c>
      <c r="C15" s="2" t="s">
        <v>9</v>
      </c>
      <c r="D15" s="2" t="s">
        <v>115</v>
      </c>
      <c r="E15" s="117">
        <v>7</v>
      </c>
      <c r="F15" s="117">
        <v>0.7</v>
      </c>
      <c r="G15" s="117">
        <v>0</v>
      </c>
      <c r="H15" s="117">
        <v>0</v>
      </c>
      <c r="I15" s="267" t="s">
        <v>488</v>
      </c>
      <c r="J15" s="267">
        <v>0</v>
      </c>
      <c r="K15" s="117">
        <v>0</v>
      </c>
      <c r="L15" s="267" t="s">
        <v>488</v>
      </c>
      <c r="M15" s="117">
        <v>0</v>
      </c>
      <c r="N15" s="267" t="s">
        <v>488</v>
      </c>
      <c r="O15" s="117">
        <v>0</v>
      </c>
      <c r="P15" s="267" t="s">
        <v>488</v>
      </c>
    </row>
    <row r="16" spans="1:19" x14ac:dyDescent="0.25">
      <c r="A16" s="117">
        <v>540236</v>
      </c>
      <c r="B16" s="2" t="s">
        <v>284</v>
      </c>
      <c r="C16" s="2" t="s">
        <v>9</v>
      </c>
      <c r="D16" s="2" t="s">
        <v>115</v>
      </c>
      <c r="E16" s="117">
        <v>7</v>
      </c>
      <c r="F16" s="117">
        <v>0</v>
      </c>
      <c r="G16" s="117">
        <v>0</v>
      </c>
      <c r="H16" s="117">
        <v>0</v>
      </c>
      <c r="I16" s="267" t="s">
        <v>488</v>
      </c>
      <c r="J16" s="267" t="s">
        <v>488</v>
      </c>
      <c r="K16" s="117">
        <v>0</v>
      </c>
      <c r="L16" s="267" t="s">
        <v>488</v>
      </c>
      <c r="M16" s="117">
        <v>0</v>
      </c>
      <c r="N16" s="267" t="s">
        <v>488</v>
      </c>
      <c r="O16" s="117">
        <v>0</v>
      </c>
      <c r="P16" s="267" t="s">
        <v>488</v>
      </c>
    </row>
    <row r="17" spans="1:16" x14ac:dyDescent="0.25">
      <c r="A17" s="117">
        <v>540237</v>
      </c>
      <c r="B17" s="2" t="s">
        <v>285</v>
      </c>
      <c r="C17" s="2" t="s">
        <v>9</v>
      </c>
      <c r="D17" s="2" t="s">
        <v>115</v>
      </c>
      <c r="E17" s="117">
        <v>7</v>
      </c>
      <c r="F17" s="117">
        <v>1.1000000000000001</v>
      </c>
      <c r="G17" s="117">
        <v>0.1</v>
      </c>
      <c r="H17" s="117">
        <v>0</v>
      </c>
      <c r="I17" s="267">
        <v>0</v>
      </c>
      <c r="J17" s="267">
        <v>0</v>
      </c>
      <c r="K17" s="117">
        <v>0</v>
      </c>
      <c r="L17" s="267" t="s">
        <v>488</v>
      </c>
      <c r="M17" s="117">
        <v>0</v>
      </c>
      <c r="N17" s="267" t="s">
        <v>488</v>
      </c>
      <c r="O17" s="117">
        <v>0</v>
      </c>
      <c r="P17" s="267" t="s">
        <v>488</v>
      </c>
    </row>
    <row r="18" spans="1:16" x14ac:dyDescent="0.25">
      <c r="A18" s="269"/>
      <c r="B18" s="269"/>
      <c r="C18" s="269" t="s">
        <v>9</v>
      </c>
      <c r="D18" s="269"/>
      <c r="E18" s="269"/>
      <c r="F18" s="270">
        <v>69.599999999999994</v>
      </c>
      <c r="G18" s="270">
        <v>15.7</v>
      </c>
      <c r="H18" s="270">
        <v>0</v>
      </c>
      <c r="I18" s="271">
        <v>0</v>
      </c>
      <c r="J18" s="271">
        <v>0</v>
      </c>
      <c r="K18" s="270">
        <v>0</v>
      </c>
      <c r="L18" s="271" t="s">
        <v>488</v>
      </c>
      <c r="M18" s="270">
        <v>0</v>
      </c>
      <c r="N18" s="271"/>
      <c r="O18" s="270">
        <v>0</v>
      </c>
      <c r="P18" s="271"/>
    </row>
    <row r="19" spans="1:16" x14ac:dyDescent="0.25">
      <c r="A19" s="117">
        <v>540011</v>
      </c>
      <c r="B19" s="2" t="s">
        <v>10</v>
      </c>
      <c r="C19" s="2" t="s">
        <v>11</v>
      </c>
      <c r="D19" s="2" t="s">
        <v>5</v>
      </c>
      <c r="E19" s="117">
        <v>11</v>
      </c>
      <c r="F19" s="117">
        <v>14.8</v>
      </c>
      <c r="G19" s="117">
        <v>2</v>
      </c>
      <c r="H19" s="117">
        <v>0</v>
      </c>
      <c r="I19" s="267">
        <v>0</v>
      </c>
      <c r="J19" s="267">
        <v>0</v>
      </c>
      <c r="K19" s="117">
        <v>0</v>
      </c>
      <c r="L19" s="267" t="s">
        <v>488</v>
      </c>
      <c r="M19" s="117">
        <v>0</v>
      </c>
      <c r="N19" s="267" t="s">
        <v>488</v>
      </c>
      <c r="O19" s="117">
        <v>0</v>
      </c>
      <c r="P19" s="267" t="s">
        <v>488</v>
      </c>
    </row>
    <row r="20" spans="1:16" x14ac:dyDescent="0.25">
      <c r="A20" s="117">
        <v>540012</v>
      </c>
      <c r="B20" s="2" t="s">
        <v>122</v>
      </c>
      <c r="C20" s="2" t="s">
        <v>11</v>
      </c>
      <c r="D20" s="2" t="s">
        <v>115</v>
      </c>
      <c r="E20" s="117">
        <v>11</v>
      </c>
      <c r="F20" s="117">
        <v>0</v>
      </c>
      <c r="G20" s="117">
        <v>0</v>
      </c>
      <c r="H20" s="117">
        <v>0</v>
      </c>
      <c r="I20" s="267" t="s">
        <v>488</v>
      </c>
      <c r="J20" s="267" t="s">
        <v>488</v>
      </c>
      <c r="K20" s="117">
        <v>0</v>
      </c>
      <c r="L20" s="267" t="s">
        <v>488</v>
      </c>
      <c r="M20" s="117">
        <v>0</v>
      </c>
      <c r="N20" s="267" t="s">
        <v>488</v>
      </c>
      <c r="O20" s="117">
        <v>0</v>
      </c>
      <c r="P20" s="267" t="s">
        <v>488</v>
      </c>
    </row>
    <row r="21" spans="1:16" x14ac:dyDescent="0.25">
      <c r="A21" s="117">
        <v>540013</v>
      </c>
      <c r="B21" s="2" t="s">
        <v>123</v>
      </c>
      <c r="C21" s="2" t="s">
        <v>11</v>
      </c>
      <c r="D21" s="2" t="s">
        <v>115</v>
      </c>
      <c r="E21" s="117">
        <v>11</v>
      </c>
      <c r="F21" s="117">
        <v>2.4</v>
      </c>
      <c r="G21" s="117">
        <v>0.2</v>
      </c>
      <c r="H21" s="117">
        <v>0</v>
      </c>
      <c r="I21" s="267">
        <v>0</v>
      </c>
      <c r="J21" s="267">
        <v>0</v>
      </c>
      <c r="K21" s="117">
        <v>0</v>
      </c>
      <c r="L21" s="267" t="s">
        <v>488</v>
      </c>
      <c r="M21" s="117">
        <v>0</v>
      </c>
      <c r="N21" s="267" t="s">
        <v>488</v>
      </c>
      <c r="O21" s="117">
        <v>0</v>
      </c>
      <c r="P21" s="267" t="s">
        <v>488</v>
      </c>
    </row>
    <row r="22" spans="1:16" x14ac:dyDescent="0.25">
      <c r="A22" s="117">
        <v>540014</v>
      </c>
      <c r="B22" s="2" t="s">
        <v>124</v>
      </c>
      <c r="C22" s="2" t="s">
        <v>11</v>
      </c>
      <c r="D22" s="2" t="s">
        <v>115</v>
      </c>
      <c r="E22" s="117">
        <v>11</v>
      </c>
      <c r="F22" s="117">
        <v>4.9000000000000004</v>
      </c>
      <c r="G22" s="117">
        <v>0.3</v>
      </c>
      <c r="H22" s="117">
        <v>0</v>
      </c>
      <c r="I22" s="267">
        <v>0</v>
      </c>
      <c r="J22" s="267">
        <v>0</v>
      </c>
      <c r="K22" s="117">
        <v>0</v>
      </c>
      <c r="L22" s="267" t="s">
        <v>488</v>
      </c>
      <c r="M22" s="117">
        <v>0</v>
      </c>
      <c r="N22" s="267" t="s">
        <v>488</v>
      </c>
      <c r="O22" s="117">
        <v>0</v>
      </c>
      <c r="P22" s="267" t="s">
        <v>488</v>
      </c>
    </row>
    <row r="23" spans="1:16" x14ac:dyDescent="0.25">
      <c r="A23" s="117">
        <v>540015</v>
      </c>
      <c r="B23" s="2" t="s">
        <v>125</v>
      </c>
      <c r="C23" s="2" t="s">
        <v>11</v>
      </c>
      <c r="D23" s="2" t="s">
        <v>115</v>
      </c>
      <c r="E23" s="117">
        <v>11</v>
      </c>
      <c r="F23" s="117">
        <v>2.4</v>
      </c>
      <c r="G23" s="117">
        <v>1.9</v>
      </c>
      <c r="H23" s="117">
        <v>0</v>
      </c>
      <c r="I23" s="267">
        <v>0</v>
      </c>
      <c r="J23" s="267">
        <v>0</v>
      </c>
      <c r="K23" s="117">
        <v>0</v>
      </c>
      <c r="L23" s="267" t="s">
        <v>488</v>
      </c>
      <c r="M23" s="117">
        <v>0</v>
      </c>
      <c r="N23" s="267" t="s">
        <v>488</v>
      </c>
      <c r="O23" s="117">
        <v>0</v>
      </c>
      <c r="P23" s="267" t="s">
        <v>488</v>
      </c>
    </row>
    <row r="24" spans="1:16" x14ac:dyDescent="0.25">
      <c r="A24" s="117">
        <v>540093</v>
      </c>
      <c r="B24" s="2" t="s">
        <v>184</v>
      </c>
      <c r="C24" s="2" t="s">
        <v>11</v>
      </c>
      <c r="D24" s="2" t="s">
        <v>115</v>
      </c>
      <c r="E24" s="117">
        <v>11</v>
      </c>
      <c r="F24" s="117">
        <v>4</v>
      </c>
      <c r="G24" s="117">
        <v>2.2999999999999998</v>
      </c>
      <c r="H24" s="117">
        <v>0</v>
      </c>
      <c r="I24" s="267">
        <v>0</v>
      </c>
      <c r="J24" s="267">
        <v>0</v>
      </c>
      <c r="K24" s="117">
        <v>0</v>
      </c>
      <c r="L24" s="267" t="s">
        <v>488</v>
      </c>
      <c r="M24" s="117">
        <v>0</v>
      </c>
      <c r="N24" s="267" t="s">
        <v>488</v>
      </c>
      <c r="O24" s="117">
        <v>0</v>
      </c>
      <c r="P24" s="267" t="s">
        <v>488</v>
      </c>
    </row>
    <row r="25" spans="1:16" x14ac:dyDescent="0.25">
      <c r="A25" s="117">
        <v>540084</v>
      </c>
      <c r="B25" s="2" t="s">
        <v>341</v>
      </c>
      <c r="C25" s="2" t="s">
        <v>11</v>
      </c>
      <c r="D25" s="2" t="s">
        <v>115</v>
      </c>
      <c r="E25" s="117">
        <v>11</v>
      </c>
      <c r="F25" s="117">
        <v>0</v>
      </c>
      <c r="G25" s="117">
        <v>0</v>
      </c>
      <c r="H25" s="117">
        <v>0</v>
      </c>
      <c r="I25" s="267" t="s">
        <v>488</v>
      </c>
      <c r="J25" s="267" t="s">
        <v>488</v>
      </c>
      <c r="K25" s="117">
        <v>0</v>
      </c>
      <c r="L25" s="267" t="s">
        <v>488</v>
      </c>
      <c r="M25" s="117">
        <v>0</v>
      </c>
      <c r="N25" s="267" t="s">
        <v>488</v>
      </c>
      <c r="O25" s="117">
        <v>0</v>
      </c>
      <c r="P25" s="267" t="s">
        <v>488</v>
      </c>
    </row>
    <row r="26" spans="1:16" x14ac:dyDescent="0.25">
      <c r="A26" s="269"/>
      <c r="B26" s="269"/>
      <c r="C26" s="269" t="s">
        <v>11</v>
      </c>
      <c r="D26" s="269"/>
      <c r="E26" s="269"/>
      <c r="F26" s="270">
        <v>28.5</v>
      </c>
      <c r="G26" s="270">
        <v>6.7</v>
      </c>
      <c r="H26" s="270">
        <v>0</v>
      </c>
      <c r="I26" s="271">
        <v>0</v>
      </c>
      <c r="J26" s="271">
        <v>0</v>
      </c>
      <c r="K26" s="270">
        <v>0</v>
      </c>
      <c r="L26" s="271" t="s">
        <v>488</v>
      </c>
      <c r="M26" s="270">
        <v>0</v>
      </c>
      <c r="N26" s="271"/>
      <c r="O26" s="270">
        <v>0</v>
      </c>
      <c r="P26" s="271"/>
    </row>
    <row r="27" spans="1:16" x14ac:dyDescent="0.25">
      <c r="A27" s="117">
        <v>540016</v>
      </c>
      <c r="B27" s="2" t="s">
        <v>12</v>
      </c>
      <c r="C27" s="2" t="s">
        <v>13</v>
      </c>
      <c r="D27" s="2" t="s">
        <v>5</v>
      </c>
      <c r="E27" s="117">
        <v>2</v>
      </c>
      <c r="F27" s="117">
        <v>45.1</v>
      </c>
      <c r="G27" s="117">
        <v>9.1</v>
      </c>
      <c r="H27" s="117">
        <v>0</v>
      </c>
      <c r="I27" s="267">
        <v>0</v>
      </c>
      <c r="J27" s="267">
        <v>0</v>
      </c>
      <c r="K27" s="117">
        <v>0</v>
      </c>
      <c r="L27" s="267" t="s">
        <v>488</v>
      </c>
      <c r="M27" s="117">
        <v>0</v>
      </c>
      <c r="N27" s="267" t="s">
        <v>488</v>
      </c>
      <c r="O27" s="117">
        <v>0</v>
      </c>
      <c r="P27" s="267" t="s">
        <v>488</v>
      </c>
    </row>
    <row r="28" spans="1:16" x14ac:dyDescent="0.25">
      <c r="A28" s="117">
        <v>540017</v>
      </c>
      <c r="B28" s="2" t="s">
        <v>126</v>
      </c>
      <c r="C28" s="2" t="s">
        <v>13</v>
      </c>
      <c r="D28" s="2" t="s">
        <v>115</v>
      </c>
      <c r="E28" s="117">
        <v>2</v>
      </c>
      <c r="F28" s="117">
        <v>6.7</v>
      </c>
      <c r="G28" s="117">
        <v>0.1</v>
      </c>
      <c r="H28" s="117">
        <v>0</v>
      </c>
      <c r="I28" s="267">
        <v>0</v>
      </c>
      <c r="J28" s="267">
        <v>0</v>
      </c>
      <c r="K28" s="117">
        <v>0</v>
      </c>
      <c r="L28" s="267" t="s">
        <v>488</v>
      </c>
      <c r="M28" s="117">
        <v>0</v>
      </c>
      <c r="N28" s="267" t="s">
        <v>488</v>
      </c>
      <c r="O28" s="117">
        <v>0</v>
      </c>
      <c r="P28" s="267" t="s">
        <v>488</v>
      </c>
    </row>
    <row r="29" spans="1:16" x14ac:dyDescent="0.25">
      <c r="A29" s="117">
        <v>540018</v>
      </c>
      <c r="B29" s="2" t="s">
        <v>127</v>
      </c>
      <c r="C29" s="2" t="s">
        <v>13</v>
      </c>
      <c r="D29" s="2" t="s">
        <v>115</v>
      </c>
      <c r="E29" s="117">
        <v>2</v>
      </c>
      <c r="F29" s="117">
        <v>16.7</v>
      </c>
      <c r="G29" s="117">
        <v>1.6</v>
      </c>
      <c r="H29" s="117">
        <v>0</v>
      </c>
      <c r="I29" s="267">
        <v>0</v>
      </c>
      <c r="J29" s="267">
        <v>0</v>
      </c>
      <c r="K29" s="117">
        <v>0</v>
      </c>
      <c r="L29" s="267" t="s">
        <v>488</v>
      </c>
      <c r="M29" s="117">
        <v>0</v>
      </c>
      <c r="N29" s="267" t="s">
        <v>488</v>
      </c>
      <c r="O29" s="117">
        <v>0</v>
      </c>
      <c r="P29" s="267" t="s">
        <v>488</v>
      </c>
    </row>
    <row r="30" spans="1:16" x14ac:dyDescent="0.25">
      <c r="A30" s="117">
        <v>540019</v>
      </c>
      <c r="B30" s="2" t="s">
        <v>128</v>
      </c>
      <c r="C30" s="2" t="s">
        <v>13</v>
      </c>
      <c r="D30" s="2" t="s">
        <v>115</v>
      </c>
      <c r="E30" s="117">
        <v>2</v>
      </c>
      <c r="F30" s="117">
        <v>0</v>
      </c>
      <c r="G30" s="117">
        <v>0</v>
      </c>
      <c r="H30" s="117">
        <v>0</v>
      </c>
      <c r="I30" s="267" t="s">
        <v>488</v>
      </c>
      <c r="J30" s="267" t="s">
        <v>488</v>
      </c>
      <c r="K30" s="117">
        <v>0</v>
      </c>
      <c r="L30" s="267" t="s">
        <v>488</v>
      </c>
      <c r="M30" s="117">
        <v>0</v>
      </c>
      <c r="N30" s="267" t="s">
        <v>488</v>
      </c>
      <c r="O30" s="117">
        <v>0</v>
      </c>
      <c r="P30" s="267" t="s">
        <v>488</v>
      </c>
    </row>
    <row r="31" spans="1:16" x14ac:dyDescent="0.25">
      <c r="A31" s="269"/>
      <c r="B31" s="269"/>
      <c r="C31" s="269" t="s">
        <v>13</v>
      </c>
      <c r="D31" s="269"/>
      <c r="E31" s="269"/>
      <c r="F31" s="270">
        <v>68.5</v>
      </c>
      <c r="G31" s="270">
        <v>10.8</v>
      </c>
      <c r="H31" s="270">
        <v>0</v>
      </c>
      <c r="I31" s="271">
        <v>0</v>
      </c>
      <c r="J31" s="271">
        <v>0</v>
      </c>
      <c r="K31" s="270">
        <v>0</v>
      </c>
      <c r="L31" s="271" t="s">
        <v>488</v>
      </c>
      <c r="M31" s="270">
        <v>0</v>
      </c>
      <c r="N31" s="271"/>
      <c r="O31" s="270">
        <v>0</v>
      </c>
      <c r="P31" s="271"/>
    </row>
    <row r="32" spans="1:16" x14ac:dyDescent="0.25">
      <c r="A32" s="117">
        <v>540020</v>
      </c>
      <c r="B32" s="2" t="s">
        <v>14</v>
      </c>
      <c r="C32" s="2" t="s">
        <v>15</v>
      </c>
      <c r="D32" s="2" t="s">
        <v>5</v>
      </c>
      <c r="E32" s="117">
        <v>5</v>
      </c>
      <c r="F32" s="117">
        <v>0</v>
      </c>
      <c r="G32" s="117">
        <v>0</v>
      </c>
      <c r="H32" s="117">
        <v>0</v>
      </c>
      <c r="I32" s="267" t="s">
        <v>488</v>
      </c>
      <c r="J32" s="267" t="s">
        <v>488</v>
      </c>
      <c r="K32" s="117">
        <v>0</v>
      </c>
      <c r="L32" s="267" t="s">
        <v>488</v>
      </c>
      <c r="M32" s="117">
        <v>0</v>
      </c>
      <c r="N32" s="267" t="s">
        <v>488</v>
      </c>
      <c r="O32" s="117">
        <v>0</v>
      </c>
      <c r="P32" s="267" t="s">
        <v>488</v>
      </c>
    </row>
    <row r="33" spans="1:16" x14ac:dyDescent="0.25">
      <c r="A33" s="117">
        <v>540021</v>
      </c>
      <c r="B33" s="2" t="s">
        <v>129</v>
      </c>
      <c r="C33" s="2" t="s">
        <v>15</v>
      </c>
      <c r="D33" s="2" t="s">
        <v>115</v>
      </c>
      <c r="E33" s="117">
        <v>5</v>
      </c>
      <c r="F33" s="117">
        <v>0</v>
      </c>
      <c r="G33" s="117">
        <v>0</v>
      </c>
      <c r="H33" s="117">
        <v>0</v>
      </c>
      <c r="I33" s="267" t="s">
        <v>488</v>
      </c>
      <c r="J33" s="267" t="s">
        <v>488</v>
      </c>
      <c r="K33" s="117">
        <v>0</v>
      </c>
      <c r="L33" s="267" t="s">
        <v>488</v>
      </c>
      <c r="M33" s="117">
        <v>0</v>
      </c>
      <c r="N33" s="267" t="s">
        <v>488</v>
      </c>
      <c r="O33" s="117">
        <v>0</v>
      </c>
      <c r="P33" s="267" t="s">
        <v>488</v>
      </c>
    </row>
    <row r="34" spans="1:16" x14ac:dyDescent="0.25">
      <c r="A34" s="269"/>
      <c r="B34" s="269"/>
      <c r="C34" s="269" t="s">
        <v>15</v>
      </c>
      <c r="D34" s="269"/>
      <c r="E34" s="269"/>
      <c r="F34" s="270">
        <v>0</v>
      </c>
      <c r="G34" s="270">
        <v>0</v>
      </c>
      <c r="H34" s="270">
        <v>0</v>
      </c>
      <c r="I34" s="271" t="s">
        <v>488</v>
      </c>
      <c r="J34" s="271" t="s">
        <v>488</v>
      </c>
      <c r="K34" s="270">
        <v>0</v>
      </c>
      <c r="L34" s="271" t="s">
        <v>488</v>
      </c>
      <c r="M34" s="270">
        <v>0</v>
      </c>
      <c r="N34" s="271"/>
      <c r="O34" s="270">
        <v>0</v>
      </c>
      <c r="P34" s="271"/>
    </row>
    <row r="35" spans="1:16" x14ac:dyDescent="0.25">
      <c r="A35" s="117">
        <v>540022</v>
      </c>
      <c r="B35" s="2" t="s">
        <v>16</v>
      </c>
      <c r="C35" s="2" t="s">
        <v>17</v>
      </c>
      <c r="D35" s="2" t="s">
        <v>5</v>
      </c>
      <c r="E35" s="117">
        <v>3</v>
      </c>
      <c r="F35" s="117">
        <v>63.9</v>
      </c>
      <c r="G35" s="117">
        <v>14.9</v>
      </c>
      <c r="H35" s="117">
        <v>0</v>
      </c>
      <c r="I35" s="267">
        <v>0</v>
      </c>
      <c r="J35" s="267">
        <v>0</v>
      </c>
      <c r="K35" s="117">
        <v>0</v>
      </c>
      <c r="L35" s="267" t="s">
        <v>488</v>
      </c>
      <c r="M35" s="117">
        <v>0</v>
      </c>
      <c r="N35" s="267" t="s">
        <v>488</v>
      </c>
      <c r="O35" s="117">
        <v>0</v>
      </c>
      <c r="P35" s="267" t="s">
        <v>488</v>
      </c>
    </row>
    <row r="36" spans="1:16" x14ac:dyDescent="0.25">
      <c r="A36" s="117">
        <v>540023</v>
      </c>
      <c r="B36" s="2" t="s">
        <v>130</v>
      </c>
      <c r="C36" s="2" t="s">
        <v>17</v>
      </c>
      <c r="D36" s="2" t="s">
        <v>115</v>
      </c>
      <c r="E36" s="117">
        <v>3</v>
      </c>
      <c r="F36" s="117">
        <v>1</v>
      </c>
      <c r="G36" s="117">
        <v>0.1</v>
      </c>
      <c r="H36" s="117">
        <v>0</v>
      </c>
      <c r="I36" s="267">
        <v>0</v>
      </c>
      <c r="J36" s="267">
        <v>0</v>
      </c>
      <c r="K36" s="117">
        <v>0</v>
      </c>
      <c r="L36" s="267" t="s">
        <v>488</v>
      </c>
      <c r="M36" s="117">
        <v>0</v>
      </c>
      <c r="N36" s="267" t="s">
        <v>488</v>
      </c>
      <c r="O36" s="117">
        <v>0</v>
      </c>
      <c r="P36" s="267" t="s">
        <v>488</v>
      </c>
    </row>
    <row r="37" spans="1:16" x14ac:dyDescent="0.25">
      <c r="A37" s="269"/>
      <c r="B37" s="269"/>
      <c r="C37" s="269" t="s">
        <v>17</v>
      </c>
      <c r="D37" s="269"/>
      <c r="E37" s="269"/>
      <c r="F37" s="270">
        <v>64.900000000000006</v>
      </c>
      <c r="G37" s="270">
        <v>15</v>
      </c>
      <c r="H37" s="270">
        <v>0</v>
      </c>
      <c r="I37" s="271">
        <v>0</v>
      </c>
      <c r="J37" s="271">
        <v>0</v>
      </c>
      <c r="K37" s="270">
        <v>0</v>
      </c>
      <c r="L37" s="271" t="s">
        <v>488</v>
      </c>
      <c r="M37" s="270">
        <v>0</v>
      </c>
      <c r="N37" s="271"/>
      <c r="O37" s="270">
        <v>0</v>
      </c>
      <c r="P37" s="271"/>
    </row>
    <row r="38" spans="1:16" x14ac:dyDescent="0.25">
      <c r="A38" s="117">
        <v>540024</v>
      </c>
      <c r="B38" s="2" t="s">
        <v>18</v>
      </c>
      <c r="C38" s="2" t="s">
        <v>19</v>
      </c>
      <c r="D38" s="2" t="s">
        <v>5</v>
      </c>
      <c r="E38" s="117">
        <v>6</v>
      </c>
      <c r="F38" s="117">
        <v>20.2</v>
      </c>
      <c r="G38" s="117">
        <v>5.9</v>
      </c>
      <c r="H38" s="117">
        <v>0.5</v>
      </c>
      <c r="I38" s="267">
        <v>8.4699999999999998E-2</v>
      </c>
      <c r="J38" s="267">
        <v>2.4799999999999999E-2</v>
      </c>
      <c r="K38" s="117">
        <v>0.1</v>
      </c>
      <c r="L38" s="267">
        <v>0.2</v>
      </c>
      <c r="M38" s="117">
        <v>0.4</v>
      </c>
      <c r="N38" s="267">
        <v>0.8</v>
      </c>
      <c r="O38" s="117">
        <v>0</v>
      </c>
      <c r="P38" s="267">
        <v>0</v>
      </c>
    </row>
    <row r="39" spans="1:16" x14ac:dyDescent="0.25">
      <c r="A39" s="117">
        <v>540025</v>
      </c>
      <c r="B39" s="2" t="s">
        <v>131</v>
      </c>
      <c r="C39" s="2" t="s">
        <v>19</v>
      </c>
      <c r="D39" s="2" t="s">
        <v>115</v>
      </c>
      <c r="E39" s="117">
        <v>6</v>
      </c>
      <c r="F39" s="117">
        <v>0.7</v>
      </c>
      <c r="G39" s="117">
        <v>0</v>
      </c>
      <c r="H39" s="117">
        <v>0</v>
      </c>
      <c r="I39" s="267" t="s">
        <v>488</v>
      </c>
      <c r="J39" s="267">
        <v>0</v>
      </c>
      <c r="K39" s="117">
        <v>0</v>
      </c>
      <c r="L39" s="267" t="s">
        <v>488</v>
      </c>
      <c r="M39" s="117">
        <v>0</v>
      </c>
      <c r="N39" s="267" t="s">
        <v>488</v>
      </c>
      <c r="O39" s="117">
        <v>0</v>
      </c>
      <c r="P39" s="267" t="s">
        <v>488</v>
      </c>
    </row>
    <row r="40" spans="1:16" x14ac:dyDescent="0.25">
      <c r="A40" s="269"/>
      <c r="B40" s="269"/>
      <c r="C40" s="269" t="s">
        <v>19</v>
      </c>
      <c r="D40" s="269"/>
      <c r="E40" s="269"/>
      <c r="F40" s="270">
        <v>20.9</v>
      </c>
      <c r="G40" s="270">
        <v>5.9</v>
      </c>
      <c r="H40" s="270">
        <v>0.5</v>
      </c>
      <c r="I40" s="271">
        <v>8.4699999999999998E-2</v>
      </c>
      <c r="J40" s="271">
        <v>2.3900000000000001E-2</v>
      </c>
      <c r="K40" s="270">
        <v>0.1</v>
      </c>
      <c r="L40" s="271">
        <v>0.2</v>
      </c>
      <c r="M40" s="270">
        <v>0.4</v>
      </c>
      <c r="N40" s="271">
        <v>0.8</v>
      </c>
      <c r="O40" s="270">
        <v>0</v>
      </c>
      <c r="P40" s="271">
        <v>0</v>
      </c>
    </row>
    <row r="41" spans="1:16" x14ac:dyDescent="0.25">
      <c r="A41" s="117">
        <v>540035</v>
      </c>
      <c r="B41" s="2" t="s">
        <v>22</v>
      </c>
      <c r="C41" s="2" t="s">
        <v>23</v>
      </c>
      <c r="D41" s="2" t="s">
        <v>5</v>
      </c>
      <c r="E41" s="117">
        <v>7</v>
      </c>
      <c r="F41" s="117">
        <v>1.8</v>
      </c>
      <c r="G41" s="117">
        <v>0.1</v>
      </c>
      <c r="H41" s="117">
        <v>0</v>
      </c>
      <c r="I41" s="267">
        <v>0</v>
      </c>
      <c r="J41" s="267">
        <v>0</v>
      </c>
      <c r="K41" s="117">
        <v>0</v>
      </c>
      <c r="L41" s="267" t="s">
        <v>488</v>
      </c>
      <c r="M41" s="117">
        <v>0</v>
      </c>
      <c r="N41" s="267" t="s">
        <v>488</v>
      </c>
      <c r="O41" s="117">
        <v>0</v>
      </c>
      <c r="P41" s="267" t="s">
        <v>488</v>
      </c>
    </row>
    <row r="42" spans="1:16" x14ac:dyDescent="0.25">
      <c r="A42" s="117">
        <v>540036</v>
      </c>
      <c r="B42" s="2" t="s">
        <v>139</v>
      </c>
      <c r="C42" s="2" t="s">
        <v>23</v>
      </c>
      <c r="D42" s="2" t="s">
        <v>115</v>
      </c>
      <c r="E42" s="117">
        <v>7</v>
      </c>
      <c r="F42" s="117">
        <v>0</v>
      </c>
      <c r="G42" s="117">
        <v>0</v>
      </c>
      <c r="H42" s="117">
        <v>0</v>
      </c>
      <c r="I42" s="267" t="s">
        <v>488</v>
      </c>
      <c r="J42" s="267" t="s">
        <v>488</v>
      </c>
      <c r="K42" s="117">
        <v>0</v>
      </c>
      <c r="L42" s="267" t="s">
        <v>488</v>
      </c>
      <c r="M42" s="117">
        <v>0</v>
      </c>
      <c r="N42" s="267" t="s">
        <v>488</v>
      </c>
      <c r="O42" s="117">
        <v>0</v>
      </c>
      <c r="P42" s="267" t="s">
        <v>488</v>
      </c>
    </row>
    <row r="43" spans="1:16" x14ac:dyDescent="0.25">
      <c r="A43" s="117">
        <v>540037</v>
      </c>
      <c r="B43" s="2" t="s">
        <v>140</v>
      </c>
      <c r="C43" s="2" t="s">
        <v>23</v>
      </c>
      <c r="D43" s="2" t="s">
        <v>115</v>
      </c>
      <c r="E43" s="117">
        <v>7</v>
      </c>
      <c r="F43" s="117">
        <v>0</v>
      </c>
      <c r="G43" s="117">
        <v>0</v>
      </c>
      <c r="H43" s="117">
        <v>0</v>
      </c>
      <c r="I43" s="267" t="s">
        <v>488</v>
      </c>
      <c r="J43" s="267" t="s">
        <v>488</v>
      </c>
      <c r="K43" s="117">
        <v>0</v>
      </c>
      <c r="L43" s="267" t="s">
        <v>488</v>
      </c>
      <c r="M43" s="117">
        <v>0</v>
      </c>
      <c r="N43" s="267" t="s">
        <v>488</v>
      </c>
      <c r="O43" s="117">
        <v>0</v>
      </c>
      <c r="P43" s="267" t="s">
        <v>488</v>
      </c>
    </row>
    <row r="44" spans="1:16" x14ac:dyDescent="0.25">
      <c r="A44" s="269"/>
      <c r="B44" s="269"/>
      <c r="C44" s="269" t="s">
        <v>23</v>
      </c>
      <c r="D44" s="269"/>
      <c r="E44" s="269"/>
      <c r="F44" s="270">
        <v>1.8</v>
      </c>
      <c r="G44" s="270">
        <v>0.1</v>
      </c>
      <c r="H44" s="270">
        <v>0</v>
      </c>
      <c r="I44" s="271">
        <v>0</v>
      </c>
      <c r="J44" s="271">
        <v>0</v>
      </c>
      <c r="K44" s="270">
        <v>0</v>
      </c>
      <c r="L44" s="271" t="s">
        <v>488</v>
      </c>
      <c r="M44" s="270">
        <v>0</v>
      </c>
      <c r="N44" s="271"/>
      <c r="O44" s="270">
        <v>0</v>
      </c>
      <c r="P44" s="271"/>
    </row>
    <row r="45" spans="1:16" x14ac:dyDescent="0.25">
      <c r="A45" s="117">
        <v>540038</v>
      </c>
      <c r="B45" s="2" t="s">
        <v>24</v>
      </c>
      <c r="C45" s="2" t="s">
        <v>25</v>
      </c>
      <c r="D45" s="2" t="s">
        <v>5</v>
      </c>
      <c r="E45" s="117">
        <v>8</v>
      </c>
      <c r="F45" s="117">
        <v>29.7</v>
      </c>
      <c r="G45" s="117">
        <v>3.6</v>
      </c>
      <c r="H45" s="117">
        <v>0</v>
      </c>
      <c r="I45" s="267">
        <v>0</v>
      </c>
      <c r="J45" s="267">
        <v>0</v>
      </c>
      <c r="K45" s="117">
        <v>0</v>
      </c>
      <c r="L45" s="267" t="s">
        <v>488</v>
      </c>
      <c r="M45" s="117">
        <v>0</v>
      </c>
      <c r="N45" s="267" t="s">
        <v>488</v>
      </c>
      <c r="O45" s="117">
        <v>0</v>
      </c>
      <c r="P45" s="267" t="s">
        <v>488</v>
      </c>
    </row>
    <row r="46" spans="1:16" x14ac:dyDescent="0.25">
      <c r="A46" s="117">
        <v>540039</v>
      </c>
      <c r="B46" s="2" t="s">
        <v>141</v>
      </c>
      <c r="C46" s="2" t="s">
        <v>25</v>
      </c>
      <c r="D46" s="2" t="s">
        <v>115</v>
      </c>
      <c r="E46" s="117">
        <v>8</v>
      </c>
      <c r="F46" s="117">
        <v>0.8</v>
      </c>
      <c r="G46" s="117">
        <v>0</v>
      </c>
      <c r="H46" s="117">
        <v>0</v>
      </c>
      <c r="I46" s="267" t="s">
        <v>488</v>
      </c>
      <c r="J46" s="267">
        <v>0</v>
      </c>
      <c r="K46" s="117">
        <v>0</v>
      </c>
      <c r="L46" s="267" t="s">
        <v>488</v>
      </c>
      <c r="M46" s="117">
        <v>0</v>
      </c>
      <c r="N46" s="267" t="s">
        <v>488</v>
      </c>
      <c r="O46" s="117">
        <v>0</v>
      </c>
      <c r="P46" s="267" t="s">
        <v>488</v>
      </c>
    </row>
    <row r="47" spans="1:16" x14ac:dyDescent="0.25">
      <c r="A47" s="117">
        <v>540240</v>
      </c>
      <c r="B47" s="2" t="s">
        <v>287</v>
      </c>
      <c r="C47" s="2" t="s">
        <v>25</v>
      </c>
      <c r="D47" s="2" t="s">
        <v>115</v>
      </c>
      <c r="E47" s="117">
        <v>8</v>
      </c>
      <c r="F47" s="117">
        <v>1.2</v>
      </c>
      <c r="G47" s="117">
        <v>0.4</v>
      </c>
      <c r="H47" s="117">
        <v>0</v>
      </c>
      <c r="I47" s="267">
        <v>0</v>
      </c>
      <c r="J47" s="267">
        <v>0</v>
      </c>
      <c r="K47" s="117">
        <v>0</v>
      </c>
      <c r="L47" s="267" t="s">
        <v>488</v>
      </c>
      <c r="M47" s="117">
        <v>0</v>
      </c>
      <c r="N47" s="267" t="s">
        <v>488</v>
      </c>
      <c r="O47" s="117">
        <v>0</v>
      </c>
      <c r="P47" s="267" t="s">
        <v>488</v>
      </c>
    </row>
    <row r="48" spans="1:16" x14ac:dyDescent="0.25">
      <c r="A48" s="269"/>
      <c r="B48" s="269"/>
      <c r="C48" s="269" t="s">
        <v>25</v>
      </c>
      <c r="D48" s="269"/>
      <c r="E48" s="269"/>
      <c r="F48" s="270">
        <v>31.7</v>
      </c>
      <c r="G48" s="270">
        <v>4</v>
      </c>
      <c r="H48" s="270">
        <v>0</v>
      </c>
      <c r="I48" s="271">
        <v>0</v>
      </c>
      <c r="J48" s="271">
        <v>0</v>
      </c>
      <c r="K48" s="270">
        <v>0</v>
      </c>
      <c r="L48" s="271" t="s">
        <v>488</v>
      </c>
      <c r="M48" s="270">
        <v>0</v>
      </c>
      <c r="N48" s="271"/>
      <c r="O48" s="270">
        <v>0</v>
      </c>
      <c r="P48" s="271"/>
    </row>
    <row r="49" spans="1:16" x14ac:dyDescent="0.25">
      <c r="A49" s="117">
        <v>540040</v>
      </c>
      <c r="B49" s="2" t="s">
        <v>26</v>
      </c>
      <c r="C49" s="2" t="s">
        <v>27</v>
      </c>
      <c r="D49" s="2" t="s">
        <v>5</v>
      </c>
      <c r="E49" s="117">
        <v>4</v>
      </c>
      <c r="F49" s="117">
        <v>93.5</v>
      </c>
      <c r="G49" s="117">
        <v>18.8</v>
      </c>
      <c r="H49" s="117">
        <v>17.399999999999999</v>
      </c>
      <c r="I49" s="267">
        <v>0.92549999999999999</v>
      </c>
      <c r="J49" s="267">
        <v>0.18609999999999999</v>
      </c>
      <c r="K49" s="117">
        <v>4.0999999999999996</v>
      </c>
      <c r="L49" s="267">
        <v>0.2356</v>
      </c>
      <c r="M49" s="117">
        <v>5</v>
      </c>
      <c r="N49" s="267">
        <v>0.28739999999999999</v>
      </c>
      <c r="O49" s="117">
        <v>8.3000000000000007</v>
      </c>
      <c r="P49" s="267">
        <v>0.47699999999999998</v>
      </c>
    </row>
    <row r="50" spans="1:16" x14ac:dyDescent="0.25">
      <c r="A50" s="117">
        <v>540041</v>
      </c>
      <c r="B50" s="2" t="s">
        <v>142</v>
      </c>
      <c r="C50" s="2" t="s">
        <v>27</v>
      </c>
      <c r="D50" s="2" t="s">
        <v>115</v>
      </c>
      <c r="E50" s="117">
        <v>4</v>
      </c>
      <c r="F50" s="117">
        <v>0</v>
      </c>
      <c r="G50" s="117">
        <v>0</v>
      </c>
      <c r="H50" s="117">
        <v>0</v>
      </c>
      <c r="I50" s="267" t="s">
        <v>488</v>
      </c>
      <c r="J50" s="267" t="s">
        <v>488</v>
      </c>
      <c r="K50" s="117">
        <v>0</v>
      </c>
      <c r="L50" s="267" t="s">
        <v>488</v>
      </c>
      <c r="M50" s="117">
        <v>0</v>
      </c>
      <c r="N50" s="267" t="s">
        <v>488</v>
      </c>
      <c r="O50" s="117">
        <v>0</v>
      </c>
      <c r="P50" s="267" t="s">
        <v>488</v>
      </c>
    </row>
    <row r="51" spans="1:16" x14ac:dyDescent="0.25">
      <c r="A51" s="117">
        <v>540043</v>
      </c>
      <c r="B51" s="2" t="s">
        <v>144</v>
      </c>
      <c r="C51" s="2" t="s">
        <v>27</v>
      </c>
      <c r="D51" s="2" t="s">
        <v>115</v>
      </c>
      <c r="E51" s="117">
        <v>4</v>
      </c>
      <c r="F51" s="117">
        <v>2</v>
      </c>
      <c r="G51" s="117">
        <v>0</v>
      </c>
      <c r="H51" s="117">
        <v>0</v>
      </c>
      <c r="I51" s="267" t="s">
        <v>488</v>
      </c>
      <c r="J51" s="267">
        <v>0</v>
      </c>
      <c r="K51" s="117">
        <v>0</v>
      </c>
      <c r="L51" s="267" t="s">
        <v>488</v>
      </c>
      <c r="M51" s="117">
        <v>0</v>
      </c>
      <c r="N51" s="267" t="s">
        <v>488</v>
      </c>
      <c r="O51" s="117">
        <v>0</v>
      </c>
      <c r="P51" s="267" t="s">
        <v>488</v>
      </c>
    </row>
    <row r="52" spans="1:16" x14ac:dyDescent="0.25">
      <c r="A52" s="117">
        <v>540044</v>
      </c>
      <c r="B52" s="2" t="s">
        <v>145</v>
      </c>
      <c r="C52" s="2" t="s">
        <v>27</v>
      </c>
      <c r="D52" s="2" t="s">
        <v>115</v>
      </c>
      <c r="E52" s="117">
        <v>4</v>
      </c>
      <c r="F52" s="117">
        <v>2</v>
      </c>
      <c r="G52" s="117">
        <v>0.6</v>
      </c>
      <c r="H52" s="117">
        <v>0.5</v>
      </c>
      <c r="I52" s="267">
        <v>0.83330000000000004</v>
      </c>
      <c r="J52" s="267">
        <v>0.25</v>
      </c>
      <c r="K52" s="117">
        <v>0.3</v>
      </c>
      <c r="L52" s="267">
        <v>0.6</v>
      </c>
      <c r="M52" s="117">
        <v>0.2</v>
      </c>
      <c r="N52" s="267">
        <v>0.4</v>
      </c>
      <c r="O52" s="117">
        <v>0</v>
      </c>
      <c r="P52" s="267">
        <v>0</v>
      </c>
    </row>
    <row r="53" spans="1:16" x14ac:dyDescent="0.25">
      <c r="A53" s="117">
        <v>540045</v>
      </c>
      <c r="B53" s="2" t="s">
        <v>146</v>
      </c>
      <c r="C53" s="2" t="s">
        <v>27</v>
      </c>
      <c r="D53" s="2" t="s">
        <v>115</v>
      </c>
      <c r="E53" s="117">
        <v>4</v>
      </c>
      <c r="F53" s="117">
        <v>1</v>
      </c>
      <c r="G53" s="117">
        <v>0</v>
      </c>
      <c r="H53" s="117">
        <v>0</v>
      </c>
      <c r="I53" s="267" t="s">
        <v>488</v>
      </c>
      <c r="J53" s="267">
        <v>0</v>
      </c>
      <c r="K53" s="117">
        <v>0</v>
      </c>
      <c r="L53" s="267" t="s">
        <v>488</v>
      </c>
      <c r="M53" s="117">
        <v>0</v>
      </c>
      <c r="N53" s="267" t="s">
        <v>488</v>
      </c>
      <c r="O53" s="117">
        <v>0</v>
      </c>
      <c r="P53" s="267" t="s">
        <v>488</v>
      </c>
    </row>
    <row r="54" spans="1:16" x14ac:dyDescent="0.25">
      <c r="A54" s="117">
        <v>540228</v>
      </c>
      <c r="B54" s="2" t="s">
        <v>278</v>
      </c>
      <c r="C54" s="2" t="s">
        <v>27</v>
      </c>
      <c r="D54" s="2" t="s">
        <v>115</v>
      </c>
      <c r="E54" s="117">
        <v>4</v>
      </c>
      <c r="F54" s="117">
        <v>1</v>
      </c>
      <c r="G54" s="117">
        <v>0</v>
      </c>
      <c r="H54" s="117">
        <v>0</v>
      </c>
      <c r="I54" s="267" t="s">
        <v>488</v>
      </c>
      <c r="J54" s="267">
        <v>0</v>
      </c>
      <c r="K54" s="117">
        <v>0</v>
      </c>
      <c r="L54" s="267" t="s">
        <v>488</v>
      </c>
      <c r="M54" s="117">
        <v>0</v>
      </c>
      <c r="N54" s="267" t="s">
        <v>488</v>
      </c>
      <c r="O54" s="117">
        <v>0</v>
      </c>
      <c r="P54" s="267" t="s">
        <v>488</v>
      </c>
    </row>
    <row r="55" spans="1:16" x14ac:dyDescent="0.25">
      <c r="A55" s="117">
        <v>540243</v>
      </c>
      <c r="B55" s="2" t="s">
        <v>290</v>
      </c>
      <c r="C55" s="2" t="s">
        <v>27</v>
      </c>
      <c r="D55" s="2" t="s">
        <v>115</v>
      </c>
      <c r="E55" s="117">
        <v>4</v>
      </c>
      <c r="F55" s="117">
        <v>1.1000000000000001</v>
      </c>
      <c r="G55" s="117">
        <v>0.5</v>
      </c>
      <c r="H55" s="117">
        <v>0.4</v>
      </c>
      <c r="I55" s="267">
        <v>0.8</v>
      </c>
      <c r="J55" s="267">
        <v>0.36359999999999998</v>
      </c>
      <c r="K55" s="117">
        <v>0</v>
      </c>
      <c r="L55" s="267">
        <v>0</v>
      </c>
      <c r="M55" s="117">
        <v>0.2</v>
      </c>
      <c r="N55" s="267">
        <v>0.5</v>
      </c>
      <c r="O55" s="117">
        <v>0.2</v>
      </c>
      <c r="P55" s="267">
        <v>0.5</v>
      </c>
    </row>
    <row r="56" spans="1:16" x14ac:dyDescent="0.25">
      <c r="A56" s="117">
        <v>540244</v>
      </c>
      <c r="B56" s="2" t="s">
        <v>291</v>
      </c>
      <c r="C56" s="2" t="s">
        <v>27</v>
      </c>
      <c r="D56" s="2" t="s">
        <v>115</v>
      </c>
      <c r="E56" s="117">
        <v>4</v>
      </c>
      <c r="F56" s="117">
        <v>0.9</v>
      </c>
      <c r="G56" s="117">
        <v>0</v>
      </c>
      <c r="H56" s="117">
        <v>0</v>
      </c>
      <c r="I56" s="267" t="s">
        <v>488</v>
      </c>
      <c r="J56" s="267">
        <v>0</v>
      </c>
      <c r="K56" s="117">
        <v>0</v>
      </c>
      <c r="L56" s="267" t="s">
        <v>488</v>
      </c>
      <c r="M56" s="117">
        <v>0</v>
      </c>
      <c r="N56" s="267" t="s">
        <v>488</v>
      </c>
      <c r="O56" s="117">
        <v>0</v>
      </c>
      <c r="P56" s="267" t="s">
        <v>488</v>
      </c>
    </row>
    <row r="57" spans="1:16" x14ac:dyDescent="0.25">
      <c r="A57" s="117">
        <v>540281</v>
      </c>
      <c r="B57" s="2" t="s">
        <v>322</v>
      </c>
      <c r="C57" s="2" t="s">
        <v>27</v>
      </c>
      <c r="D57" s="2" t="s">
        <v>115</v>
      </c>
      <c r="E57" s="117">
        <v>4</v>
      </c>
      <c r="F57" s="117">
        <v>0</v>
      </c>
      <c r="G57" s="117">
        <v>0</v>
      </c>
      <c r="H57" s="117">
        <v>0</v>
      </c>
      <c r="I57" s="267" t="s">
        <v>488</v>
      </c>
      <c r="J57" s="267" t="s">
        <v>488</v>
      </c>
      <c r="K57" s="117">
        <v>0</v>
      </c>
      <c r="L57" s="267" t="s">
        <v>488</v>
      </c>
      <c r="M57" s="117">
        <v>0</v>
      </c>
      <c r="N57" s="267" t="s">
        <v>488</v>
      </c>
      <c r="O57" s="117">
        <v>0</v>
      </c>
      <c r="P57" s="267" t="s">
        <v>488</v>
      </c>
    </row>
    <row r="58" spans="1:16" x14ac:dyDescent="0.25">
      <c r="A58" s="269"/>
      <c r="B58" s="269"/>
      <c r="C58" s="269" t="s">
        <v>27</v>
      </c>
      <c r="D58" s="269"/>
      <c r="E58" s="269"/>
      <c r="F58" s="270">
        <v>101.5</v>
      </c>
      <c r="G58" s="270">
        <v>19.899999999999999</v>
      </c>
      <c r="H58" s="270">
        <v>18.3</v>
      </c>
      <c r="I58" s="271">
        <v>0.91959999999999997</v>
      </c>
      <c r="J58" s="271">
        <v>0.18029999999999999</v>
      </c>
      <c r="K58" s="270">
        <v>4.4000000000000004</v>
      </c>
      <c r="L58" s="271">
        <v>0.2404</v>
      </c>
      <c r="M58" s="270">
        <v>5.4</v>
      </c>
      <c r="N58" s="271">
        <v>0.29509999999999997</v>
      </c>
      <c r="O58" s="270">
        <v>8.5</v>
      </c>
      <c r="P58" s="271">
        <v>0.46450000000000002</v>
      </c>
    </row>
    <row r="59" spans="1:16" x14ac:dyDescent="0.25">
      <c r="A59" s="117">
        <v>540047</v>
      </c>
      <c r="B59" s="2" t="s">
        <v>28</v>
      </c>
      <c r="C59" s="2" t="s">
        <v>29</v>
      </c>
      <c r="D59" s="2" t="s">
        <v>5</v>
      </c>
      <c r="E59" s="117">
        <v>11</v>
      </c>
      <c r="F59" s="117">
        <v>12.9</v>
      </c>
      <c r="G59" s="117">
        <v>5.9</v>
      </c>
      <c r="H59" s="117">
        <v>0</v>
      </c>
      <c r="I59" s="267">
        <v>0</v>
      </c>
      <c r="J59" s="267">
        <v>0</v>
      </c>
      <c r="K59" s="117">
        <v>0</v>
      </c>
      <c r="L59" s="267" t="s">
        <v>488</v>
      </c>
      <c r="M59" s="117">
        <v>0</v>
      </c>
      <c r="N59" s="267" t="s">
        <v>488</v>
      </c>
      <c r="O59" s="117">
        <v>0</v>
      </c>
      <c r="P59" s="267" t="s">
        <v>488</v>
      </c>
    </row>
    <row r="60" spans="1:16" x14ac:dyDescent="0.25">
      <c r="A60" s="117">
        <v>540014</v>
      </c>
      <c r="B60" s="2" t="s">
        <v>124</v>
      </c>
      <c r="C60" s="2" t="s">
        <v>29</v>
      </c>
      <c r="D60" s="2" t="s">
        <v>115</v>
      </c>
      <c r="E60" s="117">
        <v>11</v>
      </c>
      <c r="F60" s="117">
        <v>3.9</v>
      </c>
      <c r="G60" s="117">
        <v>0.1</v>
      </c>
      <c r="H60" s="117">
        <v>0</v>
      </c>
      <c r="I60" s="267">
        <v>0</v>
      </c>
      <c r="J60" s="267">
        <v>0</v>
      </c>
      <c r="K60" s="117">
        <v>0</v>
      </c>
      <c r="L60" s="267" t="s">
        <v>488</v>
      </c>
      <c r="M60" s="117">
        <v>0</v>
      </c>
      <c r="N60" s="267" t="s">
        <v>488</v>
      </c>
      <c r="O60" s="117">
        <v>0</v>
      </c>
      <c r="P60" s="267" t="s">
        <v>488</v>
      </c>
    </row>
    <row r="61" spans="1:16" x14ac:dyDescent="0.25">
      <c r="A61" s="117">
        <v>540048</v>
      </c>
      <c r="B61" s="2" t="s">
        <v>148</v>
      </c>
      <c r="C61" s="2" t="s">
        <v>29</v>
      </c>
      <c r="D61" s="2" t="s">
        <v>115</v>
      </c>
      <c r="E61" s="117">
        <v>11</v>
      </c>
      <c r="F61" s="117">
        <v>1</v>
      </c>
      <c r="G61" s="117">
        <v>0.1</v>
      </c>
      <c r="H61" s="117">
        <v>0</v>
      </c>
      <c r="I61" s="267">
        <v>0</v>
      </c>
      <c r="J61" s="267">
        <v>0</v>
      </c>
      <c r="K61" s="117">
        <v>0</v>
      </c>
      <c r="L61" s="267" t="s">
        <v>488</v>
      </c>
      <c r="M61" s="117">
        <v>0</v>
      </c>
      <c r="N61" s="267" t="s">
        <v>488</v>
      </c>
      <c r="O61" s="117">
        <v>0</v>
      </c>
      <c r="P61" s="267" t="s">
        <v>488</v>
      </c>
    </row>
    <row r="62" spans="1:16" x14ac:dyDescent="0.25">
      <c r="A62" s="117">
        <v>540049</v>
      </c>
      <c r="B62" s="2" t="s">
        <v>149</v>
      </c>
      <c r="C62" s="2" t="s">
        <v>29</v>
      </c>
      <c r="D62" s="2" t="s">
        <v>115</v>
      </c>
      <c r="E62" s="117">
        <v>11</v>
      </c>
      <c r="F62" s="117">
        <v>3.8</v>
      </c>
      <c r="G62" s="117">
        <v>3.3</v>
      </c>
      <c r="H62" s="117">
        <v>0</v>
      </c>
      <c r="I62" s="267">
        <v>0</v>
      </c>
      <c r="J62" s="267">
        <v>0</v>
      </c>
      <c r="K62" s="117">
        <v>0</v>
      </c>
      <c r="L62" s="267" t="s">
        <v>488</v>
      </c>
      <c r="M62" s="117">
        <v>0</v>
      </c>
      <c r="N62" s="267" t="s">
        <v>488</v>
      </c>
      <c r="O62" s="117">
        <v>0</v>
      </c>
      <c r="P62" s="267" t="s">
        <v>488</v>
      </c>
    </row>
    <row r="63" spans="1:16" x14ac:dyDescent="0.25">
      <c r="A63" s="269"/>
      <c r="B63" s="269"/>
      <c r="C63" s="269" t="s">
        <v>29</v>
      </c>
      <c r="D63" s="269"/>
      <c r="E63" s="269"/>
      <c r="F63" s="270">
        <v>21.6</v>
      </c>
      <c r="G63" s="270">
        <v>9.4</v>
      </c>
      <c r="H63" s="270">
        <v>0</v>
      </c>
      <c r="I63" s="271">
        <v>0</v>
      </c>
      <c r="J63" s="271">
        <v>0</v>
      </c>
      <c r="K63" s="270">
        <v>0</v>
      </c>
      <c r="L63" s="271" t="s">
        <v>488</v>
      </c>
      <c r="M63" s="270">
        <v>0</v>
      </c>
      <c r="N63" s="271"/>
      <c r="O63" s="270">
        <v>0</v>
      </c>
      <c r="P63" s="271"/>
    </row>
    <row r="64" spans="1:16" x14ac:dyDescent="0.25">
      <c r="A64" s="117">
        <v>540051</v>
      </c>
      <c r="B64" s="2" t="s">
        <v>30</v>
      </c>
      <c r="C64" s="2" t="s">
        <v>31</v>
      </c>
      <c r="D64" s="2" t="s">
        <v>5</v>
      </c>
      <c r="E64" s="117">
        <v>8</v>
      </c>
      <c r="F64" s="117">
        <v>18.2</v>
      </c>
      <c r="G64" s="117">
        <v>16.7</v>
      </c>
      <c r="H64" s="117">
        <v>14.9</v>
      </c>
      <c r="I64" s="267">
        <v>0.89219999999999999</v>
      </c>
      <c r="J64" s="267">
        <v>0.81869999999999998</v>
      </c>
      <c r="K64" s="117">
        <v>0.9</v>
      </c>
      <c r="L64" s="267">
        <v>6.0400000000000002E-2</v>
      </c>
      <c r="M64" s="117">
        <v>2.5</v>
      </c>
      <c r="N64" s="267">
        <v>0.1678</v>
      </c>
      <c r="O64" s="117">
        <v>11.5</v>
      </c>
      <c r="P64" s="267">
        <v>0.77180000000000004</v>
      </c>
    </row>
    <row r="65" spans="1:16" x14ac:dyDescent="0.25">
      <c r="A65" s="117">
        <v>540052</v>
      </c>
      <c r="B65" s="2" t="s">
        <v>151</v>
      </c>
      <c r="C65" s="2" t="s">
        <v>31</v>
      </c>
      <c r="D65" s="2" t="s">
        <v>115</v>
      </c>
      <c r="E65" s="117">
        <v>8</v>
      </c>
      <c r="F65" s="117">
        <v>3.8</v>
      </c>
      <c r="G65" s="117">
        <v>0.9</v>
      </c>
      <c r="H65" s="117">
        <v>0</v>
      </c>
      <c r="I65" s="267">
        <v>0</v>
      </c>
      <c r="J65" s="267">
        <v>0</v>
      </c>
      <c r="K65" s="117">
        <v>0</v>
      </c>
      <c r="L65" s="267" t="s">
        <v>488</v>
      </c>
      <c r="M65" s="117">
        <v>0</v>
      </c>
      <c r="N65" s="267" t="s">
        <v>488</v>
      </c>
      <c r="O65" s="117">
        <v>0</v>
      </c>
      <c r="P65" s="267" t="s">
        <v>488</v>
      </c>
    </row>
    <row r="66" spans="1:16" x14ac:dyDescent="0.25">
      <c r="A66" s="117">
        <v>540245</v>
      </c>
      <c r="B66" s="2" t="s">
        <v>292</v>
      </c>
      <c r="C66" s="2" t="s">
        <v>31</v>
      </c>
      <c r="D66" s="2" t="s">
        <v>115</v>
      </c>
      <c r="E66" s="117">
        <v>8</v>
      </c>
      <c r="F66" s="117">
        <v>0</v>
      </c>
      <c r="G66" s="117">
        <v>0</v>
      </c>
      <c r="H66" s="117">
        <v>0</v>
      </c>
      <c r="I66" s="267" t="s">
        <v>488</v>
      </c>
      <c r="J66" s="267" t="s">
        <v>488</v>
      </c>
      <c r="K66" s="117">
        <v>0</v>
      </c>
      <c r="L66" s="267" t="s">
        <v>488</v>
      </c>
      <c r="M66" s="117">
        <v>0</v>
      </c>
      <c r="N66" s="267" t="s">
        <v>488</v>
      </c>
      <c r="O66" s="117">
        <v>0</v>
      </c>
      <c r="P66" s="267" t="s">
        <v>488</v>
      </c>
    </row>
    <row r="67" spans="1:16" x14ac:dyDescent="0.25">
      <c r="A67" s="269"/>
      <c r="B67" s="269"/>
      <c r="C67" s="269" t="s">
        <v>31</v>
      </c>
      <c r="D67" s="269"/>
      <c r="E67" s="269"/>
      <c r="F67" s="270">
        <v>22</v>
      </c>
      <c r="G67" s="270">
        <v>17.600000000000001</v>
      </c>
      <c r="H67" s="270">
        <v>14.9</v>
      </c>
      <c r="I67" s="271">
        <v>0.84660000000000002</v>
      </c>
      <c r="J67" s="271">
        <v>0.67730000000000001</v>
      </c>
      <c r="K67" s="270">
        <v>0.9</v>
      </c>
      <c r="L67" s="271">
        <v>6.0400000000000002E-2</v>
      </c>
      <c r="M67" s="270">
        <v>2.5</v>
      </c>
      <c r="N67" s="271">
        <v>0.1678</v>
      </c>
      <c r="O67" s="270">
        <v>11.5</v>
      </c>
      <c r="P67" s="271">
        <v>0.77180000000000004</v>
      </c>
    </row>
    <row r="68" spans="1:16" x14ac:dyDescent="0.25">
      <c r="A68" s="117">
        <v>540053</v>
      </c>
      <c r="B68" s="2" t="s">
        <v>32</v>
      </c>
      <c r="C68" s="2" t="s">
        <v>33</v>
      </c>
      <c r="D68" s="2" t="s">
        <v>5</v>
      </c>
      <c r="E68" s="117">
        <v>6</v>
      </c>
      <c r="F68" s="117">
        <v>50.3</v>
      </c>
      <c r="G68" s="117">
        <v>6.7</v>
      </c>
      <c r="H68" s="117">
        <v>2.4</v>
      </c>
      <c r="I68" s="267">
        <v>0.35820000000000002</v>
      </c>
      <c r="J68" s="267">
        <v>4.7699999999999999E-2</v>
      </c>
      <c r="K68" s="117">
        <v>0.2</v>
      </c>
      <c r="L68" s="267">
        <v>8.3299999999999999E-2</v>
      </c>
      <c r="M68" s="117">
        <v>0.9</v>
      </c>
      <c r="N68" s="267">
        <v>0.375</v>
      </c>
      <c r="O68" s="117">
        <v>1.3</v>
      </c>
      <c r="P68" s="267">
        <v>0.54169999999999996</v>
      </c>
    </row>
    <row r="69" spans="1:16" x14ac:dyDescent="0.25">
      <c r="A69" s="117">
        <v>540054</v>
      </c>
      <c r="B69" s="2" t="s">
        <v>152</v>
      </c>
      <c r="C69" s="2" t="s">
        <v>33</v>
      </c>
      <c r="D69" s="2" t="s">
        <v>115</v>
      </c>
      <c r="E69" s="117">
        <v>6</v>
      </c>
      <c r="F69" s="117">
        <v>0.8</v>
      </c>
      <c r="G69" s="117">
        <v>0</v>
      </c>
      <c r="H69" s="117">
        <v>0</v>
      </c>
      <c r="I69" s="267" t="s">
        <v>488</v>
      </c>
      <c r="J69" s="267">
        <v>0</v>
      </c>
      <c r="K69" s="117">
        <v>0</v>
      </c>
      <c r="L69" s="267" t="s">
        <v>488</v>
      </c>
      <c r="M69" s="117">
        <v>0</v>
      </c>
      <c r="N69" s="267" t="s">
        <v>488</v>
      </c>
      <c r="O69" s="117">
        <v>0</v>
      </c>
      <c r="P69" s="267" t="s">
        <v>488</v>
      </c>
    </row>
    <row r="70" spans="1:16" x14ac:dyDescent="0.25">
      <c r="A70" s="117">
        <v>540055</v>
      </c>
      <c r="B70" s="2" t="s">
        <v>153</v>
      </c>
      <c r="C70" s="2" t="s">
        <v>33</v>
      </c>
      <c r="D70" s="2" t="s">
        <v>115</v>
      </c>
      <c r="E70" s="117">
        <v>6</v>
      </c>
      <c r="F70" s="117">
        <v>2.4</v>
      </c>
      <c r="G70" s="117">
        <v>0.1</v>
      </c>
      <c r="H70" s="117">
        <v>0</v>
      </c>
      <c r="I70" s="267">
        <v>0</v>
      </c>
      <c r="J70" s="267">
        <v>0</v>
      </c>
      <c r="K70" s="117">
        <v>0</v>
      </c>
      <c r="L70" s="267" t="s">
        <v>488</v>
      </c>
      <c r="M70" s="117">
        <v>0</v>
      </c>
      <c r="N70" s="267" t="s">
        <v>488</v>
      </c>
      <c r="O70" s="117">
        <v>0</v>
      </c>
      <c r="P70" s="267" t="s">
        <v>488</v>
      </c>
    </row>
    <row r="71" spans="1:16" x14ac:dyDescent="0.25">
      <c r="A71" s="117">
        <v>540056</v>
      </c>
      <c r="B71" s="2" t="s">
        <v>154</v>
      </c>
      <c r="C71" s="2" t="s">
        <v>33</v>
      </c>
      <c r="D71" s="2" t="s">
        <v>115</v>
      </c>
      <c r="E71" s="117">
        <v>6</v>
      </c>
      <c r="F71" s="117">
        <v>5.9</v>
      </c>
      <c r="G71" s="117">
        <v>0.9</v>
      </c>
      <c r="H71" s="117">
        <v>0</v>
      </c>
      <c r="I71" s="267">
        <v>0</v>
      </c>
      <c r="J71" s="267">
        <v>0</v>
      </c>
      <c r="K71" s="117">
        <v>0</v>
      </c>
      <c r="L71" s="267" t="s">
        <v>488</v>
      </c>
      <c r="M71" s="117">
        <v>0</v>
      </c>
      <c r="N71" s="267" t="s">
        <v>488</v>
      </c>
      <c r="O71" s="117">
        <v>0</v>
      </c>
      <c r="P71" s="267" t="s">
        <v>488</v>
      </c>
    </row>
    <row r="72" spans="1:16" x14ac:dyDescent="0.25">
      <c r="A72" s="117">
        <v>540057</v>
      </c>
      <c r="B72" s="2" t="s">
        <v>155</v>
      </c>
      <c r="C72" s="2" t="s">
        <v>33</v>
      </c>
      <c r="D72" s="2" t="s">
        <v>115</v>
      </c>
      <c r="E72" s="117">
        <v>6</v>
      </c>
      <c r="F72" s="117">
        <v>1.3</v>
      </c>
      <c r="G72" s="117">
        <v>0.5</v>
      </c>
      <c r="H72" s="117">
        <v>0</v>
      </c>
      <c r="I72" s="267">
        <v>0</v>
      </c>
      <c r="J72" s="267">
        <v>0</v>
      </c>
      <c r="K72" s="117">
        <v>0</v>
      </c>
      <c r="L72" s="267" t="s">
        <v>488</v>
      </c>
      <c r="M72" s="117">
        <v>0</v>
      </c>
      <c r="N72" s="267" t="s">
        <v>488</v>
      </c>
      <c r="O72" s="117">
        <v>0</v>
      </c>
      <c r="P72" s="267" t="s">
        <v>488</v>
      </c>
    </row>
    <row r="73" spans="1:16" x14ac:dyDescent="0.25">
      <c r="A73" s="117">
        <v>540058</v>
      </c>
      <c r="B73" s="2" t="s">
        <v>156</v>
      </c>
      <c r="C73" s="2" t="s">
        <v>33</v>
      </c>
      <c r="D73" s="2" t="s">
        <v>115</v>
      </c>
      <c r="E73" s="117">
        <v>6</v>
      </c>
      <c r="F73" s="117">
        <v>0.9</v>
      </c>
      <c r="G73" s="117">
        <v>0.1</v>
      </c>
      <c r="H73" s="117">
        <v>0</v>
      </c>
      <c r="I73" s="267">
        <v>0</v>
      </c>
      <c r="J73" s="267">
        <v>0</v>
      </c>
      <c r="K73" s="117">
        <v>0</v>
      </c>
      <c r="L73" s="267" t="s">
        <v>488</v>
      </c>
      <c r="M73" s="117">
        <v>0</v>
      </c>
      <c r="N73" s="267" t="s">
        <v>488</v>
      </c>
      <c r="O73" s="117">
        <v>0</v>
      </c>
      <c r="P73" s="267" t="s">
        <v>488</v>
      </c>
    </row>
    <row r="74" spans="1:16" x14ac:dyDescent="0.25">
      <c r="A74" s="117">
        <v>540059</v>
      </c>
      <c r="B74" s="2" t="s">
        <v>157</v>
      </c>
      <c r="C74" s="2" t="s">
        <v>33</v>
      </c>
      <c r="D74" s="2" t="s">
        <v>115</v>
      </c>
      <c r="E74" s="117">
        <v>6</v>
      </c>
      <c r="F74" s="117">
        <v>0</v>
      </c>
      <c r="G74" s="117">
        <v>0</v>
      </c>
      <c r="H74" s="117">
        <v>0</v>
      </c>
      <c r="I74" s="267" t="s">
        <v>488</v>
      </c>
      <c r="J74" s="267" t="s">
        <v>488</v>
      </c>
      <c r="K74" s="117">
        <v>0</v>
      </c>
      <c r="L74" s="267" t="s">
        <v>488</v>
      </c>
      <c r="M74" s="117">
        <v>0</v>
      </c>
      <c r="N74" s="267" t="s">
        <v>488</v>
      </c>
      <c r="O74" s="117">
        <v>0</v>
      </c>
      <c r="P74" s="267" t="s">
        <v>488</v>
      </c>
    </row>
    <row r="75" spans="1:16" x14ac:dyDescent="0.25">
      <c r="A75" s="117">
        <v>540060</v>
      </c>
      <c r="B75" s="2" t="s">
        <v>158</v>
      </c>
      <c r="C75" s="2" t="s">
        <v>33</v>
      </c>
      <c r="D75" s="2" t="s">
        <v>115</v>
      </c>
      <c r="E75" s="117">
        <v>6</v>
      </c>
      <c r="F75" s="117">
        <v>1</v>
      </c>
      <c r="G75" s="117">
        <v>0.4</v>
      </c>
      <c r="H75" s="117">
        <v>0</v>
      </c>
      <c r="I75" s="267">
        <v>0</v>
      </c>
      <c r="J75" s="267">
        <v>0</v>
      </c>
      <c r="K75" s="117">
        <v>0</v>
      </c>
      <c r="L75" s="267" t="s">
        <v>488</v>
      </c>
      <c r="M75" s="117">
        <v>0</v>
      </c>
      <c r="N75" s="267" t="s">
        <v>488</v>
      </c>
      <c r="O75" s="117">
        <v>0</v>
      </c>
      <c r="P75" s="267" t="s">
        <v>488</v>
      </c>
    </row>
    <row r="76" spans="1:16" x14ac:dyDescent="0.25">
      <c r="A76" s="117">
        <v>540061</v>
      </c>
      <c r="B76" s="2" t="s">
        <v>159</v>
      </c>
      <c r="C76" s="2" t="s">
        <v>33</v>
      </c>
      <c r="D76" s="2" t="s">
        <v>115</v>
      </c>
      <c r="E76" s="117">
        <v>6</v>
      </c>
      <c r="F76" s="117">
        <v>0</v>
      </c>
      <c r="G76" s="117">
        <v>0</v>
      </c>
      <c r="H76" s="117">
        <v>0</v>
      </c>
      <c r="I76" s="267" t="s">
        <v>488</v>
      </c>
      <c r="J76" s="267" t="s">
        <v>488</v>
      </c>
      <c r="K76" s="117">
        <v>0</v>
      </c>
      <c r="L76" s="267" t="s">
        <v>488</v>
      </c>
      <c r="M76" s="117">
        <v>0</v>
      </c>
      <c r="N76" s="267" t="s">
        <v>488</v>
      </c>
      <c r="O76" s="117">
        <v>0</v>
      </c>
      <c r="P76" s="267" t="s">
        <v>488</v>
      </c>
    </row>
    <row r="77" spans="1:16" x14ac:dyDescent="0.25">
      <c r="A77" s="117">
        <v>540062</v>
      </c>
      <c r="B77" s="2" t="s">
        <v>160</v>
      </c>
      <c r="C77" s="2" t="s">
        <v>33</v>
      </c>
      <c r="D77" s="2" t="s">
        <v>115</v>
      </c>
      <c r="E77" s="117">
        <v>6</v>
      </c>
      <c r="F77" s="117">
        <v>0</v>
      </c>
      <c r="G77" s="117">
        <v>0</v>
      </c>
      <c r="H77" s="117">
        <v>0</v>
      </c>
      <c r="I77" s="267" t="s">
        <v>488</v>
      </c>
      <c r="J77" s="267" t="s">
        <v>488</v>
      </c>
      <c r="K77" s="117">
        <v>0</v>
      </c>
      <c r="L77" s="267" t="s">
        <v>488</v>
      </c>
      <c r="M77" s="117">
        <v>0</v>
      </c>
      <c r="N77" s="267" t="s">
        <v>488</v>
      </c>
      <c r="O77" s="117">
        <v>0</v>
      </c>
      <c r="P77" s="267" t="s">
        <v>488</v>
      </c>
    </row>
    <row r="78" spans="1:16" x14ac:dyDescent="0.25">
      <c r="A78" s="117">
        <v>540242</v>
      </c>
      <c r="B78" s="2" t="s">
        <v>289</v>
      </c>
      <c r="C78" s="2" t="s">
        <v>33</v>
      </c>
      <c r="D78" s="2" t="s">
        <v>115</v>
      </c>
      <c r="E78" s="117">
        <v>6</v>
      </c>
      <c r="F78" s="117">
        <v>2.7</v>
      </c>
      <c r="G78" s="117">
        <v>1.8</v>
      </c>
      <c r="H78" s="117">
        <v>1.8</v>
      </c>
      <c r="I78" s="267">
        <v>1</v>
      </c>
      <c r="J78" s="267">
        <v>0.66669999999999996</v>
      </c>
      <c r="K78" s="117">
        <v>0.2</v>
      </c>
      <c r="L78" s="267">
        <v>0.1111</v>
      </c>
      <c r="M78" s="117">
        <v>0.8</v>
      </c>
      <c r="N78" s="267">
        <v>0.44440000000000002</v>
      </c>
      <c r="O78" s="117">
        <v>0.8</v>
      </c>
      <c r="P78" s="267">
        <v>0.44440000000000002</v>
      </c>
    </row>
    <row r="79" spans="1:16" x14ac:dyDescent="0.25">
      <c r="A79" s="269"/>
      <c r="B79" s="269"/>
      <c r="C79" s="269" t="s">
        <v>33</v>
      </c>
      <c r="D79" s="269"/>
      <c r="E79" s="269"/>
      <c r="F79" s="270">
        <v>65.3</v>
      </c>
      <c r="G79" s="270">
        <v>10.5</v>
      </c>
      <c r="H79" s="270">
        <v>4.2</v>
      </c>
      <c r="I79" s="271">
        <v>0.4</v>
      </c>
      <c r="J79" s="271">
        <v>6.4299999999999996E-2</v>
      </c>
      <c r="K79" s="270">
        <v>0.4</v>
      </c>
      <c r="L79" s="271">
        <v>9.5200000000000007E-2</v>
      </c>
      <c r="M79" s="270">
        <v>1.7</v>
      </c>
      <c r="N79" s="271">
        <v>0.40479999999999999</v>
      </c>
      <c r="O79" s="270">
        <v>2.1</v>
      </c>
      <c r="P79" s="271">
        <v>0.5</v>
      </c>
    </row>
    <row r="80" spans="1:16" x14ac:dyDescent="0.25">
      <c r="A80" s="117">
        <v>540063</v>
      </c>
      <c r="B80" s="2" t="s">
        <v>34</v>
      </c>
      <c r="C80" s="2" t="s">
        <v>35</v>
      </c>
      <c r="D80" s="2" t="s">
        <v>5</v>
      </c>
      <c r="E80" s="117">
        <v>5</v>
      </c>
      <c r="F80" s="117">
        <v>29.5</v>
      </c>
      <c r="G80" s="117">
        <v>20.2</v>
      </c>
      <c r="H80" s="117">
        <v>0</v>
      </c>
      <c r="I80" s="267">
        <v>0</v>
      </c>
      <c r="J80" s="267">
        <v>0</v>
      </c>
      <c r="K80" s="117">
        <v>0</v>
      </c>
      <c r="L80" s="267" t="s">
        <v>488</v>
      </c>
      <c r="M80" s="117">
        <v>0</v>
      </c>
      <c r="N80" s="267" t="s">
        <v>488</v>
      </c>
      <c r="O80" s="117">
        <v>0</v>
      </c>
      <c r="P80" s="267" t="s">
        <v>488</v>
      </c>
    </row>
    <row r="81" spans="1:20" x14ac:dyDescent="0.25">
      <c r="A81" s="117">
        <v>540064</v>
      </c>
      <c r="B81" s="2" t="s">
        <v>161</v>
      </c>
      <c r="C81" s="2" t="s">
        <v>35</v>
      </c>
      <c r="D81" s="2" t="s">
        <v>115</v>
      </c>
      <c r="E81" s="117">
        <v>5</v>
      </c>
      <c r="F81" s="117">
        <v>0</v>
      </c>
      <c r="G81" s="117">
        <v>0</v>
      </c>
      <c r="H81" s="117">
        <v>0</v>
      </c>
      <c r="I81" s="267" t="s">
        <v>488</v>
      </c>
      <c r="J81" s="267" t="s">
        <v>488</v>
      </c>
      <c r="K81" s="117">
        <v>0</v>
      </c>
      <c r="L81" s="267" t="s">
        <v>488</v>
      </c>
      <c r="M81" s="117">
        <v>0</v>
      </c>
      <c r="N81" s="267" t="s">
        <v>488</v>
      </c>
      <c r="O81" s="117">
        <v>0</v>
      </c>
      <c r="P81" s="267" t="s">
        <v>488</v>
      </c>
    </row>
    <row r="82" spans="1:20" x14ac:dyDescent="0.25">
      <c r="A82" s="117">
        <v>540241</v>
      </c>
      <c r="B82" s="2" t="s">
        <v>288</v>
      </c>
      <c r="C82" s="2" t="s">
        <v>35</v>
      </c>
      <c r="D82" s="2" t="s">
        <v>115</v>
      </c>
      <c r="E82" s="117">
        <v>5</v>
      </c>
      <c r="F82" s="117">
        <v>1.9</v>
      </c>
      <c r="G82" s="117">
        <v>0.8</v>
      </c>
      <c r="H82" s="117">
        <v>0</v>
      </c>
      <c r="I82" s="267">
        <v>0</v>
      </c>
      <c r="J82" s="267">
        <v>0</v>
      </c>
      <c r="K82" s="117">
        <v>0</v>
      </c>
      <c r="L82" s="267" t="s">
        <v>488</v>
      </c>
      <c r="M82" s="117">
        <v>0</v>
      </c>
      <c r="N82" s="267" t="s">
        <v>488</v>
      </c>
      <c r="O82" s="117">
        <v>0</v>
      </c>
      <c r="P82" s="267" t="s">
        <v>488</v>
      </c>
    </row>
    <row r="83" spans="1:20" x14ac:dyDescent="0.25">
      <c r="A83" s="269"/>
      <c r="B83" s="269"/>
      <c r="C83" s="269" t="s">
        <v>35</v>
      </c>
      <c r="D83" s="269"/>
      <c r="E83" s="269"/>
      <c r="F83" s="270">
        <v>31.4</v>
      </c>
      <c r="G83" s="270">
        <v>21</v>
      </c>
      <c r="H83" s="270">
        <v>0</v>
      </c>
      <c r="I83" s="271">
        <v>0</v>
      </c>
      <c r="J83" s="271">
        <v>0</v>
      </c>
      <c r="K83" s="270">
        <v>0</v>
      </c>
      <c r="L83" s="271" t="s">
        <v>488</v>
      </c>
      <c r="M83" s="270">
        <v>0</v>
      </c>
      <c r="N83" s="271"/>
      <c r="O83" s="270">
        <v>0</v>
      </c>
      <c r="P83" s="271"/>
    </row>
    <row r="84" spans="1:20" x14ac:dyDescent="0.25">
      <c r="A84" s="117">
        <v>540065</v>
      </c>
      <c r="B84" s="2" t="s">
        <v>36</v>
      </c>
      <c r="C84" s="2" t="s">
        <v>37</v>
      </c>
      <c r="D84" s="2" t="s">
        <v>5</v>
      </c>
      <c r="E84" s="117">
        <v>9</v>
      </c>
      <c r="F84" s="117">
        <v>46</v>
      </c>
      <c r="G84" s="117">
        <v>13.8</v>
      </c>
      <c r="H84" s="117">
        <v>5.4</v>
      </c>
      <c r="I84" s="267">
        <v>0.39129999999999998</v>
      </c>
      <c r="J84" s="267">
        <v>0.1174</v>
      </c>
      <c r="K84" s="117">
        <v>1</v>
      </c>
      <c r="L84" s="267">
        <v>0.1852</v>
      </c>
      <c r="M84" s="117">
        <v>1.2</v>
      </c>
      <c r="N84" s="267">
        <v>0.22220000000000001</v>
      </c>
      <c r="O84" s="117">
        <v>3.2</v>
      </c>
      <c r="P84" s="267">
        <v>0.59260000000000002</v>
      </c>
      <c r="Q84" s="61"/>
      <c r="R84" s="61"/>
      <c r="S84" s="61"/>
      <c r="T84" s="61"/>
    </row>
    <row r="85" spans="1:20" x14ac:dyDescent="0.25">
      <c r="A85" s="117">
        <v>540030</v>
      </c>
      <c r="B85" s="2" t="s">
        <v>135</v>
      </c>
      <c r="C85" s="2" t="s">
        <v>37</v>
      </c>
      <c r="D85" s="2" t="s">
        <v>115</v>
      </c>
      <c r="E85" s="117">
        <v>9</v>
      </c>
      <c r="F85" s="117">
        <v>0.3</v>
      </c>
      <c r="G85" s="117">
        <v>0.3</v>
      </c>
      <c r="H85" s="117">
        <v>0.3</v>
      </c>
      <c r="I85" s="267">
        <v>1</v>
      </c>
      <c r="J85" s="267">
        <v>1</v>
      </c>
      <c r="K85" s="117">
        <v>0</v>
      </c>
      <c r="L85" s="267">
        <v>0</v>
      </c>
      <c r="M85" s="117">
        <v>0</v>
      </c>
      <c r="N85" s="267">
        <v>0</v>
      </c>
      <c r="O85" s="117">
        <v>0.3</v>
      </c>
      <c r="P85" s="267">
        <v>1</v>
      </c>
    </row>
    <row r="86" spans="1:20" x14ac:dyDescent="0.25">
      <c r="A86" s="117">
        <v>540066</v>
      </c>
      <c r="B86" s="2" t="s">
        <v>162</v>
      </c>
      <c r="C86" s="2" t="s">
        <v>37</v>
      </c>
      <c r="D86" s="2" t="s">
        <v>115</v>
      </c>
      <c r="E86" s="117">
        <v>9</v>
      </c>
      <c r="F86" s="117">
        <v>2.2000000000000002</v>
      </c>
      <c r="G86" s="117">
        <v>0.1</v>
      </c>
      <c r="H86" s="117">
        <v>0</v>
      </c>
      <c r="I86" s="267">
        <v>0</v>
      </c>
      <c r="J86" s="267">
        <v>0</v>
      </c>
      <c r="K86" s="117">
        <v>0</v>
      </c>
      <c r="L86" s="267" t="s">
        <v>488</v>
      </c>
      <c r="M86" s="117">
        <v>0</v>
      </c>
      <c r="N86" s="267" t="s">
        <v>488</v>
      </c>
      <c r="O86" s="117">
        <v>0</v>
      </c>
      <c r="P86" s="267" t="s">
        <v>488</v>
      </c>
    </row>
    <row r="87" spans="1:20" x14ac:dyDescent="0.25">
      <c r="A87" s="117">
        <v>540067</v>
      </c>
      <c r="B87" s="2" t="s">
        <v>163</v>
      </c>
      <c r="C87" s="2" t="s">
        <v>37</v>
      </c>
      <c r="D87" s="2" t="s">
        <v>115</v>
      </c>
      <c r="E87" s="117">
        <v>9</v>
      </c>
      <c r="F87" s="117">
        <v>2.4</v>
      </c>
      <c r="G87" s="117">
        <v>1.9</v>
      </c>
      <c r="H87" s="117">
        <v>0.9</v>
      </c>
      <c r="I87" s="267">
        <v>0.47370000000000001</v>
      </c>
      <c r="J87" s="267">
        <v>0.375</v>
      </c>
      <c r="K87" s="117">
        <v>0</v>
      </c>
      <c r="L87" s="267">
        <v>0</v>
      </c>
      <c r="M87" s="117">
        <v>0</v>
      </c>
      <c r="N87" s="267">
        <v>0</v>
      </c>
      <c r="O87" s="117">
        <v>0.9</v>
      </c>
      <c r="P87" s="267">
        <v>1</v>
      </c>
    </row>
    <row r="88" spans="1:20" x14ac:dyDescent="0.25">
      <c r="A88" s="117">
        <v>540068</v>
      </c>
      <c r="B88" s="2" t="s">
        <v>164</v>
      </c>
      <c r="C88" s="2" t="s">
        <v>37</v>
      </c>
      <c r="D88" s="2" t="s">
        <v>115</v>
      </c>
      <c r="E88" s="117">
        <v>9</v>
      </c>
      <c r="F88" s="117">
        <v>2.7</v>
      </c>
      <c r="G88" s="117">
        <v>0</v>
      </c>
      <c r="H88" s="117">
        <v>0</v>
      </c>
      <c r="I88" s="267" t="s">
        <v>488</v>
      </c>
      <c r="J88" s="267">
        <v>0</v>
      </c>
      <c r="K88" s="117">
        <v>0</v>
      </c>
      <c r="L88" s="267" t="s">
        <v>488</v>
      </c>
      <c r="M88" s="117">
        <v>0</v>
      </c>
      <c r="N88" s="267" t="s">
        <v>488</v>
      </c>
      <c r="O88" s="117">
        <v>0</v>
      </c>
      <c r="P88" s="267" t="s">
        <v>488</v>
      </c>
    </row>
    <row r="89" spans="1:20" x14ac:dyDescent="0.25">
      <c r="A89" s="117">
        <v>540069</v>
      </c>
      <c r="B89" s="2" t="s">
        <v>165</v>
      </c>
      <c r="C89" s="2" t="s">
        <v>37</v>
      </c>
      <c r="D89" s="2" t="s">
        <v>115</v>
      </c>
      <c r="E89" s="117">
        <v>9</v>
      </c>
      <c r="F89" s="117">
        <v>0.5</v>
      </c>
      <c r="G89" s="117">
        <v>0</v>
      </c>
      <c r="H89" s="117">
        <v>0</v>
      </c>
      <c r="I89" s="267" t="s">
        <v>488</v>
      </c>
      <c r="J89" s="267">
        <v>0</v>
      </c>
      <c r="K89" s="117">
        <v>0</v>
      </c>
      <c r="L89" s="267" t="s">
        <v>488</v>
      </c>
      <c r="M89" s="117">
        <v>0</v>
      </c>
      <c r="N89" s="267" t="s">
        <v>488</v>
      </c>
      <c r="O89" s="117">
        <v>0</v>
      </c>
      <c r="P89" s="267" t="s">
        <v>488</v>
      </c>
    </row>
    <row r="90" spans="1:20" x14ac:dyDescent="0.25">
      <c r="A90" s="269"/>
      <c r="B90" s="269"/>
      <c r="C90" s="269" t="s">
        <v>37</v>
      </c>
      <c r="D90" s="269"/>
      <c r="E90" s="269"/>
      <c r="F90" s="270">
        <v>54.1</v>
      </c>
      <c r="G90" s="270">
        <v>16.100000000000001</v>
      </c>
      <c r="H90" s="270">
        <v>6.6</v>
      </c>
      <c r="I90" s="271">
        <v>0.40989999999999999</v>
      </c>
      <c r="J90" s="271">
        <v>0.122</v>
      </c>
      <c r="K90" s="270">
        <v>1</v>
      </c>
      <c r="L90" s="271">
        <v>0.1515</v>
      </c>
      <c r="M90" s="270">
        <v>1.2</v>
      </c>
      <c r="N90" s="271">
        <v>0.18179999999999999</v>
      </c>
      <c r="O90" s="270">
        <v>4.4000000000000004</v>
      </c>
      <c r="P90" s="271">
        <v>0.66669999999999996</v>
      </c>
    </row>
    <row r="91" spans="1:20" x14ac:dyDescent="0.25">
      <c r="A91" s="117">
        <v>540070</v>
      </c>
      <c r="B91" s="2" t="s">
        <v>38</v>
      </c>
      <c r="C91" s="2" t="s">
        <v>39</v>
      </c>
      <c r="D91" s="2" t="s">
        <v>5</v>
      </c>
      <c r="E91" s="117">
        <v>3</v>
      </c>
      <c r="F91" s="117">
        <v>134.1</v>
      </c>
      <c r="G91" s="117">
        <v>43</v>
      </c>
      <c r="H91" s="117">
        <v>18.100000000000001</v>
      </c>
      <c r="I91" s="267">
        <v>0.4209</v>
      </c>
      <c r="J91" s="267">
        <v>0.13500000000000001</v>
      </c>
      <c r="K91" s="117">
        <v>2.1</v>
      </c>
      <c r="L91" s="267">
        <v>0.11600000000000001</v>
      </c>
      <c r="M91" s="117">
        <v>4.3</v>
      </c>
      <c r="N91" s="267">
        <v>0.23760000000000001</v>
      </c>
      <c r="O91" s="117">
        <v>11.7</v>
      </c>
      <c r="P91" s="267">
        <v>0.64639999999999997</v>
      </c>
    </row>
    <row r="92" spans="1:20" x14ac:dyDescent="0.25">
      <c r="A92" s="117">
        <v>540029</v>
      </c>
      <c r="B92" s="2" t="s">
        <v>134</v>
      </c>
      <c r="C92" s="2" t="s">
        <v>39</v>
      </c>
      <c r="D92" s="2" t="s">
        <v>115</v>
      </c>
      <c r="E92" s="117">
        <v>3</v>
      </c>
      <c r="F92" s="117">
        <v>1.4</v>
      </c>
      <c r="G92" s="117">
        <v>0</v>
      </c>
      <c r="H92" s="117">
        <v>0</v>
      </c>
      <c r="I92" s="267" t="s">
        <v>488</v>
      </c>
      <c r="J92" s="267">
        <v>0</v>
      </c>
      <c r="K92" s="117">
        <v>0</v>
      </c>
      <c r="L92" s="267" t="s">
        <v>488</v>
      </c>
      <c r="M92" s="117">
        <v>0</v>
      </c>
      <c r="N92" s="267" t="s">
        <v>488</v>
      </c>
      <c r="O92" s="117">
        <v>0</v>
      </c>
      <c r="P92" s="267" t="s">
        <v>488</v>
      </c>
    </row>
    <row r="93" spans="1:20" x14ac:dyDescent="0.25">
      <c r="A93" s="117">
        <v>540071</v>
      </c>
      <c r="B93" s="2" t="s">
        <v>166</v>
      </c>
      <c r="C93" s="2" t="s">
        <v>39</v>
      </c>
      <c r="D93" s="2" t="s">
        <v>115</v>
      </c>
      <c r="E93" s="117">
        <v>3</v>
      </c>
      <c r="F93" s="117">
        <v>2.2999999999999998</v>
      </c>
      <c r="G93" s="117">
        <v>0</v>
      </c>
      <c r="H93" s="117">
        <v>0</v>
      </c>
      <c r="I93" s="267" t="s">
        <v>488</v>
      </c>
      <c r="J93" s="267">
        <v>0</v>
      </c>
      <c r="K93" s="117">
        <v>0</v>
      </c>
      <c r="L93" s="267" t="s">
        <v>488</v>
      </c>
      <c r="M93" s="117">
        <v>0</v>
      </c>
      <c r="N93" s="267" t="s">
        <v>488</v>
      </c>
      <c r="O93" s="117">
        <v>0</v>
      </c>
      <c r="P93" s="267" t="s">
        <v>488</v>
      </c>
    </row>
    <row r="94" spans="1:20" x14ac:dyDescent="0.25">
      <c r="A94" s="117">
        <v>540072</v>
      </c>
      <c r="B94" s="2" t="s">
        <v>167</v>
      </c>
      <c r="C94" s="2" t="s">
        <v>39</v>
      </c>
      <c r="D94" s="2" t="s">
        <v>115</v>
      </c>
      <c r="E94" s="117">
        <v>3</v>
      </c>
      <c r="F94" s="117">
        <v>1.4</v>
      </c>
      <c r="G94" s="117">
        <v>0</v>
      </c>
      <c r="H94" s="117">
        <v>0</v>
      </c>
      <c r="I94" s="267" t="s">
        <v>488</v>
      </c>
      <c r="J94" s="267">
        <v>0</v>
      </c>
      <c r="K94" s="117">
        <v>0</v>
      </c>
      <c r="L94" s="267" t="s">
        <v>488</v>
      </c>
      <c r="M94" s="117">
        <v>0</v>
      </c>
      <c r="N94" s="267" t="s">
        <v>488</v>
      </c>
      <c r="O94" s="117">
        <v>0</v>
      </c>
      <c r="P94" s="267" t="s">
        <v>488</v>
      </c>
    </row>
    <row r="95" spans="1:20" x14ac:dyDescent="0.25">
      <c r="A95" s="117">
        <v>540073</v>
      </c>
      <c r="B95" s="2" t="s">
        <v>168</v>
      </c>
      <c r="C95" s="2" t="s">
        <v>39</v>
      </c>
      <c r="D95" s="2" t="s">
        <v>115</v>
      </c>
      <c r="E95" s="117">
        <v>3</v>
      </c>
      <c r="F95" s="117">
        <v>18</v>
      </c>
      <c r="G95" s="117">
        <v>1.2</v>
      </c>
      <c r="H95" s="117">
        <v>0</v>
      </c>
      <c r="I95" s="267">
        <v>0</v>
      </c>
      <c r="J95" s="267">
        <v>0</v>
      </c>
      <c r="K95" s="117">
        <v>0</v>
      </c>
      <c r="L95" s="267" t="s">
        <v>488</v>
      </c>
      <c r="M95" s="117">
        <v>0</v>
      </c>
      <c r="N95" s="267" t="s">
        <v>488</v>
      </c>
      <c r="O95" s="117">
        <v>0</v>
      </c>
      <c r="P95" s="267" t="s">
        <v>488</v>
      </c>
    </row>
    <row r="96" spans="1:20" x14ac:dyDescent="0.25">
      <c r="A96" s="117">
        <v>540074</v>
      </c>
      <c r="B96" s="2" t="s">
        <v>169</v>
      </c>
      <c r="C96" s="2" t="s">
        <v>39</v>
      </c>
      <c r="D96" s="2" t="s">
        <v>115</v>
      </c>
      <c r="E96" s="117">
        <v>3</v>
      </c>
      <c r="F96" s="117">
        <v>1.9</v>
      </c>
      <c r="G96" s="117">
        <v>0</v>
      </c>
      <c r="H96" s="117">
        <v>0</v>
      </c>
      <c r="I96" s="267" t="s">
        <v>488</v>
      </c>
      <c r="J96" s="267">
        <v>0</v>
      </c>
      <c r="K96" s="117">
        <v>0</v>
      </c>
      <c r="L96" s="267" t="s">
        <v>488</v>
      </c>
      <c r="M96" s="117">
        <v>0</v>
      </c>
      <c r="N96" s="267" t="s">
        <v>488</v>
      </c>
      <c r="O96" s="117">
        <v>0</v>
      </c>
      <c r="P96" s="267" t="s">
        <v>488</v>
      </c>
    </row>
    <row r="97" spans="1:16" x14ac:dyDescent="0.25">
      <c r="A97" s="117">
        <v>540075</v>
      </c>
      <c r="B97" s="2" t="s">
        <v>170</v>
      </c>
      <c r="C97" s="2" t="s">
        <v>39</v>
      </c>
      <c r="D97" s="2" t="s">
        <v>115</v>
      </c>
      <c r="E97" s="117">
        <v>3</v>
      </c>
      <c r="F97" s="117">
        <v>1.9</v>
      </c>
      <c r="G97" s="117">
        <v>1</v>
      </c>
      <c r="H97" s="117">
        <v>0.4</v>
      </c>
      <c r="I97" s="267">
        <v>0.4</v>
      </c>
      <c r="J97" s="267">
        <v>0.21049999999999999</v>
      </c>
      <c r="K97" s="117">
        <v>0.3</v>
      </c>
      <c r="L97" s="267">
        <v>0.75</v>
      </c>
      <c r="M97" s="117">
        <v>0.1</v>
      </c>
      <c r="N97" s="267">
        <v>0.25</v>
      </c>
      <c r="O97" s="117">
        <v>0</v>
      </c>
      <c r="P97" s="267">
        <v>0</v>
      </c>
    </row>
    <row r="98" spans="1:16" x14ac:dyDescent="0.25">
      <c r="A98" s="117">
        <v>540076</v>
      </c>
      <c r="B98" s="2" t="s">
        <v>171</v>
      </c>
      <c r="C98" s="2" t="s">
        <v>39</v>
      </c>
      <c r="D98" s="2" t="s">
        <v>115</v>
      </c>
      <c r="E98" s="117">
        <v>3</v>
      </c>
      <c r="F98" s="117">
        <v>3.2</v>
      </c>
      <c r="G98" s="117">
        <v>1.2</v>
      </c>
      <c r="H98" s="117">
        <v>0</v>
      </c>
      <c r="I98" s="267">
        <v>0</v>
      </c>
      <c r="J98" s="267">
        <v>0</v>
      </c>
      <c r="K98" s="117">
        <v>0</v>
      </c>
      <c r="L98" s="267" t="s">
        <v>488</v>
      </c>
      <c r="M98" s="117">
        <v>0</v>
      </c>
      <c r="N98" s="267" t="s">
        <v>488</v>
      </c>
      <c r="O98" s="117">
        <v>0</v>
      </c>
      <c r="P98" s="267" t="s">
        <v>488</v>
      </c>
    </row>
    <row r="99" spans="1:16" x14ac:dyDescent="0.25">
      <c r="A99" s="117">
        <v>540077</v>
      </c>
      <c r="B99" s="2" t="s">
        <v>172</v>
      </c>
      <c r="C99" s="2" t="s">
        <v>39</v>
      </c>
      <c r="D99" s="2" t="s">
        <v>115</v>
      </c>
      <c r="E99" s="117">
        <v>3</v>
      </c>
      <c r="F99" s="117">
        <v>1.3</v>
      </c>
      <c r="G99" s="117">
        <v>0</v>
      </c>
      <c r="H99" s="117">
        <v>0</v>
      </c>
      <c r="I99" s="267" t="s">
        <v>488</v>
      </c>
      <c r="J99" s="267">
        <v>0</v>
      </c>
      <c r="K99" s="117">
        <v>0</v>
      </c>
      <c r="L99" s="267" t="s">
        <v>488</v>
      </c>
      <c r="M99" s="117">
        <v>0</v>
      </c>
      <c r="N99" s="267" t="s">
        <v>488</v>
      </c>
      <c r="O99" s="117">
        <v>0</v>
      </c>
      <c r="P99" s="267" t="s">
        <v>488</v>
      </c>
    </row>
    <row r="100" spans="1:16" x14ac:dyDescent="0.25">
      <c r="A100" s="117">
        <v>540078</v>
      </c>
      <c r="B100" s="2" t="s">
        <v>173</v>
      </c>
      <c r="C100" s="2" t="s">
        <v>39</v>
      </c>
      <c r="D100" s="2" t="s">
        <v>115</v>
      </c>
      <c r="E100" s="117">
        <v>3</v>
      </c>
      <c r="F100" s="117">
        <v>1.1000000000000001</v>
      </c>
      <c r="G100" s="117">
        <v>0</v>
      </c>
      <c r="H100" s="117">
        <v>0</v>
      </c>
      <c r="I100" s="267" t="s">
        <v>488</v>
      </c>
      <c r="J100" s="267">
        <v>0</v>
      </c>
      <c r="K100" s="117">
        <v>0</v>
      </c>
      <c r="L100" s="267" t="s">
        <v>488</v>
      </c>
      <c r="M100" s="117">
        <v>0</v>
      </c>
      <c r="N100" s="267" t="s">
        <v>488</v>
      </c>
      <c r="O100" s="117">
        <v>0</v>
      </c>
      <c r="P100" s="267" t="s">
        <v>488</v>
      </c>
    </row>
    <row r="101" spans="1:16" x14ac:dyDescent="0.25">
      <c r="A101" s="117">
        <v>540079</v>
      </c>
      <c r="B101" s="2" t="s">
        <v>174</v>
      </c>
      <c r="C101" s="2" t="s">
        <v>39</v>
      </c>
      <c r="D101" s="2" t="s">
        <v>115</v>
      </c>
      <c r="E101" s="117">
        <v>3</v>
      </c>
      <c r="F101" s="117">
        <v>1.6</v>
      </c>
      <c r="G101" s="117">
        <v>0</v>
      </c>
      <c r="H101" s="117">
        <v>0</v>
      </c>
      <c r="I101" s="267" t="s">
        <v>488</v>
      </c>
      <c r="J101" s="267">
        <v>0</v>
      </c>
      <c r="K101" s="117">
        <v>0</v>
      </c>
      <c r="L101" s="267" t="s">
        <v>488</v>
      </c>
      <c r="M101" s="117">
        <v>0</v>
      </c>
      <c r="N101" s="267" t="s">
        <v>488</v>
      </c>
      <c r="O101" s="117">
        <v>0</v>
      </c>
      <c r="P101" s="267" t="s">
        <v>488</v>
      </c>
    </row>
    <row r="102" spans="1:16" x14ac:dyDescent="0.25">
      <c r="A102" s="117">
        <v>540081</v>
      </c>
      <c r="B102" s="2" t="s">
        <v>176</v>
      </c>
      <c r="C102" s="2" t="s">
        <v>39</v>
      </c>
      <c r="D102" s="2" t="s">
        <v>115</v>
      </c>
      <c r="E102" s="117">
        <v>3</v>
      </c>
      <c r="F102" s="117">
        <v>5.8</v>
      </c>
      <c r="G102" s="117">
        <v>0.4</v>
      </c>
      <c r="H102" s="117">
        <v>0</v>
      </c>
      <c r="I102" s="267">
        <v>0</v>
      </c>
      <c r="J102" s="267">
        <v>0</v>
      </c>
      <c r="K102" s="117">
        <v>0</v>
      </c>
      <c r="L102" s="267" t="s">
        <v>488</v>
      </c>
      <c r="M102" s="117">
        <v>0</v>
      </c>
      <c r="N102" s="267" t="s">
        <v>488</v>
      </c>
      <c r="O102" s="117">
        <v>0</v>
      </c>
      <c r="P102" s="267" t="s">
        <v>488</v>
      </c>
    </row>
    <row r="103" spans="1:16" x14ac:dyDescent="0.25">
      <c r="A103" s="117">
        <v>540082</v>
      </c>
      <c r="B103" s="2" t="s">
        <v>177</v>
      </c>
      <c r="C103" s="2" t="s">
        <v>39</v>
      </c>
      <c r="D103" s="2" t="s">
        <v>115</v>
      </c>
      <c r="E103" s="117">
        <v>3</v>
      </c>
      <c r="F103" s="117">
        <v>0.8</v>
      </c>
      <c r="G103" s="117">
        <v>0</v>
      </c>
      <c r="H103" s="117">
        <v>0</v>
      </c>
      <c r="I103" s="267" t="s">
        <v>488</v>
      </c>
      <c r="J103" s="267">
        <v>0</v>
      </c>
      <c r="K103" s="117">
        <v>0</v>
      </c>
      <c r="L103" s="267" t="s">
        <v>488</v>
      </c>
      <c r="M103" s="117">
        <v>0</v>
      </c>
      <c r="N103" s="267" t="s">
        <v>488</v>
      </c>
      <c r="O103" s="117">
        <v>0</v>
      </c>
      <c r="P103" s="267" t="s">
        <v>488</v>
      </c>
    </row>
    <row r="104" spans="1:16" x14ac:dyDescent="0.25">
      <c r="A104" s="117">
        <v>540083</v>
      </c>
      <c r="B104" s="2" t="s">
        <v>178</v>
      </c>
      <c r="C104" s="2" t="s">
        <v>39</v>
      </c>
      <c r="D104" s="2" t="s">
        <v>115</v>
      </c>
      <c r="E104" s="117">
        <v>3</v>
      </c>
      <c r="F104" s="117">
        <v>4.9000000000000004</v>
      </c>
      <c r="G104" s="117">
        <v>0.1</v>
      </c>
      <c r="H104" s="117">
        <v>0</v>
      </c>
      <c r="I104" s="267">
        <v>0</v>
      </c>
      <c r="J104" s="267">
        <v>0</v>
      </c>
      <c r="K104" s="117">
        <v>0</v>
      </c>
      <c r="L104" s="267" t="s">
        <v>488</v>
      </c>
      <c r="M104" s="117">
        <v>0</v>
      </c>
      <c r="N104" s="267" t="s">
        <v>488</v>
      </c>
      <c r="O104" s="117">
        <v>0</v>
      </c>
      <c r="P104" s="267" t="s">
        <v>488</v>
      </c>
    </row>
    <row r="105" spans="1:16" x14ac:dyDescent="0.25">
      <c r="A105" s="117">
        <v>540223</v>
      </c>
      <c r="B105" s="2" t="s">
        <v>277</v>
      </c>
      <c r="C105" s="2" t="s">
        <v>39</v>
      </c>
      <c r="D105" s="2" t="s">
        <v>115</v>
      </c>
      <c r="E105" s="117">
        <v>3</v>
      </c>
      <c r="F105" s="117">
        <v>5.5</v>
      </c>
      <c r="G105" s="117">
        <v>0</v>
      </c>
      <c r="H105" s="117">
        <v>0</v>
      </c>
      <c r="I105" s="267" t="s">
        <v>488</v>
      </c>
      <c r="J105" s="267">
        <v>0</v>
      </c>
      <c r="K105" s="117">
        <v>0</v>
      </c>
      <c r="L105" s="267" t="s">
        <v>488</v>
      </c>
      <c r="M105" s="117">
        <v>0</v>
      </c>
      <c r="N105" s="267" t="s">
        <v>488</v>
      </c>
      <c r="O105" s="117">
        <v>0</v>
      </c>
      <c r="P105" s="267" t="s">
        <v>488</v>
      </c>
    </row>
    <row r="106" spans="1:16" x14ac:dyDescent="0.25">
      <c r="A106" s="117">
        <v>540279</v>
      </c>
      <c r="B106" s="2" t="s">
        <v>320</v>
      </c>
      <c r="C106" s="2" t="s">
        <v>39</v>
      </c>
      <c r="D106" s="2" t="s">
        <v>115</v>
      </c>
      <c r="E106" s="117">
        <v>3</v>
      </c>
      <c r="F106" s="117">
        <v>1.7</v>
      </c>
      <c r="G106" s="117">
        <v>0.1</v>
      </c>
      <c r="H106" s="117">
        <v>0</v>
      </c>
      <c r="I106" s="267">
        <v>0</v>
      </c>
      <c r="J106" s="267">
        <v>0</v>
      </c>
      <c r="K106" s="117">
        <v>0</v>
      </c>
      <c r="L106" s="267" t="s">
        <v>488</v>
      </c>
      <c r="M106" s="117">
        <v>0</v>
      </c>
      <c r="N106" s="267" t="s">
        <v>488</v>
      </c>
      <c r="O106" s="117">
        <v>0</v>
      </c>
      <c r="P106" s="267" t="s">
        <v>488</v>
      </c>
    </row>
    <row r="107" spans="1:16" x14ac:dyDescent="0.25">
      <c r="A107" s="117">
        <v>540033</v>
      </c>
      <c r="B107" s="2" t="s">
        <v>138</v>
      </c>
      <c r="C107" s="2" t="s">
        <v>39</v>
      </c>
      <c r="D107" s="2" t="s">
        <v>115</v>
      </c>
      <c r="E107" s="117">
        <v>3</v>
      </c>
      <c r="F107" s="117">
        <v>0</v>
      </c>
      <c r="G107" s="117">
        <v>0</v>
      </c>
      <c r="H107" s="117">
        <v>0</v>
      </c>
      <c r="I107" s="267" t="s">
        <v>488</v>
      </c>
      <c r="J107" s="267" t="s">
        <v>488</v>
      </c>
      <c r="K107" s="117">
        <v>0</v>
      </c>
      <c r="L107" s="267" t="s">
        <v>488</v>
      </c>
      <c r="M107" s="117">
        <v>0</v>
      </c>
      <c r="N107" s="267" t="s">
        <v>488</v>
      </c>
      <c r="O107" s="117">
        <v>0</v>
      </c>
      <c r="P107" s="267" t="s">
        <v>488</v>
      </c>
    </row>
    <row r="108" spans="1:16" x14ac:dyDescent="0.25">
      <c r="A108" s="269"/>
      <c r="B108" s="269"/>
      <c r="C108" s="269" t="s">
        <v>39</v>
      </c>
      <c r="D108" s="269"/>
      <c r="E108" s="269"/>
      <c r="F108" s="270">
        <v>186.9</v>
      </c>
      <c r="G108" s="270">
        <v>47</v>
      </c>
      <c r="H108" s="270">
        <v>18.5</v>
      </c>
      <c r="I108" s="271">
        <v>0.39360000000000001</v>
      </c>
      <c r="J108" s="271">
        <v>9.9000000000000005E-2</v>
      </c>
      <c r="K108" s="270">
        <v>2.4</v>
      </c>
      <c r="L108" s="271">
        <v>0.12970000000000001</v>
      </c>
      <c r="M108" s="270">
        <v>4.4000000000000004</v>
      </c>
      <c r="N108" s="271">
        <v>0.23780000000000001</v>
      </c>
      <c r="O108" s="270">
        <v>11.7</v>
      </c>
      <c r="P108" s="271">
        <v>0.63239999999999996</v>
      </c>
    </row>
    <row r="109" spans="1:16" x14ac:dyDescent="0.25">
      <c r="A109" s="117">
        <v>540085</v>
      </c>
      <c r="B109" s="2" t="s">
        <v>40</v>
      </c>
      <c r="C109" s="2" t="s">
        <v>41</v>
      </c>
      <c r="D109" s="2" t="s">
        <v>5</v>
      </c>
      <c r="E109" s="117">
        <v>7</v>
      </c>
      <c r="F109" s="117">
        <v>14.6</v>
      </c>
      <c r="G109" s="117">
        <v>4.4000000000000004</v>
      </c>
      <c r="H109" s="117">
        <v>0</v>
      </c>
      <c r="I109" s="267">
        <v>0</v>
      </c>
      <c r="J109" s="267">
        <v>0</v>
      </c>
      <c r="K109" s="117">
        <v>0</v>
      </c>
      <c r="L109" s="267" t="s">
        <v>488</v>
      </c>
      <c r="M109" s="117">
        <v>0</v>
      </c>
      <c r="N109" s="267" t="s">
        <v>488</v>
      </c>
      <c r="O109" s="117">
        <v>0</v>
      </c>
      <c r="P109" s="267" t="s">
        <v>488</v>
      </c>
    </row>
    <row r="110" spans="1:16" x14ac:dyDescent="0.25">
      <c r="A110" s="117">
        <v>540086</v>
      </c>
      <c r="B110" s="2" t="s">
        <v>179</v>
      </c>
      <c r="C110" s="2" t="s">
        <v>41</v>
      </c>
      <c r="D110" s="2" t="s">
        <v>115</v>
      </c>
      <c r="E110" s="117">
        <v>7</v>
      </c>
      <c r="F110" s="117">
        <v>0</v>
      </c>
      <c r="G110" s="117">
        <v>0</v>
      </c>
      <c r="H110" s="117">
        <v>0</v>
      </c>
      <c r="I110" s="267" t="s">
        <v>488</v>
      </c>
      <c r="J110" s="267" t="s">
        <v>488</v>
      </c>
      <c r="K110" s="117">
        <v>0</v>
      </c>
      <c r="L110" s="267" t="s">
        <v>488</v>
      </c>
      <c r="M110" s="117">
        <v>0</v>
      </c>
      <c r="N110" s="267" t="s">
        <v>488</v>
      </c>
      <c r="O110" s="117">
        <v>0</v>
      </c>
      <c r="P110" s="267" t="s">
        <v>488</v>
      </c>
    </row>
    <row r="111" spans="1:16" x14ac:dyDescent="0.25">
      <c r="A111" s="117">
        <v>540087</v>
      </c>
      <c r="B111" s="2" t="s">
        <v>180</v>
      </c>
      <c r="C111" s="2" t="s">
        <v>41</v>
      </c>
      <c r="D111" s="2" t="s">
        <v>115</v>
      </c>
      <c r="E111" s="117">
        <v>7</v>
      </c>
      <c r="F111" s="117">
        <v>0</v>
      </c>
      <c r="G111" s="117">
        <v>0</v>
      </c>
      <c r="H111" s="117">
        <v>0</v>
      </c>
      <c r="I111" s="267" t="s">
        <v>488</v>
      </c>
      <c r="J111" s="267" t="s">
        <v>488</v>
      </c>
      <c r="K111" s="117">
        <v>0</v>
      </c>
      <c r="L111" s="267" t="s">
        <v>488</v>
      </c>
      <c r="M111" s="117">
        <v>0</v>
      </c>
      <c r="N111" s="267" t="s">
        <v>488</v>
      </c>
      <c r="O111" s="117">
        <v>0</v>
      </c>
      <c r="P111" s="267" t="s">
        <v>488</v>
      </c>
    </row>
    <row r="112" spans="1:16" x14ac:dyDescent="0.25">
      <c r="A112" s="269"/>
      <c r="B112" s="269"/>
      <c r="C112" s="269" t="s">
        <v>41</v>
      </c>
      <c r="D112" s="269"/>
      <c r="E112" s="269"/>
      <c r="F112" s="270">
        <v>14.6</v>
      </c>
      <c r="G112" s="270">
        <v>4.4000000000000004</v>
      </c>
      <c r="H112" s="270">
        <v>0</v>
      </c>
      <c r="I112" s="271">
        <v>0</v>
      </c>
      <c r="J112" s="271">
        <v>0</v>
      </c>
      <c r="K112" s="270">
        <v>0</v>
      </c>
      <c r="L112" s="271" t="s">
        <v>488</v>
      </c>
      <c r="M112" s="270">
        <v>0</v>
      </c>
      <c r="N112" s="271"/>
      <c r="O112" s="270">
        <v>0</v>
      </c>
      <c r="P112" s="271"/>
    </row>
    <row r="113" spans="1:16" x14ac:dyDescent="0.25">
      <c r="A113" s="117">
        <v>540088</v>
      </c>
      <c r="B113" s="2" t="s">
        <v>42</v>
      </c>
      <c r="C113" s="2" t="s">
        <v>43</v>
      </c>
      <c r="D113" s="2" t="s">
        <v>5</v>
      </c>
      <c r="E113" s="117">
        <v>2</v>
      </c>
      <c r="F113" s="117">
        <v>41.6</v>
      </c>
      <c r="G113" s="117">
        <v>9.5</v>
      </c>
      <c r="H113" s="117">
        <v>0</v>
      </c>
      <c r="I113" s="267">
        <v>0</v>
      </c>
      <c r="J113" s="267">
        <v>0</v>
      </c>
      <c r="K113" s="117">
        <v>0</v>
      </c>
      <c r="L113" s="267" t="s">
        <v>488</v>
      </c>
      <c r="M113" s="117">
        <v>0</v>
      </c>
      <c r="N113" s="267" t="s">
        <v>488</v>
      </c>
      <c r="O113" s="117">
        <v>0</v>
      </c>
      <c r="P113" s="267" t="s">
        <v>488</v>
      </c>
    </row>
    <row r="114" spans="1:16" x14ac:dyDescent="0.25">
      <c r="A114" s="117">
        <v>540089</v>
      </c>
      <c r="B114" s="2" t="s">
        <v>181</v>
      </c>
      <c r="C114" s="2" t="s">
        <v>43</v>
      </c>
      <c r="D114" s="2" t="s">
        <v>115</v>
      </c>
      <c r="E114" s="117">
        <v>2</v>
      </c>
      <c r="F114" s="117">
        <v>0</v>
      </c>
      <c r="G114" s="117">
        <v>0</v>
      </c>
      <c r="H114" s="117">
        <v>0</v>
      </c>
      <c r="I114" s="267" t="s">
        <v>488</v>
      </c>
      <c r="J114" s="267" t="s">
        <v>488</v>
      </c>
      <c r="K114" s="117">
        <v>0</v>
      </c>
      <c r="L114" s="267" t="s">
        <v>488</v>
      </c>
      <c r="M114" s="117">
        <v>0</v>
      </c>
      <c r="N114" s="267" t="s">
        <v>488</v>
      </c>
      <c r="O114" s="117">
        <v>0</v>
      </c>
      <c r="P114" s="267" t="s">
        <v>488</v>
      </c>
    </row>
    <row r="115" spans="1:16" x14ac:dyDescent="0.25">
      <c r="A115" s="117">
        <v>540090</v>
      </c>
      <c r="B115" s="2" t="s">
        <v>182</v>
      </c>
      <c r="C115" s="2" t="s">
        <v>43</v>
      </c>
      <c r="D115" s="2" t="s">
        <v>115</v>
      </c>
      <c r="E115" s="117">
        <v>2</v>
      </c>
      <c r="F115" s="117">
        <v>0.7</v>
      </c>
      <c r="G115" s="117">
        <v>0</v>
      </c>
      <c r="H115" s="117">
        <v>0</v>
      </c>
      <c r="I115" s="267" t="s">
        <v>488</v>
      </c>
      <c r="J115" s="267">
        <v>0</v>
      </c>
      <c r="K115" s="117">
        <v>0</v>
      </c>
      <c r="L115" s="267" t="s">
        <v>488</v>
      </c>
      <c r="M115" s="117">
        <v>0</v>
      </c>
      <c r="N115" s="267" t="s">
        <v>488</v>
      </c>
      <c r="O115" s="117">
        <v>0</v>
      </c>
      <c r="P115" s="267" t="s">
        <v>488</v>
      </c>
    </row>
    <row r="116" spans="1:16" x14ac:dyDescent="0.25">
      <c r="A116" s="269"/>
      <c r="B116" s="269"/>
      <c r="C116" s="269" t="s">
        <v>43</v>
      </c>
      <c r="D116" s="269"/>
      <c r="E116" s="269"/>
      <c r="F116" s="270">
        <v>42.3</v>
      </c>
      <c r="G116" s="270">
        <v>9.5</v>
      </c>
      <c r="H116" s="270">
        <v>0</v>
      </c>
      <c r="I116" s="271">
        <v>0</v>
      </c>
      <c r="J116" s="271">
        <v>0</v>
      </c>
      <c r="K116" s="270">
        <v>0</v>
      </c>
      <c r="L116" s="271" t="s">
        <v>488</v>
      </c>
      <c r="M116" s="270">
        <v>0</v>
      </c>
      <c r="N116" s="271"/>
      <c r="O116" s="270">
        <v>0</v>
      </c>
      <c r="P116" s="271"/>
    </row>
    <row r="117" spans="1:16" x14ac:dyDescent="0.25">
      <c r="A117" s="117">
        <v>540097</v>
      </c>
      <c r="B117" s="2" t="s">
        <v>44</v>
      </c>
      <c r="C117" s="2" t="s">
        <v>45</v>
      </c>
      <c r="D117" s="2" t="s">
        <v>5</v>
      </c>
      <c r="E117" s="117">
        <v>6</v>
      </c>
      <c r="F117" s="117">
        <v>38.5</v>
      </c>
      <c r="G117" s="117">
        <v>7.9</v>
      </c>
      <c r="H117" s="117">
        <v>6.1</v>
      </c>
      <c r="I117" s="267">
        <v>0.7722</v>
      </c>
      <c r="J117" s="267">
        <v>0.15840000000000001</v>
      </c>
      <c r="K117" s="117">
        <v>6</v>
      </c>
      <c r="L117" s="267">
        <v>0.98360000000000003</v>
      </c>
      <c r="M117" s="117">
        <v>0</v>
      </c>
      <c r="N117" s="267">
        <v>0</v>
      </c>
      <c r="O117" s="117">
        <v>0.1</v>
      </c>
      <c r="P117" s="267">
        <v>1.6400000000000001E-2</v>
      </c>
    </row>
    <row r="118" spans="1:16" x14ac:dyDescent="0.25">
      <c r="A118" s="117">
        <v>540098</v>
      </c>
      <c r="B118" s="2" t="s">
        <v>187</v>
      </c>
      <c r="C118" s="2" t="s">
        <v>45</v>
      </c>
      <c r="D118" s="2" t="s">
        <v>115</v>
      </c>
      <c r="E118" s="117">
        <v>6</v>
      </c>
      <c r="F118" s="117">
        <v>0</v>
      </c>
      <c r="G118" s="117">
        <v>0</v>
      </c>
      <c r="H118" s="117">
        <v>0</v>
      </c>
      <c r="I118" s="267" t="s">
        <v>488</v>
      </c>
      <c r="J118" s="267" t="s">
        <v>488</v>
      </c>
      <c r="K118" s="117">
        <v>0</v>
      </c>
      <c r="L118" s="267" t="s">
        <v>488</v>
      </c>
      <c r="M118" s="117">
        <v>0</v>
      </c>
      <c r="N118" s="267" t="s">
        <v>488</v>
      </c>
      <c r="O118" s="117">
        <v>0</v>
      </c>
      <c r="P118" s="267" t="s">
        <v>488</v>
      </c>
    </row>
    <row r="119" spans="1:16" x14ac:dyDescent="0.25">
      <c r="A119" s="117">
        <v>540099</v>
      </c>
      <c r="B119" s="2" t="s">
        <v>188</v>
      </c>
      <c r="C119" s="2" t="s">
        <v>45</v>
      </c>
      <c r="D119" s="2" t="s">
        <v>115</v>
      </c>
      <c r="E119" s="117">
        <v>6</v>
      </c>
      <c r="F119" s="117">
        <v>4.3</v>
      </c>
      <c r="G119" s="117">
        <v>0.3</v>
      </c>
      <c r="H119" s="117">
        <v>0.2</v>
      </c>
      <c r="I119" s="267">
        <v>0.66669999999999996</v>
      </c>
      <c r="J119" s="267">
        <v>4.65E-2</v>
      </c>
      <c r="K119" s="117">
        <v>0.1</v>
      </c>
      <c r="L119" s="267">
        <v>0.5</v>
      </c>
      <c r="M119" s="117">
        <v>0</v>
      </c>
      <c r="N119" s="267">
        <v>0</v>
      </c>
      <c r="O119" s="117">
        <v>0.1</v>
      </c>
      <c r="P119" s="267">
        <v>0.5</v>
      </c>
    </row>
    <row r="120" spans="1:16" x14ac:dyDescent="0.25">
      <c r="A120" s="117">
        <v>540100</v>
      </c>
      <c r="B120" s="2" t="s">
        <v>189</v>
      </c>
      <c r="C120" s="2" t="s">
        <v>45</v>
      </c>
      <c r="D120" s="2" t="s">
        <v>115</v>
      </c>
      <c r="E120" s="117">
        <v>6</v>
      </c>
      <c r="F120" s="117">
        <v>0.6</v>
      </c>
      <c r="G120" s="117">
        <v>0.1</v>
      </c>
      <c r="H120" s="117">
        <v>0.1</v>
      </c>
      <c r="I120" s="267">
        <v>1</v>
      </c>
      <c r="J120" s="267">
        <v>0.16669999999999999</v>
      </c>
      <c r="K120" s="117">
        <v>0.1</v>
      </c>
      <c r="L120" s="267">
        <v>1</v>
      </c>
      <c r="M120" s="117">
        <v>0</v>
      </c>
      <c r="N120" s="267">
        <v>0</v>
      </c>
      <c r="O120" s="117">
        <v>0</v>
      </c>
      <c r="P120" s="267">
        <v>0</v>
      </c>
    </row>
    <row r="121" spans="1:16" x14ac:dyDescent="0.25">
      <c r="A121" s="117">
        <v>540101</v>
      </c>
      <c r="B121" s="2" t="s">
        <v>190</v>
      </c>
      <c r="C121" s="2" t="s">
        <v>45</v>
      </c>
      <c r="D121" s="2" t="s">
        <v>115</v>
      </c>
      <c r="E121" s="117">
        <v>6</v>
      </c>
      <c r="F121" s="117">
        <v>0</v>
      </c>
      <c r="G121" s="117">
        <v>0</v>
      </c>
      <c r="H121" s="117">
        <v>0</v>
      </c>
      <c r="I121" s="267" t="s">
        <v>488</v>
      </c>
      <c r="J121" s="267" t="s">
        <v>488</v>
      </c>
      <c r="K121" s="117">
        <v>0</v>
      </c>
      <c r="L121" s="267" t="s">
        <v>488</v>
      </c>
      <c r="M121" s="117">
        <v>0</v>
      </c>
      <c r="N121" s="267" t="s">
        <v>488</v>
      </c>
      <c r="O121" s="117">
        <v>0</v>
      </c>
      <c r="P121" s="267" t="s">
        <v>488</v>
      </c>
    </row>
    <row r="122" spans="1:16" x14ac:dyDescent="0.25">
      <c r="A122" s="117">
        <v>540102</v>
      </c>
      <c r="B122" s="2" t="s">
        <v>191</v>
      </c>
      <c r="C122" s="2" t="s">
        <v>45</v>
      </c>
      <c r="D122" s="2" t="s">
        <v>115</v>
      </c>
      <c r="E122" s="117">
        <v>6</v>
      </c>
      <c r="F122" s="117">
        <v>1</v>
      </c>
      <c r="G122" s="117">
        <v>0.9</v>
      </c>
      <c r="H122" s="117">
        <v>0.9</v>
      </c>
      <c r="I122" s="267">
        <v>1</v>
      </c>
      <c r="J122" s="267">
        <v>0.9</v>
      </c>
      <c r="K122" s="117">
        <v>0.9</v>
      </c>
      <c r="L122" s="267">
        <v>1</v>
      </c>
      <c r="M122" s="117">
        <v>0</v>
      </c>
      <c r="N122" s="267">
        <v>0</v>
      </c>
      <c r="O122" s="117">
        <v>0</v>
      </c>
      <c r="P122" s="267">
        <v>0</v>
      </c>
    </row>
    <row r="123" spans="1:16" x14ac:dyDescent="0.25">
      <c r="A123" s="117">
        <v>540103</v>
      </c>
      <c r="B123" s="2" t="s">
        <v>192</v>
      </c>
      <c r="C123" s="2" t="s">
        <v>45</v>
      </c>
      <c r="D123" s="2" t="s">
        <v>115</v>
      </c>
      <c r="E123" s="117">
        <v>6</v>
      </c>
      <c r="F123" s="117">
        <v>0</v>
      </c>
      <c r="G123" s="117">
        <v>0</v>
      </c>
      <c r="H123" s="117">
        <v>0</v>
      </c>
      <c r="I123" s="267" t="s">
        <v>488</v>
      </c>
      <c r="J123" s="267" t="s">
        <v>488</v>
      </c>
      <c r="K123" s="117">
        <v>0</v>
      </c>
      <c r="L123" s="267" t="s">
        <v>488</v>
      </c>
      <c r="M123" s="117">
        <v>0</v>
      </c>
      <c r="N123" s="267" t="s">
        <v>488</v>
      </c>
      <c r="O123" s="117">
        <v>0</v>
      </c>
      <c r="P123" s="267" t="s">
        <v>488</v>
      </c>
    </row>
    <row r="124" spans="1:16" x14ac:dyDescent="0.25">
      <c r="A124" s="117">
        <v>540104</v>
      </c>
      <c r="B124" s="2" t="s">
        <v>193</v>
      </c>
      <c r="C124" s="2" t="s">
        <v>45</v>
      </c>
      <c r="D124" s="2" t="s">
        <v>115</v>
      </c>
      <c r="E124" s="117">
        <v>6</v>
      </c>
      <c r="F124" s="117">
        <v>1.2</v>
      </c>
      <c r="G124" s="117">
        <v>0.5</v>
      </c>
      <c r="H124" s="117">
        <v>0</v>
      </c>
      <c r="I124" s="267">
        <v>0</v>
      </c>
      <c r="J124" s="267">
        <v>0</v>
      </c>
      <c r="K124" s="117">
        <v>0</v>
      </c>
      <c r="L124" s="267" t="s">
        <v>488</v>
      </c>
      <c r="M124" s="117">
        <v>0</v>
      </c>
      <c r="N124" s="267" t="s">
        <v>488</v>
      </c>
      <c r="O124" s="117">
        <v>0</v>
      </c>
      <c r="P124" s="267" t="s">
        <v>488</v>
      </c>
    </row>
    <row r="125" spans="1:16" x14ac:dyDescent="0.25">
      <c r="A125" s="117">
        <v>540105</v>
      </c>
      <c r="B125" s="2" t="s">
        <v>194</v>
      </c>
      <c r="C125" s="2" t="s">
        <v>45</v>
      </c>
      <c r="D125" s="2" t="s">
        <v>115</v>
      </c>
      <c r="E125" s="117">
        <v>6</v>
      </c>
      <c r="F125" s="117">
        <v>2</v>
      </c>
      <c r="G125" s="117">
        <v>0.1</v>
      </c>
      <c r="H125" s="117">
        <v>0.1</v>
      </c>
      <c r="I125" s="267">
        <v>1</v>
      </c>
      <c r="J125" s="267">
        <v>0.05</v>
      </c>
      <c r="K125" s="117">
        <v>0.1</v>
      </c>
      <c r="L125" s="267">
        <v>1</v>
      </c>
      <c r="M125" s="117">
        <v>0</v>
      </c>
      <c r="N125" s="267">
        <v>0</v>
      </c>
      <c r="O125" s="117">
        <v>0</v>
      </c>
      <c r="P125" s="267">
        <v>0</v>
      </c>
    </row>
    <row r="126" spans="1:16" x14ac:dyDescent="0.25">
      <c r="A126" s="117">
        <v>540106</v>
      </c>
      <c r="B126" s="2" t="s">
        <v>195</v>
      </c>
      <c r="C126" s="2" t="s">
        <v>45</v>
      </c>
      <c r="D126" s="2" t="s">
        <v>115</v>
      </c>
      <c r="E126" s="117">
        <v>6</v>
      </c>
      <c r="F126" s="117">
        <v>0.3</v>
      </c>
      <c r="G126" s="117">
        <v>0</v>
      </c>
      <c r="H126" s="117">
        <v>0</v>
      </c>
      <c r="I126" s="267" t="s">
        <v>488</v>
      </c>
      <c r="J126" s="267">
        <v>0</v>
      </c>
      <c r="K126" s="117">
        <v>0</v>
      </c>
      <c r="L126" s="267" t="s">
        <v>488</v>
      </c>
      <c r="M126" s="117">
        <v>0</v>
      </c>
      <c r="N126" s="267" t="s">
        <v>488</v>
      </c>
      <c r="O126" s="117">
        <v>0</v>
      </c>
      <c r="P126" s="267" t="s">
        <v>488</v>
      </c>
    </row>
    <row r="127" spans="1:16" x14ac:dyDescent="0.25">
      <c r="A127" s="117">
        <v>540292</v>
      </c>
      <c r="B127" s="2" t="s">
        <v>329</v>
      </c>
      <c r="C127" s="2" t="s">
        <v>45</v>
      </c>
      <c r="D127" s="2" t="s">
        <v>115</v>
      </c>
      <c r="E127" s="117">
        <v>6</v>
      </c>
      <c r="F127" s="117">
        <v>4.7</v>
      </c>
      <c r="G127" s="117">
        <v>0.5</v>
      </c>
      <c r="H127" s="117">
        <v>0.1</v>
      </c>
      <c r="I127" s="267">
        <v>0.2</v>
      </c>
      <c r="J127" s="267">
        <v>2.1299999999999999E-2</v>
      </c>
      <c r="K127" s="117">
        <v>0</v>
      </c>
      <c r="L127" s="267">
        <v>0</v>
      </c>
      <c r="M127" s="117">
        <v>0</v>
      </c>
      <c r="N127" s="267">
        <v>0</v>
      </c>
      <c r="O127" s="117">
        <v>0.1</v>
      </c>
      <c r="P127" s="267">
        <v>1</v>
      </c>
    </row>
    <row r="128" spans="1:16" x14ac:dyDescent="0.25">
      <c r="A128" s="117">
        <v>545556</v>
      </c>
      <c r="B128" s="2" t="s">
        <v>337</v>
      </c>
      <c r="C128" s="2" t="s">
        <v>45</v>
      </c>
      <c r="D128" s="2" t="s">
        <v>115</v>
      </c>
      <c r="E128" s="117">
        <v>6</v>
      </c>
      <c r="F128" s="117">
        <v>0</v>
      </c>
      <c r="G128" s="117">
        <v>0</v>
      </c>
      <c r="H128" s="117">
        <v>0</v>
      </c>
      <c r="I128" s="267" t="s">
        <v>488</v>
      </c>
      <c r="J128" s="267" t="s">
        <v>488</v>
      </c>
      <c r="K128" s="117">
        <v>0</v>
      </c>
      <c r="L128" s="267" t="s">
        <v>488</v>
      </c>
      <c r="M128" s="117">
        <v>0</v>
      </c>
      <c r="N128" s="267" t="s">
        <v>488</v>
      </c>
      <c r="O128" s="117">
        <v>0</v>
      </c>
      <c r="P128" s="267" t="s">
        <v>488</v>
      </c>
    </row>
    <row r="129" spans="1:16" x14ac:dyDescent="0.25">
      <c r="A129" s="269"/>
      <c r="B129" s="269"/>
      <c r="C129" s="269" t="s">
        <v>45</v>
      </c>
      <c r="D129" s="269"/>
      <c r="E129" s="269"/>
      <c r="F129" s="270">
        <v>52.6</v>
      </c>
      <c r="G129" s="270">
        <v>10.3</v>
      </c>
      <c r="H129" s="270">
        <v>7.5</v>
      </c>
      <c r="I129" s="271">
        <v>0.72819999999999996</v>
      </c>
      <c r="J129" s="271">
        <v>0.1426</v>
      </c>
      <c r="K129" s="270">
        <v>7.2</v>
      </c>
      <c r="L129" s="271">
        <v>0.96</v>
      </c>
      <c r="M129" s="270">
        <v>0</v>
      </c>
      <c r="N129" s="271">
        <v>0</v>
      </c>
      <c r="O129" s="270">
        <v>0.3</v>
      </c>
      <c r="P129" s="271">
        <v>0.04</v>
      </c>
    </row>
    <row r="130" spans="1:16" x14ac:dyDescent="0.25">
      <c r="A130" s="117">
        <v>540107</v>
      </c>
      <c r="B130" s="2" t="s">
        <v>46</v>
      </c>
      <c r="C130" s="2" t="s">
        <v>47</v>
      </c>
      <c r="D130" s="2" t="s">
        <v>5</v>
      </c>
      <c r="E130" s="117">
        <v>10</v>
      </c>
      <c r="F130" s="117">
        <v>21.2</v>
      </c>
      <c r="G130" s="117">
        <v>14.8</v>
      </c>
      <c r="H130" s="117">
        <v>0</v>
      </c>
      <c r="I130" s="267">
        <v>0</v>
      </c>
      <c r="J130" s="267">
        <v>0</v>
      </c>
      <c r="K130" s="117">
        <v>0</v>
      </c>
      <c r="L130" s="267" t="s">
        <v>488</v>
      </c>
      <c r="M130" s="117">
        <v>0</v>
      </c>
      <c r="N130" s="267" t="s">
        <v>488</v>
      </c>
      <c r="O130" s="117">
        <v>0</v>
      </c>
      <c r="P130" s="267" t="s">
        <v>488</v>
      </c>
    </row>
    <row r="131" spans="1:16" x14ac:dyDescent="0.25">
      <c r="A131" s="117">
        <v>540108</v>
      </c>
      <c r="B131" s="2" t="s">
        <v>196</v>
      </c>
      <c r="C131" s="2" t="s">
        <v>47</v>
      </c>
      <c r="D131" s="2" t="s">
        <v>115</v>
      </c>
      <c r="E131" s="117">
        <v>10</v>
      </c>
      <c r="F131" s="117">
        <v>2.7</v>
      </c>
      <c r="G131" s="117">
        <v>0.3</v>
      </c>
      <c r="H131" s="117">
        <v>0</v>
      </c>
      <c r="I131" s="267">
        <v>0</v>
      </c>
      <c r="J131" s="267">
        <v>0</v>
      </c>
      <c r="K131" s="117">
        <v>0</v>
      </c>
      <c r="L131" s="267" t="s">
        <v>488</v>
      </c>
      <c r="M131" s="117">
        <v>0</v>
      </c>
      <c r="N131" s="267" t="s">
        <v>488</v>
      </c>
      <c r="O131" s="117">
        <v>0</v>
      </c>
      <c r="P131" s="267" t="s">
        <v>488</v>
      </c>
    </row>
    <row r="132" spans="1:16" x14ac:dyDescent="0.25">
      <c r="A132" s="117">
        <v>540109</v>
      </c>
      <c r="B132" s="2" t="s">
        <v>197</v>
      </c>
      <c r="C132" s="2" t="s">
        <v>47</v>
      </c>
      <c r="D132" s="2" t="s">
        <v>115</v>
      </c>
      <c r="E132" s="117">
        <v>10</v>
      </c>
      <c r="F132" s="117">
        <v>2.8</v>
      </c>
      <c r="G132" s="117">
        <v>1.1000000000000001</v>
      </c>
      <c r="H132" s="117">
        <v>0</v>
      </c>
      <c r="I132" s="267">
        <v>0</v>
      </c>
      <c r="J132" s="267">
        <v>0</v>
      </c>
      <c r="K132" s="117">
        <v>0</v>
      </c>
      <c r="L132" s="267" t="s">
        <v>488</v>
      </c>
      <c r="M132" s="117">
        <v>0</v>
      </c>
      <c r="N132" s="267" t="s">
        <v>488</v>
      </c>
      <c r="O132" s="117">
        <v>0</v>
      </c>
      <c r="P132" s="267" t="s">
        <v>488</v>
      </c>
    </row>
    <row r="133" spans="1:16" x14ac:dyDescent="0.25">
      <c r="A133" s="117">
        <v>540110</v>
      </c>
      <c r="B133" s="2" t="s">
        <v>198</v>
      </c>
      <c r="C133" s="2" t="s">
        <v>47</v>
      </c>
      <c r="D133" s="2" t="s">
        <v>115</v>
      </c>
      <c r="E133" s="117">
        <v>10</v>
      </c>
      <c r="F133" s="117">
        <v>1.4</v>
      </c>
      <c r="G133" s="117">
        <v>0</v>
      </c>
      <c r="H133" s="117">
        <v>0</v>
      </c>
      <c r="I133" s="267" t="s">
        <v>488</v>
      </c>
      <c r="J133" s="267">
        <v>0</v>
      </c>
      <c r="K133" s="117">
        <v>0</v>
      </c>
      <c r="L133" s="267" t="s">
        <v>488</v>
      </c>
      <c r="M133" s="117">
        <v>0</v>
      </c>
      <c r="N133" s="267" t="s">
        <v>488</v>
      </c>
      <c r="O133" s="117">
        <v>0</v>
      </c>
      <c r="P133" s="267" t="s">
        <v>488</v>
      </c>
    </row>
    <row r="134" spans="1:16" x14ac:dyDescent="0.25">
      <c r="A134" s="117">
        <v>540111</v>
      </c>
      <c r="B134" s="2" t="s">
        <v>199</v>
      </c>
      <c r="C134" s="2" t="s">
        <v>47</v>
      </c>
      <c r="D134" s="2" t="s">
        <v>115</v>
      </c>
      <c r="E134" s="117">
        <v>10</v>
      </c>
      <c r="F134" s="117">
        <v>3.4</v>
      </c>
      <c r="G134" s="117">
        <v>2.8</v>
      </c>
      <c r="H134" s="117">
        <v>0</v>
      </c>
      <c r="I134" s="267">
        <v>0</v>
      </c>
      <c r="J134" s="267">
        <v>0</v>
      </c>
      <c r="K134" s="117">
        <v>0</v>
      </c>
      <c r="L134" s="267" t="s">
        <v>488</v>
      </c>
      <c r="M134" s="117">
        <v>0</v>
      </c>
      <c r="N134" s="267" t="s">
        <v>488</v>
      </c>
      <c r="O134" s="117">
        <v>0</v>
      </c>
      <c r="P134" s="267" t="s">
        <v>488</v>
      </c>
    </row>
    <row r="135" spans="1:16" x14ac:dyDescent="0.25">
      <c r="A135" s="117">
        <v>540287</v>
      </c>
      <c r="B135" s="2" t="s">
        <v>326</v>
      </c>
      <c r="C135" s="2" t="s">
        <v>47</v>
      </c>
      <c r="D135" s="2" t="s">
        <v>115</v>
      </c>
      <c r="E135" s="117">
        <v>10</v>
      </c>
      <c r="F135" s="117">
        <v>0</v>
      </c>
      <c r="G135" s="117">
        <v>0</v>
      </c>
      <c r="H135" s="117">
        <v>0</v>
      </c>
      <c r="I135" s="267" t="s">
        <v>488</v>
      </c>
      <c r="J135" s="267" t="s">
        <v>488</v>
      </c>
      <c r="K135" s="117">
        <v>0</v>
      </c>
      <c r="L135" s="267" t="s">
        <v>488</v>
      </c>
      <c r="M135" s="117">
        <v>0</v>
      </c>
      <c r="N135" s="267" t="s">
        <v>488</v>
      </c>
      <c r="O135" s="117">
        <v>0</v>
      </c>
      <c r="P135" s="267" t="s">
        <v>488</v>
      </c>
    </row>
    <row r="136" spans="1:16" x14ac:dyDescent="0.25">
      <c r="A136" s="117">
        <v>540152</v>
      </c>
      <c r="B136" s="2" t="s">
        <v>229</v>
      </c>
      <c r="C136" s="2" t="s">
        <v>47</v>
      </c>
      <c r="D136" s="2" t="s">
        <v>115</v>
      </c>
      <c r="E136" s="117">
        <v>10</v>
      </c>
      <c r="F136" s="117">
        <v>0.1</v>
      </c>
      <c r="G136" s="117">
        <v>0.1</v>
      </c>
      <c r="H136" s="117">
        <v>0</v>
      </c>
      <c r="I136" s="267">
        <v>0</v>
      </c>
      <c r="J136" s="267">
        <v>0</v>
      </c>
      <c r="K136" s="117">
        <v>0</v>
      </c>
      <c r="L136" s="267" t="s">
        <v>488</v>
      </c>
      <c r="M136" s="117">
        <v>0</v>
      </c>
      <c r="N136" s="267" t="s">
        <v>488</v>
      </c>
      <c r="O136" s="117">
        <v>0</v>
      </c>
      <c r="P136" s="267" t="s">
        <v>488</v>
      </c>
    </row>
    <row r="137" spans="1:16" x14ac:dyDescent="0.25">
      <c r="A137" s="269"/>
      <c r="B137" s="269"/>
      <c r="C137" s="269" t="s">
        <v>47</v>
      </c>
      <c r="D137" s="269"/>
      <c r="E137" s="269"/>
      <c r="F137" s="270">
        <v>31.6</v>
      </c>
      <c r="G137" s="270">
        <v>19.100000000000001</v>
      </c>
      <c r="H137" s="270">
        <v>0</v>
      </c>
      <c r="I137" s="271">
        <v>0</v>
      </c>
      <c r="J137" s="271">
        <v>0</v>
      </c>
      <c r="K137" s="270">
        <v>0</v>
      </c>
      <c r="L137" s="271" t="s">
        <v>488</v>
      </c>
      <c r="M137" s="270">
        <v>0</v>
      </c>
      <c r="N137" s="271"/>
      <c r="O137" s="270">
        <v>0</v>
      </c>
      <c r="P137" s="271"/>
    </row>
    <row r="138" spans="1:16" x14ac:dyDescent="0.25">
      <c r="A138" s="117">
        <v>540112</v>
      </c>
      <c r="B138" s="2" t="s">
        <v>48</v>
      </c>
      <c r="C138" s="2" t="s">
        <v>49</v>
      </c>
      <c r="D138" s="2" t="s">
        <v>5</v>
      </c>
      <c r="E138" s="117">
        <v>2</v>
      </c>
      <c r="F138" s="117">
        <v>68.8</v>
      </c>
      <c r="G138" s="117">
        <v>41.4</v>
      </c>
      <c r="H138" s="117">
        <v>0</v>
      </c>
      <c r="I138" s="267">
        <v>0</v>
      </c>
      <c r="J138" s="267">
        <v>0</v>
      </c>
      <c r="K138" s="117">
        <v>0</v>
      </c>
      <c r="L138" s="267" t="s">
        <v>488</v>
      </c>
      <c r="M138" s="117">
        <v>0</v>
      </c>
      <c r="N138" s="267" t="s">
        <v>488</v>
      </c>
      <c r="O138" s="117">
        <v>0</v>
      </c>
      <c r="P138" s="267" t="s">
        <v>488</v>
      </c>
    </row>
    <row r="139" spans="1:16" x14ac:dyDescent="0.25">
      <c r="A139" s="117">
        <v>540113</v>
      </c>
      <c r="B139" s="2" t="s">
        <v>200</v>
      </c>
      <c r="C139" s="2" t="s">
        <v>49</v>
      </c>
      <c r="D139" s="2" t="s">
        <v>115</v>
      </c>
      <c r="E139" s="117">
        <v>2</v>
      </c>
      <c r="F139" s="117">
        <v>0.7</v>
      </c>
      <c r="G139" s="117">
        <v>0</v>
      </c>
      <c r="H139" s="117">
        <v>0</v>
      </c>
      <c r="I139" s="267" t="s">
        <v>488</v>
      </c>
      <c r="J139" s="267">
        <v>0</v>
      </c>
      <c r="K139" s="117">
        <v>0</v>
      </c>
      <c r="L139" s="267" t="s">
        <v>488</v>
      </c>
      <c r="M139" s="117">
        <v>0</v>
      </c>
      <c r="N139" s="267" t="s">
        <v>488</v>
      </c>
      <c r="O139" s="117">
        <v>0</v>
      </c>
      <c r="P139" s="267" t="s">
        <v>488</v>
      </c>
    </row>
    <row r="140" spans="1:16" x14ac:dyDescent="0.25">
      <c r="A140" s="117">
        <v>540247</v>
      </c>
      <c r="B140" s="2" t="s">
        <v>293</v>
      </c>
      <c r="C140" s="2" t="s">
        <v>49</v>
      </c>
      <c r="D140" s="2" t="s">
        <v>115</v>
      </c>
      <c r="E140" s="117">
        <v>2</v>
      </c>
      <c r="F140" s="117">
        <v>1.8</v>
      </c>
      <c r="G140" s="117">
        <v>1</v>
      </c>
      <c r="H140" s="117">
        <v>0</v>
      </c>
      <c r="I140" s="267">
        <v>0</v>
      </c>
      <c r="J140" s="267">
        <v>0</v>
      </c>
      <c r="K140" s="117">
        <v>0</v>
      </c>
      <c r="L140" s="267" t="s">
        <v>488</v>
      </c>
      <c r="M140" s="117">
        <v>0</v>
      </c>
      <c r="N140" s="267" t="s">
        <v>488</v>
      </c>
      <c r="O140" s="117">
        <v>0</v>
      </c>
      <c r="P140" s="267" t="s">
        <v>488</v>
      </c>
    </row>
    <row r="141" spans="1:16" x14ac:dyDescent="0.25">
      <c r="A141" s="117">
        <v>540248</v>
      </c>
      <c r="B141" s="2" t="s">
        <v>294</v>
      </c>
      <c r="C141" s="2" t="s">
        <v>49</v>
      </c>
      <c r="D141" s="2" t="s">
        <v>115</v>
      </c>
      <c r="E141" s="117">
        <v>2</v>
      </c>
      <c r="F141" s="117">
        <v>1.4</v>
      </c>
      <c r="G141" s="117">
        <v>0.9</v>
      </c>
      <c r="H141" s="117">
        <v>0</v>
      </c>
      <c r="I141" s="267">
        <v>0</v>
      </c>
      <c r="J141" s="267">
        <v>0</v>
      </c>
      <c r="K141" s="117">
        <v>0</v>
      </c>
      <c r="L141" s="267" t="s">
        <v>488</v>
      </c>
      <c r="M141" s="117">
        <v>0</v>
      </c>
      <c r="N141" s="267" t="s">
        <v>488</v>
      </c>
      <c r="O141" s="117">
        <v>0</v>
      </c>
      <c r="P141" s="267" t="s">
        <v>488</v>
      </c>
    </row>
    <row r="142" spans="1:16" x14ac:dyDescent="0.25">
      <c r="A142" s="117">
        <v>540249</v>
      </c>
      <c r="B142" s="2" t="s">
        <v>295</v>
      </c>
      <c r="C142" s="2" t="s">
        <v>49</v>
      </c>
      <c r="D142" s="2" t="s">
        <v>115</v>
      </c>
      <c r="E142" s="117">
        <v>2</v>
      </c>
      <c r="F142" s="117">
        <v>1.5</v>
      </c>
      <c r="G142" s="117">
        <v>0.4</v>
      </c>
      <c r="H142" s="117">
        <v>0</v>
      </c>
      <c r="I142" s="267">
        <v>0</v>
      </c>
      <c r="J142" s="267">
        <v>0</v>
      </c>
      <c r="K142" s="117">
        <v>0</v>
      </c>
      <c r="L142" s="267" t="s">
        <v>488</v>
      </c>
      <c r="M142" s="117">
        <v>0</v>
      </c>
      <c r="N142" s="267" t="s">
        <v>488</v>
      </c>
      <c r="O142" s="117">
        <v>0</v>
      </c>
      <c r="P142" s="267" t="s">
        <v>488</v>
      </c>
    </row>
    <row r="143" spans="1:16" x14ac:dyDescent="0.25">
      <c r="A143" s="117">
        <v>540250</v>
      </c>
      <c r="B143" s="2" t="s">
        <v>296</v>
      </c>
      <c r="C143" s="2" t="s">
        <v>49</v>
      </c>
      <c r="D143" s="2" t="s">
        <v>115</v>
      </c>
      <c r="E143" s="117">
        <v>2</v>
      </c>
      <c r="F143" s="117">
        <v>6</v>
      </c>
      <c r="G143" s="117">
        <v>0.6</v>
      </c>
      <c r="H143" s="117">
        <v>0</v>
      </c>
      <c r="I143" s="267">
        <v>0</v>
      </c>
      <c r="J143" s="267">
        <v>0</v>
      </c>
      <c r="K143" s="117">
        <v>0</v>
      </c>
      <c r="L143" s="267" t="s">
        <v>488</v>
      </c>
      <c r="M143" s="117">
        <v>0</v>
      </c>
      <c r="N143" s="267" t="s">
        <v>488</v>
      </c>
      <c r="O143" s="117">
        <v>0</v>
      </c>
      <c r="P143" s="267" t="s">
        <v>488</v>
      </c>
    </row>
    <row r="144" spans="1:16" x14ac:dyDescent="0.25">
      <c r="A144" s="117">
        <v>540251</v>
      </c>
      <c r="B144" s="2" t="s">
        <v>297</v>
      </c>
      <c r="C144" s="2" t="s">
        <v>49</v>
      </c>
      <c r="D144" s="2" t="s">
        <v>115</v>
      </c>
      <c r="E144" s="117">
        <v>2</v>
      </c>
      <c r="F144" s="117">
        <v>0.6</v>
      </c>
      <c r="G144" s="117">
        <v>0.2</v>
      </c>
      <c r="H144" s="117">
        <v>0</v>
      </c>
      <c r="I144" s="267">
        <v>0</v>
      </c>
      <c r="J144" s="267">
        <v>0</v>
      </c>
      <c r="K144" s="117">
        <v>0</v>
      </c>
      <c r="L144" s="267" t="s">
        <v>488</v>
      </c>
      <c r="M144" s="117">
        <v>0</v>
      </c>
      <c r="N144" s="267" t="s">
        <v>488</v>
      </c>
      <c r="O144" s="117">
        <v>0</v>
      </c>
      <c r="P144" s="267" t="s">
        <v>488</v>
      </c>
    </row>
    <row r="145" spans="1:16" x14ac:dyDescent="0.25">
      <c r="A145" s="269"/>
      <c r="B145" s="269"/>
      <c r="C145" s="269" t="s">
        <v>49</v>
      </c>
      <c r="D145" s="269"/>
      <c r="E145" s="269"/>
      <c r="F145" s="270">
        <v>80.8</v>
      </c>
      <c r="G145" s="270">
        <v>44.5</v>
      </c>
      <c r="H145" s="270">
        <v>0</v>
      </c>
      <c r="I145" s="271">
        <v>0</v>
      </c>
      <c r="J145" s="271">
        <v>0</v>
      </c>
      <c r="K145" s="270">
        <v>0</v>
      </c>
      <c r="L145" s="271" t="s">
        <v>488</v>
      </c>
      <c r="M145" s="270">
        <v>0</v>
      </c>
      <c r="N145" s="271"/>
      <c r="O145" s="270">
        <v>0</v>
      </c>
      <c r="P145" s="271"/>
    </row>
    <row r="146" spans="1:16" x14ac:dyDescent="0.25">
      <c r="A146" s="117">
        <v>540114</v>
      </c>
      <c r="B146" s="2" t="s">
        <v>50</v>
      </c>
      <c r="C146" s="2" t="s">
        <v>51</v>
      </c>
      <c r="D146" s="2" t="s">
        <v>5</v>
      </c>
      <c r="E146" s="117">
        <v>1</v>
      </c>
      <c r="F146" s="117">
        <v>111</v>
      </c>
      <c r="G146" s="117">
        <v>14.8</v>
      </c>
      <c r="H146" s="117">
        <v>11.1</v>
      </c>
      <c r="I146" s="267">
        <v>0.75</v>
      </c>
      <c r="J146" s="267">
        <v>0.1</v>
      </c>
      <c r="K146" s="117">
        <v>2.6</v>
      </c>
      <c r="L146" s="267">
        <v>0.23419999999999999</v>
      </c>
      <c r="M146" s="117">
        <v>3.8</v>
      </c>
      <c r="N146" s="267">
        <v>0.34229999999999999</v>
      </c>
      <c r="O146" s="117">
        <v>4.7</v>
      </c>
      <c r="P146" s="267">
        <v>0.4234</v>
      </c>
    </row>
    <row r="147" spans="1:16" x14ac:dyDescent="0.25">
      <c r="A147" s="117">
        <v>540115</v>
      </c>
      <c r="B147" s="2" t="s">
        <v>201</v>
      </c>
      <c r="C147" s="2" t="s">
        <v>51</v>
      </c>
      <c r="D147" s="2" t="s">
        <v>115</v>
      </c>
      <c r="E147" s="117">
        <v>1</v>
      </c>
      <c r="F147" s="117">
        <v>1.7</v>
      </c>
      <c r="G147" s="117">
        <v>0.4</v>
      </c>
      <c r="H147" s="117">
        <v>0.3</v>
      </c>
      <c r="I147" s="267">
        <v>0.75</v>
      </c>
      <c r="J147" s="267">
        <v>0.17649999999999999</v>
      </c>
      <c r="K147" s="117">
        <v>0.2</v>
      </c>
      <c r="L147" s="267">
        <v>0.66669999999999996</v>
      </c>
      <c r="M147" s="117">
        <v>0</v>
      </c>
      <c r="N147" s="267">
        <v>0</v>
      </c>
      <c r="O147" s="117">
        <v>0.1</v>
      </c>
      <c r="P147" s="267">
        <v>0.33329999999999999</v>
      </c>
    </row>
    <row r="148" spans="1:16" x14ac:dyDescent="0.25">
      <c r="A148" s="117">
        <v>540116</v>
      </c>
      <c r="B148" s="2" t="s">
        <v>202</v>
      </c>
      <c r="C148" s="2" t="s">
        <v>51</v>
      </c>
      <c r="D148" s="2" t="s">
        <v>115</v>
      </c>
      <c r="E148" s="117">
        <v>1</v>
      </c>
      <c r="F148" s="117">
        <v>1.6</v>
      </c>
      <c r="G148" s="117">
        <v>0.8</v>
      </c>
      <c r="H148" s="117">
        <v>0.9</v>
      </c>
      <c r="I148" s="267">
        <v>1.125</v>
      </c>
      <c r="J148" s="267">
        <v>0.5625</v>
      </c>
      <c r="K148" s="117">
        <v>0.1</v>
      </c>
      <c r="L148" s="267">
        <v>0.1111</v>
      </c>
      <c r="M148" s="117">
        <v>0.7</v>
      </c>
      <c r="N148" s="267">
        <v>0.77780000000000005</v>
      </c>
      <c r="O148" s="117">
        <v>0.1</v>
      </c>
      <c r="P148" s="267">
        <v>0.1111</v>
      </c>
    </row>
    <row r="149" spans="1:16" x14ac:dyDescent="0.25">
      <c r="A149" s="117">
        <v>540117</v>
      </c>
      <c r="B149" s="2" t="s">
        <v>203</v>
      </c>
      <c r="C149" s="2" t="s">
        <v>51</v>
      </c>
      <c r="D149" s="2" t="s">
        <v>115</v>
      </c>
      <c r="E149" s="117">
        <v>1</v>
      </c>
      <c r="F149" s="117">
        <v>6.1</v>
      </c>
      <c r="G149" s="117">
        <v>3.3</v>
      </c>
      <c r="H149" s="117">
        <v>3.1</v>
      </c>
      <c r="I149" s="267">
        <v>0.93940000000000001</v>
      </c>
      <c r="J149" s="267">
        <v>0.50819999999999999</v>
      </c>
      <c r="K149" s="117">
        <v>0.4</v>
      </c>
      <c r="L149" s="267">
        <v>0.129</v>
      </c>
      <c r="M149" s="117">
        <v>0.9</v>
      </c>
      <c r="N149" s="267">
        <v>0.2903</v>
      </c>
      <c r="O149" s="117">
        <v>1.8</v>
      </c>
      <c r="P149" s="267">
        <v>0.5806</v>
      </c>
    </row>
    <row r="150" spans="1:16" x14ac:dyDescent="0.25">
      <c r="A150" s="117">
        <v>540118</v>
      </c>
      <c r="B150" s="2" t="s">
        <v>204</v>
      </c>
      <c r="C150" s="2" t="s">
        <v>51</v>
      </c>
      <c r="D150" s="2" t="s">
        <v>115</v>
      </c>
      <c r="E150" s="117">
        <v>1</v>
      </c>
      <c r="F150" s="117">
        <v>2.9</v>
      </c>
      <c r="G150" s="117">
        <v>0.1</v>
      </c>
      <c r="H150" s="117">
        <v>0.1</v>
      </c>
      <c r="I150" s="267">
        <v>1</v>
      </c>
      <c r="J150" s="267">
        <v>3.4500000000000003E-2</v>
      </c>
      <c r="K150" s="117">
        <v>0</v>
      </c>
      <c r="L150" s="267">
        <v>0</v>
      </c>
      <c r="M150" s="117">
        <v>0</v>
      </c>
      <c r="N150" s="267">
        <v>0</v>
      </c>
      <c r="O150" s="117">
        <v>0.1</v>
      </c>
      <c r="P150" s="267">
        <v>1</v>
      </c>
    </row>
    <row r="151" spans="1:16" x14ac:dyDescent="0.25">
      <c r="A151" s="117">
        <v>540119</v>
      </c>
      <c r="B151" s="2" t="s">
        <v>205</v>
      </c>
      <c r="C151" s="2" t="s">
        <v>51</v>
      </c>
      <c r="D151" s="2" t="s">
        <v>115</v>
      </c>
      <c r="E151" s="117">
        <v>1</v>
      </c>
      <c r="F151" s="117">
        <v>1</v>
      </c>
      <c r="G151" s="117">
        <v>0.3</v>
      </c>
      <c r="H151" s="117">
        <v>0.4</v>
      </c>
      <c r="I151" s="267">
        <v>1.3332999999999999</v>
      </c>
      <c r="J151" s="267">
        <v>0.4</v>
      </c>
      <c r="K151" s="117">
        <v>0.1</v>
      </c>
      <c r="L151" s="267">
        <v>0.25</v>
      </c>
      <c r="M151" s="117">
        <v>0.1</v>
      </c>
      <c r="N151" s="267">
        <v>0.25</v>
      </c>
      <c r="O151" s="117">
        <v>0.2</v>
      </c>
      <c r="P151" s="267">
        <v>0.5</v>
      </c>
    </row>
    <row r="152" spans="1:16" x14ac:dyDescent="0.25">
      <c r="A152" s="117">
        <v>540120</v>
      </c>
      <c r="B152" s="2" t="s">
        <v>206</v>
      </c>
      <c r="C152" s="2" t="s">
        <v>51</v>
      </c>
      <c r="D152" s="2" t="s">
        <v>115</v>
      </c>
      <c r="E152" s="117">
        <v>1</v>
      </c>
      <c r="F152" s="117">
        <v>0.5</v>
      </c>
      <c r="G152" s="117">
        <v>0.3</v>
      </c>
      <c r="H152" s="117">
        <v>0.3</v>
      </c>
      <c r="I152" s="267">
        <v>1</v>
      </c>
      <c r="J152" s="267">
        <v>0.6</v>
      </c>
      <c r="K152" s="117">
        <v>0</v>
      </c>
      <c r="L152" s="267">
        <v>0</v>
      </c>
      <c r="M152" s="117">
        <v>0</v>
      </c>
      <c r="N152" s="267">
        <v>0</v>
      </c>
      <c r="O152" s="117">
        <v>0.3</v>
      </c>
      <c r="P152" s="267">
        <v>1</v>
      </c>
    </row>
    <row r="153" spans="1:16" x14ac:dyDescent="0.25">
      <c r="A153" s="117">
        <v>540121</v>
      </c>
      <c r="B153" s="2" t="s">
        <v>207</v>
      </c>
      <c r="C153" s="2" t="s">
        <v>51</v>
      </c>
      <c r="D153" s="2" t="s">
        <v>115</v>
      </c>
      <c r="E153" s="117">
        <v>1</v>
      </c>
      <c r="F153" s="117">
        <v>2.1</v>
      </c>
      <c r="G153" s="117">
        <v>1.6</v>
      </c>
      <c r="H153" s="117">
        <v>1.4</v>
      </c>
      <c r="I153" s="267">
        <v>0.875</v>
      </c>
      <c r="J153" s="267">
        <v>0.66669999999999996</v>
      </c>
      <c r="K153" s="117">
        <v>0.1</v>
      </c>
      <c r="L153" s="267">
        <v>7.1400000000000005E-2</v>
      </c>
      <c r="M153" s="117">
        <v>0.4</v>
      </c>
      <c r="N153" s="267">
        <v>0.28570000000000001</v>
      </c>
      <c r="O153" s="117">
        <v>0.9</v>
      </c>
      <c r="P153" s="267">
        <v>0.64290000000000003</v>
      </c>
    </row>
    <row r="154" spans="1:16" x14ac:dyDescent="0.25">
      <c r="A154" s="117">
        <v>540122</v>
      </c>
      <c r="B154" s="2" t="s">
        <v>208</v>
      </c>
      <c r="C154" s="2" t="s">
        <v>51</v>
      </c>
      <c r="D154" s="2" t="s">
        <v>115</v>
      </c>
      <c r="E154" s="117">
        <v>1</v>
      </c>
      <c r="F154" s="117">
        <v>2.6</v>
      </c>
      <c r="G154" s="117">
        <v>0</v>
      </c>
      <c r="H154" s="117">
        <v>0</v>
      </c>
      <c r="I154" s="267" t="s">
        <v>488</v>
      </c>
      <c r="J154" s="267">
        <v>0</v>
      </c>
      <c r="K154" s="117">
        <v>0</v>
      </c>
      <c r="L154" s="267" t="s">
        <v>488</v>
      </c>
      <c r="M154" s="117">
        <v>0</v>
      </c>
      <c r="N154" s="267" t="s">
        <v>488</v>
      </c>
      <c r="O154" s="117">
        <v>0</v>
      </c>
      <c r="P154" s="267" t="s">
        <v>488</v>
      </c>
    </row>
    <row r="155" spans="1:16" x14ac:dyDescent="0.25">
      <c r="A155" s="117">
        <v>540123</v>
      </c>
      <c r="B155" s="2" t="s">
        <v>209</v>
      </c>
      <c r="C155" s="2" t="s">
        <v>51</v>
      </c>
      <c r="D155" s="2" t="s">
        <v>115</v>
      </c>
      <c r="E155" s="117">
        <v>1</v>
      </c>
      <c r="F155" s="117">
        <v>3.8</v>
      </c>
      <c r="G155" s="117">
        <v>1.4</v>
      </c>
      <c r="H155" s="117">
        <v>1</v>
      </c>
      <c r="I155" s="267">
        <v>0.71430000000000005</v>
      </c>
      <c r="J155" s="267">
        <v>0.26319999999999999</v>
      </c>
      <c r="K155" s="117">
        <v>0.3</v>
      </c>
      <c r="L155" s="267">
        <v>0.3</v>
      </c>
      <c r="M155" s="117">
        <v>0.4</v>
      </c>
      <c r="N155" s="267">
        <v>0.4</v>
      </c>
      <c r="O155" s="117">
        <v>0.3</v>
      </c>
      <c r="P155" s="267">
        <v>0.3</v>
      </c>
    </row>
    <row r="156" spans="1:16" x14ac:dyDescent="0.25">
      <c r="A156" s="117">
        <v>540291</v>
      </c>
      <c r="B156" s="2" t="s">
        <v>328</v>
      </c>
      <c r="C156" s="2" t="s">
        <v>51</v>
      </c>
      <c r="D156" s="2" t="s">
        <v>115</v>
      </c>
      <c r="E156" s="117">
        <v>1</v>
      </c>
      <c r="F156" s="117">
        <v>1.4</v>
      </c>
      <c r="G156" s="117">
        <v>0</v>
      </c>
      <c r="H156" s="117">
        <v>0</v>
      </c>
      <c r="I156" s="267" t="s">
        <v>488</v>
      </c>
      <c r="J156" s="267">
        <v>0</v>
      </c>
      <c r="K156" s="117">
        <v>0</v>
      </c>
      <c r="L156" s="267" t="s">
        <v>488</v>
      </c>
      <c r="M156" s="117">
        <v>0</v>
      </c>
      <c r="N156" s="267" t="s">
        <v>488</v>
      </c>
      <c r="O156" s="117">
        <v>0</v>
      </c>
      <c r="P156" s="267" t="s">
        <v>488</v>
      </c>
    </row>
    <row r="157" spans="1:16" x14ac:dyDescent="0.25">
      <c r="A157" s="269"/>
      <c r="B157" s="269"/>
      <c r="C157" s="269" t="s">
        <v>51</v>
      </c>
      <c r="D157" s="269"/>
      <c r="E157" s="269"/>
      <c r="F157" s="270">
        <v>134.69999999999999</v>
      </c>
      <c r="G157" s="270">
        <v>23</v>
      </c>
      <c r="H157" s="270">
        <v>18.600000000000001</v>
      </c>
      <c r="I157" s="271">
        <v>0.80869999999999997</v>
      </c>
      <c r="J157" s="271">
        <v>0.1381</v>
      </c>
      <c r="K157" s="270">
        <v>3.8</v>
      </c>
      <c r="L157" s="271">
        <v>0.20430000000000001</v>
      </c>
      <c r="M157" s="270">
        <v>6.3</v>
      </c>
      <c r="N157" s="271">
        <v>0.3387</v>
      </c>
      <c r="O157" s="270">
        <v>8.5</v>
      </c>
      <c r="P157" s="271">
        <v>0.45700000000000002</v>
      </c>
    </row>
    <row r="158" spans="1:16" x14ac:dyDescent="0.25">
      <c r="A158" s="117">
        <v>540124</v>
      </c>
      <c r="B158" s="2" t="s">
        <v>52</v>
      </c>
      <c r="C158" s="2" t="s">
        <v>53</v>
      </c>
      <c r="D158" s="2" t="s">
        <v>5</v>
      </c>
      <c r="E158" s="117">
        <v>1</v>
      </c>
      <c r="F158" s="117">
        <v>84.5</v>
      </c>
      <c r="G158" s="117">
        <v>14</v>
      </c>
      <c r="H158" s="117">
        <v>7.1</v>
      </c>
      <c r="I158" s="267">
        <v>0.5071</v>
      </c>
      <c r="J158" s="267">
        <v>8.4000000000000005E-2</v>
      </c>
      <c r="K158" s="117">
        <v>1.5</v>
      </c>
      <c r="L158" s="267">
        <v>0.21129999999999999</v>
      </c>
      <c r="M158" s="117">
        <v>3.3</v>
      </c>
      <c r="N158" s="267">
        <v>0.46479999999999999</v>
      </c>
      <c r="O158" s="117">
        <v>2.2999999999999998</v>
      </c>
      <c r="P158" s="267">
        <v>0.32390000000000002</v>
      </c>
    </row>
    <row r="159" spans="1:16" x14ac:dyDescent="0.25">
      <c r="A159" s="117">
        <v>540125</v>
      </c>
      <c r="B159" s="2" t="s">
        <v>210</v>
      </c>
      <c r="C159" s="2" t="s">
        <v>53</v>
      </c>
      <c r="D159" s="2" t="s">
        <v>115</v>
      </c>
      <c r="E159" s="117">
        <v>1</v>
      </c>
      <c r="F159" s="117">
        <v>2.2000000000000002</v>
      </c>
      <c r="G159" s="117">
        <v>0.2</v>
      </c>
      <c r="H159" s="117">
        <v>0.1</v>
      </c>
      <c r="I159" s="267">
        <v>0.5</v>
      </c>
      <c r="J159" s="267">
        <v>4.5499999999999999E-2</v>
      </c>
      <c r="K159" s="117">
        <v>0</v>
      </c>
      <c r="L159" s="267">
        <v>0</v>
      </c>
      <c r="M159" s="117">
        <v>0</v>
      </c>
      <c r="N159" s="267">
        <v>0</v>
      </c>
      <c r="O159" s="117">
        <v>0.1</v>
      </c>
      <c r="P159" s="267">
        <v>1</v>
      </c>
    </row>
    <row r="160" spans="1:16" x14ac:dyDescent="0.25">
      <c r="A160" s="117">
        <v>540126</v>
      </c>
      <c r="B160" s="2" t="s">
        <v>211</v>
      </c>
      <c r="C160" s="2" t="s">
        <v>53</v>
      </c>
      <c r="D160" s="2" t="s">
        <v>115</v>
      </c>
      <c r="E160" s="117">
        <v>1</v>
      </c>
      <c r="F160" s="117">
        <v>1.6</v>
      </c>
      <c r="G160" s="117">
        <v>0.4</v>
      </c>
      <c r="H160" s="117">
        <v>0.7</v>
      </c>
      <c r="I160" s="267">
        <v>1.75</v>
      </c>
      <c r="J160" s="267">
        <v>0.4375</v>
      </c>
      <c r="K160" s="117">
        <v>0.4</v>
      </c>
      <c r="L160" s="267">
        <v>0.57140000000000002</v>
      </c>
      <c r="M160" s="117">
        <v>0.2</v>
      </c>
      <c r="N160" s="267">
        <v>0.28570000000000001</v>
      </c>
      <c r="O160" s="117">
        <v>0.1</v>
      </c>
      <c r="P160" s="267">
        <v>0.1429</v>
      </c>
    </row>
    <row r="161" spans="1:16" x14ac:dyDescent="0.25">
      <c r="A161" s="117">
        <v>540127</v>
      </c>
      <c r="B161" s="2" t="s">
        <v>212</v>
      </c>
      <c r="C161" s="2" t="s">
        <v>53</v>
      </c>
      <c r="D161" s="2" t="s">
        <v>115</v>
      </c>
      <c r="E161" s="117">
        <v>1</v>
      </c>
      <c r="F161" s="117">
        <v>4</v>
      </c>
      <c r="G161" s="117">
        <v>0</v>
      </c>
      <c r="H161" s="117">
        <v>0</v>
      </c>
      <c r="I161" s="267" t="s">
        <v>488</v>
      </c>
      <c r="J161" s="267">
        <v>0</v>
      </c>
      <c r="K161" s="117">
        <v>0</v>
      </c>
      <c r="L161" s="267" t="s">
        <v>488</v>
      </c>
      <c r="M161" s="117">
        <v>0</v>
      </c>
      <c r="N161" s="267" t="s">
        <v>488</v>
      </c>
      <c r="O161" s="117">
        <v>0</v>
      </c>
      <c r="P161" s="267" t="s">
        <v>488</v>
      </c>
    </row>
    <row r="162" spans="1:16" x14ac:dyDescent="0.25">
      <c r="A162" s="117">
        <v>540128</v>
      </c>
      <c r="B162" s="2" t="s">
        <v>213</v>
      </c>
      <c r="C162" s="2" t="s">
        <v>53</v>
      </c>
      <c r="D162" s="2" t="s">
        <v>115</v>
      </c>
      <c r="E162" s="117">
        <v>1</v>
      </c>
      <c r="F162" s="117">
        <v>1.9</v>
      </c>
      <c r="G162" s="117">
        <v>0</v>
      </c>
      <c r="H162" s="117">
        <v>0</v>
      </c>
      <c r="I162" s="267" t="s">
        <v>488</v>
      </c>
      <c r="J162" s="267">
        <v>0</v>
      </c>
      <c r="K162" s="117">
        <v>0</v>
      </c>
      <c r="L162" s="267" t="s">
        <v>488</v>
      </c>
      <c r="M162" s="117">
        <v>0</v>
      </c>
      <c r="N162" s="267" t="s">
        <v>488</v>
      </c>
      <c r="O162" s="117">
        <v>0</v>
      </c>
      <c r="P162" s="267" t="s">
        <v>488</v>
      </c>
    </row>
    <row r="163" spans="1:16" x14ac:dyDescent="0.25">
      <c r="A163" s="117">
        <v>540172</v>
      </c>
      <c r="B163" s="2" t="s">
        <v>244</v>
      </c>
      <c r="C163" s="2" t="s">
        <v>53</v>
      </c>
      <c r="D163" s="2" t="s">
        <v>115</v>
      </c>
      <c r="E163" s="117">
        <v>1</v>
      </c>
      <c r="F163" s="117">
        <v>0</v>
      </c>
      <c r="G163" s="117">
        <v>0</v>
      </c>
      <c r="H163" s="117">
        <v>0</v>
      </c>
      <c r="I163" s="267" t="s">
        <v>488</v>
      </c>
      <c r="J163" s="267" t="s">
        <v>488</v>
      </c>
      <c r="K163" s="117">
        <v>0</v>
      </c>
      <c r="L163" s="267" t="s">
        <v>488</v>
      </c>
      <c r="M163" s="117">
        <v>0</v>
      </c>
      <c r="N163" s="267" t="s">
        <v>488</v>
      </c>
      <c r="O163" s="117">
        <v>0</v>
      </c>
      <c r="P163" s="267" t="s">
        <v>488</v>
      </c>
    </row>
    <row r="164" spans="1:16" x14ac:dyDescent="0.25">
      <c r="A164" s="117">
        <v>540285</v>
      </c>
      <c r="B164" s="2" t="s">
        <v>324</v>
      </c>
      <c r="C164" s="2" t="s">
        <v>53</v>
      </c>
      <c r="D164" s="2" t="s">
        <v>115</v>
      </c>
      <c r="E164" s="117">
        <v>1</v>
      </c>
      <c r="F164" s="117">
        <v>3.9</v>
      </c>
      <c r="G164" s="117">
        <v>0</v>
      </c>
      <c r="H164" s="117">
        <v>0</v>
      </c>
      <c r="I164" s="267" t="s">
        <v>488</v>
      </c>
      <c r="J164" s="267">
        <v>0</v>
      </c>
      <c r="K164" s="117">
        <v>0</v>
      </c>
      <c r="L164" s="267" t="s">
        <v>488</v>
      </c>
      <c r="M164" s="117">
        <v>0</v>
      </c>
      <c r="N164" s="267" t="s">
        <v>488</v>
      </c>
      <c r="O164" s="117">
        <v>0</v>
      </c>
      <c r="P164" s="267" t="s">
        <v>488</v>
      </c>
    </row>
    <row r="165" spans="1:16" x14ac:dyDescent="0.25">
      <c r="A165" s="269"/>
      <c r="B165" s="269"/>
      <c r="C165" s="269" t="s">
        <v>53</v>
      </c>
      <c r="D165" s="269"/>
      <c r="E165" s="269"/>
      <c r="F165" s="270">
        <v>98.1</v>
      </c>
      <c r="G165" s="270">
        <v>14.6</v>
      </c>
      <c r="H165" s="270">
        <v>7.9</v>
      </c>
      <c r="I165" s="271">
        <v>0.54110000000000003</v>
      </c>
      <c r="J165" s="271">
        <v>8.0500000000000002E-2</v>
      </c>
      <c r="K165" s="270">
        <v>1.9</v>
      </c>
      <c r="L165" s="271">
        <v>0.24049999999999999</v>
      </c>
      <c r="M165" s="270">
        <v>3.5</v>
      </c>
      <c r="N165" s="271">
        <v>0.443</v>
      </c>
      <c r="O165" s="270">
        <v>2.5</v>
      </c>
      <c r="P165" s="271">
        <v>0.3165</v>
      </c>
    </row>
    <row r="166" spans="1:16" x14ac:dyDescent="0.25">
      <c r="A166" s="117">
        <v>540129</v>
      </c>
      <c r="B166" s="2" t="s">
        <v>54</v>
      </c>
      <c r="C166" s="2" t="s">
        <v>55</v>
      </c>
      <c r="D166" s="2" t="s">
        <v>5</v>
      </c>
      <c r="E166" s="117">
        <v>8</v>
      </c>
      <c r="F166" s="117">
        <v>34.4</v>
      </c>
      <c r="G166" s="117">
        <v>9.6999999999999993</v>
      </c>
      <c r="H166" s="117">
        <v>5.7</v>
      </c>
      <c r="I166" s="267">
        <v>0.58760000000000001</v>
      </c>
      <c r="J166" s="267">
        <v>0.16569999999999999</v>
      </c>
      <c r="K166" s="117">
        <v>0.9</v>
      </c>
      <c r="L166" s="267">
        <v>0.15790000000000001</v>
      </c>
      <c r="M166" s="117">
        <v>1.8</v>
      </c>
      <c r="N166" s="267">
        <v>0.31580000000000003</v>
      </c>
      <c r="O166" s="117">
        <v>3</v>
      </c>
      <c r="P166" s="267">
        <v>0.52629999999999999</v>
      </c>
    </row>
    <row r="167" spans="1:16" x14ac:dyDescent="0.25">
      <c r="A167" s="117">
        <v>540130</v>
      </c>
      <c r="B167" s="2" t="s">
        <v>214</v>
      </c>
      <c r="C167" s="2" t="s">
        <v>55</v>
      </c>
      <c r="D167" s="2" t="s">
        <v>115</v>
      </c>
      <c r="E167" s="117">
        <v>8</v>
      </c>
      <c r="F167" s="117">
        <v>2.2000000000000002</v>
      </c>
      <c r="G167" s="117">
        <v>0.4</v>
      </c>
      <c r="H167" s="117">
        <v>0.3</v>
      </c>
      <c r="I167" s="267">
        <v>0.75</v>
      </c>
      <c r="J167" s="267">
        <v>0.13639999999999999</v>
      </c>
      <c r="K167" s="117">
        <v>0.1</v>
      </c>
      <c r="L167" s="267">
        <v>0.33329999999999999</v>
      </c>
      <c r="M167" s="117">
        <v>0.2</v>
      </c>
      <c r="N167" s="267">
        <v>0.66669999999999996</v>
      </c>
      <c r="O167" s="117">
        <v>0</v>
      </c>
      <c r="P167" s="267">
        <v>0</v>
      </c>
    </row>
    <row r="168" spans="1:16" x14ac:dyDescent="0.25">
      <c r="A168" s="117">
        <v>540131</v>
      </c>
      <c r="B168" s="2" t="s">
        <v>215</v>
      </c>
      <c r="C168" s="2" t="s">
        <v>55</v>
      </c>
      <c r="D168" s="2" t="s">
        <v>115</v>
      </c>
      <c r="E168" s="117">
        <v>8</v>
      </c>
      <c r="F168" s="117">
        <v>1.1000000000000001</v>
      </c>
      <c r="G168" s="117">
        <v>0</v>
      </c>
      <c r="H168" s="117">
        <v>0</v>
      </c>
      <c r="I168" s="267" t="s">
        <v>488</v>
      </c>
      <c r="J168" s="267">
        <v>0</v>
      </c>
      <c r="K168" s="117">
        <v>0</v>
      </c>
      <c r="L168" s="267" t="s">
        <v>488</v>
      </c>
      <c r="M168" s="117">
        <v>0</v>
      </c>
      <c r="N168" s="267" t="s">
        <v>488</v>
      </c>
      <c r="O168" s="117">
        <v>0</v>
      </c>
      <c r="P168" s="267" t="s">
        <v>488</v>
      </c>
    </row>
    <row r="169" spans="1:16" x14ac:dyDescent="0.25">
      <c r="A169" s="117">
        <v>540155</v>
      </c>
      <c r="B169" s="2" t="s">
        <v>231</v>
      </c>
      <c r="C169" s="2" t="s">
        <v>55</v>
      </c>
      <c r="D169" s="2" t="s">
        <v>115</v>
      </c>
      <c r="E169" s="117">
        <v>8</v>
      </c>
      <c r="F169" s="117">
        <v>0.8</v>
      </c>
      <c r="G169" s="117">
        <v>0</v>
      </c>
      <c r="H169" s="117">
        <v>0</v>
      </c>
      <c r="I169" s="267" t="s">
        <v>488</v>
      </c>
      <c r="J169" s="267">
        <v>0</v>
      </c>
      <c r="K169" s="117">
        <v>0</v>
      </c>
      <c r="L169" s="267" t="s">
        <v>488</v>
      </c>
      <c r="M169" s="117">
        <v>0</v>
      </c>
      <c r="N169" s="267" t="s">
        <v>488</v>
      </c>
      <c r="O169" s="117">
        <v>0</v>
      </c>
      <c r="P169" s="267" t="s">
        <v>488</v>
      </c>
    </row>
    <row r="170" spans="1:16" x14ac:dyDescent="0.25">
      <c r="A170" s="117">
        <v>545555</v>
      </c>
      <c r="B170" s="2" t="s">
        <v>336</v>
      </c>
      <c r="C170" s="2" t="s">
        <v>55</v>
      </c>
      <c r="D170" s="2" t="s">
        <v>115</v>
      </c>
      <c r="E170" s="117">
        <v>8</v>
      </c>
      <c r="F170" s="117">
        <v>0.7</v>
      </c>
      <c r="G170" s="117">
        <v>0</v>
      </c>
      <c r="H170" s="117">
        <v>0</v>
      </c>
      <c r="I170" s="267" t="s">
        <v>488</v>
      </c>
      <c r="J170" s="267">
        <v>0</v>
      </c>
      <c r="K170" s="117">
        <v>0</v>
      </c>
      <c r="L170" s="267" t="s">
        <v>488</v>
      </c>
      <c r="M170" s="117">
        <v>0</v>
      </c>
      <c r="N170" s="267" t="s">
        <v>488</v>
      </c>
      <c r="O170" s="117">
        <v>0</v>
      </c>
      <c r="P170" s="267" t="s">
        <v>488</v>
      </c>
    </row>
    <row r="171" spans="1:16" x14ac:dyDescent="0.25">
      <c r="A171" s="117">
        <v>540091</v>
      </c>
      <c r="B171" s="2" t="s">
        <v>338</v>
      </c>
      <c r="C171" s="2" t="s">
        <v>55</v>
      </c>
      <c r="D171" s="2" t="s">
        <v>115</v>
      </c>
      <c r="E171" s="117">
        <v>8</v>
      </c>
      <c r="F171" s="117">
        <v>0</v>
      </c>
      <c r="G171" s="117">
        <v>0</v>
      </c>
      <c r="H171" s="117">
        <v>0</v>
      </c>
      <c r="I171" s="267" t="s">
        <v>488</v>
      </c>
      <c r="J171" s="267" t="s">
        <v>488</v>
      </c>
      <c r="K171" s="117">
        <v>0</v>
      </c>
      <c r="L171" s="267" t="s">
        <v>488</v>
      </c>
      <c r="M171" s="117">
        <v>0</v>
      </c>
      <c r="N171" s="267" t="s">
        <v>488</v>
      </c>
      <c r="O171" s="117">
        <v>0</v>
      </c>
      <c r="P171" s="267" t="s">
        <v>488</v>
      </c>
    </row>
    <row r="172" spans="1:16" x14ac:dyDescent="0.25">
      <c r="A172" s="269"/>
      <c r="B172" s="269"/>
      <c r="C172" s="269" t="s">
        <v>55</v>
      </c>
      <c r="D172" s="269"/>
      <c r="E172" s="269"/>
      <c r="F172" s="270">
        <v>39.200000000000003</v>
      </c>
      <c r="G172" s="270">
        <v>10.1</v>
      </c>
      <c r="H172" s="270">
        <v>6</v>
      </c>
      <c r="I172" s="271">
        <v>0.59409999999999996</v>
      </c>
      <c r="J172" s="271">
        <v>0.15310000000000001</v>
      </c>
      <c r="K172" s="270">
        <v>1</v>
      </c>
      <c r="L172" s="271">
        <v>0.16669999999999999</v>
      </c>
      <c r="M172" s="270">
        <v>2</v>
      </c>
      <c r="N172" s="271">
        <v>0.33329999999999999</v>
      </c>
      <c r="O172" s="270">
        <v>3</v>
      </c>
      <c r="P172" s="271">
        <v>0.5</v>
      </c>
    </row>
    <row r="173" spans="1:16" x14ac:dyDescent="0.25">
      <c r="A173" s="117">
        <v>540133</v>
      </c>
      <c r="B173" s="2" t="s">
        <v>56</v>
      </c>
      <c r="C173" s="2" t="s">
        <v>57</v>
      </c>
      <c r="D173" s="2" t="s">
        <v>5</v>
      </c>
      <c r="E173" s="117">
        <v>2</v>
      </c>
      <c r="F173" s="117">
        <v>113.9</v>
      </c>
      <c r="G173" s="117">
        <v>9.1999999999999993</v>
      </c>
      <c r="H173" s="117">
        <v>2.8</v>
      </c>
      <c r="I173" s="267">
        <v>0.30430000000000001</v>
      </c>
      <c r="J173" s="267">
        <v>2.46E-2</v>
      </c>
      <c r="K173" s="117">
        <v>1.1000000000000001</v>
      </c>
      <c r="L173" s="267">
        <v>0.39290000000000003</v>
      </c>
      <c r="M173" s="117">
        <v>1.1000000000000001</v>
      </c>
      <c r="N173" s="267">
        <v>0.39290000000000003</v>
      </c>
      <c r="O173" s="117">
        <v>0.6</v>
      </c>
      <c r="P173" s="267">
        <v>0.21429999999999999</v>
      </c>
    </row>
    <row r="174" spans="1:16" x14ac:dyDescent="0.25">
      <c r="A174" s="117">
        <v>540134</v>
      </c>
      <c r="B174" s="2" t="s">
        <v>217</v>
      </c>
      <c r="C174" s="2" t="s">
        <v>57</v>
      </c>
      <c r="D174" s="2" t="s">
        <v>115</v>
      </c>
      <c r="E174" s="117">
        <v>2</v>
      </c>
      <c r="F174" s="117">
        <v>0.8</v>
      </c>
      <c r="G174" s="117">
        <v>0</v>
      </c>
      <c r="H174" s="117">
        <v>0</v>
      </c>
      <c r="I174" s="267" t="s">
        <v>488</v>
      </c>
      <c r="J174" s="267">
        <v>0</v>
      </c>
      <c r="K174" s="117">
        <v>0</v>
      </c>
      <c r="L174" s="267" t="s">
        <v>488</v>
      </c>
      <c r="M174" s="117">
        <v>0</v>
      </c>
      <c r="N174" s="267" t="s">
        <v>488</v>
      </c>
      <c r="O174" s="117">
        <v>0</v>
      </c>
      <c r="P174" s="267" t="s">
        <v>488</v>
      </c>
    </row>
    <row r="175" spans="1:16" x14ac:dyDescent="0.25">
      <c r="A175" s="117">
        <v>540135</v>
      </c>
      <c r="B175" s="2" t="s">
        <v>218</v>
      </c>
      <c r="C175" s="2" t="s">
        <v>57</v>
      </c>
      <c r="D175" s="2" t="s">
        <v>115</v>
      </c>
      <c r="E175" s="117">
        <v>2</v>
      </c>
      <c r="F175" s="117">
        <v>3.7</v>
      </c>
      <c r="G175" s="117">
        <v>0.1</v>
      </c>
      <c r="H175" s="117">
        <v>0</v>
      </c>
      <c r="I175" s="267">
        <v>0</v>
      </c>
      <c r="J175" s="267">
        <v>0</v>
      </c>
      <c r="K175" s="117">
        <v>0</v>
      </c>
      <c r="L175" s="267" t="s">
        <v>488</v>
      </c>
      <c r="M175" s="117">
        <v>0</v>
      </c>
      <c r="N175" s="267" t="s">
        <v>488</v>
      </c>
      <c r="O175" s="117">
        <v>0</v>
      </c>
      <c r="P175" s="267" t="s">
        <v>488</v>
      </c>
    </row>
    <row r="176" spans="1:16" x14ac:dyDescent="0.25">
      <c r="A176" s="117">
        <v>540136</v>
      </c>
      <c r="B176" s="2" t="s">
        <v>219</v>
      </c>
      <c r="C176" s="2" t="s">
        <v>57</v>
      </c>
      <c r="D176" s="2" t="s">
        <v>115</v>
      </c>
      <c r="E176" s="117">
        <v>2</v>
      </c>
      <c r="F176" s="117">
        <v>1.2</v>
      </c>
      <c r="G176" s="117">
        <v>0</v>
      </c>
      <c r="H176" s="117">
        <v>0</v>
      </c>
      <c r="I176" s="267" t="s">
        <v>488</v>
      </c>
      <c r="J176" s="267">
        <v>0</v>
      </c>
      <c r="K176" s="117">
        <v>0</v>
      </c>
      <c r="L176" s="267" t="s">
        <v>488</v>
      </c>
      <c r="M176" s="117">
        <v>0</v>
      </c>
      <c r="N176" s="267" t="s">
        <v>488</v>
      </c>
      <c r="O176" s="117">
        <v>0</v>
      </c>
      <c r="P176" s="267" t="s">
        <v>488</v>
      </c>
    </row>
    <row r="177" spans="1:16" x14ac:dyDescent="0.25">
      <c r="A177" s="117">
        <v>540138</v>
      </c>
      <c r="B177" s="2" t="s">
        <v>221</v>
      </c>
      <c r="C177" s="2" t="s">
        <v>57</v>
      </c>
      <c r="D177" s="2" t="s">
        <v>115</v>
      </c>
      <c r="E177" s="117">
        <v>2</v>
      </c>
      <c r="F177" s="117">
        <v>4.8</v>
      </c>
      <c r="G177" s="117">
        <v>1.5</v>
      </c>
      <c r="H177" s="117">
        <v>0.6</v>
      </c>
      <c r="I177" s="267">
        <v>0.4</v>
      </c>
      <c r="J177" s="267">
        <v>0.125</v>
      </c>
      <c r="K177" s="117">
        <v>0.4</v>
      </c>
      <c r="L177" s="267">
        <v>0.66669999999999996</v>
      </c>
      <c r="M177" s="117">
        <v>0.2</v>
      </c>
      <c r="N177" s="267">
        <v>0.33329999999999999</v>
      </c>
      <c r="O177" s="117">
        <v>0</v>
      </c>
      <c r="P177" s="267">
        <v>0</v>
      </c>
    </row>
    <row r="178" spans="1:16" x14ac:dyDescent="0.25">
      <c r="A178" s="117">
        <v>545538</v>
      </c>
      <c r="B178" s="2" t="s">
        <v>334</v>
      </c>
      <c r="C178" s="2" t="s">
        <v>57</v>
      </c>
      <c r="D178" s="2" t="s">
        <v>115</v>
      </c>
      <c r="E178" s="117">
        <v>2</v>
      </c>
      <c r="F178" s="117">
        <v>2.9</v>
      </c>
      <c r="G178" s="117">
        <v>0.6</v>
      </c>
      <c r="H178" s="117">
        <v>0.1</v>
      </c>
      <c r="I178" s="267">
        <v>0.16669999999999999</v>
      </c>
      <c r="J178" s="267">
        <v>3.4500000000000003E-2</v>
      </c>
      <c r="K178" s="117">
        <v>0</v>
      </c>
      <c r="L178" s="267">
        <v>0</v>
      </c>
      <c r="M178" s="117">
        <v>0</v>
      </c>
      <c r="N178" s="267">
        <v>0</v>
      </c>
      <c r="O178" s="117">
        <v>0.1</v>
      </c>
      <c r="P178" s="267">
        <v>1</v>
      </c>
    </row>
    <row r="179" spans="1:16" x14ac:dyDescent="0.25">
      <c r="A179" s="269"/>
      <c r="B179" s="269"/>
      <c r="C179" s="269" t="s">
        <v>57</v>
      </c>
      <c r="D179" s="269"/>
      <c r="E179" s="269"/>
      <c r="F179" s="270">
        <v>127.3</v>
      </c>
      <c r="G179" s="270">
        <v>11.4</v>
      </c>
      <c r="H179" s="270">
        <v>3.5</v>
      </c>
      <c r="I179" s="271">
        <v>0.307</v>
      </c>
      <c r="J179" s="271">
        <v>2.75E-2</v>
      </c>
      <c r="K179" s="270">
        <v>1.5</v>
      </c>
      <c r="L179" s="271">
        <v>0.42859999999999998</v>
      </c>
      <c r="M179" s="270">
        <v>1.3</v>
      </c>
      <c r="N179" s="271">
        <v>0.37140000000000001</v>
      </c>
      <c r="O179" s="270">
        <v>0.7</v>
      </c>
      <c r="P179" s="271">
        <v>0.2</v>
      </c>
    </row>
    <row r="180" spans="1:16" x14ac:dyDescent="0.25">
      <c r="A180" s="117">
        <v>540139</v>
      </c>
      <c r="B180" s="2" t="s">
        <v>58</v>
      </c>
      <c r="C180" s="2" t="s">
        <v>59</v>
      </c>
      <c r="D180" s="2" t="s">
        <v>5</v>
      </c>
      <c r="E180" s="117">
        <v>6</v>
      </c>
      <c r="F180" s="117">
        <v>70.3</v>
      </c>
      <c r="G180" s="117">
        <v>11</v>
      </c>
      <c r="H180" s="117">
        <v>7.4</v>
      </c>
      <c r="I180" s="267">
        <v>0.67269999999999996</v>
      </c>
      <c r="J180" s="267">
        <v>0.1053</v>
      </c>
      <c r="K180" s="117">
        <v>2.6</v>
      </c>
      <c r="L180" s="267">
        <v>0.35139999999999999</v>
      </c>
      <c r="M180" s="117">
        <v>1.7</v>
      </c>
      <c r="N180" s="267">
        <v>0.22969999999999999</v>
      </c>
      <c r="O180" s="117">
        <v>3.1</v>
      </c>
      <c r="P180" s="267">
        <v>0.41889999999999999</v>
      </c>
    </row>
    <row r="181" spans="1:16" x14ac:dyDescent="0.25">
      <c r="A181" s="117">
        <v>540140</v>
      </c>
      <c r="B181" s="2" t="s">
        <v>222</v>
      </c>
      <c r="C181" s="2" t="s">
        <v>59</v>
      </c>
      <c r="D181" s="2" t="s">
        <v>115</v>
      </c>
      <c r="E181" s="117">
        <v>6</v>
      </c>
      <c r="F181" s="117">
        <v>0.8</v>
      </c>
      <c r="G181" s="117">
        <v>0.7</v>
      </c>
      <c r="H181" s="117">
        <v>0.6</v>
      </c>
      <c r="I181" s="267">
        <v>0.85709999999999997</v>
      </c>
      <c r="J181" s="267">
        <v>0.75</v>
      </c>
      <c r="K181" s="117">
        <v>0</v>
      </c>
      <c r="L181" s="267">
        <v>0</v>
      </c>
      <c r="M181" s="117">
        <v>0.1</v>
      </c>
      <c r="N181" s="267">
        <v>0.16669999999999999</v>
      </c>
      <c r="O181" s="117">
        <v>0.5</v>
      </c>
      <c r="P181" s="267">
        <v>0.83330000000000004</v>
      </c>
    </row>
    <row r="182" spans="1:16" x14ac:dyDescent="0.25">
      <c r="A182" s="117">
        <v>540141</v>
      </c>
      <c r="B182" s="2" t="s">
        <v>223</v>
      </c>
      <c r="C182" s="2" t="s">
        <v>59</v>
      </c>
      <c r="D182" s="2" t="s">
        <v>115</v>
      </c>
      <c r="E182" s="117">
        <v>6</v>
      </c>
      <c r="F182" s="117">
        <v>7.8</v>
      </c>
      <c r="G182" s="117">
        <v>1.4</v>
      </c>
      <c r="H182" s="117">
        <v>1.4</v>
      </c>
      <c r="I182" s="267">
        <v>1</v>
      </c>
      <c r="J182" s="267">
        <v>0.17949999999999999</v>
      </c>
      <c r="K182" s="117">
        <v>0.8</v>
      </c>
      <c r="L182" s="267">
        <v>0.57140000000000002</v>
      </c>
      <c r="M182" s="117">
        <v>0.5</v>
      </c>
      <c r="N182" s="267">
        <v>0.35709999999999997</v>
      </c>
      <c r="O182" s="117">
        <v>0.1</v>
      </c>
      <c r="P182" s="267">
        <v>7.1400000000000005E-2</v>
      </c>
    </row>
    <row r="183" spans="1:16" x14ac:dyDescent="0.25">
      <c r="A183" s="117">
        <v>540272</v>
      </c>
      <c r="B183" s="2" t="s">
        <v>315</v>
      </c>
      <c r="C183" s="2" t="s">
        <v>59</v>
      </c>
      <c r="D183" s="2" t="s">
        <v>115</v>
      </c>
      <c r="E183" s="117">
        <v>6</v>
      </c>
      <c r="F183" s="117">
        <v>1.4</v>
      </c>
      <c r="G183" s="117">
        <v>0</v>
      </c>
      <c r="H183" s="117">
        <v>0</v>
      </c>
      <c r="I183" s="267" t="s">
        <v>488</v>
      </c>
      <c r="J183" s="267">
        <v>0</v>
      </c>
      <c r="K183" s="117">
        <v>0</v>
      </c>
      <c r="L183" s="267" t="s">
        <v>488</v>
      </c>
      <c r="M183" s="117">
        <v>0</v>
      </c>
      <c r="N183" s="267" t="s">
        <v>488</v>
      </c>
      <c r="O183" s="117">
        <v>0</v>
      </c>
      <c r="P183" s="267" t="s">
        <v>488</v>
      </c>
    </row>
    <row r="184" spans="1:16" x14ac:dyDescent="0.25">
      <c r="A184" s="117">
        <v>540273</v>
      </c>
      <c r="B184" s="2" t="s">
        <v>316</v>
      </c>
      <c r="C184" s="2" t="s">
        <v>59</v>
      </c>
      <c r="D184" s="2" t="s">
        <v>115</v>
      </c>
      <c r="E184" s="117">
        <v>6</v>
      </c>
      <c r="F184" s="117">
        <v>1.1000000000000001</v>
      </c>
      <c r="G184" s="117">
        <v>0</v>
      </c>
      <c r="H184" s="117">
        <v>0</v>
      </c>
      <c r="I184" s="267" t="s">
        <v>488</v>
      </c>
      <c r="J184" s="267">
        <v>0</v>
      </c>
      <c r="K184" s="117">
        <v>0</v>
      </c>
      <c r="L184" s="267" t="s">
        <v>488</v>
      </c>
      <c r="M184" s="117">
        <v>0</v>
      </c>
      <c r="N184" s="267" t="s">
        <v>488</v>
      </c>
      <c r="O184" s="117">
        <v>0</v>
      </c>
      <c r="P184" s="267" t="s">
        <v>488</v>
      </c>
    </row>
    <row r="185" spans="1:16" x14ac:dyDescent="0.25">
      <c r="A185" s="117">
        <v>540274</v>
      </c>
      <c r="B185" s="2" t="s">
        <v>317</v>
      </c>
      <c r="C185" s="2" t="s">
        <v>59</v>
      </c>
      <c r="D185" s="2" t="s">
        <v>115</v>
      </c>
      <c r="E185" s="117">
        <v>6</v>
      </c>
      <c r="F185" s="117">
        <v>1.8</v>
      </c>
      <c r="G185" s="117">
        <v>0.1</v>
      </c>
      <c r="H185" s="117">
        <v>0</v>
      </c>
      <c r="I185" s="267">
        <v>0</v>
      </c>
      <c r="J185" s="267">
        <v>0</v>
      </c>
      <c r="K185" s="117">
        <v>0</v>
      </c>
      <c r="L185" s="267" t="s">
        <v>488</v>
      </c>
      <c r="M185" s="117">
        <v>0</v>
      </c>
      <c r="N185" s="267" t="s">
        <v>488</v>
      </c>
      <c r="O185" s="117">
        <v>0</v>
      </c>
      <c r="P185" s="267" t="s">
        <v>488</v>
      </c>
    </row>
    <row r="186" spans="1:16" x14ac:dyDescent="0.25">
      <c r="A186" s="269"/>
      <c r="B186" s="269"/>
      <c r="C186" s="269" t="s">
        <v>59</v>
      </c>
      <c r="D186" s="269"/>
      <c r="E186" s="269"/>
      <c r="F186" s="270">
        <v>83.2</v>
      </c>
      <c r="G186" s="270">
        <v>13.2</v>
      </c>
      <c r="H186" s="270">
        <v>9.4</v>
      </c>
      <c r="I186" s="271">
        <v>0.71209999999999996</v>
      </c>
      <c r="J186" s="271">
        <v>0.113</v>
      </c>
      <c r="K186" s="270">
        <v>3.4</v>
      </c>
      <c r="L186" s="271">
        <v>0.36170000000000002</v>
      </c>
      <c r="M186" s="270">
        <v>2.2999999999999998</v>
      </c>
      <c r="N186" s="271">
        <v>0.2447</v>
      </c>
      <c r="O186" s="270">
        <v>3.7</v>
      </c>
      <c r="P186" s="271">
        <v>0.39360000000000001</v>
      </c>
    </row>
    <row r="187" spans="1:16" x14ac:dyDescent="0.25">
      <c r="A187" s="117">
        <v>540144</v>
      </c>
      <c r="B187" s="2" t="s">
        <v>60</v>
      </c>
      <c r="C187" s="2" t="s">
        <v>61</v>
      </c>
      <c r="D187" s="2" t="s">
        <v>5</v>
      </c>
      <c r="E187" s="117">
        <v>9</v>
      </c>
      <c r="F187" s="117">
        <v>50</v>
      </c>
      <c r="G187" s="117">
        <v>25.3</v>
      </c>
      <c r="H187" s="117">
        <v>2.7</v>
      </c>
      <c r="I187" s="267">
        <v>0.1067</v>
      </c>
      <c r="J187" s="267">
        <v>5.3999999999999999E-2</v>
      </c>
      <c r="K187" s="117">
        <v>0.6</v>
      </c>
      <c r="L187" s="267">
        <v>0.22220000000000001</v>
      </c>
      <c r="M187" s="117">
        <v>0.6</v>
      </c>
      <c r="N187" s="267">
        <v>0.22220000000000001</v>
      </c>
      <c r="O187" s="117">
        <v>1.5</v>
      </c>
      <c r="P187" s="267">
        <v>0.55559999999999998</v>
      </c>
    </row>
    <row r="188" spans="1:16" x14ac:dyDescent="0.25">
      <c r="A188" s="117">
        <v>540005</v>
      </c>
      <c r="B188" s="2" t="s">
        <v>118</v>
      </c>
      <c r="C188" s="2" t="s">
        <v>61</v>
      </c>
      <c r="D188" s="2" t="s">
        <v>115</v>
      </c>
      <c r="E188" s="117">
        <v>9</v>
      </c>
      <c r="F188" s="117">
        <v>0.1</v>
      </c>
      <c r="G188" s="117">
        <v>0.1</v>
      </c>
      <c r="H188" s="117">
        <v>0.1</v>
      </c>
      <c r="I188" s="267">
        <v>1</v>
      </c>
      <c r="J188" s="267">
        <v>1</v>
      </c>
      <c r="K188" s="117">
        <v>0</v>
      </c>
      <c r="L188" s="267">
        <v>0</v>
      </c>
      <c r="M188" s="117">
        <v>0.1</v>
      </c>
      <c r="N188" s="267">
        <v>1</v>
      </c>
      <c r="O188" s="117">
        <v>0</v>
      </c>
      <c r="P188" s="267">
        <v>0</v>
      </c>
    </row>
    <row r="189" spans="1:16" x14ac:dyDescent="0.25">
      <c r="A189" s="117">
        <v>540252</v>
      </c>
      <c r="B189" s="2" t="s">
        <v>298</v>
      </c>
      <c r="C189" s="2" t="s">
        <v>61</v>
      </c>
      <c r="D189" s="2" t="s">
        <v>115</v>
      </c>
      <c r="E189" s="117">
        <v>9</v>
      </c>
      <c r="F189" s="117">
        <v>0.7</v>
      </c>
      <c r="G189" s="117">
        <v>0.2</v>
      </c>
      <c r="H189" s="117">
        <v>0</v>
      </c>
      <c r="I189" s="267">
        <v>0</v>
      </c>
      <c r="J189" s="267">
        <v>0</v>
      </c>
      <c r="K189" s="117">
        <v>0</v>
      </c>
      <c r="L189" s="267" t="s">
        <v>488</v>
      </c>
      <c r="M189" s="117">
        <v>0</v>
      </c>
      <c r="N189" s="267" t="s">
        <v>488</v>
      </c>
      <c r="O189" s="117">
        <v>0</v>
      </c>
      <c r="P189" s="267" t="s">
        <v>488</v>
      </c>
    </row>
    <row r="190" spans="1:16" x14ac:dyDescent="0.25">
      <c r="A190" s="269"/>
      <c r="B190" s="269"/>
      <c r="C190" s="269" t="s">
        <v>61</v>
      </c>
      <c r="D190" s="269"/>
      <c r="E190" s="269"/>
      <c r="F190" s="270">
        <v>50.8</v>
      </c>
      <c r="G190" s="270">
        <v>25.6</v>
      </c>
      <c r="H190" s="270">
        <v>2.8</v>
      </c>
      <c r="I190" s="271">
        <v>0.1094</v>
      </c>
      <c r="J190" s="271">
        <v>5.5100000000000003E-2</v>
      </c>
      <c r="K190" s="270">
        <v>0.6</v>
      </c>
      <c r="L190" s="271">
        <v>0.21429999999999999</v>
      </c>
      <c r="M190" s="270">
        <v>0.7</v>
      </c>
      <c r="N190" s="271">
        <v>0.25</v>
      </c>
      <c r="O190" s="270">
        <v>1.5</v>
      </c>
      <c r="P190" s="271">
        <v>0.53569999999999995</v>
      </c>
    </row>
    <row r="191" spans="1:16" x14ac:dyDescent="0.25">
      <c r="A191" s="117">
        <v>540146</v>
      </c>
      <c r="B191" s="2" t="s">
        <v>62</v>
      </c>
      <c r="C191" s="2" t="s">
        <v>63</v>
      </c>
      <c r="D191" s="2" t="s">
        <v>5</v>
      </c>
      <c r="E191" s="117">
        <v>4</v>
      </c>
      <c r="F191" s="117">
        <v>66.5</v>
      </c>
      <c r="G191" s="117">
        <v>19.2</v>
      </c>
      <c r="H191" s="117">
        <v>2.6</v>
      </c>
      <c r="I191" s="267">
        <v>0.13539999999999999</v>
      </c>
      <c r="J191" s="267">
        <v>3.9100000000000003E-2</v>
      </c>
      <c r="K191" s="117">
        <v>0.8</v>
      </c>
      <c r="L191" s="267">
        <v>0.30769999999999997</v>
      </c>
      <c r="M191" s="117">
        <v>1.1000000000000001</v>
      </c>
      <c r="N191" s="267">
        <v>0.42309999999999998</v>
      </c>
      <c r="O191" s="117">
        <v>0.7</v>
      </c>
      <c r="P191" s="267">
        <v>0.26919999999999999</v>
      </c>
    </row>
    <row r="192" spans="1:16" x14ac:dyDescent="0.25">
      <c r="A192" s="117">
        <v>540147</v>
      </c>
      <c r="B192" s="2" t="s">
        <v>225</v>
      </c>
      <c r="C192" s="2" t="s">
        <v>63</v>
      </c>
      <c r="D192" s="2" t="s">
        <v>115</v>
      </c>
      <c r="E192" s="117">
        <v>4</v>
      </c>
      <c r="F192" s="117">
        <v>1.8</v>
      </c>
      <c r="G192" s="117">
        <v>1.6</v>
      </c>
      <c r="H192" s="117">
        <v>1.3</v>
      </c>
      <c r="I192" s="267">
        <v>0.8125</v>
      </c>
      <c r="J192" s="267">
        <v>0.72219999999999995</v>
      </c>
      <c r="K192" s="117">
        <v>0.3</v>
      </c>
      <c r="L192" s="267">
        <v>0.23080000000000001</v>
      </c>
      <c r="M192" s="117">
        <v>0.6</v>
      </c>
      <c r="N192" s="267">
        <v>0.46150000000000002</v>
      </c>
      <c r="O192" s="117">
        <v>0.4</v>
      </c>
      <c r="P192" s="267">
        <v>0.30769999999999997</v>
      </c>
    </row>
    <row r="193" spans="1:16" x14ac:dyDescent="0.25">
      <c r="A193" s="117">
        <v>540148</v>
      </c>
      <c r="B193" s="2" t="s">
        <v>226</v>
      </c>
      <c r="C193" s="2" t="s">
        <v>63</v>
      </c>
      <c r="D193" s="2" t="s">
        <v>115</v>
      </c>
      <c r="E193" s="117">
        <v>4</v>
      </c>
      <c r="F193" s="117">
        <v>0</v>
      </c>
      <c r="G193" s="117">
        <v>0</v>
      </c>
      <c r="H193" s="117">
        <v>0</v>
      </c>
      <c r="I193" s="267" t="s">
        <v>488</v>
      </c>
      <c r="J193" s="267" t="s">
        <v>488</v>
      </c>
      <c r="K193" s="117">
        <v>0</v>
      </c>
      <c r="L193" s="267" t="s">
        <v>488</v>
      </c>
      <c r="M193" s="117">
        <v>0</v>
      </c>
      <c r="N193" s="267" t="s">
        <v>488</v>
      </c>
      <c r="O193" s="117">
        <v>0</v>
      </c>
      <c r="P193" s="267" t="s">
        <v>488</v>
      </c>
    </row>
    <row r="194" spans="1:16" x14ac:dyDescent="0.25">
      <c r="A194" s="269"/>
      <c r="B194" s="269"/>
      <c r="C194" s="269" t="s">
        <v>63</v>
      </c>
      <c r="D194" s="269"/>
      <c r="E194" s="269"/>
      <c r="F194" s="270">
        <v>68.3</v>
      </c>
      <c r="G194" s="270">
        <v>20.8</v>
      </c>
      <c r="H194" s="270">
        <v>3.9</v>
      </c>
      <c r="I194" s="271">
        <v>0.1875</v>
      </c>
      <c r="J194" s="271">
        <v>5.7099999999999998E-2</v>
      </c>
      <c r="K194" s="270">
        <v>1.1000000000000001</v>
      </c>
      <c r="L194" s="271">
        <v>0.28210000000000002</v>
      </c>
      <c r="M194" s="270">
        <v>1.7</v>
      </c>
      <c r="N194" s="271">
        <v>0.43590000000000001</v>
      </c>
      <c r="O194" s="270">
        <v>1.1000000000000001</v>
      </c>
      <c r="P194" s="271">
        <v>0.28210000000000002</v>
      </c>
    </row>
    <row r="195" spans="1:16" x14ac:dyDescent="0.25">
      <c r="A195" s="117">
        <v>540149</v>
      </c>
      <c r="B195" s="2" t="s">
        <v>64</v>
      </c>
      <c r="C195" s="2" t="s">
        <v>65</v>
      </c>
      <c r="D195" s="2" t="s">
        <v>5</v>
      </c>
      <c r="E195" s="117">
        <v>10</v>
      </c>
      <c r="F195" s="117">
        <v>2.8</v>
      </c>
      <c r="G195" s="117">
        <v>0.3</v>
      </c>
      <c r="H195" s="117">
        <v>0</v>
      </c>
      <c r="I195" s="267">
        <v>0</v>
      </c>
      <c r="J195" s="267">
        <v>0</v>
      </c>
      <c r="K195" s="117">
        <v>0</v>
      </c>
      <c r="L195" s="267" t="s">
        <v>488</v>
      </c>
      <c r="M195" s="117">
        <v>0</v>
      </c>
      <c r="N195" s="267" t="s">
        <v>488</v>
      </c>
      <c r="O195" s="117">
        <v>0</v>
      </c>
      <c r="P195" s="267" t="s">
        <v>488</v>
      </c>
    </row>
    <row r="196" spans="1:16" x14ac:dyDescent="0.25">
      <c r="A196" s="117">
        <v>540080</v>
      </c>
      <c r="B196" s="2" t="s">
        <v>175</v>
      </c>
      <c r="C196" s="2" t="s">
        <v>65</v>
      </c>
      <c r="D196" s="2" t="s">
        <v>115</v>
      </c>
      <c r="E196" s="117">
        <v>10</v>
      </c>
      <c r="F196" s="117">
        <v>0</v>
      </c>
      <c r="G196" s="117">
        <v>0</v>
      </c>
      <c r="H196" s="117">
        <v>0</v>
      </c>
      <c r="I196" s="267" t="s">
        <v>488</v>
      </c>
      <c r="J196" s="267" t="s">
        <v>488</v>
      </c>
      <c r="K196" s="117">
        <v>0</v>
      </c>
      <c r="L196" s="267" t="s">
        <v>488</v>
      </c>
      <c r="M196" s="117">
        <v>0</v>
      </c>
      <c r="N196" s="267" t="s">
        <v>488</v>
      </c>
      <c r="O196" s="117">
        <v>0</v>
      </c>
      <c r="P196" s="267" t="s">
        <v>488</v>
      </c>
    </row>
    <row r="197" spans="1:16" x14ac:dyDescent="0.25">
      <c r="A197" s="117">
        <v>540094</v>
      </c>
      <c r="B197" s="2" t="s">
        <v>185</v>
      </c>
      <c r="C197" s="2" t="s">
        <v>65</v>
      </c>
      <c r="D197" s="2" t="s">
        <v>115</v>
      </c>
      <c r="E197" s="117">
        <v>10</v>
      </c>
      <c r="F197" s="117">
        <v>0</v>
      </c>
      <c r="G197" s="117">
        <v>0</v>
      </c>
      <c r="H197" s="117">
        <v>0</v>
      </c>
      <c r="I197" s="267" t="s">
        <v>488</v>
      </c>
      <c r="J197" s="267" t="s">
        <v>488</v>
      </c>
      <c r="K197" s="117">
        <v>0</v>
      </c>
      <c r="L197" s="267" t="s">
        <v>488</v>
      </c>
      <c r="M197" s="117">
        <v>0</v>
      </c>
      <c r="N197" s="267" t="s">
        <v>488</v>
      </c>
      <c r="O197" s="117">
        <v>0</v>
      </c>
      <c r="P197" s="267" t="s">
        <v>488</v>
      </c>
    </row>
    <row r="198" spans="1:16" x14ac:dyDescent="0.25">
      <c r="A198" s="117">
        <v>540150</v>
      </c>
      <c r="B198" s="2" t="s">
        <v>227</v>
      </c>
      <c r="C198" s="2" t="s">
        <v>65</v>
      </c>
      <c r="D198" s="2" t="s">
        <v>115</v>
      </c>
      <c r="E198" s="117">
        <v>10</v>
      </c>
      <c r="F198" s="117">
        <v>0</v>
      </c>
      <c r="G198" s="117">
        <v>0</v>
      </c>
      <c r="H198" s="117">
        <v>0</v>
      </c>
      <c r="I198" s="267" t="s">
        <v>488</v>
      </c>
      <c r="J198" s="267" t="s">
        <v>488</v>
      </c>
      <c r="K198" s="117">
        <v>0</v>
      </c>
      <c r="L198" s="267" t="s">
        <v>488</v>
      </c>
      <c r="M198" s="117">
        <v>0</v>
      </c>
      <c r="N198" s="267" t="s">
        <v>488</v>
      </c>
      <c r="O198" s="117">
        <v>0</v>
      </c>
      <c r="P198" s="267" t="s">
        <v>488</v>
      </c>
    </row>
    <row r="199" spans="1:16" x14ac:dyDescent="0.25">
      <c r="A199" s="117">
        <v>540151</v>
      </c>
      <c r="B199" s="2" t="s">
        <v>228</v>
      </c>
      <c r="C199" s="2" t="s">
        <v>65</v>
      </c>
      <c r="D199" s="2" t="s">
        <v>115</v>
      </c>
      <c r="E199" s="117">
        <v>10</v>
      </c>
      <c r="F199" s="117">
        <v>0</v>
      </c>
      <c r="G199" s="117">
        <v>0</v>
      </c>
      <c r="H199" s="117">
        <v>0</v>
      </c>
      <c r="I199" s="267" t="s">
        <v>488</v>
      </c>
      <c r="J199" s="267" t="s">
        <v>488</v>
      </c>
      <c r="K199" s="117">
        <v>0</v>
      </c>
      <c r="L199" s="267" t="s">
        <v>488</v>
      </c>
      <c r="M199" s="117">
        <v>0</v>
      </c>
      <c r="N199" s="267" t="s">
        <v>488</v>
      </c>
      <c r="O199" s="117">
        <v>0</v>
      </c>
      <c r="P199" s="267" t="s">
        <v>488</v>
      </c>
    </row>
    <row r="200" spans="1:16" x14ac:dyDescent="0.25">
      <c r="A200" s="117">
        <v>540152</v>
      </c>
      <c r="B200" s="2" t="s">
        <v>229</v>
      </c>
      <c r="C200" s="2" t="s">
        <v>65</v>
      </c>
      <c r="D200" s="2" t="s">
        <v>115</v>
      </c>
      <c r="E200" s="117">
        <v>10</v>
      </c>
      <c r="F200" s="117">
        <v>23</v>
      </c>
      <c r="G200" s="117">
        <v>11.6</v>
      </c>
      <c r="H200" s="117">
        <v>0</v>
      </c>
      <c r="I200" s="267">
        <v>0</v>
      </c>
      <c r="J200" s="267">
        <v>0</v>
      </c>
      <c r="K200" s="117">
        <v>0</v>
      </c>
      <c r="L200" s="267" t="s">
        <v>488</v>
      </c>
      <c r="M200" s="117">
        <v>0</v>
      </c>
      <c r="N200" s="267" t="s">
        <v>488</v>
      </c>
      <c r="O200" s="117">
        <v>0</v>
      </c>
      <c r="P200" s="267" t="s">
        <v>488</v>
      </c>
    </row>
    <row r="201" spans="1:16" x14ac:dyDescent="0.25">
      <c r="A201" s="117">
        <v>540275</v>
      </c>
      <c r="B201" s="2" t="s">
        <v>318</v>
      </c>
      <c r="C201" s="2" t="s">
        <v>65</v>
      </c>
      <c r="D201" s="2" t="s">
        <v>115</v>
      </c>
      <c r="E201" s="117">
        <v>10</v>
      </c>
      <c r="F201" s="117">
        <v>0</v>
      </c>
      <c r="G201" s="117">
        <v>0</v>
      </c>
      <c r="H201" s="117">
        <v>0</v>
      </c>
      <c r="I201" s="267" t="s">
        <v>488</v>
      </c>
      <c r="J201" s="267" t="s">
        <v>488</v>
      </c>
      <c r="K201" s="117">
        <v>0</v>
      </c>
      <c r="L201" s="267" t="s">
        <v>488</v>
      </c>
      <c r="M201" s="117">
        <v>0</v>
      </c>
      <c r="N201" s="267" t="s">
        <v>488</v>
      </c>
      <c r="O201" s="117">
        <v>0</v>
      </c>
      <c r="P201" s="267" t="s">
        <v>488</v>
      </c>
    </row>
    <row r="202" spans="1:16" x14ac:dyDescent="0.25">
      <c r="A202" s="269"/>
      <c r="B202" s="269"/>
      <c r="C202" s="269" t="s">
        <v>65</v>
      </c>
      <c r="D202" s="269"/>
      <c r="E202" s="269"/>
      <c r="F202" s="270">
        <v>25.8</v>
      </c>
      <c r="G202" s="270">
        <v>11.9</v>
      </c>
      <c r="H202" s="270">
        <v>0</v>
      </c>
      <c r="I202" s="271">
        <v>0</v>
      </c>
      <c r="J202" s="271">
        <v>0</v>
      </c>
      <c r="K202" s="270">
        <v>0</v>
      </c>
      <c r="L202" s="271" t="s">
        <v>488</v>
      </c>
      <c r="M202" s="270">
        <v>0</v>
      </c>
      <c r="N202" s="271"/>
      <c r="O202" s="270">
        <v>0</v>
      </c>
      <c r="P202" s="271"/>
    </row>
    <row r="203" spans="1:16" x14ac:dyDescent="0.25">
      <c r="A203" s="117">
        <v>540153</v>
      </c>
      <c r="B203" s="2" t="s">
        <v>66</v>
      </c>
      <c r="C203" s="2" t="s">
        <v>67</v>
      </c>
      <c r="D203" s="2" t="s">
        <v>5</v>
      </c>
      <c r="E203" s="117">
        <v>8</v>
      </c>
      <c r="F203" s="117">
        <v>0</v>
      </c>
      <c r="G203" s="117">
        <v>0</v>
      </c>
      <c r="H203" s="117">
        <v>0</v>
      </c>
      <c r="I203" s="267" t="s">
        <v>488</v>
      </c>
      <c r="J203" s="267" t="s">
        <v>488</v>
      </c>
      <c r="K203" s="117">
        <v>0</v>
      </c>
      <c r="L203" s="267" t="s">
        <v>488</v>
      </c>
      <c r="M203" s="117">
        <v>0</v>
      </c>
      <c r="N203" s="267" t="s">
        <v>488</v>
      </c>
      <c r="O203" s="117">
        <v>0</v>
      </c>
      <c r="P203" s="267" t="s">
        <v>488</v>
      </c>
    </row>
    <row r="204" spans="1:16" x14ac:dyDescent="0.25">
      <c r="A204" s="117">
        <v>540154</v>
      </c>
      <c r="B204" s="2" t="s">
        <v>230</v>
      </c>
      <c r="C204" s="2" t="s">
        <v>67</v>
      </c>
      <c r="D204" s="2" t="s">
        <v>115</v>
      </c>
      <c r="E204" s="117">
        <v>8</v>
      </c>
      <c r="F204" s="117">
        <v>0</v>
      </c>
      <c r="G204" s="117">
        <v>0</v>
      </c>
      <c r="H204" s="117">
        <v>0</v>
      </c>
      <c r="I204" s="267" t="s">
        <v>488</v>
      </c>
      <c r="J204" s="267" t="s">
        <v>488</v>
      </c>
      <c r="K204" s="117">
        <v>0</v>
      </c>
      <c r="L204" s="267" t="s">
        <v>488</v>
      </c>
      <c r="M204" s="117">
        <v>0</v>
      </c>
      <c r="N204" s="267" t="s">
        <v>488</v>
      </c>
      <c r="O204" s="117">
        <v>0</v>
      </c>
      <c r="P204" s="267" t="s">
        <v>488</v>
      </c>
    </row>
    <row r="205" spans="1:16" x14ac:dyDescent="0.25">
      <c r="A205" s="269"/>
      <c r="B205" s="269"/>
      <c r="C205" s="269" t="s">
        <v>67</v>
      </c>
      <c r="D205" s="269"/>
      <c r="E205" s="269"/>
      <c r="F205" s="270">
        <v>0</v>
      </c>
      <c r="G205" s="270">
        <v>0</v>
      </c>
      <c r="H205" s="270">
        <v>0</v>
      </c>
      <c r="I205" s="271" t="s">
        <v>488</v>
      </c>
      <c r="J205" s="271" t="s">
        <v>488</v>
      </c>
      <c r="K205" s="270">
        <v>0</v>
      </c>
      <c r="L205" s="271" t="s">
        <v>488</v>
      </c>
      <c r="M205" s="270">
        <v>0</v>
      </c>
      <c r="N205" s="271"/>
      <c r="O205" s="270">
        <v>0</v>
      </c>
      <c r="P205" s="271"/>
    </row>
    <row r="206" spans="1:16" x14ac:dyDescent="0.25">
      <c r="A206" s="117">
        <v>540160</v>
      </c>
      <c r="B206" s="2" t="s">
        <v>68</v>
      </c>
      <c r="C206" s="2" t="s">
        <v>69</v>
      </c>
      <c r="D206" s="2" t="s">
        <v>5</v>
      </c>
      <c r="E206" s="117">
        <v>6</v>
      </c>
      <c r="F206" s="117">
        <v>67.3</v>
      </c>
      <c r="G206" s="117">
        <v>8.6999999999999993</v>
      </c>
      <c r="H206" s="117">
        <v>8.6</v>
      </c>
      <c r="I206" s="267">
        <v>0.98850000000000005</v>
      </c>
      <c r="J206" s="267">
        <v>0.1278</v>
      </c>
      <c r="K206" s="117">
        <v>1</v>
      </c>
      <c r="L206" s="267">
        <v>0.1163</v>
      </c>
      <c r="M206" s="117">
        <v>1.9</v>
      </c>
      <c r="N206" s="267">
        <v>0.22090000000000001</v>
      </c>
      <c r="O206" s="117">
        <v>5.7</v>
      </c>
      <c r="P206" s="267">
        <v>0.66279999999999994</v>
      </c>
    </row>
    <row r="207" spans="1:16" x14ac:dyDescent="0.25">
      <c r="A207" s="117">
        <v>540137</v>
      </c>
      <c r="B207" s="2" t="s">
        <v>220</v>
      </c>
      <c r="C207" s="2" t="s">
        <v>69</v>
      </c>
      <c r="D207" s="2" t="s">
        <v>115</v>
      </c>
      <c r="E207" s="117">
        <v>6</v>
      </c>
      <c r="F207" s="117">
        <v>1.2</v>
      </c>
      <c r="G207" s="117">
        <v>0</v>
      </c>
      <c r="H207" s="117">
        <v>0</v>
      </c>
      <c r="I207" s="267" t="s">
        <v>488</v>
      </c>
      <c r="J207" s="267">
        <v>0</v>
      </c>
      <c r="K207" s="117">
        <v>0</v>
      </c>
      <c r="L207" s="267" t="s">
        <v>488</v>
      </c>
      <c r="M207" s="117">
        <v>0</v>
      </c>
      <c r="N207" s="267" t="s">
        <v>488</v>
      </c>
      <c r="O207" s="117">
        <v>0</v>
      </c>
      <c r="P207" s="267" t="s">
        <v>488</v>
      </c>
    </row>
    <row r="208" spans="1:16" x14ac:dyDescent="0.25">
      <c r="A208" s="117">
        <v>540161</v>
      </c>
      <c r="B208" s="2" t="s">
        <v>235</v>
      </c>
      <c r="C208" s="2" t="s">
        <v>69</v>
      </c>
      <c r="D208" s="2" t="s">
        <v>115</v>
      </c>
      <c r="E208" s="117">
        <v>6</v>
      </c>
      <c r="F208" s="117">
        <v>0</v>
      </c>
      <c r="G208" s="117">
        <v>0</v>
      </c>
      <c r="H208" s="117">
        <v>0</v>
      </c>
      <c r="I208" s="267" t="s">
        <v>488</v>
      </c>
      <c r="J208" s="267" t="s">
        <v>488</v>
      </c>
      <c r="K208" s="117">
        <v>0</v>
      </c>
      <c r="L208" s="267" t="s">
        <v>488</v>
      </c>
      <c r="M208" s="117">
        <v>0</v>
      </c>
      <c r="N208" s="267" t="s">
        <v>488</v>
      </c>
      <c r="O208" s="117">
        <v>0</v>
      </c>
      <c r="P208" s="267" t="s">
        <v>488</v>
      </c>
    </row>
    <row r="209" spans="1:16" x14ac:dyDescent="0.25">
      <c r="A209" s="117">
        <v>540162</v>
      </c>
      <c r="B209" s="2" t="s">
        <v>236</v>
      </c>
      <c r="C209" s="2" t="s">
        <v>69</v>
      </c>
      <c r="D209" s="2" t="s">
        <v>115</v>
      </c>
      <c r="E209" s="117">
        <v>6</v>
      </c>
      <c r="F209" s="117">
        <v>0</v>
      </c>
      <c r="G209" s="117">
        <v>0</v>
      </c>
      <c r="H209" s="117">
        <v>0</v>
      </c>
      <c r="I209" s="267" t="s">
        <v>488</v>
      </c>
      <c r="J209" s="267" t="s">
        <v>488</v>
      </c>
      <c r="K209" s="117">
        <v>0</v>
      </c>
      <c r="L209" s="267" t="s">
        <v>488</v>
      </c>
      <c r="M209" s="117">
        <v>0</v>
      </c>
      <c r="N209" s="267" t="s">
        <v>488</v>
      </c>
      <c r="O209" s="117">
        <v>0</v>
      </c>
      <c r="P209" s="267" t="s">
        <v>488</v>
      </c>
    </row>
    <row r="210" spans="1:16" x14ac:dyDescent="0.25">
      <c r="A210" s="117">
        <v>540163</v>
      </c>
      <c r="B210" s="2" t="s">
        <v>237</v>
      </c>
      <c r="C210" s="2" t="s">
        <v>69</v>
      </c>
      <c r="D210" s="2" t="s">
        <v>115</v>
      </c>
      <c r="E210" s="117">
        <v>6</v>
      </c>
      <c r="F210" s="117">
        <v>4.8</v>
      </c>
      <c r="G210" s="117">
        <v>1.9</v>
      </c>
      <c r="H210" s="117">
        <v>1.7</v>
      </c>
      <c r="I210" s="267">
        <v>0.89470000000000005</v>
      </c>
      <c r="J210" s="267">
        <v>0.35420000000000001</v>
      </c>
      <c r="K210" s="117">
        <v>0.8</v>
      </c>
      <c r="L210" s="267">
        <v>0.47060000000000002</v>
      </c>
      <c r="M210" s="117">
        <v>0.4</v>
      </c>
      <c r="N210" s="267">
        <v>0.23530000000000001</v>
      </c>
      <c r="O210" s="117">
        <v>0.5</v>
      </c>
      <c r="P210" s="267">
        <v>0.29409999999999997</v>
      </c>
    </row>
    <row r="211" spans="1:16" x14ac:dyDescent="0.25">
      <c r="A211" s="117">
        <v>540254</v>
      </c>
      <c r="B211" s="2" t="s">
        <v>300</v>
      </c>
      <c r="C211" s="2" t="s">
        <v>69</v>
      </c>
      <c r="D211" s="2" t="s">
        <v>115</v>
      </c>
      <c r="E211" s="117">
        <v>6</v>
      </c>
      <c r="F211" s="117">
        <v>1.2</v>
      </c>
      <c r="G211" s="117">
        <v>0</v>
      </c>
      <c r="H211" s="117">
        <v>0</v>
      </c>
      <c r="I211" s="267" t="s">
        <v>488</v>
      </c>
      <c r="J211" s="267">
        <v>0</v>
      </c>
      <c r="K211" s="117">
        <v>0</v>
      </c>
      <c r="L211" s="267" t="s">
        <v>488</v>
      </c>
      <c r="M211" s="117">
        <v>0</v>
      </c>
      <c r="N211" s="267" t="s">
        <v>488</v>
      </c>
      <c r="O211" s="117">
        <v>0</v>
      </c>
      <c r="P211" s="267" t="s">
        <v>488</v>
      </c>
    </row>
    <row r="212" spans="1:16" x14ac:dyDescent="0.25">
      <c r="A212" s="117">
        <v>540257</v>
      </c>
      <c r="B212" s="2" t="s">
        <v>302</v>
      </c>
      <c r="C212" s="2" t="s">
        <v>69</v>
      </c>
      <c r="D212" s="2" t="s">
        <v>115</v>
      </c>
      <c r="E212" s="117">
        <v>6</v>
      </c>
      <c r="F212" s="117">
        <v>1.9</v>
      </c>
      <c r="G212" s="117">
        <v>0</v>
      </c>
      <c r="H212" s="117">
        <v>0</v>
      </c>
      <c r="I212" s="267" t="s">
        <v>488</v>
      </c>
      <c r="J212" s="267">
        <v>0</v>
      </c>
      <c r="K212" s="117">
        <v>0</v>
      </c>
      <c r="L212" s="267" t="s">
        <v>488</v>
      </c>
      <c r="M212" s="117">
        <v>0</v>
      </c>
      <c r="N212" s="267" t="s">
        <v>488</v>
      </c>
      <c r="O212" s="117">
        <v>0</v>
      </c>
      <c r="P212" s="267" t="s">
        <v>488</v>
      </c>
    </row>
    <row r="213" spans="1:16" x14ac:dyDescent="0.25">
      <c r="A213" s="117">
        <v>540268</v>
      </c>
      <c r="B213" s="2" t="s">
        <v>311</v>
      </c>
      <c r="C213" s="2" t="s">
        <v>69</v>
      </c>
      <c r="D213" s="2" t="s">
        <v>115</v>
      </c>
      <c r="E213" s="117">
        <v>6</v>
      </c>
      <c r="F213" s="117">
        <v>1.3</v>
      </c>
      <c r="G213" s="117">
        <v>0</v>
      </c>
      <c r="H213" s="117">
        <v>0</v>
      </c>
      <c r="I213" s="267" t="s">
        <v>488</v>
      </c>
      <c r="J213" s="267">
        <v>0</v>
      </c>
      <c r="K213" s="117">
        <v>0</v>
      </c>
      <c r="L213" s="267" t="s">
        <v>488</v>
      </c>
      <c r="M213" s="117">
        <v>0</v>
      </c>
      <c r="N213" s="267" t="s">
        <v>488</v>
      </c>
      <c r="O213" s="117">
        <v>0</v>
      </c>
      <c r="P213" s="267" t="s">
        <v>488</v>
      </c>
    </row>
    <row r="214" spans="1:16" x14ac:dyDescent="0.25">
      <c r="A214" s="117">
        <v>540269</v>
      </c>
      <c r="B214" s="2" t="s">
        <v>312</v>
      </c>
      <c r="C214" s="2" t="s">
        <v>69</v>
      </c>
      <c r="D214" s="2" t="s">
        <v>115</v>
      </c>
      <c r="E214" s="117">
        <v>6</v>
      </c>
      <c r="F214" s="117">
        <v>1.1000000000000001</v>
      </c>
      <c r="G214" s="117">
        <v>0.3</v>
      </c>
      <c r="H214" s="117">
        <v>0.3</v>
      </c>
      <c r="I214" s="267">
        <v>1</v>
      </c>
      <c r="J214" s="267">
        <v>0.2727</v>
      </c>
      <c r="K214" s="117">
        <v>0</v>
      </c>
      <c r="L214" s="267">
        <v>0</v>
      </c>
      <c r="M214" s="117">
        <v>0.2</v>
      </c>
      <c r="N214" s="267">
        <v>0.66669999999999996</v>
      </c>
      <c r="O214" s="117">
        <v>0.1</v>
      </c>
      <c r="P214" s="267">
        <v>0.33329999999999999</v>
      </c>
    </row>
    <row r="215" spans="1:16" x14ac:dyDescent="0.25">
      <c r="A215" s="117">
        <v>540270</v>
      </c>
      <c r="B215" s="2" t="s">
        <v>313</v>
      </c>
      <c r="C215" s="2" t="s">
        <v>69</v>
      </c>
      <c r="D215" s="2" t="s">
        <v>115</v>
      </c>
      <c r="E215" s="117">
        <v>6</v>
      </c>
      <c r="F215" s="117">
        <v>0</v>
      </c>
      <c r="G215" s="117">
        <v>0</v>
      </c>
      <c r="H215" s="117">
        <v>0</v>
      </c>
      <c r="I215" s="267" t="s">
        <v>488</v>
      </c>
      <c r="J215" s="267" t="s">
        <v>488</v>
      </c>
      <c r="K215" s="117">
        <v>0</v>
      </c>
      <c r="L215" s="267" t="s">
        <v>488</v>
      </c>
      <c r="M215" s="117">
        <v>0</v>
      </c>
      <c r="N215" s="267" t="s">
        <v>488</v>
      </c>
      <c r="O215" s="117">
        <v>0</v>
      </c>
      <c r="P215" s="267" t="s">
        <v>488</v>
      </c>
    </row>
    <row r="216" spans="1:16" x14ac:dyDescent="0.25">
      <c r="A216" s="117">
        <v>540284</v>
      </c>
      <c r="B216" s="2" t="s">
        <v>323</v>
      </c>
      <c r="C216" s="2" t="s">
        <v>69</v>
      </c>
      <c r="D216" s="2" t="s">
        <v>115</v>
      </c>
      <c r="E216" s="117">
        <v>6</v>
      </c>
      <c r="F216" s="117">
        <v>0</v>
      </c>
      <c r="G216" s="117">
        <v>0</v>
      </c>
      <c r="H216" s="117">
        <v>0</v>
      </c>
      <c r="I216" s="267" t="s">
        <v>488</v>
      </c>
      <c r="J216" s="267" t="s">
        <v>488</v>
      </c>
      <c r="K216" s="117">
        <v>0</v>
      </c>
      <c r="L216" s="267" t="s">
        <v>488</v>
      </c>
      <c r="M216" s="117">
        <v>0</v>
      </c>
      <c r="N216" s="267" t="s">
        <v>488</v>
      </c>
      <c r="O216" s="117">
        <v>0</v>
      </c>
      <c r="P216" s="267" t="s">
        <v>488</v>
      </c>
    </row>
    <row r="217" spans="1:16" x14ac:dyDescent="0.25">
      <c r="A217" s="269"/>
      <c r="B217" s="269"/>
      <c r="C217" s="269" t="s">
        <v>69</v>
      </c>
      <c r="D217" s="269"/>
      <c r="E217" s="269"/>
      <c r="F217" s="270">
        <v>78.8</v>
      </c>
      <c r="G217" s="270">
        <v>10.9</v>
      </c>
      <c r="H217" s="270">
        <v>10.6</v>
      </c>
      <c r="I217" s="271">
        <v>0.97250000000000003</v>
      </c>
      <c r="J217" s="271">
        <v>0.13450000000000001</v>
      </c>
      <c r="K217" s="270">
        <v>1.8</v>
      </c>
      <c r="L217" s="271">
        <v>0.16980000000000001</v>
      </c>
      <c r="M217" s="270">
        <v>2.5</v>
      </c>
      <c r="N217" s="271">
        <v>0.23580000000000001</v>
      </c>
      <c r="O217" s="270">
        <v>6.3</v>
      </c>
      <c r="P217" s="271">
        <v>0.59430000000000005</v>
      </c>
    </row>
    <row r="218" spans="1:16" x14ac:dyDescent="0.25">
      <c r="A218" s="117">
        <v>540164</v>
      </c>
      <c r="B218" s="2" t="s">
        <v>70</v>
      </c>
      <c r="C218" s="2" t="s">
        <v>71</v>
      </c>
      <c r="D218" s="2" t="s">
        <v>5</v>
      </c>
      <c r="E218" s="117">
        <v>3</v>
      </c>
      <c r="F218" s="117">
        <v>31.6</v>
      </c>
      <c r="G218" s="117">
        <v>4.5999999999999996</v>
      </c>
      <c r="H218" s="117">
        <v>0</v>
      </c>
      <c r="I218" s="267">
        <v>0</v>
      </c>
      <c r="J218" s="267">
        <v>0</v>
      </c>
      <c r="K218" s="117">
        <v>0</v>
      </c>
      <c r="L218" s="267" t="s">
        <v>488</v>
      </c>
      <c r="M218" s="117">
        <v>0</v>
      </c>
      <c r="N218" s="267" t="s">
        <v>488</v>
      </c>
      <c r="O218" s="117">
        <v>0</v>
      </c>
      <c r="P218" s="267" t="s">
        <v>488</v>
      </c>
    </row>
    <row r="219" spans="1:16" x14ac:dyDescent="0.25">
      <c r="A219" s="117">
        <v>540081</v>
      </c>
      <c r="B219" s="2" t="s">
        <v>176</v>
      </c>
      <c r="C219" s="2" t="s">
        <v>71</v>
      </c>
      <c r="D219" s="2" t="s">
        <v>115</v>
      </c>
      <c r="E219" s="117">
        <v>3</v>
      </c>
      <c r="F219" s="117">
        <v>4.0999999999999996</v>
      </c>
      <c r="G219" s="117">
        <v>0</v>
      </c>
      <c r="H219" s="117">
        <v>0</v>
      </c>
      <c r="I219" s="267" t="s">
        <v>488</v>
      </c>
      <c r="J219" s="267">
        <v>0</v>
      </c>
      <c r="K219" s="117">
        <v>0</v>
      </c>
      <c r="L219" s="267" t="s">
        <v>488</v>
      </c>
      <c r="M219" s="117">
        <v>0</v>
      </c>
      <c r="N219" s="267" t="s">
        <v>488</v>
      </c>
      <c r="O219" s="117">
        <v>0</v>
      </c>
      <c r="P219" s="267" t="s">
        <v>488</v>
      </c>
    </row>
    <row r="220" spans="1:16" x14ac:dyDescent="0.25">
      <c r="A220" s="117">
        <v>540165</v>
      </c>
      <c r="B220" s="2" t="s">
        <v>238</v>
      </c>
      <c r="C220" s="2" t="s">
        <v>71</v>
      </c>
      <c r="D220" s="2" t="s">
        <v>115</v>
      </c>
      <c r="E220" s="117">
        <v>3</v>
      </c>
      <c r="F220" s="117">
        <v>0.6</v>
      </c>
      <c r="G220" s="117">
        <v>0</v>
      </c>
      <c r="H220" s="117">
        <v>0</v>
      </c>
      <c r="I220" s="267" t="s">
        <v>488</v>
      </c>
      <c r="J220" s="267">
        <v>0</v>
      </c>
      <c r="K220" s="117">
        <v>0</v>
      </c>
      <c r="L220" s="267" t="s">
        <v>488</v>
      </c>
      <c r="M220" s="117">
        <v>0</v>
      </c>
      <c r="N220" s="267" t="s">
        <v>488</v>
      </c>
      <c r="O220" s="117">
        <v>0</v>
      </c>
      <c r="P220" s="267" t="s">
        <v>488</v>
      </c>
    </row>
    <row r="221" spans="1:16" x14ac:dyDescent="0.25">
      <c r="A221" s="117">
        <v>540166</v>
      </c>
      <c r="B221" s="2" t="s">
        <v>239</v>
      </c>
      <c r="C221" s="2" t="s">
        <v>71</v>
      </c>
      <c r="D221" s="2" t="s">
        <v>115</v>
      </c>
      <c r="E221" s="117">
        <v>3</v>
      </c>
      <c r="F221" s="117">
        <v>1</v>
      </c>
      <c r="G221" s="117">
        <v>0</v>
      </c>
      <c r="H221" s="117">
        <v>0</v>
      </c>
      <c r="I221" s="267" t="s">
        <v>488</v>
      </c>
      <c r="J221" s="267">
        <v>0</v>
      </c>
      <c r="K221" s="117">
        <v>0</v>
      </c>
      <c r="L221" s="267" t="s">
        <v>488</v>
      </c>
      <c r="M221" s="117">
        <v>0</v>
      </c>
      <c r="N221" s="267" t="s">
        <v>488</v>
      </c>
      <c r="O221" s="117">
        <v>0</v>
      </c>
      <c r="P221" s="267" t="s">
        <v>488</v>
      </c>
    </row>
    <row r="222" spans="1:16" x14ac:dyDescent="0.25">
      <c r="A222" s="117">
        <v>540167</v>
      </c>
      <c r="B222" s="2" t="s">
        <v>240</v>
      </c>
      <c r="C222" s="2" t="s">
        <v>71</v>
      </c>
      <c r="D222" s="2" t="s">
        <v>115</v>
      </c>
      <c r="E222" s="117">
        <v>3</v>
      </c>
      <c r="F222" s="117">
        <v>2.7</v>
      </c>
      <c r="G222" s="117">
        <v>0</v>
      </c>
      <c r="H222" s="117">
        <v>0</v>
      </c>
      <c r="I222" s="267" t="s">
        <v>488</v>
      </c>
      <c r="J222" s="267">
        <v>0</v>
      </c>
      <c r="K222" s="117">
        <v>0</v>
      </c>
      <c r="L222" s="267" t="s">
        <v>488</v>
      </c>
      <c r="M222" s="117">
        <v>0</v>
      </c>
      <c r="N222" s="267" t="s">
        <v>488</v>
      </c>
      <c r="O222" s="117">
        <v>0</v>
      </c>
      <c r="P222" s="267" t="s">
        <v>488</v>
      </c>
    </row>
    <row r="223" spans="1:16" x14ac:dyDescent="0.25">
      <c r="A223" s="117">
        <v>540168</v>
      </c>
      <c r="B223" s="2" t="s">
        <v>241</v>
      </c>
      <c r="C223" s="2" t="s">
        <v>71</v>
      </c>
      <c r="D223" s="2" t="s">
        <v>115</v>
      </c>
      <c r="E223" s="117">
        <v>3</v>
      </c>
      <c r="F223" s="117">
        <v>1</v>
      </c>
      <c r="G223" s="117">
        <v>0.2</v>
      </c>
      <c r="H223" s="117">
        <v>0</v>
      </c>
      <c r="I223" s="267">
        <v>0</v>
      </c>
      <c r="J223" s="267">
        <v>0</v>
      </c>
      <c r="K223" s="117">
        <v>0</v>
      </c>
      <c r="L223" s="267" t="s">
        <v>488</v>
      </c>
      <c r="M223" s="117">
        <v>0</v>
      </c>
      <c r="N223" s="267" t="s">
        <v>488</v>
      </c>
      <c r="O223" s="117">
        <v>0</v>
      </c>
      <c r="P223" s="267" t="s">
        <v>488</v>
      </c>
    </row>
    <row r="224" spans="1:16" x14ac:dyDescent="0.25">
      <c r="A224" s="117">
        <v>540222</v>
      </c>
      <c r="B224" s="2" t="s">
        <v>276</v>
      </c>
      <c r="C224" s="2" t="s">
        <v>71</v>
      </c>
      <c r="D224" s="2" t="s">
        <v>115</v>
      </c>
      <c r="E224" s="117">
        <v>3</v>
      </c>
      <c r="F224" s="117">
        <v>2.6</v>
      </c>
      <c r="G224" s="117">
        <v>0</v>
      </c>
      <c r="H224" s="117">
        <v>0</v>
      </c>
      <c r="I224" s="267" t="s">
        <v>488</v>
      </c>
      <c r="J224" s="267">
        <v>0</v>
      </c>
      <c r="K224" s="117">
        <v>0</v>
      </c>
      <c r="L224" s="267" t="s">
        <v>488</v>
      </c>
      <c r="M224" s="117">
        <v>0</v>
      </c>
      <c r="N224" s="267" t="s">
        <v>488</v>
      </c>
      <c r="O224" s="117">
        <v>0</v>
      </c>
      <c r="P224" s="267" t="s">
        <v>488</v>
      </c>
    </row>
    <row r="225" spans="1:16" x14ac:dyDescent="0.25">
      <c r="A225" s="117">
        <v>540271</v>
      </c>
      <c r="B225" s="2" t="s">
        <v>314</v>
      </c>
      <c r="C225" s="2" t="s">
        <v>71</v>
      </c>
      <c r="D225" s="2" t="s">
        <v>115</v>
      </c>
      <c r="E225" s="117">
        <v>3</v>
      </c>
      <c r="F225" s="117">
        <v>0</v>
      </c>
      <c r="G225" s="117">
        <v>0</v>
      </c>
      <c r="H225" s="117">
        <v>0</v>
      </c>
      <c r="I225" s="267" t="s">
        <v>488</v>
      </c>
      <c r="J225" s="267" t="s">
        <v>488</v>
      </c>
      <c r="K225" s="117">
        <v>0</v>
      </c>
      <c r="L225" s="267" t="s">
        <v>488</v>
      </c>
      <c r="M225" s="117">
        <v>0</v>
      </c>
      <c r="N225" s="267" t="s">
        <v>488</v>
      </c>
      <c r="O225" s="117">
        <v>0</v>
      </c>
      <c r="P225" s="267" t="s">
        <v>488</v>
      </c>
    </row>
    <row r="226" spans="1:16" x14ac:dyDescent="0.25">
      <c r="A226" s="269"/>
      <c r="B226" s="269"/>
      <c r="C226" s="269" t="s">
        <v>71</v>
      </c>
      <c r="D226" s="269"/>
      <c r="E226" s="269"/>
      <c r="F226" s="270">
        <v>43.6</v>
      </c>
      <c r="G226" s="270">
        <v>4.8</v>
      </c>
      <c r="H226" s="270">
        <v>0</v>
      </c>
      <c r="I226" s="271">
        <v>0</v>
      </c>
      <c r="J226" s="271">
        <v>0</v>
      </c>
      <c r="K226" s="270">
        <v>0</v>
      </c>
      <c r="L226" s="271" t="s">
        <v>488</v>
      </c>
      <c r="M226" s="270">
        <v>0</v>
      </c>
      <c r="N226" s="271"/>
      <c r="O226" s="270">
        <v>0</v>
      </c>
      <c r="P226" s="271"/>
    </row>
    <row r="227" spans="1:16" x14ac:dyDescent="0.25">
      <c r="A227" s="117">
        <v>540169</v>
      </c>
      <c r="B227" s="2" t="s">
        <v>72</v>
      </c>
      <c r="C227" s="2" t="s">
        <v>73</v>
      </c>
      <c r="D227" s="2" t="s">
        <v>5</v>
      </c>
      <c r="E227" s="117">
        <v>1</v>
      </c>
      <c r="F227" s="117">
        <v>104.5</v>
      </c>
      <c r="G227" s="117">
        <v>50.7</v>
      </c>
      <c r="H227" s="117">
        <v>18.600000000000001</v>
      </c>
      <c r="I227" s="267">
        <v>0.3669</v>
      </c>
      <c r="J227" s="267">
        <v>0.17799999999999999</v>
      </c>
      <c r="K227" s="117">
        <v>4</v>
      </c>
      <c r="L227" s="267">
        <v>0.21510000000000001</v>
      </c>
      <c r="M227" s="117">
        <v>6.7</v>
      </c>
      <c r="N227" s="267">
        <v>0.36020000000000002</v>
      </c>
      <c r="O227" s="117">
        <v>7.9</v>
      </c>
      <c r="P227" s="267">
        <v>0.42470000000000002</v>
      </c>
    </row>
    <row r="228" spans="1:16" x14ac:dyDescent="0.25">
      <c r="A228" s="117">
        <v>540170</v>
      </c>
      <c r="B228" s="2" t="s">
        <v>242</v>
      </c>
      <c r="C228" s="2" t="s">
        <v>73</v>
      </c>
      <c r="D228" s="2" t="s">
        <v>115</v>
      </c>
      <c r="E228" s="117">
        <v>1</v>
      </c>
      <c r="F228" s="117">
        <v>0.1</v>
      </c>
      <c r="G228" s="117">
        <v>0.1</v>
      </c>
      <c r="H228" s="117">
        <v>0</v>
      </c>
      <c r="I228" s="267">
        <v>0</v>
      </c>
      <c r="J228" s="267">
        <v>0</v>
      </c>
      <c r="K228" s="117">
        <v>0</v>
      </c>
      <c r="L228" s="267" t="s">
        <v>488</v>
      </c>
      <c r="M228" s="117">
        <v>0</v>
      </c>
      <c r="N228" s="267" t="s">
        <v>488</v>
      </c>
      <c r="O228" s="117">
        <v>0</v>
      </c>
      <c r="P228" s="267" t="s">
        <v>488</v>
      </c>
    </row>
    <row r="229" spans="1:16" x14ac:dyDescent="0.25">
      <c r="A229" s="117">
        <v>540171</v>
      </c>
      <c r="B229" s="2" t="s">
        <v>243</v>
      </c>
      <c r="C229" s="2" t="s">
        <v>73</v>
      </c>
      <c r="D229" s="2" t="s">
        <v>115</v>
      </c>
      <c r="E229" s="117">
        <v>1</v>
      </c>
      <c r="F229" s="117">
        <v>1.2</v>
      </c>
      <c r="G229" s="117">
        <v>0.8</v>
      </c>
      <c r="H229" s="117">
        <v>0</v>
      </c>
      <c r="I229" s="267">
        <v>0</v>
      </c>
      <c r="J229" s="267">
        <v>0</v>
      </c>
      <c r="K229" s="117">
        <v>0</v>
      </c>
      <c r="L229" s="267" t="s">
        <v>488</v>
      </c>
      <c r="M229" s="117">
        <v>0</v>
      </c>
      <c r="N229" s="267" t="s">
        <v>488</v>
      </c>
      <c r="O229" s="117">
        <v>0</v>
      </c>
      <c r="P229" s="267" t="s">
        <v>488</v>
      </c>
    </row>
    <row r="230" spans="1:16" x14ac:dyDescent="0.25">
      <c r="A230" s="117">
        <v>540173</v>
      </c>
      <c r="B230" s="2" t="s">
        <v>245</v>
      </c>
      <c r="C230" s="2" t="s">
        <v>73</v>
      </c>
      <c r="D230" s="2" t="s">
        <v>115</v>
      </c>
      <c r="E230" s="117">
        <v>1</v>
      </c>
      <c r="F230" s="117">
        <v>0.9</v>
      </c>
      <c r="G230" s="117">
        <v>0.7</v>
      </c>
      <c r="H230" s="117">
        <v>0.1</v>
      </c>
      <c r="I230" s="267">
        <v>0.1429</v>
      </c>
      <c r="J230" s="267">
        <v>0.1111</v>
      </c>
      <c r="K230" s="117">
        <v>0</v>
      </c>
      <c r="L230" s="267">
        <v>0</v>
      </c>
      <c r="M230" s="117">
        <v>0.1</v>
      </c>
      <c r="N230" s="267">
        <v>1</v>
      </c>
      <c r="O230" s="117">
        <v>0</v>
      </c>
      <c r="P230" s="267">
        <v>0</v>
      </c>
    </row>
    <row r="231" spans="1:16" x14ac:dyDescent="0.25">
      <c r="A231" s="117">
        <v>540174</v>
      </c>
      <c r="B231" s="2" t="s">
        <v>246</v>
      </c>
      <c r="C231" s="2" t="s">
        <v>73</v>
      </c>
      <c r="D231" s="2" t="s">
        <v>115</v>
      </c>
      <c r="E231" s="117">
        <v>1</v>
      </c>
      <c r="F231" s="117">
        <v>0.7</v>
      </c>
      <c r="G231" s="117">
        <v>0</v>
      </c>
      <c r="H231" s="117">
        <v>0</v>
      </c>
      <c r="I231" s="267" t="s">
        <v>488</v>
      </c>
      <c r="J231" s="267">
        <v>0</v>
      </c>
      <c r="K231" s="117">
        <v>0</v>
      </c>
      <c r="L231" s="267" t="s">
        <v>488</v>
      </c>
      <c r="M231" s="117">
        <v>0</v>
      </c>
      <c r="N231" s="267" t="s">
        <v>488</v>
      </c>
      <c r="O231" s="117">
        <v>0</v>
      </c>
      <c r="P231" s="267" t="s">
        <v>488</v>
      </c>
    </row>
    <row r="232" spans="1:16" x14ac:dyDescent="0.25">
      <c r="A232" s="117">
        <v>540286</v>
      </c>
      <c r="B232" s="2" t="s">
        <v>325</v>
      </c>
      <c r="C232" s="2" t="s">
        <v>73</v>
      </c>
      <c r="D232" s="2" t="s">
        <v>115</v>
      </c>
      <c r="E232" s="117">
        <v>1</v>
      </c>
      <c r="F232" s="117">
        <v>1.1000000000000001</v>
      </c>
      <c r="G232" s="117">
        <v>0.6</v>
      </c>
      <c r="H232" s="117">
        <v>0</v>
      </c>
      <c r="I232" s="267">
        <v>0</v>
      </c>
      <c r="J232" s="267">
        <v>0</v>
      </c>
      <c r="K232" s="117">
        <v>0</v>
      </c>
      <c r="L232" s="267" t="s">
        <v>488</v>
      </c>
      <c r="M232" s="117">
        <v>0</v>
      </c>
      <c r="N232" s="267" t="s">
        <v>488</v>
      </c>
      <c r="O232" s="117">
        <v>0</v>
      </c>
      <c r="P232" s="267" t="s">
        <v>488</v>
      </c>
    </row>
    <row r="233" spans="1:16" x14ac:dyDescent="0.25">
      <c r="A233" s="269"/>
      <c r="B233" s="269"/>
      <c r="C233" s="269" t="s">
        <v>73</v>
      </c>
      <c r="D233" s="269"/>
      <c r="E233" s="269"/>
      <c r="F233" s="270">
        <v>108.5</v>
      </c>
      <c r="G233" s="270">
        <v>52.9</v>
      </c>
      <c r="H233" s="270">
        <v>18.7</v>
      </c>
      <c r="I233" s="271">
        <v>0.35349999999999998</v>
      </c>
      <c r="J233" s="271">
        <v>0.1724</v>
      </c>
      <c r="K233" s="270">
        <v>4</v>
      </c>
      <c r="L233" s="271">
        <v>0.21390000000000001</v>
      </c>
      <c r="M233" s="270">
        <v>6.8</v>
      </c>
      <c r="N233" s="271">
        <v>0.36359999999999998</v>
      </c>
      <c r="O233" s="270">
        <v>7.9</v>
      </c>
      <c r="P233" s="271">
        <v>0.42249999999999999</v>
      </c>
    </row>
    <row r="234" spans="1:16" x14ac:dyDescent="0.25">
      <c r="A234" s="117">
        <v>540183</v>
      </c>
      <c r="B234" s="2" t="s">
        <v>76</v>
      </c>
      <c r="C234" s="2" t="s">
        <v>77</v>
      </c>
      <c r="D234" s="2" t="s">
        <v>5</v>
      </c>
      <c r="E234" s="117">
        <v>5</v>
      </c>
      <c r="F234" s="117">
        <v>0</v>
      </c>
      <c r="G234" s="117">
        <v>0</v>
      </c>
      <c r="H234" s="117">
        <v>0</v>
      </c>
      <c r="I234" s="267" t="s">
        <v>488</v>
      </c>
      <c r="J234" s="267" t="s">
        <v>488</v>
      </c>
      <c r="K234" s="117">
        <v>0</v>
      </c>
      <c r="L234" s="267" t="s">
        <v>488</v>
      </c>
      <c r="M234" s="117">
        <v>0</v>
      </c>
      <c r="N234" s="267" t="s">
        <v>488</v>
      </c>
      <c r="O234" s="117">
        <v>0</v>
      </c>
      <c r="P234" s="267" t="s">
        <v>488</v>
      </c>
    </row>
    <row r="235" spans="1:16" x14ac:dyDescent="0.25">
      <c r="A235" s="117">
        <v>540184</v>
      </c>
      <c r="B235" s="2" t="s">
        <v>253</v>
      </c>
      <c r="C235" s="2" t="s">
        <v>77</v>
      </c>
      <c r="D235" s="2" t="s">
        <v>115</v>
      </c>
      <c r="E235" s="117">
        <v>5</v>
      </c>
      <c r="F235" s="117">
        <v>0</v>
      </c>
      <c r="G235" s="117">
        <v>0</v>
      </c>
      <c r="H235" s="117">
        <v>0</v>
      </c>
      <c r="I235" s="267" t="s">
        <v>488</v>
      </c>
      <c r="J235" s="267" t="s">
        <v>488</v>
      </c>
      <c r="K235" s="117">
        <v>0</v>
      </c>
      <c r="L235" s="267" t="s">
        <v>488</v>
      </c>
      <c r="M235" s="117">
        <v>0</v>
      </c>
      <c r="N235" s="267" t="s">
        <v>488</v>
      </c>
      <c r="O235" s="117">
        <v>0</v>
      </c>
      <c r="P235" s="267" t="s">
        <v>488</v>
      </c>
    </row>
    <row r="236" spans="1:16" x14ac:dyDescent="0.25">
      <c r="A236" s="117">
        <v>540185</v>
      </c>
      <c r="B236" s="2" t="s">
        <v>254</v>
      </c>
      <c r="C236" s="2" t="s">
        <v>77</v>
      </c>
      <c r="D236" s="2" t="s">
        <v>115</v>
      </c>
      <c r="E236" s="117">
        <v>5</v>
      </c>
      <c r="F236" s="117">
        <v>0</v>
      </c>
      <c r="G236" s="117">
        <v>0</v>
      </c>
      <c r="H236" s="117">
        <v>0</v>
      </c>
      <c r="I236" s="267" t="s">
        <v>488</v>
      </c>
      <c r="J236" s="267" t="s">
        <v>488</v>
      </c>
      <c r="K236" s="117">
        <v>0</v>
      </c>
      <c r="L236" s="267" t="s">
        <v>488</v>
      </c>
      <c r="M236" s="117">
        <v>0</v>
      </c>
      <c r="N236" s="267" t="s">
        <v>488</v>
      </c>
      <c r="O236" s="117">
        <v>0</v>
      </c>
      <c r="P236" s="267" t="s">
        <v>488</v>
      </c>
    </row>
    <row r="237" spans="1:16" x14ac:dyDescent="0.25">
      <c r="A237" s="269"/>
      <c r="B237" s="269"/>
      <c r="C237" s="269" t="s">
        <v>77</v>
      </c>
      <c r="D237" s="269"/>
      <c r="E237" s="269"/>
      <c r="F237" s="270">
        <v>0</v>
      </c>
      <c r="G237" s="270">
        <v>0</v>
      </c>
      <c r="H237" s="270">
        <v>0</v>
      </c>
      <c r="I237" s="271" t="s">
        <v>488</v>
      </c>
      <c r="J237" s="271" t="s">
        <v>488</v>
      </c>
      <c r="K237" s="270">
        <v>0</v>
      </c>
      <c r="L237" s="271" t="s">
        <v>488</v>
      </c>
      <c r="M237" s="270">
        <v>0</v>
      </c>
      <c r="N237" s="271"/>
      <c r="O237" s="270">
        <v>0</v>
      </c>
      <c r="P237" s="271"/>
    </row>
    <row r="238" spans="1:16" x14ac:dyDescent="0.25">
      <c r="A238" s="117">
        <v>540186</v>
      </c>
      <c r="B238" s="2" t="s">
        <v>78</v>
      </c>
      <c r="C238" s="2" t="s">
        <v>79</v>
      </c>
      <c r="D238" s="2" t="s">
        <v>5</v>
      </c>
      <c r="E238" s="117">
        <v>1</v>
      </c>
      <c r="F238" s="117">
        <v>36.200000000000003</v>
      </c>
      <c r="G238" s="117">
        <v>3.5</v>
      </c>
      <c r="H238" s="117">
        <v>0.6</v>
      </c>
      <c r="I238" s="267">
        <v>0.1714</v>
      </c>
      <c r="J238" s="267">
        <v>1.66E-2</v>
      </c>
      <c r="K238" s="117">
        <v>0.5</v>
      </c>
      <c r="L238" s="267">
        <v>0.83330000000000004</v>
      </c>
      <c r="M238" s="117">
        <v>0</v>
      </c>
      <c r="N238" s="267">
        <v>0</v>
      </c>
      <c r="O238" s="117">
        <v>0.1</v>
      </c>
      <c r="P238" s="267">
        <v>0.16669999999999999</v>
      </c>
    </row>
    <row r="239" spans="1:16" x14ac:dyDescent="0.25">
      <c r="A239" s="117">
        <v>540187</v>
      </c>
      <c r="B239" s="2" t="s">
        <v>255</v>
      </c>
      <c r="C239" s="2" t="s">
        <v>79</v>
      </c>
      <c r="D239" s="2" t="s">
        <v>115</v>
      </c>
      <c r="E239" s="117">
        <v>1</v>
      </c>
      <c r="F239" s="117">
        <v>4.7</v>
      </c>
      <c r="G239" s="117">
        <v>0</v>
      </c>
      <c r="H239" s="117">
        <v>0</v>
      </c>
      <c r="I239" s="267" t="s">
        <v>488</v>
      </c>
      <c r="J239" s="267">
        <v>0</v>
      </c>
      <c r="K239" s="117">
        <v>0</v>
      </c>
      <c r="L239" s="267" t="s">
        <v>488</v>
      </c>
      <c r="M239" s="117">
        <v>0</v>
      </c>
      <c r="N239" s="267" t="s">
        <v>488</v>
      </c>
      <c r="O239" s="117">
        <v>0</v>
      </c>
      <c r="P239" s="267" t="s">
        <v>488</v>
      </c>
    </row>
    <row r="240" spans="1:16" x14ac:dyDescent="0.25">
      <c r="A240" s="269"/>
      <c r="B240" s="269"/>
      <c r="C240" s="269" t="s">
        <v>79</v>
      </c>
      <c r="D240" s="269"/>
      <c r="E240" s="269"/>
      <c r="F240" s="270">
        <v>40.9</v>
      </c>
      <c r="G240" s="270">
        <v>3.5</v>
      </c>
      <c r="H240" s="270">
        <v>0.6</v>
      </c>
      <c r="I240" s="271">
        <v>0.1714</v>
      </c>
      <c r="J240" s="271">
        <v>1.47E-2</v>
      </c>
      <c r="K240" s="270">
        <v>0.5</v>
      </c>
      <c r="L240" s="271">
        <v>0.83330000000000004</v>
      </c>
      <c r="M240" s="270">
        <v>0</v>
      </c>
      <c r="N240" s="271">
        <v>0</v>
      </c>
      <c r="O240" s="270">
        <v>0.1</v>
      </c>
      <c r="P240" s="271">
        <v>0.16669999999999999</v>
      </c>
    </row>
    <row r="241" spans="1:16" x14ac:dyDescent="0.25">
      <c r="A241" s="117">
        <v>540188</v>
      </c>
      <c r="B241" s="2" t="s">
        <v>80</v>
      </c>
      <c r="C241" s="2" t="s">
        <v>81</v>
      </c>
      <c r="D241" s="2" t="s">
        <v>5</v>
      </c>
      <c r="E241" s="117">
        <v>6</v>
      </c>
      <c r="F241" s="117">
        <v>33.6</v>
      </c>
      <c r="G241" s="117">
        <v>6.3</v>
      </c>
      <c r="H241" s="117">
        <v>3.8</v>
      </c>
      <c r="I241" s="267">
        <v>0.60319999999999996</v>
      </c>
      <c r="J241" s="267">
        <v>0.11310000000000001</v>
      </c>
      <c r="K241" s="117">
        <v>0.8</v>
      </c>
      <c r="L241" s="267">
        <v>0.21049999999999999</v>
      </c>
      <c r="M241" s="117">
        <v>2</v>
      </c>
      <c r="N241" s="267">
        <v>0.52629999999999999</v>
      </c>
      <c r="O241" s="117">
        <v>1</v>
      </c>
      <c r="P241" s="267">
        <v>0.26319999999999999</v>
      </c>
    </row>
    <row r="242" spans="1:16" x14ac:dyDescent="0.25">
      <c r="A242" s="117">
        <v>540189</v>
      </c>
      <c r="B242" s="2" t="s">
        <v>256</v>
      </c>
      <c r="C242" s="2" t="s">
        <v>81</v>
      </c>
      <c r="D242" s="2" t="s">
        <v>115</v>
      </c>
      <c r="E242" s="117">
        <v>6</v>
      </c>
      <c r="F242" s="117">
        <v>1.2</v>
      </c>
      <c r="G242" s="117">
        <v>0</v>
      </c>
      <c r="H242" s="117">
        <v>0</v>
      </c>
      <c r="I242" s="267" t="s">
        <v>488</v>
      </c>
      <c r="J242" s="267">
        <v>0</v>
      </c>
      <c r="K242" s="117">
        <v>0</v>
      </c>
      <c r="L242" s="267" t="s">
        <v>488</v>
      </c>
      <c r="M242" s="117">
        <v>0</v>
      </c>
      <c r="N242" s="267" t="s">
        <v>488</v>
      </c>
      <c r="O242" s="117">
        <v>0</v>
      </c>
      <c r="P242" s="267" t="s">
        <v>488</v>
      </c>
    </row>
    <row r="243" spans="1:16" x14ac:dyDescent="0.25">
      <c r="A243" s="117">
        <v>540190</v>
      </c>
      <c r="B243" s="2" t="s">
        <v>257</v>
      </c>
      <c r="C243" s="2" t="s">
        <v>81</v>
      </c>
      <c r="D243" s="2" t="s">
        <v>115</v>
      </c>
      <c r="E243" s="117">
        <v>6</v>
      </c>
      <c r="F243" s="117">
        <v>4.9000000000000004</v>
      </c>
      <c r="G243" s="117">
        <v>1</v>
      </c>
      <c r="H243" s="117">
        <v>0.1</v>
      </c>
      <c r="I243" s="267">
        <v>0.1</v>
      </c>
      <c r="J243" s="267">
        <v>2.0400000000000001E-2</v>
      </c>
      <c r="K243" s="117">
        <v>0</v>
      </c>
      <c r="L243" s="267">
        <v>0</v>
      </c>
      <c r="M243" s="117">
        <v>0</v>
      </c>
      <c r="N243" s="267">
        <v>0</v>
      </c>
      <c r="O243" s="117">
        <v>0.1</v>
      </c>
      <c r="P243" s="267">
        <v>1</v>
      </c>
    </row>
    <row r="244" spans="1:16" x14ac:dyDescent="0.25">
      <c r="A244" s="269"/>
      <c r="B244" s="269"/>
      <c r="C244" s="269" t="s">
        <v>81</v>
      </c>
      <c r="D244" s="269"/>
      <c r="E244" s="269"/>
      <c r="F244" s="270">
        <v>39.700000000000003</v>
      </c>
      <c r="G244" s="270">
        <v>7.3</v>
      </c>
      <c r="H244" s="270">
        <v>3.9</v>
      </c>
      <c r="I244" s="271">
        <v>0.53420000000000001</v>
      </c>
      <c r="J244" s="271">
        <v>9.8199999999999996E-2</v>
      </c>
      <c r="K244" s="270">
        <v>0.8</v>
      </c>
      <c r="L244" s="271">
        <v>0.2051</v>
      </c>
      <c r="M244" s="270">
        <v>2</v>
      </c>
      <c r="N244" s="271">
        <v>0.51280000000000003</v>
      </c>
      <c r="O244" s="270">
        <v>1.1000000000000001</v>
      </c>
      <c r="P244" s="271">
        <v>0.28210000000000002</v>
      </c>
    </row>
    <row r="245" spans="1:16" x14ac:dyDescent="0.25">
      <c r="A245" s="117">
        <v>540198</v>
      </c>
      <c r="B245" s="2" t="s">
        <v>82</v>
      </c>
      <c r="C245" s="2" t="s">
        <v>83</v>
      </c>
      <c r="D245" s="2" t="s">
        <v>5</v>
      </c>
      <c r="E245" s="117">
        <v>7</v>
      </c>
      <c r="F245" s="117">
        <v>52.7</v>
      </c>
      <c r="G245" s="117">
        <v>17</v>
      </c>
      <c r="H245" s="117">
        <v>0</v>
      </c>
      <c r="I245" s="267">
        <v>0</v>
      </c>
      <c r="J245" s="267">
        <v>0</v>
      </c>
      <c r="K245" s="117">
        <v>0</v>
      </c>
      <c r="L245" s="267" t="s">
        <v>488</v>
      </c>
      <c r="M245" s="117">
        <v>0</v>
      </c>
      <c r="N245" s="267" t="s">
        <v>488</v>
      </c>
      <c r="O245" s="117">
        <v>0</v>
      </c>
      <c r="P245" s="267" t="s">
        <v>488</v>
      </c>
    </row>
    <row r="246" spans="1:16" x14ac:dyDescent="0.25">
      <c r="A246" s="117">
        <v>540199</v>
      </c>
      <c r="B246" s="2" t="s">
        <v>261</v>
      </c>
      <c r="C246" s="2" t="s">
        <v>83</v>
      </c>
      <c r="D246" s="2" t="s">
        <v>115</v>
      </c>
      <c r="E246" s="117">
        <v>7</v>
      </c>
      <c r="F246" s="117">
        <v>6.6</v>
      </c>
      <c r="G246" s="117">
        <v>4.5</v>
      </c>
      <c r="H246" s="117">
        <v>0</v>
      </c>
      <c r="I246" s="267">
        <v>0</v>
      </c>
      <c r="J246" s="267">
        <v>0</v>
      </c>
      <c r="K246" s="117">
        <v>0</v>
      </c>
      <c r="L246" s="267" t="s">
        <v>488</v>
      </c>
      <c r="M246" s="117">
        <v>0</v>
      </c>
      <c r="N246" s="267" t="s">
        <v>488</v>
      </c>
      <c r="O246" s="117">
        <v>0</v>
      </c>
      <c r="P246" s="267" t="s">
        <v>488</v>
      </c>
    </row>
    <row r="247" spans="1:16" x14ac:dyDescent="0.25">
      <c r="A247" s="269"/>
      <c r="B247" s="269"/>
      <c r="C247" s="269" t="s">
        <v>83</v>
      </c>
      <c r="D247" s="269"/>
      <c r="E247" s="269"/>
      <c r="F247" s="270">
        <v>59.3</v>
      </c>
      <c r="G247" s="270">
        <v>21.5</v>
      </c>
      <c r="H247" s="270">
        <v>0</v>
      </c>
      <c r="I247" s="271">
        <v>0</v>
      </c>
      <c r="J247" s="271">
        <v>0</v>
      </c>
      <c r="K247" s="270">
        <v>0</v>
      </c>
      <c r="L247" s="271" t="s">
        <v>488</v>
      </c>
      <c r="M247" s="270">
        <v>0</v>
      </c>
      <c r="N247" s="271"/>
      <c r="O247" s="270">
        <v>0</v>
      </c>
      <c r="P247" s="271"/>
    </row>
    <row r="248" spans="1:16" x14ac:dyDescent="0.25">
      <c r="A248" s="117">
        <v>540200</v>
      </c>
      <c r="B248" s="2" t="s">
        <v>84</v>
      </c>
      <c r="C248" s="2" t="s">
        <v>85</v>
      </c>
      <c r="D248" s="2" t="s">
        <v>5</v>
      </c>
      <c r="E248" s="117">
        <v>2</v>
      </c>
      <c r="F248" s="117">
        <v>85.6</v>
      </c>
      <c r="G248" s="117">
        <v>6.7</v>
      </c>
      <c r="H248" s="117">
        <v>5.2</v>
      </c>
      <c r="I248" s="267">
        <v>0.77610000000000001</v>
      </c>
      <c r="J248" s="267">
        <v>6.0699999999999997E-2</v>
      </c>
      <c r="K248" s="117">
        <v>0.6</v>
      </c>
      <c r="L248" s="267">
        <v>0.1154</v>
      </c>
      <c r="M248" s="117">
        <v>1</v>
      </c>
      <c r="N248" s="267">
        <v>0.1923</v>
      </c>
      <c r="O248" s="117">
        <v>3.6</v>
      </c>
      <c r="P248" s="267">
        <v>0.69230000000000003</v>
      </c>
    </row>
    <row r="249" spans="1:16" x14ac:dyDescent="0.25">
      <c r="A249" s="117">
        <v>540018</v>
      </c>
      <c r="B249" s="2" t="s">
        <v>127</v>
      </c>
      <c r="C249" s="2" t="s">
        <v>85</v>
      </c>
      <c r="D249" s="2" t="s">
        <v>115</v>
      </c>
      <c r="E249" s="117">
        <v>2</v>
      </c>
      <c r="F249" s="117">
        <v>1.3</v>
      </c>
      <c r="G249" s="117">
        <v>0.1</v>
      </c>
      <c r="H249" s="117">
        <v>0</v>
      </c>
      <c r="I249" s="267">
        <v>0</v>
      </c>
      <c r="J249" s="267">
        <v>0</v>
      </c>
      <c r="K249" s="117">
        <v>0</v>
      </c>
      <c r="L249" s="267" t="s">
        <v>488</v>
      </c>
      <c r="M249" s="117">
        <v>0</v>
      </c>
      <c r="N249" s="267" t="s">
        <v>488</v>
      </c>
      <c r="O249" s="117">
        <v>0</v>
      </c>
      <c r="P249" s="267" t="s">
        <v>488</v>
      </c>
    </row>
    <row r="250" spans="1:16" x14ac:dyDescent="0.25">
      <c r="A250" s="117">
        <v>540202</v>
      </c>
      <c r="B250" s="2" t="s">
        <v>262</v>
      </c>
      <c r="C250" s="2" t="s">
        <v>85</v>
      </c>
      <c r="D250" s="2" t="s">
        <v>115</v>
      </c>
      <c r="E250" s="117">
        <v>2</v>
      </c>
      <c r="F250" s="117">
        <v>1.4</v>
      </c>
      <c r="G250" s="117">
        <v>0</v>
      </c>
      <c r="H250" s="117">
        <v>0</v>
      </c>
      <c r="I250" s="267" t="s">
        <v>488</v>
      </c>
      <c r="J250" s="267">
        <v>0</v>
      </c>
      <c r="K250" s="117">
        <v>0</v>
      </c>
      <c r="L250" s="267" t="s">
        <v>488</v>
      </c>
      <c r="M250" s="117">
        <v>0</v>
      </c>
      <c r="N250" s="267" t="s">
        <v>488</v>
      </c>
      <c r="O250" s="117">
        <v>0</v>
      </c>
      <c r="P250" s="267" t="s">
        <v>488</v>
      </c>
    </row>
    <row r="251" spans="1:16" x14ac:dyDescent="0.25">
      <c r="A251" s="117">
        <v>540221</v>
      </c>
      <c r="B251" s="2" t="s">
        <v>275</v>
      </c>
      <c r="C251" s="2" t="s">
        <v>85</v>
      </c>
      <c r="D251" s="2" t="s">
        <v>115</v>
      </c>
      <c r="E251" s="117">
        <v>2</v>
      </c>
      <c r="F251" s="117">
        <v>8.5</v>
      </c>
      <c r="G251" s="117">
        <v>0.4</v>
      </c>
      <c r="H251" s="117">
        <v>0</v>
      </c>
      <c r="I251" s="267">
        <v>0</v>
      </c>
      <c r="J251" s="267">
        <v>0</v>
      </c>
      <c r="K251" s="117">
        <v>0</v>
      </c>
      <c r="L251" s="267" t="s">
        <v>488</v>
      </c>
      <c r="M251" s="117">
        <v>0</v>
      </c>
      <c r="N251" s="267" t="s">
        <v>488</v>
      </c>
      <c r="O251" s="117">
        <v>0</v>
      </c>
      <c r="P251" s="267" t="s">
        <v>488</v>
      </c>
    </row>
    <row r="252" spans="1:16" x14ac:dyDescent="0.25">
      <c r="A252" s="117">
        <v>540231</v>
      </c>
      <c r="B252" s="2" t="s">
        <v>281</v>
      </c>
      <c r="C252" s="2" t="s">
        <v>85</v>
      </c>
      <c r="D252" s="2" t="s">
        <v>115</v>
      </c>
      <c r="E252" s="117">
        <v>2</v>
      </c>
      <c r="F252" s="117">
        <v>2.1</v>
      </c>
      <c r="G252" s="117">
        <v>0.4</v>
      </c>
      <c r="H252" s="117">
        <v>0</v>
      </c>
      <c r="I252" s="267">
        <v>0</v>
      </c>
      <c r="J252" s="267">
        <v>0</v>
      </c>
      <c r="K252" s="117">
        <v>0</v>
      </c>
      <c r="L252" s="267" t="s">
        <v>488</v>
      </c>
      <c r="M252" s="117">
        <v>0</v>
      </c>
      <c r="N252" s="267" t="s">
        <v>488</v>
      </c>
      <c r="O252" s="117">
        <v>0</v>
      </c>
      <c r="P252" s="267" t="s">
        <v>488</v>
      </c>
    </row>
    <row r="253" spans="1:16" x14ac:dyDescent="0.25">
      <c r="A253" s="117">
        <v>540232</v>
      </c>
      <c r="B253" s="2" t="s">
        <v>282</v>
      </c>
      <c r="C253" s="2" t="s">
        <v>85</v>
      </c>
      <c r="D253" s="2" t="s">
        <v>115</v>
      </c>
      <c r="E253" s="117">
        <v>2</v>
      </c>
      <c r="F253" s="117">
        <v>2.7</v>
      </c>
      <c r="G253" s="117">
        <v>0.2</v>
      </c>
      <c r="H253" s="117">
        <v>0</v>
      </c>
      <c r="I253" s="267">
        <v>0</v>
      </c>
      <c r="J253" s="267">
        <v>0</v>
      </c>
      <c r="K253" s="117">
        <v>0</v>
      </c>
      <c r="L253" s="267" t="s">
        <v>488</v>
      </c>
      <c r="M253" s="117">
        <v>0</v>
      </c>
      <c r="N253" s="267" t="s">
        <v>488</v>
      </c>
      <c r="O253" s="117">
        <v>0</v>
      </c>
      <c r="P253" s="267" t="s">
        <v>488</v>
      </c>
    </row>
    <row r="254" spans="1:16" x14ac:dyDescent="0.25">
      <c r="A254" s="269"/>
      <c r="B254" s="269"/>
      <c r="C254" s="269" t="s">
        <v>85</v>
      </c>
      <c r="D254" s="269"/>
      <c r="E254" s="269"/>
      <c r="F254" s="270">
        <v>101.6</v>
      </c>
      <c r="G254" s="270">
        <v>7.8</v>
      </c>
      <c r="H254" s="270">
        <v>5.2</v>
      </c>
      <c r="I254" s="271">
        <v>0.66669999999999996</v>
      </c>
      <c r="J254" s="271">
        <v>5.1200000000000002E-2</v>
      </c>
      <c r="K254" s="270">
        <v>0.6</v>
      </c>
      <c r="L254" s="271">
        <v>0.1154</v>
      </c>
      <c r="M254" s="270">
        <v>1</v>
      </c>
      <c r="N254" s="271">
        <v>0.1923</v>
      </c>
      <c r="O254" s="270">
        <v>3.6</v>
      </c>
      <c r="P254" s="271">
        <v>0.69230000000000003</v>
      </c>
    </row>
    <row r="255" spans="1:16" x14ac:dyDescent="0.25">
      <c r="A255" s="117">
        <v>540203</v>
      </c>
      <c r="B255" s="2" t="s">
        <v>86</v>
      </c>
      <c r="C255" s="2" t="s">
        <v>87</v>
      </c>
      <c r="D255" s="2" t="s">
        <v>5</v>
      </c>
      <c r="E255" s="117">
        <v>4</v>
      </c>
      <c r="F255" s="117">
        <v>32.6</v>
      </c>
      <c r="G255" s="117">
        <v>11.1</v>
      </c>
      <c r="H255" s="117">
        <v>1.6</v>
      </c>
      <c r="I255" s="267">
        <v>0.14410000000000001</v>
      </c>
      <c r="J255" s="267">
        <v>4.9099999999999998E-2</v>
      </c>
      <c r="K255" s="117">
        <v>0.6</v>
      </c>
      <c r="L255" s="267">
        <v>0.375</v>
      </c>
      <c r="M255" s="117">
        <v>0.5</v>
      </c>
      <c r="N255" s="267">
        <v>0.3125</v>
      </c>
      <c r="O255" s="117">
        <v>0.5</v>
      </c>
      <c r="P255" s="267">
        <v>0.3125</v>
      </c>
    </row>
    <row r="256" spans="1:16" x14ac:dyDescent="0.25">
      <c r="A256" s="117">
        <v>540204</v>
      </c>
      <c r="B256" s="2" t="s">
        <v>263</v>
      </c>
      <c r="C256" s="2" t="s">
        <v>87</v>
      </c>
      <c r="D256" s="2" t="s">
        <v>115</v>
      </c>
      <c r="E256" s="117">
        <v>4</v>
      </c>
      <c r="F256" s="117">
        <v>0</v>
      </c>
      <c r="G256" s="117">
        <v>0</v>
      </c>
      <c r="H256" s="117">
        <v>0</v>
      </c>
      <c r="I256" s="267" t="s">
        <v>488</v>
      </c>
      <c r="J256" s="267" t="s">
        <v>488</v>
      </c>
      <c r="K256" s="117">
        <v>0</v>
      </c>
      <c r="L256" s="267" t="s">
        <v>488</v>
      </c>
      <c r="M256" s="117">
        <v>0</v>
      </c>
      <c r="N256" s="267" t="s">
        <v>488</v>
      </c>
      <c r="O256" s="117">
        <v>0</v>
      </c>
      <c r="P256" s="267" t="s">
        <v>488</v>
      </c>
    </row>
    <row r="257" spans="1:16" x14ac:dyDescent="0.25">
      <c r="A257" s="117">
        <v>540205</v>
      </c>
      <c r="B257" s="2" t="s">
        <v>264</v>
      </c>
      <c r="C257" s="2" t="s">
        <v>87</v>
      </c>
      <c r="D257" s="2" t="s">
        <v>115</v>
      </c>
      <c r="E257" s="117">
        <v>4</v>
      </c>
      <c r="F257" s="117">
        <v>0</v>
      </c>
      <c r="G257" s="117">
        <v>0</v>
      </c>
      <c r="H257" s="117">
        <v>0</v>
      </c>
      <c r="I257" s="267" t="s">
        <v>488</v>
      </c>
      <c r="J257" s="267" t="s">
        <v>488</v>
      </c>
      <c r="K257" s="117">
        <v>0</v>
      </c>
      <c r="L257" s="267" t="s">
        <v>488</v>
      </c>
      <c r="M257" s="117">
        <v>0</v>
      </c>
      <c r="N257" s="267" t="s">
        <v>488</v>
      </c>
      <c r="O257" s="117">
        <v>0</v>
      </c>
      <c r="P257" s="267" t="s">
        <v>488</v>
      </c>
    </row>
    <row r="258" spans="1:16" x14ac:dyDescent="0.25">
      <c r="A258" s="117">
        <v>540206</v>
      </c>
      <c r="B258" s="2" t="s">
        <v>265</v>
      </c>
      <c r="C258" s="2" t="s">
        <v>87</v>
      </c>
      <c r="D258" s="2" t="s">
        <v>115</v>
      </c>
      <c r="E258" s="117">
        <v>4</v>
      </c>
      <c r="F258" s="117">
        <v>0.6</v>
      </c>
      <c r="G258" s="117">
        <v>0.3</v>
      </c>
      <c r="H258" s="117">
        <v>0</v>
      </c>
      <c r="I258" s="267">
        <v>0</v>
      </c>
      <c r="J258" s="267">
        <v>0</v>
      </c>
      <c r="K258" s="117">
        <v>0</v>
      </c>
      <c r="L258" s="267" t="s">
        <v>488</v>
      </c>
      <c r="M258" s="117">
        <v>0</v>
      </c>
      <c r="N258" s="267" t="s">
        <v>488</v>
      </c>
      <c r="O258" s="117">
        <v>0</v>
      </c>
      <c r="P258" s="267" t="s">
        <v>488</v>
      </c>
    </row>
    <row r="259" spans="1:16" x14ac:dyDescent="0.25">
      <c r="A259" s="269"/>
      <c r="B259" s="269"/>
      <c r="C259" s="269" t="s">
        <v>87</v>
      </c>
      <c r="D259" s="269"/>
      <c r="E259" s="269"/>
      <c r="F259" s="270">
        <v>33.200000000000003</v>
      </c>
      <c r="G259" s="270">
        <v>11.4</v>
      </c>
      <c r="H259" s="270">
        <v>1.6</v>
      </c>
      <c r="I259" s="271">
        <v>0.1404</v>
      </c>
      <c r="J259" s="271">
        <v>4.82E-2</v>
      </c>
      <c r="K259" s="270">
        <v>0.6</v>
      </c>
      <c r="L259" s="271">
        <v>0.375</v>
      </c>
      <c r="M259" s="270">
        <v>0.5</v>
      </c>
      <c r="N259" s="271">
        <v>0.3125</v>
      </c>
      <c r="O259" s="270">
        <v>0.5</v>
      </c>
      <c r="P259" s="271">
        <v>0.3125</v>
      </c>
    </row>
    <row r="260" spans="1:16" x14ac:dyDescent="0.25">
      <c r="A260" s="117">
        <v>540207</v>
      </c>
      <c r="B260" s="2" t="s">
        <v>88</v>
      </c>
      <c r="C260" s="2" t="s">
        <v>89</v>
      </c>
      <c r="D260" s="2" t="s">
        <v>5</v>
      </c>
      <c r="E260" s="117">
        <v>10</v>
      </c>
      <c r="F260" s="117">
        <v>40.5</v>
      </c>
      <c r="G260" s="117">
        <v>24.9</v>
      </c>
      <c r="H260" s="117">
        <v>0.1</v>
      </c>
      <c r="I260" s="267">
        <v>4.0000000000000001E-3</v>
      </c>
      <c r="J260" s="267">
        <v>2.5000000000000001E-3</v>
      </c>
      <c r="K260" s="117">
        <v>0</v>
      </c>
      <c r="L260" s="267">
        <v>0</v>
      </c>
      <c r="M260" s="117">
        <v>0.1</v>
      </c>
      <c r="N260" s="267">
        <v>1</v>
      </c>
      <c r="O260" s="117">
        <v>0</v>
      </c>
      <c r="P260" s="267">
        <v>0</v>
      </c>
    </row>
    <row r="261" spans="1:16" x14ac:dyDescent="0.25">
      <c r="A261" s="117">
        <v>540196</v>
      </c>
      <c r="B261" s="2" t="s">
        <v>259</v>
      </c>
      <c r="C261" s="2" t="s">
        <v>89</v>
      </c>
      <c r="D261" s="2" t="s">
        <v>115</v>
      </c>
      <c r="E261" s="117">
        <v>5</v>
      </c>
      <c r="F261" s="117">
        <v>1</v>
      </c>
      <c r="G261" s="117">
        <v>0.9</v>
      </c>
      <c r="H261" s="117">
        <v>0</v>
      </c>
      <c r="I261" s="267">
        <v>0</v>
      </c>
      <c r="J261" s="267">
        <v>0</v>
      </c>
      <c r="K261" s="117">
        <v>0</v>
      </c>
      <c r="L261" s="267" t="s">
        <v>488</v>
      </c>
      <c r="M261" s="117">
        <v>0</v>
      </c>
      <c r="N261" s="267" t="s">
        <v>488</v>
      </c>
      <c r="O261" s="117">
        <v>0</v>
      </c>
      <c r="P261" s="267" t="s">
        <v>488</v>
      </c>
    </row>
    <row r="262" spans="1:16" x14ac:dyDescent="0.25">
      <c r="A262" s="117">
        <v>540208</v>
      </c>
      <c r="B262" s="2" t="s">
        <v>266</v>
      </c>
      <c r="C262" s="2" t="s">
        <v>89</v>
      </c>
      <c r="D262" s="2" t="s">
        <v>115</v>
      </c>
      <c r="E262" s="117">
        <v>10</v>
      </c>
      <c r="F262" s="117">
        <v>6</v>
      </c>
      <c r="G262" s="117">
        <v>5.3</v>
      </c>
      <c r="H262" s="117">
        <v>0</v>
      </c>
      <c r="I262" s="267">
        <v>0</v>
      </c>
      <c r="J262" s="267">
        <v>0</v>
      </c>
      <c r="K262" s="117">
        <v>0</v>
      </c>
      <c r="L262" s="267" t="s">
        <v>488</v>
      </c>
      <c r="M262" s="117">
        <v>0</v>
      </c>
      <c r="N262" s="267" t="s">
        <v>488</v>
      </c>
      <c r="O262" s="117">
        <v>0</v>
      </c>
      <c r="P262" s="267" t="s">
        <v>488</v>
      </c>
    </row>
    <row r="263" spans="1:16" x14ac:dyDescent="0.25">
      <c r="A263" s="117">
        <v>540210</v>
      </c>
      <c r="B263" s="2" t="s">
        <v>267</v>
      </c>
      <c r="C263" s="2" t="s">
        <v>89</v>
      </c>
      <c r="D263" s="2" t="s">
        <v>115</v>
      </c>
      <c r="E263" s="117">
        <v>10</v>
      </c>
      <c r="F263" s="117">
        <v>1.1000000000000001</v>
      </c>
      <c r="G263" s="117">
        <v>0.6</v>
      </c>
      <c r="H263" s="117">
        <v>0</v>
      </c>
      <c r="I263" s="267">
        <v>0</v>
      </c>
      <c r="J263" s="267">
        <v>0</v>
      </c>
      <c r="K263" s="117">
        <v>0</v>
      </c>
      <c r="L263" s="267" t="s">
        <v>488</v>
      </c>
      <c r="M263" s="117">
        <v>0</v>
      </c>
      <c r="N263" s="267" t="s">
        <v>488</v>
      </c>
      <c r="O263" s="117">
        <v>0</v>
      </c>
      <c r="P263" s="267" t="s">
        <v>488</v>
      </c>
    </row>
    <row r="264" spans="1:16" x14ac:dyDescent="0.25">
      <c r="A264" s="117">
        <v>540256</v>
      </c>
      <c r="B264" s="2" t="s">
        <v>301</v>
      </c>
      <c r="C264" s="2" t="s">
        <v>89</v>
      </c>
      <c r="D264" s="2" t="s">
        <v>115</v>
      </c>
      <c r="E264" s="117">
        <v>10</v>
      </c>
      <c r="F264" s="117">
        <v>1.3</v>
      </c>
      <c r="G264" s="117">
        <v>0.8</v>
      </c>
      <c r="H264" s="117">
        <v>0.3</v>
      </c>
      <c r="I264" s="267">
        <v>0.375</v>
      </c>
      <c r="J264" s="267">
        <v>0.23080000000000001</v>
      </c>
      <c r="K264" s="117">
        <v>0.1</v>
      </c>
      <c r="L264" s="267">
        <v>0.33329999999999999</v>
      </c>
      <c r="M264" s="117">
        <v>0.1</v>
      </c>
      <c r="N264" s="267">
        <v>0.33329999999999999</v>
      </c>
      <c r="O264" s="117">
        <v>0.1</v>
      </c>
      <c r="P264" s="267">
        <v>0.33329999999999999</v>
      </c>
    </row>
    <row r="265" spans="1:16" x14ac:dyDescent="0.25">
      <c r="A265" s="117">
        <v>540258</v>
      </c>
      <c r="B265" s="2" t="s">
        <v>303</v>
      </c>
      <c r="C265" s="2" t="s">
        <v>89</v>
      </c>
      <c r="D265" s="2" t="s">
        <v>115</v>
      </c>
      <c r="E265" s="117">
        <v>10</v>
      </c>
      <c r="F265" s="117">
        <v>0.9</v>
      </c>
      <c r="G265" s="117">
        <v>0.1</v>
      </c>
      <c r="H265" s="117">
        <v>0</v>
      </c>
      <c r="I265" s="267">
        <v>0</v>
      </c>
      <c r="J265" s="267">
        <v>0</v>
      </c>
      <c r="K265" s="117">
        <v>0</v>
      </c>
      <c r="L265" s="267" t="s">
        <v>488</v>
      </c>
      <c r="M265" s="117">
        <v>0</v>
      </c>
      <c r="N265" s="267" t="s">
        <v>488</v>
      </c>
      <c r="O265" s="117">
        <v>0</v>
      </c>
      <c r="P265" s="267" t="s">
        <v>488</v>
      </c>
    </row>
    <row r="266" spans="1:16" x14ac:dyDescent="0.25">
      <c r="A266" s="269"/>
      <c r="B266" s="269"/>
      <c r="C266" s="269" t="s">
        <v>89</v>
      </c>
      <c r="D266" s="269"/>
      <c r="E266" s="269"/>
      <c r="F266" s="270">
        <v>50.8</v>
      </c>
      <c r="G266" s="270">
        <v>32.6</v>
      </c>
      <c r="H266" s="270">
        <v>0.4</v>
      </c>
      <c r="I266" s="271">
        <v>1.23E-2</v>
      </c>
      <c r="J266" s="271">
        <v>7.9000000000000008E-3</v>
      </c>
      <c r="K266" s="270">
        <v>0.1</v>
      </c>
      <c r="L266" s="271">
        <v>0.25</v>
      </c>
      <c r="M266" s="270">
        <v>0.2</v>
      </c>
      <c r="N266" s="271">
        <v>0.5</v>
      </c>
      <c r="O266" s="270">
        <v>0.1</v>
      </c>
      <c r="P266" s="271">
        <v>0.25</v>
      </c>
    </row>
    <row r="267" spans="1:16" x14ac:dyDescent="0.25">
      <c r="A267" s="117">
        <v>540211</v>
      </c>
      <c r="B267" s="2" t="s">
        <v>90</v>
      </c>
      <c r="C267" s="2" t="s">
        <v>91</v>
      </c>
      <c r="D267" s="2" t="s">
        <v>5</v>
      </c>
      <c r="E267" s="117">
        <v>5</v>
      </c>
      <c r="F267" s="117">
        <v>0</v>
      </c>
      <c r="G267" s="117">
        <v>0</v>
      </c>
      <c r="H267" s="117">
        <v>0</v>
      </c>
      <c r="I267" s="267" t="s">
        <v>488</v>
      </c>
      <c r="J267" s="267" t="s">
        <v>488</v>
      </c>
      <c r="K267" s="117">
        <v>0</v>
      </c>
      <c r="L267" s="267" t="s">
        <v>488</v>
      </c>
      <c r="M267" s="117">
        <v>0</v>
      </c>
      <c r="N267" s="267" t="s">
        <v>488</v>
      </c>
      <c r="O267" s="117">
        <v>0</v>
      </c>
      <c r="P267" s="267" t="s">
        <v>488</v>
      </c>
    </row>
    <row r="268" spans="1:16" x14ac:dyDescent="0.25">
      <c r="A268" s="117">
        <v>540212</v>
      </c>
      <c r="B268" s="2" t="s">
        <v>268</v>
      </c>
      <c r="C268" s="2" t="s">
        <v>91</v>
      </c>
      <c r="D268" s="2" t="s">
        <v>115</v>
      </c>
      <c r="E268" s="117">
        <v>5</v>
      </c>
      <c r="F268" s="117">
        <v>0</v>
      </c>
      <c r="G268" s="117">
        <v>0</v>
      </c>
      <c r="H268" s="117">
        <v>0</v>
      </c>
      <c r="I268" s="267" t="s">
        <v>488</v>
      </c>
      <c r="J268" s="267" t="s">
        <v>488</v>
      </c>
      <c r="K268" s="117">
        <v>0</v>
      </c>
      <c r="L268" s="267" t="s">
        <v>488</v>
      </c>
      <c r="M268" s="117">
        <v>0</v>
      </c>
      <c r="N268" s="267" t="s">
        <v>488</v>
      </c>
      <c r="O268" s="117">
        <v>0</v>
      </c>
      <c r="P268" s="267" t="s">
        <v>488</v>
      </c>
    </row>
    <row r="269" spans="1:16" x14ac:dyDescent="0.25">
      <c r="A269" s="269"/>
      <c r="B269" s="269"/>
      <c r="C269" s="269" t="s">
        <v>91</v>
      </c>
      <c r="D269" s="269"/>
      <c r="E269" s="269"/>
      <c r="F269" s="270">
        <v>0</v>
      </c>
      <c r="G269" s="270">
        <v>0</v>
      </c>
      <c r="H269" s="270">
        <v>0</v>
      </c>
      <c r="I269" s="271" t="s">
        <v>488</v>
      </c>
      <c r="J269" s="271" t="s">
        <v>488</v>
      </c>
      <c r="K269" s="270">
        <v>0</v>
      </c>
      <c r="L269" s="271" t="s">
        <v>488</v>
      </c>
      <c r="M269" s="270">
        <v>0</v>
      </c>
      <c r="N269" s="271"/>
      <c r="O269" s="270">
        <v>0</v>
      </c>
      <c r="P269" s="271"/>
    </row>
    <row r="270" spans="1:16" x14ac:dyDescent="0.25">
      <c r="A270" s="117">
        <v>540213</v>
      </c>
      <c r="B270" s="2" t="s">
        <v>92</v>
      </c>
      <c r="C270" s="2" t="s">
        <v>93</v>
      </c>
      <c r="D270" s="2" t="s">
        <v>5</v>
      </c>
      <c r="E270" s="117">
        <v>5</v>
      </c>
      <c r="F270" s="117">
        <v>61.4</v>
      </c>
      <c r="G270" s="117">
        <v>29.9</v>
      </c>
      <c r="H270" s="117">
        <v>0</v>
      </c>
      <c r="I270" s="267">
        <v>0</v>
      </c>
      <c r="J270" s="267">
        <v>0</v>
      </c>
      <c r="K270" s="117">
        <v>0</v>
      </c>
      <c r="L270" s="267" t="s">
        <v>488</v>
      </c>
      <c r="M270" s="117">
        <v>0</v>
      </c>
      <c r="N270" s="267" t="s">
        <v>488</v>
      </c>
      <c r="O270" s="117">
        <v>0</v>
      </c>
      <c r="P270" s="267" t="s">
        <v>488</v>
      </c>
    </row>
    <row r="271" spans="1:16" x14ac:dyDescent="0.25">
      <c r="A271" s="117">
        <v>540042</v>
      </c>
      <c r="B271" s="2" t="s">
        <v>143</v>
      </c>
      <c r="C271" s="2" t="s">
        <v>93</v>
      </c>
      <c r="D271" s="2" t="s">
        <v>115</v>
      </c>
      <c r="E271" s="117">
        <v>5</v>
      </c>
      <c r="F271" s="117">
        <v>0</v>
      </c>
      <c r="G271" s="117">
        <v>0</v>
      </c>
      <c r="H271" s="117">
        <v>0</v>
      </c>
      <c r="I271" s="267" t="s">
        <v>488</v>
      </c>
      <c r="J271" s="267" t="s">
        <v>488</v>
      </c>
      <c r="K271" s="117">
        <v>0</v>
      </c>
      <c r="L271" s="267" t="s">
        <v>488</v>
      </c>
      <c r="M271" s="117">
        <v>0</v>
      </c>
      <c r="N271" s="267" t="s">
        <v>488</v>
      </c>
      <c r="O271" s="117">
        <v>0</v>
      </c>
      <c r="P271" s="267" t="s">
        <v>488</v>
      </c>
    </row>
    <row r="272" spans="1:16" x14ac:dyDescent="0.25">
      <c r="A272" s="117">
        <v>540214</v>
      </c>
      <c r="B272" s="2" t="s">
        <v>269</v>
      </c>
      <c r="C272" s="2" t="s">
        <v>93</v>
      </c>
      <c r="D272" s="2" t="s">
        <v>115</v>
      </c>
      <c r="E272" s="117">
        <v>5</v>
      </c>
      <c r="F272" s="117">
        <v>6</v>
      </c>
      <c r="G272" s="117">
        <v>1</v>
      </c>
      <c r="H272" s="117">
        <v>0</v>
      </c>
      <c r="I272" s="267">
        <v>0</v>
      </c>
      <c r="J272" s="267">
        <v>0</v>
      </c>
      <c r="K272" s="117">
        <v>0</v>
      </c>
      <c r="L272" s="267" t="s">
        <v>488</v>
      </c>
      <c r="M272" s="117">
        <v>0</v>
      </c>
      <c r="N272" s="267" t="s">
        <v>488</v>
      </c>
      <c r="O272" s="117">
        <v>0</v>
      </c>
      <c r="P272" s="267" t="s">
        <v>488</v>
      </c>
    </row>
    <row r="273" spans="1:16" x14ac:dyDescent="0.25">
      <c r="A273" s="117">
        <v>540215</v>
      </c>
      <c r="B273" s="2" t="s">
        <v>270</v>
      </c>
      <c r="C273" s="2" t="s">
        <v>93</v>
      </c>
      <c r="D273" s="2" t="s">
        <v>115</v>
      </c>
      <c r="E273" s="117">
        <v>5</v>
      </c>
      <c r="F273" s="117">
        <v>1.7</v>
      </c>
      <c r="G273" s="117">
        <v>1.7</v>
      </c>
      <c r="H273" s="117">
        <v>0</v>
      </c>
      <c r="I273" s="267">
        <v>0</v>
      </c>
      <c r="J273" s="267">
        <v>0</v>
      </c>
      <c r="K273" s="117">
        <v>0</v>
      </c>
      <c r="L273" s="267" t="s">
        <v>488</v>
      </c>
      <c r="M273" s="117">
        <v>0</v>
      </c>
      <c r="N273" s="267" t="s">
        <v>488</v>
      </c>
      <c r="O273" s="117">
        <v>0</v>
      </c>
      <c r="P273" s="267" t="s">
        <v>488</v>
      </c>
    </row>
    <row r="274" spans="1:16" x14ac:dyDescent="0.25">
      <c r="A274" s="117">
        <v>540216</v>
      </c>
      <c r="B274" s="2" t="s">
        <v>271</v>
      </c>
      <c r="C274" s="2" t="s">
        <v>93</v>
      </c>
      <c r="D274" s="2" t="s">
        <v>115</v>
      </c>
      <c r="E274" s="117">
        <v>5</v>
      </c>
      <c r="F274" s="117">
        <v>1.9</v>
      </c>
      <c r="G274" s="117">
        <v>1.7</v>
      </c>
      <c r="H274" s="117">
        <v>0</v>
      </c>
      <c r="I274" s="267">
        <v>0</v>
      </c>
      <c r="J274" s="267">
        <v>0</v>
      </c>
      <c r="K274" s="117">
        <v>0</v>
      </c>
      <c r="L274" s="267" t="s">
        <v>488</v>
      </c>
      <c r="M274" s="117">
        <v>0</v>
      </c>
      <c r="N274" s="267" t="s">
        <v>488</v>
      </c>
      <c r="O274" s="117">
        <v>0</v>
      </c>
      <c r="P274" s="267" t="s">
        <v>488</v>
      </c>
    </row>
    <row r="275" spans="1:16" x14ac:dyDescent="0.25">
      <c r="A275" s="269"/>
      <c r="B275" s="269"/>
      <c r="C275" s="269" t="s">
        <v>93</v>
      </c>
      <c r="D275" s="269"/>
      <c r="E275" s="269"/>
      <c r="F275" s="270">
        <v>71</v>
      </c>
      <c r="G275" s="270">
        <v>34.299999999999997</v>
      </c>
      <c r="H275" s="270">
        <v>0</v>
      </c>
      <c r="I275" s="271">
        <v>0</v>
      </c>
      <c r="J275" s="271">
        <v>0</v>
      </c>
      <c r="K275" s="270">
        <v>0</v>
      </c>
      <c r="L275" s="271" t="s">
        <v>488</v>
      </c>
      <c r="M275" s="270">
        <v>0</v>
      </c>
      <c r="N275" s="271"/>
      <c r="O275" s="270">
        <v>0</v>
      </c>
      <c r="P275" s="271"/>
    </row>
    <row r="276" spans="1:16" x14ac:dyDescent="0.25">
      <c r="A276" s="117">
        <v>540224</v>
      </c>
      <c r="B276" s="2" t="s">
        <v>96</v>
      </c>
      <c r="C276" s="2" t="s">
        <v>97</v>
      </c>
      <c r="D276" s="2" t="s">
        <v>5</v>
      </c>
      <c r="E276" s="117">
        <v>5</v>
      </c>
      <c r="F276" s="117">
        <v>21.9</v>
      </c>
      <c r="G276" s="117">
        <v>2.6</v>
      </c>
      <c r="H276" s="117">
        <v>0.6</v>
      </c>
      <c r="I276" s="267">
        <v>0.23080000000000001</v>
      </c>
      <c r="J276" s="267">
        <v>2.7400000000000001E-2</v>
      </c>
      <c r="K276" s="117">
        <v>0.2</v>
      </c>
      <c r="L276" s="267">
        <v>0.33329999999999999</v>
      </c>
      <c r="M276" s="117">
        <v>0.1</v>
      </c>
      <c r="N276" s="267">
        <v>0.16669999999999999</v>
      </c>
      <c r="O276" s="117">
        <v>0.3</v>
      </c>
      <c r="P276" s="267">
        <v>0.5</v>
      </c>
    </row>
    <row r="277" spans="1:16" x14ac:dyDescent="0.25">
      <c r="A277" s="117">
        <v>540132</v>
      </c>
      <c r="B277" s="2" t="s">
        <v>216</v>
      </c>
      <c r="C277" s="2" t="s">
        <v>97</v>
      </c>
      <c r="D277" s="2" t="s">
        <v>115</v>
      </c>
      <c r="E277" s="117">
        <v>5</v>
      </c>
      <c r="F277" s="117">
        <v>0</v>
      </c>
      <c r="G277" s="117">
        <v>0</v>
      </c>
      <c r="H277" s="117">
        <v>0</v>
      </c>
      <c r="I277" s="267" t="s">
        <v>488</v>
      </c>
      <c r="J277" s="267" t="s">
        <v>488</v>
      </c>
      <c r="K277" s="117">
        <v>0</v>
      </c>
      <c r="L277" s="267" t="s">
        <v>488</v>
      </c>
      <c r="M277" s="117">
        <v>0</v>
      </c>
      <c r="N277" s="267" t="s">
        <v>488</v>
      </c>
      <c r="O277" s="117">
        <v>0</v>
      </c>
      <c r="P277" s="267" t="s">
        <v>488</v>
      </c>
    </row>
    <row r="278" spans="1:16" x14ac:dyDescent="0.25">
      <c r="A278" s="117">
        <v>540179</v>
      </c>
      <c r="B278" s="2" t="s">
        <v>250</v>
      </c>
      <c r="C278" s="2" t="s">
        <v>97</v>
      </c>
      <c r="D278" s="2" t="s">
        <v>115</v>
      </c>
      <c r="E278" s="117">
        <v>5</v>
      </c>
      <c r="F278" s="117">
        <v>0.8</v>
      </c>
      <c r="G278" s="117">
        <v>0</v>
      </c>
      <c r="H278" s="117">
        <v>0</v>
      </c>
      <c r="I278" s="267" t="s">
        <v>488</v>
      </c>
      <c r="J278" s="267">
        <v>0</v>
      </c>
      <c r="K278" s="117">
        <v>0</v>
      </c>
      <c r="L278" s="267" t="s">
        <v>488</v>
      </c>
      <c r="M278" s="117">
        <v>0</v>
      </c>
      <c r="N278" s="267" t="s">
        <v>488</v>
      </c>
      <c r="O278" s="117">
        <v>0</v>
      </c>
      <c r="P278" s="267" t="s">
        <v>488</v>
      </c>
    </row>
    <row r="279" spans="1:16" x14ac:dyDescent="0.25">
      <c r="A279" s="117">
        <v>540180</v>
      </c>
      <c r="B279" s="2" t="s">
        <v>251</v>
      </c>
      <c r="C279" s="2" t="s">
        <v>97</v>
      </c>
      <c r="D279" s="2" t="s">
        <v>115</v>
      </c>
      <c r="E279" s="117">
        <v>5</v>
      </c>
      <c r="F279" s="117">
        <v>1.8</v>
      </c>
      <c r="G279" s="117">
        <v>0.8</v>
      </c>
      <c r="H279" s="117">
        <v>0.6</v>
      </c>
      <c r="I279" s="267">
        <v>0.75</v>
      </c>
      <c r="J279" s="267">
        <v>0.33329999999999999</v>
      </c>
      <c r="K279" s="117">
        <v>0.2</v>
      </c>
      <c r="L279" s="267">
        <v>0.33329999999999999</v>
      </c>
      <c r="M279" s="117">
        <v>0.3</v>
      </c>
      <c r="N279" s="267">
        <v>0.5</v>
      </c>
      <c r="O279" s="117">
        <v>0.1</v>
      </c>
      <c r="P279" s="267">
        <v>0.16669999999999999</v>
      </c>
    </row>
    <row r="280" spans="1:16" x14ac:dyDescent="0.25">
      <c r="A280" s="117">
        <v>540182</v>
      </c>
      <c r="B280" s="2" t="s">
        <v>252</v>
      </c>
      <c r="C280" s="2" t="s">
        <v>97</v>
      </c>
      <c r="D280" s="2" t="s">
        <v>115</v>
      </c>
      <c r="E280" s="117">
        <v>5</v>
      </c>
      <c r="F280" s="117">
        <v>1.5</v>
      </c>
      <c r="G280" s="117">
        <v>0</v>
      </c>
      <c r="H280" s="117">
        <v>0</v>
      </c>
      <c r="I280" s="267" t="s">
        <v>488</v>
      </c>
      <c r="J280" s="267">
        <v>0</v>
      </c>
      <c r="K280" s="117">
        <v>0</v>
      </c>
      <c r="L280" s="267" t="s">
        <v>488</v>
      </c>
      <c r="M280" s="117">
        <v>0</v>
      </c>
      <c r="N280" s="267" t="s">
        <v>488</v>
      </c>
      <c r="O280" s="117">
        <v>0</v>
      </c>
      <c r="P280" s="267" t="s">
        <v>488</v>
      </c>
    </row>
    <row r="281" spans="1:16" x14ac:dyDescent="0.25">
      <c r="A281" s="117">
        <v>540262</v>
      </c>
      <c r="B281" s="2" t="s">
        <v>305</v>
      </c>
      <c r="C281" s="2" t="s">
        <v>97</v>
      </c>
      <c r="D281" s="2" t="s">
        <v>115</v>
      </c>
      <c r="E281" s="117">
        <v>5</v>
      </c>
      <c r="F281" s="117">
        <v>0</v>
      </c>
      <c r="G281" s="117">
        <v>0</v>
      </c>
      <c r="H281" s="117">
        <v>0</v>
      </c>
      <c r="I281" s="267" t="s">
        <v>488</v>
      </c>
      <c r="J281" s="267" t="s">
        <v>488</v>
      </c>
      <c r="K281" s="117">
        <v>0</v>
      </c>
      <c r="L281" s="267" t="s">
        <v>488</v>
      </c>
      <c r="M281" s="117">
        <v>0</v>
      </c>
      <c r="N281" s="267" t="s">
        <v>488</v>
      </c>
      <c r="O281" s="117">
        <v>0</v>
      </c>
      <c r="P281" s="267" t="s">
        <v>488</v>
      </c>
    </row>
    <row r="282" spans="1:16" x14ac:dyDescent="0.25">
      <c r="A282" s="117">
        <v>540263</v>
      </c>
      <c r="B282" s="2" t="s">
        <v>306</v>
      </c>
      <c r="C282" s="2" t="s">
        <v>97</v>
      </c>
      <c r="D282" s="2" t="s">
        <v>115</v>
      </c>
      <c r="E282" s="117">
        <v>5</v>
      </c>
      <c r="F282" s="117">
        <v>0</v>
      </c>
      <c r="G282" s="117">
        <v>0</v>
      </c>
      <c r="H282" s="117">
        <v>0</v>
      </c>
      <c r="I282" s="267" t="s">
        <v>488</v>
      </c>
      <c r="J282" s="267" t="s">
        <v>488</v>
      </c>
      <c r="K282" s="117">
        <v>0</v>
      </c>
      <c r="L282" s="267" t="s">
        <v>488</v>
      </c>
      <c r="M282" s="117">
        <v>0</v>
      </c>
      <c r="N282" s="267" t="s">
        <v>488</v>
      </c>
      <c r="O282" s="117">
        <v>0</v>
      </c>
      <c r="P282" s="267" t="s">
        <v>488</v>
      </c>
    </row>
    <row r="283" spans="1:16" x14ac:dyDescent="0.25">
      <c r="A283" s="269"/>
      <c r="B283" s="269"/>
      <c r="C283" s="269" t="s">
        <v>97</v>
      </c>
      <c r="D283" s="269"/>
      <c r="E283" s="269"/>
      <c r="F283" s="270">
        <v>26</v>
      </c>
      <c r="G283" s="270">
        <v>3.4</v>
      </c>
      <c r="H283" s="270">
        <v>1.2</v>
      </c>
      <c r="I283" s="271">
        <v>0.35289999999999999</v>
      </c>
      <c r="J283" s="271">
        <v>4.6199999999999998E-2</v>
      </c>
      <c r="K283" s="270">
        <v>0.4</v>
      </c>
      <c r="L283" s="271">
        <v>0.33329999999999999</v>
      </c>
      <c r="M283" s="270">
        <v>0.4</v>
      </c>
      <c r="N283" s="271">
        <v>0.33329999999999999</v>
      </c>
      <c r="O283" s="270">
        <v>0.4</v>
      </c>
      <c r="P283" s="271">
        <v>0.33329999999999999</v>
      </c>
    </row>
    <row r="284" spans="1:16" x14ac:dyDescent="0.25">
      <c r="A284" s="117">
        <v>540225</v>
      </c>
      <c r="B284" s="2" t="s">
        <v>98</v>
      </c>
      <c r="C284" s="2" t="s">
        <v>99</v>
      </c>
      <c r="D284" s="2" t="s">
        <v>5</v>
      </c>
      <c r="E284" s="117">
        <v>5</v>
      </c>
      <c r="F284" s="117">
        <v>17.8</v>
      </c>
      <c r="G284" s="117">
        <v>9.9</v>
      </c>
      <c r="H284" s="117">
        <v>0</v>
      </c>
      <c r="I284" s="267">
        <v>0</v>
      </c>
      <c r="J284" s="267">
        <v>0</v>
      </c>
      <c r="K284" s="117">
        <v>0</v>
      </c>
      <c r="L284" s="267" t="s">
        <v>488</v>
      </c>
      <c r="M284" s="117">
        <v>0</v>
      </c>
      <c r="N284" s="267" t="s">
        <v>488</v>
      </c>
      <c r="O284" s="117">
        <v>0</v>
      </c>
      <c r="P284" s="267" t="s">
        <v>488</v>
      </c>
    </row>
    <row r="285" spans="1:16" x14ac:dyDescent="0.25">
      <c r="A285" s="117">
        <v>540156</v>
      </c>
      <c r="B285" s="2" t="s">
        <v>232</v>
      </c>
      <c r="C285" s="2" t="s">
        <v>99</v>
      </c>
      <c r="D285" s="2" t="s">
        <v>115</v>
      </c>
      <c r="E285" s="117">
        <v>5</v>
      </c>
      <c r="F285" s="117">
        <v>0.9</v>
      </c>
      <c r="G285" s="117">
        <v>0.7</v>
      </c>
      <c r="H285" s="117">
        <v>0</v>
      </c>
      <c r="I285" s="267">
        <v>0</v>
      </c>
      <c r="J285" s="267">
        <v>0</v>
      </c>
      <c r="K285" s="117">
        <v>0</v>
      </c>
      <c r="L285" s="267" t="s">
        <v>488</v>
      </c>
      <c r="M285" s="117">
        <v>0</v>
      </c>
      <c r="N285" s="267" t="s">
        <v>488</v>
      </c>
      <c r="O285" s="117">
        <v>0</v>
      </c>
      <c r="P285" s="267" t="s">
        <v>488</v>
      </c>
    </row>
    <row r="286" spans="1:16" x14ac:dyDescent="0.25">
      <c r="A286" s="117">
        <v>540253</v>
      </c>
      <c r="B286" s="2" t="s">
        <v>299</v>
      </c>
      <c r="C286" s="2" t="s">
        <v>99</v>
      </c>
      <c r="D286" s="2" t="s">
        <v>115</v>
      </c>
      <c r="E286" s="117">
        <v>5</v>
      </c>
      <c r="F286" s="117">
        <v>1.3</v>
      </c>
      <c r="G286" s="117">
        <v>0.1</v>
      </c>
      <c r="H286" s="117">
        <v>0</v>
      </c>
      <c r="I286" s="267">
        <v>0</v>
      </c>
      <c r="J286" s="267">
        <v>0</v>
      </c>
      <c r="K286" s="117">
        <v>0</v>
      </c>
      <c r="L286" s="267" t="s">
        <v>488</v>
      </c>
      <c r="M286" s="117">
        <v>0</v>
      </c>
      <c r="N286" s="267" t="s">
        <v>488</v>
      </c>
      <c r="O286" s="117">
        <v>0</v>
      </c>
      <c r="P286" s="267" t="s">
        <v>488</v>
      </c>
    </row>
    <row r="287" spans="1:16" x14ac:dyDescent="0.25">
      <c r="A287" s="269"/>
      <c r="B287" s="269"/>
      <c r="C287" s="269" t="s">
        <v>99</v>
      </c>
      <c r="D287" s="269"/>
      <c r="E287" s="269"/>
      <c r="F287" s="270">
        <v>20</v>
      </c>
      <c r="G287" s="270">
        <v>10.7</v>
      </c>
      <c r="H287" s="270">
        <v>0</v>
      </c>
      <c r="I287" s="271">
        <v>0</v>
      </c>
      <c r="J287" s="271">
        <v>0</v>
      </c>
      <c r="K287" s="270">
        <v>0</v>
      </c>
      <c r="L287" s="271" t="s">
        <v>488</v>
      </c>
      <c r="M287" s="270">
        <v>0</v>
      </c>
      <c r="N287" s="271"/>
      <c r="O287" s="270">
        <v>0</v>
      </c>
      <c r="P287" s="271"/>
    </row>
    <row r="288" spans="1:16" x14ac:dyDescent="0.25">
      <c r="A288" s="117">
        <v>540226</v>
      </c>
      <c r="B288" s="2" t="s">
        <v>100</v>
      </c>
      <c r="C288" s="2" t="s">
        <v>101</v>
      </c>
      <c r="D288" s="2" t="s">
        <v>5</v>
      </c>
      <c r="E288" s="117">
        <v>8</v>
      </c>
      <c r="F288" s="117">
        <v>41.7</v>
      </c>
      <c r="G288" s="117">
        <v>17.8</v>
      </c>
      <c r="H288" s="117">
        <v>0</v>
      </c>
      <c r="I288" s="267">
        <v>0</v>
      </c>
      <c r="J288" s="267">
        <v>0</v>
      </c>
      <c r="K288" s="117">
        <v>0</v>
      </c>
      <c r="L288" s="267" t="s">
        <v>488</v>
      </c>
      <c r="M288" s="117">
        <v>0</v>
      </c>
      <c r="N288" s="267" t="s">
        <v>488</v>
      </c>
      <c r="O288" s="117">
        <v>0</v>
      </c>
      <c r="P288" s="267" t="s">
        <v>488</v>
      </c>
    </row>
    <row r="289" spans="1:16" x14ac:dyDescent="0.25">
      <c r="A289" s="117">
        <v>540046</v>
      </c>
      <c r="B289" s="2" t="s">
        <v>147</v>
      </c>
      <c r="C289" s="2" t="s">
        <v>101</v>
      </c>
      <c r="D289" s="2" t="s">
        <v>115</v>
      </c>
      <c r="E289" s="117">
        <v>8</v>
      </c>
      <c r="F289" s="117">
        <v>0</v>
      </c>
      <c r="G289" s="117">
        <v>0</v>
      </c>
      <c r="H289" s="117">
        <v>0</v>
      </c>
      <c r="I289" s="267" t="s">
        <v>488</v>
      </c>
      <c r="J289" s="267" t="s">
        <v>488</v>
      </c>
      <c r="K289" s="117">
        <v>0</v>
      </c>
      <c r="L289" s="267" t="s">
        <v>488</v>
      </c>
      <c r="M289" s="117">
        <v>0</v>
      </c>
      <c r="N289" s="267" t="s">
        <v>488</v>
      </c>
      <c r="O289" s="117">
        <v>0</v>
      </c>
      <c r="P289" s="267" t="s">
        <v>488</v>
      </c>
    </row>
    <row r="290" spans="1:16" x14ac:dyDescent="0.25">
      <c r="A290" s="117">
        <v>540276</v>
      </c>
      <c r="B290" s="2" t="s">
        <v>319</v>
      </c>
      <c r="C290" s="2" t="s">
        <v>101</v>
      </c>
      <c r="D290" s="2" t="s">
        <v>115</v>
      </c>
      <c r="E290" s="117">
        <v>8</v>
      </c>
      <c r="F290" s="117">
        <v>0.3</v>
      </c>
      <c r="G290" s="117">
        <v>0.3</v>
      </c>
      <c r="H290" s="117">
        <v>0</v>
      </c>
      <c r="I290" s="267">
        <v>0</v>
      </c>
      <c r="J290" s="267">
        <v>0</v>
      </c>
      <c r="K290" s="117">
        <v>0</v>
      </c>
      <c r="L290" s="267" t="s">
        <v>488</v>
      </c>
      <c r="M290" s="117">
        <v>0</v>
      </c>
      <c r="N290" s="267" t="s">
        <v>488</v>
      </c>
      <c r="O290" s="117">
        <v>0</v>
      </c>
      <c r="P290" s="267" t="s">
        <v>488</v>
      </c>
    </row>
    <row r="291" spans="1:16" x14ac:dyDescent="0.25">
      <c r="A291" s="269"/>
      <c r="B291" s="269"/>
      <c r="C291" s="269" t="s">
        <v>101</v>
      </c>
      <c r="D291" s="269"/>
      <c r="E291" s="269"/>
      <c r="F291" s="270">
        <v>42</v>
      </c>
      <c r="G291" s="270">
        <v>18.100000000000001</v>
      </c>
      <c r="H291" s="270">
        <v>0</v>
      </c>
      <c r="I291" s="271">
        <v>0</v>
      </c>
      <c r="J291" s="271">
        <v>0</v>
      </c>
      <c r="K291" s="270">
        <v>0</v>
      </c>
      <c r="L291" s="271" t="s">
        <v>488</v>
      </c>
      <c r="M291" s="270">
        <v>0</v>
      </c>
      <c r="N291" s="271"/>
      <c r="O291" s="270">
        <v>0</v>
      </c>
      <c r="P291" s="271"/>
    </row>
    <row r="292" spans="1:16" x14ac:dyDescent="0.25">
      <c r="A292" s="117">
        <v>540277</v>
      </c>
      <c r="B292" s="2" t="s">
        <v>102</v>
      </c>
      <c r="C292" s="2" t="s">
        <v>103</v>
      </c>
      <c r="D292" s="2" t="s">
        <v>5</v>
      </c>
      <c r="E292" s="117">
        <v>5</v>
      </c>
      <c r="F292" s="117">
        <v>11.7</v>
      </c>
      <c r="G292" s="117">
        <v>9.5</v>
      </c>
      <c r="H292" s="117">
        <v>0</v>
      </c>
      <c r="I292" s="267">
        <v>0</v>
      </c>
      <c r="J292" s="267">
        <v>0</v>
      </c>
      <c r="K292" s="117">
        <v>0</v>
      </c>
      <c r="L292" s="267" t="s">
        <v>488</v>
      </c>
      <c r="M292" s="117">
        <v>0</v>
      </c>
      <c r="N292" s="267" t="s">
        <v>488</v>
      </c>
      <c r="O292" s="117">
        <v>0</v>
      </c>
      <c r="P292" s="267" t="s">
        <v>488</v>
      </c>
    </row>
    <row r="293" spans="1:16" x14ac:dyDescent="0.25">
      <c r="A293" s="117">
        <v>540195</v>
      </c>
      <c r="B293" s="2" t="s">
        <v>258</v>
      </c>
      <c r="C293" s="2" t="s">
        <v>103</v>
      </c>
      <c r="D293" s="2" t="s">
        <v>115</v>
      </c>
      <c r="E293" s="117">
        <v>5</v>
      </c>
      <c r="F293" s="117">
        <v>0</v>
      </c>
      <c r="G293" s="117">
        <v>0</v>
      </c>
      <c r="H293" s="117">
        <v>0</v>
      </c>
      <c r="I293" s="267" t="s">
        <v>488</v>
      </c>
      <c r="J293" s="267" t="s">
        <v>488</v>
      </c>
      <c r="K293" s="117">
        <v>0</v>
      </c>
      <c r="L293" s="267" t="s">
        <v>488</v>
      </c>
      <c r="M293" s="117">
        <v>0</v>
      </c>
      <c r="N293" s="267" t="s">
        <v>488</v>
      </c>
      <c r="O293" s="117">
        <v>0</v>
      </c>
      <c r="P293" s="267" t="s">
        <v>488</v>
      </c>
    </row>
    <row r="294" spans="1:16" x14ac:dyDescent="0.25">
      <c r="A294" s="117">
        <v>540196</v>
      </c>
      <c r="B294" s="2" t="s">
        <v>259</v>
      </c>
      <c r="C294" s="2" t="s">
        <v>103</v>
      </c>
      <c r="D294" s="2" t="s">
        <v>115</v>
      </c>
      <c r="E294" s="117">
        <v>5</v>
      </c>
      <c r="F294" s="117">
        <v>0.9</v>
      </c>
      <c r="G294" s="117">
        <v>0.7</v>
      </c>
      <c r="H294" s="117">
        <v>0</v>
      </c>
      <c r="I294" s="267">
        <v>0</v>
      </c>
      <c r="J294" s="267">
        <v>0</v>
      </c>
      <c r="K294" s="117">
        <v>0</v>
      </c>
      <c r="L294" s="267" t="s">
        <v>488</v>
      </c>
      <c r="M294" s="117">
        <v>0</v>
      </c>
      <c r="N294" s="267" t="s">
        <v>488</v>
      </c>
      <c r="O294" s="117">
        <v>0</v>
      </c>
      <c r="P294" s="267" t="s">
        <v>488</v>
      </c>
    </row>
    <row r="295" spans="1:16" x14ac:dyDescent="0.25">
      <c r="A295" s="117">
        <v>540197</v>
      </c>
      <c r="B295" s="2" t="s">
        <v>260</v>
      </c>
      <c r="C295" s="2" t="s">
        <v>103</v>
      </c>
      <c r="D295" s="2" t="s">
        <v>115</v>
      </c>
      <c r="E295" s="117">
        <v>5</v>
      </c>
      <c r="F295" s="117">
        <v>1.2</v>
      </c>
      <c r="G295" s="117">
        <v>0</v>
      </c>
      <c r="H295" s="117">
        <v>0</v>
      </c>
      <c r="I295" s="267" t="s">
        <v>488</v>
      </c>
      <c r="J295" s="267">
        <v>0</v>
      </c>
      <c r="K295" s="117">
        <v>0</v>
      </c>
      <c r="L295" s="267" t="s">
        <v>488</v>
      </c>
      <c r="M295" s="117">
        <v>0</v>
      </c>
      <c r="N295" s="267" t="s">
        <v>488</v>
      </c>
      <c r="O295" s="117">
        <v>0</v>
      </c>
      <c r="P295" s="267" t="s">
        <v>488</v>
      </c>
    </row>
    <row r="296" spans="1:16" x14ac:dyDescent="0.25">
      <c r="A296" s="117">
        <v>540259</v>
      </c>
      <c r="B296" s="2" t="s">
        <v>304</v>
      </c>
      <c r="C296" s="2" t="s">
        <v>103</v>
      </c>
      <c r="D296" s="2" t="s">
        <v>115</v>
      </c>
      <c r="E296" s="117">
        <v>5</v>
      </c>
      <c r="F296" s="117">
        <v>0.5</v>
      </c>
      <c r="G296" s="117">
        <v>0.5</v>
      </c>
      <c r="H296" s="117">
        <v>0</v>
      </c>
      <c r="I296" s="267">
        <v>0</v>
      </c>
      <c r="J296" s="267">
        <v>0</v>
      </c>
      <c r="K296" s="117">
        <v>0</v>
      </c>
      <c r="L296" s="267" t="s">
        <v>488</v>
      </c>
      <c r="M296" s="117">
        <v>0</v>
      </c>
      <c r="N296" s="267" t="s">
        <v>488</v>
      </c>
      <c r="O296" s="117">
        <v>0</v>
      </c>
      <c r="P296" s="267" t="s">
        <v>488</v>
      </c>
    </row>
    <row r="297" spans="1:16" x14ac:dyDescent="0.25">
      <c r="A297" s="269"/>
      <c r="B297" s="269"/>
      <c r="C297" s="269" t="s">
        <v>103</v>
      </c>
      <c r="D297" s="269"/>
      <c r="E297" s="269"/>
      <c r="F297" s="270">
        <v>14.3</v>
      </c>
      <c r="G297" s="270">
        <v>10.7</v>
      </c>
      <c r="H297" s="270">
        <v>0</v>
      </c>
      <c r="I297" s="271">
        <v>0</v>
      </c>
      <c r="J297" s="271">
        <v>0</v>
      </c>
      <c r="K297" s="270">
        <v>0</v>
      </c>
      <c r="L297" s="271" t="s">
        <v>488</v>
      </c>
      <c r="M297" s="270">
        <v>0</v>
      </c>
      <c r="N297" s="271"/>
      <c r="O297" s="270">
        <v>0</v>
      </c>
      <c r="P297" s="271"/>
    </row>
    <row r="298" spans="1:16" x14ac:dyDescent="0.25">
      <c r="A298" s="117">
        <v>540278</v>
      </c>
      <c r="B298" s="2" t="s">
        <v>104</v>
      </c>
      <c r="C298" s="2" t="s">
        <v>105</v>
      </c>
      <c r="D298" s="2" t="s">
        <v>5</v>
      </c>
      <c r="E298" s="117">
        <v>1</v>
      </c>
      <c r="F298" s="117">
        <v>2.4</v>
      </c>
      <c r="G298" s="117">
        <v>1</v>
      </c>
      <c r="H298" s="117">
        <v>0.3</v>
      </c>
      <c r="I298" s="267">
        <v>0.3</v>
      </c>
      <c r="J298" s="267">
        <v>0.125</v>
      </c>
      <c r="K298" s="117">
        <v>0</v>
      </c>
      <c r="L298" s="267">
        <v>0</v>
      </c>
      <c r="M298" s="117">
        <v>0.3</v>
      </c>
      <c r="N298" s="267">
        <v>1</v>
      </c>
      <c r="O298" s="117">
        <v>0</v>
      </c>
      <c r="P298" s="267">
        <v>0</v>
      </c>
    </row>
    <row r="299" spans="1:16" x14ac:dyDescent="0.25">
      <c r="A299" s="117">
        <v>540041</v>
      </c>
      <c r="B299" s="2" t="s">
        <v>142</v>
      </c>
      <c r="C299" s="2" t="s">
        <v>105</v>
      </c>
      <c r="D299" s="2" t="s">
        <v>115</v>
      </c>
      <c r="E299" s="117">
        <v>1</v>
      </c>
      <c r="F299" s="117">
        <v>1.1000000000000001</v>
      </c>
      <c r="G299" s="117">
        <v>0.2</v>
      </c>
      <c r="H299" s="117">
        <v>0.1</v>
      </c>
      <c r="I299" s="267">
        <v>0.5</v>
      </c>
      <c r="J299" s="267">
        <v>9.0899999999999995E-2</v>
      </c>
      <c r="K299" s="117">
        <v>0.1</v>
      </c>
      <c r="L299" s="267">
        <v>1</v>
      </c>
      <c r="M299" s="117">
        <v>0</v>
      </c>
      <c r="N299" s="267">
        <v>0</v>
      </c>
      <c r="O299" s="117">
        <v>0</v>
      </c>
      <c r="P299" s="267">
        <v>0</v>
      </c>
    </row>
    <row r="300" spans="1:16" x14ac:dyDescent="0.25">
      <c r="A300" s="117">
        <v>540143</v>
      </c>
      <c r="B300" s="2" t="s">
        <v>224</v>
      </c>
      <c r="C300" s="2" t="s">
        <v>105</v>
      </c>
      <c r="D300" s="2" t="s">
        <v>115</v>
      </c>
      <c r="E300" s="117">
        <v>1</v>
      </c>
      <c r="F300" s="117">
        <v>0</v>
      </c>
      <c r="G300" s="117">
        <v>0</v>
      </c>
      <c r="H300" s="117">
        <v>0</v>
      </c>
      <c r="I300" s="267" t="s">
        <v>488</v>
      </c>
      <c r="J300" s="267" t="s">
        <v>488</v>
      </c>
      <c r="K300" s="117">
        <v>0</v>
      </c>
      <c r="L300" s="267" t="s">
        <v>488</v>
      </c>
      <c r="M300" s="117">
        <v>0</v>
      </c>
      <c r="N300" s="267" t="s">
        <v>488</v>
      </c>
      <c r="O300" s="117">
        <v>0</v>
      </c>
      <c r="P300" s="267" t="s">
        <v>488</v>
      </c>
    </row>
    <row r="301" spans="1:16" x14ac:dyDescent="0.25">
      <c r="A301" s="117">
        <v>540290</v>
      </c>
      <c r="B301" s="2" t="s">
        <v>327</v>
      </c>
      <c r="C301" s="2" t="s">
        <v>105</v>
      </c>
      <c r="D301" s="2" t="s">
        <v>115</v>
      </c>
      <c r="E301" s="117">
        <v>1</v>
      </c>
      <c r="F301" s="117">
        <v>0</v>
      </c>
      <c r="G301" s="117">
        <v>0</v>
      </c>
      <c r="H301" s="117">
        <v>0</v>
      </c>
      <c r="I301" s="267" t="s">
        <v>488</v>
      </c>
      <c r="J301" s="267" t="s">
        <v>488</v>
      </c>
      <c r="K301" s="117">
        <v>0</v>
      </c>
      <c r="L301" s="267" t="s">
        <v>488</v>
      </c>
      <c r="M301" s="117">
        <v>0</v>
      </c>
      <c r="N301" s="267" t="s">
        <v>488</v>
      </c>
      <c r="O301" s="117">
        <v>0</v>
      </c>
      <c r="P301" s="267" t="s">
        <v>488</v>
      </c>
    </row>
    <row r="302" spans="1:16" x14ac:dyDescent="0.25">
      <c r="A302" s="269"/>
      <c r="B302" s="269"/>
      <c r="C302" s="269" t="s">
        <v>105</v>
      </c>
      <c r="D302" s="269"/>
      <c r="E302" s="269"/>
      <c r="F302" s="270">
        <v>3.5</v>
      </c>
      <c r="G302" s="270">
        <v>1.2</v>
      </c>
      <c r="H302" s="270">
        <v>0.4</v>
      </c>
      <c r="I302" s="271">
        <v>0.33329999999999999</v>
      </c>
      <c r="J302" s="271">
        <v>0.1143</v>
      </c>
      <c r="K302" s="270">
        <v>0.1</v>
      </c>
      <c r="L302" s="271">
        <v>0.25</v>
      </c>
      <c r="M302" s="270">
        <v>0.3</v>
      </c>
      <c r="N302" s="271">
        <v>0.75</v>
      </c>
      <c r="O302" s="270">
        <v>0</v>
      </c>
      <c r="P302" s="271">
        <v>0</v>
      </c>
    </row>
    <row r="303" spans="1:16" x14ac:dyDescent="0.25">
      <c r="A303" s="117">
        <v>540282</v>
      </c>
      <c r="B303" s="2" t="s">
        <v>106</v>
      </c>
      <c r="C303" s="2" t="s">
        <v>107</v>
      </c>
      <c r="D303" s="2" t="s">
        <v>5</v>
      </c>
      <c r="E303" s="117">
        <v>9</v>
      </c>
      <c r="F303" s="117">
        <v>60.1</v>
      </c>
      <c r="G303" s="117">
        <v>6.6</v>
      </c>
      <c r="H303" s="117">
        <v>0.1</v>
      </c>
      <c r="I303" s="267">
        <v>1.52E-2</v>
      </c>
      <c r="J303" s="267">
        <v>1.6999999999999999E-3</v>
      </c>
      <c r="K303" s="117">
        <v>0</v>
      </c>
      <c r="L303" s="267">
        <v>0</v>
      </c>
      <c r="M303" s="117">
        <v>0</v>
      </c>
      <c r="N303" s="267">
        <v>0</v>
      </c>
      <c r="O303" s="117">
        <v>0.1</v>
      </c>
      <c r="P303" s="267">
        <v>1</v>
      </c>
    </row>
    <row r="304" spans="1:16" x14ac:dyDescent="0.25">
      <c r="A304" s="117">
        <v>540006</v>
      </c>
      <c r="B304" s="2" t="s">
        <v>119</v>
      </c>
      <c r="C304" s="2" t="s">
        <v>107</v>
      </c>
      <c r="D304" s="2" t="s">
        <v>115</v>
      </c>
      <c r="E304" s="117">
        <v>9</v>
      </c>
      <c r="F304" s="117">
        <v>6.1</v>
      </c>
      <c r="G304" s="117">
        <v>0.3</v>
      </c>
      <c r="H304" s="117">
        <v>0.2</v>
      </c>
      <c r="I304" s="267">
        <v>0.66669999999999996</v>
      </c>
      <c r="J304" s="267">
        <v>3.2800000000000003E-2</v>
      </c>
      <c r="K304" s="117">
        <v>0.1</v>
      </c>
      <c r="L304" s="267">
        <v>0.5</v>
      </c>
      <c r="M304" s="117">
        <v>0.1</v>
      </c>
      <c r="N304" s="267">
        <v>0.5</v>
      </c>
      <c r="O304" s="117">
        <v>0</v>
      </c>
      <c r="P304" s="267">
        <v>0</v>
      </c>
    </row>
    <row r="305" spans="1:16" x14ac:dyDescent="0.25">
      <c r="A305" s="117">
        <v>545550</v>
      </c>
      <c r="B305" s="2" t="s">
        <v>339</v>
      </c>
      <c r="C305" s="2" t="s">
        <v>107</v>
      </c>
      <c r="D305" s="2" t="s">
        <v>115</v>
      </c>
      <c r="E305" s="117">
        <v>9</v>
      </c>
      <c r="F305" s="117">
        <v>0</v>
      </c>
      <c r="G305" s="117">
        <v>0</v>
      </c>
      <c r="H305" s="117">
        <v>0</v>
      </c>
      <c r="I305" s="267" t="s">
        <v>488</v>
      </c>
      <c r="J305" s="267" t="s">
        <v>488</v>
      </c>
      <c r="K305" s="117">
        <v>0</v>
      </c>
      <c r="L305" s="267" t="s">
        <v>488</v>
      </c>
      <c r="M305" s="117">
        <v>0</v>
      </c>
      <c r="N305" s="267" t="s">
        <v>488</v>
      </c>
      <c r="O305" s="117">
        <v>0</v>
      </c>
      <c r="P305" s="267" t="s">
        <v>488</v>
      </c>
    </row>
    <row r="306" spans="1:16" x14ac:dyDescent="0.25">
      <c r="A306" s="269"/>
      <c r="B306" s="269"/>
      <c r="C306" s="269" t="s">
        <v>107</v>
      </c>
      <c r="D306" s="269"/>
      <c r="E306" s="269"/>
      <c r="F306" s="270">
        <v>66.2</v>
      </c>
      <c r="G306" s="270">
        <v>6.9</v>
      </c>
      <c r="H306" s="270">
        <v>0.3</v>
      </c>
      <c r="I306" s="271">
        <v>4.3499999999999997E-2</v>
      </c>
      <c r="J306" s="271">
        <v>4.4999999999999997E-3</v>
      </c>
      <c r="K306" s="270">
        <v>0.1</v>
      </c>
      <c r="L306" s="271">
        <v>0.33329999999999999</v>
      </c>
      <c r="M306" s="270">
        <v>0.1</v>
      </c>
      <c r="N306" s="271">
        <v>0.33329999999999999</v>
      </c>
      <c r="O306" s="270">
        <v>0.1</v>
      </c>
      <c r="P306" s="271">
        <v>0.33329999999999999</v>
      </c>
    </row>
    <row r="307" spans="1:16" x14ac:dyDescent="0.25">
      <c r="A307" s="117">
        <v>540283</v>
      </c>
      <c r="B307" s="2" t="s">
        <v>108</v>
      </c>
      <c r="C307" s="2" t="s">
        <v>109</v>
      </c>
      <c r="D307" s="2" t="s">
        <v>5</v>
      </c>
      <c r="E307" s="117">
        <v>4</v>
      </c>
      <c r="F307" s="117">
        <v>115.3</v>
      </c>
      <c r="G307" s="117">
        <v>29.1</v>
      </c>
      <c r="H307" s="117">
        <v>0</v>
      </c>
      <c r="I307" s="267">
        <v>0</v>
      </c>
      <c r="J307" s="267">
        <v>0</v>
      </c>
      <c r="K307" s="117">
        <v>0</v>
      </c>
      <c r="L307" s="267" t="s">
        <v>488</v>
      </c>
      <c r="M307" s="117">
        <v>0</v>
      </c>
      <c r="N307" s="267" t="s">
        <v>488</v>
      </c>
      <c r="O307" s="117">
        <v>0</v>
      </c>
      <c r="P307" s="267" t="s">
        <v>488</v>
      </c>
    </row>
    <row r="308" spans="1:16" x14ac:dyDescent="0.25">
      <c r="A308" s="117">
        <v>540158</v>
      </c>
      <c r="B308" s="2" t="s">
        <v>233</v>
      </c>
      <c r="C308" s="2" t="s">
        <v>109</v>
      </c>
      <c r="D308" s="2" t="s">
        <v>115</v>
      </c>
      <c r="E308" s="117">
        <v>4</v>
      </c>
      <c r="F308" s="117">
        <v>1.6</v>
      </c>
      <c r="G308" s="117">
        <v>0</v>
      </c>
      <c r="H308" s="117">
        <v>0</v>
      </c>
      <c r="I308" s="267" t="s">
        <v>488</v>
      </c>
      <c r="J308" s="267">
        <v>0</v>
      </c>
      <c r="K308" s="117">
        <v>0</v>
      </c>
      <c r="L308" s="267" t="s">
        <v>488</v>
      </c>
      <c r="M308" s="117">
        <v>0</v>
      </c>
      <c r="N308" s="267" t="s">
        <v>488</v>
      </c>
      <c r="O308" s="117">
        <v>0</v>
      </c>
      <c r="P308" s="267" t="s">
        <v>488</v>
      </c>
    </row>
    <row r="309" spans="1:16" x14ac:dyDescent="0.25">
      <c r="A309" s="117">
        <v>540159</v>
      </c>
      <c r="B309" s="2" t="s">
        <v>234</v>
      </c>
      <c r="C309" s="2" t="s">
        <v>109</v>
      </c>
      <c r="D309" s="2" t="s">
        <v>115</v>
      </c>
      <c r="E309" s="117">
        <v>4</v>
      </c>
      <c r="F309" s="117">
        <v>2.4</v>
      </c>
      <c r="G309" s="117">
        <v>0.9</v>
      </c>
      <c r="H309" s="117">
        <v>0</v>
      </c>
      <c r="I309" s="267">
        <v>0</v>
      </c>
      <c r="J309" s="267">
        <v>0</v>
      </c>
      <c r="K309" s="117">
        <v>0</v>
      </c>
      <c r="L309" s="267" t="s">
        <v>488</v>
      </c>
      <c r="M309" s="117">
        <v>0</v>
      </c>
      <c r="N309" s="267" t="s">
        <v>488</v>
      </c>
      <c r="O309" s="117">
        <v>0</v>
      </c>
      <c r="P309" s="267" t="s">
        <v>488</v>
      </c>
    </row>
    <row r="310" spans="1:16" x14ac:dyDescent="0.25">
      <c r="A310" s="117">
        <v>540288</v>
      </c>
      <c r="B310" s="2" t="s">
        <v>340</v>
      </c>
      <c r="C310" s="2" t="s">
        <v>109</v>
      </c>
      <c r="D310" s="2" t="s">
        <v>115</v>
      </c>
      <c r="E310" s="117">
        <v>4</v>
      </c>
      <c r="F310" s="117">
        <v>0</v>
      </c>
      <c r="G310" s="117">
        <v>0</v>
      </c>
      <c r="H310" s="117">
        <v>0</v>
      </c>
      <c r="I310" s="267" t="s">
        <v>488</v>
      </c>
      <c r="J310" s="267" t="s">
        <v>488</v>
      </c>
      <c r="K310" s="117">
        <v>0</v>
      </c>
      <c r="L310" s="267" t="s">
        <v>488</v>
      </c>
      <c r="M310" s="117">
        <v>0</v>
      </c>
      <c r="N310" s="267" t="s">
        <v>488</v>
      </c>
      <c r="O310" s="117">
        <v>0</v>
      </c>
      <c r="P310" s="267" t="s">
        <v>488</v>
      </c>
    </row>
    <row r="311" spans="1:16" x14ac:dyDescent="0.25">
      <c r="A311" s="269"/>
      <c r="B311" s="269"/>
      <c r="C311" s="269" t="s">
        <v>109</v>
      </c>
      <c r="D311" s="269"/>
      <c r="E311" s="269"/>
      <c r="F311" s="270">
        <v>119.3</v>
      </c>
      <c r="G311" s="270">
        <v>30</v>
      </c>
      <c r="H311" s="270">
        <v>0</v>
      </c>
      <c r="I311" s="271">
        <v>0</v>
      </c>
      <c r="J311" s="271">
        <v>0</v>
      </c>
      <c r="K311" s="270">
        <v>0</v>
      </c>
      <c r="L311" s="271" t="s">
        <v>488</v>
      </c>
      <c r="M311" s="270">
        <v>0</v>
      </c>
      <c r="N311" s="271"/>
      <c r="O311" s="270">
        <v>0</v>
      </c>
      <c r="P311" s="271"/>
    </row>
    <row r="312" spans="1:16" x14ac:dyDescent="0.25">
      <c r="A312" s="117">
        <v>545536</v>
      </c>
      <c r="B312" s="2" t="s">
        <v>110</v>
      </c>
      <c r="C312" s="2" t="s">
        <v>111</v>
      </c>
      <c r="D312" s="2" t="s">
        <v>5</v>
      </c>
      <c r="E312" s="117">
        <v>2</v>
      </c>
      <c r="F312" s="117">
        <v>102.9</v>
      </c>
      <c r="G312" s="117">
        <v>32.4</v>
      </c>
      <c r="H312" s="117">
        <v>7.3</v>
      </c>
      <c r="I312" s="267">
        <v>0.2253</v>
      </c>
      <c r="J312" s="267">
        <v>7.0900000000000005E-2</v>
      </c>
      <c r="K312" s="117">
        <v>2.2000000000000002</v>
      </c>
      <c r="L312" s="267">
        <v>0.3014</v>
      </c>
      <c r="M312" s="117">
        <v>3.7</v>
      </c>
      <c r="N312" s="267">
        <v>0.50680000000000003</v>
      </c>
      <c r="O312" s="117">
        <v>1.4</v>
      </c>
      <c r="P312" s="267">
        <v>0.1918</v>
      </c>
    </row>
    <row r="313" spans="1:16" x14ac:dyDescent="0.25">
      <c r="A313" s="117">
        <v>540092</v>
      </c>
      <c r="B313" s="2" t="s">
        <v>183</v>
      </c>
      <c r="C313" s="2" t="s">
        <v>111</v>
      </c>
      <c r="D313" s="2" t="s">
        <v>115</v>
      </c>
      <c r="E313" s="117">
        <v>2</v>
      </c>
      <c r="F313" s="117">
        <v>1.2</v>
      </c>
      <c r="G313" s="117">
        <v>0</v>
      </c>
      <c r="H313" s="117">
        <v>0</v>
      </c>
      <c r="I313" s="267" t="s">
        <v>488</v>
      </c>
      <c r="J313" s="267">
        <v>0</v>
      </c>
      <c r="K313" s="117">
        <v>0</v>
      </c>
      <c r="L313" s="267" t="s">
        <v>488</v>
      </c>
      <c r="M313" s="117">
        <v>0</v>
      </c>
      <c r="N313" s="267" t="s">
        <v>488</v>
      </c>
      <c r="O313" s="117">
        <v>0</v>
      </c>
      <c r="P313" s="267" t="s">
        <v>488</v>
      </c>
    </row>
    <row r="314" spans="1:16" x14ac:dyDescent="0.25">
      <c r="A314" s="117">
        <v>540095</v>
      </c>
      <c r="B314" s="2" t="s">
        <v>186</v>
      </c>
      <c r="C314" s="2" t="s">
        <v>111</v>
      </c>
      <c r="D314" s="2" t="s">
        <v>115</v>
      </c>
      <c r="E314" s="117">
        <v>2</v>
      </c>
      <c r="F314" s="117">
        <v>0</v>
      </c>
      <c r="G314" s="117">
        <v>0</v>
      </c>
      <c r="H314" s="117">
        <v>0</v>
      </c>
      <c r="I314" s="267" t="s">
        <v>488</v>
      </c>
      <c r="J314" s="267" t="s">
        <v>488</v>
      </c>
      <c r="K314" s="117">
        <v>0</v>
      </c>
      <c r="L314" s="267" t="s">
        <v>488</v>
      </c>
      <c r="M314" s="117">
        <v>0</v>
      </c>
      <c r="N314" s="267" t="s">
        <v>488</v>
      </c>
      <c r="O314" s="117">
        <v>0</v>
      </c>
      <c r="P314" s="267" t="s">
        <v>488</v>
      </c>
    </row>
    <row r="315" spans="1:16" x14ac:dyDescent="0.25">
      <c r="A315" s="117">
        <v>545535</v>
      </c>
      <c r="B315" s="2" t="s">
        <v>332</v>
      </c>
      <c r="C315" s="2" t="s">
        <v>111</v>
      </c>
      <c r="D315" s="2" t="s">
        <v>115</v>
      </c>
      <c r="E315" s="117">
        <v>2</v>
      </c>
      <c r="F315" s="117">
        <v>2.7</v>
      </c>
      <c r="G315" s="117">
        <v>0.1</v>
      </c>
      <c r="H315" s="117">
        <v>0</v>
      </c>
      <c r="I315" s="267">
        <v>0</v>
      </c>
      <c r="J315" s="267">
        <v>0</v>
      </c>
      <c r="K315" s="117">
        <v>0</v>
      </c>
      <c r="L315" s="267" t="s">
        <v>488</v>
      </c>
      <c r="M315" s="117">
        <v>0</v>
      </c>
      <c r="N315" s="267" t="s">
        <v>488</v>
      </c>
      <c r="O315" s="117">
        <v>0</v>
      </c>
      <c r="P315" s="267" t="s">
        <v>488</v>
      </c>
    </row>
    <row r="316" spans="1:16" x14ac:dyDescent="0.25">
      <c r="A316" s="117">
        <v>545537</v>
      </c>
      <c r="B316" s="2" t="s">
        <v>333</v>
      </c>
      <c r="C316" s="2" t="s">
        <v>111</v>
      </c>
      <c r="D316" s="2" t="s">
        <v>115</v>
      </c>
      <c r="E316" s="117">
        <v>2</v>
      </c>
      <c r="F316" s="117">
        <v>2.6</v>
      </c>
      <c r="G316" s="117">
        <v>0.7</v>
      </c>
      <c r="H316" s="117">
        <v>0</v>
      </c>
      <c r="I316" s="267">
        <v>0</v>
      </c>
      <c r="J316" s="267">
        <v>0</v>
      </c>
      <c r="K316" s="117">
        <v>0</v>
      </c>
      <c r="L316" s="267" t="s">
        <v>488</v>
      </c>
      <c r="M316" s="117">
        <v>0</v>
      </c>
      <c r="N316" s="267" t="s">
        <v>488</v>
      </c>
      <c r="O316" s="117">
        <v>0</v>
      </c>
      <c r="P316" s="267" t="s">
        <v>488</v>
      </c>
    </row>
    <row r="317" spans="1:16" x14ac:dyDescent="0.25">
      <c r="A317" s="117">
        <v>545539</v>
      </c>
      <c r="B317" s="2" t="s">
        <v>335</v>
      </c>
      <c r="C317" s="2" t="s">
        <v>111</v>
      </c>
      <c r="D317" s="2" t="s">
        <v>115</v>
      </c>
      <c r="E317" s="117">
        <v>2</v>
      </c>
      <c r="F317" s="117">
        <v>0</v>
      </c>
      <c r="G317" s="117">
        <v>0</v>
      </c>
      <c r="H317" s="117">
        <v>0</v>
      </c>
      <c r="I317" s="267" t="s">
        <v>488</v>
      </c>
      <c r="J317" s="267" t="s">
        <v>488</v>
      </c>
      <c r="K317" s="117">
        <v>0</v>
      </c>
      <c r="L317" s="267" t="s">
        <v>488</v>
      </c>
      <c r="M317" s="117">
        <v>0</v>
      </c>
      <c r="N317" s="267" t="s">
        <v>488</v>
      </c>
      <c r="O317" s="117">
        <v>0</v>
      </c>
      <c r="P317" s="267" t="s">
        <v>488</v>
      </c>
    </row>
    <row r="318" spans="1:16" x14ac:dyDescent="0.25">
      <c r="A318" s="269"/>
      <c r="B318" s="269"/>
      <c r="C318" s="269" t="s">
        <v>111</v>
      </c>
      <c r="D318" s="269"/>
      <c r="E318" s="269"/>
      <c r="F318" s="270">
        <v>109.4</v>
      </c>
      <c r="G318" s="270">
        <v>33.200000000000003</v>
      </c>
      <c r="H318" s="270">
        <v>7.3</v>
      </c>
      <c r="I318" s="271">
        <v>0.21990000000000001</v>
      </c>
      <c r="J318" s="271">
        <v>6.6699999999999995E-2</v>
      </c>
      <c r="K318" s="270">
        <v>2.2000000000000002</v>
      </c>
      <c r="L318" s="271">
        <v>0.3014</v>
      </c>
      <c r="M318" s="270">
        <v>3.7</v>
      </c>
      <c r="N318" s="271">
        <v>0.50680000000000003</v>
      </c>
      <c r="O318" s="270">
        <v>1.4</v>
      </c>
      <c r="P318" s="271">
        <v>0.1918</v>
      </c>
    </row>
    <row r="319" spans="1:16" x14ac:dyDescent="0.25">
      <c r="A319" s="117">
        <v>540191</v>
      </c>
      <c r="B319" s="2" t="s">
        <v>112</v>
      </c>
      <c r="C319" s="2" t="s">
        <v>113</v>
      </c>
      <c r="D319" s="2" t="s">
        <v>5</v>
      </c>
      <c r="E319" s="117">
        <v>7</v>
      </c>
      <c r="F319" s="117">
        <v>24</v>
      </c>
      <c r="G319" s="117">
        <v>2.8</v>
      </c>
      <c r="H319" s="117">
        <v>0.3</v>
      </c>
      <c r="I319" s="267">
        <v>0.1071</v>
      </c>
      <c r="J319" s="267">
        <v>1.2500000000000001E-2</v>
      </c>
      <c r="K319" s="117">
        <v>0.2</v>
      </c>
      <c r="L319" s="267">
        <v>0.66669999999999996</v>
      </c>
      <c r="M319" s="117">
        <v>0.1</v>
      </c>
      <c r="N319" s="267">
        <v>0.33329999999999999</v>
      </c>
      <c r="O319" s="117">
        <v>0</v>
      </c>
      <c r="P319" s="267">
        <v>0</v>
      </c>
    </row>
    <row r="320" spans="1:16" x14ac:dyDescent="0.25">
      <c r="A320" s="117">
        <v>540193</v>
      </c>
      <c r="B320" s="2" t="s">
        <v>342</v>
      </c>
      <c r="C320" s="2" t="s">
        <v>113</v>
      </c>
      <c r="D320" s="2" t="s">
        <v>115</v>
      </c>
      <c r="E320" s="117">
        <v>7</v>
      </c>
      <c r="F320" s="117">
        <v>0.6</v>
      </c>
      <c r="G320" s="117">
        <v>0.1</v>
      </c>
      <c r="H320" s="117">
        <v>0</v>
      </c>
      <c r="I320" s="267">
        <v>0</v>
      </c>
      <c r="J320" s="267">
        <v>0</v>
      </c>
      <c r="K320" s="117">
        <v>0</v>
      </c>
      <c r="L320" s="267" t="s">
        <v>488</v>
      </c>
      <c r="M320" s="117">
        <v>0</v>
      </c>
      <c r="N320" s="267" t="s">
        <v>488</v>
      </c>
      <c r="O320" s="117">
        <v>0</v>
      </c>
      <c r="P320" s="267" t="s">
        <v>488</v>
      </c>
    </row>
    <row r="321" spans="1:16" x14ac:dyDescent="0.25">
      <c r="A321" s="117">
        <v>540192</v>
      </c>
      <c r="B321" s="2" t="s">
        <v>343</v>
      </c>
      <c r="C321" s="2" t="s">
        <v>113</v>
      </c>
      <c r="D321" s="2" t="s">
        <v>115</v>
      </c>
      <c r="E321" s="117">
        <v>7</v>
      </c>
      <c r="F321" s="117">
        <v>1.2</v>
      </c>
      <c r="G321" s="117">
        <v>0.9</v>
      </c>
      <c r="H321" s="117">
        <v>0</v>
      </c>
      <c r="I321" s="267">
        <v>0</v>
      </c>
      <c r="J321" s="267">
        <v>0</v>
      </c>
      <c r="K321" s="117">
        <v>0</v>
      </c>
      <c r="L321" s="267" t="s">
        <v>488</v>
      </c>
      <c r="M321" s="117">
        <v>0</v>
      </c>
      <c r="N321" s="267" t="s">
        <v>488</v>
      </c>
      <c r="O321" s="117">
        <v>0</v>
      </c>
      <c r="P321" s="267" t="s">
        <v>488</v>
      </c>
    </row>
    <row r="322" spans="1:16" x14ac:dyDescent="0.25">
      <c r="A322" s="117">
        <v>540194</v>
      </c>
      <c r="B322" s="2" t="s">
        <v>344</v>
      </c>
      <c r="C322" s="2" t="s">
        <v>113</v>
      </c>
      <c r="D322" s="2" t="s">
        <v>115</v>
      </c>
      <c r="E322" s="117">
        <v>7</v>
      </c>
      <c r="F322" s="117">
        <v>1.4</v>
      </c>
      <c r="G322" s="117">
        <v>0.8</v>
      </c>
      <c r="H322" s="117">
        <v>0</v>
      </c>
      <c r="I322" s="267">
        <v>0</v>
      </c>
      <c r="J322" s="267">
        <v>0</v>
      </c>
      <c r="K322" s="117">
        <v>0</v>
      </c>
      <c r="L322" s="267" t="s">
        <v>488</v>
      </c>
      <c r="M322" s="117">
        <v>0</v>
      </c>
      <c r="N322" s="267" t="s">
        <v>488</v>
      </c>
      <c r="O322" s="117">
        <v>0</v>
      </c>
      <c r="P322" s="267" t="s">
        <v>488</v>
      </c>
    </row>
    <row r="323" spans="1:16" x14ac:dyDescent="0.25">
      <c r="A323" s="117">
        <v>540261</v>
      </c>
      <c r="B323" s="2" t="s">
        <v>345</v>
      </c>
      <c r="C323" s="2" t="s">
        <v>113</v>
      </c>
      <c r="D323" s="2" t="s">
        <v>115</v>
      </c>
      <c r="E323" s="117">
        <v>7</v>
      </c>
      <c r="F323" s="117">
        <v>3.2</v>
      </c>
      <c r="G323" s="117">
        <v>0.5</v>
      </c>
      <c r="H323" s="117">
        <v>0</v>
      </c>
      <c r="I323" s="267">
        <v>0</v>
      </c>
      <c r="J323" s="267">
        <v>0</v>
      </c>
      <c r="K323" s="117">
        <v>0</v>
      </c>
      <c r="L323" s="267" t="s">
        <v>488</v>
      </c>
      <c r="M323" s="117">
        <v>0</v>
      </c>
      <c r="N323" s="267" t="s">
        <v>488</v>
      </c>
      <c r="O323" s="117">
        <v>0</v>
      </c>
      <c r="P323" s="267" t="s">
        <v>488</v>
      </c>
    </row>
    <row r="324" spans="1:16" x14ac:dyDescent="0.25">
      <c r="A324" s="117">
        <v>540260</v>
      </c>
      <c r="B324" s="2" t="s">
        <v>346</v>
      </c>
      <c r="C324" s="2" t="s">
        <v>113</v>
      </c>
      <c r="D324" s="2" t="s">
        <v>115</v>
      </c>
      <c r="E324" s="117">
        <v>7</v>
      </c>
      <c r="F324" s="117">
        <v>1.3</v>
      </c>
      <c r="G324" s="117">
        <v>0</v>
      </c>
      <c r="H324" s="117">
        <v>0</v>
      </c>
      <c r="I324" s="267" t="s">
        <v>488</v>
      </c>
      <c r="J324" s="267">
        <v>0</v>
      </c>
      <c r="K324" s="117">
        <v>0</v>
      </c>
      <c r="L324" s="267" t="s">
        <v>488</v>
      </c>
      <c r="M324" s="117">
        <v>0</v>
      </c>
      <c r="N324" s="267" t="s">
        <v>488</v>
      </c>
      <c r="O324" s="117">
        <v>0</v>
      </c>
      <c r="P324" s="267" t="s">
        <v>488</v>
      </c>
    </row>
    <row r="325" spans="1:16" x14ac:dyDescent="0.25">
      <c r="A325" s="269"/>
      <c r="B325" s="269"/>
      <c r="C325" s="269" t="s">
        <v>113</v>
      </c>
      <c r="D325" s="269"/>
      <c r="E325" s="269"/>
      <c r="F325" s="270">
        <v>31.7</v>
      </c>
      <c r="G325" s="270">
        <v>5.0999999999999996</v>
      </c>
      <c r="H325" s="270">
        <v>0.3</v>
      </c>
      <c r="I325" s="271">
        <v>5.8799999999999998E-2</v>
      </c>
      <c r="J325" s="271">
        <v>9.4999999999999998E-3</v>
      </c>
      <c r="K325" s="270">
        <v>0.2</v>
      </c>
      <c r="L325" s="271">
        <v>0.66669999999999996</v>
      </c>
      <c r="M325" s="270">
        <v>0.1</v>
      </c>
      <c r="N325" s="271">
        <v>0.33329999999999999</v>
      </c>
      <c r="O325" s="270">
        <v>0</v>
      </c>
      <c r="P325" s="271">
        <v>0</v>
      </c>
    </row>
    <row r="326" spans="1:16" x14ac:dyDescent="0.25">
      <c r="A326" s="117">
        <v>540027</v>
      </c>
      <c r="B326" s="2" t="s">
        <v>132</v>
      </c>
      <c r="C326" s="2" t="s">
        <v>21</v>
      </c>
      <c r="D326" s="2" t="s">
        <v>115</v>
      </c>
      <c r="E326" s="117">
        <v>4</v>
      </c>
      <c r="F326" s="117">
        <v>0</v>
      </c>
      <c r="G326" s="117">
        <v>0</v>
      </c>
      <c r="H326" s="117">
        <v>0</v>
      </c>
      <c r="I326" s="267" t="s">
        <v>488</v>
      </c>
      <c r="J326" s="267" t="s">
        <v>488</v>
      </c>
      <c r="K326" s="117">
        <v>0</v>
      </c>
      <c r="L326" s="267" t="s">
        <v>488</v>
      </c>
      <c r="M326" s="117">
        <v>0</v>
      </c>
      <c r="N326" s="267" t="s">
        <v>488</v>
      </c>
      <c r="O326" s="117">
        <v>0</v>
      </c>
      <c r="P326" s="267" t="s">
        <v>488</v>
      </c>
    </row>
    <row r="327" spans="1:16" x14ac:dyDescent="0.25">
      <c r="A327" s="117">
        <v>540028</v>
      </c>
      <c r="B327" s="2" t="s">
        <v>133</v>
      </c>
      <c r="C327" s="2" t="s">
        <v>21</v>
      </c>
      <c r="D327" s="2" t="s">
        <v>115</v>
      </c>
      <c r="E327" s="117">
        <v>4</v>
      </c>
      <c r="F327" s="117">
        <v>0.9</v>
      </c>
      <c r="G327" s="117">
        <v>0</v>
      </c>
      <c r="H327" s="117">
        <v>0</v>
      </c>
      <c r="I327" s="267" t="s">
        <v>488</v>
      </c>
      <c r="J327" s="267">
        <v>0</v>
      </c>
      <c r="K327" s="117">
        <v>0</v>
      </c>
      <c r="L327" s="267" t="s">
        <v>488</v>
      </c>
      <c r="M327" s="117">
        <v>0</v>
      </c>
      <c r="N327" s="267" t="s">
        <v>488</v>
      </c>
      <c r="O327" s="117">
        <v>0</v>
      </c>
      <c r="P327" s="267" t="s">
        <v>488</v>
      </c>
    </row>
    <row r="328" spans="1:16" x14ac:dyDescent="0.25">
      <c r="A328" s="117">
        <v>540029</v>
      </c>
      <c r="B328" s="2" t="s">
        <v>134</v>
      </c>
      <c r="C328" s="2" t="s">
        <v>21</v>
      </c>
      <c r="D328" s="2" t="s">
        <v>115</v>
      </c>
      <c r="E328" s="117">
        <v>4</v>
      </c>
      <c r="F328" s="117">
        <v>1.4</v>
      </c>
      <c r="G328" s="117">
        <v>0</v>
      </c>
      <c r="H328" s="117">
        <v>0</v>
      </c>
      <c r="I328" s="267" t="s">
        <v>488</v>
      </c>
      <c r="J328" s="267">
        <v>0</v>
      </c>
      <c r="K328" s="117">
        <v>0</v>
      </c>
      <c r="L328" s="267" t="s">
        <v>488</v>
      </c>
      <c r="M328" s="117">
        <v>0</v>
      </c>
      <c r="N328" s="267" t="s">
        <v>488</v>
      </c>
      <c r="O328" s="117">
        <v>0</v>
      </c>
      <c r="P328" s="267" t="s">
        <v>488</v>
      </c>
    </row>
    <row r="329" spans="1:16" x14ac:dyDescent="0.25">
      <c r="A329" s="117">
        <v>540031</v>
      </c>
      <c r="B329" s="2" t="s">
        <v>136</v>
      </c>
      <c r="C329" s="2" t="s">
        <v>21</v>
      </c>
      <c r="D329" s="2" t="s">
        <v>115</v>
      </c>
      <c r="E329" s="117">
        <v>4</v>
      </c>
      <c r="F329" s="117">
        <v>2.2999999999999998</v>
      </c>
      <c r="G329" s="117">
        <v>0</v>
      </c>
      <c r="H329" s="117">
        <v>0</v>
      </c>
      <c r="I329" s="267" t="s">
        <v>488</v>
      </c>
      <c r="J329" s="267">
        <v>0</v>
      </c>
      <c r="K329" s="117">
        <v>0</v>
      </c>
      <c r="L329" s="267" t="s">
        <v>488</v>
      </c>
      <c r="M329" s="117">
        <v>0</v>
      </c>
      <c r="N329" s="267" t="s">
        <v>488</v>
      </c>
      <c r="O329" s="117">
        <v>0</v>
      </c>
      <c r="P329" s="267" t="s">
        <v>488</v>
      </c>
    </row>
    <row r="330" spans="1:16" x14ac:dyDescent="0.25">
      <c r="A330" s="117">
        <v>540032</v>
      </c>
      <c r="B330" s="2" t="s">
        <v>137</v>
      </c>
      <c r="C330" s="2" t="s">
        <v>21</v>
      </c>
      <c r="D330" s="2" t="s">
        <v>115</v>
      </c>
      <c r="E330" s="117">
        <v>4</v>
      </c>
      <c r="F330" s="117">
        <v>1.4</v>
      </c>
      <c r="G330" s="117">
        <v>0</v>
      </c>
      <c r="H330" s="117">
        <v>0</v>
      </c>
      <c r="I330" s="267" t="s">
        <v>488</v>
      </c>
      <c r="J330" s="267">
        <v>0</v>
      </c>
      <c r="K330" s="117">
        <v>0</v>
      </c>
      <c r="L330" s="267" t="s">
        <v>488</v>
      </c>
      <c r="M330" s="117">
        <v>0</v>
      </c>
      <c r="N330" s="267" t="s">
        <v>488</v>
      </c>
      <c r="O330" s="117">
        <v>0</v>
      </c>
      <c r="P330" s="267" t="s">
        <v>488</v>
      </c>
    </row>
    <row r="331" spans="1:16" x14ac:dyDescent="0.25">
      <c r="A331" s="117">
        <v>540050</v>
      </c>
      <c r="B331" s="2" t="s">
        <v>150</v>
      </c>
      <c r="C331" s="2" t="s">
        <v>21</v>
      </c>
      <c r="D331" s="2" t="s">
        <v>115</v>
      </c>
      <c r="E331" s="117">
        <v>4</v>
      </c>
      <c r="F331" s="117">
        <v>0.6</v>
      </c>
      <c r="G331" s="117">
        <v>0</v>
      </c>
      <c r="H331" s="117">
        <v>0</v>
      </c>
      <c r="I331" s="267" t="s">
        <v>488</v>
      </c>
      <c r="J331" s="267">
        <v>0</v>
      </c>
      <c r="K331" s="117">
        <v>0</v>
      </c>
      <c r="L331" s="267" t="s">
        <v>488</v>
      </c>
      <c r="M331" s="117">
        <v>0</v>
      </c>
      <c r="N331" s="267" t="s">
        <v>488</v>
      </c>
      <c r="O331" s="117">
        <v>0</v>
      </c>
      <c r="P331" s="267" t="s">
        <v>488</v>
      </c>
    </row>
    <row r="332" spans="1:16" x14ac:dyDescent="0.25">
      <c r="A332" s="117">
        <v>540293</v>
      </c>
      <c r="B332" s="2" t="s">
        <v>330</v>
      </c>
      <c r="C332" s="2" t="s">
        <v>21</v>
      </c>
      <c r="D332" s="2" t="s">
        <v>115</v>
      </c>
      <c r="E332" s="117">
        <v>4</v>
      </c>
      <c r="F332" s="117">
        <v>3</v>
      </c>
      <c r="G332" s="117">
        <v>1.7</v>
      </c>
      <c r="H332" s="117">
        <v>1.7</v>
      </c>
      <c r="I332" s="267">
        <v>1</v>
      </c>
      <c r="J332" s="267">
        <v>0.56669999999999998</v>
      </c>
      <c r="K332" s="117">
        <v>0</v>
      </c>
      <c r="L332" s="267">
        <v>0</v>
      </c>
      <c r="M332" s="117">
        <v>0.1</v>
      </c>
      <c r="N332" s="267">
        <v>5.8799999999999998E-2</v>
      </c>
      <c r="O332" s="117">
        <v>1.6</v>
      </c>
      <c r="P332" s="267">
        <v>0.94120000000000004</v>
      </c>
    </row>
    <row r="333" spans="1:16" x14ac:dyDescent="0.25">
      <c r="A333" s="117">
        <v>540294</v>
      </c>
      <c r="B333" s="2" t="s">
        <v>331</v>
      </c>
      <c r="C333" s="2" t="s">
        <v>21</v>
      </c>
      <c r="D333" s="2" t="s">
        <v>115</v>
      </c>
      <c r="E333" s="117">
        <v>4</v>
      </c>
      <c r="F333" s="117">
        <v>2.5</v>
      </c>
      <c r="G333" s="117">
        <v>0.1</v>
      </c>
      <c r="H333" s="117">
        <v>0.1</v>
      </c>
      <c r="I333" s="267">
        <v>1</v>
      </c>
      <c r="J333" s="267">
        <v>0.04</v>
      </c>
      <c r="K333" s="117">
        <v>0</v>
      </c>
      <c r="L333" s="267">
        <v>0</v>
      </c>
      <c r="M333" s="117">
        <v>0</v>
      </c>
      <c r="N333" s="267">
        <v>0</v>
      </c>
      <c r="O333" s="117">
        <v>0.1</v>
      </c>
      <c r="P333" s="267">
        <v>1</v>
      </c>
    </row>
    <row r="334" spans="1:16" x14ac:dyDescent="0.25">
      <c r="A334" s="117">
        <v>540033</v>
      </c>
      <c r="B334" s="2" t="s">
        <v>138</v>
      </c>
      <c r="C334" s="2" t="s">
        <v>21</v>
      </c>
      <c r="D334" s="2" t="s">
        <v>115</v>
      </c>
      <c r="E334" s="117">
        <v>4</v>
      </c>
      <c r="F334" s="117">
        <v>2.5</v>
      </c>
      <c r="G334" s="117">
        <v>0</v>
      </c>
      <c r="H334" s="117">
        <v>0</v>
      </c>
      <c r="I334" s="267" t="s">
        <v>488</v>
      </c>
      <c r="J334" s="267">
        <v>0</v>
      </c>
      <c r="K334" s="117">
        <v>0</v>
      </c>
      <c r="L334" s="267" t="s">
        <v>488</v>
      </c>
      <c r="M334" s="117">
        <v>0</v>
      </c>
      <c r="N334" s="267" t="s">
        <v>488</v>
      </c>
      <c r="O334" s="117">
        <v>0</v>
      </c>
      <c r="P334" s="267" t="s">
        <v>488</v>
      </c>
    </row>
    <row r="335" spans="1:16" x14ac:dyDescent="0.25">
      <c r="A335" s="117">
        <v>540280</v>
      </c>
      <c r="B335" s="2" t="s">
        <v>321</v>
      </c>
      <c r="C335" s="2" t="s">
        <v>21</v>
      </c>
      <c r="D335" s="2" t="s">
        <v>115</v>
      </c>
      <c r="E335" s="117">
        <v>4</v>
      </c>
      <c r="F335" s="117">
        <v>3.7</v>
      </c>
      <c r="G335" s="117">
        <v>0.6</v>
      </c>
      <c r="H335" s="117">
        <v>0.2</v>
      </c>
      <c r="I335" s="267">
        <v>0.33329999999999999</v>
      </c>
      <c r="J335" s="267">
        <v>5.4100000000000002E-2</v>
      </c>
      <c r="K335" s="117">
        <v>0</v>
      </c>
      <c r="L335" s="267">
        <v>0</v>
      </c>
      <c r="M335" s="117">
        <v>0.2</v>
      </c>
      <c r="N335" s="267">
        <v>1</v>
      </c>
      <c r="O335" s="117">
        <v>0</v>
      </c>
      <c r="P335" s="267">
        <v>0</v>
      </c>
    </row>
    <row r="336" spans="1:16" x14ac:dyDescent="0.25">
      <c r="A336" s="117">
        <v>540026</v>
      </c>
      <c r="B336" s="2" t="s">
        <v>20</v>
      </c>
      <c r="C336" s="2" t="s">
        <v>21</v>
      </c>
      <c r="D336" s="2" t="s">
        <v>5</v>
      </c>
      <c r="E336" s="117">
        <v>4</v>
      </c>
      <c r="F336" s="117">
        <v>171.9</v>
      </c>
      <c r="G336" s="117">
        <v>30.8</v>
      </c>
      <c r="H336" s="117">
        <v>17.2</v>
      </c>
      <c r="I336" s="267">
        <v>0.55840000000000001</v>
      </c>
      <c r="J336" s="267">
        <v>0.10009999999999999</v>
      </c>
      <c r="K336" s="117">
        <v>2.1</v>
      </c>
      <c r="L336" s="267">
        <v>0.1221</v>
      </c>
      <c r="M336" s="117">
        <v>4.2</v>
      </c>
      <c r="N336" s="267">
        <v>0.2442</v>
      </c>
      <c r="O336" s="117">
        <v>10.9</v>
      </c>
      <c r="P336" s="267">
        <v>0.63370000000000004</v>
      </c>
    </row>
    <row r="337" spans="1:16" x14ac:dyDescent="0.25">
      <c r="A337" s="269"/>
      <c r="B337" s="269"/>
      <c r="C337" s="269" t="s">
        <v>21</v>
      </c>
      <c r="D337" s="269"/>
      <c r="E337" s="269"/>
      <c r="F337" s="270">
        <v>190.2</v>
      </c>
      <c r="G337" s="270">
        <v>33.200000000000003</v>
      </c>
      <c r="H337" s="270">
        <v>19.2</v>
      </c>
      <c r="I337" s="271">
        <v>0.57830000000000004</v>
      </c>
      <c r="J337" s="271">
        <v>0.1009</v>
      </c>
      <c r="K337" s="270">
        <v>2.1</v>
      </c>
      <c r="L337" s="271">
        <v>0.1094</v>
      </c>
      <c r="M337" s="270">
        <v>4.5</v>
      </c>
      <c r="N337" s="271">
        <v>0.2344</v>
      </c>
      <c r="O337" s="270">
        <v>12.6</v>
      </c>
      <c r="P337" s="271">
        <v>0.65629999999999999</v>
      </c>
    </row>
    <row r="338" spans="1:16" x14ac:dyDescent="0.25">
      <c r="A338" s="117">
        <v>540176</v>
      </c>
      <c r="B338" s="2" t="s">
        <v>247</v>
      </c>
      <c r="C338" s="2" t="s">
        <v>75</v>
      </c>
      <c r="D338" s="2" t="s">
        <v>115</v>
      </c>
      <c r="E338" s="117">
        <v>7</v>
      </c>
      <c r="F338" s="117">
        <v>0</v>
      </c>
      <c r="G338" s="117">
        <v>0</v>
      </c>
      <c r="H338" s="117">
        <v>0</v>
      </c>
      <c r="I338" s="267" t="s">
        <v>488</v>
      </c>
      <c r="J338" s="267" t="s">
        <v>488</v>
      </c>
      <c r="K338" s="117">
        <v>0</v>
      </c>
      <c r="L338" s="267" t="s">
        <v>488</v>
      </c>
      <c r="M338" s="117">
        <v>0</v>
      </c>
      <c r="N338" s="267" t="s">
        <v>488</v>
      </c>
      <c r="O338" s="117">
        <v>0</v>
      </c>
      <c r="P338" s="267" t="s">
        <v>488</v>
      </c>
    </row>
    <row r="339" spans="1:16" x14ac:dyDescent="0.25">
      <c r="A339" s="117">
        <v>540178</v>
      </c>
      <c r="B339" s="2" t="s">
        <v>249</v>
      </c>
      <c r="C339" s="2" t="s">
        <v>75</v>
      </c>
      <c r="D339" s="2" t="s">
        <v>115</v>
      </c>
      <c r="E339" s="117">
        <v>7</v>
      </c>
      <c r="F339" s="117">
        <v>0</v>
      </c>
      <c r="G339" s="117">
        <v>0</v>
      </c>
      <c r="H339" s="117">
        <v>0</v>
      </c>
      <c r="I339" s="267" t="s">
        <v>488</v>
      </c>
      <c r="J339" s="267" t="s">
        <v>488</v>
      </c>
      <c r="K339" s="117">
        <v>0</v>
      </c>
      <c r="L339" s="267" t="s">
        <v>488</v>
      </c>
      <c r="M339" s="117">
        <v>0</v>
      </c>
      <c r="N339" s="267" t="s">
        <v>488</v>
      </c>
      <c r="O339" s="117">
        <v>0</v>
      </c>
      <c r="P339" s="267" t="s">
        <v>488</v>
      </c>
    </row>
    <row r="340" spans="1:16" x14ac:dyDescent="0.25">
      <c r="A340" s="117">
        <v>540264</v>
      </c>
      <c r="B340" s="2" t="s">
        <v>307</v>
      </c>
      <c r="C340" s="2" t="s">
        <v>75</v>
      </c>
      <c r="D340" s="2" t="s">
        <v>115</v>
      </c>
      <c r="E340" s="117">
        <v>7</v>
      </c>
      <c r="F340" s="117">
        <v>0</v>
      </c>
      <c r="G340" s="117">
        <v>0</v>
      </c>
      <c r="H340" s="117">
        <v>0</v>
      </c>
      <c r="I340" s="267" t="s">
        <v>488</v>
      </c>
      <c r="J340" s="267" t="s">
        <v>488</v>
      </c>
      <c r="K340" s="117">
        <v>0</v>
      </c>
      <c r="L340" s="267" t="s">
        <v>488</v>
      </c>
      <c r="M340" s="117">
        <v>0</v>
      </c>
      <c r="N340" s="267" t="s">
        <v>488</v>
      </c>
      <c r="O340" s="117">
        <v>0</v>
      </c>
      <c r="P340" s="267" t="s">
        <v>488</v>
      </c>
    </row>
    <row r="341" spans="1:16" x14ac:dyDescent="0.25">
      <c r="A341" s="117">
        <v>540265</v>
      </c>
      <c r="B341" s="2" t="s">
        <v>308</v>
      </c>
      <c r="C341" s="2" t="s">
        <v>75</v>
      </c>
      <c r="D341" s="2" t="s">
        <v>115</v>
      </c>
      <c r="E341" s="117">
        <v>7</v>
      </c>
      <c r="F341" s="117">
        <v>1.2</v>
      </c>
      <c r="G341" s="117">
        <v>0</v>
      </c>
      <c r="H341" s="117">
        <v>0</v>
      </c>
      <c r="I341" s="267" t="s">
        <v>488</v>
      </c>
      <c r="J341" s="267">
        <v>0</v>
      </c>
      <c r="K341" s="117">
        <v>0</v>
      </c>
      <c r="L341" s="267" t="s">
        <v>488</v>
      </c>
      <c r="M341" s="117">
        <v>0</v>
      </c>
      <c r="N341" s="267" t="s">
        <v>488</v>
      </c>
      <c r="O341" s="117">
        <v>0</v>
      </c>
      <c r="P341" s="267" t="s">
        <v>488</v>
      </c>
    </row>
    <row r="342" spans="1:16" x14ac:dyDescent="0.25">
      <c r="A342" s="117">
        <v>540266</v>
      </c>
      <c r="B342" s="2" t="s">
        <v>309</v>
      </c>
      <c r="C342" s="2" t="s">
        <v>75</v>
      </c>
      <c r="D342" s="2" t="s">
        <v>115</v>
      </c>
      <c r="E342" s="117">
        <v>7</v>
      </c>
      <c r="F342" s="117">
        <v>0</v>
      </c>
      <c r="G342" s="117">
        <v>0</v>
      </c>
      <c r="H342" s="117">
        <v>0</v>
      </c>
      <c r="I342" s="267" t="s">
        <v>488</v>
      </c>
      <c r="J342" s="267" t="s">
        <v>488</v>
      </c>
      <c r="K342" s="117">
        <v>0</v>
      </c>
      <c r="L342" s="267" t="s">
        <v>488</v>
      </c>
      <c r="M342" s="117">
        <v>0</v>
      </c>
      <c r="N342" s="267" t="s">
        <v>488</v>
      </c>
      <c r="O342" s="117">
        <v>0</v>
      </c>
      <c r="P342" s="267" t="s">
        <v>488</v>
      </c>
    </row>
    <row r="343" spans="1:16" x14ac:dyDescent="0.25">
      <c r="A343" s="117">
        <v>540267</v>
      </c>
      <c r="B343" s="2" t="s">
        <v>310</v>
      </c>
      <c r="C343" s="2" t="s">
        <v>75</v>
      </c>
      <c r="D343" s="2" t="s">
        <v>115</v>
      </c>
      <c r="E343" s="117">
        <v>7</v>
      </c>
      <c r="F343" s="117">
        <v>1.2</v>
      </c>
      <c r="G343" s="117">
        <v>0.2</v>
      </c>
      <c r="H343" s="117">
        <v>0</v>
      </c>
      <c r="I343" s="267">
        <v>0</v>
      </c>
      <c r="J343" s="267">
        <v>0</v>
      </c>
      <c r="K343" s="117">
        <v>0</v>
      </c>
      <c r="L343" s="267" t="s">
        <v>488</v>
      </c>
      <c r="M343" s="117">
        <v>0</v>
      </c>
      <c r="N343" s="267" t="s">
        <v>488</v>
      </c>
      <c r="O343" s="117">
        <v>0</v>
      </c>
      <c r="P343" s="267" t="s">
        <v>488</v>
      </c>
    </row>
    <row r="344" spans="1:16" x14ac:dyDescent="0.25">
      <c r="A344" s="117">
        <v>540177</v>
      </c>
      <c r="B344" s="2" t="s">
        <v>248</v>
      </c>
      <c r="C344" s="2" t="s">
        <v>75</v>
      </c>
      <c r="D344" s="2" t="s">
        <v>115</v>
      </c>
      <c r="E344" s="117">
        <v>7</v>
      </c>
      <c r="F344" s="117">
        <v>4.9000000000000004</v>
      </c>
      <c r="G344" s="117">
        <v>0.1</v>
      </c>
      <c r="H344" s="117">
        <v>0</v>
      </c>
      <c r="I344" s="267">
        <v>0</v>
      </c>
      <c r="J344" s="267">
        <v>0</v>
      </c>
      <c r="K344" s="117">
        <v>0</v>
      </c>
      <c r="L344" s="267" t="s">
        <v>488</v>
      </c>
      <c r="M344" s="117">
        <v>0</v>
      </c>
      <c r="N344" s="267" t="s">
        <v>488</v>
      </c>
      <c r="O344" s="117">
        <v>0</v>
      </c>
      <c r="P344" s="267" t="s">
        <v>488</v>
      </c>
    </row>
    <row r="345" spans="1:16" x14ac:dyDescent="0.25">
      <c r="A345" s="117">
        <v>540175</v>
      </c>
      <c r="B345" s="2" t="s">
        <v>74</v>
      </c>
      <c r="C345" s="2" t="s">
        <v>75</v>
      </c>
      <c r="D345" s="2" t="s">
        <v>5</v>
      </c>
      <c r="E345" s="117">
        <v>7</v>
      </c>
      <c r="F345" s="117">
        <v>112.4</v>
      </c>
      <c r="G345" s="117">
        <v>49.2</v>
      </c>
      <c r="H345" s="117">
        <v>0</v>
      </c>
      <c r="I345" s="267">
        <v>0</v>
      </c>
      <c r="J345" s="267">
        <v>0</v>
      </c>
      <c r="K345" s="117">
        <v>0</v>
      </c>
      <c r="L345" s="267" t="s">
        <v>488</v>
      </c>
      <c r="M345" s="117">
        <v>0</v>
      </c>
      <c r="N345" s="267" t="s">
        <v>488</v>
      </c>
      <c r="O345" s="117">
        <v>0</v>
      </c>
      <c r="P345" s="267" t="s">
        <v>488</v>
      </c>
    </row>
    <row r="346" spans="1:16" x14ac:dyDescent="0.25">
      <c r="A346" s="269"/>
      <c r="B346" s="269"/>
      <c r="C346" s="269" t="s">
        <v>75</v>
      </c>
      <c r="D346" s="269"/>
      <c r="E346" s="269"/>
      <c r="F346" s="270">
        <v>119.7</v>
      </c>
      <c r="G346" s="270">
        <v>49.5</v>
      </c>
      <c r="H346" s="270">
        <v>0</v>
      </c>
      <c r="I346" s="271">
        <v>0</v>
      </c>
      <c r="J346" s="271">
        <v>0</v>
      </c>
      <c r="K346" s="270">
        <v>0</v>
      </c>
      <c r="L346" s="271" t="s">
        <v>488</v>
      </c>
      <c r="M346" s="270">
        <v>0</v>
      </c>
      <c r="N346" s="271"/>
      <c r="O346" s="270">
        <v>0</v>
      </c>
      <c r="P346" s="271"/>
    </row>
    <row r="347" spans="1:16" x14ac:dyDescent="0.25">
      <c r="A347" s="117">
        <v>540219</v>
      </c>
      <c r="B347" s="2" t="s">
        <v>273</v>
      </c>
      <c r="C347" s="2" t="s">
        <v>95</v>
      </c>
      <c r="D347" s="2" t="s">
        <v>115</v>
      </c>
      <c r="E347" s="117">
        <v>1</v>
      </c>
      <c r="F347" s="117">
        <v>3.1</v>
      </c>
      <c r="G347" s="117">
        <v>1.3</v>
      </c>
      <c r="H347" s="117">
        <v>0.3</v>
      </c>
      <c r="I347" s="267">
        <v>0.23080000000000001</v>
      </c>
      <c r="J347" s="267">
        <v>9.6799999999999997E-2</v>
      </c>
      <c r="K347" s="117">
        <v>0.2</v>
      </c>
      <c r="L347" s="267">
        <v>0.66669999999999996</v>
      </c>
      <c r="M347" s="117">
        <v>0.1</v>
      </c>
      <c r="N347" s="267">
        <v>0.33329999999999999</v>
      </c>
      <c r="O347" s="117">
        <v>0</v>
      </c>
      <c r="P347" s="267">
        <v>0</v>
      </c>
    </row>
    <row r="348" spans="1:16" x14ac:dyDescent="0.25">
      <c r="A348" s="117">
        <v>540220</v>
      </c>
      <c r="B348" s="2" t="s">
        <v>274</v>
      </c>
      <c r="C348" s="2" t="s">
        <v>95</v>
      </c>
      <c r="D348" s="2" t="s">
        <v>115</v>
      </c>
      <c r="E348" s="117">
        <v>1</v>
      </c>
      <c r="F348" s="117">
        <v>1.5</v>
      </c>
      <c r="G348" s="117">
        <v>0.1</v>
      </c>
      <c r="H348" s="117">
        <v>0</v>
      </c>
      <c r="I348" s="267">
        <v>0</v>
      </c>
      <c r="J348" s="267">
        <v>0</v>
      </c>
      <c r="K348" s="117">
        <v>0</v>
      </c>
      <c r="L348" s="267" t="s">
        <v>488</v>
      </c>
      <c r="M348" s="117">
        <v>0</v>
      </c>
      <c r="N348" s="267" t="s">
        <v>488</v>
      </c>
      <c r="O348" s="117">
        <v>0</v>
      </c>
      <c r="P348" s="267" t="s">
        <v>488</v>
      </c>
    </row>
    <row r="349" spans="1:16" x14ac:dyDescent="0.25">
      <c r="A349" s="117">
        <v>540218</v>
      </c>
      <c r="B349" s="2" t="s">
        <v>272</v>
      </c>
      <c r="C349" s="2" t="s">
        <v>95</v>
      </c>
      <c r="D349" s="2" t="s">
        <v>115</v>
      </c>
      <c r="E349" s="117">
        <v>1</v>
      </c>
      <c r="F349" s="117">
        <v>4.3</v>
      </c>
      <c r="G349" s="117">
        <v>0.1</v>
      </c>
      <c r="H349" s="117">
        <v>0.1</v>
      </c>
      <c r="I349" s="267">
        <v>1</v>
      </c>
      <c r="J349" s="267">
        <v>2.3300000000000001E-2</v>
      </c>
      <c r="K349" s="117">
        <v>0</v>
      </c>
      <c r="L349" s="267">
        <v>0</v>
      </c>
      <c r="M349" s="117">
        <v>0</v>
      </c>
      <c r="N349" s="267">
        <v>0</v>
      </c>
      <c r="O349" s="117">
        <v>0.1</v>
      </c>
      <c r="P349" s="267">
        <v>1</v>
      </c>
    </row>
    <row r="350" spans="1:16" x14ac:dyDescent="0.25">
      <c r="A350" s="117">
        <v>540217</v>
      </c>
      <c r="B350" s="2" t="s">
        <v>94</v>
      </c>
      <c r="C350" s="2" t="s">
        <v>95</v>
      </c>
      <c r="D350" s="2" t="s">
        <v>5</v>
      </c>
      <c r="E350" s="117">
        <v>1</v>
      </c>
      <c r="F350" s="117">
        <v>111.9</v>
      </c>
      <c r="G350" s="117">
        <v>10.5</v>
      </c>
      <c r="H350" s="117">
        <v>7.3</v>
      </c>
      <c r="I350" s="267">
        <v>0.69520000000000004</v>
      </c>
      <c r="J350" s="267">
        <v>6.5199999999999994E-2</v>
      </c>
      <c r="K350" s="117">
        <v>2.8</v>
      </c>
      <c r="L350" s="267">
        <v>0.3836</v>
      </c>
      <c r="M350" s="117">
        <v>2.9</v>
      </c>
      <c r="N350" s="267">
        <v>0.39729999999999999</v>
      </c>
      <c r="O350" s="117">
        <v>1.6</v>
      </c>
      <c r="P350" s="267">
        <v>0.21920000000000001</v>
      </c>
    </row>
    <row r="351" spans="1:16" x14ac:dyDescent="0.25">
      <c r="A351" s="269"/>
      <c r="B351" s="269"/>
      <c r="C351" s="269" t="s">
        <v>95</v>
      </c>
      <c r="D351" s="269"/>
      <c r="E351" s="269"/>
      <c r="F351" s="270">
        <v>120.8</v>
      </c>
      <c r="G351" s="270">
        <v>12</v>
      </c>
      <c r="H351" s="270">
        <v>7.7</v>
      </c>
      <c r="I351" s="271">
        <v>0.64170000000000005</v>
      </c>
      <c r="J351" s="271">
        <v>6.3700000000000007E-2</v>
      </c>
      <c r="K351" s="270">
        <v>3</v>
      </c>
      <c r="L351" s="271">
        <v>0.3896</v>
      </c>
      <c r="M351" s="270">
        <v>3</v>
      </c>
      <c r="N351" s="271">
        <v>0.3896</v>
      </c>
      <c r="O351" s="270">
        <v>1.7</v>
      </c>
      <c r="P351" s="271">
        <v>0.2208</v>
      </c>
    </row>
    <row r="352" spans="1:16" x14ac:dyDescent="0.25">
      <c r="A352" s="2" t="s">
        <v>535</v>
      </c>
      <c r="B352" s="2"/>
      <c r="C352" s="2"/>
      <c r="D352" s="2"/>
      <c r="E352" s="2"/>
      <c r="F352" s="2"/>
      <c r="G352" s="2"/>
      <c r="H352" s="2"/>
      <c r="I352" s="267"/>
      <c r="J352" s="267"/>
      <c r="K352" s="2"/>
      <c r="L352" s="267"/>
      <c r="M352" s="2"/>
      <c r="N352" s="267"/>
      <c r="O352" s="2"/>
      <c r="P352" s="267"/>
    </row>
    <row r="353" spans="1:16" x14ac:dyDescent="0.25">
      <c r="A353" s="117">
        <v>540152</v>
      </c>
      <c r="B353" s="2" t="s">
        <v>229</v>
      </c>
      <c r="C353" s="2" t="s">
        <v>544</v>
      </c>
      <c r="D353" s="2" t="s">
        <v>115</v>
      </c>
      <c r="E353" s="2" t="s">
        <v>545</v>
      </c>
      <c r="F353" s="117">
        <v>23.1</v>
      </c>
      <c r="G353" s="117">
        <v>11.7</v>
      </c>
      <c r="H353" s="117">
        <v>0</v>
      </c>
      <c r="I353" s="267">
        <v>0</v>
      </c>
      <c r="J353" s="267">
        <v>0</v>
      </c>
      <c r="K353" s="117">
        <v>0</v>
      </c>
      <c r="L353" s="267"/>
      <c r="M353" s="117">
        <v>0</v>
      </c>
      <c r="N353" s="267" t="s">
        <v>488</v>
      </c>
      <c r="O353" s="117">
        <v>0</v>
      </c>
      <c r="P353" s="267"/>
    </row>
    <row r="354" spans="1:16" x14ac:dyDescent="0.25">
      <c r="A354" s="117">
        <v>540196</v>
      </c>
      <c r="B354" s="2" t="s">
        <v>259</v>
      </c>
      <c r="C354" s="2" t="s">
        <v>546</v>
      </c>
      <c r="D354" s="2" t="s">
        <v>115</v>
      </c>
      <c r="E354" s="2" t="s">
        <v>547</v>
      </c>
      <c r="F354" s="117">
        <v>1.9</v>
      </c>
      <c r="G354" s="117">
        <v>1.6</v>
      </c>
      <c r="H354" s="117">
        <v>0</v>
      </c>
      <c r="I354" s="267">
        <v>0</v>
      </c>
      <c r="J354" s="267">
        <v>0</v>
      </c>
      <c r="K354" s="117">
        <v>0</v>
      </c>
      <c r="L354" s="267"/>
      <c r="M354" s="117">
        <v>0</v>
      </c>
      <c r="N354" s="267" t="s">
        <v>488</v>
      </c>
      <c r="O354" s="117">
        <v>0</v>
      </c>
      <c r="P354" s="267"/>
    </row>
    <row r="355" spans="1:16" x14ac:dyDescent="0.25">
      <c r="A355" s="117">
        <v>540041</v>
      </c>
      <c r="B355" s="2" t="s">
        <v>142</v>
      </c>
      <c r="C355" s="2" t="s">
        <v>540</v>
      </c>
      <c r="D355" s="2" t="s">
        <v>115</v>
      </c>
      <c r="E355" s="2" t="s">
        <v>541</v>
      </c>
      <c r="F355" s="117">
        <v>1.1000000000000001</v>
      </c>
      <c r="G355" s="117">
        <v>0.2</v>
      </c>
      <c r="H355" s="117">
        <v>0.1</v>
      </c>
      <c r="I355" s="267">
        <v>0.5</v>
      </c>
      <c r="J355" s="267">
        <v>9.0899999999999995E-2</v>
      </c>
      <c r="K355" s="117">
        <v>0.1</v>
      </c>
      <c r="L355" s="267">
        <v>0</v>
      </c>
      <c r="M355" s="117">
        <v>0</v>
      </c>
      <c r="N355" s="267">
        <v>0</v>
      </c>
      <c r="O355" s="117">
        <v>0</v>
      </c>
      <c r="P355" s="267">
        <v>0</v>
      </c>
    </row>
    <row r="356" spans="1:16" x14ac:dyDescent="0.25">
      <c r="A356" s="117">
        <v>540018</v>
      </c>
      <c r="B356" s="2" t="s">
        <v>127</v>
      </c>
      <c r="C356" s="2" t="s">
        <v>538</v>
      </c>
      <c r="D356" s="2" t="s">
        <v>115</v>
      </c>
      <c r="E356" s="2" t="s">
        <v>539</v>
      </c>
      <c r="F356" s="117">
        <v>18</v>
      </c>
      <c r="G356" s="117">
        <v>1.7</v>
      </c>
      <c r="H356" s="117">
        <v>0</v>
      </c>
      <c r="I356" s="267">
        <v>0</v>
      </c>
      <c r="J356" s="267">
        <v>0</v>
      </c>
      <c r="K356" s="117">
        <v>0</v>
      </c>
      <c r="L356" s="267"/>
      <c r="M356" s="117">
        <v>0</v>
      </c>
      <c r="N356" s="267" t="s">
        <v>488</v>
      </c>
      <c r="O356" s="117">
        <v>0</v>
      </c>
      <c r="P356" s="267"/>
    </row>
    <row r="357" spans="1:16" x14ac:dyDescent="0.25">
      <c r="A357" s="117">
        <v>540014</v>
      </c>
      <c r="B357" s="2" t="s">
        <v>124</v>
      </c>
      <c r="C357" s="2" t="s">
        <v>536</v>
      </c>
      <c r="D357" s="2" t="s">
        <v>115</v>
      </c>
      <c r="E357" s="2" t="s">
        <v>537</v>
      </c>
      <c r="F357" s="117">
        <v>8.8000000000000007</v>
      </c>
      <c r="G357" s="117">
        <v>0.4</v>
      </c>
      <c r="H357" s="117">
        <v>0</v>
      </c>
      <c r="I357" s="267">
        <v>0</v>
      </c>
      <c r="J357" s="267">
        <v>0</v>
      </c>
      <c r="K357" s="117">
        <v>0</v>
      </c>
      <c r="L357" s="267"/>
      <c r="M357" s="117">
        <v>0</v>
      </c>
      <c r="N357" s="267" t="s">
        <v>488</v>
      </c>
      <c r="O357" s="117">
        <v>0</v>
      </c>
      <c r="P357" s="267"/>
    </row>
    <row r="358" spans="1:16" x14ac:dyDescent="0.25">
      <c r="A358" s="117">
        <v>540081</v>
      </c>
      <c r="B358" s="2" t="s">
        <v>176</v>
      </c>
      <c r="C358" s="2" t="s">
        <v>542</v>
      </c>
      <c r="D358" s="2" t="s">
        <v>115</v>
      </c>
      <c r="E358" s="2" t="s">
        <v>543</v>
      </c>
      <c r="F358" s="117">
        <v>9.9</v>
      </c>
      <c r="G358" s="117">
        <v>0.4</v>
      </c>
      <c r="H358" s="117">
        <v>0</v>
      </c>
      <c r="I358" s="267">
        <v>0</v>
      </c>
      <c r="J358" s="267">
        <v>0</v>
      </c>
      <c r="K358" s="117">
        <v>0</v>
      </c>
      <c r="L358" s="267"/>
      <c r="M358" s="117">
        <v>0</v>
      </c>
      <c r="N358" s="267" t="s">
        <v>488</v>
      </c>
      <c r="O358" s="117">
        <v>0</v>
      </c>
      <c r="P358" s="267"/>
    </row>
    <row r="359" spans="1:16" x14ac:dyDescent="0.25">
      <c r="A359" s="117">
        <v>540033</v>
      </c>
      <c r="B359" s="2" t="s">
        <v>138</v>
      </c>
      <c r="C359" s="2" t="s">
        <v>1299</v>
      </c>
      <c r="D359" s="2" t="s">
        <v>115</v>
      </c>
      <c r="E359" s="2" t="s">
        <v>1298</v>
      </c>
      <c r="F359" s="117">
        <v>2.5</v>
      </c>
      <c r="G359" s="117">
        <v>0</v>
      </c>
      <c r="H359" s="117">
        <v>0</v>
      </c>
      <c r="I359" s="267" t="s">
        <v>488</v>
      </c>
      <c r="J359" s="267">
        <v>0</v>
      </c>
      <c r="K359" s="117">
        <v>0</v>
      </c>
      <c r="L359" s="267"/>
      <c r="M359" s="117">
        <v>0</v>
      </c>
      <c r="N359" s="267" t="s">
        <v>488</v>
      </c>
      <c r="O359" s="117">
        <v>0</v>
      </c>
      <c r="P359" s="267"/>
    </row>
    <row r="360" spans="1:16" x14ac:dyDescent="0.25">
      <c r="A360" s="117">
        <v>540029</v>
      </c>
      <c r="B360" s="2" t="s">
        <v>134</v>
      </c>
      <c r="C360" s="2" t="s">
        <v>1299</v>
      </c>
      <c r="D360" s="2" t="s">
        <v>115</v>
      </c>
      <c r="E360" s="2" t="s">
        <v>1298</v>
      </c>
      <c r="F360" s="117">
        <v>2.8</v>
      </c>
      <c r="G360" s="117">
        <v>0</v>
      </c>
      <c r="H360" s="117">
        <v>0</v>
      </c>
      <c r="I360" s="267" t="s">
        <v>488</v>
      </c>
      <c r="J360" s="267">
        <v>0</v>
      </c>
      <c r="K360" s="117">
        <v>0</v>
      </c>
      <c r="L360" s="267"/>
      <c r="M360" s="117">
        <v>0</v>
      </c>
      <c r="N360" s="267" t="s">
        <v>488</v>
      </c>
      <c r="O360" s="117">
        <v>0</v>
      </c>
      <c r="P360" s="267"/>
    </row>
  </sheetData>
  <hyperlinks>
    <hyperlink ref="S3" r:id="rId1"/>
  </hyperlinks>
  <pageMargins left="0.7" right="0.7" top="0.75" bottom="0.75" header="0.3" footer="0.3"/>
  <pageSetup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0"/>
  <sheetViews>
    <sheetView topLeftCell="C1" workbookViewId="0">
      <pane ySplit="1" topLeftCell="A2" activePane="bottomLeft" state="frozen"/>
      <selection pane="bottomLeft" activeCell="K2" sqref="K2:L3"/>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12.42578125" bestFit="1" customWidth="1"/>
    <col min="7" max="7" width="20" bestFit="1" customWidth="1"/>
    <col min="8" max="8" width="15.140625" bestFit="1" customWidth="1"/>
    <col min="9" max="9" width="30.5703125" bestFit="1" customWidth="1"/>
    <col min="10" max="10" width="29.28515625" bestFit="1" customWidth="1"/>
    <col min="11" max="11" width="9.42578125" bestFit="1" customWidth="1"/>
    <col min="12" max="12" width="118.7109375" bestFit="1" customWidth="1"/>
  </cols>
  <sheetData>
    <row r="1" spans="1:12" x14ac:dyDescent="0.25">
      <c r="A1" s="181" t="s">
        <v>0</v>
      </c>
      <c r="B1" s="181" t="s">
        <v>1</v>
      </c>
      <c r="C1" s="181" t="s">
        <v>2</v>
      </c>
      <c r="D1" s="181" t="s">
        <v>512</v>
      </c>
      <c r="E1" s="181" t="s">
        <v>403</v>
      </c>
      <c r="F1" s="181" t="s">
        <v>2255</v>
      </c>
      <c r="G1" s="181" t="s">
        <v>2256</v>
      </c>
      <c r="H1" s="181" t="s">
        <v>2257</v>
      </c>
      <c r="I1" s="181" t="s">
        <v>2258</v>
      </c>
      <c r="J1" s="181" t="s">
        <v>2259</v>
      </c>
    </row>
    <row r="2" spans="1:12" x14ac:dyDescent="0.25">
      <c r="A2" s="117">
        <v>540001</v>
      </c>
      <c r="B2" s="2" t="s">
        <v>3</v>
      </c>
      <c r="C2" s="2" t="s">
        <v>4</v>
      </c>
      <c r="D2" s="2" t="s">
        <v>5</v>
      </c>
      <c r="E2" s="117">
        <v>7</v>
      </c>
      <c r="F2" s="117">
        <v>86</v>
      </c>
      <c r="G2" s="117">
        <v>76</v>
      </c>
      <c r="H2" s="117">
        <v>73</v>
      </c>
      <c r="I2" s="278">
        <v>0.96050000000000002</v>
      </c>
      <c r="J2" s="278">
        <v>0.8488</v>
      </c>
      <c r="K2" s="206" t="s">
        <v>1325</v>
      </c>
      <c r="L2" s="62" t="s">
        <v>5544</v>
      </c>
    </row>
    <row r="3" spans="1:12" x14ac:dyDescent="0.25">
      <c r="A3" s="117">
        <v>540002</v>
      </c>
      <c r="B3" s="2" t="s">
        <v>114</v>
      </c>
      <c r="C3" s="2" t="s">
        <v>4</v>
      </c>
      <c r="D3" s="2" t="s">
        <v>115</v>
      </c>
      <c r="E3" s="117">
        <v>7</v>
      </c>
      <c r="F3" s="117">
        <v>2</v>
      </c>
      <c r="G3" s="117">
        <v>2</v>
      </c>
      <c r="H3" s="117">
        <v>0</v>
      </c>
      <c r="I3" s="278">
        <v>0</v>
      </c>
      <c r="J3" s="278">
        <v>0</v>
      </c>
      <c r="K3" s="206" t="s">
        <v>1326</v>
      </c>
      <c r="L3" s="393" t="s">
        <v>5625</v>
      </c>
    </row>
    <row r="4" spans="1:12" x14ac:dyDescent="0.25">
      <c r="A4" s="117">
        <v>540003</v>
      </c>
      <c r="B4" s="2" t="s">
        <v>116</v>
      </c>
      <c r="C4" s="2" t="s">
        <v>4</v>
      </c>
      <c r="D4" s="2" t="s">
        <v>115</v>
      </c>
      <c r="E4" s="117">
        <v>7</v>
      </c>
      <c r="F4" s="117">
        <v>1</v>
      </c>
      <c r="G4" s="117">
        <v>0</v>
      </c>
      <c r="H4" s="117">
        <v>1</v>
      </c>
      <c r="I4" s="278" t="s">
        <v>488</v>
      </c>
      <c r="J4" s="278">
        <v>1</v>
      </c>
    </row>
    <row r="5" spans="1:12" x14ac:dyDescent="0.25">
      <c r="A5" s="117">
        <v>540004</v>
      </c>
      <c r="B5" s="2" t="s">
        <v>117</v>
      </c>
      <c r="C5" s="2" t="s">
        <v>4</v>
      </c>
      <c r="D5" s="2" t="s">
        <v>115</v>
      </c>
      <c r="E5" s="117">
        <v>7</v>
      </c>
      <c r="F5" s="117">
        <v>6</v>
      </c>
      <c r="G5" s="117">
        <v>6</v>
      </c>
      <c r="H5" s="117">
        <v>0</v>
      </c>
      <c r="I5" s="278">
        <v>0</v>
      </c>
      <c r="J5" s="278">
        <v>0</v>
      </c>
    </row>
    <row r="6" spans="1:12" x14ac:dyDescent="0.25">
      <c r="A6" s="269"/>
      <c r="B6" s="269"/>
      <c r="C6" s="269" t="s">
        <v>4</v>
      </c>
      <c r="D6" s="269"/>
      <c r="E6" s="269"/>
      <c r="F6" s="270">
        <v>95</v>
      </c>
      <c r="G6" s="270">
        <v>84</v>
      </c>
      <c r="H6" s="270">
        <v>74</v>
      </c>
      <c r="I6" s="279">
        <v>0.88100000000000001</v>
      </c>
      <c r="J6" s="279">
        <v>0.77890000000000004</v>
      </c>
    </row>
    <row r="7" spans="1:12" x14ac:dyDescent="0.25">
      <c r="A7" s="117">
        <v>540007</v>
      </c>
      <c r="B7" s="2" t="s">
        <v>6</v>
      </c>
      <c r="C7" s="2" t="s">
        <v>7</v>
      </c>
      <c r="D7" s="2" t="s">
        <v>5</v>
      </c>
      <c r="E7" s="117">
        <v>3</v>
      </c>
      <c r="F7" s="117">
        <v>130</v>
      </c>
      <c r="G7" s="117">
        <v>110</v>
      </c>
      <c r="H7" s="117">
        <v>52</v>
      </c>
      <c r="I7" s="278">
        <v>0.47270000000000001</v>
      </c>
      <c r="J7" s="278">
        <v>0.4</v>
      </c>
    </row>
    <row r="8" spans="1:12" x14ac:dyDescent="0.25">
      <c r="A8" s="117">
        <v>540008</v>
      </c>
      <c r="B8" s="2" t="s">
        <v>120</v>
      </c>
      <c r="C8" s="2" t="s">
        <v>7</v>
      </c>
      <c r="D8" s="2" t="s">
        <v>115</v>
      </c>
      <c r="E8" s="117">
        <v>3</v>
      </c>
      <c r="F8" s="117">
        <v>4</v>
      </c>
      <c r="G8" s="117">
        <v>4</v>
      </c>
      <c r="H8" s="117">
        <v>0</v>
      </c>
      <c r="I8" s="278">
        <v>0</v>
      </c>
      <c r="J8" s="278">
        <v>0</v>
      </c>
    </row>
    <row r="9" spans="1:12" x14ac:dyDescent="0.25">
      <c r="A9" s="117">
        <v>540229</v>
      </c>
      <c r="B9" s="2" t="s">
        <v>279</v>
      </c>
      <c r="C9" s="2" t="s">
        <v>7</v>
      </c>
      <c r="D9" s="2" t="s">
        <v>115</v>
      </c>
      <c r="E9" s="117">
        <v>3</v>
      </c>
      <c r="F9" s="117">
        <v>3</v>
      </c>
      <c r="G9" s="117">
        <v>3</v>
      </c>
      <c r="H9" s="117">
        <v>1</v>
      </c>
      <c r="I9" s="278">
        <v>0.33329999999999999</v>
      </c>
      <c r="J9" s="278">
        <v>0.33329999999999999</v>
      </c>
    </row>
    <row r="10" spans="1:12" x14ac:dyDescent="0.25">
      <c r="A10" s="117">
        <v>540230</v>
      </c>
      <c r="B10" s="2" t="s">
        <v>280</v>
      </c>
      <c r="C10" s="2" t="s">
        <v>7</v>
      </c>
      <c r="D10" s="2" t="s">
        <v>115</v>
      </c>
      <c r="E10" s="117">
        <v>3</v>
      </c>
      <c r="F10" s="117">
        <v>6</v>
      </c>
      <c r="G10" s="117">
        <v>6</v>
      </c>
      <c r="H10" s="117">
        <v>2</v>
      </c>
      <c r="I10" s="278">
        <v>0.33329999999999999</v>
      </c>
      <c r="J10" s="278">
        <v>0.33329999999999999</v>
      </c>
    </row>
    <row r="11" spans="1:12" x14ac:dyDescent="0.25">
      <c r="A11" s="117">
        <v>540238</v>
      </c>
      <c r="B11" s="2" t="s">
        <v>286</v>
      </c>
      <c r="C11" s="2" t="s">
        <v>7</v>
      </c>
      <c r="D11" s="2" t="s">
        <v>115</v>
      </c>
      <c r="E11" s="117">
        <v>3</v>
      </c>
      <c r="F11" s="117">
        <v>0</v>
      </c>
      <c r="G11" s="117">
        <v>0</v>
      </c>
      <c r="H11" s="117">
        <v>0</v>
      </c>
      <c r="I11" s="278" t="s">
        <v>488</v>
      </c>
      <c r="J11" s="278" t="s">
        <v>488</v>
      </c>
    </row>
    <row r="12" spans="1:12" x14ac:dyDescent="0.25">
      <c r="A12" s="269"/>
      <c r="B12" s="269"/>
      <c r="C12" s="269" t="s">
        <v>7</v>
      </c>
      <c r="D12" s="269"/>
      <c r="E12" s="269"/>
      <c r="F12" s="270">
        <v>143</v>
      </c>
      <c r="G12" s="270">
        <v>123</v>
      </c>
      <c r="H12" s="270">
        <v>55</v>
      </c>
      <c r="I12" s="279">
        <v>0.44719999999999999</v>
      </c>
      <c r="J12" s="279">
        <v>0.3846</v>
      </c>
    </row>
    <row r="13" spans="1:12" x14ac:dyDescent="0.25">
      <c r="A13" s="117">
        <v>540009</v>
      </c>
      <c r="B13" s="2" t="s">
        <v>8</v>
      </c>
      <c r="C13" s="2" t="s">
        <v>9</v>
      </c>
      <c r="D13" s="2" t="s">
        <v>5</v>
      </c>
      <c r="E13" s="117">
        <v>7</v>
      </c>
      <c r="F13" s="117">
        <v>129</v>
      </c>
      <c r="G13" s="117">
        <v>76</v>
      </c>
      <c r="H13" s="117">
        <v>0</v>
      </c>
      <c r="I13" s="278">
        <v>0</v>
      </c>
      <c r="J13" s="278">
        <v>0</v>
      </c>
    </row>
    <row r="14" spans="1:12" x14ac:dyDescent="0.25">
      <c r="A14" s="117">
        <v>540010</v>
      </c>
      <c r="B14" s="2" t="s">
        <v>121</v>
      </c>
      <c r="C14" s="2" t="s">
        <v>9</v>
      </c>
      <c r="D14" s="2" t="s">
        <v>115</v>
      </c>
      <c r="E14" s="117">
        <v>7</v>
      </c>
      <c r="F14" s="117">
        <v>14</v>
      </c>
      <c r="G14" s="117">
        <v>8</v>
      </c>
      <c r="H14" s="117">
        <v>0</v>
      </c>
      <c r="I14" s="278">
        <v>0</v>
      </c>
      <c r="J14" s="278">
        <v>0</v>
      </c>
    </row>
    <row r="15" spans="1:12" x14ac:dyDescent="0.25">
      <c r="A15" s="117">
        <v>540235</v>
      </c>
      <c r="B15" s="2" t="s">
        <v>283</v>
      </c>
      <c r="C15" s="2" t="s">
        <v>9</v>
      </c>
      <c r="D15" s="2" t="s">
        <v>115</v>
      </c>
      <c r="E15" s="117">
        <v>7</v>
      </c>
      <c r="F15" s="117">
        <v>0</v>
      </c>
      <c r="G15" s="117">
        <v>0</v>
      </c>
      <c r="H15" s="117">
        <v>0</v>
      </c>
      <c r="I15" s="278" t="s">
        <v>488</v>
      </c>
      <c r="J15" s="278" t="s">
        <v>488</v>
      </c>
    </row>
    <row r="16" spans="1:12" x14ac:dyDescent="0.25">
      <c r="A16" s="117">
        <v>540236</v>
      </c>
      <c r="B16" s="2" t="s">
        <v>284</v>
      </c>
      <c r="C16" s="2" t="s">
        <v>9</v>
      </c>
      <c r="D16" s="2" t="s">
        <v>115</v>
      </c>
      <c r="E16" s="117">
        <v>7</v>
      </c>
      <c r="F16" s="117">
        <v>2</v>
      </c>
      <c r="G16" s="117">
        <v>2</v>
      </c>
      <c r="H16" s="117">
        <v>0</v>
      </c>
      <c r="I16" s="278">
        <v>0</v>
      </c>
      <c r="J16" s="278">
        <v>0</v>
      </c>
    </row>
    <row r="17" spans="1:10" x14ac:dyDescent="0.25">
      <c r="A17" s="117">
        <v>540237</v>
      </c>
      <c r="B17" s="2" t="s">
        <v>285</v>
      </c>
      <c r="C17" s="2" t="s">
        <v>9</v>
      </c>
      <c r="D17" s="2" t="s">
        <v>115</v>
      </c>
      <c r="E17" s="117">
        <v>7</v>
      </c>
      <c r="F17" s="117">
        <v>4</v>
      </c>
      <c r="G17" s="117">
        <v>4</v>
      </c>
      <c r="H17" s="117">
        <v>0</v>
      </c>
      <c r="I17" s="278">
        <v>0</v>
      </c>
      <c r="J17" s="278">
        <v>0</v>
      </c>
    </row>
    <row r="18" spans="1:10" x14ac:dyDescent="0.25">
      <c r="A18" s="269"/>
      <c r="B18" s="269"/>
      <c r="C18" s="269" t="s">
        <v>9</v>
      </c>
      <c r="D18" s="269"/>
      <c r="E18" s="269"/>
      <c r="F18" s="270">
        <v>149</v>
      </c>
      <c r="G18" s="270">
        <v>90</v>
      </c>
      <c r="H18" s="270">
        <v>0</v>
      </c>
      <c r="I18" s="279">
        <v>0</v>
      </c>
      <c r="J18" s="279">
        <v>0</v>
      </c>
    </row>
    <row r="19" spans="1:10" x14ac:dyDescent="0.25">
      <c r="A19" s="117">
        <v>540011</v>
      </c>
      <c r="B19" s="2" t="s">
        <v>10</v>
      </c>
      <c r="C19" s="2" t="s">
        <v>11</v>
      </c>
      <c r="D19" s="2" t="s">
        <v>5</v>
      </c>
      <c r="E19" s="117">
        <v>11</v>
      </c>
      <c r="F19" s="117">
        <v>50</v>
      </c>
      <c r="G19" s="117">
        <v>37</v>
      </c>
      <c r="H19" s="117">
        <v>17</v>
      </c>
      <c r="I19" s="278">
        <v>0.45950000000000002</v>
      </c>
      <c r="J19" s="278">
        <v>0.34</v>
      </c>
    </row>
    <row r="20" spans="1:10" x14ac:dyDescent="0.25">
      <c r="A20" s="117">
        <v>540012</v>
      </c>
      <c r="B20" s="2" t="s">
        <v>122</v>
      </c>
      <c r="C20" s="2" t="s">
        <v>11</v>
      </c>
      <c r="D20" s="2" t="s">
        <v>115</v>
      </c>
      <c r="E20" s="117">
        <v>11</v>
      </c>
      <c r="F20" s="117">
        <v>2</v>
      </c>
      <c r="G20" s="117">
        <v>0</v>
      </c>
      <c r="H20" s="117">
        <v>0</v>
      </c>
      <c r="I20" s="278" t="s">
        <v>488</v>
      </c>
      <c r="J20" s="278">
        <v>0</v>
      </c>
    </row>
    <row r="21" spans="1:10" x14ac:dyDescent="0.25">
      <c r="A21" s="117">
        <v>540013</v>
      </c>
      <c r="B21" s="2" t="s">
        <v>123</v>
      </c>
      <c r="C21" s="2" t="s">
        <v>11</v>
      </c>
      <c r="D21" s="2" t="s">
        <v>115</v>
      </c>
      <c r="E21" s="117">
        <v>11</v>
      </c>
      <c r="F21" s="117">
        <v>0</v>
      </c>
      <c r="G21" s="117">
        <v>0</v>
      </c>
      <c r="H21" s="117">
        <v>0</v>
      </c>
      <c r="I21" s="278" t="s">
        <v>488</v>
      </c>
      <c r="J21" s="278" t="s">
        <v>488</v>
      </c>
    </row>
    <row r="22" spans="1:10" x14ac:dyDescent="0.25">
      <c r="A22" s="117">
        <v>540014</v>
      </c>
      <c r="B22" s="2" t="s">
        <v>124</v>
      </c>
      <c r="C22" s="2" t="s">
        <v>11</v>
      </c>
      <c r="D22" s="2" t="s">
        <v>115</v>
      </c>
      <c r="E22" s="117">
        <v>11</v>
      </c>
      <c r="F22" s="117">
        <v>9</v>
      </c>
      <c r="G22" s="117">
        <v>6</v>
      </c>
      <c r="H22" s="117">
        <v>0</v>
      </c>
      <c r="I22" s="278">
        <v>0</v>
      </c>
      <c r="J22" s="278">
        <v>0</v>
      </c>
    </row>
    <row r="23" spans="1:10" x14ac:dyDescent="0.25">
      <c r="A23" s="117">
        <v>540015</v>
      </c>
      <c r="B23" s="2" t="s">
        <v>125</v>
      </c>
      <c r="C23" s="2" t="s">
        <v>11</v>
      </c>
      <c r="D23" s="2" t="s">
        <v>115</v>
      </c>
      <c r="E23" s="117">
        <v>11</v>
      </c>
      <c r="F23" s="117">
        <v>0</v>
      </c>
      <c r="G23" s="117">
        <v>0</v>
      </c>
      <c r="H23" s="117">
        <v>0</v>
      </c>
      <c r="I23" s="278" t="s">
        <v>488</v>
      </c>
      <c r="J23" s="278" t="s">
        <v>488</v>
      </c>
    </row>
    <row r="24" spans="1:10" x14ac:dyDescent="0.25">
      <c r="A24" s="117">
        <v>540093</v>
      </c>
      <c r="B24" s="2" t="s">
        <v>184</v>
      </c>
      <c r="C24" s="2" t="s">
        <v>11</v>
      </c>
      <c r="D24" s="2" t="s">
        <v>115</v>
      </c>
      <c r="E24" s="117">
        <v>11</v>
      </c>
      <c r="F24" s="117">
        <v>0</v>
      </c>
      <c r="G24" s="117">
        <v>0</v>
      </c>
      <c r="H24" s="117">
        <v>0</v>
      </c>
      <c r="I24" s="278" t="s">
        <v>488</v>
      </c>
      <c r="J24" s="278" t="s">
        <v>488</v>
      </c>
    </row>
    <row r="25" spans="1:10" x14ac:dyDescent="0.25">
      <c r="A25" s="117">
        <v>540084</v>
      </c>
      <c r="B25" s="2" t="s">
        <v>341</v>
      </c>
      <c r="C25" s="2" t="s">
        <v>11</v>
      </c>
      <c r="D25" s="2" t="s">
        <v>115</v>
      </c>
      <c r="E25" s="117">
        <v>11</v>
      </c>
      <c r="F25" s="117">
        <v>0</v>
      </c>
      <c r="G25" s="117">
        <v>0</v>
      </c>
      <c r="H25" s="117">
        <v>0</v>
      </c>
      <c r="I25" s="278" t="s">
        <v>488</v>
      </c>
      <c r="J25" s="278" t="s">
        <v>488</v>
      </c>
    </row>
    <row r="26" spans="1:10" x14ac:dyDescent="0.25">
      <c r="A26" s="269"/>
      <c r="B26" s="269"/>
      <c r="C26" s="269" t="s">
        <v>11</v>
      </c>
      <c r="D26" s="269"/>
      <c r="E26" s="269"/>
      <c r="F26" s="270">
        <v>61</v>
      </c>
      <c r="G26" s="270">
        <v>43</v>
      </c>
      <c r="H26" s="270">
        <v>17</v>
      </c>
      <c r="I26" s="279">
        <v>0.39529999999999998</v>
      </c>
      <c r="J26" s="279">
        <v>0.2787</v>
      </c>
    </row>
    <row r="27" spans="1:10" x14ac:dyDescent="0.25">
      <c r="A27" s="117">
        <v>540016</v>
      </c>
      <c r="B27" s="2" t="s">
        <v>12</v>
      </c>
      <c r="C27" s="2" t="s">
        <v>13</v>
      </c>
      <c r="D27" s="2" t="s">
        <v>5</v>
      </c>
      <c r="E27" s="117">
        <v>2</v>
      </c>
      <c r="F27" s="117">
        <v>130</v>
      </c>
      <c r="G27" s="117">
        <v>106</v>
      </c>
      <c r="H27" s="117">
        <v>41</v>
      </c>
      <c r="I27" s="278">
        <v>0.38679999999999998</v>
      </c>
      <c r="J27" s="278">
        <v>0.31540000000000001</v>
      </c>
    </row>
    <row r="28" spans="1:10" x14ac:dyDescent="0.25">
      <c r="A28" s="117">
        <v>540017</v>
      </c>
      <c r="B28" s="2" t="s">
        <v>126</v>
      </c>
      <c r="C28" s="2" t="s">
        <v>13</v>
      </c>
      <c r="D28" s="2" t="s">
        <v>115</v>
      </c>
      <c r="E28" s="117">
        <v>2</v>
      </c>
      <c r="F28" s="117">
        <v>29</v>
      </c>
      <c r="G28" s="117">
        <v>13</v>
      </c>
      <c r="H28" s="117">
        <v>0</v>
      </c>
      <c r="I28" s="278">
        <v>0</v>
      </c>
      <c r="J28" s="278">
        <v>0</v>
      </c>
    </row>
    <row r="29" spans="1:10" x14ac:dyDescent="0.25">
      <c r="A29" s="117">
        <v>540018</v>
      </c>
      <c r="B29" s="2" t="s">
        <v>127</v>
      </c>
      <c r="C29" s="2" t="s">
        <v>13</v>
      </c>
      <c r="D29" s="2" t="s">
        <v>115</v>
      </c>
      <c r="E29" s="117">
        <v>2</v>
      </c>
      <c r="F29" s="117">
        <v>58</v>
      </c>
      <c r="G29" s="117">
        <v>27</v>
      </c>
      <c r="H29" s="117">
        <v>0</v>
      </c>
      <c r="I29" s="278">
        <v>0</v>
      </c>
      <c r="J29" s="278">
        <v>0</v>
      </c>
    </row>
    <row r="30" spans="1:10" x14ac:dyDescent="0.25">
      <c r="A30" s="117">
        <v>540019</v>
      </c>
      <c r="B30" s="2" t="s">
        <v>128</v>
      </c>
      <c r="C30" s="2" t="s">
        <v>13</v>
      </c>
      <c r="D30" s="2" t="s">
        <v>115</v>
      </c>
      <c r="E30" s="117">
        <v>2</v>
      </c>
      <c r="F30" s="117">
        <v>12</v>
      </c>
      <c r="G30" s="117">
        <v>3</v>
      </c>
      <c r="H30" s="117">
        <v>0</v>
      </c>
      <c r="I30" s="278">
        <v>0</v>
      </c>
      <c r="J30" s="278">
        <v>0</v>
      </c>
    </row>
    <row r="31" spans="1:10" x14ac:dyDescent="0.25">
      <c r="A31" s="269"/>
      <c r="B31" s="269"/>
      <c r="C31" s="269" t="s">
        <v>13</v>
      </c>
      <c r="D31" s="269"/>
      <c r="E31" s="269"/>
      <c r="F31" s="270">
        <v>229</v>
      </c>
      <c r="G31" s="270">
        <v>149</v>
      </c>
      <c r="H31" s="270">
        <v>41</v>
      </c>
      <c r="I31" s="279">
        <v>0.2752</v>
      </c>
      <c r="J31" s="279">
        <v>0.17899999999999999</v>
      </c>
    </row>
    <row r="32" spans="1:10" x14ac:dyDescent="0.25">
      <c r="A32" s="117">
        <v>540020</v>
      </c>
      <c r="B32" s="2" t="s">
        <v>14</v>
      </c>
      <c r="C32" s="2" t="s">
        <v>15</v>
      </c>
      <c r="D32" s="2" t="s">
        <v>5</v>
      </c>
      <c r="E32" s="117">
        <v>5</v>
      </c>
      <c r="F32" s="117">
        <v>48</v>
      </c>
      <c r="G32" s="117">
        <v>31</v>
      </c>
      <c r="H32" s="117">
        <v>0</v>
      </c>
      <c r="I32" s="278">
        <v>0</v>
      </c>
      <c r="J32" s="278">
        <v>0</v>
      </c>
    </row>
    <row r="33" spans="1:10" x14ac:dyDescent="0.25">
      <c r="A33" s="117">
        <v>540021</v>
      </c>
      <c r="B33" s="2" t="s">
        <v>129</v>
      </c>
      <c r="C33" s="2" t="s">
        <v>15</v>
      </c>
      <c r="D33" s="2" t="s">
        <v>115</v>
      </c>
      <c r="E33" s="117">
        <v>5</v>
      </c>
      <c r="F33" s="117">
        <v>3</v>
      </c>
      <c r="G33" s="117">
        <v>2</v>
      </c>
      <c r="H33" s="117">
        <v>0</v>
      </c>
      <c r="I33" s="278">
        <v>0</v>
      </c>
      <c r="J33" s="278">
        <v>0</v>
      </c>
    </row>
    <row r="34" spans="1:10" x14ac:dyDescent="0.25">
      <c r="A34" s="269"/>
      <c r="B34" s="269"/>
      <c r="C34" s="269" t="s">
        <v>15</v>
      </c>
      <c r="D34" s="269"/>
      <c r="E34" s="269"/>
      <c r="F34" s="270">
        <v>51</v>
      </c>
      <c r="G34" s="270">
        <v>33</v>
      </c>
      <c r="H34" s="270">
        <v>0</v>
      </c>
      <c r="I34" s="279">
        <v>0</v>
      </c>
      <c r="J34" s="279">
        <v>0</v>
      </c>
    </row>
    <row r="35" spans="1:10" x14ac:dyDescent="0.25">
      <c r="A35" s="117">
        <v>540022</v>
      </c>
      <c r="B35" s="2" t="s">
        <v>16</v>
      </c>
      <c r="C35" s="2" t="s">
        <v>17</v>
      </c>
      <c r="D35" s="2" t="s">
        <v>5</v>
      </c>
      <c r="E35" s="117">
        <v>3</v>
      </c>
      <c r="F35" s="117">
        <v>85</v>
      </c>
      <c r="G35" s="117">
        <v>61</v>
      </c>
      <c r="H35" s="117">
        <v>0</v>
      </c>
      <c r="I35" s="278">
        <v>0</v>
      </c>
      <c r="J35" s="278">
        <v>0</v>
      </c>
    </row>
    <row r="36" spans="1:10" x14ac:dyDescent="0.25">
      <c r="A36" s="117">
        <v>540023</v>
      </c>
      <c r="B36" s="2" t="s">
        <v>130</v>
      </c>
      <c r="C36" s="2" t="s">
        <v>17</v>
      </c>
      <c r="D36" s="2" t="s">
        <v>115</v>
      </c>
      <c r="E36" s="117">
        <v>3</v>
      </c>
      <c r="F36" s="117">
        <v>3</v>
      </c>
      <c r="G36" s="117">
        <v>1</v>
      </c>
      <c r="H36" s="117">
        <v>0</v>
      </c>
      <c r="I36" s="278">
        <v>0</v>
      </c>
      <c r="J36" s="278">
        <v>0</v>
      </c>
    </row>
    <row r="37" spans="1:10" x14ac:dyDescent="0.25">
      <c r="A37" s="269"/>
      <c r="B37" s="269"/>
      <c r="C37" s="269" t="s">
        <v>17</v>
      </c>
      <c r="D37" s="269"/>
      <c r="E37" s="269"/>
      <c r="F37" s="270">
        <v>88</v>
      </c>
      <c r="G37" s="270">
        <v>62</v>
      </c>
      <c r="H37" s="270">
        <v>0</v>
      </c>
      <c r="I37" s="279">
        <v>0</v>
      </c>
      <c r="J37" s="279">
        <v>0</v>
      </c>
    </row>
    <row r="38" spans="1:10" x14ac:dyDescent="0.25">
      <c r="A38" s="117">
        <v>540024</v>
      </c>
      <c r="B38" s="2" t="s">
        <v>18</v>
      </c>
      <c r="C38" s="2" t="s">
        <v>19</v>
      </c>
      <c r="D38" s="2" t="s">
        <v>5</v>
      </c>
      <c r="E38" s="117">
        <v>6</v>
      </c>
      <c r="F38" s="117">
        <v>93</v>
      </c>
      <c r="G38" s="117">
        <v>74</v>
      </c>
      <c r="H38" s="117">
        <v>40</v>
      </c>
      <c r="I38" s="278">
        <v>0.54049999999999998</v>
      </c>
      <c r="J38" s="278">
        <v>0.43009999999999998</v>
      </c>
    </row>
    <row r="39" spans="1:10" x14ac:dyDescent="0.25">
      <c r="A39" s="117">
        <v>540025</v>
      </c>
      <c r="B39" s="2" t="s">
        <v>131</v>
      </c>
      <c r="C39" s="2" t="s">
        <v>19</v>
      </c>
      <c r="D39" s="2" t="s">
        <v>115</v>
      </c>
      <c r="E39" s="117">
        <v>6</v>
      </c>
      <c r="F39" s="117">
        <v>4</v>
      </c>
      <c r="G39" s="117">
        <v>2</v>
      </c>
      <c r="H39" s="117">
        <v>0</v>
      </c>
      <c r="I39" s="278">
        <v>0</v>
      </c>
      <c r="J39" s="278">
        <v>0</v>
      </c>
    </row>
    <row r="40" spans="1:10" x14ac:dyDescent="0.25">
      <c r="A40" s="269"/>
      <c r="B40" s="269"/>
      <c r="C40" s="269" t="s">
        <v>19</v>
      </c>
      <c r="D40" s="269"/>
      <c r="E40" s="269"/>
      <c r="F40" s="270">
        <v>97</v>
      </c>
      <c r="G40" s="270">
        <v>76</v>
      </c>
      <c r="H40" s="270">
        <v>40</v>
      </c>
      <c r="I40" s="279">
        <v>0.52629999999999999</v>
      </c>
      <c r="J40" s="279">
        <v>0.41239999999999999</v>
      </c>
    </row>
    <row r="41" spans="1:10" x14ac:dyDescent="0.25">
      <c r="A41" s="117">
        <v>540035</v>
      </c>
      <c r="B41" s="2" t="s">
        <v>22</v>
      </c>
      <c r="C41" s="2" t="s">
        <v>23</v>
      </c>
      <c r="D41" s="2" t="s">
        <v>5</v>
      </c>
      <c r="E41" s="117">
        <v>7</v>
      </c>
      <c r="F41" s="117">
        <v>105</v>
      </c>
      <c r="G41" s="117">
        <v>68</v>
      </c>
      <c r="H41" s="117">
        <v>0</v>
      </c>
      <c r="I41" s="278">
        <v>0</v>
      </c>
      <c r="J41" s="278">
        <v>0</v>
      </c>
    </row>
    <row r="42" spans="1:10" x14ac:dyDescent="0.25">
      <c r="A42" s="117">
        <v>540036</v>
      </c>
      <c r="B42" s="2" t="s">
        <v>139</v>
      </c>
      <c r="C42" s="2" t="s">
        <v>23</v>
      </c>
      <c r="D42" s="2" t="s">
        <v>115</v>
      </c>
      <c r="E42" s="117">
        <v>7</v>
      </c>
      <c r="F42" s="117">
        <v>1</v>
      </c>
      <c r="G42" s="117">
        <v>0</v>
      </c>
      <c r="H42" s="117">
        <v>0</v>
      </c>
      <c r="I42" s="278" t="s">
        <v>488</v>
      </c>
      <c r="J42" s="278">
        <v>0</v>
      </c>
    </row>
    <row r="43" spans="1:10" x14ac:dyDescent="0.25">
      <c r="A43" s="117">
        <v>540037</v>
      </c>
      <c r="B43" s="2" t="s">
        <v>140</v>
      </c>
      <c r="C43" s="2" t="s">
        <v>23</v>
      </c>
      <c r="D43" s="2" t="s">
        <v>115</v>
      </c>
      <c r="E43" s="117">
        <v>7</v>
      </c>
      <c r="F43" s="117">
        <v>2</v>
      </c>
      <c r="G43" s="117">
        <v>1</v>
      </c>
      <c r="H43" s="117">
        <v>0</v>
      </c>
      <c r="I43" s="278">
        <v>0</v>
      </c>
      <c r="J43" s="278">
        <v>0</v>
      </c>
    </row>
    <row r="44" spans="1:10" x14ac:dyDescent="0.25">
      <c r="A44" s="269"/>
      <c r="B44" s="269"/>
      <c r="C44" s="269" t="s">
        <v>23</v>
      </c>
      <c r="D44" s="269"/>
      <c r="E44" s="269"/>
      <c r="F44" s="270">
        <v>108</v>
      </c>
      <c r="G44" s="270">
        <v>69</v>
      </c>
      <c r="H44" s="270">
        <v>0</v>
      </c>
      <c r="I44" s="279">
        <v>0</v>
      </c>
      <c r="J44" s="279">
        <v>0</v>
      </c>
    </row>
    <row r="45" spans="1:10" x14ac:dyDescent="0.25">
      <c r="A45" s="117">
        <v>540038</v>
      </c>
      <c r="B45" s="2" t="s">
        <v>24</v>
      </c>
      <c r="C45" s="2" t="s">
        <v>25</v>
      </c>
      <c r="D45" s="2" t="s">
        <v>5</v>
      </c>
      <c r="E45" s="117">
        <v>8</v>
      </c>
      <c r="F45" s="117">
        <v>66</v>
      </c>
      <c r="G45" s="117">
        <v>30</v>
      </c>
      <c r="H45" s="117">
        <v>0</v>
      </c>
      <c r="I45" s="278">
        <v>0</v>
      </c>
      <c r="J45" s="278">
        <v>0</v>
      </c>
    </row>
    <row r="46" spans="1:10" x14ac:dyDescent="0.25">
      <c r="A46" s="117">
        <v>540039</v>
      </c>
      <c r="B46" s="2" t="s">
        <v>141</v>
      </c>
      <c r="C46" s="2" t="s">
        <v>25</v>
      </c>
      <c r="D46" s="2" t="s">
        <v>115</v>
      </c>
      <c r="E46" s="117">
        <v>8</v>
      </c>
      <c r="F46" s="117">
        <v>4</v>
      </c>
      <c r="G46" s="117">
        <v>3</v>
      </c>
      <c r="H46" s="117">
        <v>0</v>
      </c>
      <c r="I46" s="278">
        <v>0</v>
      </c>
      <c r="J46" s="278">
        <v>0</v>
      </c>
    </row>
    <row r="47" spans="1:10" x14ac:dyDescent="0.25">
      <c r="A47" s="117">
        <v>540240</v>
      </c>
      <c r="B47" s="2" t="s">
        <v>287</v>
      </c>
      <c r="C47" s="2" t="s">
        <v>25</v>
      </c>
      <c r="D47" s="2" t="s">
        <v>115</v>
      </c>
      <c r="E47" s="117">
        <v>8</v>
      </c>
      <c r="F47" s="117">
        <v>2</v>
      </c>
      <c r="G47" s="117">
        <v>1</v>
      </c>
      <c r="H47" s="117">
        <v>0</v>
      </c>
      <c r="I47" s="278">
        <v>0</v>
      </c>
      <c r="J47" s="278">
        <v>0</v>
      </c>
    </row>
    <row r="48" spans="1:10" x14ac:dyDescent="0.25">
      <c r="A48" s="269"/>
      <c r="B48" s="269"/>
      <c r="C48" s="269" t="s">
        <v>25</v>
      </c>
      <c r="D48" s="269"/>
      <c r="E48" s="269"/>
      <c r="F48" s="270">
        <v>72</v>
      </c>
      <c r="G48" s="270">
        <v>34</v>
      </c>
      <c r="H48" s="270">
        <v>0</v>
      </c>
      <c r="I48" s="279">
        <v>0</v>
      </c>
      <c r="J48" s="279">
        <v>0</v>
      </c>
    </row>
    <row r="49" spans="1:10" x14ac:dyDescent="0.25">
      <c r="A49" s="117">
        <v>540040</v>
      </c>
      <c r="B49" s="2" t="s">
        <v>26</v>
      </c>
      <c r="C49" s="2" t="s">
        <v>27</v>
      </c>
      <c r="D49" s="2" t="s">
        <v>5</v>
      </c>
      <c r="E49" s="117">
        <v>4</v>
      </c>
      <c r="F49" s="117">
        <v>189</v>
      </c>
      <c r="G49" s="117">
        <v>139</v>
      </c>
      <c r="H49" s="117">
        <v>129</v>
      </c>
      <c r="I49" s="278">
        <v>0.92810000000000004</v>
      </c>
      <c r="J49" s="278">
        <v>0.6825</v>
      </c>
    </row>
    <row r="50" spans="1:10" x14ac:dyDescent="0.25">
      <c r="A50" s="117">
        <v>540041</v>
      </c>
      <c r="B50" s="2" t="s">
        <v>142</v>
      </c>
      <c r="C50" s="2" t="s">
        <v>27</v>
      </c>
      <c r="D50" s="2" t="s">
        <v>115</v>
      </c>
      <c r="E50" s="117">
        <v>4</v>
      </c>
      <c r="F50" s="117">
        <v>0</v>
      </c>
      <c r="G50" s="117">
        <v>0</v>
      </c>
      <c r="H50" s="117">
        <v>0</v>
      </c>
      <c r="I50" s="278" t="s">
        <v>488</v>
      </c>
      <c r="J50" s="278" t="s">
        <v>488</v>
      </c>
    </row>
    <row r="51" spans="1:10" x14ac:dyDescent="0.25">
      <c r="A51" s="117">
        <v>540043</v>
      </c>
      <c r="B51" s="2" t="s">
        <v>144</v>
      </c>
      <c r="C51" s="2" t="s">
        <v>27</v>
      </c>
      <c r="D51" s="2" t="s">
        <v>115</v>
      </c>
      <c r="E51" s="117">
        <v>4</v>
      </c>
      <c r="F51" s="117">
        <v>2</v>
      </c>
      <c r="G51" s="117">
        <v>0</v>
      </c>
      <c r="H51" s="117">
        <v>0</v>
      </c>
      <c r="I51" s="278" t="s">
        <v>488</v>
      </c>
      <c r="J51" s="278">
        <v>0</v>
      </c>
    </row>
    <row r="52" spans="1:10" x14ac:dyDescent="0.25">
      <c r="A52" s="117">
        <v>540044</v>
      </c>
      <c r="B52" s="2" t="s">
        <v>145</v>
      </c>
      <c r="C52" s="2" t="s">
        <v>27</v>
      </c>
      <c r="D52" s="2" t="s">
        <v>115</v>
      </c>
      <c r="E52" s="117">
        <v>4</v>
      </c>
      <c r="F52" s="117">
        <v>1</v>
      </c>
      <c r="G52" s="117">
        <v>0</v>
      </c>
      <c r="H52" s="117">
        <v>1</v>
      </c>
      <c r="I52" s="278" t="s">
        <v>488</v>
      </c>
      <c r="J52" s="278">
        <v>1</v>
      </c>
    </row>
    <row r="53" spans="1:10" x14ac:dyDescent="0.25">
      <c r="A53" s="117">
        <v>540045</v>
      </c>
      <c r="B53" s="2" t="s">
        <v>146</v>
      </c>
      <c r="C53" s="2" t="s">
        <v>27</v>
      </c>
      <c r="D53" s="2" t="s">
        <v>115</v>
      </c>
      <c r="E53" s="117">
        <v>4</v>
      </c>
      <c r="F53" s="117">
        <v>12</v>
      </c>
      <c r="G53" s="117">
        <v>12</v>
      </c>
      <c r="H53" s="117">
        <v>12</v>
      </c>
      <c r="I53" s="278">
        <v>1</v>
      </c>
      <c r="J53" s="278">
        <v>1</v>
      </c>
    </row>
    <row r="54" spans="1:10" x14ac:dyDescent="0.25">
      <c r="A54" s="117">
        <v>540228</v>
      </c>
      <c r="B54" s="2" t="s">
        <v>278</v>
      </c>
      <c r="C54" s="2" t="s">
        <v>27</v>
      </c>
      <c r="D54" s="2" t="s">
        <v>115</v>
      </c>
      <c r="E54" s="117">
        <v>4</v>
      </c>
      <c r="F54" s="117">
        <v>3</v>
      </c>
      <c r="G54" s="117">
        <v>3</v>
      </c>
      <c r="H54" s="117">
        <v>3</v>
      </c>
      <c r="I54" s="278">
        <v>1</v>
      </c>
      <c r="J54" s="278">
        <v>1</v>
      </c>
    </row>
    <row r="55" spans="1:10" x14ac:dyDescent="0.25">
      <c r="A55" s="117">
        <v>540243</v>
      </c>
      <c r="B55" s="2" t="s">
        <v>290</v>
      </c>
      <c r="C55" s="2" t="s">
        <v>27</v>
      </c>
      <c r="D55" s="2" t="s">
        <v>115</v>
      </c>
      <c r="E55" s="117">
        <v>4</v>
      </c>
      <c r="F55" s="117">
        <v>0</v>
      </c>
      <c r="G55" s="117">
        <v>0</v>
      </c>
      <c r="H55" s="117">
        <v>0</v>
      </c>
      <c r="I55" s="278" t="s">
        <v>488</v>
      </c>
      <c r="J55" s="278" t="s">
        <v>488</v>
      </c>
    </row>
    <row r="56" spans="1:10" x14ac:dyDescent="0.25">
      <c r="A56" s="117">
        <v>540244</v>
      </c>
      <c r="B56" s="2" t="s">
        <v>291</v>
      </c>
      <c r="C56" s="2" t="s">
        <v>27</v>
      </c>
      <c r="D56" s="2" t="s">
        <v>115</v>
      </c>
      <c r="E56" s="117">
        <v>4</v>
      </c>
      <c r="F56" s="117">
        <v>0</v>
      </c>
      <c r="G56" s="117">
        <v>0</v>
      </c>
      <c r="H56" s="117">
        <v>0</v>
      </c>
      <c r="I56" s="278" t="s">
        <v>488</v>
      </c>
      <c r="J56" s="278" t="s">
        <v>488</v>
      </c>
    </row>
    <row r="57" spans="1:10" x14ac:dyDescent="0.25">
      <c r="A57" s="117">
        <v>540281</v>
      </c>
      <c r="B57" s="2" t="s">
        <v>322</v>
      </c>
      <c r="C57" s="2" t="s">
        <v>27</v>
      </c>
      <c r="D57" s="2" t="s">
        <v>115</v>
      </c>
      <c r="E57" s="117">
        <v>4</v>
      </c>
      <c r="F57" s="117">
        <v>4</v>
      </c>
      <c r="G57" s="117">
        <v>0</v>
      </c>
      <c r="H57" s="117">
        <v>0</v>
      </c>
      <c r="I57" s="278" t="s">
        <v>488</v>
      </c>
      <c r="J57" s="278">
        <v>0</v>
      </c>
    </row>
    <row r="58" spans="1:10" x14ac:dyDescent="0.25">
      <c r="A58" s="269"/>
      <c r="B58" s="269"/>
      <c r="C58" s="269" t="s">
        <v>27</v>
      </c>
      <c r="D58" s="269"/>
      <c r="E58" s="269"/>
      <c r="F58" s="270">
        <v>211</v>
      </c>
      <c r="G58" s="270">
        <v>154</v>
      </c>
      <c r="H58" s="270">
        <v>145</v>
      </c>
      <c r="I58" s="279">
        <v>0.94159999999999999</v>
      </c>
      <c r="J58" s="279">
        <v>0.68720000000000003</v>
      </c>
    </row>
    <row r="59" spans="1:10" x14ac:dyDescent="0.25">
      <c r="A59" s="117">
        <v>540047</v>
      </c>
      <c r="B59" s="2" t="s">
        <v>28</v>
      </c>
      <c r="C59" s="2" t="s">
        <v>29</v>
      </c>
      <c r="D59" s="2" t="s">
        <v>5</v>
      </c>
      <c r="E59" s="117">
        <v>11</v>
      </c>
      <c r="F59" s="117">
        <v>14</v>
      </c>
      <c r="G59" s="117">
        <v>12</v>
      </c>
      <c r="H59" s="117">
        <v>7</v>
      </c>
      <c r="I59" s="278">
        <v>0.58330000000000004</v>
      </c>
      <c r="J59" s="278">
        <v>0.5</v>
      </c>
    </row>
    <row r="60" spans="1:10" x14ac:dyDescent="0.25">
      <c r="A60" s="117">
        <v>540014</v>
      </c>
      <c r="B60" s="2" t="s">
        <v>124</v>
      </c>
      <c r="C60" s="2" t="s">
        <v>29</v>
      </c>
      <c r="D60" s="2" t="s">
        <v>115</v>
      </c>
      <c r="E60" s="117">
        <v>11</v>
      </c>
      <c r="F60" s="117">
        <v>13</v>
      </c>
      <c r="G60" s="117">
        <v>5</v>
      </c>
      <c r="H60" s="117">
        <v>0</v>
      </c>
      <c r="I60" s="278">
        <v>0</v>
      </c>
      <c r="J60" s="278">
        <v>0</v>
      </c>
    </row>
    <row r="61" spans="1:10" x14ac:dyDescent="0.25">
      <c r="A61" s="117">
        <v>540048</v>
      </c>
      <c r="B61" s="2" t="s">
        <v>148</v>
      </c>
      <c r="C61" s="2" t="s">
        <v>29</v>
      </c>
      <c r="D61" s="2" t="s">
        <v>115</v>
      </c>
      <c r="E61" s="117">
        <v>11</v>
      </c>
      <c r="F61" s="117">
        <v>3</v>
      </c>
      <c r="G61" s="117">
        <v>1</v>
      </c>
      <c r="H61" s="117">
        <v>0</v>
      </c>
      <c r="I61" s="278">
        <v>0</v>
      </c>
      <c r="J61" s="278">
        <v>0</v>
      </c>
    </row>
    <row r="62" spans="1:10" x14ac:dyDescent="0.25">
      <c r="A62" s="117">
        <v>540049</v>
      </c>
      <c r="B62" s="2" t="s">
        <v>149</v>
      </c>
      <c r="C62" s="2" t="s">
        <v>29</v>
      </c>
      <c r="D62" s="2" t="s">
        <v>115</v>
      </c>
      <c r="E62" s="117">
        <v>11</v>
      </c>
      <c r="F62" s="117">
        <v>3</v>
      </c>
      <c r="G62" s="117">
        <v>2</v>
      </c>
      <c r="H62" s="117">
        <v>0</v>
      </c>
      <c r="I62" s="278">
        <v>0</v>
      </c>
      <c r="J62" s="278">
        <v>0</v>
      </c>
    </row>
    <row r="63" spans="1:10" x14ac:dyDescent="0.25">
      <c r="A63" s="269"/>
      <c r="B63" s="269"/>
      <c r="C63" s="269" t="s">
        <v>29</v>
      </c>
      <c r="D63" s="269"/>
      <c r="E63" s="269"/>
      <c r="F63" s="270">
        <v>33</v>
      </c>
      <c r="G63" s="270">
        <v>20</v>
      </c>
      <c r="H63" s="270">
        <v>7</v>
      </c>
      <c r="I63" s="279">
        <v>0.35</v>
      </c>
      <c r="J63" s="279">
        <v>0.21210000000000001</v>
      </c>
    </row>
    <row r="64" spans="1:10" x14ac:dyDescent="0.25">
      <c r="A64" s="117">
        <v>540051</v>
      </c>
      <c r="B64" s="2" t="s">
        <v>30</v>
      </c>
      <c r="C64" s="2" t="s">
        <v>31</v>
      </c>
      <c r="D64" s="2" t="s">
        <v>5</v>
      </c>
      <c r="E64" s="117">
        <v>8</v>
      </c>
      <c r="F64" s="117">
        <v>114</v>
      </c>
      <c r="G64" s="117">
        <v>85</v>
      </c>
      <c r="H64" s="117">
        <v>70</v>
      </c>
      <c r="I64" s="278">
        <v>0.82350000000000001</v>
      </c>
      <c r="J64" s="278">
        <v>0.61399999999999999</v>
      </c>
    </row>
    <row r="65" spans="1:10" x14ac:dyDescent="0.25">
      <c r="A65" s="117">
        <v>540052</v>
      </c>
      <c r="B65" s="2" t="s">
        <v>151</v>
      </c>
      <c r="C65" s="2" t="s">
        <v>31</v>
      </c>
      <c r="D65" s="2" t="s">
        <v>115</v>
      </c>
      <c r="E65" s="117">
        <v>8</v>
      </c>
      <c r="F65" s="117">
        <v>4</v>
      </c>
      <c r="G65" s="117">
        <v>2</v>
      </c>
      <c r="H65" s="117">
        <v>0</v>
      </c>
      <c r="I65" s="278">
        <v>0</v>
      </c>
      <c r="J65" s="278">
        <v>0</v>
      </c>
    </row>
    <row r="66" spans="1:10" x14ac:dyDescent="0.25">
      <c r="A66" s="117">
        <v>540245</v>
      </c>
      <c r="B66" s="2" t="s">
        <v>292</v>
      </c>
      <c r="C66" s="2" t="s">
        <v>31</v>
      </c>
      <c r="D66" s="2" t="s">
        <v>115</v>
      </c>
      <c r="E66" s="117">
        <v>8</v>
      </c>
      <c r="F66" s="117">
        <v>0</v>
      </c>
      <c r="G66" s="117">
        <v>0</v>
      </c>
      <c r="H66" s="117">
        <v>0</v>
      </c>
      <c r="I66" s="278" t="s">
        <v>488</v>
      </c>
      <c r="J66" s="278" t="s">
        <v>488</v>
      </c>
    </row>
    <row r="67" spans="1:10" x14ac:dyDescent="0.25">
      <c r="A67" s="269"/>
      <c r="B67" s="269"/>
      <c r="C67" s="269" t="s">
        <v>31</v>
      </c>
      <c r="D67" s="269"/>
      <c r="E67" s="269"/>
      <c r="F67" s="270">
        <v>118</v>
      </c>
      <c r="G67" s="270">
        <v>87</v>
      </c>
      <c r="H67" s="270">
        <v>70</v>
      </c>
      <c r="I67" s="279">
        <v>0.80459999999999998</v>
      </c>
      <c r="J67" s="279">
        <v>0.59319999999999995</v>
      </c>
    </row>
    <row r="68" spans="1:10" x14ac:dyDescent="0.25">
      <c r="A68" s="117">
        <v>540053</v>
      </c>
      <c r="B68" s="2" t="s">
        <v>32</v>
      </c>
      <c r="C68" s="2" t="s">
        <v>33</v>
      </c>
      <c r="D68" s="2" t="s">
        <v>5</v>
      </c>
      <c r="E68" s="117">
        <v>6</v>
      </c>
      <c r="F68" s="117">
        <v>194</v>
      </c>
      <c r="G68" s="117">
        <v>163</v>
      </c>
      <c r="H68" s="117">
        <v>83</v>
      </c>
      <c r="I68" s="278">
        <v>0.50919999999999999</v>
      </c>
      <c r="J68" s="278">
        <v>0.42780000000000001</v>
      </c>
    </row>
    <row r="69" spans="1:10" x14ac:dyDescent="0.25">
      <c r="A69" s="117">
        <v>540054</v>
      </c>
      <c r="B69" s="2" t="s">
        <v>152</v>
      </c>
      <c r="C69" s="2" t="s">
        <v>33</v>
      </c>
      <c r="D69" s="2" t="s">
        <v>115</v>
      </c>
      <c r="E69" s="117">
        <v>6</v>
      </c>
      <c r="F69" s="117">
        <v>6</v>
      </c>
      <c r="G69" s="117">
        <v>2</v>
      </c>
      <c r="H69" s="117">
        <v>1</v>
      </c>
      <c r="I69" s="278">
        <v>0.5</v>
      </c>
      <c r="J69" s="278">
        <v>0.16669999999999999</v>
      </c>
    </row>
    <row r="70" spans="1:10" x14ac:dyDescent="0.25">
      <c r="A70" s="117">
        <v>540055</v>
      </c>
      <c r="B70" s="2" t="s">
        <v>153</v>
      </c>
      <c r="C70" s="2" t="s">
        <v>33</v>
      </c>
      <c r="D70" s="2" t="s">
        <v>115</v>
      </c>
      <c r="E70" s="117">
        <v>6</v>
      </c>
      <c r="F70" s="117">
        <v>17</v>
      </c>
      <c r="G70" s="117">
        <v>11</v>
      </c>
      <c r="H70" s="117">
        <v>0</v>
      </c>
      <c r="I70" s="278">
        <v>0</v>
      </c>
      <c r="J70" s="278">
        <v>0</v>
      </c>
    </row>
    <row r="71" spans="1:10" x14ac:dyDescent="0.25">
      <c r="A71" s="117">
        <v>540056</v>
      </c>
      <c r="B71" s="2" t="s">
        <v>154</v>
      </c>
      <c r="C71" s="2" t="s">
        <v>33</v>
      </c>
      <c r="D71" s="2" t="s">
        <v>115</v>
      </c>
      <c r="E71" s="117">
        <v>6</v>
      </c>
      <c r="F71" s="117">
        <v>43</v>
      </c>
      <c r="G71" s="117">
        <v>17</v>
      </c>
      <c r="H71" s="117">
        <v>0</v>
      </c>
      <c r="I71" s="278">
        <v>0</v>
      </c>
      <c r="J71" s="278">
        <v>0</v>
      </c>
    </row>
    <row r="72" spans="1:10" x14ac:dyDescent="0.25">
      <c r="A72" s="117">
        <v>540057</v>
      </c>
      <c r="B72" s="2" t="s">
        <v>155</v>
      </c>
      <c r="C72" s="2" t="s">
        <v>33</v>
      </c>
      <c r="D72" s="2" t="s">
        <v>115</v>
      </c>
      <c r="E72" s="117">
        <v>6</v>
      </c>
      <c r="F72" s="117">
        <v>11</v>
      </c>
      <c r="G72" s="117">
        <v>7</v>
      </c>
      <c r="H72" s="117">
        <v>0</v>
      </c>
      <c r="I72" s="278">
        <v>0</v>
      </c>
      <c r="J72" s="278">
        <v>0</v>
      </c>
    </row>
    <row r="73" spans="1:10" x14ac:dyDescent="0.25">
      <c r="A73" s="117">
        <v>540058</v>
      </c>
      <c r="B73" s="2" t="s">
        <v>156</v>
      </c>
      <c r="C73" s="2" t="s">
        <v>33</v>
      </c>
      <c r="D73" s="2" t="s">
        <v>115</v>
      </c>
      <c r="E73" s="117">
        <v>6</v>
      </c>
      <c r="F73" s="117">
        <v>3</v>
      </c>
      <c r="G73" s="117">
        <v>2</v>
      </c>
      <c r="H73" s="117">
        <v>0</v>
      </c>
      <c r="I73" s="278">
        <v>0</v>
      </c>
      <c r="J73" s="278">
        <v>0</v>
      </c>
    </row>
    <row r="74" spans="1:10" x14ac:dyDescent="0.25">
      <c r="A74" s="117">
        <v>540059</v>
      </c>
      <c r="B74" s="2" t="s">
        <v>157</v>
      </c>
      <c r="C74" s="2" t="s">
        <v>33</v>
      </c>
      <c r="D74" s="2" t="s">
        <v>115</v>
      </c>
      <c r="E74" s="117">
        <v>6</v>
      </c>
      <c r="F74" s="117">
        <v>0</v>
      </c>
      <c r="G74" s="117">
        <v>0</v>
      </c>
      <c r="H74" s="117">
        <v>0</v>
      </c>
      <c r="I74" s="278" t="s">
        <v>488</v>
      </c>
      <c r="J74" s="278" t="s">
        <v>488</v>
      </c>
    </row>
    <row r="75" spans="1:10" x14ac:dyDescent="0.25">
      <c r="A75" s="117">
        <v>540060</v>
      </c>
      <c r="B75" s="2" t="s">
        <v>158</v>
      </c>
      <c r="C75" s="2" t="s">
        <v>33</v>
      </c>
      <c r="D75" s="2" t="s">
        <v>115</v>
      </c>
      <c r="E75" s="117">
        <v>6</v>
      </c>
      <c r="F75" s="117">
        <v>2</v>
      </c>
      <c r="G75" s="117">
        <v>2</v>
      </c>
      <c r="H75" s="117">
        <v>0</v>
      </c>
      <c r="I75" s="278">
        <v>0</v>
      </c>
      <c r="J75" s="278">
        <v>0</v>
      </c>
    </row>
    <row r="76" spans="1:10" x14ac:dyDescent="0.25">
      <c r="A76" s="117">
        <v>540061</v>
      </c>
      <c r="B76" s="2" t="s">
        <v>159</v>
      </c>
      <c r="C76" s="2" t="s">
        <v>33</v>
      </c>
      <c r="D76" s="2" t="s">
        <v>115</v>
      </c>
      <c r="E76" s="117">
        <v>6</v>
      </c>
      <c r="F76" s="117">
        <v>1</v>
      </c>
      <c r="G76" s="117">
        <v>0</v>
      </c>
      <c r="H76" s="117">
        <v>0</v>
      </c>
      <c r="I76" s="278" t="s">
        <v>488</v>
      </c>
      <c r="J76" s="278">
        <v>0</v>
      </c>
    </row>
    <row r="77" spans="1:10" x14ac:dyDescent="0.25">
      <c r="A77" s="117">
        <v>540062</v>
      </c>
      <c r="B77" s="2" t="s">
        <v>160</v>
      </c>
      <c r="C77" s="2" t="s">
        <v>33</v>
      </c>
      <c r="D77" s="2" t="s">
        <v>115</v>
      </c>
      <c r="E77" s="117">
        <v>6</v>
      </c>
      <c r="F77" s="117">
        <v>0</v>
      </c>
      <c r="G77" s="117">
        <v>0</v>
      </c>
      <c r="H77" s="117">
        <v>0</v>
      </c>
      <c r="I77" s="278" t="s">
        <v>488</v>
      </c>
      <c r="J77" s="278" t="s">
        <v>488</v>
      </c>
    </row>
    <row r="78" spans="1:10" x14ac:dyDescent="0.25">
      <c r="A78" s="117">
        <v>540242</v>
      </c>
      <c r="B78" s="2" t="s">
        <v>289</v>
      </c>
      <c r="C78" s="2" t="s">
        <v>33</v>
      </c>
      <c r="D78" s="2" t="s">
        <v>115</v>
      </c>
      <c r="E78" s="117">
        <v>6</v>
      </c>
      <c r="F78" s="117">
        <v>3</v>
      </c>
      <c r="G78" s="117">
        <v>3</v>
      </c>
      <c r="H78" s="117">
        <v>3</v>
      </c>
      <c r="I78" s="278">
        <v>1</v>
      </c>
      <c r="J78" s="278">
        <v>1</v>
      </c>
    </row>
    <row r="79" spans="1:10" x14ac:dyDescent="0.25">
      <c r="A79" s="269"/>
      <c r="B79" s="269"/>
      <c r="C79" s="269" t="s">
        <v>33</v>
      </c>
      <c r="D79" s="269"/>
      <c r="E79" s="269"/>
      <c r="F79" s="270">
        <v>280</v>
      </c>
      <c r="G79" s="270">
        <v>207</v>
      </c>
      <c r="H79" s="270">
        <v>87</v>
      </c>
      <c r="I79" s="279">
        <v>0.42030000000000001</v>
      </c>
      <c r="J79" s="279">
        <v>0.31069999999999998</v>
      </c>
    </row>
    <row r="80" spans="1:10" x14ac:dyDescent="0.25">
      <c r="A80" s="117">
        <v>540063</v>
      </c>
      <c r="B80" s="2" t="s">
        <v>34</v>
      </c>
      <c r="C80" s="2" t="s">
        <v>35</v>
      </c>
      <c r="D80" s="2" t="s">
        <v>5</v>
      </c>
      <c r="E80" s="117">
        <v>5</v>
      </c>
      <c r="F80" s="117">
        <v>178</v>
      </c>
      <c r="G80" s="117">
        <v>135</v>
      </c>
      <c r="H80" s="117">
        <v>0</v>
      </c>
      <c r="I80" s="278">
        <v>0</v>
      </c>
      <c r="J80" s="278">
        <v>0</v>
      </c>
    </row>
    <row r="81" spans="1:10" x14ac:dyDescent="0.25">
      <c r="A81" s="117">
        <v>540064</v>
      </c>
      <c r="B81" s="2" t="s">
        <v>161</v>
      </c>
      <c r="C81" s="2" t="s">
        <v>35</v>
      </c>
      <c r="D81" s="2" t="s">
        <v>115</v>
      </c>
      <c r="E81" s="117">
        <v>5</v>
      </c>
      <c r="F81" s="117">
        <v>9</v>
      </c>
      <c r="G81" s="117">
        <v>8</v>
      </c>
      <c r="H81" s="117">
        <v>0</v>
      </c>
      <c r="I81" s="278">
        <v>0</v>
      </c>
      <c r="J81" s="278">
        <v>0</v>
      </c>
    </row>
    <row r="82" spans="1:10" x14ac:dyDescent="0.25">
      <c r="A82" s="117">
        <v>540241</v>
      </c>
      <c r="B82" s="2" t="s">
        <v>288</v>
      </c>
      <c r="C82" s="2" t="s">
        <v>35</v>
      </c>
      <c r="D82" s="2" t="s">
        <v>115</v>
      </c>
      <c r="E82" s="117">
        <v>5</v>
      </c>
      <c r="F82" s="117">
        <v>2</v>
      </c>
      <c r="G82" s="117">
        <v>1</v>
      </c>
      <c r="H82" s="117">
        <v>0</v>
      </c>
      <c r="I82" s="278">
        <v>0</v>
      </c>
      <c r="J82" s="278">
        <v>0</v>
      </c>
    </row>
    <row r="83" spans="1:10" x14ac:dyDescent="0.25">
      <c r="A83" s="269"/>
      <c r="B83" s="269"/>
      <c r="C83" s="269" t="s">
        <v>35</v>
      </c>
      <c r="D83" s="269"/>
      <c r="E83" s="269"/>
      <c r="F83" s="270">
        <v>189</v>
      </c>
      <c r="G83" s="270">
        <v>144</v>
      </c>
      <c r="H83" s="270">
        <v>0</v>
      </c>
      <c r="I83" s="279">
        <v>0</v>
      </c>
      <c r="J83" s="279">
        <v>0</v>
      </c>
    </row>
    <row r="84" spans="1:10" x14ac:dyDescent="0.25">
      <c r="A84" s="117">
        <v>540065</v>
      </c>
      <c r="B84" s="2" t="s">
        <v>36</v>
      </c>
      <c r="C84" s="2" t="s">
        <v>37</v>
      </c>
      <c r="D84" s="2" t="s">
        <v>5</v>
      </c>
      <c r="E84" s="117">
        <v>9</v>
      </c>
      <c r="F84" s="117">
        <v>28</v>
      </c>
      <c r="G84" s="117">
        <v>20</v>
      </c>
      <c r="H84" s="117">
        <v>18</v>
      </c>
      <c r="I84" s="278">
        <v>0.9</v>
      </c>
      <c r="J84" s="278">
        <v>0.64290000000000003</v>
      </c>
    </row>
    <row r="85" spans="1:10" x14ac:dyDescent="0.25">
      <c r="A85" s="117">
        <v>540030</v>
      </c>
      <c r="B85" s="2" t="s">
        <v>135</v>
      </c>
      <c r="C85" s="2" t="s">
        <v>37</v>
      </c>
      <c r="D85" s="2" t="s">
        <v>115</v>
      </c>
      <c r="E85" s="117">
        <v>9</v>
      </c>
      <c r="F85" s="117">
        <v>0</v>
      </c>
      <c r="G85" s="117">
        <v>0</v>
      </c>
      <c r="H85" s="117">
        <v>0</v>
      </c>
      <c r="I85" s="278" t="s">
        <v>488</v>
      </c>
      <c r="J85" s="278" t="s">
        <v>488</v>
      </c>
    </row>
    <row r="86" spans="1:10" x14ac:dyDescent="0.25">
      <c r="A86" s="117">
        <v>540066</v>
      </c>
      <c r="B86" s="2" t="s">
        <v>162</v>
      </c>
      <c r="C86" s="2" t="s">
        <v>37</v>
      </c>
      <c r="D86" s="2" t="s">
        <v>115</v>
      </c>
      <c r="E86" s="117">
        <v>9</v>
      </c>
      <c r="F86" s="117">
        <v>2</v>
      </c>
      <c r="G86" s="117">
        <v>0</v>
      </c>
      <c r="H86" s="117">
        <v>0</v>
      </c>
      <c r="I86" s="278" t="s">
        <v>488</v>
      </c>
      <c r="J86" s="278">
        <v>0</v>
      </c>
    </row>
    <row r="87" spans="1:10" x14ac:dyDescent="0.25">
      <c r="A87" s="117">
        <v>540067</v>
      </c>
      <c r="B87" s="2" t="s">
        <v>163</v>
      </c>
      <c r="C87" s="2" t="s">
        <v>37</v>
      </c>
      <c r="D87" s="2" t="s">
        <v>115</v>
      </c>
      <c r="E87" s="117">
        <v>9</v>
      </c>
      <c r="F87" s="117">
        <v>1</v>
      </c>
      <c r="G87" s="117">
        <v>0</v>
      </c>
      <c r="H87" s="117">
        <v>1</v>
      </c>
      <c r="I87" s="278" t="s">
        <v>488</v>
      </c>
      <c r="J87" s="278">
        <v>1</v>
      </c>
    </row>
    <row r="88" spans="1:10" x14ac:dyDescent="0.25">
      <c r="A88" s="117">
        <v>540068</v>
      </c>
      <c r="B88" s="2" t="s">
        <v>164</v>
      </c>
      <c r="C88" s="2" t="s">
        <v>37</v>
      </c>
      <c r="D88" s="2" t="s">
        <v>115</v>
      </c>
      <c r="E88" s="117">
        <v>9</v>
      </c>
      <c r="F88" s="117">
        <v>10</v>
      </c>
      <c r="G88" s="117">
        <v>0</v>
      </c>
      <c r="H88" s="117">
        <v>0</v>
      </c>
      <c r="I88" s="278" t="s">
        <v>488</v>
      </c>
      <c r="J88" s="278">
        <v>0</v>
      </c>
    </row>
    <row r="89" spans="1:10" x14ac:dyDescent="0.25">
      <c r="A89" s="117">
        <v>540069</v>
      </c>
      <c r="B89" s="2" t="s">
        <v>165</v>
      </c>
      <c r="C89" s="2" t="s">
        <v>37</v>
      </c>
      <c r="D89" s="2" t="s">
        <v>115</v>
      </c>
      <c r="E89" s="117">
        <v>9</v>
      </c>
      <c r="F89" s="117">
        <v>0</v>
      </c>
      <c r="G89" s="117">
        <v>0</v>
      </c>
      <c r="H89" s="117">
        <v>0</v>
      </c>
      <c r="I89" s="278" t="s">
        <v>488</v>
      </c>
      <c r="J89" s="278" t="s">
        <v>488</v>
      </c>
    </row>
    <row r="90" spans="1:10" x14ac:dyDescent="0.25">
      <c r="A90" s="269"/>
      <c r="B90" s="269"/>
      <c r="C90" s="269" t="s">
        <v>37</v>
      </c>
      <c r="D90" s="269"/>
      <c r="E90" s="269"/>
      <c r="F90" s="270">
        <v>41</v>
      </c>
      <c r="G90" s="270">
        <v>20</v>
      </c>
      <c r="H90" s="270">
        <v>19</v>
      </c>
      <c r="I90" s="279">
        <v>0.95</v>
      </c>
      <c r="J90" s="279">
        <v>0.46339999999999998</v>
      </c>
    </row>
    <row r="91" spans="1:10" x14ac:dyDescent="0.25">
      <c r="A91" s="117">
        <v>540070</v>
      </c>
      <c r="B91" s="2" t="s">
        <v>38</v>
      </c>
      <c r="C91" s="2" t="s">
        <v>39</v>
      </c>
      <c r="D91" s="2" t="s">
        <v>5</v>
      </c>
      <c r="E91" s="117">
        <v>3</v>
      </c>
      <c r="F91" s="117">
        <v>425</v>
      </c>
      <c r="G91" s="117">
        <v>331</v>
      </c>
      <c r="H91" s="117">
        <v>105</v>
      </c>
      <c r="I91" s="278">
        <v>0.31719999999999998</v>
      </c>
      <c r="J91" s="278">
        <v>0.24709999999999999</v>
      </c>
    </row>
    <row r="92" spans="1:10" x14ac:dyDescent="0.25">
      <c r="A92" s="117">
        <v>540029</v>
      </c>
      <c r="B92" s="2" t="s">
        <v>134</v>
      </c>
      <c r="C92" s="2" t="s">
        <v>39</v>
      </c>
      <c r="D92" s="2" t="s">
        <v>115</v>
      </c>
      <c r="E92" s="117">
        <v>3</v>
      </c>
      <c r="F92" s="117">
        <v>5</v>
      </c>
      <c r="G92" s="117">
        <v>3</v>
      </c>
      <c r="H92" s="117">
        <v>0</v>
      </c>
      <c r="I92" s="278">
        <v>0</v>
      </c>
      <c r="J92" s="278">
        <v>0</v>
      </c>
    </row>
    <row r="93" spans="1:10" x14ac:dyDescent="0.25">
      <c r="A93" s="117">
        <v>540071</v>
      </c>
      <c r="B93" s="2" t="s">
        <v>166</v>
      </c>
      <c r="C93" s="2" t="s">
        <v>39</v>
      </c>
      <c r="D93" s="2" t="s">
        <v>115</v>
      </c>
      <c r="E93" s="117">
        <v>3</v>
      </c>
      <c r="F93" s="117">
        <v>4</v>
      </c>
      <c r="G93" s="117">
        <v>0</v>
      </c>
      <c r="H93" s="117">
        <v>0</v>
      </c>
      <c r="I93" s="278" t="s">
        <v>488</v>
      </c>
      <c r="J93" s="278">
        <v>0</v>
      </c>
    </row>
    <row r="94" spans="1:10" x14ac:dyDescent="0.25">
      <c r="A94" s="117">
        <v>540072</v>
      </c>
      <c r="B94" s="2" t="s">
        <v>167</v>
      </c>
      <c r="C94" s="2" t="s">
        <v>39</v>
      </c>
      <c r="D94" s="2" t="s">
        <v>115</v>
      </c>
      <c r="E94" s="117">
        <v>3</v>
      </c>
      <c r="F94" s="117">
        <v>4</v>
      </c>
      <c r="G94" s="117">
        <v>2</v>
      </c>
      <c r="H94" s="117">
        <v>0</v>
      </c>
      <c r="I94" s="278">
        <v>0</v>
      </c>
      <c r="J94" s="278">
        <v>0</v>
      </c>
    </row>
    <row r="95" spans="1:10" x14ac:dyDescent="0.25">
      <c r="A95" s="117">
        <v>540073</v>
      </c>
      <c r="B95" s="2" t="s">
        <v>168</v>
      </c>
      <c r="C95" s="2" t="s">
        <v>39</v>
      </c>
      <c r="D95" s="2" t="s">
        <v>115</v>
      </c>
      <c r="E95" s="117">
        <v>3</v>
      </c>
      <c r="F95" s="117">
        <v>88</v>
      </c>
      <c r="G95" s="117">
        <v>30</v>
      </c>
      <c r="H95" s="117">
        <v>1</v>
      </c>
      <c r="I95" s="278">
        <v>3.3300000000000003E-2</v>
      </c>
      <c r="J95" s="278">
        <v>1.14E-2</v>
      </c>
    </row>
    <row r="96" spans="1:10" x14ac:dyDescent="0.25">
      <c r="A96" s="117">
        <v>540074</v>
      </c>
      <c r="B96" s="2" t="s">
        <v>169</v>
      </c>
      <c r="C96" s="2" t="s">
        <v>39</v>
      </c>
      <c r="D96" s="2" t="s">
        <v>115</v>
      </c>
      <c r="E96" s="117">
        <v>3</v>
      </c>
      <c r="F96" s="117">
        <v>0</v>
      </c>
      <c r="G96" s="117">
        <v>0</v>
      </c>
      <c r="H96" s="117">
        <v>0</v>
      </c>
      <c r="I96" s="278" t="s">
        <v>488</v>
      </c>
      <c r="J96" s="278" t="s">
        <v>488</v>
      </c>
    </row>
    <row r="97" spans="1:10" x14ac:dyDescent="0.25">
      <c r="A97" s="117">
        <v>540075</v>
      </c>
      <c r="B97" s="2" t="s">
        <v>170</v>
      </c>
      <c r="C97" s="2" t="s">
        <v>39</v>
      </c>
      <c r="D97" s="2" t="s">
        <v>115</v>
      </c>
      <c r="E97" s="117">
        <v>3</v>
      </c>
      <c r="F97" s="117">
        <v>2</v>
      </c>
      <c r="G97" s="117">
        <v>2</v>
      </c>
      <c r="H97" s="117">
        <v>2</v>
      </c>
      <c r="I97" s="278">
        <v>1</v>
      </c>
      <c r="J97" s="278">
        <v>1</v>
      </c>
    </row>
    <row r="98" spans="1:10" x14ac:dyDescent="0.25">
      <c r="A98" s="117">
        <v>540076</v>
      </c>
      <c r="B98" s="2" t="s">
        <v>171</v>
      </c>
      <c r="C98" s="2" t="s">
        <v>39</v>
      </c>
      <c r="D98" s="2" t="s">
        <v>115</v>
      </c>
      <c r="E98" s="117">
        <v>3</v>
      </c>
      <c r="F98" s="117">
        <v>3</v>
      </c>
      <c r="G98" s="117">
        <v>1</v>
      </c>
      <c r="H98" s="117">
        <v>0</v>
      </c>
      <c r="I98" s="278">
        <v>0</v>
      </c>
      <c r="J98" s="278">
        <v>0</v>
      </c>
    </row>
    <row r="99" spans="1:10" x14ac:dyDescent="0.25">
      <c r="A99" s="117">
        <v>540077</v>
      </c>
      <c r="B99" s="2" t="s">
        <v>172</v>
      </c>
      <c r="C99" s="2" t="s">
        <v>39</v>
      </c>
      <c r="D99" s="2" t="s">
        <v>115</v>
      </c>
      <c r="E99" s="117">
        <v>3</v>
      </c>
      <c r="F99" s="117">
        <v>0</v>
      </c>
      <c r="G99" s="117">
        <v>0</v>
      </c>
      <c r="H99" s="117">
        <v>0</v>
      </c>
      <c r="I99" s="278" t="s">
        <v>488</v>
      </c>
      <c r="J99" s="278" t="s">
        <v>488</v>
      </c>
    </row>
    <row r="100" spans="1:10" x14ac:dyDescent="0.25">
      <c r="A100" s="117">
        <v>540078</v>
      </c>
      <c r="B100" s="2" t="s">
        <v>173</v>
      </c>
      <c r="C100" s="2" t="s">
        <v>39</v>
      </c>
      <c r="D100" s="2" t="s">
        <v>115</v>
      </c>
      <c r="E100" s="117">
        <v>3</v>
      </c>
      <c r="F100" s="117">
        <v>0</v>
      </c>
      <c r="G100" s="117">
        <v>0</v>
      </c>
      <c r="H100" s="117">
        <v>0</v>
      </c>
      <c r="I100" s="278" t="s">
        <v>488</v>
      </c>
      <c r="J100" s="278" t="s">
        <v>488</v>
      </c>
    </row>
    <row r="101" spans="1:10" x14ac:dyDescent="0.25">
      <c r="A101" s="117">
        <v>540079</v>
      </c>
      <c r="B101" s="2" t="s">
        <v>174</v>
      </c>
      <c r="C101" s="2" t="s">
        <v>39</v>
      </c>
      <c r="D101" s="2" t="s">
        <v>115</v>
      </c>
      <c r="E101" s="117">
        <v>3</v>
      </c>
      <c r="F101" s="117">
        <v>10</v>
      </c>
      <c r="G101" s="117">
        <v>5</v>
      </c>
      <c r="H101" s="117">
        <v>0</v>
      </c>
      <c r="I101" s="278">
        <v>0</v>
      </c>
      <c r="J101" s="278">
        <v>0</v>
      </c>
    </row>
    <row r="102" spans="1:10" x14ac:dyDescent="0.25">
      <c r="A102" s="117">
        <v>540081</v>
      </c>
      <c r="B102" s="2" t="s">
        <v>176</v>
      </c>
      <c r="C102" s="2" t="s">
        <v>39</v>
      </c>
      <c r="D102" s="2" t="s">
        <v>115</v>
      </c>
      <c r="E102" s="117">
        <v>3</v>
      </c>
      <c r="F102" s="117">
        <v>6</v>
      </c>
      <c r="G102" s="117">
        <v>2</v>
      </c>
      <c r="H102" s="117">
        <v>0</v>
      </c>
      <c r="I102" s="278">
        <v>0</v>
      </c>
      <c r="J102" s="278">
        <v>0</v>
      </c>
    </row>
    <row r="103" spans="1:10" x14ac:dyDescent="0.25">
      <c r="A103" s="117">
        <v>540082</v>
      </c>
      <c r="B103" s="2" t="s">
        <v>177</v>
      </c>
      <c r="C103" s="2" t="s">
        <v>39</v>
      </c>
      <c r="D103" s="2" t="s">
        <v>115</v>
      </c>
      <c r="E103" s="117">
        <v>3</v>
      </c>
      <c r="F103" s="117">
        <v>2</v>
      </c>
      <c r="G103" s="117">
        <v>2</v>
      </c>
      <c r="H103" s="117">
        <v>0</v>
      </c>
      <c r="I103" s="278">
        <v>0</v>
      </c>
      <c r="J103" s="278">
        <v>0</v>
      </c>
    </row>
    <row r="104" spans="1:10" x14ac:dyDescent="0.25">
      <c r="A104" s="117">
        <v>540083</v>
      </c>
      <c r="B104" s="2" t="s">
        <v>178</v>
      </c>
      <c r="C104" s="2" t="s">
        <v>39</v>
      </c>
      <c r="D104" s="2" t="s">
        <v>115</v>
      </c>
      <c r="E104" s="117">
        <v>3</v>
      </c>
      <c r="F104" s="117">
        <v>5</v>
      </c>
      <c r="G104" s="117">
        <v>1</v>
      </c>
      <c r="H104" s="117">
        <v>0</v>
      </c>
      <c r="I104" s="278">
        <v>0</v>
      </c>
      <c r="J104" s="278">
        <v>0</v>
      </c>
    </row>
    <row r="105" spans="1:10" x14ac:dyDescent="0.25">
      <c r="A105" s="117">
        <v>540223</v>
      </c>
      <c r="B105" s="2" t="s">
        <v>277</v>
      </c>
      <c r="C105" s="2" t="s">
        <v>39</v>
      </c>
      <c r="D105" s="2" t="s">
        <v>115</v>
      </c>
      <c r="E105" s="117">
        <v>3</v>
      </c>
      <c r="F105" s="117">
        <v>26</v>
      </c>
      <c r="G105" s="117">
        <v>15</v>
      </c>
      <c r="H105" s="117">
        <v>3</v>
      </c>
      <c r="I105" s="278">
        <v>0.2</v>
      </c>
      <c r="J105" s="278">
        <v>0.1154</v>
      </c>
    </row>
    <row r="106" spans="1:10" x14ac:dyDescent="0.25">
      <c r="A106" s="117">
        <v>540279</v>
      </c>
      <c r="B106" s="2" t="s">
        <v>320</v>
      </c>
      <c r="C106" s="2" t="s">
        <v>39</v>
      </c>
      <c r="D106" s="2" t="s">
        <v>115</v>
      </c>
      <c r="E106" s="117">
        <v>3</v>
      </c>
      <c r="F106" s="117">
        <v>1</v>
      </c>
      <c r="G106" s="117">
        <v>0</v>
      </c>
      <c r="H106" s="117">
        <v>0</v>
      </c>
      <c r="I106" s="278" t="s">
        <v>488</v>
      </c>
      <c r="J106" s="278">
        <v>0</v>
      </c>
    </row>
    <row r="107" spans="1:10" x14ac:dyDescent="0.25">
      <c r="A107" s="117">
        <v>540033</v>
      </c>
      <c r="B107" s="2" t="s">
        <v>138</v>
      </c>
      <c r="C107" s="2" t="s">
        <v>39</v>
      </c>
      <c r="D107" s="2" t="s">
        <v>115</v>
      </c>
      <c r="E107" s="117">
        <v>3</v>
      </c>
      <c r="F107" s="117">
        <v>0</v>
      </c>
      <c r="G107" s="117">
        <v>0</v>
      </c>
      <c r="H107" s="117">
        <v>0</v>
      </c>
      <c r="I107" s="278" t="s">
        <v>488</v>
      </c>
      <c r="J107" s="278" t="s">
        <v>488</v>
      </c>
    </row>
    <row r="108" spans="1:10" x14ac:dyDescent="0.25">
      <c r="A108" s="269"/>
      <c r="B108" s="269"/>
      <c r="C108" s="269" t="s">
        <v>39</v>
      </c>
      <c r="D108" s="269"/>
      <c r="E108" s="269"/>
      <c r="F108" s="270">
        <v>581</v>
      </c>
      <c r="G108" s="270">
        <v>394</v>
      </c>
      <c r="H108" s="270">
        <v>111</v>
      </c>
      <c r="I108" s="279">
        <v>0.28170000000000001</v>
      </c>
      <c r="J108" s="279">
        <v>0.191</v>
      </c>
    </row>
    <row r="109" spans="1:10" x14ac:dyDescent="0.25">
      <c r="A109" s="117">
        <v>540085</v>
      </c>
      <c r="B109" s="2" t="s">
        <v>40</v>
      </c>
      <c r="C109" s="2" t="s">
        <v>41</v>
      </c>
      <c r="D109" s="2" t="s">
        <v>5</v>
      </c>
      <c r="E109" s="117">
        <v>7</v>
      </c>
      <c r="F109" s="117">
        <v>130</v>
      </c>
      <c r="G109" s="117">
        <v>104</v>
      </c>
      <c r="H109" s="117">
        <v>1</v>
      </c>
      <c r="I109" s="278">
        <v>9.5999999999999992E-3</v>
      </c>
      <c r="J109" s="278">
        <v>7.7000000000000002E-3</v>
      </c>
    </row>
    <row r="110" spans="1:10" x14ac:dyDescent="0.25">
      <c r="A110" s="117">
        <v>540086</v>
      </c>
      <c r="B110" s="2" t="s">
        <v>179</v>
      </c>
      <c r="C110" s="2" t="s">
        <v>41</v>
      </c>
      <c r="D110" s="2" t="s">
        <v>115</v>
      </c>
      <c r="E110" s="117">
        <v>7</v>
      </c>
      <c r="F110" s="117">
        <v>3</v>
      </c>
      <c r="G110" s="117">
        <v>3</v>
      </c>
      <c r="H110" s="117">
        <v>0</v>
      </c>
      <c r="I110" s="278">
        <v>0</v>
      </c>
      <c r="J110" s="278">
        <v>0</v>
      </c>
    </row>
    <row r="111" spans="1:10" x14ac:dyDescent="0.25">
      <c r="A111" s="117">
        <v>540087</v>
      </c>
      <c r="B111" s="2" t="s">
        <v>180</v>
      </c>
      <c r="C111" s="2" t="s">
        <v>41</v>
      </c>
      <c r="D111" s="2" t="s">
        <v>115</v>
      </c>
      <c r="E111" s="117">
        <v>7</v>
      </c>
      <c r="F111" s="117">
        <v>21</v>
      </c>
      <c r="G111" s="117">
        <v>15</v>
      </c>
      <c r="H111" s="117">
        <v>0</v>
      </c>
      <c r="I111" s="278">
        <v>0</v>
      </c>
      <c r="J111" s="278">
        <v>0</v>
      </c>
    </row>
    <row r="112" spans="1:10" x14ac:dyDescent="0.25">
      <c r="A112" s="269"/>
      <c r="B112" s="269"/>
      <c r="C112" s="269" t="s">
        <v>41</v>
      </c>
      <c r="D112" s="269"/>
      <c r="E112" s="269"/>
      <c r="F112" s="270">
        <v>154</v>
      </c>
      <c r="G112" s="270">
        <v>122</v>
      </c>
      <c r="H112" s="270">
        <v>1</v>
      </c>
      <c r="I112" s="279">
        <v>8.2000000000000007E-3</v>
      </c>
      <c r="J112" s="279">
        <v>6.4999999999999997E-3</v>
      </c>
    </row>
    <row r="113" spans="1:10" x14ac:dyDescent="0.25">
      <c r="A113" s="117">
        <v>540088</v>
      </c>
      <c r="B113" s="2" t="s">
        <v>42</v>
      </c>
      <c r="C113" s="2" t="s">
        <v>43</v>
      </c>
      <c r="D113" s="2" t="s">
        <v>5</v>
      </c>
      <c r="E113" s="117">
        <v>2</v>
      </c>
      <c r="F113" s="117">
        <v>111</v>
      </c>
      <c r="G113" s="117">
        <v>110</v>
      </c>
      <c r="H113" s="117">
        <v>0</v>
      </c>
      <c r="I113" s="278">
        <v>0</v>
      </c>
      <c r="J113" s="278">
        <v>0</v>
      </c>
    </row>
    <row r="114" spans="1:10" x14ac:dyDescent="0.25">
      <c r="A114" s="117">
        <v>540089</v>
      </c>
      <c r="B114" s="2" t="s">
        <v>181</v>
      </c>
      <c r="C114" s="2" t="s">
        <v>43</v>
      </c>
      <c r="D114" s="2" t="s">
        <v>115</v>
      </c>
      <c r="E114" s="117">
        <v>2</v>
      </c>
      <c r="F114" s="117">
        <v>1</v>
      </c>
      <c r="G114" s="117">
        <v>0</v>
      </c>
      <c r="H114" s="117">
        <v>0</v>
      </c>
      <c r="I114" s="278" t="s">
        <v>488</v>
      </c>
      <c r="J114" s="278">
        <v>0</v>
      </c>
    </row>
    <row r="115" spans="1:10" x14ac:dyDescent="0.25">
      <c r="A115" s="117">
        <v>540090</v>
      </c>
      <c r="B115" s="2" t="s">
        <v>182</v>
      </c>
      <c r="C115" s="2" t="s">
        <v>43</v>
      </c>
      <c r="D115" s="2" t="s">
        <v>115</v>
      </c>
      <c r="E115" s="117">
        <v>2</v>
      </c>
      <c r="F115" s="117">
        <v>1</v>
      </c>
      <c r="G115" s="117">
        <v>0</v>
      </c>
      <c r="H115" s="117">
        <v>0</v>
      </c>
      <c r="I115" s="278" t="s">
        <v>488</v>
      </c>
      <c r="J115" s="278">
        <v>0</v>
      </c>
    </row>
    <row r="116" spans="1:10" x14ac:dyDescent="0.25">
      <c r="A116" s="269"/>
      <c r="B116" s="269"/>
      <c r="C116" s="269" t="s">
        <v>43</v>
      </c>
      <c r="D116" s="269"/>
      <c r="E116" s="269"/>
      <c r="F116" s="270">
        <v>113</v>
      </c>
      <c r="G116" s="270">
        <v>110</v>
      </c>
      <c r="H116" s="270">
        <v>0</v>
      </c>
      <c r="I116" s="279">
        <v>0</v>
      </c>
      <c r="J116" s="279">
        <v>0</v>
      </c>
    </row>
    <row r="117" spans="1:10" x14ac:dyDescent="0.25">
      <c r="A117" s="117">
        <v>540097</v>
      </c>
      <c r="B117" s="2" t="s">
        <v>44</v>
      </c>
      <c r="C117" s="2" t="s">
        <v>45</v>
      </c>
      <c r="D117" s="2" t="s">
        <v>5</v>
      </c>
      <c r="E117" s="117">
        <v>6</v>
      </c>
      <c r="F117" s="117">
        <v>150</v>
      </c>
      <c r="G117" s="117">
        <v>123</v>
      </c>
      <c r="H117" s="117">
        <v>110</v>
      </c>
      <c r="I117" s="278">
        <v>0.89429999999999998</v>
      </c>
      <c r="J117" s="278">
        <v>0.73329999999999995</v>
      </c>
    </row>
    <row r="118" spans="1:10" x14ac:dyDescent="0.25">
      <c r="A118" s="117">
        <v>540098</v>
      </c>
      <c r="B118" s="2" t="s">
        <v>187</v>
      </c>
      <c r="C118" s="2" t="s">
        <v>45</v>
      </c>
      <c r="D118" s="2" t="s">
        <v>115</v>
      </c>
      <c r="E118" s="117">
        <v>6</v>
      </c>
      <c r="F118" s="117">
        <v>4</v>
      </c>
      <c r="G118" s="117">
        <v>4</v>
      </c>
      <c r="H118" s="117">
        <v>4</v>
      </c>
      <c r="I118" s="278">
        <v>1</v>
      </c>
      <c r="J118" s="278">
        <v>1</v>
      </c>
    </row>
    <row r="119" spans="1:10" x14ac:dyDescent="0.25">
      <c r="A119" s="117">
        <v>540099</v>
      </c>
      <c r="B119" s="2" t="s">
        <v>188</v>
      </c>
      <c r="C119" s="2" t="s">
        <v>45</v>
      </c>
      <c r="D119" s="2" t="s">
        <v>115</v>
      </c>
      <c r="E119" s="117">
        <v>6</v>
      </c>
      <c r="F119" s="117">
        <v>10</v>
      </c>
      <c r="G119" s="117">
        <v>8</v>
      </c>
      <c r="H119" s="117">
        <v>5</v>
      </c>
      <c r="I119" s="278">
        <v>0.625</v>
      </c>
      <c r="J119" s="278">
        <v>0.5</v>
      </c>
    </row>
    <row r="120" spans="1:10" x14ac:dyDescent="0.25">
      <c r="A120" s="117">
        <v>540100</v>
      </c>
      <c r="B120" s="2" t="s">
        <v>189</v>
      </c>
      <c r="C120" s="2" t="s">
        <v>45</v>
      </c>
      <c r="D120" s="2" t="s">
        <v>115</v>
      </c>
      <c r="E120" s="117">
        <v>6</v>
      </c>
      <c r="F120" s="117">
        <v>3</v>
      </c>
      <c r="G120" s="117">
        <v>3</v>
      </c>
      <c r="H120" s="117">
        <v>3</v>
      </c>
      <c r="I120" s="278">
        <v>1</v>
      </c>
      <c r="J120" s="278">
        <v>1</v>
      </c>
    </row>
    <row r="121" spans="1:10" x14ac:dyDescent="0.25">
      <c r="A121" s="117">
        <v>540101</v>
      </c>
      <c r="B121" s="2" t="s">
        <v>190</v>
      </c>
      <c r="C121" s="2" t="s">
        <v>45</v>
      </c>
      <c r="D121" s="2" t="s">
        <v>115</v>
      </c>
      <c r="E121" s="117">
        <v>6</v>
      </c>
      <c r="F121" s="117">
        <v>2</v>
      </c>
      <c r="G121" s="117">
        <v>1</v>
      </c>
      <c r="H121" s="117">
        <v>1</v>
      </c>
      <c r="I121" s="278">
        <v>1</v>
      </c>
      <c r="J121" s="278">
        <v>0.5</v>
      </c>
    </row>
    <row r="122" spans="1:10" x14ac:dyDescent="0.25">
      <c r="A122" s="117">
        <v>540102</v>
      </c>
      <c r="B122" s="2" t="s">
        <v>191</v>
      </c>
      <c r="C122" s="2" t="s">
        <v>45</v>
      </c>
      <c r="D122" s="2" t="s">
        <v>115</v>
      </c>
      <c r="E122" s="117">
        <v>6</v>
      </c>
      <c r="F122" s="117">
        <v>2</v>
      </c>
      <c r="G122" s="117">
        <v>2</v>
      </c>
      <c r="H122" s="117">
        <v>2</v>
      </c>
      <c r="I122" s="278">
        <v>1</v>
      </c>
      <c r="J122" s="278">
        <v>1</v>
      </c>
    </row>
    <row r="123" spans="1:10" x14ac:dyDescent="0.25">
      <c r="A123" s="117">
        <v>540103</v>
      </c>
      <c r="B123" s="2" t="s">
        <v>192</v>
      </c>
      <c r="C123" s="2" t="s">
        <v>45</v>
      </c>
      <c r="D123" s="2" t="s">
        <v>115</v>
      </c>
      <c r="E123" s="117">
        <v>6</v>
      </c>
      <c r="F123" s="117">
        <v>9</v>
      </c>
      <c r="G123" s="117">
        <v>9</v>
      </c>
      <c r="H123" s="117">
        <v>9</v>
      </c>
      <c r="I123" s="278">
        <v>1</v>
      </c>
      <c r="J123" s="278">
        <v>1</v>
      </c>
    </row>
    <row r="124" spans="1:10" x14ac:dyDescent="0.25">
      <c r="A124" s="117">
        <v>540104</v>
      </c>
      <c r="B124" s="2" t="s">
        <v>193</v>
      </c>
      <c r="C124" s="2" t="s">
        <v>45</v>
      </c>
      <c r="D124" s="2" t="s">
        <v>115</v>
      </c>
      <c r="E124" s="117">
        <v>6</v>
      </c>
      <c r="F124" s="117">
        <v>1</v>
      </c>
      <c r="G124" s="117">
        <v>0</v>
      </c>
      <c r="H124" s="117">
        <v>0</v>
      </c>
      <c r="I124" s="278" t="s">
        <v>488</v>
      </c>
      <c r="J124" s="278">
        <v>0</v>
      </c>
    </row>
    <row r="125" spans="1:10" x14ac:dyDescent="0.25">
      <c r="A125" s="117">
        <v>540105</v>
      </c>
      <c r="B125" s="2" t="s">
        <v>194</v>
      </c>
      <c r="C125" s="2" t="s">
        <v>45</v>
      </c>
      <c r="D125" s="2" t="s">
        <v>115</v>
      </c>
      <c r="E125" s="117">
        <v>6</v>
      </c>
      <c r="F125" s="117">
        <v>6</v>
      </c>
      <c r="G125" s="117">
        <v>6</v>
      </c>
      <c r="H125" s="117">
        <v>6</v>
      </c>
      <c r="I125" s="278">
        <v>1</v>
      </c>
      <c r="J125" s="278">
        <v>1</v>
      </c>
    </row>
    <row r="126" spans="1:10" x14ac:dyDescent="0.25">
      <c r="A126" s="117">
        <v>540106</v>
      </c>
      <c r="B126" s="2" t="s">
        <v>195</v>
      </c>
      <c r="C126" s="2" t="s">
        <v>45</v>
      </c>
      <c r="D126" s="2" t="s">
        <v>115</v>
      </c>
      <c r="E126" s="117">
        <v>6</v>
      </c>
      <c r="F126" s="117">
        <v>1</v>
      </c>
      <c r="G126" s="117">
        <v>0</v>
      </c>
      <c r="H126" s="117">
        <v>0</v>
      </c>
      <c r="I126" s="278" t="s">
        <v>488</v>
      </c>
      <c r="J126" s="278">
        <v>0</v>
      </c>
    </row>
    <row r="127" spans="1:10" x14ac:dyDescent="0.25">
      <c r="A127" s="117">
        <v>540292</v>
      </c>
      <c r="B127" s="2" t="s">
        <v>329</v>
      </c>
      <c r="C127" s="2" t="s">
        <v>45</v>
      </c>
      <c r="D127" s="2" t="s">
        <v>115</v>
      </c>
      <c r="E127" s="117">
        <v>6</v>
      </c>
      <c r="F127" s="117">
        <v>7</v>
      </c>
      <c r="G127" s="117">
        <v>2</v>
      </c>
      <c r="H127" s="117">
        <v>2</v>
      </c>
      <c r="I127" s="278">
        <v>1</v>
      </c>
      <c r="J127" s="278">
        <v>0.28570000000000001</v>
      </c>
    </row>
    <row r="128" spans="1:10" x14ac:dyDescent="0.25">
      <c r="A128" s="117">
        <v>545556</v>
      </c>
      <c r="B128" s="2" t="s">
        <v>337</v>
      </c>
      <c r="C128" s="2" t="s">
        <v>45</v>
      </c>
      <c r="D128" s="2" t="s">
        <v>115</v>
      </c>
      <c r="E128" s="117">
        <v>6</v>
      </c>
      <c r="F128" s="117">
        <v>7</v>
      </c>
      <c r="G128" s="117">
        <v>3</v>
      </c>
      <c r="H128" s="117">
        <v>0</v>
      </c>
      <c r="I128" s="278">
        <v>0</v>
      </c>
      <c r="J128" s="278">
        <v>0</v>
      </c>
    </row>
    <row r="129" spans="1:10" x14ac:dyDescent="0.25">
      <c r="A129" s="269"/>
      <c r="B129" s="269"/>
      <c r="C129" s="269" t="s">
        <v>45</v>
      </c>
      <c r="D129" s="269"/>
      <c r="E129" s="269"/>
      <c r="F129" s="270">
        <v>202</v>
      </c>
      <c r="G129" s="270">
        <v>161</v>
      </c>
      <c r="H129" s="270">
        <v>142</v>
      </c>
      <c r="I129" s="279">
        <v>0.88200000000000001</v>
      </c>
      <c r="J129" s="279">
        <v>0.70299999999999996</v>
      </c>
    </row>
    <row r="130" spans="1:10" x14ac:dyDescent="0.25">
      <c r="A130" s="117">
        <v>540107</v>
      </c>
      <c r="B130" s="2" t="s">
        <v>46</v>
      </c>
      <c r="C130" s="2" t="s">
        <v>47</v>
      </c>
      <c r="D130" s="2" t="s">
        <v>5</v>
      </c>
      <c r="E130" s="117">
        <v>10</v>
      </c>
      <c r="F130" s="117">
        <v>60</v>
      </c>
      <c r="G130" s="117">
        <v>34</v>
      </c>
      <c r="H130" s="117">
        <v>0</v>
      </c>
      <c r="I130" s="278">
        <v>0</v>
      </c>
      <c r="J130" s="278">
        <v>0</v>
      </c>
    </row>
    <row r="131" spans="1:10" x14ac:dyDescent="0.25">
      <c r="A131" s="117">
        <v>540108</v>
      </c>
      <c r="B131" s="2" t="s">
        <v>196</v>
      </c>
      <c r="C131" s="2" t="s">
        <v>47</v>
      </c>
      <c r="D131" s="2" t="s">
        <v>115</v>
      </c>
      <c r="E131" s="117">
        <v>10</v>
      </c>
      <c r="F131" s="117">
        <v>10</v>
      </c>
      <c r="G131" s="117">
        <v>3</v>
      </c>
      <c r="H131" s="117">
        <v>0</v>
      </c>
      <c r="I131" s="278">
        <v>0</v>
      </c>
      <c r="J131" s="278">
        <v>0</v>
      </c>
    </row>
    <row r="132" spans="1:10" x14ac:dyDescent="0.25">
      <c r="A132" s="117">
        <v>540109</v>
      </c>
      <c r="B132" s="2" t="s">
        <v>197</v>
      </c>
      <c r="C132" s="2" t="s">
        <v>47</v>
      </c>
      <c r="D132" s="2" t="s">
        <v>115</v>
      </c>
      <c r="E132" s="117">
        <v>10</v>
      </c>
      <c r="F132" s="117">
        <v>0</v>
      </c>
      <c r="G132" s="117">
        <v>0</v>
      </c>
      <c r="H132" s="117">
        <v>0</v>
      </c>
      <c r="I132" s="278" t="s">
        <v>488</v>
      </c>
      <c r="J132" s="278" t="s">
        <v>488</v>
      </c>
    </row>
    <row r="133" spans="1:10" x14ac:dyDescent="0.25">
      <c r="A133" s="117">
        <v>540110</v>
      </c>
      <c r="B133" s="2" t="s">
        <v>198</v>
      </c>
      <c r="C133" s="2" t="s">
        <v>47</v>
      </c>
      <c r="D133" s="2" t="s">
        <v>115</v>
      </c>
      <c r="E133" s="117">
        <v>10</v>
      </c>
      <c r="F133" s="117">
        <v>2</v>
      </c>
      <c r="G133" s="117">
        <v>1</v>
      </c>
      <c r="H133" s="117">
        <v>0</v>
      </c>
      <c r="I133" s="278">
        <v>0</v>
      </c>
      <c r="J133" s="278">
        <v>0</v>
      </c>
    </row>
    <row r="134" spans="1:10" x14ac:dyDescent="0.25">
      <c r="A134" s="117">
        <v>540111</v>
      </c>
      <c r="B134" s="2" t="s">
        <v>199</v>
      </c>
      <c r="C134" s="2" t="s">
        <v>47</v>
      </c>
      <c r="D134" s="2" t="s">
        <v>115</v>
      </c>
      <c r="E134" s="117">
        <v>10</v>
      </c>
      <c r="F134" s="117">
        <v>11</v>
      </c>
      <c r="G134" s="117">
        <v>8</v>
      </c>
      <c r="H134" s="117">
        <v>0</v>
      </c>
      <c r="I134" s="278">
        <v>0</v>
      </c>
      <c r="J134" s="278">
        <v>0</v>
      </c>
    </row>
    <row r="135" spans="1:10" x14ac:dyDescent="0.25">
      <c r="A135" s="117">
        <v>540287</v>
      </c>
      <c r="B135" s="2" t="s">
        <v>326</v>
      </c>
      <c r="C135" s="2" t="s">
        <v>47</v>
      </c>
      <c r="D135" s="2" t="s">
        <v>115</v>
      </c>
      <c r="E135" s="117">
        <v>10</v>
      </c>
      <c r="F135" s="117">
        <v>4</v>
      </c>
      <c r="G135" s="117">
        <v>4</v>
      </c>
      <c r="H135" s="117">
        <v>0</v>
      </c>
      <c r="I135" s="278">
        <v>0</v>
      </c>
      <c r="J135" s="278">
        <v>0</v>
      </c>
    </row>
    <row r="136" spans="1:10" x14ac:dyDescent="0.25">
      <c r="A136" s="117">
        <v>540152</v>
      </c>
      <c r="B136" s="2" t="s">
        <v>229</v>
      </c>
      <c r="C136" s="2" t="s">
        <v>47</v>
      </c>
      <c r="D136" s="2" t="s">
        <v>115</v>
      </c>
      <c r="E136" s="117">
        <v>10</v>
      </c>
      <c r="F136" s="117">
        <v>0</v>
      </c>
      <c r="G136" s="117">
        <v>0</v>
      </c>
      <c r="H136" s="117">
        <v>0</v>
      </c>
      <c r="I136" s="278" t="s">
        <v>488</v>
      </c>
      <c r="J136" s="278" t="s">
        <v>488</v>
      </c>
    </row>
    <row r="137" spans="1:10" x14ac:dyDescent="0.25">
      <c r="A137" s="269"/>
      <c r="B137" s="269"/>
      <c r="C137" s="269" t="s">
        <v>47</v>
      </c>
      <c r="D137" s="269"/>
      <c r="E137" s="269"/>
      <c r="F137" s="270">
        <v>87</v>
      </c>
      <c r="G137" s="270">
        <v>50</v>
      </c>
      <c r="H137" s="270">
        <v>0</v>
      </c>
      <c r="I137" s="279">
        <v>0</v>
      </c>
      <c r="J137" s="279">
        <v>0</v>
      </c>
    </row>
    <row r="138" spans="1:10" x14ac:dyDescent="0.25">
      <c r="A138" s="117">
        <v>540112</v>
      </c>
      <c r="B138" s="2" t="s">
        <v>48</v>
      </c>
      <c r="C138" s="2" t="s">
        <v>49</v>
      </c>
      <c r="D138" s="2" t="s">
        <v>5</v>
      </c>
      <c r="E138" s="117">
        <v>2</v>
      </c>
      <c r="F138" s="117">
        <v>118</v>
      </c>
      <c r="G138" s="117">
        <v>82</v>
      </c>
      <c r="H138" s="117">
        <v>0</v>
      </c>
      <c r="I138" s="278">
        <v>0</v>
      </c>
      <c r="J138" s="278">
        <v>0</v>
      </c>
    </row>
    <row r="139" spans="1:10" x14ac:dyDescent="0.25">
      <c r="A139" s="117">
        <v>540113</v>
      </c>
      <c r="B139" s="2" t="s">
        <v>200</v>
      </c>
      <c r="C139" s="2" t="s">
        <v>49</v>
      </c>
      <c r="D139" s="2" t="s">
        <v>115</v>
      </c>
      <c r="E139" s="117">
        <v>2</v>
      </c>
      <c r="F139" s="117">
        <v>0</v>
      </c>
      <c r="G139" s="117">
        <v>0</v>
      </c>
      <c r="H139" s="117">
        <v>0</v>
      </c>
      <c r="I139" s="278" t="s">
        <v>488</v>
      </c>
      <c r="J139" s="278" t="s">
        <v>488</v>
      </c>
    </row>
    <row r="140" spans="1:10" x14ac:dyDescent="0.25">
      <c r="A140" s="117">
        <v>540247</v>
      </c>
      <c r="B140" s="2" t="s">
        <v>293</v>
      </c>
      <c r="C140" s="2" t="s">
        <v>49</v>
      </c>
      <c r="D140" s="2" t="s">
        <v>115</v>
      </c>
      <c r="E140" s="117">
        <v>2</v>
      </c>
      <c r="F140" s="117">
        <v>1</v>
      </c>
      <c r="G140" s="117">
        <v>0</v>
      </c>
      <c r="H140" s="117">
        <v>0</v>
      </c>
      <c r="I140" s="278" t="s">
        <v>488</v>
      </c>
      <c r="J140" s="278">
        <v>0</v>
      </c>
    </row>
    <row r="141" spans="1:10" x14ac:dyDescent="0.25">
      <c r="A141" s="117">
        <v>540248</v>
      </c>
      <c r="B141" s="2" t="s">
        <v>294</v>
      </c>
      <c r="C141" s="2" t="s">
        <v>49</v>
      </c>
      <c r="D141" s="2" t="s">
        <v>115</v>
      </c>
      <c r="E141" s="117">
        <v>2</v>
      </c>
      <c r="F141" s="117">
        <v>0</v>
      </c>
      <c r="G141" s="117">
        <v>0</v>
      </c>
      <c r="H141" s="117">
        <v>0</v>
      </c>
      <c r="I141" s="278" t="s">
        <v>488</v>
      </c>
      <c r="J141" s="278" t="s">
        <v>488</v>
      </c>
    </row>
    <row r="142" spans="1:10" x14ac:dyDescent="0.25">
      <c r="A142" s="117">
        <v>540249</v>
      </c>
      <c r="B142" s="2" t="s">
        <v>295</v>
      </c>
      <c r="C142" s="2" t="s">
        <v>49</v>
      </c>
      <c r="D142" s="2" t="s">
        <v>115</v>
      </c>
      <c r="E142" s="117">
        <v>2</v>
      </c>
      <c r="F142" s="117">
        <v>2</v>
      </c>
      <c r="G142" s="117">
        <v>2</v>
      </c>
      <c r="H142" s="117">
        <v>0</v>
      </c>
      <c r="I142" s="278">
        <v>0</v>
      </c>
      <c r="J142" s="278">
        <v>0</v>
      </c>
    </row>
    <row r="143" spans="1:10" x14ac:dyDescent="0.25">
      <c r="A143" s="117">
        <v>540250</v>
      </c>
      <c r="B143" s="2" t="s">
        <v>296</v>
      </c>
      <c r="C143" s="2" t="s">
        <v>49</v>
      </c>
      <c r="D143" s="2" t="s">
        <v>115</v>
      </c>
      <c r="E143" s="117">
        <v>2</v>
      </c>
      <c r="F143" s="117">
        <v>5</v>
      </c>
      <c r="G143" s="117">
        <v>2</v>
      </c>
      <c r="H143" s="117">
        <v>0</v>
      </c>
      <c r="I143" s="278">
        <v>0</v>
      </c>
      <c r="J143" s="278">
        <v>0</v>
      </c>
    </row>
    <row r="144" spans="1:10" x14ac:dyDescent="0.25">
      <c r="A144" s="117">
        <v>540251</v>
      </c>
      <c r="B144" s="2" t="s">
        <v>297</v>
      </c>
      <c r="C144" s="2" t="s">
        <v>49</v>
      </c>
      <c r="D144" s="2" t="s">
        <v>115</v>
      </c>
      <c r="E144" s="117">
        <v>2</v>
      </c>
      <c r="F144" s="117">
        <v>3</v>
      </c>
      <c r="G144" s="117">
        <v>2</v>
      </c>
      <c r="H144" s="117">
        <v>0</v>
      </c>
      <c r="I144" s="278">
        <v>0</v>
      </c>
      <c r="J144" s="278">
        <v>0</v>
      </c>
    </row>
    <row r="145" spans="1:10" x14ac:dyDescent="0.25">
      <c r="A145" s="269"/>
      <c r="B145" s="269"/>
      <c r="C145" s="269" t="s">
        <v>49</v>
      </c>
      <c r="D145" s="269"/>
      <c r="E145" s="269"/>
      <c r="F145" s="270">
        <v>129</v>
      </c>
      <c r="G145" s="270">
        <v>88</v>
      </c>
      <c r="H145" s="270">
        <v>0</v>
      </c>
      <c r="I145" s="279">
        <v>0</v>
      </c>
      <c r="J145" s="279">
        <v>0</v>
      </c>
    </row>
    <row r="146" spans="1:10" x14ac:dyDescent="0.25">
      <c r="A146" s="117">
        <v>540114</v>
      </c>
      <c r="B146" s="2" t="s">
        <v>50</v>
      </c>
      <c r="C146" s="2" t="s">
        <v>51</v>
      </c>
      <c r="D146" s="2" t="s">
        <v>5</v>
      </c>
      <c r="E146" s="117">
        <v>1</v>
      </c>
      <c r="F146" s="117">
        <v>176</v>
      </c>
      <c r="G146" s="117">
        <v>152</v>
      </c>
      <c r="H146" s="117">
        <v>139</v>
      </c>
      <c r="I146" s="278">
        <v>0.91449999999999998</v>
      </c>
      <c r="J146" s="278">
        <v>0.78979999999999995</v>
      </c>
    </row>
    <row r="147" spans="1:10" x14ac:dyDescent="0.25">
      <c r="A147" s="117">
        <v>540115</v>
      </c>
      <c r="B147" s="2" t="s">
        <v>201</v>
      </c>
      <c r="C147" s="2" t="s">
        <v>51</v>
      </c>
      <c r="D147" s="2" t="s">
        <v>115</v>
      </c>
      <c r="E147" s="117">
        <v>1</v>
      </c>
      <c r="F147" s="117">
        <v>2</v>
      </c>
      <c r="G147" s="117">
        <v>2</v>
      </c>
      <c r="H147" s="117">
        <v>2</v>
      </c>
      <c r="I147" s="278">
        <v>1</v>
      </c>
      <c r="J147" s="278">
        <v>1</v>
      </c>
    </row>
    <row r="148" spans="1:10" x14ac:dyDescent="0.25">
      <c r="A148" s="117">
        <v>540116</v>
      </c>
      <c r="B148" s="2" t="s">
        <v>202</v>
      </c>
      <c r="C148" s="2" t="s">
        <v>51</v>
      </c>
      <c r="D148" s="2" t="s">
        <v>115</v>
      </c>
      <c r="E148" s="117">
        <v>1</v>
      </c>
      <c r="F148" s="117">
        <v>4</v>
      </c>
      <c r="G148" s="117">
        <v>4</v>
      </c>
      <c r="H148" s="117">
        <v>4</v>
      </c>
      <c r="I148" s="278">
        <v>1</v>
      </c>
      <c r="J148" s="278">
        <v>1</v>
      </c>
    </row>
    <row r="149" spans="1:10" x14ac:dyDescent="0.25">
      <c r="A149" s="117">
        <v>540117</v>
      </c>
      <c r="B149" s="2" t="s">
        <v>203</v>
      </c>
      <c r="C149" s="2" t="s">
        <v>51</v>
      </c>
      <c r="D149" s="2" t="s">
        <v>115</v>
      </c>
      <c r="E149" s="117">
        <v>1</v>
      </c>
      <c r="F149" s="117">
        <v>6</v>
      </c>
      <c r="G149" s="117">
        <v>6</v>
      </c>
      <c r="H149" s="117">
        <v>4</v>
      </c>
      <c r="I149" s="278">
        <v>0.66669999999999996</v>
      </c>
      <c r="J149" s="278">
        <v>0.66669999999999996</v>
      </c>
    </row>
    <row r="150" spans="1:10" x14ac:dyDescent="0.25">
      <c r="A150" s="117">
        <v>540118</v>
      </c>
      <c r="B150" s="2" t="s">
        <v>204</v>
      </c>
      <c r="C150" s="2" t="s">
        <v>51</v>
      </c>
      <c r="D150" s="2" t="s">
        <v>115</v>
      </c>
      <c r="E150" s="117">
        <v>1</v>
      </c>
      <c r="F150" s="117">
        <v>3</v>
      </c>
      <c r="G150" s="117">
        <v>3</v>
      </c>
      <c r="H150" s="117">
        <v>3</v>
      </c>
      <c r="I150" s="278">
        <v>1</v>
      </c>
      <c r="J150" s="278">
        <v>1</v>
      </c>
    </row>
    <row r="151" spans="1:10" x14ac:dyDescent="0.25">
      <c r="A151" s="117">
        <v>540119</v>
      </c>
      <c r="B151" s="2" t="s">
        <v>205</v>
      </c>
      <c r="C151" s="2" t="s">
        <v>51</v>
      </c>
      <c r="D151" s="2" t="s">
        <v>115</v>
      </c>
      <c r="E151" s="117">
        <v>1</v>
      </c>
      <c r="F151" s="117">
        <v>4</v>
      </c>
      <c r="G151" s="117">
        <v>4</v>
      </c>
      <c r="H151" s="117">
        <v>3</v>
      </c>
      <c r="I151" s="278">
        <v>0.75</v>
      </c>
      <c r="J151" s="278">
        <v>0.75</v>
      </c>
    </row>
    <row r="152" spans="1:10" x14ac:dyDescent="0.25">
      <c r="A152" s="117">
        <v>540120</v>
      </c>
      <c r="B152" s="2" t="s">
        <v>206</v>
      </c>
      <c r="C152" s="2" t="s">
        <v>51</v>
      </c>
      <c r="D152" s="2" t="s">
        <v>115</v>
      </c>
      <c r="E152" s="117">
        <v>1</v>
      </c>
      <c r="F152" s="117">
        <v>2</v>
      </c>
      <c r="G152" s="117">
        <v>2</v>
      </c>
      <c r="H152" s="117">
        <v>2</v>
      </c>
      <c r="I152" s="278">
        <v>1</v>
      </c>
      <c r="J152" s="278">
        <v>1</v>
      </c>
    </row>
    <row r="153" spans="1:10" x14ac:dyDescent="0.25">
      <c r="A153" s="117">
        <v>540121</v>
      </c>
      <c r="B153" s="2" t="s">
        <v>207</v>
      </c>
      <c r="C153" s="2" t="s">
        <v>51</v>
      </c>
      <c r="D153" s="2" t="s">
        <v>115</v>
      </c>
      <c r="E153" s="117">
        <v>1</v>
      </c>
      <c r="F153" s="117">
        <v>7</v>
      </c>
      <c r="G153" s="117">
        <v>7</v>
      </c>
      <c r="H153" s="117">
        <v>7</v>
      </c>
      <c r="I153" s="278">
        <v>1</v>
      </c>
      <c r="J153" s="278">
        <v>1</v>
      </c>
    </row>
    <row r="154" spans="1:10" x14ac:dyDescent="0.25">
      <c r="A154" s="117">
        <v>540122</v>
      </c>
      <c r="B154" s="2" t="s">
        <v>208</v>
      </c>
      <c r="C154" s="2" t="s">
        <v>51</v>
      </c>
      <c r="D154" s="2" t="s">
        <v>115</v>
      </c>
      <c r="E154" s="117">
        <v>1</v>
      </c>
      <c r="F154" s="117">
        <v>9</v>
      </c>
      <c r="G154" s="117">
        <v>9</v>
      </c>
      <c r="H154" s="117">
        <v>8</v>
      </c>
      <c r="I154" s="278">
        <v>0.88890000000000002</v>
      </c>
      <c r="J154" s="278">
        <v>0.88890000000000002</v>
      </c>
    </row>
    <row r="155" spans="1:10" x14ac:dyDescent="0.25">
      <c r="A155" s="117">
        <v>540123</v>
      </c>
      <c r="B155" s="2" t="s">
        <v>209</v>
      </c>
      <c r="C155" s="2" t="s">
        <v>51</v>
      </c>
      <c r="D155" s="2" t="s">
        <v>115</v>
      </c>
      <c r="E155" s="117">
        <v>1</v>
      </c>
      <c r="F155" s="117">
        <v>14</v>
      </c>
      <c r="G155" s="117">
        <v>13</v>
      </c>
      <c r="H155" s="117">
        <v>13</v>
      </c>
      <c r="I155" s="278">
        <v>1</v>
      </c>
      <c r="J155" s="278">
        <v>0.92859999999999998</v>
      </c>
    </row>
    <row r="156" spans="1:10" x14ac:dyDescent="0.25">
      <c r="A156" s="117">
        <v>540291</v>
      </c>
      <c r="B156" s="2" t="s">
        <v>328</v>
      </c>
      <c r="C156" s="2" t="s">
        <v>51</v>
      </c>
      <c r="D156" s="2" t="s">
        <v>115</v>
      </c>
      <c r="E156" s="117">
        <v>1</v>
      </c>
      <c r="F156" s="117">
        <v>3</v>
      </c>
      <c r="G156" s="117">
        <v>3</v>
      </c>
      <c r="H156" s="117">
        <v>3</v>
      </c>
      <c r="I156" s="278">
        <v>1</v>
      </c>
      <c r="J156" s="278">
        <v>1</v>
      </c>
    </row>
    <row r="157" spans="1:10" x14ac:dyDescent="0.25">
      <c r="A157" s="269"/>
      <c r="B157" s="269"/>
      <c r="C157" s="269" t="s">
        <v>51</v>
      </c>
      <c r="D157" s="269"/>
      <c r="E157" s="269"/>
      <c r="F157" s="270">
        <v>230</v>
      </c>
      <c r="G157" s="270">
        <v>205</v>
      </c>
      <c r="H157" s="270">
        <v>188</v>
      </c>
      <c r="I157" s="279">
        <v>0.91710000000000003</v>
      </c>
      <c r="J157" s="279">
        <v>0.81740000000000002</v>
      </c>
    </row>
    <row r="158" spans="1:10" x14ac:dyDescent="0.25">
      <c r="A158" s="117">
        <v>540124</v>
      </c>
      <c r="B158" s="2" t="s">
        <v>52</v>
      </c>
      <c r="C158" s="2" t="s">
        <v>53</v>
      </c>
      <c r="D158" s="2" t="s">
        <v>5</v>
      </c>
      <c r="E158" s="117">
        <v>1</v>
      </c>
      <c r="F158" s="117">
        <v>151</v>
      </c>
      <c r="G158" s="117">
        <v>104</v>
      </c>
      <c r="H158" s="117">
        <v>92</v>
      </c>
      <c r="I158" s="278">
        <v>0.88460000000000005</v>
      </c>
      <c r="J158" s="278">
        <v>0.60929999999999995</v>
      </c>
    </row>
    <row r="159" spans="1:10" x14ac:dyDescent="0.25">
      <c r="A159" s="117">
        <v>540125</v>
      </c>
      <c r="B159" s="2" t="s">
        <v>210</v>
      </c>
      <c r="C159" s="2" t="s">
        <v>53</v>
      </c>
      <c r="D159" s="2" t="s">
        <v>115</v>
      </c>
      <c r="E159" s="117">
        <v>1</v>
      </c>
      <c r="F159" s="117">
        <v>5</v>
      </c>
      <c r="G159" s="117">
        <v>5</v>
      </c>
      <c r="H159" s="117">
        <v>5</v>
      </c>
      <c r="I159" s="278">
        <v>1</v>
      </c>
      <c r="J159" s="278">
        <v>1</v>
      </c>
    </row>
    <row r="160" spans="1:10" x14ac:dyDescent="0.25">
      <c r="A160" s="117">
        <v>540126</v>
      </c>
      <c r="B160" s="2" t="s">
        <v>211</v>
      </c>
      <c r="C160" s="2" t="s">
        <v>53</v>
      </c>
      <c r="D160" s="2" t="s">
        <v>115</v>
      </c>
      <c r="E160" s="117">
        <v>1</v>
      </c>
      <c r="F160" s="117">
        <v>3</v>
      </c>
      <c r="G160" s="117">
        <v>3</v>
      </c>
      <c r="H160" s="117">
        <v>3</v>
      </c>
      <c r="I160" s="278">
        <v>1</v>
      </c>
      <c r="J160" s="278">
        <v>1</v>
      </c>
    </row>
    <row r="161" spans="1:10" x14ac:dyDescent="0.25">
      <c r="A161" s="117">
        <v>540127</v>
      </c>
      <c r="B161" s="2" t="s">
        <v>212</v>
      </c>
      <c r="C161" s="2" t="s">
        <v>53</v>
      </c>
      <c r="D161" s="2" t="s">
        <v>115</v>
      </c>
      <c r="E161" s="117">
        <v>1</v>
      </c>
      <c r="F161" s="117">
        <v>0</v>
      </c>
      <c r="G161" s="117">
        <v>0</v>
      </c>
      <c r="H161" s="117">
        <v>0</v>
      </c>
      <c r="I161" s="278" t="s">
        <v>488</v>
      </c>
      <c r="J161" s="278" t="s">
        <v>488</v>
      </c>
    </row>
    <row r="162" spans="1:10" x14ac:dyDescent="0.25">
      <c r="A162" s="117">
        <v>540128</v>
      </c>
      <c r="B162" s="2" t="s">
        <v>213</v>
      </c>
      <c r="C162" s="2" t="s">
        <v>53</v>
      </c>
      <c r="D162" s="2" t="s">
        <v>115</v>
      </c>
      <c r="E162" s="117">
        <v>1</v>
      </c>
      <c r="F162" s="117">
        <v>11</v>
      </c>
      <c r="G162" s="117">
        <v>8</v>
      </c>
      <c r="H162" s="117">
        <v>7</v>
      </c>
      <c r="I162" s="278">
        <v>0.875</v>
      </c>
      <c r="J162" s="278">
        <v>0.63639999999999997</v>
      </c>
    </row>
    <row r="163" spans="1:10" x14ac:dyDescent="0.25">
      <c r="A163" s="117">
        <v>540172</v>
      </c>
      <c r="B163" s="2" t="s">
        <v>244</v>
      </c>
      <c r="C163" s="2" t="s">
        <v>53</v>
      </c>
      <c r="D163" s="2" t="s">
        <v>115</v>
      </c>
      <c r="E163" s="117">
        <v>1</v>
      </c>
      <c r="F163" s="117">
        <v>0</v>
      </c>
      <c r="G163" s="117">
        <v>0</v>
      </c>
      <c r="H163" s="117">
        <v>0</v>
      </c>
      <c r="I163" s="278" t="s">
        <v>488</v>
      </c>
      <c r="J163" s="278" t="s">
        <v>488</v>
      </c>
    </row>
    <row r="164" spans="1:10" x14ac:dyDescent="0.25">
      <c r="A164" s="117">
        <v>540285</v>
      </c>
      <c r="B164" s="2" t="s">
        <v>324</v>
      </c>
      <c r="C164" s="2" t="s">
        <v>53</v>
      </c>
      <c r="D164" s="2" t="s">
        <v>115</v>
      </c>
      <c r="E164" s="117">
        <v>1</v>
      </c>
      <c r="F164" s="117">
        <v>7</v>
      </c>
      <c r="G164" s="117">
        <v>0</v>
      </c>
      <c r="H164" s="117">
        <v>0</v>
      </c>
      <c r="I164" s="278" t="s">
        <v>488</v>
      </c>
      <c r="J164" s="278">
        <v>0</v>
      </c>
    </row>
    <row r="165" spans="1:10" x14ac:dyDescent="0.25">
      <c r="A165" s="269"/>
      <c r="B165" s="269"/>
      <c r="C165" s="269" t="s">
        <v>53</v>
      </c>
      <c r="D165" s="269"/>
      <c r="E165" s="269"/>
      <c r="F165" s="270">
        <v>177</v>
      </c>
      <c r="G165" s="270">
        <v>120</v>
      </c>
      <c r="H165" s="270">
        <v>107</v>
      </c>
      <c r="I165" s="279">
        <v>0.89170000000000005</v>
      </c>
      <c r="J165" s="279">
        <v>0.60450000000000004</v>
      </c>
    </row>
    <row r="166" spans="1:10" x14ac:dyDescent="0.25">
      <c r="A166" s="117">
        <v>540129</v>
      </c>
      <c r="B166" s="2" t="s">
        <v>54</v>
      </c>
      <c r="C166" s="2" t="s">
        <v>55</v>
      </c>
      <c r="D166" s="2" t="s">
        <v>5</v>
      </c>
      <c r="E166" s="117">
        <v>8</v>
      </c>
      <c r="F166" s="117">
        <v>54</v>
      </c>
      <c r="G166" s="117">
        <v>33</v>
      </c>
      <c r="H166" s="117">
        <v>31</v>
      </c>
      <c r="I166" s="278">
        <v>0.93940000000000001</v>
      </c>
      <c r="J166" s="278">
        <v>0.57410000000000005</v>
      </c>
    </row>
    <row r="167" spans="1:10" x14ac:dyDescent="0.25">
      <c r="A167" s="117">
        <v>540130</v>
      </c>
      <c r="B167" s="2" t="s">
        <v>214</v>
      </c>
      <c r="C167" s="2" t="s">
        <v>55</v>
      </c>
      <c r="D167" s="2" t="s">
        <v>115</v>
      </c>
      <c r="E167" s="117">
        <v>8</v>
      </c>
      <c r="F167" s="117">
        <v>3</v>
      </c>
      <c r="G167" s="117">
        <v>3</v>
      </c>
      <c r="H167" s="117">
        <v>3</v>
      </c>
      <c r="I167" s="278">
        <v>1</v>
      </c>
      <c r="J167" s="278">
        <v>1</v>
      </c>
    </row>
    <row r="168" spans="1:10" x14ac:dyDescent="0.25">
      <c r="A168" s="117">
        <v>540131</v>
      </c>
      <c r="B168" s="2" t="s">
        <v>215</v>
      </c>
      <c r="C168" s="2" t="s">
        <v>55</v>
      </c>
      <c r="D168" s="2" t="s">
        <v>115</v>
      </c>
      <c r="E168" s="117">
        <v>8</v>
      </c>
      <c r="F168" s="117">
        <v>0</v>
      </c>
      <c r="G168" s="117">
        <v>0</v>
      </c>
      <c r="H168" s="117">
        <v>0</v>
      </c>
      <c r="I168" s="278" t="s">
        <v>488</v>
      </c>
      <c r="J168" s="278" t="s">
        <v>488</v>
      </c>
    </row>
    <row r="169" spans="1:10" x14ac:dyDescent="0.25">
      <c r="A169" s="117">
        <v>540155</v>
      </c>
      <c r="B169" s="2" t="s">
        <v>231</v>
      </c>
      <c r="C169" s="2" t="s">
        <v>55</v>
      </c>
      <c r="D169" s="2" t="s">
        <v>115</v>
      </c>
      <c r="E169" s="117">
        <v>8</v>
      </c>
      <c r="F169" s="117">
        <v>1</v>
      </c>
      <c r="G169" s="117">
        <v>0</v>
      </c>
      <c r="H169" s="117">
        <v>0</v>
      </c>
      <c r="I169" s="278" t="s">
        <v>488</v>
      </c>
      <c r="J169" s="278">
        <v>0</v>
      </c>
    </row>
    <row r="170" spans="1:10" x14ac:dyDescent="0.25">
      <c r="A170" s="117">
        <v>545555</v>
      </c>
      <c r="B170" s="2" t="s">
        <v>336</v>
      </c>
      <c r="C170" s="2" t="s">
        <v>55</v>
      </c>
      <c r="D170" s="2" t="s">
        <v>115</v>
      </c>
      <c r="E170" s="117">
        <v>8</v>
      </c>
      <c r="F170" s="117">
        <v>1</v>
      </c>
      <c r="G170" s="117">
        <v>0</v>
      </c>
      <c r="H170" s="117">
        <v>0</v>
      </c>
      <c r="I170" s="278" t="s">
        <v>488</v>
      </c>
      <c r="J170" s="278">
        <v>0</v>
      </c>
    </row>
    <row r="171" spans="1:10" x14ac:dyDescent="0.25">
      <c r="A171" s="117">
        <v>540091</v>
      </c>
      <c r="B171" s="2" t="s">
        <v>338</v>
      </c>
      <c r="C171" s="2" t="s">
        <v>55</v>
      </c>
      <c r="D171" s="2" t="s">
        <v>115</v>
      </c>
      <c r="E171" s="117">
        <v>8</v>
      </c>
      <c r="F171" s="117">
        <v>0</v>
      </c>
      <c r="G171" s="117">
        <v>0</v>
      </c>
      <c r="H171" s="117">
        <v>0</v>
      </c>
      <c r="I171" s="278" t="s">
        <v>488</v>
      </c>
      <c r="J171" s="278" t="s">
        <v>488</v>
      </c>
    </row>
    <row r="172" spans="1:10" x14ac:dyDescent="0.25">
      <c r="A172" s="269"/>
      <c r="B172" s="269"/>
      <c r="C172" s="269" t="s">
        <v>55</v>
      </c>
      <c r="D172" s="269"/>
      <c r="E172" s="269"/>
      <c r="F172" s="270">
        <v>59</v>
      </c>
      <c r="G172" s="270">
        <v>36</v>
      </c>
      <c r="H172" s="270">
        <v>34</v>
      </c>
      <c r="I172" s="279">
        <v>0.94440000000000002</v>
      </c>
      <c r="J172" s="279">
        <v>0.57630000000000003</v>
      </c>
    </row>
    <row r="173" spans="1:10" x14ac:dyDescent="0.25">
      <c r="A173" s="117">
        <v>540133</v>
      </c>
      <c r="B173" s="2" t="s">
        <v>56</v>
      </c>
      <c r="C173" s="2" t="s">
        <v>57</v>
      </c>
      <c r="D173" s="2" t="s">
        <v>5</v>
      </c>
      <c r="E173" s="117">
        <v>2</v>
      </c>
      <c r="F173" s="117">
        <v>164</v>
      </c>
      <c r="G173" s="117">
        <v>126</v>
      </c>
      <c r="H173" s="117">
        <v>61</v>
      </c>
      <c r="I173" s="278">
        <v>0.48409999999999997</v>
      </c>
      <c r="J173" s="278">
        <v>0.372</v>
      </c>
    </row>
    <row r="174" spans="1:10" x14ac:dyDescent="0.25">
      <c r="A174" s="117">
        <v>540134</v>
      </c>
      <c r="B174" s="2" t="s">
        <v>217</v>
      </c>
      <c r="C174" s="2" t="s">
        <v>57</v>
      </c>
      <c r="D174" s="2" t="s">
        <v>115</v>
      </c>
      <c r="E174" s="117">
        <v>2</v>
      </c>
      <c r="F174" s="117">
        <v>8</v>
      </c>
      <c r="G174" s="117">
        <v>8</v>
      </c>
      <c r="H174" s="117">
        <v>0</v>
      </c>
      <c r="I174" s="278">
        <v>0</v>
      </c>
      <c r="J174" s="278">
        <v>0</v>
      </c>
    </row>
    <row r="175" spans="1:10" x14ac:dyDescent="0.25">
      <c r="A175" s="117">
        <v>540135</v>
      </c>
      <c r="B175" s="2" t="s">
        <v>218</v>
      </c>
      <c r="C175" s="2" t="s">
        <v>57</v>
      </c>
      <c r="D175" s="2" t="s">
        <v>115</v>
      </c>
      <c r="E175" s="117">
        <v>2</v>
      </c>
      <c r="F175" s="117">
        <v>4</v>
      </c>
      <c r="G175" s="117">
        <v>4</v>
      </c>
      <c r="H175" s="117">
        <v>0</v>
      </c>
      <c r="I175" s="278">
        <v>0</v>
      </c>
      <c r="J175" s="278">
        <v>0</v>
      </c>
    </row>
    <row r="176" spans="1:10" x14ac:dyDescent="0.25">
      <c r="A176" s="117">
        <v>540136</v>
      </c>
      <c r="B176" s="2" t="s">
        <v>219</v>
      </c>
      <c r="C176" s="2" t="s">
        <v>57</v>
      </c>
      <c r="D176" s="2" t="s">
        <v>115</v>
      </c>
      <c r="E176" s="117">
        <v>2</v>
      </c>
      <c r="F176" s="117">
        <v>0</v>
      </c>
      <c r="G176" s="117">
        <v>0</v>
      </c>
      <c r="H176" s="117">
        <v>0</v>
      </c>
      <c r="I176" s="278" t="s">
        <v>488</v>
      </c>
      <c r="J176" s="278" t="s">
        <v>488</v>
      </c>
    </row>
    <row r="177" spans="1:10" x14ac:dyDescent="0.25">
      <c r="A177" s="117">
        <v>540138</v>
      </c>
      <c r="B177" s="2" t="s">
        <v>221</v>
      </c>
      <c r="C177" s="2" t="s">
        <v>57</v>
      </c>
      <c r="D177" s="2" t="s">
        <v>115</v>
      </c>
      <c r="E177" s="117">
        <v>2</v>
      </c>
      <c r="F177" s="117">
        <v>11</v>
      </c>
      <c r="G177" s="117">
        <v>5</v>
      </c>
      <c r="H177" s="117">
        <v>6</v>
      </c>
      <c r="I177" s="278">
        <v>1.2</v>
      </c>
      <c r="J177" s="278">
        <v>0.54549999999999998</v>
      </c>
    </row>
    <row r="178" spans="1:10" x14ac:dyDescent="0.25">
      <c r="A178" s="117">
        <v>545538</v>
      </c>
      <c r="B178" s="2" t="s">
        <v>334</v>
      </c>
      <c r="C178" s="2" t="s">
        <v>57</v>
      </c>
      <c r="D178" s="2" t="s">
        <v>115</v>
      </c>
      <c r="E178" s="117">
        <v>2</v>
      </c>
      <c r="F178" s="117">
        <v>5</v>
      </c>
      <c r="G178" s="117">
        <v>3</v>
      </c>
      <c r="H178" s="117">
        <v>3</v>
      </c>
      <c r="I178" s="278">
        <v>1</v>
      </c>
      <c r="J178" s="278">
        <v>0.6</v>
      </c>
    </row>
    <row r="179" spans="1:10" x14ac:dyDescent="0.25">
      <c r="A179" s="269"/>
      <c r="B179" s="269"/>
      <c r="C179" s="269" t="s">
        <v>57</v>
      </c>
      <c r="D179" s="269"/>
      <c r="E179" s="269"/>
      <c r="F179" s="270">
        <v>192</v>
      </c>
      <c r="G179" s="270">
        <v>146</v>
      </c>
      <c r="H179" s="270">
        <v>70</v>
      </c>
      <c r="I179" s="279">
        <v>0.47949999999999998</v>
      </c>
      <c r="J179" s="279">
        <v>0.36459999999999998</v>
      </c>
    </row>
    <row r="180" spans="1:10" x14ac:dyDescent="0.25">
      <c r="A180" s="117">
        <v>540139</v>
      </c>
      <c r="B180" s="2" t="s">
        <v>58</v>
      </c>
      <c r="C180" s="2" t="s">
        <v>59</v>
      </c>
      <c r="D180" s="2" t="s">
        <v>5</v>
      </c>
      <c r="E180" s="117">
        <v>6</v>
      </c>
      <c r="F180" s="117">
        <v>179</v>
      </c>
      <c r="G180" s="117">
        <v>126</v>
      </c>
      <c r="H180" s="117">
        <v>123</v>
      </c>
      <c r="I180" s="278">
        <v>0.97619999999999996</v>
      </c>
      <c r="J180" s="278">
        <v>0.68720000000000003</v>
      </c>
    </row>
    <row r="181" spans="1:10" x14ac:dyDescent="0.25">
      <c r="A181" s="117">
        <v>540140</v>
      </c>
      <c r="B181" s="2" t="s">
        <v>222</v>
      </c>
      <c r="C181" s="2" t="s">
        <v>59</v>
      </c>
      <c r="D181" s="2" t="s">
        <v>115</v>
      </c>
      <c r="E181" s="117">
        <v>6</v>
      </c>
      <c r="F181" s="117">
        <v>2</v>
      </c>
      <c r="G181" s="117">
        <v>2</v>
      </c>
      <c r="H181" s="117">
        <v>2</v>
      </c>
      <c r="I181" s="278">
        <v>1</v>
      </c>
      <c r="J181" s="278">
        <v>1</v>
      </c>
    </row>
    <row r="182" spans="1:10" x14ac:dyDescent="0.25">
      <c r="A182" s="117">
        <v>540141</v>
      </c>
      <c r="B182" s="2" t="s">
        <v>223</v>
      </c>
      <c r="C182" s="2" t="s">
        <v>59</v>
      </c>
      <c r="D182" s="2" t="s">
        <v>115</v>
      </c>
      <c r="E182" s="117">
        <v>6</v>
      </c>
      <c r="F182" s="117">
        <v>24</v>
      </c>
      <c r="G182" s="117">
        <v>16</v>
      </c>
      <c r="H182" s="117">
        <v>14</v>
      </c>
      <c r="I182" s="278">
        <v>0.875</v>
      </c>
      <c r="J182" s="278">
        <v>0.58330000000000004</v>
      </c>
    </row>
    <row r="183" spans="1:10" x14ac:dyDescent="0.25">
      <c r="A183" s="117">
        <v>540272</v>
      </c>
      <c r="B183" s="2" t="s">
        <v>315</v>
      </c>
      <c r="C183" s="2" t="s">
        <v>59</v>
      </c>
      <c r="D183" s="2" t="s">
        <v>115</v>
      </c>
      <c r="E183" s="117">
        <v>6</v>
      </c>
      <c r="F183" s="117">
        <v>3</v>
      </c>
      <c r="G183" s="117">
        <v>1</v>
      </c>
      <c r="H183" s="117">
        <v>1</v>
      </c>
      <c r="I183" s="278">
        <v>1</v>
      </c>
      <c r="J183" s="278">
        <v>0.33329999999999999</v>
      </c>
    </row>
    <row r="184" spans="1:10" x14ac:dyDescent="0.25">
      <c r="A184" s="117">
        <v>540273</v>
      </c>
      <c r="B184" s="2" t="s">
        <v>316</v>
      </c>
      <c r="C184" s="2" t="s">
        <v>59</v>
      </c>
      <c r="D184" s="2" t="s">
        <v>115</v>
      </c>
      <c r="E184" s="117">
        <v>6</v>
      </c>
      <c r="F184" s="117">
        <v>1</v>
      </c>
      <c r="G184" s="117">
        <v>0</v>
      </c>
      <c r="H184" s="117">
        <v>1</v>
      </c>
      <c r="I184" s="278" t="s">
        <v>488</v>
      </c>
      <c r="J184" s="278">
        <v>1</v>
      </c>
    </row>
    <row r="185" spans="1:10" x14ac:dyDescent="0.25">
      <c r="A185" s="117">
        <v>540274</v>
      </c>
      <c r="B185" s="2" t="s">
        <v>317</v>
      </c>
      <c r="C185" s="2" t="s">
        <v>59</v>
      </c>
      <c r="D185" s="2" t="s">
        <v>115</v>
      </c>
      <c r="E185" s="117">
        <v>6</v>
      </c>
      <c r="F185" s="117">
        <v>0</v>
      </c>
      <c r="G185" s="117">
        <v>0</v>
      </c>
      <c r="H185" s="117">
        <v>0</v>
      </c>
      <c r="I185" s="278" t="s">
        <v>488</v>
      </c>
      <c r="J185" s="278" t="s">
        <v>488</v>
      </c>
    </row>
    <row r="186" spans="1:10" x14ac:dyDescent="0.25">
      <c r="A186" s="269"/>
      <c r="B186" s="269"/>
      <c r="C186" s="269" t="s">
        <v>59</v>
      </c>
      <c r="D186" s="269"/>
      <c r="E186" s="269"/>
      <c r="F186" s="270">
        <v>209</v>
      </c>
      <c r="G186" s="270">
        <v>145</v>
      </c>
      <c r="H186" s="270">
        <v>141</v>
      </c>
      <c r="I186" s="279">
        <v>0.97240000000000004</v>
      </c>
      <c r="J186" s="279">
        <v>0.67459999999999998</v>
      </c>
    </row>
    <row r="187" spans="1:10" x14ac:dyDescent="0.25">
      <c r="A187" s="117">
        <v>540144</v>
      </c>
      <c r="B187" s="2" t="s">
        <v>60</v>
      </c>
      <c r="C187" s="2" t="s">
        <v>61</v>
      </c>
      <c r="D187" s="2" t="s">
        <v>5</v>
      </c>
      <c r="E187" s="117">
        <v>9</v>
      </c>
      <c r="F187" s="117">
        <v>49</v>
      </c>
      <c r="G187" s="117">
        <v>46</v>
      </c>
      <c r="H187" s="117">
        <v>35</v>
      </c>
      <c r="I187" s="278">
        <v>0.76090000000000002</v>
      </c>
      <c r="J187" s="278">
        <v>0.71430000000000005</v>
      </c>
    </row>
    <row r="188" spans="1:10" x14ac:dyDescent="0.25">
      <c r="A188" s="117">
        <v>540005</v>
      </c>
      <c r="B188" s="2" t="s">
        <v>118</v>
      </c>
      <c r="C188" s="2" t="s">
        <v>61</v>
      </c>
      <c r="D188" s="2" t="s">
        <v>115</v>
      </c>
      <c r="E188" s="117">
        <v>9</v>
      </c>
      <c r="F188" s="117">
        <v>3</v>
      </c>
      <c r="G188" s="117">
        <v>3</v>
      </c>
      <c r="H188" s="117">
        <v>3</v>
      </c>
      <c r="I188" s="278">
        <v>1</v>
      </c>
      <c r="J188" s="278">
        <v>1</v>
      </c>
    </row>
    <row r="189" spans="1:10" x14ac:dyDescent="0.25">
      <c r="A189" s="117">
        <v>540252</v>
      </c>
      <c r="B189" s="2" t="s">
        <v>298</v>
      </c>
      <c r="C189" s="2" t="s">
        <v>61</v>
      </c>
      <c r="D189" s="2" t="s">
        <v>115</v>
      </c>
      <c r="E189" s="117">
        <v>9</v>
      </c>
      <c r="F189" s="117">
        <v>3</v>
      </c>
      <c r="G189" s="117">
        <v>1</v>
      </c>
      <c r="H189" s="117">
        <v>0</v>
      </c>
      <c r="I189" s="278">
        <v>0</v>
      </c>
      <c r="J189" s="278">
        <v>0</v>
      </c>
    </row>
    <row r="190" spans="1:10" x14ac:dyDescent="0.25">
      <c r="A190" s="269"/>
      <c r="B190" s="269"/>
      <c r="C190" s="269" t="s">
        <v>61</v>
      </c>
      <c r="D190" s="269"/>
      <c r="E190" s="269"/>
      <c r="F190" s="270">
        <v>55</v>
      </c>
      <c r="G190" s="270">
        <v>50</v>
      </c>
      <c r="H190" s="270">
        <v>38</v>
      </c>
      <c r="I190" s="279">
        <v>0.76</v>
      </c>
      <c r="J190" s="279">
        <v>0.69089999999999996</v>
      </c>
    </row>
    <row r="191" spans="1:10" x14ac:dyDescent="0.25">
      <c r="A191" s="117">
        <v>540146</v>
      </c>
      <c r="B191" s="2" t="s">
        <v>62</v>
      </c>
      <c r="C191" s="2" t="s">
        <v>63</v>
      </c>
      <c r="D191" s="2" t="s">
        <v>5</v>
      </c>
      <c r="E191" s="117">
        <v>4</v>
      </c>
      <c r="F191" s="117">
        <v>89</v>
      </c>
      <c r="G191" s="117">
        <v>67</v>
      </c>
      <c r="H191" s="117">
        <v>12</v>
      </c>
      <c r="I191" s="278">
        <v>0.17910000000000001</v>
      </c>
      <c r="J191" s="278">
        <v>0.1348</v>
      </c>
    </row>
    <row r="192" spans="1:10" x14ac:dyDescent="0.25">
      <c r="A192" s="117">
        <v>540147</v>
      </c>
      <c r="B192" s="2" t="s">
        <v>225</v>
      </c>
      <c r="C192" s="2" t="s">
        <v>63</v>
      </c>
      <c r="D192" s="2" t="s">
        <v>115</v>
      </c>
      <c r="E192" s="117">
        <v>4</v>
      </c>
      <c r="F192" s="117">
        <v>6</v>
      </c>
      <c r="G192" s="117">
        <v>5</v>
      </c>
      <c r="H192" s="117">
        <v>5</v>
      </c>
      <c r="I192" s="278">
        <v>1</v>
      </c>
      <c r="J192" s="278">
        <v>0.83330000000000004</v>
      </c>
    </row>
    <row r="193" spans="1:10" x14ac:dyDescent="0.25">
      <c r="A193" s="117">
        <v>540148</v>
      </c>
      <c r="B193" s="2" t="s">
        <v>226</v>
      </c>
      <c r="C193" s="2" t="s">
        <v>63</v>
      </c>
      <c r="D193" s="2" t="s">
        <v>115</v>
      </c>
      <c r="E193" s="117">
        <v>4</v>
      </c>
      <c r="F193" s="117">
        <v>4</v>
      </c>
      <c r="G193" s="117">
        <v>4</v>
      </c>
      <c r="H193" s="117">
        <v>0</v>
      </c>
      <c r="I193" s="278">
        <v>0</v>
      </c>
      <c r="J193" s="278">
        <v>0</v>
      </c>
    </row>
    <row r="194" spans="1:10" x14ac:dyDescent="0.25">
      <c r="A194" s="269"/>
      <c r="B194" s="269"/>
      <c r="C194" s="269" t="s">
        <v>63</v>
      </c>
      <c r="D194" s="269"/>
      <c r="E194" s="269"/>
      <c r="F194" s="270">
        <v>99</v>
      </c>
      <c r="G194" s="270">
        <v>76</v>
      </c>
      <c r="H194" s="270">
        <v>17</v>
      </c>
      <c r="I194" s="279">
        <v>0.22370000000000001</v>
      </c>
      <c r="J194" s="279">
        <v>0.17169999999999999</v>
      </c>
    </row>
    <row r="195" spans="1:10" x14ac:dyDescent="0.25">
      <c r="A195" s="117">
        <v>540149</v>
      </c>
      <c r="B195" s="2" t="s">
        <v>64</v>
      </c>
      <c r="C195" s="2" t="s">
        <v>65</v>
      </c>
      <c r="D195" s="2" t="s">
        <v>5</v>
      </c>
      <c r="E195" s="117">
        <v>10</v>
      </c>
      <c r="F195" s="117">
        <v>39</v>
      </c>
      <c r="G195" s="117">
        <v>23</v>
      </c>
      <c r="H195" s="117">
        <v>14</v>
      </c>
      <c r="I195" s="278">
        <v>0.60870000000000002</v>
      </c>
      <c r="J195" s="278">
        <v>0.35899999999999999</v>
      </c>
    </row>
    <row r="196" spans="1:10" x14ac:dyDescent="0.25">
      <c r="A196" s="117">
        <v>540080</v>
      </c>
      <c r="B196" s="2" t="s">
        <v>175</v>
      </c>
      <c r="C196" s="2" t="s">
        <v>65</v>
      </c>
      <c r="D196" s="2" t="s">
        <v>115</v>
      </c>
      <c r="E196" s="117">
        <v>10</v>
      </c>
      <c r="F196" s="117">
        <v>0</v>
      </c>
      <c r="G196" s="117">
        <v>0</v>
      </c>
      <c r="H196" s="117">
        <v>0</v>
      </c>
      <c r="I196" s="278" t="s">
        <v>488</v>
      </c>
      <c r="J196" s="278" t="s">
        <v>488</v>
      </c>
    </row>
    <row r="197" spans="1:10" x14ac:dyDescent="0.25">
      <c r="A197" s="117">
        <v>540094</v>
      </c>
      <c r="B197" s="2" t="s">
        <v>185</v>
      </c>
      <c r="C197" s="2" t="s">
        <v>65</v>
      </c>
      <c r="D197" s="2" t="s">
        <v>115</v>
      </c>
      <c r="E197" s="117">
        <v>10</v>
      </c>
      <c r="F197" s="117">
        <v>0</v>
      </c>
      <c r="G197" s="117">
        <v>0</v>
      </c>
      <c r="H197" s="117">
        <v>0</v>
      </c>
      <c r="I197" s="278" t="s">
        <v>488</v>
      </c>
      <c r="J197" s="278" t="s">
        <v>488</v>
      </c>
    </row>
    <row r="198" spans="1:10" x14ac:dyDescent="0.25">
      <c r="A198" s="117">
        <v>540150</v>
      </c>
      <c r="B198" s="2" t="s">
        <v>227</v>
      </c>
      <c r="C198" s="2" t="s">
        <v>65</v>
      </c>
      <c r="D198" s="2" t="s">
        <v>115</v>
      </c>
      <c r="E198" s="117">
        <v>10</v>
      </c>
      <c r="F198" s="117">
        <v>8</v>
      </c>
      <c r="G198" s="117">
        <v>7</v>
      </c>
      <c r="H198" s="117">
        <v>0</v>
      </c>
      <c r="I198" s="278">
        <v>0</v>
      </c>
      <c r="J198" s="278">
        <v>0</v>
      </c>
    </row>
    <row r="199" spans="1:10" x14ac:dyDescent="0.25">
      <c r="A199" s="117">
        <v>540151</v>
      </c>
      <c r="B199" s="2" t="s">
        <v>228</v>
      </c>
      <c r="C199" s="2" t="s">
        <v>65</v>
      </c>
      <c r="D199" s="2" t="s">
        <v>115</v>
      </c>
      <c r="E199" s="117">
        <v>10</v>
      </c>
      <c r="F199" s="117">
        <v>7</v>
      </c>
      <c r="G199" s="117">
        <v>6</v>
      </c>
      <c r="H199" s="117">
        <v>3</v>
      </c>
      <c r="I199" s="278">
        <v>0.5</v>
      </c>
      <c r="J199" s="278">
        <v>0.42859999999999998</v>
      </c>
    </row>
    <row r="200" spans="1:10" x14ac:dyDescent="0.25">
      <c r="A200" s="117">
        <v>540152</v>
      </c>
      <c r="B200" s="2" t="s">
        <v>229</v>
      </c>
      <c r="C200" s="2" t="s">
        <v>65</v>
      </c>
      <c r="D200" s="2" t="s">
        <v>115</v>
      </c>
      <c r="E200" s="117">
        <v>10</v>
      </c>
      <c r="F200" s="117">
        <v>70</v>
      </c>
      <c r="G200" s="117">
        <v>38</v>
      </c>
      <c r="H200" s="117">
        <v>3</v>
      </c>
      <c r="I200" s="278">
        <v>7.8899999999999998E-2</v>
      </c>
      <c r="J200" s="278">
        <v>4.2900000000000001E-2</v>
      </c>
    </row>
    <row r="201" spans="1:10" x14ac:dyDescent="0.25">
      <c r="A201" s="117">
        <v>540275</v>
      </c>
      <c r="B201" s="2" t="s">
        <v>318</v>
      </c>
      <c r="C201" s="2" t="s">
        <v>65</v>
      </c>
      <c r="D201" s="2" t="s">
        <v>115</v>
      </c>
      <c r="E201" s="117">
        <v>10</v>
      </c>
      <c r="F201" s="117">
        <v>2</v>
      </c>
      <c r="G201" s="117">
        <v>0</v>
      </c>
      <c r="H201" s="117">
        <v>0</v>
      </c>
      <c r="I201" s="278" t="s">
        <v>488</v>
      </c>
      <c r="J201" s="278">
        <v>0</v>
      </c>
    </row>
    <row r="202" spans="1:10" x14ac:dyDescent="0.25">
      <c r="A202" s="269"/>
      <c r="B202" s="269"/>
      <c r="C202" s="269" t="s">
        <v>65</v>
      </c>
      <c r="D202" s="269"/>
      <c r="E202" s="269"/>
      <c r="F202" s="270">
        <v>126</v>
      </c>
      <c r="G202" s="270">
        <v>74</v>
      </c>
      <c r="H202" s="270">
        <v>20</v>
      </c>
      <c r="I202" s="279">
        <v>0.27029999999999998</v>
      </c>
      <c r="J202" s="279">
        <v>0.15870000000000001</v>
      </c>
    </row>
    <row r="203" spans="1:10" x14ac:dyDescent="0.25">
      <c r="A203" s="117">
        <v>540153</v>
      </c>
      <c r="B203" s="2" t="s">
        <v>66</v>
      </c>
      <c r="C203" s="2" t="s">
        <v>67</v>
      </c>
      <c r="D203" s="2" t="s">
        <v>5</v>
      </c>
      <c r="E203" s="117">
        <v>8</v>
      </c>
      <c r="F203" s="117">
        <v>111</v>
      </c>
      <c r="G203" s="117">
        <v>80</v>
      </c>
      <c r="H203" s="117">
        <v>0</v>
      </c>
      <c r="I203" s="278">
        <v>0</v>
      </c>
      <c r="J203" s="278">
        <v>0</v>
      </c>
    </row>
    <row r="204" spans="1:10" x14ac:dyDescent="0.25">
      <c r="A204" s="117">
        <v>540154</v>
      </c>
      <c r="B204" s="2" t="s">
        <v>230</v>
      </c>
      <c r="C204" s="2" t="s">
        <v>67</v>
      </c>
      <c r="D204" s="2" t="s">
        <v>115</v>
      </c>
      <c r="E204" s="117">
        <v>8</v>
      </c>
      <c r="F204" s="117">
        <v>0</v>
      </c>
      <c r="G204" s="117">
        <v>0</v>
      </c>
      <c r="H204" s="117">
        <v>0</v>
      </c>
      <c r="I204" s="278" t="s">
        <v>488</v>
      </c>
      <c r="J204" s="278" t="s">
        <v>488</v>
      </c>
    </row>
    <row r="205" spans="1:10" x14ac:dyDescent="0.25">
      <c r="A205" s="269"/>
      <c r="B205" s="269"/>
      <c r="C205" s="269" t="s">
        <v>67</v>
      </c>
      <c r="D205" s="269"/>
      <c r="E205" s="269"/>
      <c r="F205" s="270">
        <v>111</v>
      </c>
      <c r="G205" s="270">
        <v>80</v>
      </c>
      <c r="H205" s="270">
        <v>0</v>
      </c>
      <c r="I205" s="279">
        <v>0</v>
      </c>
      <c r="J205" s="279">
        <v>0</v>
      </c>
    </row>
    <row r="206" spans="1:10" x14ac:dyDescent="0.25">
      <c r="A206" s="117">
        <v>540160</v>
      </c>
      <c r="B206" s="2" t="s">
        <v>68</v>
      </c>
      <c r="C206" s="2" t="s">
        <v>69</v>
      </c>
      <c r="D206" s="2" t="s">
        <v>5</v>
      </c>
      <c r="E206" s="117">
        <v>6</v>
      </c>
      <c r="F206" s="117">
        <v>172</v>
      </c>
      <c r="G206" s="117">
        <v>128</v>
      </c>
      <c r="H206" s="117">
        <v>120</v>
      </c>
      <c r="I206" s="278">
        <v>0.9375</v>
      </c>
      <c r="J206" s="278">
        <v>0.69769999999999999</v>
      </c>
    </row>
    <row r="207" spans="1:10" x14ac:dyDescent="0.25">
      <c r="A207" s="117">
        <v>540137</v>
      </c>
      <c r="B207" s="2" t="s">
        <v>220</v>
      </c>
      <c r="C207" s="2" t="s">
        <v>69</v>
      </c>
      <c r="D207" s="2" t="s">
        <v>115</v>
      </c>
      <c r="E207" s="117">
        <v>6</v>
      </c>
      <c r="F207" s="117">
        <v>0</v>
      </c>
      <c r="G207" s="117">
        <v>0</v>
      </c>
      <c r="H207" s="117">
        <v>0</v>
      </c>
      <c r="I207" s="278" t="s">
        <v>488</v>
      </c>
      <c r="J207" s="278" t="s">
        <v>488</v>
      </c>
    </row>
    <row r="208" spans="1:10" x14ac:dyDescent="0.25">
      <c r="A208" s="117">
        <v>540161</v>
      </c>
      <c r="B208" s="2" t="s">
        <v>235</v>
      </c>
      <c r="C208" s="2" t="s">
        <v>69</v>
      </c>
      <c r="D208" s="2" t="s">
        <v>115</v>
      </c>
      <c r="E208" s="117">
        <v>6</v>
      </c>
      <c r="F208" s="117">
        <v>1</v>
      </c>
      <c r="G208" s="117">
        <v>0</v>
      </c>
      <c r="H208" s="117">
        <v>1</v>
      </c>
      <c r="I208" s="278" t="s">
        <v>488</v>
      </c>
      <c r="J208" s="278">
        <v>1</v>
      </c>
    </row>
    <row r="209" spans="1:10" x14ac:dyDescent="0.25">
      <c r="A209" s="117">
        <v>540162</v>
      </c>
      <c r="B209" s="2" t="s">
        <v>236</v>
      </c>
      <c r="C209" s="2" t="s">
        <v>69</v>
      </c>
      <c r="D209" s="2" t="s">
        <v>115</v>
      </c>
      <c r="E209" s="117">
        <v>6</v>
      </c>
      <c r="F209" s="117">
        <v>0</v>
      </c>
      <c r="G209" s="117">
        <v>0</v>
      </c>
      <c r="H209" s="117">
        <v>0</v>
      </c>
      <c r="I209" s="278" t="s">
        <v>488</v>
      </c>
      <c r="J209" s="278" t="s">
        <v>488</v>
      </c>
    </row>
    <row r="210" spans="1:10" x14ac:dyDescent="0.25">
      <c r="A210" s="117">
        <v>540163</v>
      </c>
      <c r="B210" s="2" t="s">
        <v>237</v>
      </c>
      <c r="C210" s="2" t="s">
        <v>69</v>
      </c>
      <c r="D210" s="2" t="s">
        <v>115</v>
      </c>
      <c r="E210" s="117">
        <v>6</v>
      </c>
      <c r="F210" s="117">
        <v>2</v>
      </c>
      <c r="G210" s="117">
        <v>2</v>
      </c>
      <c r="H210" s="117">
        <v>2</v>
      </c>
      <c r="I210" s="278">
        <v>1</v>
      </c>
      <c r="J210" s="278">
        <v>1</v>
      </c>
    </row>
    <row r="211" spans="1:10" x14ac:dyDescent="0.25">
      <c r="A211" s="117">
        <v>540254</v>
      </c>
      <c r="B211" s="2" t="s">
        <v>300</v>
      </c>
      <c r="C211" s="2" t="s">
        <v>69</v>
      </c>
      <c r="D211" s="2" t="s">
        <v>115</v>
      </c>
      <c r="E211" s="117">
        <v>6</v>
      </c>
      <c r="F211" s="117">
        <v>1</v>
      </c>
      <c r="G211" s="117">
        <v>0</v>
      </c>
      <c r="H211" s="117">
        <v>0</v>
      </c>
      <c r="I211" s="278" t="s">
        <v>488</v>
      </c>
      <c r="J211" s="278">
        <v>0</v>
      </c>
    </row>
    <row r="212" spans="1:10" x14ac:dyDescent="0.25">
      <c r="A212" s="117">
        <v>540257</v>
      </c>
      <c r="B212" s="2" t="s">
        <v>302</v>
      </c>
      <c r="C212" s="2" t="s">
        <v>69</v>
      </c>
      <c r="D212" s="2" t="s">
        <v>115</v>
      </c>
      <c r="E212" s="117">
        <v>6</v>
      </c>
      <c r="F212" s="117">
        <v>1</v>
      </c>
      <c r="G212" s="117">
        <v>0</v>
      </c>
      <c r="H212" s="117">
        <v>0</v>
      </c>
      <c r="I212" s="278" t="s">
        <v>488</v>
      </c>
      <c r="J212" s="278">
        <v>0</v>
      </c>
    </row>
    <row r="213" spans="1:10" x14ac:dyDescent="0.25">
      <c r="A213" s="117">
        <v>540268</v>
      </c>
      <c r="B213" s="2" t="s">
        <v>311</v>
      </c>
      <c r="C213" s="2" t="s">
        <v>69</v>
      </c>
      <c r="D213" s="2" t="s">
        <v>115</v>
      </c>
      <c r="E213" s="117">
        <v>6</v>
      </c>
      <c r="F213" s="117">
        <v>3</v>
      </c>
      <c r="G213" s="117">
        <v>1</v>
      </c>
      <c r="H213" s="117">
        <v>1</v>
      </c>
      <c r="I213" s="278">
        <v>1</v>
      </c>
      <c r="J213" s="278">
        <v>0.33329999999999999</v>
      </c>
    </row>
    <row r="214" spans="1:10" x14ac:dyDescent="0.25">
      <c r="A214" s="117">
        <v>540269</v>
      </c>
      <c r="B214" s="2" t="s">
        <v>312</v>
      </c>
      <c r="C214" s="2" t="s">
        <v>69</v>
      </c>
      <c r="D214" s="2" t="s">
        <v>115</v>
      </c>
      <c r="E214" s="117">
        <v>6</v>
      </c>
      <c r="F214" s="117">
        <v>0</v>
      </c>
      <c r="G214" s="117">
        <v>0</v>
      </c>
      <c r="H214" s="117">
        <v>0</v>
      </c>
      <c r="I214" s="278" t="s">
        <v>488</v>
      </c>
      <c r="J214" s="278" t="s">
        <v>488</v>
      </c>
    </row>
    <row r="215" spans="1:10" x14ac:dyDescent="0.25">
      <c r="A215" s="117">
        <v>540270</v>
      </c>
      <c r="B215" s="2" t="s">
        <v>313</v>
      </c>
      <c r="C215" s="2" t="s">
        <v>69</v>
      </c>
      <c r="D215" s="2" t="s">
        <v>115</v>
      </c>
      <c r="E215" s="117">
        <v>6</v>
      </c>
      <c r="F215" s="117">
        <v>0</v>
      </c>
      <c r="G215" s="117">
        <v>0</v>
      </c>
      <c r="H215" s="117">
        <v>0</v>
      </c>
      <c r="I215" s="278" t="s">
        <v>488</v>
      </c>
      <c r="J215" s="278" t="s">
        <v>488</v>
      </c>
    </row>
    <row r="216" spans="1:10" x14ac:dyDescent="0.25">
      <c r="A216" s="117">
        <v>540284</v>
      </c>
      <c r="B216" s="2" t="s">
        <v>323</v>
      </c>
      <c r="C216" s="2" t="s">
        <v>69</v>
      </c>
      <c r="D216" s="2" t="s">
        <v>115</v>
      </c>
      <c r="E216" s="117">
        <v>6</v>
      </c>
      <c r="F216" s="117">
        <v>0</v>
      </c>
      <c r="G216" s="117">
        <v>0</v>
      </c>
      <c r="H216" s="117">
        <v>0</v>
      </c>
      <c r="I216" s="278" t="s">
        <v>488</v>
      </c>
      <c r="J216" s="278" t="s">
        <v>488</v>
      </c>
    </row>
    <row r="217" spans="1:10" x14ac:dyDescent="0.25">
      <c r="A217" s="269"/>
      <c r="B217" s="269"/>
      <c r="C217" s="269" t="s">
        <v>69</v>
      </c>
      <c r="D217" s="269"/>
      <c r="E217" s="269"/>
      <c r="F217" s="270">
        <v>180</v>
      </c>
      <c r="G217" s="270">
        <v>131</v>
      </c>
      <c r="H217" s="270">
        <v>124</v>
      </c>
      <c r="I217" s="279">
        <v>0.9466</v>
      </c>
      <c r="J217" s="279">
        <v>0.68889999999999996</v>
      </c>
    </row>
    <row r="218" spans="1:10" x14ac:dyDescent="0.25">
      <c r="A218" s="117">
        <v>540164</v>
      </c>
      <c r="B218" s="2" t="s">
        <v>70</v>
      </c>
      <c r="C218" s="2" t="s">
        <v>71</v>
      </c>
      <c r="D218" s="2" t="s">
        <v>5</v>
      </c>
      <c r="E218" s="117">
        <v>3</v>
      </c>
      <c r="F218" s="117">
        <v>91</v>
      </c>
      <c r="G218" s="117">
        <v>71</v>
      </c>
      <c r="H218" s="117">
        <v>30</v>
      </c>
      <c r="I218" s="278">
        <v>0.42249999999999999</v>
      </c>
      <c r="J218" s="278">
        <v>0.32969999999999999</v>
      </c>
    </row>
    <row r="219" spans="1:10" x14ac:dyDescent="0.25">
      <c r="A219" s="117">
        <v>540081</v>
      </c>
      <c r="B219" s="2" t="s">
        <v>176</v>
      </c>
      <c r="C219" s="2" t="s">
        <v>71</v>
      </c>
      <c r="D219" s="2" t="s">
        <v>115</v>
      </c>
      <c r="E219" s="117">
        <v>3</v>
      </c>
      <c r="F219" s="117">
        <v>7</v>
      </c>
      <c r="G219" s="117">
        <v>3</v>
      </c>
      <c r="H219" s="117">
        <v>0</v>
      </c>
      <c r="I219" s="278">
        <v>0</v>
      </c>
      <c r="J219" s="278">
        <v>0</v>
      </c>
    </row>
    <row r="220" spans="1:10" x14ac:dyDescent="0.25">
      <c r="A220" s="117">
        <v>540165</v>
      </c>
      <c r="B220" s="2" t="s">
        <v>238</v>
      </c>
      <c r="C220" s="2" t="s">
        <v>71</v>
      </c>
      <c r="D220" s="2" t="s">
        <v>115</v>
      </c>
      <c r="E220" s="117">
        <v>3</v>
      </c>
      <c r="F220" s="117">
        <v>0</v>
      </c>
      <c r="G220" s="117">
        <v>0</v>
      </c>
      <c r="H220" s="117">
        <v>0</v>
      </c>
      <c r="I220" s="278" t="s">
        <v>488</v>
      </c>
      <c r="J220" s="278" t="s">
        <v>488</v>
      </c>
    </row>
    <row r="221" spans="1:10" x14ac:dyDescent="0.25">
      <c r="A221" s="117">
        <v>540166</v>
      </c>
      <c r="B221" s="2" t="s">
        <v>239</v>
      </c>
      <c r="C221" s="2" t="s">
        <v>71</v>
      </c>
      <c r="D221" s="2" t="s">
        <v>115</v>
      </c>
      <c r="E221" s="117">
        <v>3</v>
      </c>
      <c r="F221" s="117">
        <v>2</v>
      </c>
      <c r="G221" s="117">
        <v>2</v>
      </c>
      <c r="H221" s="117">
        <v>0</v>
      </c>
      <c r="I221" s="278">
        <v>0</v>
      </c>
      <c r="J221" s="278">
        <v>0</v>
      </c>
    </row>
    <row r="222" spans="1:10" x14ac:dyDescent="0.25">
      <c r="A222" s="117">
        <v>540167</v>
      </c>
      <c r="B222" s="2" t="s">
        <v>240</v>
      </c>
      <c r="C222" s="2" t="s">
        <v>71</v>
      </c>
      <c r="D222" s="2" t="s">
        <v>115</v>
      </c>
      <c r="E222" s="117">
        <v>3</v>
      </c>
      <c r="F222" s="117">
        <v>12</v>
      </c>
      <c r="G222" s="117">
        <v>4</v>
      </c>
      <c r="H222" s="117">
        <v>0</v>
      </c>
      <c r="I222" s="278">
        <v>0</v>
      </c>
      <c r="J222" s="278">
        <v>0</v>
      </c>
    </row>
    <row r="223" spans="1:10" x14ac:dyDescent="0.25">
      <c r="A223" s="117">
        <v>540168</v>
      </c>
      <c r="B223" s="2" t="s">
        <v>241</v>
      </c>
      <c r="C223" s="2" t="s">
        <v>71</v>
      </c>
      <c r="D223" s="2" t="s">
        <v>115</v>
      </c>
      <c r="E223" s="117">
        <v>3</v>
      </c>
      <c r="F223" s="117">
        <v>2</v>
      </c>
      <c r="G223" s="117">
        <v>1</v>
      </c>
      <c r="H223" s="117">
        <v>0</v>
      </c>
      <c r="I223" s="278">
        <v>0</v>
      </c>
      <c r="J223" s="278">
        <v>0</v>
      </c>
    </row>
    <row r="224" spans="1:10" x14ac:dyDescent="0.25">
      <c r="A224" s="117">
        <v>540222</v>
      </c>
      <c r="B224" s="2" t="s">
        <v>276</v>
      </c>
      <c r="C224" s="2" t="s">
        <v>71</v>
      </c>
      <c r="D224" s="2" t="s">
        <v>115</v>
      </c>
      <c r="E224" s="117">
        <v>3</v>
      </c>
      <c r="F224" s="117">
        <v>1</v>
      </c>
      <c r="G224" s="117">
        <v>0</v>
      </c>
      <c r="H224" s="117">
        <v>0</v>
      </c>
      <c r="I224" s="278" t="s">
        <v>488</v>
      </c>
      <c r="J224" s="278">
        <v>0</v>
      </c>
    </row>
    <row r="225" spans="1:10" x14ac:dyDescent="0.25">
      <c r="A225" s="117">
        <v>540271</v>
      </c>
      <c r="B225" s="2" t="s">
        <v>314</v>
      </c>
      <c r="C225" s="2" t="s">
        <v>71</v>
      </c>
      <c r="D225" s="2" t="s">
        <v>115</v>
      </c>
      <c r="E225" s="117">
        <v>3</v>
      </c>
      <c r="F225" s="117">
        <v>1</v>
      </c>
      <c r="G225" s="117">
        <v>0</v>
      </c>
      <c r="H225" s="117">
        <v>0</v>
      </c>
      <c r="I225" s="278" t="s">
        <v>488</v>
      </c>
      <c r="J225" s="278">
        <v>0</v>
      </c>
    </row>
    <row r="226" spans="1:10" x14ac:dyDescent="0.25">
      <c r="A226" s="269"/>
      <c r="B226" s="269"/>
      <c r="C226" s="269" t="s">
        <v>71</v>
      </c>
      <c r="D226" s="269"/>
      <c r="E226" s="269"/>
      <c r="F226" s="270">
        <v>116</v>
      </c>
      <c r="G226" s="270">
        <v>81</v>
      </c>
      <c r="H226" s="270">
        <v>30</v>
      </c>
      <c r="I226" s="279">
        <v>0.37040000000000001</v>
      </c>
      <c r="J226" s="279">
        <v>0.2586</v>
      </c>
    </row>
    <row r="227" spans="1:10" x14ac:dyDescent="0.25">
      <c r="A227" s="117">
        <v>540169</v>
      </c>
      <c r="B227" s="2" t="s">
        <v>72</v>
      </c>
      <c r="C227" s="2" t="s">
        <v>73</v>
      </c>
      <c r="D227" s="2" t="s">
        <v>5</v>
      </c>
      <c r="E227" s="117">
        <v>1</v>
      </c>
      <c r="F227" s="117">
        <v>183</v>
      </c>
      <c r="G227" s="117">
        <v>118</v>
      </c>
      <c r="H227" s="117">
        <v>77</v>
      </c>
      <c r="I227" s="278">
        <v>0.65249999999999997</v>
      </c>
      <c r="J227" s="278">
        <v>0.42080000000000001</v>
      </c>
    </row>
    <row r="228" spans="1:10" x14ac:dyDescent="0.25">
      <c r="A228" s="117">
        <v>540170</v>
      </c>
      <c r="B228" s="2" t="s">
        <v>242</v>
      </c>
      <c r="C228" s="2" t="s">
        <v>73</v>
      </c>
      <c r="D228" s="2" t="s">
        <v>115</v>
      </c>
      <c r="E228" s="117">
        <v>1</v>
      </c>
      <c r="F228" s="117">
        <v>12</v>
      </c>
      <c r="G228" s="117">
        <v>3</v>
      </c>
      <c r="H228" s="117">
        <v>2</v>
      </c>
      <c r="I228" s="278">
        <v>0.66669999999999996</v>
      </c>
      <c r="J228" s="278">
        <v>0.16669999999999999</v>
      </c>
    </row>
    <row r="229" spans="1:10" x14ac:dyDescent="0.25">
      <c r="A229" s="117">
        <v>540171</v>
      </c>
      <c r="B229" s="2" t="s">
        <v>243</v>
      </c>
      <c r="C229" s="2" t="s">
        <v>73</v>
      </c>
      <c r="D229" s="2" t="s">
        <v>115</v>
      </c>
      <c r="E229" s="117">
        <v>1</v>
      </c>
      <c r="F229" s="117">
        <v>1</v>
      </c>
      <c r="G229" s="117">
        <v>0</v>
      </c>
      <c r="H229" s="117">
        <v>1</v>
      </c>
      <c r="I229" s="278" t="s">
        <v>488</v>
      </c>
      <c r="J229" s="278">
        <v>1</v>
      </c>
    </row>
    <row r="230" spans="1:10" x14ac:dyDescent="0.25">
      <c r="A230" s="117">
        <v>540173</v>
      </c>
      <c r="B230" s="2" t="s">
        <v>245</v>
      </c>
      <c r="C230" s="2" t="s">
        <v>73</v>
      </c>
      <c r="D230" s="2" t="s">
        <v>115</v>
      </c>
      <c r="E230" s="117">
        <v>1</v>
      </c>
      <c r="F230" s="117">
        <v>4</v>
      </c>
      <c r="G230" s="117">
        <v>4</v>
      </c>
      <c r="H230" s="117">
        <v>4</v>
      </c>
      <c r="I230" s="278">
        <v>1</v>
      </c>
      <c r="J230" s="278">
        <v>1</v>
      </c>
    </row>
    <row r="231" spans="1:10" x14ac:dyDescent="0.25">
      <c r="A231" s="117">
        <v>540174</v>
      </c>
      <c r="B231" s="2" t="s">
        <v>246</v>
      </c>
      <c r="C231" s="2" t="s">
        <v>73</v>
      </c>
      <c r="D231" s="2" t="s">
        <v>115</v>
      </c>
      <c r="E231" s="117">
        <v>1</v>
      </c>
      <c r="F231" s="117">
        <v>0</v>
      </c>
      <c r="G231" s="117">
        <v>0</v>
      </c>
      <c r="H231" s="117">
        <v>0</v>
      </c>
      <c r="I231" s="278" t="s">
        <v>488</v>
      </c>
      <c r="J231" s="278" t="s">
        <v>488</v>
      </c>
    </row>
    <row r="232" spans="1:10" x14ac:dyDescent="0.25">
      <c r="A232" s="117">
        <v>540286</v>
      </c>
      <c r="B232" s="2" t="s">
        <v>325</v>
      </c>
      <c r="C232" s="2" t="s">
        <v>73</v>
      </c>
      <c r="D232" s="2" t="s">
        <v>115</v>
      </c>
      <c r="E232" s="117">
        <v>1</v>
      </c>
      <c r="F232" s="117">
        <v>1</v>
      </c>
      <c r="G232" s="117">
        <v>0</v>
      </c>
      <c r="H232" s="117">
        <v>0</v>
      </c>
      <c r="I232" s="278" t="s">
        <v>488</v>
      </c>
      <c r="J232" s="278">
        <v>0</v>
      </c>
    </row>
    <row r="233" spans="1:10" x14ac:dyDescent="0.25">
      <c r="A233" s="269"/>
      <c r="B233" s="269"/>
      <c r="C233" s="269" t="s">
        <v>73</v>
      </c>
      <c r="D233" s="269"/>
      <c r="E233" s="269"/>
      <c r="F233" s="270">
        <v>201</v>
      </c>
      <c r="G233" s="270">
        <v>125</v>
      </c>
      <c r="H233" s="270">
        <v>84</v>
      </c>
      <c r="I233" s="279">
        <v>0.67200000000000004</v>
      </c>
      <c r="J233" s="279">
        <v>0.41789999999999999</v>
      </c>
    </row>
    <row r="234" spans="1:10" x14ac:dyDescent="0.25">
      <c r="A234" s="117">
        <v>540183</v>
      </c>
      <c r="B234" s="2" t="s">
        <v>76</v>
      </c>
      <c r="C234" s="2" t="s">
        <v>77</v>
      </c>
      <c r="D234" s="2" t="s">
        <v>5</v>
      </c>
      <c r="E234" s="117">
        <v>5</v>
      </c>
      <c r="F234" s="117">
        <v>122</v>
      </c>
      <c r="G234" s="117">
        <v>103</v>
      </c>
      <c r="H234" s="117">
        <v>102</v>
      </c>
      <c r="I234" s="278">
        <v>0.99029999999999996</v>
      </c>
      <c r="J234" s="278">
        <v>0.83609999999999995</v>
      </c>
    </row>
    <row r="235" spans="1:10" x14ac:dyDescent="0.25">
      <c r="A235" s="117">
        <v>540184</v>
      </c>
      <c r="B235" s="2" t="s">
        <v>253</v>
      </c>
      <c r="C235" s="2" t="s">
        <v>77</v>
      </c>
      <c r="D235" s="2" t="s">
        <v>115</v>
      </c>
      <c r="E235" s="117">
        <v>5</v>
      </c>
      <c r="F235" s="117">
        <v>1</v>
      </c>
      <c r="G235" s="117">
        <v>0</v>
      </c>
      <c r="H235" s="117">
        <v>0</v>
      </c>
      <c r="I235" s="278" t="s">
        <v>488</v>
      </c>
      <c r="J235" s="278">
        <v>0</v>
      </c>
    </row>
    <row r="236" spans="1:10" x14ac:dyDescent="0.25">
      <c r="A236" s="117">
        <v>540185</v>
      </c>
      <c r="B236" s="2" t="s">
        <v>254</v>
      </c>
      <c r="C236" s="2" t="s">
        <v>77</v>
      </c>
      <c r="D236" s="2" t="s">
        <v>115</v>
      </c>
      <c r="E236" s="117">
        <v>5</v>
      </c>
      <c r="F236" s="117">
        <v>5</v>
      </c>
      <c r="G236" s="117">
        <v>4</v>
      </c>
      <c r="H236" s="117">
        <v>0</v>
      </c>
      <c r="I236" s="278">
        <v>0</v>
      </c>
      <c r="J236" s="278">
        <v>0</v>
      </c>
    </row>
    <row r="237" spans="1:10" x14ac:dyDescent="0.25">
      <c r="A237" s="269"/>
      <c r="B237" s="269"/>
      <c r="C237" s="269" t="s">
        <v>77</v>
      </c>
      <c r="D237" s="269"/>
      <c r="E237" s="269"/>
      <c r="F237" s="270">
        <v>128</v>
      </c>
      <c r="G237" s="270">
        <v>107</v>
      </c>
      <c r="H237" s="270">
        <v>102</v>
      </c>
      <c r="I237" s="279">
        <v>0.95330000000000004</v>
      </c>
      <c r="J237" s="279">
        <v>0.79690000000000005</v>
      </c>
    </row>
    <row r="238" spans="1:10" x14ac:dyDescent="0.25">
      <c r="A238" s="117">
        <v>540186</v>
      </c>
      <c r="B238" s="2" t="s">
        <v>78</v>
      </c>
      <c r="C238" s="2" t="s">
        <v>79</v>
      </c>
      <c r="D238" s="2" t="s">
        <v>5</v>
      </c>
      <c r="E238" s="117">
        <v>1</v>
      </c>
      <c r="F238" s="117">
        <v>59</v>
      </c>
      <c r="G238" s="117">
        <v>39</v>
      </c>
      <c r="H238" s="117">
        <v>29</v>
      </c>
      <c r="I238" s="278">
        <v>0.74360000000000004</v>
      </c>
      <c r="J238" s="278">
        <v>0.49149999999999999</v>
      </c>
    </row>
    <row r="239" spans="1:10" x14ac:dyDescent="0.25">
      <c r="A239" s="117">
        <v>540187</v>
      </c>
      <c r="B239" s="2" t="s">
        <v>255</v>
      </c>
      <c r="C239" s="2" t="s">
        <v>79</v>
      </c>
      <c r="D239" s="2" t="s">
        <v>115</v>
      </c>
      <c r="E239" s="117">
        <v>1</v>
      </c>
      <c r="F239" s="117">
        <v>5</v>
      </c>
      <c r="G239" s="117">
        <v>3</v>
      </c>
      <c r="H239" s="117">
        <v>3</v>
      </c>
      <c r="I239" s="278">
        <v>1</v>
      </c>
      <c r="J239" s="278">
        <v>0.6</v>
      </c>
    </row>
    <row r="240" spans="1:10" x14ac:dyDescent="0.25">
      <c r="A240" s="269"/>
      <c r="B240" s="269"/>
      <c r="C240" s="269" t="s">
        <v>79</v>
      </c>
      <c r="D240" s="269"/>
      <c r="E240" s="269"/>
      <c r="F240" s="270">
        <v>64</v>
      </c>
      <c r="G240" s="270">
        <v>42</v>
      </c>
      <c r="H240" s="270">
        <v>32</v>
      </c>
      <c r="I240" s="279">
        <v>0.76190000000000002</v>
      </c>
      <c r="J240" s="279">
        <v>0.5</v>
      </c>
    </row>
    <row r="241" spans="1:10" x14ac:dyDescent="0.25">
      <c r="A241" s="117">
        <v>540188</v>
      </c>
      <c r="B241" s="2" t="s">
        <v>80</v>
      </c>
      <c r="C241" s="2" t="s">
        <v>81</v>
      </c>
      <c r="D241" s="2" t="s">
        <v>5</v>
      </c>
      <c r="E241" s="117">
        <v>6</v>
      </c>
      <c r="F241" s="117">
        <v>62</v>
      </c>
      <c r="G241" s="117">
        <v>49</v>
      </c>
      <c r="H241" s="117">
        <v>37</v>
      </c>
      <c r="I241" s="278">
        <v>0.75509999999999999</v>
      </c>
      <c r="J241" s="278">
        <v>0.5968</v>
      </c>
    </row>
    <row r="242" spans="1:10" x14ac:dyDescent="0.25">
      <c r="A242" s="117">
        <v>540189</v>
      </c>
      <c r="B242" s="2" t="s">
        <v>256</v>
      </c>
      <c r="C242" s="2" t="s">
        <v>81</v>
      </c>
      <c r="D242" s="2" t="s">
        <v>115</v>
      </c>
      <c r="E242" s="117">
        <v>6</v>
      </c>
      <c r="F242" s="117">
        <v>4</v>
      </c>
      <c r="G242" s="117">
        <v>4</v>
      </c>
      <c r="H242" s="117">
        <v>4</v>
      </c>
      <c r="I242" s="278">
        <v>1</v>
      </c>
      <c r="J242" s="278">
        <v>1</v>
      </c>
    </row>
    <row r="243" spans="1:10" x14ac:dyDescent="0.25">
      <c r="A243" s="117">
        <v>540190</v>
      </c>
      <c r="B243" s="2" t="s">
        <v>257</v>
      </c>
      <c r="C243" s="2" t="s">
        <v>81</v>
      </c>
      <c r="D243" s="2" t="s">
        <v>115</v>
      </c>
      <c r="E243" s="117">
        <v>6</v>
      </c>
      <c r="F243" s="117">
        <v>7</v>
      </c>
      <c r="G243" s="117">
        <v>7</v>
      </c>
      <c r="H243" s="117">
        <v>7</v>
      </c>
      <c r="I243" s="278">
        <v>1</v>
      </c>
      <c r="J243" s="278">
        <v>1</v>
      </c>
    </row>
    <row r="244" spans="1:10" x14ac:dyDescent="0.25">
      <c r="A244" s="269"/>
      <c r="B244" s="269"/>
      <c r="C244" s="269" t="s">
        <v>81</v>
      </c>
      <c r="D244" s="269"/>
      <c r="E244" s="269"/>
      <c r="F244" s="270">
        <v>73</v>
      </c>
      <c r="G244" s="270">
        <v>60</v>
      </c>
      <c r="H244" s="270">
        <v>48</v>
      </c>
      <c r="I244" s="279">
        <v>0.8</v>
      </c>
      <c r="J244" s="279">
        <v>0.65749999999999997</v>
      </c>
    </row>
    <row r="245" spans="1:10" x14ac:dyDescent="0.25">
      <c r="A245" s="117">
        <v>540198</v>
      </c>
      <c r="B245" s="2" t="s">
        <v>82</v>
      </c>
      <c r="C245" s="2" t="s">
        <v>83</v>
      </c>
      <c r="D245" s="2" t="s">
        <v>5</v>
      </c>
      <c r="E245" s="117">
        <v>7</v>
      </c>
      <c r="F245" s="117">
        <v>89</v>
      </c>
      <c r="G245" s="117">
        <v>66</v>
      </c>
      <c r="H245" s="117">
        <v>0</v>
      </c>
      <c r="I245" s="278">
        <v>0</v>
      </c>
      <c r="J245" s="278">
        <v>0</v>
      </c>
    </row>
    <row r="246" spans="1:10" x14ac:dyDescent="0.25">
      <c r="A246" s="117">
        <v>540199</v>
      </c>
      <c r="B246" s="2" t="s">
        <v>261</v>
      </c>
      <c r="C246" s="2" t="s">
        <v>83</v>
      </c>
      <c r="D246" s="2" t="s">
        <v>115</v>
      </c>
      <c r="E246" s="117">
        <v>7</v>
      </c>
      <c r="F246" s="117">
        <v>17</v>
      </c>
      <c r="G246" s="117">
        <v>6</v>
      </c>
      <c r="H246" s="117">
        <v>0</v>
      </c>
      <c r="I246" s="278">
        <v>0</v>
      </c>
      <c r="J246" s="278">
        <v>0</v>
      </c>
    </row>
    <row r="247" spans="1:10" x14ac:dyDescent="0.25">
      <c r="A247" s="269"/>
      <c r="B247" s="269"/>
      <c r="C247" s="269" t="s">
        <v>83</v>
      </c>
      <c r="D247" s="269"/>
      <c r="E247" s="269"/>
      <c r="F247" s="270">
        <v>106</v>
      </c>
      <c r="G247" s="270">
        <v>72</v>
      </c>
      <c r="H247" s="270">
        <v>0</v>
      </c>
      <c r="I247" s="279">
        <v>0</v>
      </c>
      <c r="J247" s="279">
        <v>0</v>
      </c>
    </row>
    <row r="248" spans="1:10" x14ac:dyDescent="0.25">
      <c r="A248" s="117">
        <v>540200</v>
      </c>
      <c r="B248" s="2" t="s">
        <v>84</v>
      </c>
      <c r="C248" s="2" t="s">
        <v>85</v>
      </c>
      <c r="D248" s="2" t="s">
        <v>5</v>
      </c>
      <c r="E248" s="117">
        <v>2</v>
      </c>
      <c r="F248" s="117">
        <v>137</v>
      </c>
      <c r="G248" s="117">
        <v>126</v>
      </c>
      <c r="H248" s="117">
        <v>81</v>
      </c>
      <c r="I248" s="278">
        <v>0.64290000000000003</v>
      </c>
      <c r="J248" s="278">
        <v>0.59119999999999995</v>
      </c>
    </row>
    <row r="249" spans="1:10" x14ac:dyDescent="0.25">
      <c r="A249" s="117">
        <v>540018</v>
      </c>
      <c r="B249" s="2" t="s">
        <v>127</v>
      </c>
      <c r="C249" s="2" t="s">
        <v>85</v>
      </c>
      <c r="D249" s="2" t="s">
        <v>115</v>
      </c>
      <c r="E249" s="117">
        <v>2</v>
      </c>
      <c r="F249" s="117">
        <v>5</v>
      </c>
      <c r="G249" s="117">
        <v>2</v>
      </c>
      <c r="H249" s="117">
        <v>0</v>
      </c>
      <c r="I249" s="278">
        <v>0</v>
      </c>
      <c r="J249" s="278">
        <v>0</v>
      </c>
    </row>
    <row r="250" spans="1:10" x14ac:dyDescent="0.25">
      <c r="A250" s="117">
        <v>540202</v>
      </c>
      <c r="B250" s="2" t="s">
        <v>262</v>
      </c>
      <c r="C250" s="2" t="s">
        <v>85</v>
      </c>
      <c r="D250" s="2" t="s">
        <v>115</v>
      </c>
      <c r="E250" s="117">
        <v>2</v>
      </c>
      <c r="F250" s="117">
        <v>2</v>
      </c>
      <c r="G250" s="117">
        <v>2</v>
      </c>
      <c r="H250" s="117">
        <v>2</v>
      </c>
      <c r="I250" s="278">
        <v>1</v>
      </c>
      <c r="J250" s="278">
        <v>1</v>
      </c>
    </row>
    <row r="251" spans="1:10" x14ac:dyDescent="0.25">
      <c r="A251" s="117">
        <v>540221</v>
      </c>
      <c r="B251" s="2" t="s">
        <v>275</v>
      </c>
      <c r="C251" s="2" t="s">
        <v>85</v>
      </c>
      <c r="D251" s="2" t="s">
        <v>115</v>
      </c>
      <c r="E251" s="117">
        <v>2</v>
      </c>
      <c r="F251" s="117">
        <v>7</v>
      </c>
      <c r="G251" s="117">
        <v>0</v>
      </c>
      <c r="H251" s="117">
        <v>0</v>
      </c>
      <c r="I251" s="278" t="s">
        <v>488</v>
      </c>
      <c r="J251" s="278">
        <v>0</v>
      </c>
    </row>
    <row r="252" spans="1:10" x14ac:dyDescent="0.25">
      <c r="A252" s="117">
        <v>540231</v>
      </c>
      <c r="B252" s="2" t="s">
        <v>281</v>
      </c>
      <c r="C252" s="2" t="s">
        <v>85</v>
      </c>
      <c r="D252" s="2" t="s">
        <v>115</v>
      </c>
      <c r="E252" s="117">
        <v>2</v>
      </c>
      <c r="F252" s="117">
        <v>6</v>
      </c>
      <c r="G252" s="117">
        <v>6</v>
      </c>
      <c r="H252" s="117">
        <v>0</v>
      </c>
      <c r="I252" s="278">
        <v>0</v>
      </c>
      <c r="J252" s="278">
        <v>0</v>
      </c>
    </row>
    <row r="253" spans="1:10" x14ac:dyDescent="0.25">
      <c r="A253" s="117">
        <v>540232</v>
      </c>
      <c r="B253" s="2" t="s">
        <v>282</v>
      </c>
      <c r="C253" s="2" t="s">
        <v>85</v>
      </c>
      <c r="D253" s="2" t="s">
        <v>115</v>
      </c>
      <c r="E253" s="117">
        <v>2</v>
      </c>
      <c r="F253" s="117">
        <v>8</v>
      </c>
      <c r="G253" s="117">
        <v>4</v>
      </c>
      <c r="H253" s="117">
        <v>0</v>
      </c>
      <c r="I253" s="278">
        <v>0</v>
      </c>
      <c r="J253" s="278">
        <v>0</v>
      </c>
    </row>
    <row r="254" spans="1:10" x14ac:dyDescent="0.25">
      <c r="A254" s="269"/>
      <c r="B254" s="269"/>
      <c r="C254" s="269" t="s">
        <v>85</v>
      </c>
      <c r="D254" s="269"/>
      <c r="E254" s="269"/>
      <c r="F254" s="270">
        <v>165</v>
      </c>
      <c r="G254" s="270">
        <v>140</v>
      </c>
      <c r="H254" s="270">
        <v>83</v>
      </c>
      <c r="I254" s="279">
        <v>0.59289999999999998</v>
      </c>
      <c r="J254" s="279">
        <v>0.503</v>
      </c>
    </row>
    <row r="255" spans="1:10" x14ac:dyDescent="0.25">
      <c r="A255" s="117">
        <v>540203</v>
      </c>
      <c r="B255" s="2" t="s">
        <v>86</v>
      </c>
      <c r="C255" s="2" t="s">
        <v>87</v>
      </c>
      <c r="D255" s="2" t="s">
        <v>5</v>
      </c>
      <c r="E255" s="117">
        <v>4</v>
      </c>
      <c r="F255" s="117">
        <v>71</v>
      </c>
      <c r="G255" s="117">
        <v>58</v>
      </c>
      <c r="H255" s="117">
        <v>35</v>
      </c>
      <c r="I255" s="278">
        <v>0.60340000000000005</v>
      </c>
      <c r="J255" s="278">
        <v>0.49299999999999999</v>
      </c>
    </row>
    <row r="256" spans="1:10" x14ac:dyDescent="0.25">
      <c r="A256" s="117">
        <v>540204</v>
      </c>
      <c r="B256" s="2" t="s">
        <v>263</v>
      </c>
      <c r="C256" s="2" t="s">
        <v>87</v>
      </c>
      <c r="D256" s="2" t="s">
        <v>115</v>
      </c>
      <c r="E256" s="117">
        <v>4</v>
      </c>
      <c r="F256" s="117">
        <v>2</v>
      </c>
      <c r="G256" s="117">
        <v>2</v>
      </c>
      <c r="H256" s="117">
        <v>2</v>
      </c>
      <c r="I256" s="278">
        <v>1</v>
      </c>
      <c r="J256" s="278">
        <v>1</v>
      </c>
    </row>
    <row r="257" spans="1:10" x14ac:dyDescent="0.25">
      <c r="A257" s="117">
        <v>540205</v>
      </c>
      <c r="B257" s="2" t="s">
        <v>264</v>
      </c>
      <c r="C257" s="2" t="s">
        <v>87</v>
      </c>
      <c r="D257" s="2" t="s">
        <v>115</v>
      </c>
      <c r="E257" s="117">
        <v>4</v>
      </c>
      <c r="F257" s="117">
        <v>1</v>
      </c>
      <c r="G257" s="117">
        <v>0</v>
      </c>
      <c r="H257" s="117">
        <v>1</v>
      </c>
      <c r="I257" s="278" t="s">
        <v>488</v>
      </c>
      <c r="J257" s="278">
        <v>1</v>
      </c>
    </row>
    <row r="258" spans="1:10" x14ac:dyDescent="0.25">
      <c r="A258" s="117">
        <v>540206</v>
      </c>
      <c r="B258" s="2" t="s">
        <v>265</v>
      </c>
      <c r="C258" s="2" t="s">
        <v>87</v>
      </c>
      <c r="D258" s="2" t="s">
        <v>115</v>
      </c>
      <c r="E258" s="117">
        <v>4</v>
      </c>
      <c r="F258" s="117">
        <v>2</v>
      </c>
      <c r="G258" s="117">
        <v>2</v>
      </c>
      <c r="H258" s="117">
        <v>0</v>
      </c>
      <c r="I258" s="278">
        <v>0</v>
      </c>
      <c r="J258" s="278">
        <v>0</v>
      </c>
    </row>
    <row r="259" spans="1:10" x14ac:dyDescent="0.25">
      <c r="A259" s="269"/>
      <c r="B259" s="269"/>
      <c r="C259" s="269" t="s">
        <v>87</v>
      </c>
      <c r="D259" s="269"/>
      <c r="E259" s="269"/>
      <c r="F259" s="270">
        <v>76</v>
      </c>
      <c r="G259" s="270">
        <v>62</v>
      </c>
      <c r="H259" s="270">
        <v>38</v>
      </c>
      <c r="I259" s="279">
        <v>0.6129</v>
      </c>
      <c r="J259" s="279">
        <v>0.5</v>
      </c>
    </row>
    <row r="260" spans="1:10" x14ac:dyDescent="0.25">
      <c r="A260" s="117">
        <v>540207</v>
      </c>
      <c r="B260" s="2" t="s">
        <v>88</v>
      </c>
      <c r="C260" s="2" t="s">
        <v>89</v>
      </c>
      <c r="D260" s="2" t="s">
        <v>5</v>
      </c>
      <c r="E260" s="117">
        <v>10</v>
      </c>
      <c r="F260" s="117">
        <v>90</v>
      </c>
      <c r="G260" s="117">
        <v>64</v>
      </c>
      <c r="H260" s="117">
        <v>0</v>
      </c>
      <c r="I260" s="278">
        <v>0</v>
      </c>
      <c r="J260" s="278">
        <v>0</v>
      </c>
    </row>
    <row r="261" spans="1:10" x14ac:dyDescent="0.25">
      <c r="A261" s="117">
        <v>540196</v>
      </c>
      <c r="B261" s="2" t="s">
        <v>259</v>
      </c>
      <c r="C261" s="2" t="s">
        <v>89</v>
      </c>
      <c r="D261" s="2" t="s">
        <v>115</v>
      </c>
      <c r="E261" s="117">
        <v>5</v>
      </c>
      <c r="F261" s="117">
        <v>0</v>
      </c>
      <c r="G261" s="117">
        <v>0</v>
      </c>
      <c r="H261" s="117">
        <v>0</v>
      </c>
      <c r="I261" s="278" t="s">
        <v>488</v>
      </c>
      <c r="J261" s="278" t="s">
        <v>488</v>
      </c>
    </row>
    <row r="262" spans="1:10" x14ac:dyDescent="0.25">
      <c r="A262" s="117">
        <v>540208</v>
      </c>
      <c r="B262" s="2" t="s">
        <v>266</v>
      </c>
      <c r="C262" s="2" t="s">
        <v>89</v>
      </c>
      <c r="D262" s="2" t="s">
        <v>115</v>
      </c>
      <c r="E262" s="117">
        <v>10</v>
      </c>
      <c r="F262" s="117">
        <v>4</v>
      </c>
      <c r="G262" s="117">
        <v>3</v>
      </c>
      <c r="H262" s="117">
        <v>0</v>
      </c>
      <c r="I262" s="278">
        <v>0</v>
      </c>
      <c r="J262" s="278">
        <v>0</v>
      </c>
    </row>
    <row r="263" spans="1:10" x14ac:dyDescent="0.25">
      <c r="A263" s="117">
        <v>540210</v>
      </c>
      <c r="B263" s="2" t="s">
        <v>267</v>
      </c>
      <c r="C263" s="2" t="s">
        <v>89</v>
      </c>
      <c r="D263" s="2" t="s">
        <v>115</v>
      </c>
      <c r="E263" s="117">
        <v>10</v>
      </c>
      <c r="F263" s="117">
        <v>5</v>
      </c>
      <c r="G263" s="117">
        <v>5</v>
      </c>
      <c r="H263" s="117">
        <v>0</v>
      </c>
      <c r="I263" s="278">
        <v>0</v>
      </c>
      <c r="J263" s="278">
        <v>0</v>
      </c>
    </row>
    <row r="264" spans="1:10" x14ac:dyDescent="0.25">
      <c r="A264" s="117">
        <v>540256</v>
      </c>
      <c r="B264" s="2" t="s">
        <v>301</v>
      </c>
      <c r="C264" s="2" t="s">
        <v>89</v>
      </c>
      <c r="D264" s="2" t="s">
        <v>115</v>
      </c>
      <c r="E264" s="117">
        <v>10</v>
      </c>
      <c r="F264" s="117">
        <v>7</v>
      </c>
      <c r="G264" s="117">
        <v>7</v>
      </c>
      <c r="H264" s="117">
        <v>6</v>
      </c>
      <c r="I264" s="278">
        <v>0.85709999999999997</v>
      </c>
      <c r="J264" s="278">
        <v>0.85709999999999997</v>
      </c>
    </row>
    <row r="265" spans="1:10" x14ac:dyDescent="0.25">
      <c r="A265" s="117">
        <v>540258</v>
      </c>
      <c r="B265" s="2" t="s">
        <v>303</v>
      </c>
      <c r="C265" s="2" t="s">
        <v>89</v>
      </c>
      <c r="D265" s="2" t="s">
        <v>115</v>
      </c>
      <c r="E265" s="117">
        <v>10</v>
      </c>
      <c r="F265" s="117">
        <v>4</v>
      </c>
      <c r="G265" s="117">
        <v>4</v>
      </c>
      <c r="H265" s="117">
        <v>0</v>
      </c>
      <c r="I265" s="278">
        <v>0</v>
      </c>
      <c r="J265" s="278">
        <v>0</v>
      </c>
    </row>
    <row r="266" spans="1:10" x14ac:dyDescent="0.25">
      <c r="A266" s="269"/>
      <c r="B266" s="269"/>
      <c r="C266" s="269" t="s">
        <v>89</v>
      </c>
      <c r="D266" s="269"/>
      <c r="E266" s="269"/>
      <c r="F266" s="270">
        <v>110</v>
      </c>
      <c r="G266" s="270">
        <v>83</v>
      </c>
      <c r="H266" s="270">
        <v>6</v>
      </c>
      <c r="I266" s="279">
        <v>7.2300000000000003E-2</v>
      </c>
      <c r="J266" s="279">
        <v>5.45E-2</v>
      </c>
    </row>
    <row r="267" spans="1:10" x14ac:dyDescent="0.25">
      <c r="A267" s="117">
        <v>540211</v>
      </c>
      <c r="B267" s="2" t="s">
        <v>90</v>
      </c>
      <c r="C267" s="2" t="s">
        <v>91</v>
      </c>
      <c r="D267" s="2" t="s">
        <v>5</v>
      </c>
      <c r="E267" s="117">
        <v>5</v>
      </c>
      <c r="F267" s="117">
        <v>41</v>
      </c>
      <c r="G267" s="117">
        <v>37</v>
      </c>
      <c r="H267" s="117">
        <v>0</v>
      </c>
      <c r="I267" s="278">
        <v>0</v>
      </c>
      <c r="J267" s="278">
        <v>0</v>
      </c>
    </row>
    <row r="268" spans="1:10" x14ac:dyDescent="0.25">
      <c r="A268" s="117">
        <v>540212</v>
      </c>
      <c r="B268" s="2" t="s">
        <v>268</v>
      </c>
      <c r="C268" s="2" t="s">
        <v>91</v>
      </c>
      <c r="D268" s="2" t="s">
        <v>115</v>
      </c>
      <c r="E268" s="117">
        <v>5</v>
      </c>
      <c r="F268" s="117">
        <v>0</v>
      </c>
      <c r="G268" s="117">
        <v>0</v>
      </c>
      <c r="H268" s="117">
        <v>0</v>
      </c>
      <c r="I268" s="278" t="s">
        <v>488</v>
      </c>
      <c r="J268" s="278" t="s">
        <v>488</v>
      </c>
    </row>
    <row r="269" spans="1:10" x14ac:dyDescent="0.25">
      <c r="A269" s="269"/>
      <c r="B269" s="269"/>
      <c r="C269" s="269" t="s">
        <v>91</v>
      </c>
      <c r="D269" s="269"/>
      <c r="E269" s="269"/>
      <c r="F269" s="270">
        <v>41</v>
      </c>
      <c r="G269" s="270">
        <v>37</v>
      </c>
      <c r="H269" s="270">
        <v>0</v>
      </c>
      <c r="I269" s="279">
        <v>0</v>
      </c>
      <c r="J269" s="279">
        <v>0</v>
      </c>
    </row>
    <row r="270" spans="1:10" x14ac:dyDescent="0.25">
      <c r="A270" s="117">
        <v>540213</v>
      </c>
      <c r="B270" s="2" t="s">
        <v>92</v>
      </c>
      <c r="C270" s="2" t="s">
        <v>93</v>
      </c>
      <c r="D270" s="2" t="s">
        <v>5</v>
      </c>
      <c r="E270" s="117">
        <v>5</v>
      </c>
      <c r="F270" s="117">
        <v>146</v>
      </c>
      <c r="G270" s="117">
        <v>100</v>
      </c>
      <c r="H270" s="117">
        <v>0</v>
      </c>
      <c r="I270" s="278">
        <v>0</v>
      </c>
      <c r="J270" s="278">
        <v>0</v>
      </c>
    </row>
    <row r="271" spans="1:10" x14ac:dyDescent="0.25">
      <c r="A271" s="117">
        <v>540042</v>
      </c>
      <c r="B271" s="2" t="s">
        <v>143</v>
      </c>
      <c r="C271" s="2" t="s">
        <v>93</v>
      </c>
      <c r="D271" s="2" t="s">
        <v>115</v>
      </c>
      <c r="E271" s="117">
        <v>5</v>
      </c>
      <c r="F271" s="117">
        <v>0</v>
      </c>
      <c r="G271" s="117">
        <v>0</v>
      </c>
      <c r="H271" s="117">
        <v>0</v>
      </c>
      <c r="I271" s="278" t="s">
        <v>488</v>
      </c>
      <c r="J271" s="278" t="s">
        <v>488</v>
      </c>
    </row>
    <row r="272" spans="1:10" x14ac:dyDescent="0.25">
      <c r="A272" s="117">
        <v>540214</v>
      </c>
      <c r="B272" s="2" t="s">
        <v>269</v>
      </c>
      <c r="C272" s="2" t="s">
        <v>93</v>
      </c>
      <c r="D272" s="2" t="s">
        <v>115</v>
      </c>
      <c r="E272" s="117">
        <v>5</v>
      </c>
      <c r="F272" s="117">
        <v>29</v>
      </c>
      <c r="G272" s="117">
        <v>15</v>
      </c>
      <c r="H272" s="117">
        <v>0</v>
      </c>
      <c r="I272" s="278">
        <v>0</v>
      </c>
      <c r="J272" s="278">
        <v>0</v>
      </c>
    </row>
    <row r="273" spans="1:10" x14ac:dyDescent="0.25">
      <c r="A273" s="117">
        <v>540215</v>
      </c>
      <c r="B273" s="2" t="s">
        <v>270</v>
      </c>
      <c r="C273" s="2" t="s">
        <v>93</v>
      </c>
      <c r="D273" s="2" t="s">
        <v>115</v>
      </c>
      <c r="E273" s="117">
        <v>5</v>
      </c>
      <c r="F273" s="117">
        <v>6</v>
      </c>
      <c r="G273" s="117">
        <v>6</v>
      </c>
      <c r="H273" s="117">
        <v>0</v>
      </c>
      <c r="I273" s="278">
        <v>0</v>
      </c>
      <c r="J273" s="278">
        <v>0</v>
      </c>
    </row>
    <row r="274" spans="1:10" x14ac:dyDescent="0.25">
      <c r="A274" s="117">
        <v>540216</v>
      </c>
      <c r="B274" s="2" t="s">
        <v>271</v>
      </c>
      <c r="C274" s="2" t="s">
        <v>93</v>
      </c>
      <c r="D274" s="2" t="s">
        <v>115</v>
      </c>
      <c r="E274" s="117">
        <v>5</v>
      </c>
      <c r="F274" s="117">
        <v>2</v>
      </c>
      <c r="G274" s="117">
        <v>1</v>
      </c>
      <c r="H274" s="117">
        <v>0</v>
      </c>
      <c r="I274" s="278">
        <v>0</v>
      </c>
      <c r="J274" s="278">
        <v>0</v>
      </c>
    </row>
    <row r="275" spans="1:10" x14ac:dyDescent="0.25">
      <c r="A275" s="269"/>
      <c r="B275" s="269"/>
      <c r="C275" s="269" t="s">
        <v>93</v>
      </c>
      <c r="D275" s="269"/>
      <c r="E275" s="269"/>
      <c r="F275" s="270">
        <v>183</v>
      </c>
      <c r="G275" s="270">
        <v>122</v>
      </c>
      <c r="H275" s="270">
        <v>0</v>
      </c>
      <c r="I275" s="279">
        <v>0</v>
      </c>
      <c r="J275" s="279">
        <v>0</v>
      </c>
    </row>
    <row r="276" spans="1:10" x14ac:dyDescent="0.25">
      <c r="A276" s="117">
        <v>540224</v>
      </c>
      <c r="B276" s="2" t="s">
        <v>96</v>
      </c>
      <c r="C276" s="2" t="s">
        <v>97</v>
      </c>
      <c r="D276" s="2" t="s">
        <v>5</v>
      </c>
      <c r="E276" s="117">
        <v>5</v>
      </c>
      <c r="F276" s="117">
        <v>109</v>
      </c>
      <c r="G276" s="117">
        <v>97</v>
      </c>
      <c r="H276" s="117">
        <v>91</v>
      </c>
      <c r="I276" s="278">
        <v>0.93810000000000004</v>
      </c>
      <c r="J276" s="278">
        <v>0.83489999999999998</v>
      </c>
    </row>
    <row r="277" spans="1:10" x14ac:dyDescent="0.25">
      <c r="A277" s="117">
        <v>540132</v>
      </c>
      <c r="B277" s="2" t="s">
        <v>216</v>
      </c>
      <c r="C277" s="2" t="s">
        <v>97</v>
      </c>
      <c r="D277" s="2" t="s">
        <v>115</v>
      </c>
      <c r="E277" s="117">
        <v>5</v>
      </c>
      <c r="F277" s="117">
        <v>1</v>
      </c>
      <c r="G277" s="117">
        <v>0</v>
      </c>
      <c r="H277" s="117">
        <v>1</v>
      </c>
      <c r="I277" s="278" t="s">
        <v>488</v>
      </c>
      <c r="J277" s="278">
        <v>1</v>
      </c>
    </row>
    <row r="278" spans="1:10" x14ac:dyDescent="0.25">
      <c r="A278" s="117">
        <v>540179</v>
      </c>
      <c r="B278" s="2" t="s">
        <v>250</v>
      </c>
      <c r="C278" s="2" t="s">
        <v>97</v>
      </c>
      <c r="D278" s="2" t="s">
        <v>115</v>
      </c>
      <c r="E278" s="117">
        <v>5</v>
      </c>
      <c r="F278" s="117">
        <v>3</v>
      </c>
      <c r="G278" s="117">
        <v>3</v>
      </c>
      <c r="H278" s="117">
        <v>0</v>
      </c>
      <c r="I278" s="278">
        <v>0</v>
      </c>
      <c r="J278" s="278">
        <v>0</v>
      </c>
    </row>
    <row r="279" spans="1:10" x14ac:dyDescent="0.25">
      <c r="A279" s="117">
        <v>540180</v>
      </c>
      <c r="B279" s="2" t="s">
        <v>251</v>
      </c>
      <c r="C279" s="2" t="s">
        <v>97</v>
      </c>
      <c r="D279" s="2" t="s">
        <v>115</v>
      </c>
      <c r="E279" s="117">
        <v>5</v>
      </c>
      <c r="F279" s="117">
        <v>6</v>
      </c>
      <c r="G279" s="117">
        <v>3</v>
      </c>
      <c r="H279" s="117">
        <v>3</v>
      </c>
      <c r="I279" s="278">
        <v>1</v>
      </c>
      <c r="J279" s="278">
        <v>0.5</v>
      </c>
    </row>
    <row r="280" spans="1:10" x14ac:dyDescent="0.25">
      <c r="A280" s="117">
        <v>540182</v>
      </c>
      <c r="B280" s="2" t="s">
        <v>252</v>
      </c>
      <c r="C280" s="2" t="s">
        <v>97</v>
      </c>
      <c r="D280" s="2" t="s">
        <v>115</v>
      </c>
      <c r="E280" s="117">
        <v>5</v>
      </c>
      <c r="F280" s="117">
        <v>5</v>
      </c>
      <c r="G280" s="117">
        <v>4</v>
      </c>
      <c r="H280" s="117">
        <v>2</v>
      </c>
      <c r="I280" s="278">
        <v>0.5</v>
      </c>
      <c r="J280" s="278">
        <v>0.4</v>
      </c>
    </row>
    <row r="281" spans="1:10" x14ac:dyDescent="0.25">
      <c r="A281" s="117">
        <v>540262</v>
      </c>
      <c r="B281" s="2" t="s">
        <v>305</v>
      </c>
      <c r="C281" s="2" t="s">
        <v>97</v>
      </c>
      <c r="D281" s="2" t="s">
        <v>115</v>
      </c>
      <c r="E281" s="117">
        <v>5</v>
      </c>
      <c r="F281" s="117">
        <v>3</v>
      </c>
      <c r="G281" s="117">
        <v>3</v>
      </c>
      <c r="H281" s="117">
        <v>3</v>
      </c>
      <c r="I281" s="278">
        <v>1</v>
      </c>
      <c r="J281" s="278">
        <v>1</v>
      </c>
    </row>
    <row r="282" spans="1:10" x14ac:dyDescent="0.25">
      <c r="A282" s="117">
        <v>540263</v>
      </c>
      <c r="B282" s="2" t="s">
        <v>306</v>
      </c>
      <c r="C282" s="2" t="s">
        <v>97</v>
      </c>
      <c r="D282" s="2" t="s">
        <v>115</v>
      </c>
      <c r="E282" s="117">
        <v>5</v>
      </c>
      <c r="F282" s="117">
        <v>2</v>
      </c>
      <c r="G282" s="117">
        <v>1</v>
      </c>
      <c r="H282" s="117">
        <v>1</v>
      </c>
      <c r="I282" s="278">
        <v>1</v>
      </c>
      <c r="J282" s="278">
        <v>0.5</v>
      </c>
    </row>
    <row r="283" spans="1:10" x14ac:dyDescent="0.25">
      <c r="A283" s="269"/>
      <c r="B283" s="269"/>
      <c r="C283" s="269" t="s">
        <v>97</v>
      </c>
      <c r="D283" s="269"/>
      <c r="E283" s="269"/>
      <c r="F283" s="270">
        <v>129</v>
      </c>
      <c r="G283" s="270">
        <v>111</v>
      </c>
      <c r="H283" s="270">
        <v>101</v>
      </c>
      <c r="I283" s="279">
        <v>0.90990000000000004</v>
      </c>
      <c r="J283" s="279">
        <v>0.78290000000000004</v>
      </c>
    </row>
    <row r="284" spans="1:10" x14ac:dyDescent="0.25">
      <c r="A284" s="117">
        <v>540225</v>
      </c>
      <c r="B284" s="2" t="s">
        <v>98</v>
      </c>
      <c r="C284" s="2" t="s">
        <v>99</v>
      </c>
      <c r="D284" s="2" t="s">
        <v>5</v>
      </c>
      <c r="E284" s="117">
        <v>5</v>
      </c>
      <c r="F284" s="117">
        <v>23</v>
      </c>
      <c r="G284" s="117">
        <v>18</v>
      </c>
      <c r="H284" s="117">
        <v>10</v>
      </c>
      <c r="I284" s="278">
        <v>0.55559999999999998</v>
      </c>
      <c r="J284" s="278">
        <v>0.43480000000000002</v>
      </c>
    </row>
    <row r="285" spans="1:10" x14ac:dyDescent="0.25">
      <c r="A285" s="117">
        <v>540156</v>
      </c>
      <c r="B285" s="2" t="s">
        <v>232</v>
      </c>
      <c r="C285" s="2" t="s">
        <v>99</v>
      </c>
      <c r="D285" s="2" t="s">
        <v>115</v>
      </c>
      <c r="E285" s="117">
        <v>5</v>
      </c>
      <c r="F285" s="117">
        <v>2</v>
      </c>
      <c r="G285" s="117">
        <v>1</v>
      </c>
      <c r="H285" s="117">
        <v>0</v>
      </c>
      <c r="I285" s="278">
        <v>0</v>
      </c>
      <c r="J285" s="278">
        <v>0</v>
      </c>
    </row>
    <row r="286" spans="1:10" x14ac:dyDescent="0.25">
      <c r="A286" s="117">
        <v>540253</v>
      </c>
      <c r="B286" s="2" t="s">
        <v>299</v>
      </c>
      <c r="C286" s="2" t="s">
        <v>99</v>
      </c>
      <c r="D286" s="2" t="s">
        <v>115</v>
      </c>
      <c r="E286" s="117">
        <v>5</v>
      </c>
      <c r="F286" s="117">
        <v>0</v>
      </c>
      <c r="G286" s="117">
        <v>0</v>
      </c>
      <c r="H286" s="117">
        <v>0</v>
      </c>
      <c r="I286" s="278" t="s">
        <v>488</v>
      </c>
      <c r="J286" s="278" t="s">
        <v>488</v>
      </c>
    </row>
    <row r="287" spans="1:10" x14ac:dyDescent="0.25">
      <c r="A287" s="269"/>
      <c r="B287" s="269"/>
      <c r="C287" s="269" t="s">
        <v>99</v>
      </c>
      <c r="D287" s="269"/>
      <c r="E287" s="269"/>
      <c r="F287" s="270">
        <v>25</v>
      </c>
      <c r="G287" s="270">
        <v>19</v>
      </c>
      <c r="H287" s="270">
        <v>10</v>
      </c>
      <c r="I287" s="279">
        <v>0.52629999999999999</v>
      </c>
      <c r="J287" s="279">
        <v>0.4</v>
      </c>
    </row>
    <row r="288" spans="1:10" x14ac:dyDescent="0.25">
      <c r="A288" s="117">
        <v>540226</v>
      </c>
      <c r="B288" s="2" t="s">
        <v>100</v>
      </c>
      <c r="C288" s="2" t="s">
        <v>101</v>
      </c>
      <c r="D288" s="2" t="s">
        <v>5</v>
      </c>
      <c r="E288" s="117">
        <v>8</v>
      </c>
      <c r="F288" s="117">
        <v>88</v>
      </c>
      <c r="G288" s="117">
        <v>77</v>
      </c>
      <c r="H288" s="117">
        <v>0</v>
      </c>
      <c r="I288" s="278">
        <v>0</v>
      </c>
      <c r="J288" s="278">
        <v>0</v>
      </c>
    </row>
    <row r="289" spans="1:10" x14ac:dyDescent="0.25">
      <c r="A289" s="117">
        <v>540046</v>
      </c>
      <c r="B289" s="2" t="s">
        <v>147</v>
      </c>
      <c r="C289" s="2" t="s">
        <v>101</v>
      </c>
      <c r="D289" s="2" t="s">
        <v>115</v>
      </c>
      <c r="E289" s="117">
        <v>8</v>
      </c>
      <c r="F289" s="117">
        <v>2</v>
      </c>
      <c r="G289" s="117">
        <v>2</v>
      </c>
      <c r="H289" s="117">
        <v>0</v>
      </c>
      <c r="I289" s="278">
        <v>0</v>
      </c>
      <c r="J289" s="278">
        <v>0</v>
      </c>
    </row>
    <row r="290" spans="1:10" x14ac:dyDescent="0.25">
      <c r="A290" s="117">
        <v>540276</v>
      </c>
      <c r="B290" s="2" t="s">
        <v>319</v>
      </c>
      <c r="C290" s="2" t="s">
        <v>101</v>
      </c>
      <c r="D290" s="2" t="s">
        <v>115</v>
      </c>
      <c r="E290" s="117">
        <v>8</v>
      </c>
      <c r="F290" s="117">
        <v>0</v>
      </c>
      <c r="G290" s="117">
        <v>0</v>
      </c>
      <c r="H290" s="117">
        <v>0</v>
      </c>
      <c r="I290" s="278" t="s">
        <v>488</v>
      </c>
      <c r="J290" s="278" t="s">
        <v>488</v>
      </c>
    </row>
    <row r="291" spans="1:10" x14ac:dyDescent="0.25">
      <c r="A291" s="269"/>
      <c r="B291" s="269"/>
      <c r="C291" s="269" t="s">
        <v>101</v>
      </c>
      <c r="D291" s="269"/>
      <c r="E291" s="269"/>
      <c r="F291" s="270">
        <v>90</v>
      </c>
      <c r="G291" s="270">
        <v>79</v>
      </c>
      <c r="H291" s="270">
        <v>0</v>
      </c>
      <c r="I291" s="279">
        <v>0</v>
      </c>
      <c r="J291" s="279">
        <v>0</v>
      </c>
    </row>
    <row r="292" spans="1:10" x14ac:dyDescent="0.25">
      <c r="A292" s="117">
        <v>540277</v>
      </c>
      <c r="B292" s="2" t="s">
        <v>102</v>
      </c>
      <c r="C292" s="2" t="s">
        <v>103</v>
      </c>
      <c r="D292" s="2" t="s">
        <v>5</v>
      </c>
      <c r="E292" s="117">
        <v>5</v>
      </c>
      <c r="F292" s="117">
        <v>72</v>
      </c>
      <c r="G292" s="117">
        <v>63</v>
      </c>
      <c r="H292" s="117">
        <v>60</v>
      </c>
      <c r="I292" s="278">
        <v>0.95240000000000002</v>
      </c>
      <c r="J292" s="278">
        <v>0.83330000000000004</v>
      </c>
    </row>
    <row r="293" spans="1:10" x14ac:dyDescent="0.25">
      <c r="A293" s="117">
        <v>540195</v>
      </c>
      <c r="B293" s="2" t="s">
        <v>258</v>
      </c>
      <c r="C293" s="2" t="s">
        <v>103</v>
      </c>
      <c r="D293" s="2" t="s">
        <v>115</v>
      </c>
      <c r="E293" s="117">
        <v>5</v>
      </c>
      <c r="F293" s="117">
        <v>1</v>
      </c>
      <c r="G293" s="117">
        <v>0</v>
      </c>
      <c r="H293" s="117">
        <v>0</v>
      </c>
      <c r="I293" s="278" t="s">
        <v>488</v>
      </c>
      <c r="J293" s="278">
        <v>0</v>
      </c>
    </row>
    <row r="294" spans="1:10" x14ac:dyDescent="0.25">
      <c r="A294" s="117">
        <v>540196</v>
      </c>
      <c r="B294" s="2" t="s">
        <v>259</v>
      </c>
      <c r="C294" s="2" t="s">
        <v>103</v>
      </c>
      <c r="D294" s="2" t="s">
        <v>115</v>
      </c>
      <c r="E294" s="117">
        <v>5</v>
      </c>
      <c r="F294" s="117">
        <v>0</v>
      </c>
      <c r="G294" s="117">
        <v>0</v>
      </c>
      <c r="H294" s="117">
        <v>0</v>
      </c>
      <c r="I294" s="278" t="s">
        <v>488</v>
      </c>
      <c r="J294" s="278" t="s">
        <v>488</v>
      </c>
    </row>
    <row r="295" spans="1:10" x14ac:dyDescent="0.25">
      <c r="A295" s="117">
        <v>540197</v>
      </c>
      <c r="B295" s="2" t="s">
        <v>260</v>
      </c>
      <c r="C295" s="2" t="s">
        <v>103</v>
      </c>
      <c r="D295" s="2" t="s">
        <v>115</v>
      </c>
      <c r="E295" s="117">
        <v>5</v>
      </c>
      <c r="F295" s="117">
        <v>2</v>
      </c>
      <c r="G295" s="117">
        <v>0</v>
      </c>
      <c r="H295" s="117">
        <v>0</v>
      </c>
      <c r="I295" s="278" t="s">
        <v>488</v>
      </c>
      <c r="J295" s="278">
        <v>0</v>
      </c>
    </row>
    <row r="296" spans="1:10" x14ac:dyDescent="0.25">
      <c r="A296" s="117">
        <v>540259</v>
      </c>
      <c r="B296" s="2" t="s">
        <v>304</v>
      </c>
      <c r="C296" s="2" t="s">
        <v>103</v>
      </c>
      <c r="D296" s="2" t="s">
        <v>115</v>
      </c>
      <c r="E296" s="117">
        <v>5</v>
      </c>
      <c r="F296" s="117">
        <v>0</v>
      </c>
      <c r="G296" s="117">
        <v>0</v>
      </c>
      <c r="H296" s="117">
        <v>0</v>
      </c>
      <c r="I296" s="278" t="s">
        <v>488</v>
      </c>
      <c r="J296" s="278" t="s">
        <v>488</v>
      </c>
    </row>
    <row r="297" spans="1:10" x14ac:dyDescent="0.25">
      <c r="A297" s="269"/>
      <c r="B297" s="269"/>
      <c r="C297" s="269" t="s">
        <v>103</v>
      </c>
      <c r="D297" s="269"/>
      <c r="E297" s="269"/>
      <c r="F297" s="270">
        <v>75</v>
      </c>
      <c r="G297" s="270">
        <v>63</v>
      </c>
      <c r="H297" s="270">
        <v>60</v>
      </c>
      <c r="I297" s="279">
        <v>0.95240000000000002</v>
      </c>
      <c r="J297" s="279">
        <v>0.8</v>
      </c>
    </row>
    <row r="298" spans="1:10" x14ac:dyDescent="0.25">
      <c r="A298" s="117">
        <v>540278</v>
      </c>
      <c r="B298" s="2" t="s">
        <v>104</v>
      </c>
      <c r="C298" s="2" t="s">
        <v>105</v>
      </c>
      <c r="D298" s="2" t="s">
        <v>5</v>
      </c>
      <c r="E298" s="117">
        <v>1</v>
      </c>
      <c r="F298" s="117">
        <v>57</v>
      </c>
      <c r="G298" s="117">
        <v>56</v>
      </c>
      <c r="H298" s="117">
        <v>52</v>
      </c>
      <c r="I298" s="278">
        <v>0.92859999999999998</v>
      </c>
      <c r="J298" s="278">
        <v>0.9123</v>
      </c>
    </row>
    <row r="299" spans="1:10" x14ac:dyDescent="0.25">
      <c r="A299" s="117">
        <v>540041</v>
      </c>
      <c r="B299" s="2" t="s">
        <v>142</v>
      </c>
      <c r="C299" s="2" t="s">
        <v>105</v>
      </c>
      <c r="D299" s="2" t="s">
        <v>115</v>
      </c>
      <c r="E299" s="117">
        <v>1</v>
      </c>
      <c r="F299" s="117">
        <v>1</v>
      </c>
      <c r="G299" s="117">
        <v>0</v>
      </c>
      <c r="H299" s="117">
        <v>1</v>
      </c>
      <c r="I299" s="278" t="s">
        <v>488</v>
      </c>
      <c r="J299" s="278">
        <v>1</v>
      </c>
    </row>
    <row r="300" spans="1:10" x14ac:dyDescent="0.25">
      <c r="A300" s="117">
        <v>540143</v>
      </c>
      <c r="B300" s="2" t="s">
        <v>224</v>
      </c>
      <c r="C300" s="2" t="s">
        <v>105</v>
      </c>
      <c r="D300" s="2" t="s">
        <v>115</v>
      </c>
      <c r="E300" s="117">
        <v>1</v>
      </c>
      <c r="F300" s="117">
        <v>3</v>
      </c>
      <c r="G300" s="117">
        <v>3</v>
      </c>
      <c r="H300" s="117">
        <v>3</v>
      </c>
      <c r="I300" s="278">
        <v>1</v>
      </c>
      <c r="J300" s="278">
        <v>1</v>
      </c>
    </row>
    <row r="301" spans="1:10" x14ac:dyDescent="0.25">
      <c r="A301" s="117">
        <v>540290</v>
      </c>
      <c r="B301" s="2" t="s">
        <v>327</v>
      </c>
      <c r="C301" s="2" t="s">
        <v>105</v>
      </c>
      <c r="D301" s="2" t="s">
        <v>115</v>
      </c>
      <c r="E301" s="117">
        <v>1</v>
      </c>
      <c r="F301" s="117">
        <v>0</v>
      </c>
      <c r="G301" s="117">
        <v>0</v>
      </c>
      <c r="H301" s="117">
        <v>0</v>
      </c>
      <c r="I301" s="278" t="s">
        <v>488</v>
      </c>
      <c r="J301" s="278" t="s">
        <v>488</v>
      </c>
    </row>
    <row r="302" spans="1:10" x14ac:dyDescent="0.25">
      <c r="A302" s="269"/>
      <c r="B302" s="269"/>
      <c r="C302" s="269" t="s">
        <v>105</v>
      </c>
      <c r="D302" s="269"/>
      <c r="E302" s="269"/>
      <c r="F302" s="270">
        <v>61</v>
      </c>
      <c r="G302" s="270">
        <v>59</v>
      </c>
      <c r="H302" s="270">
        <v>56</v>
      </c>
      <c r="I302" s="279">
        <v>0.94920000000000004</v>
      </c>
      <c r="J302" s="279">
        <v>0.91800000000000004</v>
      </c>
    </row>
    <row r="303" spans="1:10" x14ac:dyDescent="0.25">
      <c r="A303" s="117">
        <v>540282</v>
      </c>
      <c r="B303" s="2" t="s">
        <v>106</v>
      </c>
      <c r="C303" s="2" t="s">
        <v>107</v>
      </c>
      <c r="D303" s="2" t="s">
        <v>5</v>
      </c>
      <c r="E303" s="117">
        <v>9</v>
      </c>
      <c r="F303" s="117">
        <v>105</v>
      </c>
      <c r="G303" s="117">
        <v>50</v>
      </c>
      <c r="H303" s="117">
        <v>39</v>
      </c>
      <c r="I303" s="278">
        <v>0.78</v>
      </c>
      <c r="J303" s="278">
        <v>0.37140000000000001</v>
      </c>
    </row>
    <row r="304" spans="1:10" x14ac:dyDescent="0.25">
      <c r="A304" s="117">
        <v>540006</v>
      </c>
      <c r="B304" s="2" t="s">
        <v>119</v>
      </c>
      <c r="C304" s="2" t="s">
        <v>107</v>
      </c>
      <c r="D304" s="2" t="s">
        <v>115</v>
      </c>
      <c r="E304" s="117">
        <v>9</v>
      </c>
      <c r="F304" s="117">
        <v>8</v>
      </c>
      <c r="G304" s="117">
        <v>7</v>
      </c>
      <c r="H304" s="117">
        <v>5</v>
      </c>
      <c r="I304" s="278">
        <v>0.71430000000000005</v>
      </c>
      <c r="J304" s="278">
        <v>0.625</v>
      </c>
    </row>
    <row r="305" spans="1:10" x14ac:dyDescent="0.25">
      <c r="A305" s="117">
        <v>545550</v>
      </c>
      <c r="B305" s="2" t="s">
        <v>339</v>
      </c>
      <c r="C305" s="2" t="s">
        <v>107</v>
      </c>
      <c r="D305" s="2" t="s">
        <v>115</v>
      </c>
      <c r="E305" s="117">
        <v>9</v>
      </c>
      <c r="F305" s="117">
        <v>0</v>
      </c>
      <c r="G305" s="117">
        <v>0</v>
      </c>
      <c r="H305" s="117">
        <v>0</v>
      </c>
      <c r="I305" s="278" t="s">
        <v>488</v>
      </c>
      <c r="J305" s="278" t="s">
        <v>488</v>
      </c>
    </row>
    <row r="306" spans="1:10" x14ac:dyDescent="0.25">
      <c r="A306" s="269"/>
      <c r="B306" s="269"/>
      <c r="C306" s="269" t="s">
        <v>107</v>
      </c>
      <c r="D306" s="269"/>
      <c r="E306" s="269"/>
      <c r="F306" s="270">
        <v>113</v>
      </c>
      <c r="G306" s="270">
        <v>57</v>
      </c>
      <c r="H306" s="270">
        <v>44</v>
      </c>
      <c r="I306" s="279">
        <v>0.77190000000000003</v>
      </c>
      <c r="J306" s="279">
        <v>0.38940000000000002</v>
      </c>
    </row>
    <row r="307" spans="1:10" x14ac:dyDescent="0.25">
      <c r="A307" s="117">
        <v>540283</v>
      </c>
      <c r="B307" s="2" t="s">
        <v>108</v>
      </c>
      <c r="C307" s="2" t="s">
        <v>109</v>
      </c>
      <c r="D307" s="2" t="s">
        <v>5</v>
      </c>
      <c r="E307" s="117">
        <v>4</v>
      </c>
      <c r="F307" s="117">
        <v>85</v>
      </c>
      <c r="G307" s="117">
        <v>55</v>
      </c>
      <c r="H307" s="117">
        <v>0</v>
      </c>
      <c r="I307" s="278">
        <v>0</v>
      </c>
      <c r="J307" s="278">
        <v>0</v>
      </c>
    </row>
    <row r="308" spans="1:10" x14ac:dyDescent="0.25">
      <c r="A308" s="117">
        <v>540158</v>
      </c>
      <c r="B308" s="2" t="s">
        <v>233</v>
      </c>
      <c r="C308" s="2" t="s">
        <v>109</v>
      </c>
      <c r="D308" s="2" t="s">
        <v>115</v>
      </c>
      <c r="E308" s="117">
        <v>4</v>
      </c>
      <c r="F308" s="117">
        <v>0</v>
      </c>
      <c r="G308" s="117">
        <v>0</v>
      </c>
      <c r="H308" s="117">
        <v>0</v>
      </c>
      <c r="I308" s="278" t="s">
        <v>488</v>
      </c>
      <c r="J308" s="278" t="s">
        <v>488</v>
      </c>
    </row>
    <row r="309" spans="1:10" x14ac:dyDescent="0.25">
      <c r="A309" s="117">
        <v>540159</v>
      </c>
      <c r="B309" s="2" t="s">
        <v>234</v>
      </c>
      <c r="C309" s="2" t="s">
        <v>109</v>
      </c>
      <c r="D309" s="2" t="s">
        <v>115</v>
      </c>
      <c r="E309" s="117">
        <v>4</v>
      </c>
      <c r="F309" s="117">
        <v>8</v>
      </c>
      <c r="G309" s="117">
        <v>7</v>
      </c>
      <c r="H309" s="117">
        <v>0</v>
      </c>
      <c r="I309" s="278">
        <v>0</v>
      </c>
      <c r="J309" s="278">
        <v>0</v>
      </c>
    </row>
    <row r="310" spans="1:10" x14ac:dyDescent="0.25">
      <c r="A310" s="117">
        <v>540288</v>
      </c>
      <c r="B310" s="2" t="s">
        <v>340</v>
      </c>
      <c r="C310" s="2" t="s">
        <v>109</v>
      </c>
      <c r="D310" s="2" t="s">
        <v>115</v>
      </c>
      <c r="E310" s="117">
        <v>4</v>
      </c>
      <c r="F310" s="117">
        <v>0</v>
      </c>
      <c r="G310" s="117">
        <v>0</v>
      </c>
      <c r="H310" s="117">
        <v>0</v>
      </c>
      <c r="I310" s="278" t="s">
        <v>488</v>
      </c>
      <c r="J310" s="278" t="s">
        <v>488</v>
      </c>
    </row>
    <row r="311" spans="1:10" x14ac:dyDescent="0.25">
      <c r="A311" s="269"/>
      <c r="B311" s="269"/>
      <c r="C311" s="269" t="s">
        <v>109</v>
      </c>
      <c r="D311" s="269"/>
      <c r="E311" s="269"/>
      <c r="F311" s="270">
        <v>93</v>
      </c>
      <c r="G311" s="270">
        <v>62</v>
      </c>
      <c r="H311" s="270">
        <v>0</v>
      </c>
      <c r="I311" s="279">
        <v>0</v>
      </c>
      <c r="J311" s="279">
        <v>0</v>
      </c>
    </row>
    <row r="312" spans="1:10" x14ac:dyDescent="0.25">
      <c r="A312" s="117">
        <v>545536</v>
      </c>
      <c r="B312" s="2" t="s">
        <v>110</v>
      </c>
      <c r="C312" s="2" t="s">
        <v>111</v>
      </c>
      <c r="D312" s="2" t="s">
        <v>5</v>
      </c>
      <c r="E312" s="117">
        <v>2</v>
      </c>
      <c r="F312" s="117">
        <v>221</v>
      </c>
      <c r="G312" s="117">
        <v>198</v>
      </c>
      <c r="H312" s="117">
        <v>69</v>
      </c>
      <c r="I312" s="278">
        <v>0.34849999999999998</v>
      </c>
      <c r="J312" s="278">
        <v>0.31219999999999998</v>
      </c>
    </row>
    <row r="313" spans="1:10" x14ac:dyDescent="0.25">
      <c r="A313" s="117">
        <v>540092</v>
      </c>
      <c r="B313" s="2" t="s">
        <v>183</v>
      </c>
      <c r="C313" s="2" t="s">
        <v>111</v>
      </c>
      <c r="D313" s="2" t="s">
        <v>115</v>
      </c>
      <c r="E313" s="117">
        <v>2</v>
      </c>
      <c r="F313" s="117">
        <v>4</v>
      </c>
      <c r="G313" s="117">
        <v>2</v>
      </c>
      <c r="H313" s="117">
        <v>0</v>
      </c>
      <c r="I313" s="278">
        <v>0</v>
      </c>
      <c r="J313" s="278">
        <v>0</v>
      </c>
    </row>
    <row r="314" spans="1:10" x14ac:dyDescent="0.25">
      <c r="A314" s="117">
        <v>540095</v>
      </c>
      <c r="B314" s="2" t="s">
        <v>186</v>
      </c>
      <c r="C314" s="2" t="s">
        <v>111</v>
      </c>
      <c r="D314" s="2" t="s">
        <v>115</v>
      </c>
      <c r="E314" s="117">
        <v>2</v>
      </c>
      <c r="F314" s="117">
        <v>0</v>
      </c>
      <c r="G314" s="117">
        <v>0</v>
      </c>
      <c r="H314" s="117">
        <v>0</v>
      </c>
      <c r="I314" s="278" t="s">
        <v>488</v>
      </c>
      <c r="J314" s="278" t="s">
        <v>488</v>
      </c>
    </row>
    <row r="315" spans="1:10" x14ac:dyDescent="0.25">
      <c r="A315" s="117">
        <v>545535</v>
      </c>
      <c r="B315" s="2" t="s">
        <v>332</v>
      </c>
      <c r="C315" s="2" t="s">
        <v>111</v>
      </c>
      <c r="D315" s="2" t="s">
        <v>115</v>
      </c>
      <c r="E315" s="117">
        <v>2</v>
      </c>
      <c r="F315" s="117">
        <v>6</v>
      </c>
      <c r="G315" s="117">
        <v>5</v>
      </c>
      <c r="H315" s="117">
        <v>0</v>
      </c>
      <c r="I315" s="278">
        <v>0</v>
      </c>
      <c r="J315" s="278">
        <v>0</v>
      </c>
    </row>
    <row r="316" spans="1:10" x14ac:dyDescent="0.25">
      <c r="A316" s="117">
        <v>545537</v>
      </c>
      <c r="B316" s="2" t="s">
        <v>333</v>
      </c>
      <c r="C316" s="2" t="s">
        <v>111</v>
      </c>
      <c r="D316" s="2" t="s">
        <v>115</v>
      </c>
      <c r="E316" s="117">
        <v>2</v>
      </c>
      <c r="F316" s="117">
        <v>6</v>
      </c>
      <c r="G316" s="117">
        <v>5</v>
      </c>
      <c r="H316" s="117">
        <v>0</v>
      </c>
      <c r="I316" s="278">
        <v>0</v>
      </c>
      <c r="J316" s="278">
        <v>0</v>
      </c>
    </row>
    <row r="317" spans="1:10" x14ac:dyDescent="0.25">
      <c r="A317" s="117">
        <v>545539</v>
      </c>
      <c r="B317" s="2" t="s">
        <v>335</v>
      </c>
      <c r="C317" s="2" t="s">
        <v>111</v>
      </c>
      <c r="D317" s="2" t="s">
        <v>115</v>
      </c>
      <c r="E317" s="117">
        <v>2</v>
      </c>
      <c r="F317" s="117">
        <v>0</v>
      </c>
      <c r="G317" s="117">
        <v>0</v>
      </c>
      <c r="H317" s="117">
        <v>0</v>
      </c>
      <c r="I317" s="278" t="s">
        <v>488</v>
      </c>
      <c r="J317" s="278" t="s">
        <v>488</v>
      </c>
    </row>
    <row r="318" spans="1:10" x14ac:dyDescent="0.25">
      <c r="A318" s="269"/>
      <c r="B318" s="269"/>
      <c r="C318" s="269" t="s">
        <v>111</v>
      </c>
      <c r="D318" s="269"/>
      <c r="E318" s="269"/>
      <c r="F318" s="270">
        <v>237</v>
      </c>
      <c r="G318" s="270">
        <v>210</v>
      </c>
      <c r="H318" s="270">
        <v>69</v>
      </c>
      <c r="I318" s="279">
        <v>0.3286</v>
      </c>
      <c r="J318" s="279">
        <v>0.29110000000000003</v>
      </c>
    </row>
    <row r="319" spans="1:10" x14ac:dyDescent="0.25">
      <c r="A319" s="117">
        <v>540191</v>
      </c>
      <c r="B319" s="2" t="s">
        <v>112</v>
      </c>
      <c r="C319" s="2" t="s">
        <v>113</v>
      </c>
      <c r="D319" s="2" t="s">
        <v>5</v>
      </c>
      <c r="E319" s="117">
        <v>7</v>
      </c>
      <c r="F319" s="117">
        <v>56</v>
      </c>
      <c r="G319" s="117">
        <v>43</v>
      </c>
      <c r="H319" s="117">
        <v>24</v>
      </c>
      <c r="I319" s="278">
        <v>0.55810000000000004</v>
      </c>
      <c r="J319" s="278">
        <v>0.42859999999999998</v>
      </c>
    </row>
    <row r="320" spans="1:10" x14ac:dyDescent="0.25">
      <c r="A320" s="117">
        <v>540193</v>
      </c>
      <c r="B320" s="2" t="s">
        <v>342</v>
      </c>
      <c r="C320" s="2" t="s">
        <v>113</v>
      </c>
      <c r="D320" s="2" t="s">
        <v>115</v>
      </c>
      <c r="E320" s="117">
        <v>7</v>
      </c>
      <c r="F320" s="117">
        <v>1</v>
      </c>
      <c r="G320" s="117">
        <v>0</v>
      </c>
      <c r="H320" s="117">
        <v>0</v>
      </c>
      <c r="I320" s="278" t="s">
        <v>488</v>
      </c>
      <c r="J320" s="278">
        <v>0</v>
      </c>
    </row>
    <row r="321" spans="1:10" x14ac:dyDescent="0.25">
      <c r="A321" s="117">
        <v>540192</v>
      </c>
      <c r="B321" s="2" t="s">
        <v>343</v>
      </c>
      <c r="C321" s="2" t="s">
        <v>113</v>
      </c>
      <c r="D321" s="2" t="s">
        <v>115</v>
      </c>
      <c r="E321" s="117">
        <v>7</v>
      </c>
      <c r="F321" s="117">
        <v>0</v>
      </c>
      <c r="G321" s="117">
        <v>0</v>
      </c>
      <c r="H321" s="117">
        <v>0</v>
      </c>
      <c r="I321" s="278" t="s">
        <v>488</v>
      </c>
      <c r="J321" s="278" t="s">
        <v>488</v>
      </c>
    </row>
    <row r="322" spans="1:10" x14ac:dyDescent="0.25">
      <c r="A322" s="117">
        <v>540194</v>
      </c>
      <c r="B322" s="2" t="s">
        <v>344</v>
      </c>
      <c r="C322" s="2" t="s">
        <v>113</v>
      </c>
      <c r="D322" s="2" t="s">
        <v>115</v>
      </c>
      <c r="E322" s="117">
        <v>7</v>
      </c>
      <c r="F322" s="117">
        <v>1</v>
      </c>
      <c r="G322" s="117">
        <v>0</v>
      </c>
      <c r="H322" s="117">
        <v>0</v>
      </c>
      <c r="I322" s="278" t="s">
        <v>488</v>
      </c>
      <c r="J322" s="278">
        <v>0</v>
      </c>
    </row>
    <row r="323" spans="1:10" x14ac:dyDescent="0.25">
      <c r="A323" s="117">
        <v>540261</v>
      </c>
      <c r="B323" s="2" t="s">
        <v>345</v>
      </c>
      <c r="C323" s="2" t="s">
        <v>113</v>
      </c>
      <c r="D323" s="2" t="s">
        <v>115</v>
      </c>
      <c r="E323" s="117">
        <v>7</v>
      </c>
      <c r="F323" s="117">
        <v>1</v>
      </c>
      <c r="G323" s="117">
        <v>0</v>
      </c>
      <c r="H323" s="117">
        <v>0</v>
      </c>
      <c r="I323" s="278" t="s">
        <v>488</v>
      </c>
      <c r="J323" s="278">
        <v>0</v>
      </c>
    </row>
    <row r="324" spans="1:10" x14ac:dyDescent="0.25">
      <c r="A324" s="117">
        <v>540260</v>
      </c>
      <c r="B324" s="2" t="s">
        <v>346</v>
      </c>
      <c r="C324" s="2" t="s">
        <v>113</v>
      </c>
      <c r="D324" s="2" t="s">
        <v>115</v>
      </c>
      <c r="E324" s="117">
        <v>7</v>
      </c>
      <c r="F324" s="117">
        <v>2</v>
      </c>
      <c r="G324" s="117">
        <v>1</v>
      </c>
      <c r="H324" s="117">
        <v>0</v>
      </c>
      <c r="I324" s="278">
        <v>0</v>
      </c>
      <c r="J324" s="278">
        <v>0</v>
      </c>
    </row>
    <row r="325" spans="1:10" x14ac:dyDescent="0.25">
      <c r="A325" s="269"/>
      <c r="B325" s="269"/>
      <c r="C325" s="269" t="s">
        <v>113</v>
      </c>
      <c r="D325" s="269"/>
      <c r="E325" s="269"/>
      <c r="F325" s="270">
        <v>61</v>
      </c>
      <c r="G325" s="270">
        <v>44</v>
      </c>
      <c r="H325" s="270">
        <v>24</v>
      </c>
      <c r="I325" s="279">
        <v>0.54549999999999998</v>
      </c>
      <c r="J325" s="279">
        <v>0.39340000000000003</v>
      </c>
    </row>
    <row r="326" spans="1:10" x14ac:dyDescent="0.25">
      <c r="A326" s="117">
        <v>540027</v>
      </c>
      <c r="B326" s="2" t="s">
        <v>132</v>
      </c>
      <c r="C326" s="2" t="s">
        <v>21</v>
      </c>
      <c r="D326" s="2" t="s">
        <v>115</v>
      </c>
      <c r="E326" s="117">
        <v>4</v>
      </c>
      <c r="F326" s="117">
        <v>3</v>
      </c>
      <c r="G326" s="117">
        <v>1</v>
      </c>
      <c r="H326" s="117">
        <v>1</v>
      </c>
      <c r="I326" s="278">
        <v>1</v>
      </c>
      <c r="J326" s="278">
        <v>0.33329999999999999</v>
      </c>
    </row>
    <row r="327" spans="1:10" x14ac:dyDescent="0.25">
      <c r="A327" s="117">
        <v>540028</v>
      </c>
      <c r="B327" s="2" t="s">
        <v>133</v>
      </c>
      <c r="C327" s="2" t="s">
        <v>21</v>
      </c>
      <c r="D327" s="2" t="s">
        <v>115</v>
      </c>
      <c r="E327" s="117">
        <v>4</v>
      </c>
      <c r="F327" s="117">
        <v>3</v>
      </c>
      <c r="G327" s="117">
        <v>3</v>
      </c>
      <c r="H327" s="117">
        <v>3</v>
      </c>
      <c r="I327" s="278">
        <v>1</v>
      </c>
      <c r="J327" s="278">
        <v>1</v>
      </c>
    </row>
    <row r="328" spans="1:10" x14ac:dyDescent="0.25">
      <c r="A328" s="117">
        <v>540029</v>
      </c>
      <c r="B328" s="2" t="s">
        <v>134</v>
      </c>
      <c r="C328" s="2" t="s">
        <v>21</v>
      </c>
      <c r="D328" s="2" t="s">
        <v>115</v>
      </c>
      <c r="E328" s="117">
        <v>4</v>
      </c>
      <c r="F328" s="117">
        <v>2</v>
      </c>
      <c r="G328" s="117">
        <v>2</v>
      </c>
      <c r="H328" s="117">
        <v>2</v>
      </c>
      <c r="I328" s="278">
        <v>1</v>
      </c>
      <c r="J328" s="278">
        <v>1</v>
      </c>
    </row>
    <row r="329" spans="1:10" x14ac:dyDescent="0.25">
      <c r="A329" s="117">
        <v>540031</v>
      </c>
      <c r="B329" s="2" t="s">
        <v>136</v>
      </c>
      <c r="C329" s="2" t="s">
        <v>21</v>
      </c>
      <c r="D329" s="2" t="s">
        <v>115</v>
      </c>
      <c r="E329" s="117">
        <v>4</v>
      </c>
      <c r="F329" s="117">
        <v>8</v>
      </c>
      <c r="G329" s="117">
        <v>2</v>
      </c>
      <c r="H329" s="117">
        <v>2</v>
      </c>
      <c r="I329" s="278">
        <v>1</v>
      </c>
      <c r="J329" s="278">
        <v>0.25</v>
      </c>
    </row>
    <row r="330" spans="1:10" x14ac:dyDescent="0.25">
      <c r="A330" s="117">
        <v>540032</v>
      </c>
      <c r="B330" s="2" t="s">
        <v>137</v>
      </c>
      <c r="C330" s="2" t="s">
        <v>21</v>
      </c>
      <c r="D330" s="2" t="s">
        <v>115</v>
      </c>
      <c r="E330" s="117">
        <v>4</v>
      </c>
      <c r="F330" s="117">
        <v>1</v>
      </c>
      <c r="G330" s="117">
        <v>0</v>
      </c>
      <c r="H330" s="117">
        <v>1</v>
      </c>
      <c r="I330" s="278" t="s">
        <v>488</v>
      </c>
      <c r="J330" s="278">
        <v>1</v>
      </c>
    </row>
    <row r="331" spans="1:10" x14ac:dyDescent="0.25">
      <c r="A331" s="117">
        <v>540050</v>
      </c>
      <c r="B331" s="2" t="s">
        <v>150</v>
      </c>
      <c r="C331" s="2" t="s">
        <v>21</v>
      </c>
      <c r="D331" s="2" t="s">
        <v>115</v>
      </c>
      <c r="E331" s="117">
        <v>4</v>
      </c>
      <c r="F331" s="117">
        <v>0</v>
      </c>
      <c r="G331" s="117">
        <v>0</v>
      </c>
      <c r="H331" s="117">
        <v>0</v>
      </c>
      <c r="I331" s="278" t="s">
        <v>488</v>
      </c>
      <c r="J331" s="278" t="s">
        <v>488</v>
      </c>
    </row>
    <row r="332" spans="1:10" x14ac:dyDescent="0.25">
      <c r="A332" s="117">
        <v>540293</v>
      </c>
      <c r="B332" s="2" t="s">
        <v>330</v>
      </c>
      <c r="C332" s="2" t="s">
        <v>21</v>
      </c>
      <c r="D332" s="2" t="s">
        <v>115</v>
      </c>
      <c r="E332" s="117">
        <v>4</v>
      </c>
      <c r="F332" s="117">
        <v>4</v>
      </c>
      <c r="G332" s="117">
        <v>1</v>
      </c>
      <c r="H332" s="117">
        <v>1</v>
      </c>
      <c r="I332" s="278">
        <v>1</v>
      </c>
      <c r="J332" s="278">
        <v>0.25</v>
      </c>
    </row>
    <row r="333" spans="1:10" x14ac:dyDescent="0.25">
      <c r="A333" s="117">
        <v>540294</v>
      </c>
      <c r="B333" s="2" t="s">
        <v>331</v>
      </c>
      <c r="C333" s="2" t="s">
        <v>21</v>
      </c>
      <c r="D333" s="2" t="s">
        <v>115</v>
      </c>
      <c r="E333" s="117">
        <v>4</v>
      </c>
      <c r="F333" s="117">
        <v>3</v>
      </c>
      <c r="G333" s="117">
        <v>3</v>
      </c>
      <c r="H333" s="117">
        <v>3</v>
      </c>
      <c r="I333" s="278">
        <v>1</v>
      </c>
      <c r="J333" s="278">
        <v>1</v>
      </c>
    </row>
    <row r="334" spans="1:10" x14ac:dyDescent="0.25">
      <c r="A334" s="117">
        <v>540033</v>
      </c>
      <c r="B334" s="2" t="s">
        <v>138</v>
      </c>
      <c r="C334" s="2" t="s">
        <v>21</v>
      </c>
      <c r="D334" s="2" t="s">
        <v>115</v>
      </c>
      <c r="E334" s="117">
        <v>4</v>
      </c>
      <c r="F334" s="117">
        <v>6</v>
      </c>
      <c r="G334" s="117">
        <v>6</v>
      </c>
      <c r="H334" s="117">
        <v>6</v>
      </c>
      <c r="I334" s="278">
        <v>1</v>
      </c>
      <c r="J334" s="278">
        <v>1</v>
      </c>
    </row>
    <row r="335" spans="1:10" x14ac:dyDescent="0.25">
      <c r="A335" s="117">
        <v>540280</v>
      </c>
      <c r="B335" s="2" t="s">
        <v>321</v>
      </c>
      <c r="C335" s="2" t="s">
        <v>21</v>
      </c>
      <c r="D335" s="2" t="s">
        <v>115</v>
      </c>
      <c r="E335" s="117">
        <v>4</v>
      </c>
      <c r="F335" s="117">
        <v>6</v>
      </c>
      <c r="G335" s="117">
        <v>2</v>
      </c>
      <c r="H335" s="117">
        <v>2</v>
      </c>
      <c r="I335" s="278">
        <v>1</v>
      </c>
      <c r="J335" s="278">
        <v>0.33329999999999999</v>
      </c>
    </row>
    <row r="336" spans="1:10" x14ac:dyDescent="0.25">
      <c r="A336" s="117">
        <v>540026</v>
      </c>
      <c r="B336" s="2" t="s">
        <v>20</v>
      </c>
      <c r="C336" s="2" t="s">
        <v>21</v>
      </c>
      <c r="D336" s="2" t="s">
        <v>5</v>
      </c>
      <c r="E336" s="117">
        <v>4</v>
      </c>
      <c r="F336" s="117">
        <v>182</v>
      </c>
      <c r="G336" s="117">
        <v>141</v>
      </c>
      <c r="H336" s="117">
        <v>138</v>
      </c>
      <c r="I336" s="278">
        <v>0.97870000000000001</v>
      </c>
      <c r="J336" s="278">
        <v>0.75819999999999999</v>
      </c>
    </row>
    <row r="337" spans="1:10" x14ac:dyDescent="0.25">
      <c r="A337" s="269"/>
      <c r="B337" s="269"/>
      <c r="C337" s="269" t="s">
        <v>21</v>
      </c>
      <c r="D337" s="269"/>
      <c r="E337" s="269"/>
      <c r="F337" s="270">
        <v>218</v>
      </c>
      <c r="G337" s="270">
        <v>161</v>
      </c>
      <c r="H337" s="270">
        <v>159</v>
      </c>
      <c r="I337" s="279">
        <v>0.98760000000000003</v>
      </c>
      <c r="J337" s="279">
        <v>0.72940000000000005</v>
      </c>
    </row>
    <row r="338" spans="1:10" x14ac:dyDescent="0.25">
      <c r="A338" s="117">
        <v>540176</v>
      </c>
      <c r="B338" s="2" t="s">
        <v>247</v>
      </c>
      <c r="C338" s="2" t="s">
        <v>75</v>
      </c>
      <c r="D338" s="2" t="s">
        <v>115</v>
      </c>
      <c r="E338" s="117">
        <v>7</v>
      </c>
      <c r="F338" s="117">
        <v>1</v>
      </c>
      <c r="G338" s="117">
        <v>0</v>
      </c>
      <c r="H338" s="117">
        <v>0</v>
      </c>
      <c r="I338" s="278" t="s">
        <v>488</v>
      </c>
      <c r="J338" s="278">
        <v>0</v>
      </c>
    </row>
    <row r="339" spans="1:10" x14ac:dyDescent="0.25">
      <c r="A339" s="117">
        <v>540178</v>
      </c>
      <c r="B339" s="2" t="s">
        <v>249</v>
      </c>
      <c r="C339" s="2" t="s">
        <v>75</v>
      </c>
      <c r="D339" s="2" t="s">
        <v>115</v>
      </c>
      <c r="E339" s="117">
        <v>7</v>
      </c>
      <c r="F339" s="117">
        <v>2</v>
      </c>
      <c r="G339" s="117">
        <v>2</v>
      </c>
      <c r="H339" s="117">
        <v>0</v>
      </c>
      <c r="I339" s="278">
        <v>0</v>
      </c>
      <c r="J339" s="278">
        <v>0</v>
      </c>
    </row>
    <row r="340" spans="1:10" x14ac:dyDescent="0.25">
      <c r="A340" s="117">
        <v>540264</v>
      </c>
      <c r="B340" s="2" t="s">
        <v>307</v>
      </c>
      <c r="C340" s="2" t="s">
        <v>75</v>
      </c>
      <c r="D340" s="2" t="s">
        <v>115</v>
      </c>
      <c r="E340" s="117">
        <v>7</v>
      </c>
      <c r="F340" s="117">
        <v>1</v>
      </c>
      <c r="G340" s="117">
        <v>0</v>
      </c>
      <c r="H340" s="117">
        <v>0</v>
      </c>
      <c r="I340" s="278" t="s">
        <v>488</v>
      </c>
      <c r="J340" s="278">
        <v>0</v>
      </c>
    </row>
    <row r="341" spans="1:10" x14ac:dyDescent="0.25">
      <c r="A341" s="117">
        <v>540265</v>
      </c>
      <c r="B341" s="2" t="s">
        <v>308</v>
      </c>
      <c r="C341" s="2" t="s">
        <v>75</v>
      </c>
      <c r="D341" s="2" t="s">
        <v>115</v>
      </c>
      <c r="E341" s="117">
        <v>7</v>
      </c>
      <c r="F341" s="117">
        <v>1</v>
      </c>
      <c r="G341" s="117">
        <v>0</v>
      </c>
      <c r="H341" s="117">
        <v>0</v>
      </c>
      <c r="I341" s="278" t="s">
        <v>488</v>
      </c>
      <c r="J341" s="278">
        <v>0</v>
      </c>
    </row>
    <row r="342" spans="1:10" x14ac:dyDescent="0.25">
      <c r="A342" s="117">
        <v>540266</v>
      </c>
      <c r="B342" s="2" t="s">
        <v>309</v>
      </c>
      <c r="C342" s="2" t="s">
        <v>75</v>
      </c>
      <c r="D342" s="2" t="s">
        <v>115</v>
      </c>
      <c r="E342" s="117">
        <v>7</v>
      </c>
      <c r="F342" s="117">
        <v>1</v>
      </c>
      <c r="G342" s="117">
        <v>0</v>
      </c>
      <c r="H342" s="117">
        <v>0</v>
      </c>
      <c r="I342" s="278" t="s">
        <v>488</v>
      </c>
      <c r="J342" s="278">
        <v>0</v>
      </c>
    </row>
    <row r="343" spans="1:10" x14ac:dyDescent="0.25">
      <c r="A343" s="117">
        <v>540267</v>
      </c>
      <c r="B343" s="2" t="s">
        <v>310</v>
      </c>
      <c r="C343" s="2" t="s">
        <v>75</v>
      </c>
      <c r="D343" s="2" t="s">
        <v>115</v>
      </c>
      <c r="E343" s="117">
        <v>7</v>
      </c>
      <c r="F343" s="117">
        <v>2</v>
      </c>
      <c r="G343" s="117">
        <v>2</v>
      </c>
      <c r="H343" s="117">
        <v>0</v>
      </c>
      <c r="I343" s="278">
        <v>0</v>
      </c>
      <c r="J343" s="278">
        <v>0</v>
      </c>
    </row>
    <row r="344" spans="1:10" x14ac:dyDescent="0.25">
      <c r="A344" s="117">
        <v>540177</v>
      </c>
      <c r="B344" s="2" t="s">
        <v>248</v>
      </c>
      <c r="C344" s="2" t="s">
        <v>75</v>
      </c>
      <c r="D344" s="2" t="s">
        <v>115</v>
      </c>
      <c r="E344" s="117">
        <v>7</v>
      </c>
      <c r="F344" s="117">
        <v>12</v>
      </c>
      <c r="G344" s="117">
        <v>9</v>
      </c>
      <c r="H344" s="117">
        <v>0</v>
      </c>
      <c r="I344" s="278">
        <v>0</v>
      </c>
      <c r="J344" s="278">
        <v>0</v>
      </c>
    </row>
    <row r="345" spans="1:10" x14ac:dyDescent="0.25">
      <c r="A345" s="117">
        <v>540175</v>
      </c>
      <c r="B345" s="2" t="s">
        <v>74</v>
      </c>
      <c r="C345" s="2" t="s">
        <v>75</v>
      </c>
      <c r="D345" s="2" t="s">
        <v>5</v>
      </c>
      <c r="E345" s="117">
        <v>7</v>
      </c>
      <c r="F345" s="117">
        <v>158</v>
      </c>
      <c r="G345" s="117">
        <v>88</v>
      </c>
      <c r="H345" s="117">
        <v>1</v>
      </c>
      <c r="I345" s="278">
        <v>1.14E-2</v>
      </c>
      <c r="J345" s="278">
        <v>6.3E-3</v>
      </c>
    </row>
    <row r="346" spans="1:10" x14ac:dyDescent="0.25">
      <c r="A346" s="269"/>
      <c r="B346" s="269"/>
      <c r="C346" s="269" t="s">
        <v>75</v>
      </c>
      <c r="D346" s="269"/>
      <c r="E346" s="269"/>
      <c r="F346" s="270">
        <v>178</v>
      </c>
      <c r="G346" s="270">
        <v>101</v>
      </c>
      <c r="H346" s="270">
        <v>1</v>
      </c>
      <c r="I346" s="279">
        <v>9.9000000000000008E-3</v>
      </c>
      <c r="J346" s="279">
        <v>5.5999999999999999E-3</v>
      </c>
    </row>
    <row r="347" spans="1:10" x14ac:dyDescent="0.25">
      <c r="A347" s="117">
        <v>540219</v>
      </c>
      <c r="B347" s="2" t="s">
        <v>273</v>
      </c>
      <c r="C347" s="2" t="s">
        <v>95</v>
      </c>
      <c r="D347" s="2" t="s">
        <v>115</v>
      </c>
      <c r="E347" s="117">
        <v>1</v>
      </c>
      <c r="F347" s="117">
        <v>4</v>
      </c>
      <c r="G347" s="117">
        <v>4</v>
      </c>
      <c r="H347" s="117">
        <v>4</v>
      </c>
      <c r="I347" s="278">
        <v>1</v>
      </c>
      <c r="J347" s="278">
        <v>1</v>
      </c>
    </row>
    <row r="348" spans="1:10" x14ac:dyDescent="0.25">
      <c r="A348" s="117">
        <v>540220</v>
      </c>
      <c r="B348" s="2" t="s">
        <v>274</v>
      </c>
      <c r="C348" s="2" t="s">
        <v>95</v>
      </c>
      <c r="D348" s="2" t="s">
        <v>115</v>
      </c>
      <c r="E348" s="117">
        <v>1</v>
      </c>
      <c r="F348" s="117">
        <v>6</v>
      </c>
      <c r="G348" s="117">
        <v>4</v>
      </c>
      <c r="H348" s="117">
        <v>5</v>
      </c>
      <c r="I348" s="278">
        <v>1.25</v>
      </c>
      <c r="J348" s="278">
        <v>0.83330000000000004</v>
      </c>
    </row>
    <row r="349" spans="1:10" x14ac:dyDescent="0.25">
      <c r="A349" s="117">
        <v>540218</v>
      </c>
      <c r="B349" s="2" t="s">
        <v>272</v>
      </c>
      <c r="C349" s="2" t="s">
        <v>95</v>
      </c>
      <c r="D349" s="2" t="s">
        <v>115</v>
      </c>
      <c r="E349" s="117">
        <v>1</v>
      </c>
      <c r="F349" s="117">
        <v>11</v>
      </c>
      <c r="G349" s="117">
        <v>10</v>
      </c>
      <c r="H349" s="117">
        <v>10</v>
      </c>
      <c r="I349" s="278">
        <v>1</v>
      </c>
      <c r="J349" s="278">
        <v>0.90910000000000002</v>
      </c>
    </row>
    <row r="350" spans="1:10" x14ac:dyDescent="0.25">
      <c r="A350" s="117">
        <v>540217</v>
      </c>
      <c r="B350" s="2" t="s">
        <v>94</v>
      </c>
      <c r="C350" s="2" t="s">
        <v>95</v>
      </c>
      <c r="D350" s="2" t="s">
        <v>5</v>
      </c>
      <c r="E350" s="117">
        <v>1</v>
      </c>
      <c r="F350" s="117">
        <v>116</v>
      </c>
      <c r="G350" s="117">
        <v>96</v>
      </c>
      <c r="H350" s="117">
        <v>89</v>
      </c>
      <c r="I350" s="278">
        <v>0.92710000000000004</v>
      </c>
      <c r="J350" s="278">
        <v>0.76719999999999999</v>
      </c>
    </row>
    <row r="351" spans="1:10" x14ac:dyDescent="0.25">
      <c r="A351" s="269"/>
      <c r="B351" s="269"/>
      <c r="C351" s="269" t="s">
        <v>95</v>
      </c>
      <c r="D351" s="269"/>
      <c r="E351" s="269"/>
      <c r="F351" s="270">
        <v>137</v>
      </c>
      <c r="G351" s="270">
        <v>114</v>
      </c>
      <c r="H351" s="270">
        <v>108</v>
      </c>
      <c r="I351" s="279">
        <v>0.94740000000000002</v>
      </c>
      <c r="J351" s="279">
        <v>0.7883</v>
      </c>
    </row>
    <row r="352" spans="1:10" x14ac:dyDescent="0.25">
      <c r="A352" s="2" t="s">
        <v>535</v>
      </c>
      <c r="B352" s="2"/>
      <c r="C352" s="2"/>
      <c r="D352" s="2"/>
      <c r="E352" s="2"/>
      <c r="F352" s="2"/>
      <c r="G352" s="2"/>
      <c r="H352" s="2"/>
      <c r="I352" s="278"/>
      <c r="J352" s="278"/>
    </row>
    <row r="353" spans="1:10" x14ac:dyDescent="0.25">
      <c r="A353" s="117">
        <v>540152</v>
      </c>
      <c r="B353" s="2" t="s">
        <v>229</v>
      </c>
      <c r="C353" s="2" t="s">
        <v>544</v>
      </c>
      <c r="D353" s="2" t="s">
        <v>115</v>
      </c>
      <c r="E353" s="2" t="s">
        <v>545</v>
      </c>
      <c r="F353" s="117">
        <v>70</v>
      </c>
      <c r="G353" s="117">
        <v>38</v>
      </c>
      <c r="H353" s="117">
        <v>3</v>
      </c>
      <c r="I353" s="278">
        <v>7.8899999999999998E-2</v>
      </c>
      <c r="J353" s="278">
        <v>4.2900000000000001E-2</v>
      </c>
    </row>
    <row r="354" spans="1:10" x14ac:dyDescent="0.25">
      <c r="A354" s="117">
        <v>540196</v>
      </c>
      <c r="B354" s="2" t="s">
        <v>259</v>
      </c>
      <c r="C354" s="2" t="s">
        <v>546</v>
      </c>
      <c r="D354" s="2" t="s">
        <v>115</v>
      </c>
      <c r="E354" s="2" t="s">
        <v>547</v>
      </c>
      <c r="F354" s="117">
        <v>0</v>
      </c>
      <c r="G354" s="117">
        <v>0</v>
      </c>
      <c r="H354" s="117">
        <v>0</v>
      </c>
      <c r="I354" s="278" t="s">
        <v>488</v>
      </c>
      <c r="J354" s="278" t="s">
        <v>488</v>
      </c>
    </row>
    <row r="355" spans="1:10" x14ac:dyDescent="0.25">
      <c r="A355" s="117">
        <v>540041</v>
      </c>
      <c r="B355" s="2" t="s">
        <v>142</v>
      </c>
      <c r="C355" s="2" t="s">
        <v>540</v>
      </c>
      <c r="D355" s="2" t="s">
        <v>115</v>
      </c>
      <c r="E355" s="2" t="s">
        <v>541</v>
      </c>
      <c r="F355" s="117">
        <v>1</v>
      </c>
      <c r="G355" s="117">
        <v>0</v>
      </c>
      <c r="H355" s="117">
        <v>1</v>
      </c>
      <c r="I355" s="278" t="s">
        <v>488</v>
      </c>
      <c r="J355" s="278">
        <v>1</v>
      </c>
    </row>
    <row r="356" spans="1:10" x14ac:dyDescent="0.25">
      <c r="A356" s="117">
        <v>540018</v>
      </c>
      <c r="B356" s="2" t="s">
        <v>127</v>
      </c>
      <c r="C356" s="2" t="s">
        <v>538</v>
      </c>
      <c r="D356" s="2" t="s">
        <v>115</v>
      </c>
      <c r="E356" s="2" t="s">
        <v>539</v>
      </c>
      <c r="F356" s="117">
        <v>63</v>
      </c>
      <c r="G356" s="117">
        <v>29</v>
      </c>
      <c r="H356" s="117">
        <v>0</v>
      </c>
      <c r="I356" s="278">
        <v>0</v>
      </c>
      <c r="J356" s="278">
        <v>0</v>
      </c>
    </row>
    <row r="357" spans="1:10" x14ac:dyDescent="0.25">
      <c r="A357" s="117">
        <v>540014</v>
      </c>
      <c r="B357" s="2" t="s">
        <v>124</v>
      </c>
      <c r="C357" s="2" t="s">
        <v>536</v>
      </c>
      <c r="D357" s="2" t="s">
        <v>115</v>
      </c>
      <c r="E357" s="2" t="s">
        <v>537</v>
      </c>
      <c r="F357" s="117">
        <v>22</v>
      </c>
      <c r="G357" s="117">
        <v>11</v>
      </c>
      <c r="H357" s="117">
        <v>0</v>
      </c>
      <c r="I357" s="278">
        <v>0</v>
      </c>
      <c r="J357" s="278">
        <v>0</v>
      </c>
    </row>
    <row r="358" spans="1:10" x14ac:dyDescent="0.25">
      <c r="A358" s="117">
        <v>540081</v>
      </c>
      <c r="B358" s="2" t="s">
        <v>176</v>
      </c>
      <c r="C358" s="2" t="s">
        <v>542</v>
      </c>
      <c r="D358" s="2" t="s">
        <v>115</v>
      </c>
      <c r="E358" s="2" t="s">
        <v>543</v>
      </c>
      <c r="F358" s="117">
        <v>13</v>
      </c>
      <c r="G358" s="117">
        <v>5</v>
      </c>
      <c r="H358" s="117">
        <v>0</v>
      </c>
      <c r="I358" s="278">
        <v>0</v>
      </c>
      <c r="J358" s="278">
        <v>0</v>
      </c>
    </row>
    <row r="359" spans="1:10" x14ac:dyDescent="0.25">
      <c r="A359" s="117">
        <v>540033</v>
      </c>
      <c r="B359" s="2" t="s">
        <v>138</v>
      </c>
      <c r="C359" s="2" t="s">
        <v>1299</v>
      </c>
      <c r="D359" s="2" t="s">
        <v>115</v>
      </c>
      <c r="E359" s="2" t="s">
        <v>1298</v>
      </c>
      <c r="F359" s="117">
        <v>6</v>
      </c>
      <c r="G359" s="117">
        <v>6</v>
      </c>
      <c r="H359" s="117">
        <v>6</v>
      </c>
      <c r="I359" s="278">
        <v>1</v>
      </c>
      <c r="J359" s="278">
        <v>1</v>
      </c>
    </row>
    <row r="360" spans="1:10" x14ac:dyDescent="0.25">
      <c r="A360" s="117">
        <v>540029</v>
      </c>
      <c r="B360" s="2" t="s">
        <v>134</v>
      </c>
      <c r="C360" s="2" t="s">
        <v>1299</v>
      </c>
      <c r="D360" s="2" t="s">
        <v>115</v>
      </c>
      <c r="E360" s="2" t="s">
        <v>1298</v>
      </c>
      <c r="F360" s="117">
        <v>7</v>
      </c>
      <c r="G360" s="117">
        <v>5</v>
      </c>
      <c r="H360" s="117">
        <v>2</v>
      </c>
      <c r="I360" s="278">
        <v>0.4</v>
      </c>
      <c r="J360" s="278">
        <v>0.28570000000000001</v>
      </c>
    </row>
  </sheetData>
  <hyperlinks>
    <hyperlink ref="L3"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1"/>
  <sheetViews>
    <sheetView topLeftCell="J1" workbookViewId="0">
      <pane ySplit="1" topLeftCell="A2" activePane="bottomLeft" state="frozen"/>
      <selection pane="bottomLeft" activeCell="P2" sqref="P2:Q3"/>
    </sheetView>
  </sheetViews>
  <sheetFormatPr defaultColWidth="9.140625" defaultRowHeight="15" x14ac:dyDescent="0.25"/>
  <cols>
    <col min="1" max="1" width="7" style="39" bestFit="1" customWidth="1"/>
    <col min="2" max="2" width="38.42578125" style="39" bestFit="1" customWidth="1"/>
    <col min="3" max="3" width="22.42578125" style="39" bestFit="1" customWidth="1"/>
    <col min="4" max="4" width="27.85546875" style="39" bestFit="1" customWidth="1"/>
    <col min="5" max="5" width="16.140625" style="10" customWidth="1"/>
    <col min="6" max="6" width="25.85546875" style="10" bestFit="1" customWidth="1"/>
    <col min="7" max="7" width="26.140625" style="42" bestFit="1" customWidth="1"/>
    <col min="8" max="8" width="26.28515625" style="42" bestFit="1" customWidth="1"/>
    <col min="9" max="9" width="34" bestFit="1" customWidth="1"/>
    <col min="10" max="10" width="25.140625" style="39" bestFit="1" customWidth="1"/>
    <col min="11" max="11" width="11.85546875" style="39" bestFit="1" customWidth="1"/>
    <col min="12" max="12" width="15.5703125" style="39" bestFit="1" customWidth="1"/>
    <col min="13" max="13" width="14.42578125" style="39" bestFit="1" customWidth="1"/>
    <col min="14" max="14" width="20.7109375" style="39" bestFit="1" customWidth="1"/>
    <col min="15" max="15" width="9.140625" style="39"/>
    <col min="16" max="16" width="9.42578125" style="39" bestFit="1" customWidth="1"/>
    <col min="17" max="17" width="111" style="39" bestFit="1" customWidth="1"/>
    <col min="18" max="16384" width="9.140625" style="39"/>
  </cols>
  <sheetData>
    <row r="1" spans="1:17" ht="45.75" customHeight="1" x14ac:dyDescent="0.25">
      <c r="A1" s="251" t="s">
        <v>0</v>
      </c>
      <c r="B1" s="251" t="s">
        <v>1</v>
      </c>
      <c r="C1" s="251" t="s">
        <v>2</v>
      </c>
      <c r="D1" s="251" t="s">
        <v>512</v>
      </c>
      <c r="E1" s="251" t="s">
        <v>403</v>
      </c>
      <c r="F1" s="251" t="s">
        <v>1372</v>
      </c>
      <c r="G1" s="251" t="s">
        <v>1373</v>
      </c>
      <c r="H1" s="251" t="s">
        <v>1374</v>
      </c>
      <c r="I1" s="251" t="s">
        <v>1375</v>
      </c>
      <c r="J1" s="251" t="s">
        <v>1376</v>
      </c>
      <c r="K1" s="251" t="s">
        <v>1377</v>
      </c>
      <c r="L1" s="251" t="s">
        <v>480</v>
      </c>
      <c r="M1" s="251" t="s">
        <v>481</v>
      </c>
      <c r="N1" s="251" t="s">
        <v>479</v>
      </c>
      <c r="O1"/>
      <c r="P1"/>
      <c r="Q1"/>
    </row>
    <row r="2" spans="1:17" x14ac:dyDescent="0.25">
      <c r="A2" s="2">
        <v>540002</v>
      </c>
      <c r="B2" s="2" t="s">
        <v>114</v>
      </c>
      <c r="C2" s="2" t="s">
        <v>4</v>
      </c>
      <c r="D2" s="2" t="s">
        <v>115</v>
      </c>
      <c r="E2" s="2">
        <v>7</v>
      </c>
      <c r="F2" s="2">
        <v>4.25</v>
      </c>
      <c r="G2" s="2">
        <v>0</v>
      </c>
      <c r="H2" s="2">
        <v>4.25</v>
      </c>
      <c r="I2" s="2">
        <v>0</v>
      </c>
      <c r="J2" s="2">
        <v>0</v>
      </c>
      <c r="K2" s="2">
        <v>4.25</v>
      </c>
      <c r="L2" s="158">
        <v>1</v>
      </c>
      <c r="M2" s="158">
        <v>0</v>
      </c>
      <c r="N2" s="2"/>
      <c r="O2"/>
      <c r="P2" s="206" t="s">
        <v>1325</v>
      </c>
      <c r="Q2" s="62" t="s">
        <v>1379</v>
      </c>
    </row>
    <row r="3" spans="1:17" x14ac:dyDescent="0.25">
      <c r="A3" s="2">
        <v>540003</v>
      </c>
      <c r="B3" s="2" t="s">
        <v>116</v>
      </c>
      <c r="C3" s="2" t="s">
        <v>4</v>
      </c>
      <c r="D3" s="2" t="s">
        <v>115</v>
      </c>
      <c r="E3" s="2">
        <v>7</v>
      </c>
      <c r="F3" s="2">
        <v>0</v>
      </c>
      <c r="G3" s="2">
        <v>0.89</v>
      </c>
      <c r="H3" s="2">
        <v>0</v>
      </c>
      <c r="I3" s="2">
        <v>0</v>
      </c>
      <c r="J3" s="2">
        <v>0</v>
      </c>
      <c r="K3" s="2">
        <v>0.89</v>
      </c>
      <c r="L3" s="158">
        <v>0</v>
      </c>
      <c r="M3" s="158">
        <v>1</v>
      </c>
      <c r="N3" s="2"/>
      <c r="O3"/>
      <c r="P3" s="206" t="s">
        <v>1326</v>
      </c>
      <c r="Q3" s="393" t="s">
        <v>1378</v>
      </c>
    </row>
    <row r="4" spans="1:17" ht="15.75" customHeight="1" x14ac:dyDescent="0.25">
      <c r="A4" s="2">
        <v>540004</v>
      </c>
      <c r="B4" s="2" t="s">
        <v>117</v>
      </c>
      <c r="C4" s="2" t="s">
        <v>4</v>
      </c>
      <c r="D4" s="2" t="s">
        <v>115</v>
      </c>
      <c r="E4" s="2">
        <v>7</v>
      </c>
      <c r="F4" s="2">
        <v>3.69</v>
      </c>
      <c r="G4" s="2">
        <v>0.65</v>
      </c>
      <c r="H4" s="2">
        <v>3.69</v>
      </c>
      <c r="I4" s="2">
        <v>0</v>
      </c>
      <c r="J4" s="2">
        <v>0</v>
      </c>
      <c r="K4" s="2">
        <v>4.34</v>
      </c>
      <c r="L4" s="158">
        <v>0.85009999999999997</v>
      </c>
      <c r="M4" s="158">
        <v>0.14990000000000001</v>
      </c>
      <c r="N4" s="2"/>
      <c r="O4"/>
      <c r="P4"/>
      <c r="Q4"/>
    </row>
    <row r="5" spans="1:17" x14ac:dyDescent="0.25">
      <c r="A5" s="2">
        <v>540001</v>
      </c>
      <c r="B5" s="2" t="s">
        <v>3</v>
      </c>
      <c r="C5" s="2" t="s">
        <v>4</v>
      </c>
      <c r="D5" s="2" t="s">
        <v>5</v>
      </c>
      <c r="E5" s="2">
        <v>7</v>
      </c>
      <c r="F5" s="2">
        <v>0.39</v>
      </c>
      <c r="G5" s="2">
        <v>141.30000000000001</v>
      </c>
      <c r="H5" s="2">
        <v>0.39</v>
      </c>
      <c r="I5" s="2">
        <v>0</v>
      </c>
      <c r="J5" s="2">
        <v>0</v>
      </c>
      <c r="K5" s="2">
        <v>141.69</v>
      </c>
      <c r="L5" s="158">
        <v>2.7000000000000001E-3</v>
      </c>
      <c r="M5" s="158">
        <v>0.99729999999999996</v>
      </c>
      <c r="N5" s="2"/>
      <c r="O5"/>
      <c r="P5"/>
      <c r="Q5"/>
    </row>
    <row r="6" spans="1:17" x14ac:dyDescent="0.25">
      <c r="A6" s="255"/>
      <c r="B6" s="255"/>
      <c r="C6" s="255" t="s">
        <v>4</v>
      </c>
      <c r="D6" s="255"/>
      <c r="E6" s="255"/>
      <c r="F6" s="255">
        <v>8.32</v>
      </c>
      <c r="G6" s="255">
        <v>0</v>
      </c>
      <c r="H6" s="255">
        <v>0</v>
      </c>
      <c r="I6" s="255">
        <v>8.32</v>
      </c>
      <c r="J6" s="255">
        <v>142.84</v>
      </c>
      <c r="K6" s="255">
        <v>151.16</v>
      </c>
      <c r="L6" s="256">
        <v>5.5100000000000003E-2</v>
      </c>
      <c r="M6" s="256">
        <v>0.94489999999999996</v>
      </c>
      <c r="N6" s="255">
        <v>44</v>
      </c>
      <c r="O6"/>
      <c r="P6"/>
      <c r="Q6"/>
    </row>
    <row r="7" spans="1:17" x14ac:dyDescent="0.25">
      <c r="A7" s="2">
        <v>540006</v>
      </c>
      <c r="B7" s="2" t="s">
        <v>119</v>
      </c>
      <c r="C7" s="2" t="s">
        <v>107</v>
      </c>
      <c r="D7" s="2" t="s">
        <v>115</v>
      </c>
      <c r="E7" s="2">
        <v>9</v>
      </c>
      <c r="F7" s="2">
        <v>4.1100000000000003</v>
      </c>
      <c r="G7" s="2">
        <v>0.49</v>
      </c>
      <c r="H7" s="2">
        <v>4.1100000000000003</v>
      </c>
      <c r="I7" s="2">
        <v>0</v>
      </c>
      <c r="J7" s="2">
        <v>0</v>
      </c>
      <c r="K7" s="2">
        <v>4.5999999999999996</v>
      </c>
      <c r="L7" s="158">
        <v>0.89349999999999996</v>
      </c>
      <c r="M7" s="158">
        <v>0.1065</v>
      </c>
      <c r="N7" s="2"/>
      <c r="O7"/>
      <c r="P7"/>
      <c r="Q7"/>
    </row>
    <row r="8" spans="1:17" x14ac:dyDescent="0.25">
      <c r="A8" s="2">
        <v>545550</v>
      </c>
      <c r="B8" s="2" t="s">
        <v>339</v>
      </c>
      <c r="C8" s="2" t="s">
        <v>107</v>
      </c>
      <c r="D8" s="2" t="s">
        <v>115</v>
      </c>
      <c r="E8" s="2">
        <v>9</v>
      </c>
      <c r="F8" s="2">
        <v>0</v>
      </c>
      <c r="G8" s="2">
        <v>0</v>
      </c>
      <c r="H8" s="2">
        <v>0</v>
      </c>
      <c r="I8" s="2">
        <v>0</v>
      </c>
      <c r="J8" s="2">
        <v>0</v>
      </c>
      <c r="K8" s="2">
        <v>0</v>
      </c>
      <c r="L8" s="2" t="s">
        <v>488</v>
      </c>
      <c r="M8" s="2" t="s">
        <v>488</v>
      </c>
      <c r="N8" s="2"/>
      <c r="O8"/>
      <c r="P8"/>
      <c r="Q8"/>
    </row>
    <row r="9" spans="1:17" x14ac:dyDescent="0.25">
      <c r="A9" s="2">
        <v>540282</v>
      </c>
      <c r="B9" s="2" t="s">
        <v>106</v>
      </c>
      <c r="C9" s="2" t="s">
        <v>107</v>
      </c>
      <c r="D9" s="2" t="s">
        <v>5</v>
      </c>
      <c r="E9" s="2">
        <v>9</v>
      </c>
      <c r="F9" s="2">
        <v>67.959999999999994</v>
      </c>
      <c r="G9" s="2">
        <v>90.24</v>
      </c>
      <c r="H9" s="2">
        <v>67.959999999999994</v>
      </c>
      <c r="I9" s="2">
        <v>0</v>
      </c>
      <c r="J9" s="2">
        <v>0</v>
      </c>
      <c r="K9" s="2">
        <v>158.19999999999999</v>
      </c>
      <c r="L9" s="158">
        <v>0.42959999999999998</v>
      </c>
      <c r="M9" s="158">
        <v>0.57040000000000002</v>
      </c>
      <c r="N9" s="2"/>
      <c r="O9"/>
      <c r="P9"/>
      <c r="Q9"/>
    </row>
    <row r="10" spans="1:17" x14ac:dyDescent="0.25">
      <c r="A10" s="255"/>
      <c r="B10" s="255"/>
      <c r="C10" s="255" t="s">
        <v>107</v>
      </c>
      <c r="D10" s="255"/>
      <c r="E10" s="255"/>
      <c r="F10" s="255">
        <v>72.069999999999993</v>
      </c>
      <c r="G10" s="255">
        <v>0</v>
      </c>
      <c r="H10" s="255">
        <v>0</v>
      </c>
      <c r="I10" s="255">
        <v>72.069999999999993</v>
      </c>
      <c r="J10" s="255">
        <v>90.73</v>
      </c>
      <c r="K10" s="255">
        <v>162.80000000000001</v>
      </c>
      <c r="L10" s="256">
        <v>0.44269999999999998</v>
      </c>
      <c r="M10" s="256">
        <v>0.55730000000000002</v>
      </c>
      <c r="N10" s="255">
        <v>40</v>
      </c>
      <c r="O10"/>
      <c r="P10"/>
      <c r="Q10"/>
    </row>
    <row r="11" spans="1:17" x14ac:dyDescent="0.25">
      <c r="A11" s="2">
        <v>540008</v>
      </c>
      <c r="B11" s="2" t="s">
        <v>120</v>
      </c>
      <c r="C11" s="2" t="s">
        <v>7</v>
      </c>
      <c r="D11" s="2" t="s">
        <v>115</v>
      </c>
      <c r="E11" s="2">
        <v>3</v>
      </c>
      <c r="F11" s="2">
        <v>4.8899999999999997</v>
      </c>
      <c r="G11" s="2">
        <v>0</v>
      </c>
      <c r="H11" s="2">
        <v>4.8899999999999997</v>
      </c>
      <c r="I11" s="2">
        <v>0</v>
      </c>
      <c r="J11" s="2">
        <v>0</v>
      </c>
      <c r="K11" s="2">
        <v>4.8899999999999997</v>
      </c>
      <c r="L11" s="158">
        <v>1</v>
      </c>
      <c r="M11" s="158">
        <v>0</v>
      </c>
      <c r="N11" s="2"/>
      <c r="O11"/>
      <c r="P11"/>
      <c r="Q11"/>
    </row>
    <row r="12" spans="1:17" x14ac:dyDescent="0.25">
      <c r="A12" s="2">
        <v>540229</v>
      </c>
      <c r="B12" s="2" t="s">
        <v>279</v>
      </c>
      <c r="C12" s="2" t="s">
        <v>7</v>
      </c>
      <c r="D12" s="2" t="s">
        <v>115</v>
      </c>
      <c r="E12" s="2">
        <v>3</v>
      </c>
      <c r="F12" s="2">
        <v>2.0099999999999998</v>
      </c>
      <c r="G12" s="2">
        <v>0</v>
      </c>
      <c r="H12" s="2">
        <v>2.0099999999999998</v>
      </c>
      <c r="I12" s="2">
        <v>0</v>
      </c>
      <c r="J12" s="2">
        <v>0</v>
      </c>
      <c r="K12" s="2">
        <v>2.0099999999999998</v>
      </c>
      <c r="L12" s="158">
        <v>1</v>
      </c>
      <c r="M12" s="158">
        <v>0</v>
      </c>
      <c r="N12" s="2"/>
      <c r="O12"/>
      <c r="P12"/>
      <c r="Q12"/>
    </row>
    <row r="13" spans="1:17" x14ac:dyDescent="0.25">
      <c r="A13" s="2">
        <v>540230</v>
      </c>
      <c r="B13" s="2" t="s">
        <v>280</v>
      </c>
      <c r="C13" s="2" t="s">
        <v>7</v>
      </c>
      <c r="D13" s="2" t="s">
        <v>115</v>
      </c>
      <c r="E13" s="2">
        <v>3</v>
      </c>
      <c r="F13" s="2">
        <v>1.7</v>
      </c>
      <c r="G13" s="2">
        <v>0.95</v>
      </c>
      <c r="H13" s="2">
        <v>1.7</v>
      </c>
      <c r="I13" s="2">
        <v>0</v>
      </c>
      <c r="J13" s="2">
        <v>0</v>
      </c>
      <c r="K13" s="2">
        <v>2.65</v>
      </c>
      <c r="L13" s="158">
        <v>0.64080000000000004</v>
      </c>
      <c r="M13" s="158">
        <v>0.35920000000000002</v>
      </c>
      <c r="N13" s="2"/>
      <c r="O13"/>
      <c r="P13"/>
      <c r="Q13"/>
    </row>
    <row r="14" spans="1:17" x14ac:dyDescent="0.25">
      <c r="A14" s="2">
        <v>540238</v>
      </c>
      <c r="B14" s="2" t="s">
        <v>286</v>
      </c>
      <c r="C14" s="2" t="s">
        <v>7</v>
      </c>
      <c r="D14" s="2" t="s">
        <v>115</v>
      </c>
      <c r="E14" s="2">
        <v>3</v>
      </c>
      <c r="F14" s="2">
        <v>0.52</v>
      </c>
      <c r="G14" s="2">
        <v>0</v>
      </c>
      <c r="H14" s="2">
        <v>0.52</v>
      </c>
      <c r="I14" s="2">
        <v>0</v>
      </c>
      <c r="J14" s="2">
        <v>0</v>
      </c>
      <c r="K14" s="2">
        <v>0.52</v>
      </c>
      <c r="L14" s="158">
        <v>1</v>
      </c>
      <c r="M14" s="158">
        <v>0</v>
      </c>
      <c r="N14" s="2"/>
      <c r="O14"/>
      <c r="P14"/>
      <c r="Q14"/>
    </row>
    <row r="15" spans="1:17" x14ac:dyDescent="0.25">
      <c r="A15" s="2">
        <v>540007</v>
      </c>
      <c r="B15" s="2" t="s">
        <v>6</v>
      </c>
      <c r="C15" s="2" t="s">
        <v>7</v>
      </c>
      <c r="D15" s="2" t="s">
        <v>5</v>
      </c>
      <c r="E15" s="2">
        <v>3</v>
      </c>
      <c r="F15" s="2">
        <v>101.59</v>
      </c>
      <c r="G15" s="2">
        <v>100.41</v>
      </c>
      <c r="H15" s="2">
        <v>101.59</v>
      </c>
      <c r="I15" s="2">
        <v>0</v>
      </c>
      <c r="J15" s="2">
        <v>0</v>
      </c>
      <c r="K15" s="2">
        <v>202</v>
      </c>
      <c r="L15" s="158">
        <v>0.50290000000000001</v>
      </c>
      <c r="M15" s="158">
        <v>0.49709999999999999</v>
      </c>
      <c r="N15" s="2"/>
      <c r="O15"/>
      <c r="P15"/>
      <c r="Q15"/>
    </row>
    <row r="16" spans="1:17" x14ac:dyDescent="0.25">
      <c r="A16" s="255"/>
      <c r="B16" s="255"/>
      <c r="C16" s="255" t="s">
        <v>7</v>
      </c>
      <c r="D16" s="255"/>
      <c r="E16" s="255"/>
      <c r="F16" s="255">
        <v>110.71</v>
      </c>
      <c r="G16" s="255">
        <v>0</v>
      </c>
      <c r="H16" s="255">
        <v>0</v>
      </c>
      <c r="I16" s="255">
        <v>110.71</v>
      </c>
      <c r="J16" s="255">
        <v>101.36</v>
      </c>
      <c r="K16" s="255">
        <v>212.07</v>
      </c>
      <c r="L16" s="256">
        <v>0.52200000000000002</v>
      </c>
      <c r="M16" s="256">
        <v>0.47799999999999998</v>
      </c>
      <c r="N16" s="255">
        <v>32</v>
      </c>
      <c r="O16"/>
      <c r="P16"/>
      <c r="Q16"/>
    </row>
    <row r="17" spans="1:17" x14ac:dyDescent="0.25">
      <c r="A17" s="2">
        <v>540010</v>
      </c>
      <c r="B17" s="2" t="s">
        <v>121</v>
      </c>
      <c r="C17" s="2" t="s">
        <v>9</v>
      </c>
      <c r="D17" s="2" t="s">
        <v>115</v>
      </c>
      <c r="E17" s="2">
        <v>7</v>
      </c>
      <c r="F17" s="2">
        <v>3.51</v>
      </c>
      <c r="G17" s="2">
        <v>0</v>
      </c>
      <c r="H17" s="2">
        <v>3.51</v>
      </c>
      <c r="I17" s="2">
        <v>0</v>
      </c>
      <c r="J17" s="2">
        <v>0</v>
      </c>
      <c r="K17" s="2">
        <v>3.51</v>
      </c>
      <c r="L17" s="158">
        <v>1</v>
      </c>
      <c r="M17" s="158">
        <v>0</v>
      </c>
      <c r="N17" s="2"/>
      <c r="O17"/>
      <c r="P17"/>
      <c r="Q17"/>
    </row>
    <row r="18" spans="1:17" x14ac:dyDescent="0.25">
      <c r="A18" s="2">
        <v>540235</v>
      </c>
      <c r="B18" s="2" t="s">
        <v>283</v>
      </c>
      <c r="C18" s="2" t="s">
        <v>9</v>
      </c>
      <c r="D18" s="2" t="s">
        <v>115</v>
      </c>
      <c r="E18" s="2">
        <v>7</v>
      </c>
      <c r="F18" s="2">
        <v>0</v>
      </c>
      <c r="G18" s="2">
        <v>0</v>
      </c>
      <c r="H18" s="2">
        <v>0</v>
      </c>
      <c r="I18" s="2">
        <v>0</v>
      </c>
      <c r="J18" s="2">
        <v>0</v>
      </c>
      <c r="K18" s="2">
        <v>0</v>
      </c>
      <c r="L18" s="2" t="s">
        <v>488</v>
      </c>
      <c r="M18" s="2" t="s">
        <v>488</v>
      </c>
      <c r="N18" s="2"/>
      <c r="O18"/>
      <c r="P18"/>
      <c r="Q18"/>
    </row>
    <row r="19" spans="1:17" x14ac:dyDescent="0.25">
      <c r="A19" s="2">
        <v>540236</v>
      </c>
      <c r="B19" s="2" t="s">
        <v>284</v>
      </c>
      <c r="C19" s="2" t="s">
        <v>9</v>
      </c>
      <c r="D19" s="2" t="s">
        <v>115</v>
      </c>
      <c r="E19" s="2">
        <v>7</v>
      </c>
      <c r="F19" s="2">
        <v>2.46</v>
      </c>
      <c r="G19" s="2">
        <v>0</v>
      </c>
      <c r="H19" s="2">
        <v>2.46</v>
      </c>
      <c r="I19" s="2">
        <v>0</v>
      </c>
      <c r="J19" s="2">
        <v>0</v>
      </c>
      <c r="K19" s="2">
        <v>2.46</v>
      </c>
      <c r="L19" s="158">
        <v>1</v>
      </c>
      <c r="M19" s="158">
        <v>0</v>
      </c>
      <c r="N19" s="2"/>
      <c r="O19"/>
      <c r="P19"/>
      <c r="Q19"/>
    </row>
    <row r="20" spans="1:17" x14ac:dyDescent="0.25">
      <c r="A20" s="2">
        <v>540237</v>
      </c>
      <c r="B20" s="2" t="s">
        <v>285</v>
      </c>
      <c r="C20" s="2" t="s">
        <v>9</v>
      </c>
      <c r="D20" s="2" t="s">
        <v>115</v>
      </c>
      <c r="E20" s="2">
        <v>7</v>
      </c>
      <c r="F20" s="2">
        <v>2.93</v>
      </c>
      <c r="G20" s="2">
        <v>7.0000000000000007E-2</v>
      </c>
      <c r="H20" s="2">
        <v>2.93</v>
      </c>
      <c r="I20" s="2">
        <v>0</v>
      </c>
      <c r="J20" s="2">
        <v>0</v>
      </c>
      <c r="K20" s="2">
        <v>3</v>
      </c>
      <c r="L20" s="158">
        <v>0.97689999999999999</v>
      </c>
      <c r="M20" s="158">
        <v>2.3099999999999999E-2</v>
      </c>
      <c r="N20" s="2"/>
      <c r="O20"/>
      <c r="P20"/>
      <c r="Q20"/>
    </row>
    <row r="21" spans="1:17" x14ac:dyDescent="0.25">
      <c r="A21" s="2">
        <v>540009</v>
      </c>
      <c r="B21" s="2" t="s">
        <v>8</v>
      </c>
      <c r="C21" s="2" t="s">
        <v>9</v>
      </c>
      <c r="D21" s="2" t="s">
        <v>5</v>
      </c>
      <c r="E21" s="2">
        <v>7</v>
      </c>
      <c r="F21" s="2">
        <v>31.14</v>
      </c>
      <c r="G21" s="2">
        <v>245.16</v>
      </c>
      <c r="H21" s="2">
        <v>31.14</v>
      </c>
      <c r="I21" s="2">
        <v>0</v>
      </c>
      <c r="J21" s="2">
        <v>0</v>
      </c>
      <c r="K21" s="2">
        <v>276.3</v>
      </c>
      <c r="L21" s="158">
        <v>0.11269999999999999</v>
      </c>
      <c r="M21" s="158">
        <v>0.88729999999999998</v>
      </c>
      <c r="N21" s="2"/>
      <c r="O21"/>
      <c r="P21"/>
      <c r="Q21"/>
    </row>
    <row r="22" spans="1:17" x14ac:dyDescent="0.25">
      <c r="A22" s="255"/>
      <c r="B22" s="255"/>
      <c r="C22" s="255" t="s">
        <v>9</v>
      </c>
      <c r="D22" s="255"/>
      <c r="E22" s="255"/>
      <c r="F22" s="255">
        <v>40.04</v>
      </c>
      <c r="G22" s="255">
        <v>0</v>
      </c>
      <c r="H22" s="255">
        <v>0</v>
      </c>
      <c r="I22" s="255">
        <v>40.04</v>
      </c>
      <c r="J22" s="255">
        <v>245.23</v>
      </c>
      <c r="K22" s="255">
        <v>285.27</v>
      </c>
      <c r="L22" s="256">
        <v>0.1404</v>
      </c>
      <c r="M22" s="256">
        <v>0.85960000000000003</v>
      </c>
      <c r="N22" s="255">
        <v>17</v>
      </c>
      <c r="O22"/>
      <c r="P22"/>
      <c r="Q22"/>
    </row>
    <row r="23" spans="1:17" x14ac:dyDescent="0.25">
      <c r="A23" s="2">
        <v>540012</v>
      </c>
      <c r="B23" s="2" t="s">
        <v>122</v>
      </c>
      <c r="C23" s="2" t="s">
        <v>11</v>
      </c>
      <c r="D23" s="2" t="s">
        <v>115</v>
      </c>
      <c r="E23" s="2">
        <v>11</v>
      </c>
      <c r="F23" s="2">
        <v>0</v>
      </c>
      <c r="G23" s="2">
        <v>0.12</v>
      </c>
      <c r="H23" s="2">
        <v>0</v>
      </c>
      <c r="I23" s="2">
        <v>0</v>
      </c>
      <c r="J23" s="2">
        <v>0</v>
      </c>
      <c r="K23" s="2">
        <v>0.12</v>
      </c>
      <c r="L23" s="158">
        <v>0</v>
      </c>
      <c r="M23" s="158">
        <v>1</v>
      </c>
      <c r="N23" s="2"/>
      <c r="O23"/>
      <c r="P23"/>
      <c r="Q23"/>
    </row>
    <row r="24" spans="1:17" x14ac:dyDescent="0.25">
      <c r="A24" s="2">
        <v>540013</v>
      </c>
      <c r="B24" s="2" t="s">
        <v>123</v>
      </c>
      <c r="C24" s="2" t="s">
        <v>11</v>
      </c>
      <c r="D24" s="2" t="s">
        <v>115</v>
      </c>
      <c r="E24" s="2">
        <v>11</v>
      </c>
      <c r="F24" s="2">
        <v>1.68</v>
      </c>
      <c r="G24" s="2">
        <v>0</v>
      </c>
      <c r="H24" s="2">
        <v>1.68</v>
      </c>
      <c r="I24" s="2">
        <v>0</v>
      </c>
      <c r="J24" s="2">
        <v>0</v>
      </c>
      <c r="K24" s="2">
        <v>1.68</v>
      </c>
      <c r="L24" s="158">
        <v>1</v>
      </c>
      <c r="M24" s="158">
        <v>0</v>
      </c>
      <c r="N24" s="2"/>
      <c r="O24"/>
      <c r="P24"/>
      <c r="Q24"/>
    </row>
    <row r="25" spans="1:17" x14ac:dyDescent="0.25">
      <c r="A25" s="2">
        <v>540014</v>
      </c>
      <c r="B25" s="2" t="s">
        <v>124</v>
      </c>
      <c r="C25" s="2" t="s">
        <v>11</v>
      </c>
      <c r="D25" s="2" t="s">
        <v>115</v>
      </c>
      <c r="E25" s="2">
        <v>11</v>
      </c>
      <c r="F25" s="2">
        <v>5.35</v>
      </c>
      <c r="G25" s="2">
        <v>0</v>
      </c>
      <c r="H25" s="2">
        <v>5.35</v>
      </c>
      <c r="I25" s="2">
        <v>0</v>
      </c>
      <c r="J25" s="2">
        <v>0</v>
      </c>
      <c r="K25" s="2">
        <v>5.35</v>
      </c>
      <c r="L25" s="158">
        <v>1</v>
      </c>
      <c r="M25" s="158">
        <v>0</v>
      </c>
      <c r="N25" s="2"/>
      <c r="O25"/>
      <c r="P25"/>
      <c r="Q25"/>
    </row>
    <row r="26" spans="1:17" x14ac:dyDescent="0.25">
      <c r="A26" s="2">
        <v>540015</v>
      </c>
      <c r="B26" s="2" t="s">
        <v>125</v>
      </c>
      <c r="C26" s="2" t="s">
        <v>11</v>
      </c>
      <c r="D26" s="2" t="s">
        <v>115</v>
      </c>
      <c r="E26" s="2">
        <v>11</v>
      </c>
      <c r="F26" s="2">
        <v>2.92</v>
      </c>
      <c r="G26" s="2">
        <v>0</v>
      </c>
      <c r="H26" s="2">
        <v>2.92</v>
      </c>
      <c r="I26" s="2">
        <v>0</v>
      </c>
      <c r="J26" s="2">
        <v>0</v>
      </c>
      <c r="K26" s="2">
        <v>2.92</v>
      </c>
      <c r="L26" s="158">
        <v>1</v>
      </c>
      <c r="M26" s="158">
        <v>0</v>
      </c>
      <c r="N26" s="2"/>
      <c r="O26"/>
      <c r="P26"/>
      <c r="Q26"/>
    </row>
    <row r="27" spans="1:17" x14ac:dyDescent="0.25">
      <c r="A27" s="2">
        <v>540084</v>
      </c>
      <c r="B27" s="2" t="s">
        <v>341</v>
      </c>
      <c r="C27" s="2" t="s">
        <v>11</v>
      </c>
      <c r="D27" s="2" t="s">
        <v>115</v>
      </c>
      <c r="E27" s="2">
        <v>11</v>
      </c>
      <c r="F27" s="2">
        <v>0</v>
      </c>
      <c r="G27" s="2">
        <v>0</v>
      </c>
      <c r="H27" s="2">
        <v>0</v>
      </c>
      <c r="I27" s="2">
        <v>0</v>
      </c>
      <c r="J27" s="2">
        <v>0</v>
      </c>
      <c r="K27" s="2">
        <v>0</v>
      </c>
      <c r="L27" s="2" t="s">
        <v>488</v>
      </c>
      <c r="M27" s="2" t="s">
        <v>488</v>
      </c>
      <c r="N27" s="2"/>
      <c r="O27"/>
      <c r="P27"/>
      <c r="Q27"/>
    </row>
    <row r="28" spans="1:17" x14ac:dyDescent="0.25">
      <c r="A28" s="2">
        <v>540093</v>
      </c>
      <c r="B28" s="2" t="s">
        <v>184</v>
      </c>
      <c r="C28" s="2" t="s">
        <v>11</v>
      </c>
      <c r="D28" s="2" t="s">
        <v>115</v>
      </c>
      <c r="E28" s="2">
        <v>11</v>
      </c>
      <c r="F28" s="2">
        <v>4.84</v>
      </c>
      <c r="G28" s="2">
        <v>0</v>
      </c>
      <c r="H28" s="2">
        <v>4.84</v>
      </c>
      <c r="I28" s="2">
        <v>0</v>
      </c>
      <c r="J28" s="2">
        <v>0</v>
      </c>
      <c r="K28" s="2">
        <v>4.84</v>
      </c>
      <c r="L28" s="158">
        <v>1</v>
      </c>
      <c r="M28" s="158">
        <v>0</v>
      </c>
      <c r="N28" s="2"/>
      <c r="O28"/>
      <c r="P28"/>
      <c r="Q28"/>
    </row>
    <row r="29" spans="1:17" x14ac:dyDescent="0.25">
      <c r="A29" s="2">
        <v>540011</v>
      </c>
      <c r="B29" s="2" t="s">
        <v>10</v>
      </c>
      <c r="C29" s="2" t="s">
        <v>11</v>
      </c>
      <c r="D29" s="2" t="s">
        <v>5</v>
      </c>
      <c r="E29" s="2">
        <v>11</v>
      </c>
      <c r="F29" s="2">
        <v>21.16</v>
      </c>
      <c r="G29" s="2">
        <v>22.05</v>
      </c>
      <c r="H29" s="2">
        <v>21.16</v>
      </c>
      <c r="I29" s="2">
        <v>0</v>
      </c>
      <c r="J29" s="2">
        <v>0</v>
      </c>
      <c r="K29" s="2">
        <v>43.21</v>
      </c>
      <c r="L29" s="158">
        <v>0.48959999999999998</v>
      </c>
      <c r="M29" s="158">
        <v>0.51039999999999996</v>
      </c>
      <c r="N29" s="2"/>
      <c r="O29"/>
      <c r="P29"/>
      <c r="Q29"/>
    </row>
    <row r="30" spans="1:17" x14ac:dyDescent="0.25">
      <c r="A30" s="255"/>
      <c r="B30" s="255"/>
      <c r="C30" s="255" t="s">
        <v>11</v>
      </c>
      <c r="D30" s="255"/>
      <c r="E30" s="255"/>
      <c r="F30" s="255">
        <v>35.950000000000003</v>
      </c>
      <c r="G30" s="255">
        <v>0</v>
      </c>
      <c r="H30" s="255">
        <v>0</v>
      </c>
      <c r="I30" s="255">
        <v>35.950000000000003</v>
      </c>
      <c r="J30" s="255">
        <v>22.17</v>
      </c>
      <c r="K30" s="255">
        <v>58.12</v>
      </c>
      <c r="L30" s="256">
        <v>0.61850000000000005</v>
      </c>
      <c r="M30" s="256">
        <v>0.38150000000000001</v>
      </c>
      <c r="N30" s="255">
        <v>54</v>
      </c>
      <c r="O30"/>
      <c r="P30"/>
      <c r="Q30"/>
    </row>
    <row r="31" spans="1:17" x14ac:dyDescent="0.25">
      <c r="A31" s="2">
        <v>540017</v>
      </c>
      <c r="B31" s="2" t="s">
        <v>126</v>
      </c>
      <c r="C31" s="2" t="s">
        <v>13</v>
      </c>
      <c r="D31" s="2" t="s">
        <v>115</v>
      </c>
      <c r="E31" s="2">
        <v>2</v>
      </c>
      <c r="F31" s="2">
        <v>3.92</v>
      </c>
      <c r="G31" s="2">
        <v>0.23</v>
      </c>
      <c r="H31" s="2">
        <v>3.92</v>
      </c>
      <c r="I31" s="2">
        <v>0</v>
      </c>
      <c r="J31" s="2">
        <v>0</v>
      </c>
      <c r="K31" s="2">
        <v>4.1500000000000004</v>
      </c>
      <c r="L31" s="158">
        <v>0.94530000000000003</v>
      </c>
      <c r="M31" s="158">
        <v>5.4699999999999999E-2</v>
      </c>
      <c r="N31" s="2"/>
      <c r="O31"/>
      <c r="P31"/>
      <c r="Q31"/>
    </row>
    <row r="32" spans="1:17" x14ac:dyDescent="0.25">
      <c r="A32" s="2">
        <v>540018</v>
      </c>
      <c r="B32" s="2" t="s">
        <v>127</v>
      </c>
      <c r="C32" s="2" t="s">
        <v>13</v>
      </c>
      <c r="D32" s="2" t="s">
        <v>115</v>
      </c>
      <c r="E32" s="2">
        <v>2</v>
      </c>
      <c r="F32" s="2">
        <v>21.85</v>
      </c>
      <c r="G32" s="2">
        <v>1.45</v>
      </c>
      <c r="H32" s="2">
        <v>21.85</v>
      </c>
      <c r="I32" s="2">
        <v>0</v>
      </c>
      <c r="J32" s="2">
        <v>0</v>
      </c>
      <c r="K32" s="2">
        <v>23.31</v>
      </c>
      <c r="L32" s="158">
        <v>0.93769999999999998</v>
      </c>
      <c r="M32" s="158">
        <v>6.2300000000000001E-2</v>
      </c>
      <c r="N32" s="2"/>
      <c r="O32"/>
      <c r="P32"/>
      <c r="Q32"/>
    </row>
    <row r="33" spans="1:17" x14ac:dyDescent="0.25">
      <c r="A33" s="2">
        <v>540019</v>
      </c>
      <c r="B33" s="2" t="s">
        <v>128</v>
      </c>
      <c r="C33" s="2" t="s">
        <v>13</v>
      </c>
      <c r="D33" s="2" t="s">
        <v>115</v>
      </c>
      <c r="E33" s="2">
        <v>2</v>
      </c>
      <c r="F33" s="2">
        <v>3.82</v>
      </c>
      <c r="G33" s="2">
        <v>0</v>
      </c>
      <c r="H33" s="2">
        <v>3.82</v>
      </c>
      <c r="I33" s="2">
        <v>0</v>
      </c>
      <c r="J33" s="2">
        <v>0</v>
      </c>
      <c r="K33" s="2">
        <v>3.82</v>
      </c>
      <c r="L33" s="158">
        <v>1</v>
      </c>
      <c r="M33" s="158">
        <v>0</v>
      </c>
      <c r="N33" s="2"/>
      <c r="O33"/>
      <c r="P33"/>
      <c r="Q33"/>
    </row>
    <row r="34" spans="1:17" x14ac:dyDescent="0.25">
      <c r="A34" s="2">
        <v>540016</v>
      </c>
      <c r="B34" s="2" t="s">
        <v>12</v>
      </c>
      <c r="C34" s="2" t="s">
        <v>13</v>
      </c>
      <c r="D34" s="2" t="s">
        <v>5</v>
      </c>
      <c r="E34" s="2">
        <v>2</v>
      </c>
      <c r="F34" s="2">
        <v>131.75</v>
      </c>
      <c r="G34" s="2">
        <v>120.22</v>
      </c>
      <c r="H34" s="2">
        <v>131.75</v>
      </c>
      <c r="I34" s="2">
        <v>0</v>
      </c>
      <c r="J34" s="2">
        <v>0</v>
      </c>
      <c r="K34" s="2">
        <v>251.97</v>
      </c>
      <c r="L34" s="158">
        <v>0.52290000000000003</v>
      </c>
      <c r="M34" s="158">
        <v>0.47710000000000002</v>
      </c>
      <c r="N34" s="2"/>
      <c r="O34"/>
      <c r="P34"/>
      <c r="Q34"/>
    </row>
    <row r="35" spans="1:17" x14ac:dyDescent="0.25">
      <c r="A35" s="255"/>
      <c r="B35" s="255"/>
      <c r="C35" s="255" t="s">
        <v>13</v>
      </c>
      <c r="D35" s="255"/>
      <c r="E35" s="255"/>
      <c r="F35" s="255">
        <v>161.34</v>
      </c>
      <c r="G35" s="255">
        <v>0</v>
      </c>
      <c r="H35" s="255">
        <v>0</v>
      </c>
      <c r="I35" s="255">
        <v>161.34</v>
      </c>
      <c r="J35" s="255">
        <v>121.9</v>
      </c>
      <c r="K35" s="255">
        <v>283.24</v>
      </c>
      <c r="L35" s="256">
        <v>0.5696</v>
      </c>
      <c r="M35" s="256">
        <v>0.4304</v>
      </c>
      <c r="N35" s="255">
        <v>20</v>
      </c>
      <c r="O35"/>
      <c r="P35"/>
      <c r="Q35"/>
    </row>
    <row r="36" spans="1:17" x14ac:dyDescent="0.25">
      <c r="A36" s="2">
        <v>540021</v>
      </c>
      <c r="B36" s="2" t="s">
        <v>129</v>
      </c>
      <c r="C36" s="2" t="s">
        <v>15</v>
      </c>
      <c r="D36" s="2" t="s">
        <v>115</v>
      </c>
      <c r="E36" s="2">
        <v>5</v>
      </c>
      <c r="F36" s="2">
        <v>1.92</v>
      </c>
      <c r="G36" s="2">
        <v>0.05</v>
      </c>
      <c r="H36" s="2">
        <v>1.92</v>
      </c>
      <c r="I36" s="2">
        <v>0</v>
      </c>
      <c r="J36" s="2">
        <v>0</v>
      </c>
      <c r="K36" s="2">
        <v>1.96</v>
      </c>
      <c r="L36" s="158">
        <v>0.97640000000000005</v>
      </c>
      <c r="M36" s="158">
        <v>2.3599999999999999E-2</v>
      </c>
      <c r="N36" s="2"/>
      <c r="O36"/>
      <c r="P36"/>
      <c r="Q36"/>
    </row>
    <row r="37" spans="1:17" x14ac:dyDescent="0.25">
      <c r="A37" s="2">
        <v>540020</v>
      </c>
      <c r="B37" s="2" t="s">
        <v>14</v>
      </c>
      <c r="C37" s="2" t="s">
        <v>15</v>
      </c>
      <c r="D37" s="2" t="s">
        <v>5</v>
      </c>
      <c r="E37" s="2">
        <v>5</v>
      </c>
      <c r="F37" s="2">
        <v>27.38</v>
      </c>
      <c r="G37" s="2">
        <v>100.78</v>
      </c>
      <c r="H37" s="2">
        <v>27.38</v>
      </c>
      <c r="I37" s="2">
        <v>0</v>
      </c>
      <c r="J37" s="2">
        <v>0</v>
      </c>
      <c r="K37" s="2">
        <v>128.15</v>
      </c>
      <c r="L37" s="158">
        <v>0.21360000000000001</v>
      </c>
      <c r="M37" s="158">
        <v>0.78639999999999999</v>
      </c>
      <c r="N37" s="2"/>
      <c r="O37"/>
      <c r="P37"/>
      <c r="Q37"/>
    </row>
    <row r="38" spans="1:17" x14ac:dyDescent="0.25">
      <c r="A38" s="255"/>
      <c r="B38" s="255"/>
      <c r="C38" s="255" t="s">
        <v>15</v>
      </c>
      <c r="D38" s="255"/>
      <c r="E38" s="255"/>
      <c r="F38" s="255">
        <v>29.29</v>
      </c>
      <c r="G38" s="255">
        <v>0</v>
      </c>
      <c r="H38" s="255">
        <v>0</v>
      </c>
      <c r="I38" s="255">
        <v>29.29</v>
      </c>
      <c r="J38" s="255">
        <v>100.82</v>
      </c>
      <c r="K38" s="255">
        <v>130.12</v>
      </c>
      <c r="L38" s="256">
        <v>0.22509999999999999</v>
      </c>
      <c r="M38" s="256">
        <v>0.77490000000000003</v>
      </c>
      <c r="N38" s="255">
        <v>48</v>
      </c>
      <c r="O38"/>
      <c r="P38"/>
      <c r="Q38"/>
    </row>
    <row r="39" spans="1:17" x14ac:dyDescent="0.25">
      <c r="A39" s="2">
        <v>540023</v>
      </c>
      <c r="B39" s="2" t="s">
        <v>130</v>
      </c>
      <c r="C39" s="2" t="s">
        <v>17</v>
      </c>
      <c r="D39" s="2" t="s">
        <v>115</v>
      </c>
      <c r="E39" s="2">
        <v>3</v>
      </c>
      <c r="F39" s="2">
        <v>2.46</v>
      </c>
      <c r="G39" s="2">
        <v>0</v>
      </c>
      <c r="H39" s="2">
        <v>2.46</v>
      </c>
      <c r="I39" s="2">
        <v>0</v>
      </c>
      <c r="J39" s="2">
        <v>0</v>
      </c>
      <c r="K39" s="2">
        <v>2.46</v>
      </c>
      <c r="L39" s="158">
        <v>1</v>
      </c>
      <c r="M39" s="158">
        <v>0</v>
      </c>
      <c r="N39" s="2"/>
      <c r="O39"/>
      <c r="P39"/>
      <c r="Q39"/>
    </row>
    <row r="40" spans="1:17" x14ac:dyDescent="0.25">
      <c r="A40" s="2">
        <v>540022</v>
      </c>
      <c r="B40" s="2" t="s">
        <v>16</v>
      </c>
      <c r="C40" s="2" t="s">
        <v>17</v>
      </c>
      <c r="D40" s="2" t="s">
        <v>5</v>
      </c>
      <c r="E40" s="2">
        <v>3</v>
      </c>
      <c r="F40" s="2">
        <v>72.83</v>
      </c>
      <c r="G40" s="2">
        <v>84.74</v>
      </c>
      <c r="H40" s="2">
        <v>72.83</v>
      </c>
      <c r="I40" s="2">
        <v>0</v>
      </c>
      <c r="J40" s="2">
        <v>0</v>
      </c>
      <c r="K40" s="2">
        <v>157.58000000000001</v>
      </c>
      <c r="L40" s="158">
        <v>0.4622</v>
      </c>
      <c r="M40" s="158">
        <v>0.53779999999999994</v>
      </c>
      <c r="N40" s="2"/>
      <c r="O40"/>
      <c r="P40"/>
      <c r="Q40"/>
    </row>
    <row r="41" spans="1:17" x14ac:dyDescent="0.25">
      <c r="A41" s="255"/>
      <c r="B41" s="255"/>
      <c r="C41" s="255" t="s">
        <v>17</v>
      </c>
      <c r="D41" s="255"/>
      <c r="E41" s="255"/>
      <c r="F41" s="255">
        <v>75.290000000000006</v>
      </c>
      <c r="G41" s="255">
        <v>0</v>
      </c>
      <c r="H41" s="255">
        <v>0</v>
      </c>
      <c r="I41" s="255">
        <v>75.290000000000006</v>
      </c>
      <c r="J41" s="255">
        <v>84.74</v>
      </c>
      <c r="K41" s="255">
        <v>160.03</v>
      </c>
      <c r="L41" s="256">
        <v>0.47049999999999997</v>
      </c>
      <c r="M41" s="256">
        <v>0.52949999999999997</v>
      </c>
      <c r="N41" s="255">
        <v>41</v>
      </c>
      <c r="O41"/>
      <c r="P41"/>
      <c r="Q41"/>
    </row>
    <row r="42" spans="1:17" x14ac:dyDescent="0.25">
      <c r="A42" s="2">
        <v>540025</v>
      </c>
      <c r="B42" s="2" t="s">
        <v>131</v>
      </c>
      <c r="C42" s="2" t="s">
        <v>19</v>
      </c>
      <c r="D42" s="2" t="s">
        <v>115</v>
      </c>
      <c r="E42" s="2">
        <v>6</v>
      </c>
      <c r="F42" s="2">
        <v>1.23</v>
      </c>
      <c r="G42" s="2">
        <v>0</v>
      </c>
      <c r="H42" s="2">
        <v>1.23</v>
      </c>
      <c r="I42" s="2">
        <v>0</v>
      </c>
      <c r="J42" s="2">
        <v>0</v>
      </c>
      <c r="K42" s="2">
        <v>1.23</v>
      </c>
      <c r="L42" s="158">
        <v>1</v>
      </c>
      <c r="M42" s="158">
        <v>0</v>
      </c>
      <c r="N42" s="2"/>
      <c r="O42"/>
      <c r="P42"/>
      <c r="Q42"/>
    </row>
    <row r="43" spans="1:17" x14ac:dyDescent="0.25">
      <c r="A43" s="2">
        <v>540024</v>
      </c>
      <c r="B43" s="2" t="s">
        <v>18</v>
      </c>
      <c r="C43" s="2" t="s">
        <v>19</v>
      </c>
      <c r="D43" s="2" t="s">
        <v>5</v>
      </c>
      <c r="E43" s="2">
        <v>6</v>
      </c>
      <c r="F43" s="2">
        <v>56.15</v>
      </c>
      <c r="G43" s="2">
        <v>109.67</v>
      </c>
      <c r="H43" s="2">
        <v>56.15</v>
      </c>
      <c r="I43" s="2">
        <v>0</v>
      </c>
      <c r="J43" s="2">
        <v>0</v>
      </c>
      <c r="K43" s="2">
        <v>165.82</v>
      </c>
      <c r="L43" s="158">
        <v>0.33860000000000001</v>
      </c>
      <c r="M43" s="158">
        <v>0.66139999999999999</v>
      </c>
      <c r="N43" s="2"/>
      <c r="O43"/>
      <c r="P43"/>
      <c r="Q43"/>
    </row>
    <row r="44" spans="1:17" x14ac:dyDescent="0.25">
      <c r="A44" s="255"/>
      <c r="B44" s="255"/>
      <c r="C44" s="255" t="s">
        <v>19</v>
      </c>
      <c r="D44" s="255"/>
      <c r="E44" s="255"/>
      <c r="F44" s="255">
        <v>57.38</v>
      </c>
      <c r="G44" s="255">
        <v>0</v>
      </c>
      <c r="H44" s="255">
        <v>0</v>
      </c>
      <c r="I44" s="255">
        <v>57.38</v>
      </c>
      <c r="J44" s="255">
        <v>109.67</v>
      </c>
      <c r="K44" s="255">
        <v>167.05</v>
      </c>
      <c r="L44" s="256">
        <v>0.34350000000000003</v>
      </c>
      <c r="M44" s="256">
        <v>0.65649999999999997</v>
      </c>
      <c r="N44" s="255">
        <v>38</v>
      </c>
      <c r="O44"/>
      <c r="P44"/>
      <c r="Q44"/>
    </row>
    <row r="45" spans="1:17" x14ac:dyDescent="0.25">
      <c r="A45" s="2">
        <v>540027</v>
      </c>
      <c r="B45" s="2" t="s">
        <v>132</v>
      </c>
      <c r="C45" s="2" t="s">
        <v>21</v>
      </c>
      <c r="D45" s="2" t="s">
        <v>115</v>
      </c>
      <c r="E45" s="2">
        <v>4</v>
      </c>
      <c r="F45" s="2">
        <v>0</v>
      </c>
      <c r="G45" s="2">
        <v>0.92</v>
      </c>
      <c r="H45" s="2">
        <v>0</v>
      </c>
      <c r="I45" s="2">
        <v>0</v>
      </c>
      <c r="J45" s="2">
        <v>0</v>
      </c>
      <c r="K45" s="2">
        <v>0.92</v>
      </c>
      <c r="L45" s="158">
        <v>0</v>
      </c>
      <c r="M45" s="158">
        <v>1</v>
      </c>
      <c r="N45" s="2"/>
      <c r="O45"/>
      <c r="P45"/>
      <c r="Q45"/>
    </row>
    <row r="46" spans="1:17" x14ac:dyDescent="0.25">
      <c r="A46" s="2">
        <v>540028</v>
      </c>
      <c r="B46" s="2" t="s">
        <v>133</v>
      </c>
      <c r="C46" s="2" t="s">
        <v>21</v>
      </c>
      <c r="D46" s="2" t="s">
        <v>115</v>
      </c>
      <c r="E46" s="2">
        <v>4</v>
      </c>
      <c r="F46" s="2">
        <v>1.82</v>
      </c>
      <c r="G46" s="2">
        <v>0.1</v>
      </c>
      <c r="H46" s="2">
        <v>1.82</v>
      </c>
      <c r="I46" s="2">
        <v>0</v>
      </c>
      <c r="J46" s="2">
        <v>0</v>
      </c>
      <c r="K46" s="2">
        <v>1.91</v>
      </c>
      <c r="L46" s="158">
        <v>0.94869999999999999</v>
      </c>
      <c r="M46" s="158">
        <v>5.1299999999999998E-2</v>
      </c>
      <c r="N46" s="2"/>
      <c r="O46"/>
      <c r="P46"/>
      <c r="Q46"/>
    </row>
    <row r="47" spans="1:17" x14ac:dyDescent="0.25">
      <c r="A47" s="2">
        <v>540029</v>
      </c>
      <c r="B47" s="2" t="s">
        <v>134</v>
      </c>
      <c r="C47" s="2" t="s">
        <v>21</v>
      </c>
      <c r="D47" s="2" t="s">
        <v>115</v>
      </c>
      <c r="E47" s="2">
        <v>4</v>
      </c>
      <c r="F47" s="2">
        <v>0</v>
      </c>
      <c r="G47" s="2">
        <v>0.32</v>
      </c>
      <c r="H47" s="2">
        <v>0</v>
      </c>
      <c r="I47" s="2">
        <v>0</v>
      </c>
      <c r="J47" s="2">
        <v>0</v>
      </c>
      <c r="K47" s="2">
        <v>0.32</v>
      </c>
      <c r="L47" s="158">
        <v>1.1299999999999999E-2</v>
      </c>
      <c r="M47" s="158">
        <v>0.98870000000000002</v>
      </c>
      <c r="N47" s="2"/>
      <c r="O47"/>
      <c r="P47"/>
      <c r="Q47"/>
    </row>
    <row r="48" spans="1:17" x14ac:dyDescent="0.25">
      <c r="A48" s="2">
        <v>540031</v>
      </c>
      <c r="B48" s="2" t="s">
        <v>136</v>
      </c>
      <c r="C48" s="2" t="s">
        <v>21</v>
      </c>
      <c r="D48" s="2" t="s">
        <v>115</v>
      </c>
      <c r="E48" s="2">
        <v>4</v>
      </c>
      <c r="F48" s="2">
        <v>0</v>
      </c>
      <c r="G48" s="2">
        <v>3.67</v>
      </c>
      <c r="H48" s="2">
        <v>0</v>
      </c>
      <c r="I48" s="2">
        <v>0</v>
      </c>
      <c r="J48" s="2">
        <v>0</v>
      </c>
      <c r="K48" s="2">
        <v>3.67</v>
      </c>
      <c r="L48" s="158">
        <v>0</v>
      </c>
      <c r="M48" s="158">
        <v>1</v>
      </c>
      <c r="N48" s="2"/>
      <c r="O48"/>
      <c r="P48"/>
      <c r="Q48"/>
    </row>
    <row r="49" spans="1:17" x14ac:dyDescent="0.25">
      <c r="A49" s="2">
        <v>540032</v>
      </c>
      <c r="B49" s="2" t="s">
        <v>137</v>
      </c>
      <c r="C49" s="2" t="s">
        <v>21</v>
      </c>
      <c r="D49" s="2" t="s">
        <v>115</v>
      </c>
      <c r="E49" s="2">
        <v>4</v>
      </c>
      <c r="F49" s="2">
        <v>1.21</v>
      </c>
      <c r="G49" s="2">
        <v>0</v>
      </c>
      <c r="H49" s="2">
        <v>1.21</v>
      </c>
      <c r="I49" s="2">
        <v>0</v>
      </c>
      <c r="J49" s="2">
        <v>0</v>
      </c>
      <c r="K49" s="2">
        <v>1.21</v>
      </c>
      <c r="L49" s="158">
        <v>1</v>
      </c>
      <c r="M49" s="158">
        <v>0</v>
      </c>
      <c r="N49" s="2"/>
      <c r="O49"/>
      <c r="P49"/>
      <c r="Q49"/>
    </row>
    <row r="50" spans="1:17" x14ac:dyDescent="0.25">
      <c r="A50" s="2">
        <v>540033</v>
      </c>
      <c r="B50" s="2" t="s">
        <v>138</v>
      </c>
      <c r="C50" s="2" t="s">
        <v>21</v>
      </c>
      <c r="D50" s="2" t="s">
        <v>115</v>
      </c>
      <c r="E50" s="2">
        <v>4</v>
      </c>
      <c r="F50" s="2">
        <v>2.0499999999999998</v>
      </c>
      <c r="G50" s="2">
        <v>7.0000000000000007E-2</v>
      </c>
      <c r="H50" s="2">
        <v>2.0499999999999998</v>
      </c>
      <c r="I50" s="2">
        <v>0</v>
      </c>
      <c r="J50" s="2">
        <v>0</v>
      </c>
      <c r="K50" s="2">
        <v>2.12</v>
      </c>
      <c r="L50" s="158">
        <v>0.9667</v>
      </c>
      <c r="M50" s="158">
        <v>3.3300000000000003E-2</v>
      </c>
      <c r="N50" s="2"/>
      <c r="O50"/>
      <c r="P50"/>
      <c r="Q50"/>
    </row>
    <row r="51" spans="1:17" x14ac:dyDescent="0.25">
      <c r="A51" s="2">
        <v>540050</v>
      </c>
      <c r="B51" s="2" t="s">
        <v>150</v>
      </c>
      <c r="C51" s="2" t="s">
        <v>21</v>
      </c>
      <c r="D51" s="2" t="s">
        <v>115</v>
      </c>
      <c r="E51" s="2">
        <v>4</v>
      </c>
      <c r="F51" s="2">
        <v>0</v>
      </c>
      <c r="G51" s="2">
        <v>0</v>
      </c>
      <c r="H51" s="2">
        <v>0</v>
      </c>
      <c r="I51" s="2">
        <v>0</v>
      </c>
      <c r="J51" s="2">
        <v>0</v>
      </c>
      <c r="K51" s="2">
        <v>0</v>
      </c>
      <c r="L51" s="2" t="s">
        <v>488</v>
      </c>
      <c r="M51" s="2" t="s">
        <v>488</v>
      </c>
      <c r="N51" s="2"/>
      <c r="O51"/>
      <c r="P51"/>
      <c r="Q51"/>
    </row>
    <row r="52" spans="1:17" x14ac:dyDescent="0.25">
      <c r="A52" s="2">
        <v>540280</v>
      </c>
      <c r="B52" s="2" t="s">
        <v>321</v>
      </c>
      <c r="C52" s="2" t="s">
        <v>21</v>
      </c>
      <c r="D52" s="2" t="s">
        <v>115</v>
      </c>
      <c r="E52" s="2">
        <v>4</v>
      </c>
      <c r="F52" s="2">
        <v>0</v>
      </c>
      <c r="G52" s="2">
        <v>0.94</v>
      </c>
      <c r="H52" s="2">
        <v>0</v>
      </c>
      <c r="I52" s="2">
        <v>0</v>
      </c>
      <c r="J52" s="2">
        <v>0</v>
      </c>
      <c r="K52" s="2">
        <v>0.94</v>
      </c>
      <c r="L52" s="158">
        <v>0</v>
      </c>
      <c r="M52" s="158">
        <v>1</v>
      </c>
      <c r="N52" s="2"/>
      <c r="O52"/>
      <c r="P52"/>
      <c r="Q52"/>
    </row>
    <row r="53" spans="1:17" x14ac:dyDescent="0.25">
      <c r="A53" s="2">
        <v>540293</v>
      </c>
      <c r="B53" s="2" t="s">
        <v>330</v>
      </c>
      <c r="C53" s="2" t="s">
        <v>21</v>
      </c>
      <c r="D53" s="2" t="s">
        <v>115</v>
      </c>
      <c r="E53" s="2">
        <v>4</v>
      </c>
      <c r="F53" s="2">
        <v>0</v>
      </c>
      <c r="G53" s="2">
        <v>0.01</v>
      </c>
      <c r="H53" s="2">
        <v>0</v>
      </c>
      <c r="I53" s="2">
        <v>0</v>
      </c>
      <c r="J53" s="2">
        <v>0</v>
      </c>
      <c r="K53" s="2">
        <v>0.01</v>
      </c>
      <c r="L53" s="158">
        <v>0</v>
      </c>
      <c r="M53" s="158">
        <v>1</v>
      </c>
      <c r="N53" s="2"/>
      <c r="O53"/>
      <c r="P53"/>
      <c r="Q53"/>
    </row>
    <row r="54" spans="1:17" x14ac:dyDescent="0.25">
      <c r="A54" s="2">
        <v>540294</v>
      </c>
      <c r="B54" s="2" t="s">
        <v>331</v>
      </c>
      <c r="C54" s="2" t="s">
        <v>21</v>
      </c>
      <c r="D54" s="2" t="s">
        <v>115</v>
      </c>
      <c r="E54" s="2">
        <v>4</v>
      </c>
      <c r="F54" s="2">
        <v>0.88</v>
      </c>
      <c r="G54" s="2">
        <v>0</v>
      </c>
      <c r="H54" s="2">
        <v>0.88</v>
      </c>
      <c r="I54" s="2">
        <v>0</v>
      </c>
      <c r="J54" s="2">
        <v>0</v>
      </c>
      <c r="K54" s="2">
        <v>0.88</v>
      </c>
      <c r="L54" s="158">
        <v>1</v>
      </c>
      <c r="M54" s="158">
        <v>0</v>
      </c>
      <c r="N54" s="2"/>
      <c r="O54"/>
      <c r="P54"/>
      <c r="Q54"/>
    </row>
    <row r="55" spans="1:17" x14ac:dyDescent="0.25">
      <c r="A55" s="2">
        <v>540026</v>
      </c>
      <c r="B55" s="2" t="s">
        <v>20</v>
      </c>
      <c r="C55" s="2" t="s">
        <v>21</v>
      </c>
      <c r="D55" s="2" t="s">
        <v>5</v>
      </c>
      <c r="E55" s="2">
        <v>4</v>
      </c>
      <c r="F55" s="2">
        <v>22.68</v>
      </c>
      <c r="G55" s="2">
        <v>118.3</v>
      </c>
      <c r="H55" s="2">
        <v>22.68</v>
      </c>
      <c r="I55" s="2">
        <v>0</v>
      </c>
      <c r="J55" s="2">
        <v>0</v>
      </c>
      <c r="K55" s="2">
        <v>140.97999999999999</v>
      </c>
      <c r="L55" s="158">
        <v>0.16089999999999999</v>
      </c>
      <c r="M55" s="158">
        <v>0.83909999999999996</v>
      </c>
      <c r="N55" s="2"/>
      <c r="O55"/>
      <c r="P55"/>
      <c r="Q55"/>
    </row>
    <row r="56" spans="1:17" x14ac:dyDescent="0.25">
      <c r="A56" s="255"/>
      <c r="B56" s="255"/>
      <c r="C56" s="255" t="s">
        <v>21</v>
      </c>
      <c r="D56" s="255"/>
      <c r="E56" s="255"/>
      <c r="F56" s="255">
        <v>28.63</v>
      </c>
      <c r="G56" s="255">
        <v>0</v>
      </c>
      <c r="H56" s="255">
        <v>0</v>
      </c>
      <c r="I56" s="255">
        <v>28.63</v>
      </c>
      <c r="J56" s="255">
        <v>124.33</v>
      </c>
      <c r="K56" s="255">
        <v>152.96</v>
      </c>
      <c r="L56" s="256">
        <v>0.18720000000000001</v>
      </c>
      <c r="M56" s="256">
        <v>0.81279999999999997</v>
      </c>
      <c r="N56" s="255">
        <v>43</v>
      </c>
      <c r="O56"/>
      <c r="P56"/>
      <c r="Q56"/>
    </row>
    <row r="57" spans="1:17" x14ac:dyDescent="0.25">
      <c r="A57" s="2">
        <v>540036</v>
      </c>
      <c r="B57" s="2" t="s">
        <v>139</v>
      </c>
      <c r="C57" s="2" t="s">
        <v>23</v>
      </c>
      <c r="D57" s="2" t="s">
        <v>115</v>
      </c>
      <c r="E57" s="2">
        <v>7</v>
      </c>
      <c r="F57" s="2">
        <v>3.43</v>
      </c>
      <c r="G57" s="2">
        <v>0</v>
      </c>
      <c r="H57" s="2">
        <v>3.43</v>
      </c>
      <c r="I57" s="2">
        <v>0</v>
      </c>
      <c r="J57" s="2">
        <v>0</v>
      </c>
      <c r="K57" s="2">
        <v>3.43</v>
      </c>
      <c r="L57" s="158">
        <v>1</v>
      </c>
      <c r="M57" s="158">
        <v>0</v>
      </c>
      <c r="N57" s="2"/>
      <c r="O57"/>
      <c r="P57"/>
      <c r="Q57"/>
    </row>
    <row r="58" spans="1:17" x14ac:dyDescent="0.25">
      <c r="A58" s="2">
        <v>540037</v>
      </c>
      <c r="B58" s="2" t="s">
        <v>140</v>
      </c>
      <c r="C58" s="2" t="s">
        <v>23</v>
      </c>
      <c r="D58" s="2" t="s">
        <v>115</v>
      </c>
      <c r="E58" s="2">
        <v>7</v>
      </c>
      <c r="F58" s="2">
        <v>1.56</v>
      </c>
      <c r="G58" s="2">
        <v>0</v>
      </c>
      <c r="H58" s="2">
        <v>1.56</v>
      </c>
      <c r="I58" s="2">
        <v>0</v>
      </c>
      <c r="J58" s="2">
        <v>0</v>
      </c>
      <c r="K58" s="2">
        <v>1.56</v>
      </c>
      <c r="L58" s="158">
        <v>1</v>
      </c>
      <c r="M58" s="158">
        <v>0</v>
      </c>
      <c r="N58" s="2"/>
      <c r="O58"/>
      <c r="P58"/>
      <c r="Q58"/>
    </row>
    <row r="59" spans="1:17" x14ac:dyDescent="0.25">
      <c r="A59" s="2">
        <v>540035</v>
      </c>
      <c r="B59" s="2" t="s">
        <v>22</v>
      </c>
      <c r="C59" s="2" t="s">
        <v>23</v>
      </c>
      <c r="D59" s="2" t="s">
        <v>5</v>
      </c>
      <c r="E59" s="2">
        <v>7</v>
      </c>
      <c r="F59" s="2">
        <v>62.95</v>
      </c>
      <c r="G59" s="2">
        <v>144.77000000000001</v>
      </c>
      <c r="H59" s="2">
        <v>62.95</v>
      </c>
      <c r="I59" s="2">
        <v>0</v>
      </c>
      <c r="J59" s="2">
        <v>0</v>
      </c>
      <c r="K59" s="2">
        <v>207.72</v>
      </c>
      <c r="L59" s="158">
        <v>0.30309999999999998</v>
      </c>
      <c r="M59" s="158">
        <v>0.69689999999999996</v>
      </c>
      <c r="N59" s="2"/>
      <c r="O59"/>
      <c r="P59"/>
      <c r="Q59"/>
    </row>
    <row r="60" spans="1:17" x14ac:dyDescent="0.25">
      <c r="A60" s="255"/>
      <c r="B60" s="255"/>
      <c r="C60" s="255" t="s">
        <v>23</v>
      </c>
      <c r="D60" s="255"/>
      <c r="E60" s="255"/>
      <c r="F60" s="255">
        <v>67.95</v>
      </c>
      <c r="G60" s="255">
        <v>0</v>
      </c>
      <c r="H60" s="255">
        <v>0</v>
      </c>
      <c r="I60" s="255">
        <v>67.95</v>
      </c>
      <c r="J60" s="255">
        <v>144.77000000000001</v>
      </c>
      <c r="K60" s="255">
        <v>212.71</v>
      </c>
      <c r="L60" s="256">
        <v>0.31940000000000002</v>
      </c>
      <c r="M60" s="256">
        <v>0.68059999999999998</v>
      </c>
      <c r="N60" s="255">
        <v>31</v>
      </c>
      <c r="O60"/>
      <c r="P60"/>
      <c r="Q60"/>
    </row>
    <row r="61" spans="1:17" x14ac:dyDescent="0.25">
      <c r="A61" s="2">
        <v>540039</v>
      </c>
      <c r="B61" s="2" t="s">
        <v>141</v>
      </c>
      <c r="C61" s="2" t="s">
        <v>25</v>
      </c>
      <c r="D61" s="2" t="s">
        <v>115</v>
      </c>
      <c r="E61" s="2">
        <v>8</v>
      </c>
      <c r="F61" s="2">
        <v>2.42</v>
      </c>
      <c r="G61" s="2">
        <v>0.67</v>
      </c>
      <c r="H61" s="2">
        <v>2.17</v>
      </c>
      <c r="I61" s="2">
        <v>0.25</v>
      </c>
      <c r="J61" s="2">
        <v>0</v>
      </c>
      <c r="K61" s="2">
        <v>3.09</v>
      </c>
      <c r="L61" s="158">
        <v>0.78210000000000002</v>
      </c>
      <c r="M61" s="158">
        <v>0.21790000000000001</v>
      </c>
      <c r="N61" s="2"/>
      <c r="O61"/>
      <c r="P61"/>
      <c r="Q61"/>
    </row>
    <row r="62" spans="1:17" x14ac:dyDescent="0.25">
      <c r="A62" s="2">
        <v>540240</v>
      </c>
      <c r="B62" s="2" t="s">
        <v>287</v>
      </c>
      <c r="C62" s="2" t="s">
        <v>25</v>
      </c>
      <c r="D62" s="2" t="s">
        <v>115</v>
      </c>
      <c r="E62" s="2">
        <v>8</v>
      </c>
      <c r="F62" s="2">
        <v>0.45</v>
      </c>
      <c r="G62" s="2">
        <v>0.09</v>
      </c>
      <c r="H62" s="2">
        <v>0.45</v>
      </c>
      <c r="I62" s="2">
        <v>0</v>
      </c>
      <c r="J62" s="2">
        <v>0</v>
      </c>
      <c r="K62" s="2">
        <v>0.54</v>
      </c>
      <c r="L62" s="158">
        <v>0.82509999999999994</v>
      </c>
      <c r="M62" s="158">
        <v>0.1749</v>
      </c>
      <c r="N62" s="2"/>
      <c r="O62"/>
      <c r="P62"/>
      <c r="Q62"/>
    </row>
    <row r="63" spans="1:17" x14ac:dyDescent="0.25">
      <c r="A63" s="2">
        <v>540038</v>
      </c>
      <c r="B63" s="2" t="s">
        <v>24</v>
      </c>
      <c r="C63" s="2" t="s">
        <v>25</v>
      </c>
      <c r="D63" s="2" t="s">
        <v>5</v>
      </c>
      <c r="E63" s="2">
        <v>8</v>
      </c>
      <c r="F63" s="2">
        <v>9.94</v>
      </c>
      <c r="G63" s="2">
        <v>126.94</v>
      </c>
      <c r="H63" s="2">
        <v>9.94</v>
      </c>
      <c r="I63" s="2">
        <v>0</v>
      </c>
      <c r="J63" s="2">
        <v>0</v>
      </c>
      <c r="K63" s="2">
        <v>136.88</v>
      </c>
      <c r="L63" s="158">
        <v>7.2599999999999998E-2</v>
      </c>
      <c r="M63" s="158">
        <v>0.9274</v>
      </c>
      <c r="N63" s="2"/>
      <c r="O63"/>
      <c r="P63"/>
      <c r="Q63"/>
    </row>
    <row r="64" spans="1:17" x14ac:dyDescent="0.25">
      <c r="A64" s="255"/>
      <c r="B64" s="255"/>
      <c r="C64" s="255" t="s">
        <v>25</v>
      </c>
      <c r="D64" s="255"/>
      <c r="E64" s="255"/>
      <c r="F64" s="255">
        <v>12.55</v>
      </c>
      <c r="G64" s="255">
        <v>0.25</v>
      </c>
      <c r="H64" s="255">
        <v>0</v>
      </c>
      <c r="I64" s="255">
        <v>12.81</v>
      </c>
      <c r="J64" s="255">
        <v>127.71</v>
      </c>
      <c r="K64" s="255">
        <v>140.52000000000001</v>
      </c>
      <c r="L64" s="256">
        <v>9.11E-2</v>
      </c>
      <c r="M64" s="256">
        <v>0.90890000000000004</v>
      </c>
      <c r="N64" s="255">
        <v>46</v>
      </c>
      <c r="O64"/>
      <c r="P64"/>
      <c r="Q64"/>
    </row>
    <row r="65" spans="1:17" x14ac:dyDescent="0.25">
      <c r="A65" s="2">
        <v>540041</v>
      </c>
      <c r="B65" s="2" t="s">
        <v>142</v>
      </c>
      <c r="C65" s="2" t="s">
        <v>27</v>
      </c>
      <c r="D65" s="2" t="s">
        <v>115</v>
      </c>
      <c r="E65" s="2">
        <v>4</v>
      </c>
      <c r="F65" s="2">
        <v>0.93</v>
      </c>
      <c r="G65" s="2">
        <v>0.18</v>
      </c>
      <c r="H65" s="2">
        <v>0.93</v>
      </c>
      <c r="I65" s="2">
        <v>0</v>
      </c>
      <c r="J65" s="2">
        <v>0</v>
      </c>
      <c r="K65" s="2">
        <v>1.1100000000000001</v>
      </c>
      <c r="L65" s="158">
        <v>0.83899999999999997</v>
      </c>
      <c r="M65" s="158">
        <v>0.161</v>
      </c>
      <c r="N65" s="2"/>
      <c r="O65"/>
      <c r="P65"/>
      <c r="Q65"/>
    </row>
    <row r="66" spans="1:17" x14ac:dyDescent="0.25">
      <c r="A66" s="2">
        <v>540043</v>
      </c>
      <c r="B66" s="2" t="s">
        <v>144</v>
      </c>
      <c r="C66" s="2" t="s">
        <v>27</v>
      </c>
      <c r="D66" s="2" t="s">
        <v>115</v>
      </c>
      <c r="E66" s="2">
        <v>4</v>
      </c>
      <c r="F66" s="2">
        <v>1.0900000000000001</v>
      </c>
      <c r="G66" s="2">
        <v>0.22</v>
      </c>
      <c r="H66" s="2">
        <v>1.0900000000000001</v>
      </c>
      <c r="I66" s="2">
        <v>0</v>
      </c>
      <c r="J66" s="2">
        <v>0</v>
      </c>
      <c r="K66" s="2">
        <v>1.31</v>
      </c>
      <c r="L66" s="158">
        <v>0.83279999999999998</v>
      </c>
      <c r="M66" s="158">
        <v>0.16719999999999999</v>
      </c>
      <c r="N66" s="2"/>
      <c r="O66"/>
      <c r="P66"/>
      <c r="Q66"/>
    </row>
    <row r="67" spans="1:17" x14ac:dyDescent="0.25">
      <c r="A67" s="2">
        <v>540044</v>
      </c>
      <c r="B67" s="2" t="s">
        <v>145</v>
      </c>
      <c r="C67" s="2" t="s">
        <v>27</v>
      </c>
      <c r="D67" s="2" t="s">
        <v>115</v>
      </c>
      <c r="E67" s="2">
        <v>4</v>
      </c>
      <c r="F67" s="2">
        <v>0</v>
      </c>
      <c r="G67" s="2">
        <v>1.29</v>
      </c>
      <c r="H67" s="2">
        <v>0</v>
      </c>
      <c r="I67" s="2">
        <v>0</v>
      </c>
      <c r="J67" s="2">
        <v>0</v>
      </c>
      <c r="K67" s="2">
        <v>1.29</v>
      </c>
      <c r="L67" s="158">
        <v>0</v>
      </c>
      <c r="M67" s="158">
        <v>1</v>
      </c>
      <c r="N67" s="2"/>
      <c r="O67"/>
      <c r="P67"/>
      <c r="Q67"/>
    </row>
    <row r="68" spans="1:17" x14ac:dyDescent="0.25">
      <c r="A68" s="2">
        <v>540045</v>
      </c>
      <c r="B68" s="2" t="s">
        <v>146</v>
      </c>
      <c r="C68" s="2" t="s">
        <v>27</v>
      </c>
      <c r="D68" s="2" t="s">
        <v>115</v>
      </c>
      <c r="E68" s="2">
        <v>4</v>
      </c>
      <c r="F68" s="2">
        <v>4.2699999999999996</v>
      </c>
      <c r="G68" s="2">
        <v>0.01</v>
      </c>
      <c r="H68" s="2">
        <v>4.2699999999999996</v>
      </c>
      <c r="I68" s="2">
        <v>0</v>
      </c>
      <c r="J68" s="2">
        <v>0</v>
      </c>
      <c r="K68" s="2">
        <v>4.28</v>
      </c>
      <c r="L68" s="158">
        <v>0.998</v>
      </c>
      <c r="M68" s="158">
        <v>2E-3</v>
      </c>
      <c r="N68" s="2"/>
      <c r="O68"/>
      <c r="P68"/>
      <c r="Q68"/>
    </row>
    <row r="69" spans="1:17" x14ac:dyDescent="0.25">
      <c r="A69" s="2">
        <v>540228</v>
      </c>
      <c r="B69" s="2" t="s">
        <v>278</v>
      </c>
      <c r="C69" s="2" t="s">
        <v>27</v>
      </c>
      <c r="D69" s="2" t="s">
        <v>115</v>
      </c>
      <c r="E69" s="2">
        <v>4</v>
      </c>
      <c r="F69" s="2">
        <v>0.78</v>
      </c>
      <c r="G69" s="2">
        <v>2.0699999999999998</v>
      </c>
      <c r="H69" s="2">
        <v>0.78</v>
      </c>
      <c r="I69" s="2">
        <v>0</v>
      </c>
      <c r="J69" s="2">
        <v>0</v>
      </c>
      <c r="K69" s="2">
        <v>2.84</v>
      </c>
      <c r="L69" s="158">
        <v>0.27329999999999999</v>
      </c>
      <c r="M69" s="158">
        <v>0.72670000000000001</v>
      </c>
      <c r="N69" s="2"/>
      <c r="O69"/>
      <c r="P69"/>
      <c r="Q69"/>
    </row>
    <row r="70" spans="1:17" x14ac:dyDescent="0.25">
      <c r="A70" s="2">
        <v>540243</v>
      </c>
      <c r="B70" s="2" t="s">
        <v>290</v>
      </c>
      <c r="C70" s="2" t="s">
        <v>27</v>
      </c>
      <c r="D70" s="2" t="s">
        <v>115</v>
      </c>
      <c r="E70" s="2">
        <v>4</v>
      </c>
      <c r="F70" s="2">
        <v>0</v>
      </c>
      <c r="G70" s="2">
        <v>0.12</v>
      </c>
      <c r="H70" s="2">
        <v>0</v>
      </c>
      <c r="I70" s="2">
        <v>0</v>
      </c>
      <c r="J70" s="2">
        <v>0</v>
      </c>
      <c r="K70" s="2">
        <v>0.12</v>
      </c>
      <c r="L70" s="158">
        <v>0</v>
      </c>
      <c r="M70" s="158">
        <v>1</v>
      </c>
      <c r="N70" s="2"/>
      <c r="O70"/>
      <c r="P70"/>
      <c r="Q70"/>
    </row>
    <row r="71" spans="1:17" x14ac:dyDescent="0.25">
      <c r="A71" s="2">
        <v>540244</v>
      </c>
      <c r="B71" s="2" t="s">
        <v>291</v>
      </c>
      <c r="C71" s="2" t="s">
        <v>27</v>
      </c>
      <c r="D71" s="2" t="s">
        <v>115</v>
      </c>
      <c r="E71" s="2">
        <v>4</v>
      </c>
      <c r="F71" s="2">
        <v>0</v>
      </c>
      <c r="G71" s="2">
        <v>0.05</v>
      </c>
      <c r="H71" s="2">
        <v>0</v>
      </c>
      <c r="I71" s="2">
        <v>0</v>
      </c>
      <c r="J71" s="2">
        <v>0</v>
      </c>
      <c r="K71" s="2">
        <v>0.05</v>
      </c>
      <c r="L71" s="158">
        <v>0</v>
      </c>
      <c r="M71" s="158">
        <v>1</v>
      </c>
      <c r="N71" s="2"/>
      <c r="O71"/>
      <c r="P71"/>
      <c r="Q71"/>
    </row>
    <row r="72" spans="1:17" x14ac:dyDescent="0.25">
      <c r="A72" s="2">
        <v>540281</v>
      </c>
      <c r="B72" s="2" t="s">
        <v>322</v>
      </c>
      <c r="C72" s="2" t="s">
        <v>27</v>
      </c>
      <c r="D72" s="2" t="s">
        <v>115</v>
      </c>
      <c r="E72" s="2">
        <v>4</v>
      </c>
      <c r="F72" s="2">
        <v>0</v>
      </c>
      <c r="G72" s="2">
        <v>0</v>
      </c>
      <c r="H72" s="2">
        <v>0</v>
      </c>
      <c r="I72" s="2">
        <v>0</v>
      </c>
      <c r="J72" s="2">
        <v>0</v>
      </c>
      <c r="K72" s="2">
        <v>0</v>
      </c>
      <c r="L72" s="2" t="s">
        <v>488</v>
      </c>
      <c r="M72" s="2" t="s">
        <v>488</v>
      </c>
      <c r="N72" s="2"/>
      <c r="O72"/>
      <c r="P72"/>
      <c r="Q72"/>
    </row>
    <row r="73" spans="1:17" x14ac:dyDescent="0.25">
      <c r="A73" s="2">
        <v>540040</v>
      </c>
      <c r="B73" s="2" t="s">
        <v>26</v>
      </c>
      <c r="C73" s="2" t="s">
        <v>27</v>
      </c>
      <c r="D73" s="2" t="s">
        <v>5</v>
      </c>
      <c r="E73" s="2">
        <v>4</v>
      </c>
      <c r="F73" s="2">
        <v>47.83</v>
      </c>
      <c r="G73" s="2">
        <v>503.79</v>
      </c>
      <c r="H73" s="2">
        <v>47.83</v>
      </c>
      <c r="I73" s="2">
        <v>0</v>
      </c>
      <c r="J73" s="2">
        <v>0</v>
      </c>
      <c r="K73" s="2">
        <v>551.62</v>
      </c>
      <c r="L73" s="158">
        <v>8.6699999999999999E-2</v>
      </c>
      <c r="M73" s="158">
        <v>0.9133</v>
      </c>
      <c r="N73" s="2"/>
      <c r="O73"/>
      <c r="P73"/>
      <c r="Q73"/>
    </row>
    <row r="74" spans="1:17" x14ac:dyDescent="0.25">
      <c r="A74" s="255"/>
      <c r="B74" s="255"/>
      <c r="C74" s="255" t="s">
        <v>27</v>
      </c>
      <c r="D74" s="255"/>
      <c r="E74" s="255"/>
      <c r="F74" s="255">
        <v>54.9</v>
      </c>
      <c r="G74" s="255">
        <v>0</v>
      </c>
      <c r="H74" s="255">
        <v>0</v>
      </c>
      <c r="I74" s="255">
        <v>54.9</v>
      </c>
      <c r="J74" s="255">
        <v>507.72</v>
      </c>
      <c r="K74" s="255">
        <v>562.63</v>
      </c>
      <c r="L74" s="256">
        <v>9.7600000000000006E-2</v>
      </c>
      <c r="M74" s="256">
        <v>0.90239999999999998</v>
      </c>
      <c r="N74" s="255">
        <v>2</v>
      </c>
      <c r="O74"/>
      <c r="P74"/>
      <c r="Q74"/>
    </row>
    <row r="75" spans="1:17" x14ac:dyDescent="0.25">
      <c r="A75" s="2">
        <v>540046</v>
      </c>
      <c r="B75" s="2" t="s">
        <v>147</v>
      </c>
      <c r="C75" s="2" t="s">
        <v>101</v>
      </c>
      <c r="D75" s="2" t="s">
        <v>115</v>
      </c>
      <c r="E75" s="2">
        <v>8</v>
      </c>
      <c r="F75" s="2">
        <v>2.48</v>
      </c>
      <c r="G75" s="2">
        <v>0</v>
      </c>
      <c r="H75" s="2">
        <v>2.48</v>
      </c>
      <c r="I75" s="2">
        <v>0</v>
      </c>
      <c r="J75" s="2">
        <v>0</v>
      </c>
      <c r="K75" s="2">
        <v>2.48</v>
      </c>
      <c r="L75" s="158">
        <v>1</v>
      </c>
      <c r="M75" s="158">
        <v>0</v>
      </c>
      <c r="N75" s="2"/>
      <c r="O75"/>
      <c r="P75"/>
      <c r="Q75"/>
    </row>
    <row r="76" spans="1:17" x14ac:dyDescent="0.25">
      <c r="A76" s="2">
        <v>540276</v>
      </c>
      <c r="B76" s="2" t="s">
        <v>319</v>
      </c>
      <c r="C76" s="2" t="s">
        <v>101</v>
      </c>
      <c r="D76" s="2" t="s">
        <v>115</v>
      </c>
      <c r="E76" s="2">
        <v>8</v>
      </c>
      <c r="F76" s="2">
        <v>1.48</v>
      </c>
      <c r="G76" s="2">
        <v>0</v>
      </c>
      <c r="H76" s="2">
        <v>1.48</v>
      </c>
      <c r="I76" s="2">
        <v>0</v>
      </c>
      <c r="J76" s="2">
        <v>0</v>
      </c>
      <c r="K76" s="2">
        <v>1.48</v>
      </c>
      <c r="L76" s="158">
        <v>1</v>
      </c>
      <c r="M76" s="158">
        <v>0</v>
      </c>
      <c r="N76" s="2"/>
      <c r="O76"/>
      <c r="P76"/>
      <c r="Q76"/>
    </row>
    <row r="77" spans="1:17" x14ac:dyDescent="0.25">
      <c r="A77" s="2">
        <v>540226</v>
      </c>
      <c r="B77" s="2" t="s">
        <v>100</v>
      </c>
      <c r="C77" s="2" t="s">
        <v>101</v>
      </c>
      <c r="D77" s="2" t="s">
        <v>5</v>
      </c>
      <c r="E77" s="2">
        <v>8</v>
      </c>
      <c r="F77" s="2">
        <v>86.31</v>
      </c>
      <c r="G77" s="2">
        <v>429.8</v>
      </c>
      <c r="H77" s="2">
        <v>86.31</v>
      </c>
      <c r="I77" s="2">
        <v>0</v>
      </c>
      <c r="J77" s="2">
        <v>0</v>
      </c>
      <c r="K77" s="2">
        <v>516.11</v>
      </c>
      <c r="L77" s="158">
        <v>0.16719999999999999</v>
      </c>
      <c r="M77" s="158">
        <v>0.83279999999999998</v>
      </c>
      <c r="N77" s="2"/>
      <c r="O77"/>
      <c r="P77"/>
      <c r="Q77"/>
    </row>
    <row r="78" spans="1:17" x14ac:dyDescent="0.25">
      <c r="A78" s="255"/>
      <c r="B78" s="255"/>
      <c r="C78" s="255" t="s">
        <v>101</v>
      </c>
      <c r="D78" s="255"/>
      <c r="E78" s="255"/>
      <c r="F78" s="255">
        <v>90.27</v>
      </c>
      <c r="G78" s="255">
        <v>0</v>
      </c>
      <c r="H78" s="255">
        <v>0</v>
      </c>
      <c r="I78" s="255">
        <v>90.27</v>
      </c>
      <c r="J78" s="255">
        <v>429.8</v>
      </c>
      <c r="K78" s="255">
        <v>520.07000000000005</v>
      </c>
      <c r="L78" s="256">
        <v>0.1736</v>
      </c>
      <c r="M78" s="256">
        <v>0.82640000000000002</v>
      </c>
      <c r="N78" s="255">
        <v>3</v>
      </c>
      <c r="O78"/>
      <c r="P78"/>
      <c r="Q78"/>
    </row>
    <row r="79" spans="1:17" x14ac:dyDescent="0.25">
      <c r="A79" s="2">
        <v>540014</v>
      </c>
      <c r="B79" s="2" t="s">
        <v>124</v>
      </c>
      <c r="C79" s="2" t="s">
        <v>29</v>
      </c>
      <c r="D79" s="2" t="s">
        <v>115</v>
      </c>
      <c r="E79" s="2">
        <v>11</v>
      </c>
      <c r="F79" s="2">
        <v>8.4499999999999993</v>
      </c>
      <c r="G79" s="2">
        <v>0</v>
      </c>
      <c r="H79" s="2">
        <v>8.4499999999999993</v>
      </c>
      <c r="I79" s="2">
        <v>0</v>
      </c>
      <c r="J79" s="2">
        <v>0</v>
      </c>
      <c r="K79" s="2">
        <v>8.4499999999999993</v>
      </c>
      <c r="L79" s="158">
        <v>1</v>
      </c>
      <c r="M79" s="158">
        <v>0</v>
      </c>
      <c r="N79" s="2"/>
      <c r="O79"/>
      <c r="P79"/>
      <c r="Q79"/>
    </row>
    <row r="80" spans="1:17" x14ac:dyDescent="0.25">
      <c r="A80" s="2">
        <v>540048</v>
      </c>
      <c r="B80" s="2" t="s">
        <v>148</v>
      </c>
      <c r="C80" s="2" t="s">
        <v>29</v>
      </c>
      <c r="D80" s="2" t="s">
        <v>115</v>
      </c>
      <c r="E80" s="2">
        <v>11</v>
      </c>
      <c r="F80" s="2">
        <v>0.63</v>
      </c>
      <c r="G80" s="2">
        <v>0</v>
      </c>
      <c r="H80" s="2">
        <v>0.63</v>
      </c>
      <c r="I80" s="2">
        <v>0</v>
      </c>
      <c r="J80" s="2">
        <v>0</v>
      </c>
      <c r="K80" s="2">
        <v>0.63</v>
      </c>
      <c r="L80" s="158">
        <v>1</v>
      </c>
      <c r="M80" s="158">
        <v>0</v>
      </c>
      <c r="N80" s="2"/>
      <c r="O80"/>
      <c r="P80"/>
      <c r="Q80"/>
    </row>
    <row r="81" spans="1:17" x14ac:dyDescent="0.25">
      <c r="A81" s="2">
        <v>540049</v>
      </c>
      <c r="B81" s="2" t="s">
        <v>149</v>
      </c>
      <c r="C81" s="2" t="s">
        <v>29</v>
      </c>
      <c r="D81" s="2" t="s">
        <v>115</v>
      </c>
      <c r="E81" s="2">
        <v>11</v>
      </c>
      <c r="F81" s="2">
        <v>3.66</v>
      </c>
      <c r="G81" s="2">
        <v>0</v>
      </c>
      <c r="H81" s="2">
        <v>3.66</v>
      </c>
      <c r="I81" s="2">
        <v>0</v>
      </c>
      <c r="J81" s="2">
        <v>0</v>
      </c>
      <c r="K81" s="2">
        <v>3.66</v>
      </c>
      <c r="L81" s="158">
        <v>1</v>
      </c>
      <c r="M81" s="158">
        <v>0</v>
      </c>
      <c r="N81" s="2"/>
      <c r="O81"/>
      <c r="P81"/>
      <c r="Q81"/>
    </row>
    <row r="82" spans="1:17" x14ac:dyDescent="0.25">
      <c r="A82" s="2">
        <v>540047</v>
      </c>
      <c r="B82" s="2" t="s">
        <v>28</v>
      </c>
      <c r="C82" s="2" t="s">
        <v>29</v>
      </c>
      <c r="D82" s="2" t="s">
        <v>5</v>
      </c>
      <c r="E82" s="2">
        <v>11</v>
      </c>
      <c r="F82" s="2">
        <v>27.05</v>
      </c>
      <c r="G82" s="2">
        <v>2</v>
      </c>
      <c r="H82" s="2">
        <v>27.05</v>
      </c>
      <c r="I82" s="2">
        <v>0</v>
      </c>
      <c r="J82" s="2">
        <v>0</v>
      </c>
      <c r="K82" s="2">
        <v>29.06</v>
      </c>
      <c r="L82" s="158">
        <v>0.93110000000000004</v>
      </c>
      <c r="M82" s="158">
        <v>6.8900000000000003E-2</v>
      </c>
      <c r="N82" s="2"/>
      <c r="O82"/>
      <c r="P82"/>
      <c r="Q82"/>
    </row>
    <row r="83" spans="1:17" x14ac:dyDescent="0.25">
      <c r="A83" s="255"/>
      <c r="B83" s="255"/>
      <c r="C83" s="255" t="s">
        <v>29</v>
      </c>
      <c r="D83" s="255"/>
      <c r="E83" s="255"/>
      <c r="F83" s="255">
        <v>39.799999999999997</v>
      </c>
      <c r="G83" s="255">
        <v>0</v>
      </c>
      <c r="H83" s="255">
        <v>0</v>
      </c>
      <c r="I83" s="255">
        <v>39.799999999999997</v>
      </c>
      <c r="J83" s="255">
        <v>2</v>
      </c>
      <c r="K83" s="255">
        <v>41.8</v>
      </c>
      <c r="L83" s="256">
        <v>0.95209999999999995</v>
      </c>
      <c r="M83" s="256">
        <v>4.7899999999999998E-2</v>
      </c>
      <c r="N83" s="255">
        <v>55</v>
      </c>
      <c r="O83"/>
      <c r="P83"/>
      <c r="Q83"/>
    </row>
    <row r="84" spans="1:17" x14ac:dyDescent="0.25">
      <c r="A84" s="2">
        <v>540052</v>
      </c>
      <c r="B84" s="2" t="s">
        <v>151</v>
      </c>
      <c r="C84" s="2" t="s">
        <v>31</v>
      </c>
      <c r="D84" s="2" t="s">
        <v>115</v>
      </c>
      <c r="E84" s="2">
        <v>8</v>
      </c>
      <c r="F84" s="2">
        <v>4.28</v>
      </c>
      <c r="G84" s="2">
        <v>0.33</v>
      </c>
      <c r="H84" s="2">
        <v>4.28</v>
      </c>
      <c r="I84" s="2">
        <v>0</v>
      </c>
      <c r="J84" s="2">
        <v>0</v>
      </c>
      <c r="K84" s="2">
        <v>4.6100000000000003</v>
      </c>
      <c r="L84" s="158">
        <v>0.92849999999999999</v>
      </c>
      <c r="M84" s="158">
        <v>7.1499999999999994E-2</v>
      </c>
      <c r="N84" s="2"/>
      <c r="O84"/>
      <c r="P84"/>
      <c r="Q84"/>
    </row>
    <row r="85" spans="1:17" x14ac:dyDescent="0.25">
      <c r="A85" s="2">
        <v>540245</v>
      </c>
      <c r="B85" s="2" t="s">
        <v>292</v>
      </c>
      <c r="C85" s="2" t="s">
        <v>31</v>
      </c>
      <c r="D85" s="2" t="s">
        <v>115</v>
      </c>
      <c r="E85" s="2">
        <v>8</v>
      </c>
      <c r="F85" s="2">
        <v>0</v>
      </c>
      <c r="G85" s="2">
        <v>0.48</v>
      </c>
      <c r="H85" s="2">
        <v>0</v>
      </c>
      <c r="I85" s="2">
        <v>0</v>
      </c>
      <c r="J85" s="2">
        <v>0</v>
      </c>
      <c r="K85" s="2">
        <v>0.48</v>
      </c>
      <c r="L85" s="158">
        <v>0</v>
      </c>
      <c r="M85" s="158">
        <v>1</v>
      </c>
      <c r="N85" s="2"/>
      <c r="O85"/>
      <c r="P85"/>
      <c r="Q85"/>
    </row>
    <row r="86" spans="1:17" x14ac:dyDescent="0.25">
      <c r="A86" s="2">
        <v>540051</v>
      </c>
      <c r="B86" s="2" t="s">
        <v>30</v>
      </c>
      <c r="C86" s="2" t="s">
        <v>31</v>
      </c>
      <c r="D86" s="2" t="s">
        <v>5</v>
      </c>
      <c r="E86" s="2">
        <v>8</v>
      </c>
      <c r="F86" s="2">
        <v>21.16</v>
      </c>
      <c r="G86" s="2">
        <v>238.74</v>
      </c>
      <c r="H86" s="2">
        <v>21.16</v>
      </c>
      <c r="I86" s="2">
        <v>0</v>
      </c>
      <c r="J86" s="2">
        <v>0</v>
      </c>
      <c r="K86" s="2">
        <v>259.89999999999998</v>
      </c>
      <c r="L86" s="158">
        <v>8.14E-2</v>
      </c>
      <c r="M86" s="158">
        <v>0.91859999999999997</v>
      </c>
      <c r="N86" s="2"/>
      <c r="O86"/>
      <c r="P86"/>
      <c r="Q86"/>
    </row>
    <row r="87" spans="1:17" x14ac:dyDescent="0.25">
      <c r="A87" s="255"/>
      <c r="B87" s="255"/>
      <c r="C87" s="255" t="s">
        <v>31</v>
      </c>
      <c r="D87" s="255"/>
      <c r="E87" s="255"/>
      <c r="F87" s="255">
        <v>25.44</v>
      </c>
      <c r="G87" s="255">
        <v>0</v>
      </c>
      <c r="H87" s="255">
        <v>0</v>
      </c>
      <c r="I87" s="255">
        <v>25.44</v>
      </c>
      <c r="J87" s="255">
        <v>239.55</v>
      </c>
      <c r="K87" s="255">
        <v>264.99</v>
      </c>
      <c r="L87" s="256">
        <v>9.6000000000000002E-2</v>
      </c>
      <c r="M87" s="256">
        <v>0.90400000000000003</v>
      </c>
      <c r="N87" s="255">
        <v>22</v>
      </c>
      <c r="O87"/>
      <c r="P87"/>
      <c r="Q87"/>
    </row>
    <row r="88" spans="1:17" x14ac:dyDescent="0.25">
      <c r="A88" s="2">
        <v>540054</v>
      </c>
      <c r="B88" s="2" t="s">
        <v>152</v>
      </c>
      <c r="C88" s="2" t="s">
        <v>33</v>
      </c>
      <c r="D88" s="2" t="s">
        <v>115</v>
      </c>
      <c r="E88" s="2">
        <v>6</v>
      </c>
      <c r="F88" s="2">
        <v>1.62</v>
      </c>
      <c r="G88" s="2">
        <v>0.08</v>
      </c>
      <c r="H88" s="2">
        <v>1.62</v>
      </c>
      <c r="I88" s="2">
        <v>0</v>
      </c>
      <c r="J88" s="2">
        <v>0</v>
      </c>
      <c r="K88" s="2">
        <v>1.7</v>
      </c>
      <c r="L88" s="158">
        <v>0.95240000000000002</v>
      </c>
      <c r="M88" s="158">
        <v>4.7600000000000003E-2</v>
      </c>
      <c r="N88" s="2"/>
      <c r="O88"/>
      <c r="P88"/>
      <c r="Q88"/>
    </row>
    <row r="89" spans="1:17" x14ac:dyDescent="0.25">
      <c r="A89" s="2">
        <v>540055</v>
      </c>
      <c r="B89" s="2" t="s">
        <v>153</v>
      </c>
      <c r="C89" s="2" t="s">
        <v>33</v>
      </c>
      <c r="D89" s="2" t="s">
        <v>115</v>
      </c>
      <c r="E89" s="2">
        <v>6</v>
      </c>
      <c r="F89" s="2">
        <v>7.99</v>
      </c>
      <c r="G89" s="2">
        <v>1.87</v>
      </c>
      <c r="H89" s="2">
        <v>7.99</v>
      </c>
      <c r="I89" s="2">
        <v>0</v>
      </c>
      <c r="J89" s="2">
        <v>0</v>
      </c>
      <c r="K89" s="2">
        <v>9.86</v>
      </c>
      <c r="L89" s="158">
        <v>0.81010000000000004</v>
      </c>
      <c r="M89" s="158">
        <v>0.18990000000000001</v>
      </c>
      <c r="N89" s="2"/>
      <c r="O89"/>
      <c r="P89"/>
      <c r="Q89"/>
    </row>
    <row r="90" spans="1:17" x14ac:dyDescent="0.25">
      <c r="A90" s="2">
        <v>540056</v>
      </c>
      <c r="B90" s="2" t="s">
        <v>154</v>
      </c>
      <c r="C90" s="2" t="s">
        <v>33</v>
      </c>
      <c r="D90" s="2" t="s">
        <v>115</v>
      </c>
      <c r="E90" s="2">
        <v>6</v>
      </c>
      <c r="F90" s="2">
        <v>11.77</v>
      </c>
      <c r="G90" s="2">
        <v>0.55000000000000004</v>
      </c>
      <c r="H90" s="2">
        <v>11.77</v>
      </c>
      <c r="I90" s="2">
        <v>0</v>
      </c>
      <c r="J90" s="2">
        <v>0</v>
      </c>
      <c r="K90" s="2">
        <v>12.32</v>
      </c>
      <c r="L90" s="158">
        <v>0.95550000000000002</v>
      </c>
      <c r="M90" s="158">
        <v>4.4499999999999998E-2</v>
      </c>
      <c r="N90" s="2"/>
      <c r="O90"/>
      <c r="P90"/>
      <c r="Q90"/>
    </row>
    <row r="91" spans="1:17" x14ac:dyDescent="0.25">
      <c r="A91" s="2">
        <v>540057</v>
      </c>
      <c r="B91" s="2" t="s">
        <v>155</v>
      </c>
      <c r="C91" s="2" t="s">
        <v>33</v>
      </c>
      <c r="D91" s="2" t="s">
        <v>115</v>
      </c>
      <c r="E91" s="2">
        <v>6</v>
      </c>
      <c r="F91" s="2">
        <v>3.4</v>
      </c>
      <c r="G91" s="2">
        <v>0.17</v>
      </c>
      <c r="H91" s="2">
        <v>3.4</v>
      </c>
      <c r="I91" s="2">
        <v>0</v>
      </c>
      <c r="J91" s="2">
        <v>0</v>
      </c>
      <c r="K91" s="2">
        <v>3.57</v>
      </c>
      <c r="L91" s="158">
        <v>0.95289999999999997</v>
      </c>
      <c r="M91" s="158">
        <v>4.7100000000000003E-2</v>
      </c>
      <c r="N91" s="2"/>
      <c r="O91"/>
      <c r="P91"/>
      <c r="Q91"/>
    </row>
    <row r="92" spans="1:17" x14ac:dyDescent="0.25">
      <c r="A92" s="2">
        <v>540058</v>
      </c>
      <c r="B92" s="2" t="s">
        <v>156</v>
      </c>
      <c r="C92" s="2" t="s">
        <v>33</v>
      </c>
      <c r="D92" s="2" t="s">
        <v>115</v>
      </c>
      <c r="E92" s="2">
        <v>6</v>
      </c>
      <c r="F92" s="2">
        <v>1.21</v>
      </c>
      <c r="G92" s="2">
        <v>0.2</v>
      </c>
      <c r="H92" s="2">
        <v>1.21</v>
      </c>
      <c r="I92" s="2">
        <v>0</v>
      </c>
      <c r="J92" s="2">
        <v>0</v>
      </c>
      <c r="K92" s="2">
        <v>1.41</v>
      </c>
      <c r="L92" s="158">
        <v>0.85919999999999996</v>
      </c>
      <c r="M92" s="158">
        <v>0.14080000000000001</v>
      </c>
      <c r="N92" s="2"/>
      <c r="O92"/>
      <c r="P92"/>
      <c r="Q92"/>
    </row>
    <row r="93" spans="1:17" x14ac:dyDescent="0.25">
      <c r="A93" s="2">
        <v>540059</v>
      </c>
      <c r="B93" s="2" t="s">
        <v>157</v>
      </c>
      <c r="C93" s="2" t="s">
        <v>33</v>
      </c>
      <c r="D93" s="2" t="s">
        <v>115</v>
      </c>
      <c r="E93" s="2">
        <v>6</v>
      </c>
      <c r="F93" s="2">
        <v>0.92</v>
      </c>
      <c r="G93" s="2">
        <v>0</v>
      </c>
      <c r="H93" s="2">
        <v>0.92</v>
      </c>
      <c r="I93" s="2">
        <v>0</v>
      </c>
      <c r="J93" s="2">
        <v>0</v>
      </c>
      <c r="K93" s="2">
        <v>0.92</v>
      </c>
      <c r="L93" s="158">
        <v>1</v>
      </c>
      <c r="M93" s="158">
        <v>0</v>
      </c>
      <c r="N93" s="2"/>
      <c r="O93"/>
      <c r="P93"/>
      <c r="Q93"/>
    </row>
    <row r="94" spans="1:17" x14ac:dyDescent="0.25">
      <c r="A94" s="2">
        <v>540060</v>
      </c>
      <c r="B94" s="2" t="s">
        <v>158</v>
      </c>
      <c r="C94" s="2" t="s">
        <v>33</v>
      </c>
      <c r="D94" s="2" t="s">
        <v>115</v>
      </c>
      <c r="E94" s="2">
        <v>6</v>
      </c>
      <c r="F94" s="2">
        <v>2.72</v>
      </c>
      <c r="G94" s="2">
        <v>0.21</v>
      </c>
      <c r="H94" s="2">
        <v>2.72</v>
      </c>
      <c r="I94" s="2">
        <v>0</v>
      </c>
      <c r="J94" s="2">
        <v>0</v>
      </c>
      <c r="K94" s="2">
        <v>2.93</v>
      </c>
      <c r="L94" s="158">
        <v>0.92879999999999996</v>
      </c>
      <c r="M94" s="158">
        <v>7.1199999999999999E-2</v>
      </c>
      <c r="N94" s="2"/>
      <c r="O94"/>
      <c r="P94"/>
      <c r="Q94"/>
    </row>
    <row r="95" spans="1:17" x14ac:dyDescent="0.25">
      <c r="A95" s="2">
        <v>540061</v>
      </c>
      <c r="B95" s="2" t="s">
        <v>159</v>
      </c>
      <c r="C95" s="2" t="s">
        <v>33</v>
      </c>
      <c r="D95" s="2" t="s">
        <v>115</v>
      </c>
      <c r="E95" s="2">
        <v>6</v>
      </c>
      <c r="F95" s="2">
        <v>0.87</v>
      </c>
      <c r="G95" s="2">
        <v>0</v>
      </c>
      <c r="H95" s="2">
        <v>0.87</v>
      </c>
      <c r="I95" s="2">
        <v>0</v>
      </c>
      <c r="J95" s="2">
        <v>0</v>
      </c>
      <c r="K95" s="2">
        <v>0.87</v>
      </c>
      <c r="L95" s="158">
        <v>1</v>
      </c>
      <c r="M95" s="158">
        <v>0</v>
      </c>
      <c r="N95" s="2"/>
      <c r="O95"/>
      <c r="P95"/>
      <c r="Q95"/>
    </row>
    <row r="96" spans="1:17" x14ac:dyDescent="0.25">
      <c r="A96" s="2">
        <v>540062</v>
      </c>
      <c r="B96" s="2" t="s">
        <v>160</v>
      </c>
      <c r="C96" s="2" t="s">
        <v>33</v>
      </c>
      <c r="D96" s="2" t="s">
        <v>115</v>
      </c>
      <c r="E96" s="2">
        <v>6</v>
      </c>
      <c r="F96" s="2">
        <v>0.01</v>
      </c>
      <c r="G96" s="2">
        <v>0</v>
      </c>
      <c r="H96" s="2">
        <v>0.01</v>
      </c>
      <c r="I96" s="2">
        <v>0</v>
      </c>
      <c r="J96" s="2">
        <v>0</v>
      </c>
      <c r="K96" s="2">
        <v>0.01</v>
      </c>
      <c r="L96" s="158">
        <v>1</v>
      </c>
      <c r="M96" s="158">
        <v>0</v>
      </c>
      <c r="N96" s="2"/>
      <c r="O96"/>
      <c r="P96"/>
      <c r="Q96"/>
    </row>
    <row r="97" spans="1:17" x14ac:dyDescent="0.25">
      <c r="A97" s="2">
        <v>540242</v>
      </c>
      <c r="B97" s="2" t="s">
        <v>289</v>
      </c>
      <c r="C97" s="2" t="s">
        <v>33</v>
      </c>
      <c r="D97" s="2" t="s">
        <v>115</v>
      </c>
      <c r="E97" s="2">
        <v>6</v>
      </c>
      <c r="F97" s="2">
        <v>0</v>
      </c>
      <c r="G97" s="2">
        <v>1.29</v>
      </c>
      <c r="H97" s="2">
        <v>0</v>
      </c>
      <c r="I97" s="2">
        <v>0</v>
      </c>
      <c r="J97" s="2">
        <v>0</v>
      </c>
      <c r="K97" s="2">
        <v>1.29</v>
      </c>
      <c r="L97" s="158">
        <v>0</v>
      </c>
      <c r="M97" s="158">
        <v>1</v>
      </c>
      <c r="N97" s="2"/>
      <c r="O97"/>
      <c r="P97"/>
      <c r="Q97"/>
    </row>
    <row r="98" spans="1:17" x14ac:dyDescent="0.25">
      <c r="A98" s="2">
        <v>540053</v>
      </c>
      <c r="B98" s="2" t="s">
        <v>32</v>
      </c>
      <c r="C98" s="2" t="s">
        <v>33</v>
      </c>
      <c r="D98" s="2" t="s">
        <v>5</v>
      </c>
      <c r="E98" s="2">
        <v>6</v>
      </c>
      <c r="F98" s="2">
        <v>136.91</v>
      </c>
      <c r="G98" s="2">
        <v>129.26</v>
      </c>
      <c r="H98" s="2">
        <v>136.91</v>
      </c>
      <c r="I98" s="2">
        <v>0</v>
      </c>
      <c r="J98" s="2">
        <v>0</v>
      </c>
      <c r="K98" s="2">
        <v>266.17</v>
      </c>
      <c r="L98" s="158">
        <v>0.51439999999999997</v>
      </c>
      <c r="M98" s="158">
        <v>0.48559999999999998</v>
      </c>
      <c r="N98" s="2"/>
      <c r="O98"/>
      <c r="P98"/>
      <c r="Q98"/>
    </row>
    <row r="99" spans="1:17" x14ac:dyDescent="0.25">
      <c r="A99" s="255"/>
      <c r="B99" s="255"/>
      <c r="C99" s="255" t="s">
        <v>33</v>
      </c>
      <c r="D99" s="255"/>
      <c r="E99" s="255"/>
      <c r="F99" s="255">
        <v>167.43</v>
      </c>
      <c r="G99" s="255">
        <v>0</v>
      </c>
      <c r="H99" s="255">
        <v>0</v>
      </c>
      <c r="I99" s="255">
        <v>167.43</v>
      </c>
      <c r="J99" s="255">
        <v>133.62</v>
      </c>
      <c r="K99" s="255">
        <v>301.05</v>
      </c>
      <c r="L99" s="256">
        <v>0.55610000000000004</v>
      </c>
      <c r="M99" s="256">
        <v>0.44390000000000002</v>
      </c>
      <c r="N99" s="255">
        <v>14</v>
      </c>
      <c r="O99"/>
      <c r="P99"/>
      <c r="Q99"/>
    </row>
    <row r="100" spans="1:17" x14ac:dyDescent="0.25">
      <c r="A100" s="2">
        <v>540064</v>
      </c>
      <c r="B100" s="2" t="s">
        <v>161</v>
      </c>
      <c r="C100" s="2" t="s">
        <v>35</v>
      </c>
      <c r="D100" s="2" t="s">
        <v>115</v>
      </c>
      <c r="E100" s="2">
        <v>5</v>
      </c>
      <c r="F100" s="2">
        <v>6.12</v>
      </c>
      <c r="G100" s="2">
        <v>1.41</v>
      </c>
      <c r="H100" s="2">
        <v>6.12</v>
      </c>
      <c r="I100" s="2">
        <v>0</v>
      </c>
      <c r="J100" s="2">
        <v>0</v>
      </c>
      <c r="K100" s="2">
        <v>7.53</v>
      </c>
      <c r="L100" s="158">
        <v>0.81240000000000001</v>
      </c>
      <c r="M100" s="158">
        <v>0.18759999999999999</v>
      </c>
      <c r="N100" s="2"/>
      <c r="O100"/>
      <c r="P100"/>
      <c r="Q100"/>
    </row>
    <row r="101" spans="1:17" x14ac:dyDescent="0.25">
      <c r="A101" s="2">
        <v>540241</v>
      </c>
      <c r="B101" s="2" t="s">
        <v>288</v>
      </c>
      <c r="C101" s="2" t="s">
        <v>35</v>
      </c>
      <c r="D101" s="2" t="s">
        <v>115</v>
      </c>
      <c r="E101" s="2">
        <v>5</v>
      </c>
      <c r="F101" s="2">
        <v>1.26</v>
      </c>
      <c r="G101" s="2">
        <v>0</v>
      </c>
      <c r="H101" s="2">
        <v>1.26</v>
      </c>
      <c r="I101" s="2">
        <v>0</v>
      </c>
      <c r="J101" s="2">
        <v>0</v>
      </c>
      <c r="K101" s="2">
        <v>1.26</v>
      </c>
      <c r="L101" s="158">
        <v>1</v>
      </c>
      <c r="M101" s="158">
        <v>0</v>
      </c>
      <c r="N101" s="2"/>
      <c r="O101"/>
      <c r="P101"/>
      <c r="Q101"/>
    </row>
    <row r="102" spans="1:17" x14ac:dyDescent="0.25">
      <c r="A102" s="2">
        <v>540063</v>
      </c>
      <c r="B102" s="2" t="s">
        <v>34</v>
      </c>
      <c r="C102" s="2" t="s">
        <v>35</v>
      </c>
      <c r="D102" s="2" t="s">
        <v>5</v>
      </c>
      <c r="E102" s="2">
        <v>5</v>
      </c>
      <c r="F102" s="2">
        <v>104.85</v>
      </c>
      <c r="G102" s="2">
        <v>289.42</v>
      </c>
      <c r="H102" s="2">
        <v>104.85</v>
      </c>
      <c r="I102" s="2">
        <v>0</v>
      </c>
      <c r="J102" s="2">
        <v>0</v>
      </c>
      <c r="K102" s="2">
        <v>394.26</v>
      </c>
      <c r="L102" s="158">
        <v>0.26590000000000003</v>
      </c>
      <c r="M102" s="158">
        <v>0.73409999999999997</v>
      </c>
      <c r="N102" s="2"/>
      <c r="O102"/>
      <c r="P102"/>
      <c r="Q102"/>
    </row>
    <row r="103" spans="1:17" x14ac:dyDescent="0.25">
      <c r="A103" s="255"/>
      <c r="B103" s="255"/>
      <c r="C103" s="255" t="s">
        <v>35</v>
      </c>
      <c r="D103" s="255"/>
      <c r="E103" s="255"/>
      <c r="F103" s="255">
        <v>112.23</v>
      </c>
      <c r="G103" s="255">
        <v>0</v>
      </c>
      <c r="H103" s="255">
        <v>0</v>
      </c>
      <c r="I103" s="255">
        <v>112.23</v>
      </c>
      <c r="J103" s="255">
        <v>290.83</v>
      </c>
      <c r="K103" s="255">
        <v>403.06</v>
      </c>
      <c r="L103" s="256">
        <v>0.27839999999999998</v>
      </c>
      <c r="M103" s="256">
        <v>0.72160000000000002</v>
      </c>
      <c r="N103" s="255">
        <v>7</v>
      </c>
      <c r="O103"/>
      <c r="P103"/>
      <c r="Q103"/>
    </row>
    <row r="104" spans="1:17" x14ac:dyDescent="0.25">
      <c r="A104" s="2">
        <v>540030</v>
      </c>
      <c r="B104" s="2" t="s">
        <v>135</v>
      </c>
      <c r="C104" s="2" t="s">
        <v>37</v>
      </c>
      <c r="D104" s="2" t="s">
        <v>115</v>
      </c>
      <c r="E104" s="2">
        <v>9</v>
      </c>
      <c r="F104" s="2">
        <v>0</v>
      </c>
      <c r="G104" s="2">
        <v>0.3</v>
      </c>
      <c r="H104" s="2">
        <v>0</v>
      </c>
      <c r="I104" s="2">
        <v>0</v>
      </c>
      <c r="J104" s="2">
        <v>0</v>
      </c>
      <c r="K104" s="2">
        <v>0.3</v>
      </c>
      <c r="L104" s="158">
        <v>0</v>
      </c>
      <c r="M104" s="158">
        <v>1</v>
      </c>
      <c r="N104" s="2"/>
      <c r="O104"/>
      <c r="P104"/>
      <c r="Q104"/>
    </row>
    <row r="105" spans="1:17" x14ac:dyDescent="0.25">
      <c r="A105" s="2">
        <v>540066</v>
      </c>
      <c r="B105" s="2" t="s">
        <v>162</v>
      </c>
      <c r="C105" s="2" t="s">
        <v>37</v>
      </c>
      <c r="D105" s="2" t="s">
        <v>115</v>
      </c>
      <c r="E105" s="2">
        <v>9</v>
      </c>
      <c r="F105" s="2">
        <v>2.8</v>
      </c>
      <c r="G105" s="2">
        <v>1.84</v>
      </c>
      <c r="H105" s="2">
        <v>2.8</v>
      </c>
      <c r="I105" s="2">
        <v>0</v>
      </c>
      <c r="J105" s="2">
        <v>0</v>
      </c>
      <c r="K105" s="2">
        <v>4.6399999999999997</v>
      </c>
      <c r="L105" s="158">
        <v>0.60360000000000003</v>
      </c>
      <c r="M105" s="158">
        <v>0.39639999999999997</v>
      </c>
      <c r="N105" s="2"/>
      <c r="O105"/>
      <c r="P105"/>
      <c r="Q105"/>
    </row>
    <row r="106" spans="1:17" x14ac:dyDescent="0.25">
      <c r="A106" s="2">
        <v>540067</v>
      </c>
      <c r="B106" s="2" t="s">
        <v>163</v>
      </c>
      <c r="C106" s="2" t="s">
        <v>37</v>
      </c>
      <c r="D106" s="2" t="s">
        <v>115</v>
      </c>
      <c r="E106" s="2">
        <v>9</v>
      </c>
      <c r="F106" s="2">
        <v>0</v>
      </c>
      <c r="G106" s="2">
        <v>1.93</v>
      </c>
      <c r="H106" s="2">
        <v>0</v>
      </c>
      <c r="I106" s="2">
        <v>0</v>
      </c>
      <c r="J106" s="2">
        <v>0</v>
      </c>
      <c r="K106" s="2">
        <v>1.93</v>
      </c>
      <c r="L106" s="158">
        <v>0</v>
      </c>
      <c r="M106" s="158">
        <v>1</v>
      </c>
      <c r="N106" s="2"/>
      <c r="O106"/>
      <c r="P106"/>
      <c r="Q106"/>
    </row>
    <row r="107" spans="1:17" x14ac:dyDescent="0.25">
      <c r="A107" s="2">
        <v>540068</v>
      </c>
      <c r="B107" s="2" t="s">
        <v>164</v>
      </c>
      <c r="C107" s="2" t="s">
        <v>37</v>
      </c>
      <c r="D107" s="2" t="s">
        <v>115</v>
      </c>
      <c r="E107" s="2">
        <v>9</v>
      </c>
      <c r="F107" s="2">
        <v>1.7</v>
      </c>
      <c r="G107" s="2">
        <v>0.18</v>
      </c>
      <c r="H107" s="2">
        <v>1.7</v>
      </c>
      <c r="I107" s="2">
        <v>0</v>
      </c>
      <c r="J107" s="2">
        <v>0</v>
      </c>
      <c r="K107" s="2">
        <v>1.88</v>
      </c>
      <c r="L107" s="158">
        <v>0.90380000000000005</v>
      </c>
      <c r="M107" s="158">
        <v>9.6199999999999994E-2</v>
      </c>
      <c r="N107" s="2"/>
      <c r="O107"/>
      <c r="P107"/>
      <c r="Q107"/>
    </row>
    <row r="108" spans="1:17" x14ac:dyDescent="0.25">
      <c r="A108" s="2">
        <v>540069</v>
      </c>
      <c r="B108" s="2" t="s">
        <v>165</v>
      </c>
      <c r="C108" s="2" t="s">
        <v>37</v>
      </c>
      <c r="D108" s="2" t="s">
        <v>115</v>
      </c>
      <c r="E108" s="2">
        <v>9</v>
      </c>
      <c r="F108" s="2">
        <v>0.38</v>
      </c>
      <c r="G108" s="2">
        <v>0</v>
      </c>
      <c r="H108" s="2">
        <v>0.17</v>
      </c>
      <c r="I108" s="2">
        <v>0</v>
      </c>
      <c r="J108" s="2">
        <v>0.2</v>
      </c>
      <c r="K108" s="2">
        <v>0.38</v>
      </c>
      <c r="L108" s="158">
        <v>0.98899999999999999</v>
      </c>
      <c r="M108" s="158">
        <v>1.0999999999999999E-2</v>
      </c>
      <c r="N108" s="2"/>
      <c r="O108"/>
      <c r="P108"/>
      <c r="Q108"/>
    </row>
    <row r="109" spans="1:17" x14ac:dyDescent="0.25">
      <c r="A109" s="2">
        <v>540065</v>
      </c>
      <c r="B109" s="2" t="s">
        <v>36</v>
      </c>
      <c r="C109" s="2" t="s">
        <v>37</v>
      </c>
      <c r="D109" s="2" t="s">
        <v>5</v>
      </c>
      <c r="E109" s="2">
        <v>9</v>
      </c>
      <c r="F109" s="2">
        <v>41.45</v>
      </c>
      <c r="G109" s="2">
        <v>78.02</v>
      </c>
      <c r="H109" s="2">
        <v>41.45</v>
      </c>
      <c r="I109" s="2">
        <v>0</v>
      </c>
      <c r="J109" s="2">
        <v>0</v>
      </c>
      <c r="K109" s="2">
        <v>119.47</v>
      </c>
      <c r="L109" s="158">
        <v>0.34699999999999998</v>
      </c>
      <c r="M109" s="158">
        <v>0.65300000000000002</v>
      </c>
      <c r="N109" s="2"/>
      <c r="O109"/>
      <c r="P109"/>
      <c r="Q109"/>
    </row>
    <row r="110" spans="1:17" x14ac:dyDescent="0.25">
      <c r="A110" s="255"/>
      <c r="B110" s="255"/>
      <c r="C110" s="255" t="s">
        <v>37</v>
      </c>
      <c r="D110" s="255"/>
      <c r="E110" s="255"/>
      <c r="F110" s="255">
        <v>46.12</v>
      </c>
      <c r="G110" s="255">
        <v>0</v>
      </c>
      <c r="H110" s="255">
        <v>0.2</v>
      </c>
      <c r="I110" s="255">
        <v>46.32</v>
      </c>
      <c r="J110" s="255">
        <v>82.27</v>
      </c>
      <c r="K110" s="255">
        <v>128.59</v>
      </c>
      <c r="L110" s="256">
        <v>0.36020000000000002</v>
      </c>
      <c r="M110" s="256">
        <v>0.63980000000000004</v>
      </c>
      <c r="N110" s="255">
        <v>49</v>
      </c>
      <c r="O110"/>
      <c r="P110"/>
      <c r="Q110"/>
    </row>
    <row r="111" spans="1:17" x14ac:dyDescent="0.25">
      <c r="A111" s="2">
        <v>540029</v>
      </c>
      <c r="B111" s="2" t="s">
        <v>134</v>
      </c>
      <c r="C111" s="2" t="s">
        <v>39</v>
      </c>
      <c r="D111" s="2" t="s">
        <v>115</v>
      </c>
      <c r="E111" s="2">
        <v>3</v>
      </c>
      <c r="F111" s="2">
        <v>0.39</v>
      </c>
      <c r="G111" s="2">
        <v>0.32</v>
      </c>
      <c r="H111" s="2">
        <v>0.39</v>
      </c>
      <c r="I111" s="2">
        <v>0</v>
      </c>
      <c r="J111" s="2">
        <v>0</v>
      </c>
      <c r="K111" s="2">
        <v>0.71</v>
      </c>
      <c r="L111" s="158">
        <v>0.54849999999999999</v>
      </c>
      <c r="M111" s="158">
        <v>0.45150000000000001</v>
      </c>
      <c r="N111" s="2"/>
      <c r="O111"/>
      <c r="P111"/>
      <c r="Q111"/>
    </row>
    <row r="112" spans="1:17" x14ac:dyDescent="0.25">
      <c r="A112" s="2">
        <v>540033</v>
      </c>
      <c r="B112" s="2" t="s">
        <v>138</v>
      </c>
      <c r="C112" s="2" t="s">
        <v>39</v>
      </c>
      <c r="D112" s="2" t="s">
        <v>115</v>
      </c>
      <c r="E112" s="2">
        <v>3</v>
      </c>
      <c r="F112" s="2">
        <v>0.01</v>
      </c>
      <c r="G112" s="2">
        <v>0</v>
      </c>
      <c r="H112" s="2">
        <v>0.01</v>
      </c>
      <c r="I112" s="2">
        <v>0</v>
      </c>
      <c r="J112" s="2">
        <v>0</v>
      </c>
      <c r="K112" s="2">
        <v>0.01</v>
      </c>
      <c r="L112" s="158">
        <v>1</v>
      </c>
      <c r="M112" s="158">
        <v>0</v>
      </c>
      <c r="N112" s="2"/>
      <c r="O112"/>
      <c r="P112"/>
      <c r="Q112"/>
    </row>
    <row r="113" spans="1:17" x14ac:dyDescent="0.25">
      <c r="A113" s="2">
        <v>540071</v>
      </c>
      <c r="B113" s="2" t="s">
        <v>166</v>
      </c>
      <c r="C113" s="2" t="s">
        <v>39</v>
      </c>
      <c r="D113" s="2" t="s">
        <v>115</v>
      </c>
      <c r="E113" s="2">
        <v>3</v>
      </c>
      <c r="F113" s="2">
        <v>0.88</v>
      </c>
      <c r="G113" s="2">
        <v>7.0000000000000007E-2</v>
      </c>
      <c r="H113" s="2">
        <v>0.88</v>
      </c>
      <c r="I113" s="2">
        <v>0</v>
      </c>
      <c r="J113" s="2">
        <v>0</v>
      </c>
      <c r="K113" s="2">
        <v>0.95</v>
      </c>
      <c r="L113" s="158">
        <v>0.93059999999999998</v>
      </c>
      <c r="M113" s="158">
        <v>6.9400000000000003E-2</v>
      </c>
      <c r="N113" s="2"/>
      <c r="O113"/>
      <c r="P113"/>
      <c r="Q113"/>
    </row>
    <row r="114" spans="1:17" x14ac:dyDescent="0.25">
      <c r="A114" s="2">
        <v>540072</v>
      </c>
      <c r="B114" s="2" t="s">
        <v>167</v>
      </c>
      <c r="C114" s="2" t="s">
        <v>39</v>
      </c>
      <c r="D114" s="2" t="s">
        <v>115</v>
      </c>
      <c r="E114" s="2">
        <v>3</v>
      </c>
      <c r="F114" s="2">
        <v>1.06</v>
      </c>
      <c r="G114" s="2">
        <v>0.27</v>
      </c>
      <c r="H114" s="2">
        <v>1.06</v>
      </c>
      <c r="I114" s="2">
        <v>0</v>
      </c>
      <c r="J114" s="2">
        <v>0</v>
      </c>
      <c r="K114" s="2">
        <v>1.33</v>
      </c>
      <c r="L114" s="158">
        <v>0.79730000000000001</v>
      </c>
      <c r="M114" s="158">
        <v>0.20269999999999999</v>
      </c>
      <c r="N114" s="2"/>
      <c r="O114"/>
      <c r="P114"/>
      <c r="Q114"/>
    </row>
    <row r="115" spans="1:17" x14ac:dyDescent="0.25">
      <c r="A115" s="2">
        <v>540073</v>
      </c>
      <c r="B115" s="2" t="s">
        <v>168</v>
      </c>
      <c r="C115" s="2" t="s">
        <v>39</v>
      </c>
      <c r="D115" s="2" t="s">
        <v>115</v>
      </c>
      <c r="E115" s="2">
        <v>3</v>
      </c>
      <c r="F115" s="2">
        <v>19.809999999999999</v>
      </c>
      <c r="G115" s="2">
        <v>8.48</v>
      </c>
      <c r="H115" s="2">
        <v>19.809999999999999</v>
      </c>
      <c r="I115" s="2">
        <v>0</v>
      </c>
      <c r="J115" s="2">
        <v>0</v>
      </c>
      <c r="K115" s="2">
        <v>28.29</v>
      </c>
      <c r="L115" s="158">
        <v>0.70030000000000003</v>
      </c>
      <c r="M115" s="158">
        <v>0.29970000000000002</v>
      </c>
      <c r="N115" s="2"/>
      <c r="O115"/>
      <c r="P115"/>
      <c r="Q115"/>
    </row>
    <row r="116" spans="1:17" x14ac:dyDescent="0.25">
      <c r="A116" s="2">
        <v>540074</v>
      </c>
      <c r="B116" s="2" t="s">
        <v>169</v>
      </c>
      <c r="C116" s="2" t="s">
        <v>39</v>
      </c>
      <c r="D116" s="2" t="s">
        <v>115</v>
      </c>
      <c r="E116" s="2">
        <v>3</v>
      </c>
      <c r="F116" s="2">
        <v>0.93</v>
      </c>
      <c r="G116" s="2">
        <v>0</v>
      </c>
      <c r="H116" s="2">
        <v>0.93</v>
      </c>
      <c r="I116" s="2">
        <v>0</v>
      </c>
      <c r="J116" s="2">
        <v>0</v>
      </c>
      <c r="K116" s="2">
        <v>0.93</v>
      </c>
      <c r="L116" s="158">
        <v>1</v>
      </c>
      <c r="M116" s="158">
        <v>0</v>
      </c>
      <c r="N116" s="2"/>
      <c r="O116"/>
      <c r="P116"/>
      <c r="Q116"/>
    </row>
    <row r="117" spans="1:17" x14ac:dyDescent="0.25">
      <c r="A117" s="2">
        <v>540075</v>
      </c>
      <c r="B117" s="2" t="s">
        <v>170</v>
      </c>
      <c r="C117" s="2" t="s">
        <v>39</v>
      </c>
      <c r="D117" s="2" t="s">
        <v>115</v>
      </c>
      <c r="E117" s="2">
        <v>3</v>
      </c>
      <c r="F117" s="2">
        <v>2.92</v>
      </c>
      <c r="G117" s="2">
        <v>0</v>
      </c>
      <c r="H117" s="2">
        <v>2.92</v>
      </c>
      <c r="I117" s="2">
        <v>0</v>
      </c>
      <c r="J117" s="2">
        <v>0</v>
      </c>
      <c r="K117" s="2">
        <v>2.92</v>
      </c>
      <c r="L117" s="158">
        <v>1</v>
      </c>
      <c r="M117" s="158">
        <v>0</v>
      </c>
      <c r="N117" s="2"/>
      <c r="O117"/>
      <c r="P117"/>
      <c r="Q117"/>
    </row>
    <row r="118" spans="1:17" x14ac:dyDescent="0.25">
      <c r="A118" s="2">
        <v>540076</v>
      </c>
      <c r="B118" s="2" t="s">
        <v>171</v>
      </c>
      <c r="C118" s="2" t="s">
        <v>39</v>
      </c>
      <c r="D118" s="2" t="s">
        <v>115</v>
      </c>
      <c r="E118" s="2">
        <v>3</v>
      </c>
      <c r="F118" s="2">
        <v>2.0299999999999998</v>
      </c>
      <c r="G118" s="2">
        <v>1.36</v>
      </c>
      <c r="H118" s="2">
        <v>2.0299999999999998</v>
      </c>
      <c r="I118" s="2">
        <v>0</v>
      </c>
      <c r="J118" s="2">
        <v>0</v>
      </c>
      <c r="K118" s="2">
        <v>3.39</v>
      </c>
      <c r="L118" s="158">
        <v>0.59899999999999998</v>
      </c>
      <c r="M118" s="158">
        <v>0.40100000000000002</v>
      </c>
      <c r="N118" s="2"/>
      <c r="O118"/>
      <c r="P118"/>
      <c r="Q118"/>
    </row>
    <row r="119" spans="1:17" x14ac:dyDescent="0.25">
      <c r="A119" s="2">
        <v>540077</v>
      </c>
      <c r="B119" s="2" t="s">
        <v>172</v>
      </c>
      <c r="C119" s="2" t="s">
        <v>39</v>
      </c>
      <c r="D119" s="2" t="s">
        <v>115</v>
      </c>
      <c r="E119" s="2">
        <v>3</v>
      </c>
      <c r="F119" s="2">
        <v>0.59</v>
      </c>
      <c r="G119" s="2">
        <v>0</v>
      </c>
      <c r="H119" s="2">
        <v>0.59</v>
      </c>
      <c r="I119" s="2">
        <v>0</v>
      </c>
      <c r="J119" s="2">
        <v>0</v>
      </c>
      <c r="K119" s="2">
        <v>0.59</v>
      </c>
      <c r="L119" s="158">
        <v>1</v>
      </c>
      <c r="M119" s="158">
        <v>0</v>
      </c>
      <c r="N119" s="2"/>
      <c r="O119"/>
      <c r="P119"/>
      <c r="Q119"/>
    </row>
    <row r="120" spans="1:17" x14ac:dyDescent="0.25">
      <c r="A120" s="2">
        <v>540078</v>
      </c>
      <c r="B120" s="2" t="s">
        <v>173</v>
      </c>
      <c r="C120" s="2" t="s">
        <v>39</v>
      </c>
      <c r="D120" s="2" t="s">
        <v>115</v>
      </c>
      <c r="E120" s="2">
        <v>3</v>
      </c>
      <c r="F120" s="2">
        <v>0.11</v>
      </c>
      <c r="G120" s="2">
        <v>0</v>
      </c>
      <c r="H120" s="2">
        <v>0.11</v>
      </c>
      <c r="I120" s="2">
        <v>0</v>
      </c>
      <c r="J120" s="2">
        <v>0</v>
      </c>
      <c r="K120" s="2">
        <v>0.11</v>
      </c>
      <c r="L120" s="158">
        <v>1</v>
      </c>
      <c r="M120" s="158">
        <v>0</v>
      </c>
      <c r="N120" s="2"/>
      <c r="O120"/>
      <c r="P120"/>
      <c r="Q120"/>
    </row>
    <row r="121" spans="1:17" x14ac:dyDescent="0.25">
      <c r="A121" s="2">
        <v>540079</v>
      </c>
      <c r="B121" s="2" t="s">
        <v>174</v>
      </c>
      <c r="C121" s="2" t="s">
        <v>39</v>
      </c>
      <c r="D121" s="2" t="s">
        <v>115</v>
      </c>
      <c r="E121" s="2">
        <v>3</v>
      </c>
      <c r="F121" s="2">
        <v>2.66</v>
      </c>
      <c r="G121" s="2">
        <v>0</v>
      </c>
      <c r="H121" s="2">
        <v>2.66</v>
      </c>
      <c r="I121" s="2">
        <v>0</v>
      </c>
      <c r="J121" s="2">
        <v>0</v>
      </c>
      <c r="K121" s="2">
        <v>2.66</v>
      </c>
      <c r="L121" s="158">
        <v>1</v>
      </c>
      <c r="M121" s="158">
        <v>0</v>
      </c>
      <c r="N121" s="2"/>
      <c r="O121"/>
      <c r="P121"/>
      <c r="Q121"/>
    </row>
    <row r="122" spans="1:17" x14ac:dyDescent="0.25">
      <c r="A122" s="2">
        <v>540081</v>
      </c>
      <c r="B122" s="2" t="s">
        <v>176</v>
      </c>
      <c r="C122" s="2" t="s">
        <v>39</v>
      </c>
      <c r="D122" s="2" t="s">
        <v>115</v>
      </c>
      <c r="E122" s="2">
        <v>3</v>
      </c>
      <c r="F122" s="2">
        <v>3.82</v>
      </c>
      <c r="G122" s="2">
        <v>0.95</v>
      </c>
      <c r="H122" s="2">
        <v>3.82</v>
      </c>
      <c r="I122" s="2">
        <v>0</v>
      </c>
      <c r="J122" s="2">
        <v>0</v>
      </c>
      <c r="K122" s="2">
        <v>4.7699999999999996</v>
      </c>
      <c r="L122" s="158">
        <v>0.80069999999999997</v>
      </c>
      <c r="M122" s="158">
        <v>0.1993</v>
      </c>
      <c r="N122" s="2"/>
      <c r="O122"/>
      <c r="P122"/>
      <c r="Q122"/>
    </row>
    <row r="123" spans="1:17" x14ac:dyDescent="0.25">
      <c r="A123" s="2">
        <v>540082</v>
      </c>
      <c r="B123" s="2" t="s">
        <v>177</v>
      </c>
      <c r="C123" s="2" t="s">
        <v>39</v>
      </c>
      <c r="D123" s="2" t="s">
        <v>115</v>
      </c>
      <c r="E123" s="2">
        <v>3</v>
      </c>
      <c r="F123" s="2">
        <v>0.47</v>
      </c>
      <c r="G123" s="2">
        <v>0</v>
      </c>
      <c r="H123" s="2">
        <v>0.47</v>
      </c>
      <c r="I123" s="2">
        <v>0</v>
      </c>
      <c r="J123" s="2">
        <v>0</v>
      </c>
      <c r="K123" s="2">
        <v>0.47</v>
      </c>
      <c r="L123" s="158">
        <v>1</v>
      </c>
      <c r="M123" s="158">
        <v>0</v>
      </c>
      <c r="N123" s="2"/>
      <c r="O123"/>
      <c r="P123"/>
      <c r="Q123"/>
    </row>
    <row r="124" spans="1:17" x14ac:dyDescent="0.25">
      <c r="A124" s="2">
        <v>540083</v>
      </c>
      <c r="B124" s="2" t="s">
        <v>178</v>
      </c>
      <c r="C124" s="2" t="s">
        <v>39</v>
      </c>
      <c r="D124" s="2" t="s">
        <v>115</v>
      </c>
      <c r="E124" s="2">
        <v>3</v>
      </c>
      <c r="F124" s="2">
        <v>3.71</v>
      </c>
      <c r="G124" s="2">
        <v>2.66</v>
      </c>
      <c r="H124" s="2">
        <v>3.71</v>
      </c>
      <c r="I124" s="2">
        <v>0</v>
      </c>
      <c r="J124" s="2">
        <v>0</v>
      </c>
      <c r="K124" s="2">
        <v>6.37</v>
      </c>
      <c r="L124" s="158">
        <v>0.58230000000000004</v>
      </c>
      <c r="M124" s="158">
        <v>0.41770000000000002</v>
      </c>
      <c r="N124" s="2"/>
      <c r="O124"/>
      <c r="P124"/>
      <c r="Q124"/>
    </row>
    <row r="125" spans="1:17" x14ac:dyDescent="0.25">
      <c r="A125" s="2">
        <v>540223</v>
      </c>
      <c r="B125" s="2" t="s">
        <v>277</v>
      </c>
      <c r="C125" s="2" t="s">
        <v>39</v>
      </c>
      <c r="D125" s="2" t="s">
        <v>115</v>
      </c>
      <c r="E125" s="2">
        <v>3</v>
      </c>
      <c r="F125" s="2">
        <v>8.91</v>
      </c>
      <c r="G125" s="2">
        <v>2.82</v>
      </c>
      <c r="H125" s="2">
        <v>8.91</v>
      </c>
      <c r="I125" s="2">
        <v>0</v>
      </c>
      <c r="J125" s="2">
        <v>0</v>
      </c>
      <c r="K125" s="2">
        <v>11.73</v>
      </c>
      <c r="L125" s="158">
        <v>0.75960000000000005</v>
      </c>
      <c r="M125" s="158">
        <v>0.2404</v>
      </c>
      <c r="N125" s="2"/>
      <c r="O125"/>
      <c r="P125"/>
      <c r="Q125"/>
    </row>
    <row r="126" spans="1:17" x14ac:dyDescent="0.25">
      <c r="A126" s="2">
        <v>540279</v>
      </c>
      <c r="B126" s="2" t="s">
        <v>320</v>
      </c>
      <c r="C126" s="2" t="s">
        <v>39</v>
      </c>
      <c r="D126" s="2" t="s">
        <v>115</v>
      </c>
      <c r="E126" s="2">
        <v>3</v>
      </c>
      <c r="F126" s="2">
        <v>1.41</v>
      </c>
      <c r="G126" s="2">
        <v>0</v>
      </c>
      <c r="H126" s="2">
        <v>1.41</v>
      </c>
      <c r="I126" s="2">
        <v>0</v>
      </c>
      <c r="J126" s="2">
        <v>0</v>
      </c>
      <c r="K126" s="2">
        <v>1.41</v>
      </c>
      <c r="L126" s="158">
        <v>1</v>
      </c>
      <c r="M126" s="158">
        <v>0</v>
      </c>
      <c r="N126" s="2"/>
      <c r="O126"/>
      <c r="P126"/>
      <c r="Q126"/>
    </row>
    <row r="127" spans="1:17" x14ac:dyDescent="0.25">
      <c r="A127" s="2">
        <v>540070</v>
      </c>
      <c r="B127" s="2" t="s">
        <v>38</v>
      </c>
      <c r="C127" s="2" t="s">
        <v>39</v>
      </c>
      <c r="D127" s="2" t="s">
        <v>5</v>
      </c>
      <c r="E127" s="2">
        <v>3</v>
      </c>
      <c r="F127" s="2">
        <v>278.7</v>
      </c>
      <c r="G127" s="2">
        <v>500.24</v>
      </c>
      <c r="H127" s="2">
        <v>278.7</v>
      </c>
      <c r="I127" s="2">
        <v>0</v>
      </c>
      <c r="J127" s="2">
        <v>0</v>
      </c>
      <c r="K127" s="2">
        <v>778.94</v>
      </c>
      <c r="L127" s="158">
        <v>0.35780000000000001</v>
      </c>
      <c r="M127" s="158">
        <v>0.64219999999999999</v>
      </c>
      <c r="N127" s="2"/>
      <c r="O127"/>
      <c r="P127"/>
      <c r="Q127"/>
    </row>
    <row r="128" spans="1:17" x14ac:dyDescent="0.25">
      <c r="A128" s="255"/>
      <c r="B128" s="255"/>
      <c r="C128" s="255" t="s">
        <v>39</v>
      </c>
      <c r="D128" s="255"/>
      <c r="E128" s="255"/>
      <c r="F128" s="255">
        <v>328.42</v>
      </c>
      <c r="G128" s="255">
        <v>0</v>
      </c>
      <c r="H128" s="255">
        <v>0</v>
      </c>
      <c r="I128" s="255">
        <v>328.42</v>
      </c>
      <c r="J128" s="255">
        <v>517.17999999999995</v>
      </c>
      <c r="K128" s="255">
        <v>845.59</v>
      </c>
      <c r="L128" s="256">
        <v>0.38840000000000002</v>
      </c>
      <c r="M128" s="256">
        <v>0.61160000000000003</v>
      </c>
      <c r="N128" s="255">
        <v>1</v>
      </c>
      <c r="O128"/>
      <c r="P128"/>
      <c r="Q128"/>
    </row>
    <row r="129" spans="1:17" x14ac:dyDescent="0.25">
      <c r="A129" s="2">
        <v>540086</v>
      </c>
      <c r="B129" s="2" t="s">
        <v>179</v>
      </c>
      <c r="C129" s="2" t="s">
        <v>41</v>
      </c>
      <c r="D129" s="2" t="s">
        <v>115</v>
      </c>
      <c r="E129" s="2">
        <v>7</v>
      </c>
      <c r="F129" s="2">
        <v>0</v>
      </c>
      <c r="G129" s="2">
        <v>0.92</v>
      </c>
      <c r="H129" s="2">
        <v>0</v>
      </c>
      <c r="I129" s="2">
        <v>0</v>
      </c>
      <c r="J129" s="2">
        <v>0</v>
      </c>
      <c r="K129" s="2">
        <v>0.92</v>
      </c>
      <c r="L129" s="158">
        <v>0</v>
      </c>
      <c r="M129" s="158">
        <v>1</v>
      </c>
      <c r="N129" s="2"/>
      <c r="O129"/>
      <c r="P129"/>
      <c r="Q129"/>
    </row>
    <row r="130" spans="1:17" x14ac:dyDescent="0.25">
      <c r="A130" s="2">
        <v>540087</v>
      </c>
      <c r="B130" s="2" t="s">
        <v>180</v>
      </c>
      <c r="C130" s="2" t="s">
        <v>41</v>
      </c>
      <c r="D130" s="2" t="s">
        <v>115</v>
      </c>
      <c r="E130" s="2">
        <v>7</v>
      </c>
      <c r="F130" s="2">
        <v>5.17</v>
      </c>
      <c r="G130" s="2">
        <v>1.22</v>
      </c>
      <c r="H130" s="2">
        <v>5.17</v>
      </c>
      <c r="I130" s="2">
        <v>0</v>
      </c>
      <c r="J130" s="2">
        <v>0</v>
      </c>
      <c r="K130" s="2">
        <v>6.39</v>
      </c>
      <c r="L130" s="158">
        <v>0.80910000000000004</v>
      </c>
      <c r="M130" s="158">
        <v>0.19089999999999999</v>
      </c>
      <c r="N130" s="2"/>
      <c r="O130"/>
      <c r="P130"/>
      <c r="Q130"/>
    </row>
    <row r="131" spans="1:17" x14ac:dyDescent="0.25">
      <c r="A131" s="2">
        <v>540085</v>
      </c>
      <c r="B131" s="2" t="s">
        <v>40</v>
      </c>
      <c r="C131" s="2" t="s">
        <v>41</v>
      </c>
      <c r="D131" s="2" t="s">
        <v>5</v>
      </c>
      <c r="E131" s="2">
        <v>7</v>
      </c>
      <c r="F131" s="2">
        <v>20.79</v>
      </c>
      <c r="G131" s="2">
        <v>256.77</v>
      </c>
      <c r="H131" s="2">
        <v>20.79</v>
      </c>
      <c r="I131" s="2">
        <v>0</v>
      </c>
      <c r="J131" s="2">
        <v>0</v>
      </c>
      <c r="K131" s="2">
        <v>277.56</v>
      </c>
      <c r="L131" s="158">
        <v>7.4899999999999994E-2</v>
      </c>
      <c r="M131" s="158">
        <v>0.92510000000000003</v>
      </c>
      <c r="N131" s="2"/>
      <c r="O131"/>
      <c r="P131"/>
      <c r="Q131"/>
    </row>
    <row r="132" spans="1:17" x14ac:dyDescent="0.25">
      <c r="A132" s="255"/>
      <c r="B132" s="255"/>
      <c r="C132" s="255" t="s">
        <v>41</v>
      </c>
      <c r="D132" s="255"/>
      <c r="E132" s="255"/>
      <c r="F132" s="255">
        <v>25.96</v>
      </c>
      <c r="G132" s="255">
        <v>0</v>
      </c>
      <c r="H132" s="255">
        <v>0</v>
      </c>
      <c r="I132" s="255">
        <v>25.96</v>
      </c>
      <c r="J132" s="255">
        <v>258.91000000000003</v>
      </c>
      <c r="K132" s="255">
        <v>284.87</v>
      </c>
      <c r="L132" s="256">
        <v>9.11E-2</v>
      </c>
      <c r="M132" s="256">
        <v>0.90890000000000004</v>
      </c>
      <c r="N132" s="255">
        <v>18</v>
      </c>
      <c r="O132"/>
      <c r="P132"/>
      <c r="Q132"/>
    </row>
    <row r="133" spans="1:17" x14ac:dyDescent="0.25">
      <c r="A133" s="2">
        <v>540089</v>
      </c>
      <c r="B133" s="2" t="s">
        <v>181</v>
      </c>
      <c r="C133" s="2" t="s">
        <v>43</v>
      </c>
      <c r="D133" s="2" t="s">
        <v>115</v>
      </c>
      <c r="E133" s="2">
        <v>2</v>
      </c>
      <c r="F133" s="2">
        <v>0.56999999999999995</v>
      </c>
      <c r="G133" s="2">
        <v>0.02</v>
      </c>
      <c r="H133" s="2">
        <v>0.56999999999999995</v>
      </c>
      <c r="I133" s="2">
        <v>0</v>
      </c>
      <c r="J133" s="2">
        <v>0</v>
      </c>
      <c r="K133" s="2">
        <v>0.59</v>
      </c>
      <c r="L133" s="158">
        <v>0.96130000000000004</v>
      </c>
      <c r="M133" s="158">
        <v>3.8699999999999998E-2</v>
      </c>
      <c r="N133" s="2"/>
      <c r="O133"/>
      <c r="P133"/>
      <c r="Q133"/>
    </row>
    <row r="134" spans="1:17" x14ac:dyDescent="0.25">
      <c r="A134" s="2">
        <v>540090</v>
      </c>
      <c r="B134" s="2" t="s">
        <v>182</v>
      </c>
      <c r="C134" s="2" t="s">
        <v>43</v>
      </c>
      <c r="D134" s="2" t="s">
        <v>115</v>
      </c>
      <c r="E134" s="2">
        <v>2</v>
      </c>
      <c r="F134" s="2">
        <v>1.22</v>
      </c>
      <c r="G134" s="2">
        <v>0.85</v>
      </c>
      <c r="H134" s="2">
        <v>1.22</v>
      </c>
      <c r="I134" s="2">
        <v>0</v>
      </c>
      <c r="J134" s="2">
        <v>0</v>
      </c>
      <c r="K134" s="2">
        <v>2.0699999999999998</v>
      </c>
      <c r="L134" s="158">
        <v>0.58909999999999996</v>
      </c>
      <c r="M134" s="158">
        <v>0.41089999999999999</v>
      </c>
      <c r="N134" s="2"/>
      <c r="O134"/>
      <c r="P134"/>
      <c r="Q134"/>
    </row>
    <row r="135" spans="1:17" x14ac:dyDescent="0.25">
      <c r="A135" s="2">
        <v>540088</v>
      </c>
      <c r="B135" s="2" t="s">
        <v>42</v>
      </c>
      <c r="C135" s="2" t="s">
        <v>43</v>
      </c>
      <c r="D135" s="2" t="s">
        <v>5</v>
      </c>
      <c r="E135" s="2">
        <v>2</v>
      </c>
      <c r="F135" s="2">
        <v>109.31</v>
      </c>
      <c r="G135" s="2">
        <v>264.69</v>
      </c>
      <c r="H135" s="2">
        <v>109.31</v>
      </c>
      <c r="I135" s="2">
        <v>0</v>
      </c>
      <c r="J135" s="2">
        <v>0</v>
      </c>
      <c r="K135" s="2">
        <v>374</v>
      </c>
      <c r="L135" s="158">
        <v>0.2923</v>
      </c>
      <c r="M135" s="158">
        <v>0.7077</v>
      </c>
      <c r="N135" s="2"/>
      <c r="O135"/>
      <c r="P135"/>
      <c r="Q135"/>
    </row>
    <row r="136" spans="1:17" x14ac:dyDescent="0.25">
      <c r="A136" s="255"/>
      <c r="B136" s="255"/>
      <c r="C136" s="255" t="s">
        <v>43</v>
      </c>
      <c r="D136" s="255"/>
      <c r="E136" s="255"/>
      <c r="F136" s="255">
        <v>111.1</v>
      </c>
      <c r="G136" s="255">
        <v>0</v>
      </c>
      <c r="H136" s="255">
        <v>0</v>
      </c>
      <c r="I136" s="255">
        <v>111.1</v>
      </c>
      <c r="J136" s="255">
        <v>265.56</v>
      </c>
      <c r="K136" s="255">
        <v>376.66</v>
      </c>
      <c r="L136" s="256">
        <v>0.29499999999999998</v>
      </c>
      <c r="M136" s="256">
        <v>0.70499999999999996</v>
      </c>
      <c r="N136" s="255">
        <v>9</v>
      </c>
      <c r="O136"/>
      <c r="P136"/>
      <c r="Q136"/>
    </row>
    <row r="137" spans="1:17" x14ac:dyDescent="0.25">
      <c r="A137" s="2">
        <v>540092</v>
      </c>
      <c r="B137" s="2" t="s">
        <v>183</v>
      </c>
      <c r="C137" s="2" t="s">
        <v>111</v>
      </c>
      <c r="D137" s="2" t="s">
        <v>115</v>
      </c>
      <c r="E137" s="2">
        <v>2</v>
      </c>
      <c r="F137" s="2">
        <v>1.2</v>
      </c>
      <c r="G137" s="2">
        <v>0</v>
      </c>
      <c r="H137" s="2">
        <v>1.2</v>
      </c>
      <c r="I137" s="2">
        <v>0</v>
      </c>
      <c r="J137" s="2">
        <v>0</v>
      </c>
      <c r="K137" s="2">
        <v>1.2</v>
      </c>
      <c r="L137" s="158">
        <v>1</v>
      </c>
      <c r="M137" s="158">
        <v>0</v>
      </c>
      <c r="N137" s="2"/>
      <c r="O137"/>
      <c r="P137"/>
      <c r="Q137"/>
    </row>
    <row r="138" spans="1:17" x14ac:dyDescent="0.25">
      <c r="A138" s="2">
        <v>540095</v>
      </c>
      <c r="B138" s="2" t="s">
        <v>186</v>
      </c>
      <c r="C138" s="2" t="s">
        <v>111</v>
      </c>
      <c r="D138" s="2" t="s">
        <v>115</v>
      </c>
      <c r="E138" s="2">
        <v>2</v>
      </c>
      <c r="F138" s="2">
        <v>0</v>
      </c>
      <c r="G138" s="2">
        <v>0</v>
      </c>
      <c r="H138" s="2">
        <v>0</v>
      </c>
      <c r="I138" s="2">
        <v>0</v>
      </c>
      <c r="J138" s="2">
        <v>0</v>
      </c>
      <c r="K138" s="2">
        <v>0</v>
      </c>
      <c r="L138" s="2" t="s">
        <v>488</v>
      </c>
      <c r="M138" s="2" t="s">
        <v>488</v>
      </c>
      <c r="N138" s="2"/>
      <c r="O138"/>
      <c r="P138"/>
      <c r="Q138"/>
    </row>
    <row r="139" spans="1:17" x14ac:dyDescent="0.25">
      <c r="A139" s="2">
        <v>545535</v>
      </c>
      <c r="B139" s="2" t="s">
        <v>332</v>
      </c>
      <c r="C139" s="2" t="s">
        <v>111</v>
      </c>
      <c r="D139" s="2" t="s">
        <v>115</v>
      </c>
      <c r="E139" s="2">
        <v>2</v>
      </c>
      <c r="F139" s="2">
        <v>2.84</v>
      </c>
      <c r="G139" s="2">
        <v>0</v>
      </c>
      <c r="H139" s="2">
        <v>2.84</v>
      </c>
      <c r="I139" s="2">
        <v>0</v>
      </c>
      <c r="J139" s="2">
        <v>0</v>
      </c>
      <c r="K139" s="2">
        <v>2.84</v>
      </c>
      <c r="L139" s="158">
        <v>1</v>
      </c>
      <c r="M139" s="158">
        <v>0</v>
      </c>
      <c r="N139" s="2"/>
      <c r="O139"/>
      <c r="P139"/>
      <c r="Q139"/>
    </row>
    <row r="140" spans="1:17" x14ac:dyDescent="0.25">
      <c r="A140" s="2">
        <v>545537</v>
      </c>
      <c r="B140" s="2" t="s">
        <v>333</v>
      </c>
      <c r="C140" s="2" t="s">
        <v>111</v>
      </c>
      <c r="D140" s="2" t="s">
        <v>115</v>
      </c>
      <c r="E140" s="2">
        <v>2</v>
      </c>
      <c r="F140" s="2">
        <v>2.36</v>
      </c>
      <c r="G140" s="2">
        <v>0</v>
      </c>
      <c r="H140" s="2">
        <v>2.36</v>
      </c>
      <c r="I140" s="2">
        <v>0</v>
      </c>
      <c r="J140" s="2">
        <v>0</v>
      </c>
      <c r="K140" s="2">
        <v>2.36</v>
      </c>
      <c r="L140" s="158">
        <v>1</v>
      </c>
      <c r="M140" s="158">
        <v>0</v>
      </c>
      <c r="N140" s="2"/>
      <c r="O140"/>
      <c r="P140"/>
      <c r="Q140"/>
    </row>
    <row r="141" spans="1:17" x14ac:dyDescent="0.25">
      <c r="A141" s="2">
        <v>545539</v>
      </c>
      <c r="B141" s="2" t="s">
        <v>335</v>
      </c>
      <c r="C141" s="2" t="s">
        <v>111</v>
      </c>
      <c r="D141" s="2" t="s">
        <v>115</v>
      </c>
      <c r="E141" s="2">
        <v>2</v>
      </c>
      <c r="F141" s="2">
        <v>0</v>
      </c>
      <c r="G141" s="2">
        <v>0</v>
      </c>
      <c r="H141" s="2">
        <v>0</v>
      </c>
      <c r="I141" s="2">
        <v>0</v>
      </c>
      <c r="J141" s="2">
        <v>0</v>
      </c>
      <c r="K141" s="2">
        <v>0</v>
      </c>
      <c r="L141" s="2" t="s">
        <v>488</v>
      </c>
      <c r="M141" s="2" t="s">
        <v>488</v>
      </c>
      <c r="N141" s="2"/>
      <c r="O141"/>
      <c r="P141"/>
      <c r="Q141"/>
    </row>
    <row r="142" spans="1:17" x14ac:dyDescent="0.25">
      <c r="A142" s="2">
        <v>545536</v>
      </c>
      <c r="B142" s="2" t="s">
        <v>110</v>
      </c>
      <c r="C142" s="2" t="s">
        <v>111</v>
      </c>
      <c r="D142" s="2" t="s">
        <v>5</v>
      </c>
      <c r="E142" s="2">
        <v>2</v>
      </c>
      <c r="F142" s="2">
        <v>112.49</v>
      </c>
      <c r="G142" s="2">
        <v>52.44</v>
      </c>
      <c r="H142" s="2">
        <v>112.49</v>
      </c>
      <c r="I142" s="2">
        <v>0</v>
      </c>
      <c r="J142" s="2">
        <v>0</v>
      </c>
      <c r="K142" s="2">
        <v>164.93</v>
      </c>
      <c r="L142" s="158">
        <v>0.68210000000000004</v>
      </c>
      <c r="M142" s="158">
        <v>0.31790000000000002</v>
      </c>
      <c r="N142" s="2"/>
      <c r="O142"/>
      <c r="P142"/>
      <c r="Q142"/>
    </row>
    <row r="143" spans="1:17" x14ac:dyDescent="0.25">
      <c r="A143" s="255"/>
      <c r="B143" s="255"/>
      <c r="C143" s="255" t="s">
        <v>111</v>
      </c>
      <c r="D143" s="255"/>
      <c r="E143" s="255"/>
      <c r="F143" s="255">
        <v>118.89</v>
      </c>
      <c r="G143" s="255">
        <v>0</v>
      </c>
      <c r="H143" s="255">
        <v>0</v>
      </c>
      <c r="I143" s="255">
        <v>118.89</v>
      </c>
      <c r="J143" s="255">
        <v>52.44</v>
      </c>
      <c r="K143" s="255">
        <v>171.33</v>
      </c>
      <c r="L143" s="256">
        <v>0.69389999999999996</v>
      </c>
      <c r="M143" s="256">
        <v>0.30609999999999998</v>
      </c>
      <c r="N143" s="255">
        <v>37</v>
      </c>
      <c r="O143"/>
      <c r="P143"/>
      <c r="Q143"/>
    </row>
    <row r="144" spans="1:17" x14ac:dyDescent="0.25">
      <c r="A144" s="2">
        <v>540098</v>
      </c>
      <c r="B144" s="2" t="s">
        <v>187</v>
      </c>
      <c r="C144" s="2" t="s">
        <v>45</v>
      </c>
      <c r="D144" s="2" t="s">
        <v>115</v>
      </c>
      <c r="E144" s="2">
        <v>6</v>
      </c>
      <c r="F144" s="2">
        <v>1.18</v>
      </c>
      <c r="G144" s="2">
        <v>1.25</v>
      </c>
      <c r="H144" s="2">
        <v>1.18</v>
      </c>
      <c r="I144" s="2">
        <v>0</v>
      </c>
      <c r="J144" s="2">
        <v>0</v>
      </c>
      <c r="K144" s="2">
        <v>2.4300000000000002</v>
      </c>
      <c r="L144" s="158">
        <v>0.48459999999999998</v>
      </c>
      <c r="M144" s="158">
        <v>0.51539999999999997</v>
      </c>
      <c r="N144" s="2"/>
      <c r="O144"/>
      <c r="P144"/>
      <c r="Q144"/>
    </row>
    <row r="145" spans="1:17" x14ac:dyDescent="0.25">
      <c r="A145" s="2">
        <v>540099</v>
      </c>
      <c r="B145" s="2" t="s">
        <v>188</v>
      </c>
      <c r="C145" s="2" t="s">
        <v>45</v>
      </c>
      <c r="D145" s="2" t="s">
        <v>115</v>
      </c>
      <c r="E145" s="2">
        <v>6</v>
      </c>
      <c r="F145" s="2">
        <v>9.41</v>
      </c>
      <c r="G145" s="2">
        <v>0.34</v>
      </c>
      <c r="H145" s="2">
        <v>9.41</v>
      </c>
      <c r="I145" s="2">
        <v>0</v>
      </c>
      <c r="J145" s="2">
        <v>0</v>
      </c>
      <c r="K145" s="2">
        <v>9.75</v>
      </c>
      <c r="L145" s="158">
        <v>0.96530000000000005</v>
      </c>
      <c r="M145" s="158">
        <v>3.4700000000000002E-2</v>
      </c>
      <c r="N145" s="2"/>
      <c r="O145"/>
      <c r="P145"/>
      <c r="Q145"/>
    </row>
    <row r="146" spans="1:17" x14ac:dyDescent="0.25">
      <c r="A146" s="2">
        <v>540100</v>
      </c>
      <c r="B146" s="2" t="s">
        <v>189</v>
      </c>
      <c r="C146" s="2" t="s">
        <v>45</v>
      </c>
      <c r="D146" s="2" t="s">
        <v>115</v>
      </c>
      <c r="E146" s="2">
        <v>6</v>
      </c>
      <c r="F146" s="2">
        <v>0.82</v>
      </c>
      <c r="G146" s="2">
        <v>0.23</v>
      </c>
      <c r="H146" s="2">
        <v>0.82</v>
      </c>
      <c r="I146" s="2">
        <v>0</v>
      </c>
      <c r="J146" s="2">
        <v>0</v>
      </c>
      <c r="K146" s="2">
        <v>1.05</v>
      </c>
      <c r="L146" s="158">
        <v>0.78400000000000003</v>
      </c>
      <c r="M146" s="158">
        <v>0.216</v>
      </c>
      <c r="N146" s="2"/>
      <c r="O146"/>
      <c r="P146"/>
      <c r="Q146"/>
    </row>
    <row r="147" spans="1:17" x14ac:dyDescent="0.25">
      <c r="A147" s="2">
        <v>540101</v>
      </c>
      <c r="B147" s="2" t="s">
        <v>190</v>
      </c>
      <c r="C147" s="2" t="s">
        <v>45</v>
      </c>
      <c r="D147" s="2" t="s">
        <v>115</v>
      </c>
      <c r="E147" s="2">
        <v>6</v>
      </c>
      <c r="F147" s="2">
        <v>1.1100000000000001</v>
      </c>
      <c r="G147" s="2">
        <v>0</v>
      </c>
      <c r="H147" s="2">
        <v>1.1100000000000001</v>
      </c>
      <c r="I147" s="2">
        <v>0</v>
      </c>
      <c r="J147" s="2">
        <v>0</v>
      </c>
      <c r="K147" s="2">
        <v>1.1100000000000001</v>
      </c>
      <c r="L147" s="158">
        <v>1</v>
      </c>
      <c r="M147" s="158">
        <v>0</v>
      </c>
      <c r="N147" s="2"/>
      <c r="O147"/>
      <c r="P147"/>
      <c r="Q147"/>
    </row>
    <row r="148" spans="1:17" x14ac:dyDescent="0.25">
      <c r="A148" s="2">
        <v>540102</v>
      </c>
      <c r="B148" s="2" t="s">
        <v>191</v>
      </c>
      <c r="C148" s="2" t="s">
        <v>45</v>
      </c>
      <c r="D148" s="2" t="s">
        <v>115</v>
      </c>
      <c r="E148" s="2">
        <v>6</v>
      </c>
      <c r="F148" s="2">
        <v>1.54</v>
      </c>
      <c r="G148" s="2">
        <v>0.21</v>
      </c>
      <c r="H148" s="2">
        <v>1.54</v>
      </c>
      <c r="I148" s="2">
        <v>0</v>
      </c>
      <c r="J148" s="2">
        <v>0</v>
      </c>
      <c r="K148" s="2">
        <v>1.75</v>
      </c>
      <c r="L148" s="158">
        <v>0.87819999999999998</v>
      </c>
      <c r="M148" s="158">
        <v>0.12180000000000001</v>
      </c>
      <c r="N148" s="2"/>
      <c r="O148"/>
      <c r="P148"/>
      <c r="Q148"/>
    </row>
    <row r="149" spans="1:17" x14ac:dyDescent="0.25">
      <c r="A149" s="2">
        <v>540103</v>
      </c>
      <c r="B149" s="2" t="s">
        <v>192</v>
      </c>
      <c r="C149" s="2" t="s">
        <v>45</v>
      </c>
      <c r="D149" s="2" t="s">
        <v>115</v>
      </c>
      <c r="E149" s="2">
        <v>6</v>
      </c>
      <c r="F149" s="2">
        <v>4.4800000000000004</v>
      </c>
      <c r="G149" s="2">
        <v>0.33</v>
      </c>
      <c r="H149" s="2">
        <v>4.4800000000000004</v>
      </c>
      <c r="I149" s="2">
        <v>0</v>
      </c>
      <c r="J149" s="2">
        <v>0</v>
      </c>
      <c r="K149" s="2">
        <v>4.8099999999999996</v>
      </c>
      <c r="L149" s="158">
        <v>0.93140000000000001</v>
      </c>
      <c r="M149" s="158">
        <v>6.8599999999999994E-2</v>
      </c>
      <c r="N149" s="2"/>
      <c r="O149"/>
      <c r="P149"/>
      <c r="Q149"/>
    </row>
    <row r="150" spans="1:17" x14ac:dyDescent="0.25">
      <c r="A150" s="2">
        <v>540104</v>
      </c>
      <c r="B150" s="2" t="s">
        <v>193</v>
      </c>
      <c r="C150" s="2" t="s">
        <v>45</v>
      </c>
      <c r="D150" s="2" t="s">
        <v>115</v>
      </c>
      <c r="E150" s="2">
        <v>6</v>
      </c>
      <c r="F150" s="2">
        <v>1.81</v>
      </c>
      <c r="G150" s="2">
        <v>0</v>
      </c>
      <c r="H150" s="2">
        <v>1.81</v>
      </c>
      <c r="I150" s="2">
        <v>0</v>
      </c>
      <c r="J150" s="2">
        <v>0</v>
      </c>
      <c r="K150" s="2">
        <v>1.81</v>
      </c>
      <c r="L150" s="158">
        <v>1</v>
      </c>
      <c r="M150" s="158">
        <v>0</v>
      </c>
      <c r="N150" s="2"/>
      <c r="O150"/>
      <c r="P150"/>
      <c r="Q150"/>
    </row>
    <row r="151" spans="1:17" x14ac:dyDescent="0.25">
      <c r="A151" s="2">
        <v>540105</v>
      </c>
      <c r="B151" s="2" t="s">
        <v>194</v>
      </c>
      <c r="C151" s="2" t="s">
        <v>45</v>
      </c>
      <c r="D151" s="2" t="s">
        <v>115</v>
      </c>
      <c r="E151" s="2">
        <v>6</v>
      </c>
      <c r="F151" s="2">
        <v>2.12</v>
      </c>
      <c r="G151" s="2">
        <v>0.22</v>
      </c>
      <c r="H151" s="2">
        <v>2.12</v>
      </c>
      <c r="I151" s="2">
        <v>0</v>
      </c>
      <c r="J151" s="2">
        <v>0</v>
      </c>
      <c r="K151" s="2">
        <v>2.34</v>
      </c>
      <c r="L151" s="158">
        <v>0.90529999999999999</v>
      </c>
      <c r="M151" s="158">
        <v>9.4700000000000006E-2</v>
      </c>
      <c r="N151" s="2"/>
      <c r="O151"/>
      <c r="P151"/>
      <c r="Q151"/>
    </row>
    <row r="152" spans="1:17" x14ac:dyDescent="0.25">
      <c r="A152" s="2">
        <v>540106</v>
      </c>
      <c r="B152" s="2" t="s">
        <v>195</v>
      </c>
      <c r="C152" s="2" t="s">
        <v>45</v>
      </c>
      <c r="D152" s="2" t="s">
        <v>115</v>
      </c>
      <c r="E152" s="2">
        <v>6</v>
      </c>
      <c r="F152" s="2">
        <v>1.1200000000000001</v>
      </c>
      <c r="G152" s="2">
        <v>0.01</v>
      </c>
      <c r="H152" s="2">
        <v>1.1200000000000001</v>
      </c>
      <c r="I152" s="2">
        <v>0</v>
      </c>
      <c r="J152" s="2">
        <v>0</v>
      </c>
      <c r="K152" s="2">
        <v>1.1200000000000001</v>
      </c>
      <c r="L152" s="158">
        <v>0.99419999999999997</v>
      </c>
      <c r="M152" s="158">
        <v>5.7999999999999996E-3</v>
      </c>
      <c r="N152" s="2"/>
      <c r="O152"/>
      <c r="P152"/>
      <c r="Q152"/>
    </row>
    <row r="153" spans="1:17" x14ac:dyDescent="0.25">
      <c r="A153" s="2">
        <v>540292</v>
      </c>
      <c r="B153" s="2" t="s">
        <v>329</v>
      </c>
      <c r="C153" s="2" t="s">
        <v>45</v>
      </c>
      <c r="D153" s="2" t="s">
        <v>115</v>
      </c>
      <c r="E153" s="2">
        <v>6</v>
      </c>
      <c r="F153" s="2">
        <v>1.53</v>
      </c>
      <c r="G153" s="2">
        <v>2.2000000000000002</v>
      </c>
      <c r="H153" s="2">
        <v>1.53</v>
      </c>
      <c r="I153" s="2">
        <v>0</v>
      </c>
      <c r="J153" s="2">
        <v>0</v>
      </c>
      <c r="K153" s="2">
        <v>3.74</v>
      </c>
      <c r="L153" s="158">
        <v>0.41060000000000002</v>
      </c>
      <c r="M153" s="158">
        <v>0.58940000000000003</v>
      </c>
      <c r="N153" s="2"/>
      <c r="O153"/>
      <c r="P153"/>
      <c r="Q153"/>
    </row>
    <row r="154" spans="1:17" x14ac:dyDescent="0.25">
      <c r="A154" s="2">
        <v>545556</v>
      </c>
      <c r="B154" s="2" t="s">
        <v>337</v>
      </c>
      <c r="C154" s="2" t="s">
        <v>45</v>
      </c>
      <c r="D154" s="2" t="s">
        <v>115</v>
      </c>
      <c r="E154" s="2">
        <v>6</v>
      </c>
      <c r="F154" s="2">
        <v>0.05</v>
      </c>
      <c r="G154" s="2">
        <v>0.04</v>
      </c>
      <c r="H154" s="2">
        <v>0.05</v>
      </c>
      <c r="I154" s="2">
        <v>0</v>
      </c>
      <c r="J154" s="2">
        <v>0</v>
      </c>
      <c r="K154" s="2">
        <v>0.09</v>
      </c>
      <c r="L154" s="158">
        <v>0.55779999999999996</v>
      </c>
      <c r="M154" s="158">
        <v>0.44219999999999998</v>
      </c>
      <c r="N154" s="2"/>
      <c r="O154"/>
      <c r="P154"/>
      <c r="Q154"/>
    </row>
    <row r="155" spans="1:17" x14ac:dyDescent="0.25">
      <c r="A155" s="2">
        <v>540097</v>
      </c>
      <c r="B155" s="2" t="s">
        <v>44</v>
      </c>
      <c r="C155" s="2" t="s">
        <v>45</v>
      </c>
      <c r="D155" s="2" t="s">
        <v>5</v>
      </c>
      <c r="E155" s="2">
        <v>6</v>
      </c>
      <c r="F155" s="2">
        <v>60.46</v>
      </c>
      <c r="G155" s="2">
        <v>139.65</v>
      </c>
      <c r="H155" s="2">
        <v>60.46</v>
      </c>
      <c r="I155" s="2">
        <v>0</v>
      </c>
      <c r="J155" s="2">
        <v>0</v>
      </c>
      <c r="K155" s="2">
        <v>200.1</v>
      </c>
      <c r="L155" s="158">
        <v>0.30209999999999998</v>
      </c>
      <c r="M155" s="158">
        <v>0.69789999999999996</v>
      </c>
      <c r="N155" s="2"/>
      <c r="O155"/>
      <c r="P155"/>
      <c r="Q155"/>
    </row>
    <row r="156" spans="1:17" x14ac:dyDescent="0.25">
      <c r="A156" s="255"/>
      <c r="B156" s="255"/>
      <c r="C156" s="255" t="s">
        <v>45</v>
      </c>
      <c r="D156" s="255"/>
      <c r="E156" s="255"/>
      <c r="F156" s="255">
        <v>85.62</v>
      </c>
      <c r="G156" s="255">
        <v>0</v>
      </c>
      <c r="H156" s="255">
        <v>0</v>
      </c>
      <c r="I156" s="255">
        <v>85.62</v>
      </c>
      <c r="J156" s="255">
        <v>144.47999999999999</v>
      </c>
      <c r="K156" s="255">
        <v>230.1</v>
      </c>
      <c r="L156" s="256">
        <v>0.37209999999999999</v>
      </c>
      <c r="M156" s="256">
        <v>0.62790000000000001</v>
      </c>
      <c r="N156" s="255">
        <v>27</v>
      </c>
      <c r="O156"/>
      <c r="P156"/>
      <c r="Q156"/>
    </row>
    <row r="157" spans="1:17" x14ac:dyDescent="0.25">
      <c r="A157" s="2">
        <v>540108</v>
      </c>
      <c r="B157" s="2" t="s">
        <v>196</v>
      </c>
      <c r="C157" s="2" t="s">
        <v>47</v>
      </c>
      <c r="D157" s="2" t="s">
        <v>115</v>
      </c>
      <c r="E157" s="2">
        <v>10</v>
      </c>
      <c r="F157" s="2">
        <v>3.53</v>
      </c>
      <c r="G157" s="2">
        <v>0.23</v>
      </c>
      <c r="H157" s="2">
        <v>3.53</v>
      </c>
      <c r="I157" s="2">
        <v>0</v>
      </c>
      <c r="J157" s="2">
        <v>0</v>
      </c>
      <c r="K157" s="2">
        <v>3.77</v>
      </c>
      <c r="L157" s="158">
        <v>0.93759999999999999</v>
      </c>
      <c r="M157" s="158">
        <v>6.2399999999999997E-2</v>
      </c>
      <c r="N157" s="2"/>
      <c r="O157"/>
      <c r="P157"/>
      <c r="Q157"/>
    </row>
    <row r="158" spans="1:17" x14ac:dyDescent="0.25">
      <c r="A158" s="2">
        <v>540109</v>
      </c>
      <c r="B158" s="2" t="s">
        <v>197</v>
      </c>
      <c r="C158" s="2" t="s">
        <v>47</v>
      </c>
      <c r="D158" s="2" t="s">
        <v>115</v>
      </c>
      <c r="E158" s="2">
        <v>10</v>
      </c>
      <c r="F158" s="2">
        <v>2.52</v>
      </c>
      <c r="G158" s="2">
        <v>0</v>
      </c>
      <c r="H158" s="2">
        <v>2.52</v>
      </c>
      <c r="I158" s="2">
        <v>0</v>
      </c>
      <c r="J158" s="2">
        <v>0</v>
      </c>
      <c r="K158" s="2">
        <v>2.52</v>
      </c>
      <c r="L158" s="158">
        <v>1</v>
      </c>
      <c r="M158" s="158">
        <v>0</v>
      </c>
      <c r="N158" s="2"/>
      <c r="O158"/>
      <c r="P158"/>
      <c r="Q158"/>
    </row>
    <row r="159" spans="1:17" x14ac:dyDescent="0.25">
      <c r="A159" s="2">
        <v>540110</v>
      </c>
      <c r="B159" s="2" t="s">
        <v>198</v>
      </c>
      <c r="C159" s="2" t="s">
        <v>47</v>
      </c>
      <c r="D159" s="2" t="s">
        <v>115</v>
      </c>
      <c r="E159" s="2">
        <v>10</v>
      </c>
      <c r="F159" s="2">
        <v>2.4</v>
      </c>
      <c r="G159" s="2">
        <v>0.28999999999999998</v>
      </c>
      <c r="H159" s="2">
        <v>2.4</v>
      </c>
      <c r="I159" s="2">
        <v>0</v>
      </c>
      <c r="J159" s="2">
        <v>0</v>
      </c>
      <c r="K159" s="2">
        <v>2.7</v>
      </c>
      <c r="L159" s="158">
        <v>0.89080000000000004</v>
      </c>
      <c r="M159" s="158">
        <v>0.10920000000000001</v>
      </c>
      <c r="N159" s="2"/>
      <c r="O159"/>
      <c r="P159"/>
      <c r="Q159"/>
    </row>
    <row r="160" spans="1:17" x14ac:dyDescent="0.25">
      <c r="A160" s="2">
        <v>540111</v>
      </c>
      <c r="B160" s="2" t="s">
        <v>199</v>
      </c>
      <c r="C160" s="2" t="s">
        <v>47</v>
      </c>
      <c r="D160" s="2" t="s">
        <v>115</v>
      </c>
      <c r="E160" s="2">
        <v>10</v>
      </c>
      <c r="F160" s="2">
        <v>5.7</v>
      </c>
      <c r="G160" s="2">
        <v>0.77</v>
      </c>
      <c r="H160" s="2">
        <v>5.7</v>
      </c>
      <c r="I160" s="2">
        <v>0</v>
      </c>
      <c r="J160" s="2">
        <v>0</v>
      </c>
      <c r="K160" s="2">
        <v>6.47</v>
      </c>
      <c r="L160" s="158">
        <v>0.88149999999999995</v>
      </c>
      <c r="M160" s="158">
        <v>0.11849999999999999</v>
      </c>
      <c r="N160" s="2"/>
      <c r="O160"/>
      <c r="P160"/>
      <c r="Q160"/>
    </row>
    <row r="161" spans="1:17" x14ac:dyDescent="0.25">
      <c r="A161" s="2">
        <v>540152</v>
      </c>
      <c r="B161" s="2" t="s">
        <v>229</v>
      </c>
      <c r="C161" s="2" t="s">
        <v>47</v>
      </c>
      <c r="D161" s="2" t="s">
        <v>115</v>
      </c>
      <c r="E161" s="2">
        <v>10</v>
      </c>
      <c r="F161" s="2">
        <v>0.52</v>
      </c>
      <c r="G161" s="2">
        <v>0</v>
      </c>
      <c r="H161" s="2">
        <v>0.52</v>
      </c>
      <c r="I161" s="2">
        <v>0</v>
      </c>
      <c r="J161" s="2">
        <v>0</v>
      </c>
      <c r="K161" s="2">
        <v>0.52</v>
      </c>
      <c r="L161" s="158">
        <v>1</v>
      </c>
      <c r="M161" s="158">
        <v>0</v>
      </c>
      <c r="N161" s="2"/>
      <c r="O161"/>
      <c r="P161"/>
      <c r="Q161"/>
    </row>
    <row r="162" spans="1:17" x14ac:dyDescent="0.25">
      <c r="A162" s="2">
        <v>540287</v>
      </c>
      <c r="B162" s="2" t="s">
        <v>326</v>
      </c>
      <c r="C162" s="2" t="s">
        <v>47</v>
      </c>
      <c r="D162" s="2" t="s">
        <v>115</v>
      </c>
      <c r="E162" s="2">
        <v>10</v>
      </c>
      <c r="F162" s="2">
        <v>2.11</v>
      </c>
      <c r="G162" s="2">
        <v>0.04</v>
      </c>
      <c r="H162" s="2">
        <v>2.11</v>
      </c>
      <c r="I162" s="2">
        <v>0</v>
      </c>
      <c r="J162" s="2">
        <v>0</v>
      </c>
      <c r="K162" s="2">
        <v>2.15</v>
      </c>
      <c r="L162" s="158">
        <v>0.98299999999999998</v>
      </c>
      <c r="M162" s="158">
        <v>1.7000000000000001E-2</v>
      </c>
      <c r="N162" s="2"/>
      <c r="O162"/>
      <c r="P162"/>
      <c r="Q162"/>
    </row>
    <row r="163" spans="1:17" x14ac:dyDescent="0.25">
      <c r="A163" s="2">
        <v>540107</v>
      </c>
      <c r="B163" s="2" t="s">
        <v>46</v>
      </c>
      <c r="C163" s="2" t="s">
        <v>47</v>
      </c>
      <c r="D163" s="2" t="s">
        <v>5</v>
      </c>
      <c r="E163" s="2">
        <v>10</v>
      </c>
      <c r="F163" s="2">
        <v>57.37</v>
      </c>
      <c r="G163" s="2">
        <v>89.87</v>
      </c>
      <c r="H163" s="2">
        <v>57.37</v>
      </c>
      <c r="I163" s="2">
        <v>0</v>
      </c>
      <c r="J163" s="2">
        <v>0</v>
      </c>
      <c r="K163" s="2">
        <v>147.22999999999999</v>
      </c>
      <c r="L163" s="158">
        <v>0.3896</v>
      </c>
      <c r="M163" s="158">
        <v>0.61040000000000005</v>
      </c>
      <c r="N163" s="2"/>
      <c r="O163"/>
      <c r="P163"/>
      <c r="Q163"/>
    </row>
    <row r="164" spans="1:17" x14ac:dyDescent="0.25">
      <c r="A164" s="255"/>
      <c r="B164" s="255"/>
      <c r="C164" s="255" t="s">
        <v>47</v>
      </c>
      <c r="D164" s="255"/>
      <c r="E164" s="255"/>
      <c r="F164" s="255">
        <v>74.150000000000006</v>
      </c>
      <c r="G164" s="255">
        <v>0</v>
      </c>
      <c r="H164" s="255">
        <v>0</v>
      </c>
      <c r="I164" s="255">
        <v>74.150000000000006</v>
      </c>
      <c r="J164" s="255">
        <v>91.2</v>
      </c>
      <c r="K164" s="255">
        <v>165.35</v>
      </c>
      <c r="L164" s="256">
        <v>0.44840000000000002</v>
      </c>
      <c r="M164" s="256">
        <v>0.55159999999999998</v>
      </c>
      <c r="N164" s="255">
        <v>39</v>
      </c>
      <c r="O164"/>
      <c r="P164"/>
      <c r="Q164"/>
    </row>
    <row r="165" spans="1:17" x14ac:dyDescent="0.25">
      <c r="A165" s="2">
        <v>540113</v>
      </c>
      <c r="B165" s="2" t="s">
        <v>200</v>
      </c>
      <c r="C165" s="2" t="s">
        <v>49</v>
      </c>
      <c r="D165" s="2" t="s">
        <v>115</v>
      </c>
      <c r="E165" s="2">
        <v>2</v>
      </c>
      <c r="F165" s="2">
        <v>0.36</v>
      </c>
      <c r="G165" s="2">
        <v>0</v>
      </c>
      <c r="H165" s="2">
        <v>0.36</v>
      </c>
      <c r="I165" s="2">
        <v>0</v>
      </c>
      <c r="J165" s="2">
        <v>0</v>
      </c>
      <c r="K165" s="2">
        <v>0.36</v>
      </c>
      <c r="L165" s="158">
        <v>1</v>
      </c>
      <c r="M165" s="158">
        <v>0</v>
      </c>
      <c r="N165" s="2"/>
      <c r="O165"/>
      <c r="P165"/>
      <c r="Q165"/>
    </row>
    <row r="166" spans="1:17" x14ac:dyDescent="0.25">
      <c r="A166" s="2">
        <v>540247</v>
      </c>
      <c r="B166" s="2" t="s">
        <v>293</v>
      </c>
      <c r="C166" s="2" t="s">
        <v>49</v>
      </c>
      <c r="D166" s="2" t="s">
        <v>115</v>
      </c>
      <c r="E166" s="2">
        <v>2</v>
      </c>
      <c r="F166" s="2">
        <v>1.0900000000000001</v>
      </c>
      <c r="G166" s="2">
        <v>0</v>
      </c>
      <c r="H166" s="2">
        <v>1.0900000000000001</v>
      </c>
      <c r="I166" s="2">
        <v>0</v>
      </c>
      <c r="J166" s="2">
        <v>0</v>
      </c>
      <c r="K166" s="2">
        <v>1.0900000000000001</v>
      </c>
      <c r="L166" s="158">
        <v>1</v>
      </c>
      <c r="M166" s="158">
        <v>0</v>
      </c>
      <c r="N166" s="2"/>
      <c r="O166"/>
      <c r="P166"/>
      <c r="Q166"/>
    </row>
    <row r="167" spans="1:17" x14ac:dyDescent="0.25">
      <c r="A167" s="2">
        <v>540248</v>
      </c>
      <c r="B167" s="2" t="s">
        <v>294</v>
      </c>
      <c r="C167" s="2" t="s">
        <v>49</v>
      </c>
      <c r="D167" s="2" t="s">
        <v>115</v>
      </c>
      <c r="E167" s="2">
        <v>2</v>
      </c>
      <c r="F167" s="2">
        <v>0.26</v>
      </c>
      <c r="G167" s="2">
        <v>0</v>
      </c>
      <c r="H167" s="2">
        <v>0.26</v>
      </c>
      <c r="I167" s="2">
        <v>0</v>
      </c>
      <c r="J167" s="2">
        <v>0</v>
      </c>
      <c r="K167" s="2">
        <v>0.26</v>
      </c>
      <c r="L167" s="158">
        <v>1</v>
      </c>
      <c r="M167" s="158">
        <v>0</v>
      </c>
      <c r="N167" s="2"/>
      <c r="O167"/>
      <c r="P167"/>
      <c r="Q167"/>
    </row>
    <row r="168" spans="1:17" x14ac:dyDescent="0.25">
      <c r="A168" s="2">
        <v>540249</v>
      </c>
      <c r="B168" s="2" t="s">
        <v>295</v>
      </c>
      <c r="C168" s="2" t="s">
        <v>49</v>
      </c>
      <c r="D168" s="2" t="s">
        <v>115</v>
      </c>
      <c r="E168" s="2">
        <v>2</v>
      </c>
      <c r="F168" s="2">
        <v>2.79</v>
      </c>
      <c r="G168" s="2">
        <v>0</v>
      </c>
      <c r="H168" s="2">
        <v>2.79</v>
      </c>
      <c r="I168" s="2">
        <v>0</v>
      </c>
      <c r="J168" s="2">
        <v>0</v>
      </c>
      <c r="K168" s="2">
        <v>2.79</v>
      </c>
      <c r="L168" s="158">
        <v>1</v>
      </c>
      <c r="M168" s="158">
        <v>0</v>
      </c>
      <c r="N168" s="2"/>
      <c r="O168"/>
      <c r="P168"/>
      <c r="Q168"/>
    </row>
    <row r="169" spans="1:17" x14ac:dyDescent="0.25">
      <c r="A169" s="2">
        <v>540250</v>
      </c>
      <c r="B169" s="2" t="s">
        <v>296</v>
      </c>
      <c r="C169" s="2" t="s">
        <v>49</v>
      </c>
      <c r="D169" s="2" t="s">
        <v>115</v>
      </c>
      <c r="E169" s="2">
        <v>2</v>
      </c>
      <c r="F169" s="2">
        <v>7.52</v>
      </c>
      <c r="G169" s="2">
        <v>0</v>
      </c>
      <c r="H169" s="2">
        <v>7.52</v>
      </c>
      <c r="I169" s="2">
        <v>0</v>
      </c>
      <c r="J169" s="2">
        <v>0</v>
      </c>
      <c r="K169" s="2">
        <v>7.52</v>
      </c>
      <c r="L169" s="158">
        <v>1</v>
      </c>
      <c r="M169" s="158">
        <v>0</v>
      </c>
      <c r="N169" s="2"/>
      <c r="O169"/>
      <c r="P169"/>
      <c r="Q169"/>
    </row>
    <row r="170" spans="1:17" x14ac:dyDescent="0.25">
      <c r="A170" s="2">
        <v>540251</v>
      </c>
      <c r="B170" s="2" t="s">
        <v>297</v>
      </c>
      <c r="C170" s="2" t="s">
        <v>49</v>
      </c>
      <c r="D170" s="2" t="s">
        <v>115</v>
      </c>
      <c r="E170" s="2">
        <v>2</v>
      </c>
      <c r="F170" s="2">
        <v>0.68</v>
      </c>
      <c r="G170" s="2">
        <v>0</v>
      </c>
      <c r="H170" s="2">
        <v>0.68</v>
      </c>
      <c r="I170" s="2">
        <v>0</v>
      </c>
      <c r="J170" s="2">
        <v>0</v>
      </c>
      <c r="K170" s="2">
        <v>0.68</v>
      </c>
      <c r="L170" s="158">
        <v>1</v>
      </c>
      <c r="M170" s="158">
        <v>0</v>
      </c>
      <c r="N170" s="2"/>
      <c r="O170"/>
      <c r="P170"/>
      <c r="Q170"/>
    </row>
    <row r="171" spans="1:17" x14ac:dyDescent="0.25">
      <c r="A171" s="2">
        <v>540112</v>
      </c>
      <c r="B171" s="2" t="s">
        <v>48</v>
      </c>
      <c r="C171" s="2" t="s">
        <v>49</v>
      </c>
      <c r="D171" s="2" t="s">
        <v>5</v>
      </c>
      <c r="E171" s="2">
        <v>2</v>
      </c>
      <c r="F171" s="2">
        <v>225.93</v>
      </c>
      <c r="G171" s="2">
        <v>83.43</v>
      </c>
      <c r="H171" s="2">
        <v>225.93</v>
      </c>
      <c r="I171" s="2">
        <v>0</v>
      </c>
      <c r="J171" s="2">
        <v>0</v>
      </c>
      <c r="K171" s="2">
        <v>309.35000000000002</v>
      </c>
      <c r="L171" s="158">
        <v>0.73029999999999995</v>
      </c>
      <c r="M171" s="158">
        <v>0.2697</v>
      </c>
      <c r="N171" s="2"/>
      <c r="O171"/>
      <c r="P171"/>
      <c r="Q171"/>
    </row>
    <row r="172" spans="1:17" x14ac:dyDescent="0.25">
      <c r="A172" s="255"/>
      <c r="B172" s="255"/>
      <c r="C172" s="255" t="s">
        <v>49</v>
      </c>
      <c r="D172" s="255"/>
      <c r="E172" s="255"/>
      <c r="F172" s="255">
        <v>238.64</v>
      </c>
      <c r="G172" s="255">
        <v>0</v>
      </c>
      <c r="H172" s="255">
        <v>0</v>
      </c>
      <c r="I172" s="255">
        <v>238.64</v>
      </c>
      <c r="J172" s="255">
        <v>83.43</v>
      </c>
      <c r="K172" s="255">
        <v>322.06</v>
      </c>
      <c r="L172" s="256">
        <v>0.74099999999999999</v>
      </c>
      <c r="M172" s="256">
        <v>0.25900000000000001</v>
      </c>
      <c r="N172" s="255">
        <v>11</v>
      </c>
      <c r="O172"/>
      <c r="P172"/>
      <c r="Q172"/>
    </row>
    <row r="173" spans="1:17" x14ac:dyDescent="0.25">
      <c r="A173" s="2">
        <v>540115</v>
      </c>
      <c r="B173" s="2" t="s">
        <v>201</v>
      </c>
      <c r="C173" s="2" t="s">
        <v>51</v>
      </c>
      <c r="D173" s="2" t="s">
        <v>115</v>
      </c>
      <c r="E173" s="2">
        <v>1</v>
      </c>
      <c r="F173" s="2">
        <v>2.1</v>
      </c>
      <c r="G173" s="2">
        <v>0.01</v>
      </c>
      <c r="H173" s="2">
        <v>2.1</v>
      </c>
      <c r="I173" s="2">
        <v>0</v>
      </c>
      <c r="J173" s="2">
        <v>0</v>
      </c>
      <c r="K173" s="2">
        <v>2.11</v>
      </c>
      <c r="L173" s="158">
        <v>0.99309999999999998</v>
      </c>
      <c r="M173" s="158">
        <v>6.8999999999999999E-3</v>
      </c>
      <c r="N173" s="2"/>
      <c r="O173"/>
      <c r="P173"/>
      <c r="Q173"/>
    </row>
    <row r="174" spans="1:17" x14ac:dyDescent="0.25">
      <c r="A174" s="2">
        <v>540116</v>
      </c>
      <c r="B174" s="2" t="s">
        <v>202</v>
      </c>
      <c r="C174" s="2" t="s">
        <v>51</v>
      </c>
      <c r="D174" s="2" t="s">
        <v>115</v>
      </c>
      <c r="E174" s="2">
        <v>1</v>
      </c>
      <c r="F174" s="2">
        <v>3.28</v>
      </c>
      <c r="G174" s="2">
        <v>0</v>
      </c>
      <c r="H174" s="2">
        <v>3.28</v>
      </c>
      <c r="I174" s="2">
        <v>0</v>
      </c>
      <c r="J174" s="2">
        <v>0</v>
      </c>
      <c r="K174" s="2">
        <v>3.28</v>
      </c>
      <c r="L174" s="158">
        <v>1</v>
      </c>
      <c r="M174" s="158">
        <v>0</v>
      </c>
      <c r="N174" s="2"/>
      <c r="O174"/>
      <c r="P174"/>
      <c r="Q174"/>
    </row>
    <row r="175" spans="1:17" x14ac:dyDescent="0.25">
      <c r="A175" s="2">
        <v>540117</v>
      </c>
      <c r="B175" s="2" t="s">
        <v>203</v>
      </c>
      <c r="C175" s="2" t="s">
        <v>51</v>
      </c>
      <c r="D175" s="2" t="s">
        <v>115</v>
      </c>
      <c r="E175" s="2">
        <v>1</v>
      </c>
      <c r="F175" s="2">
        <v>5.79</v>
      </c>
      <c r="G175" s="2">
        <v>2.42</v>
      </c>
      <c r="H175" s="2">
        <v>5.79</v>
      </c>
      <c r="I175" s="2">
        <v>0</v>
      </c>
      <c r="J175" s="2">
        <v>0</v>
      </c>
      <c r="K175" s="2">
        <v>8.1999999999999993</v>
      </c>
      <c r="L175" s="158">
        <v>0.70540000000000003</v>
      </c>
      <c r="M175" s="158">
        <v>0.29459999999999997</v>
      </c>
      <c r="N175" s="2"/>
      <c r="O175"/>
      <c r="P175"/>
      <c r="Q175"/>
    </row>
    <row r="176" spans="1:17" x14ac:dyDescent="0.25">
      <c r="A176" s="2">
        <v>540118</v>
      </c>
      <c r="B176" s="2" t="s">
        <v>204</v>
      </c>
      <c r="C176" s="2" t="s">
        <v>51</v>
      </c>
      <c r="D176" s="2" t="s">
        <v>115</v>
      </c>
      <c r="E176" s="2">
        <v>1</v>
      </c>
      <c r="F176" s="2">
        <v>3.13</v>
      </c>
      <c r="G176" s="2">
        <v>0</v>
      </c>
      <c r="H176" s="2">
        <v>3.13</v>
      </c>
      <c r="I176" s="2">
        <v>0</v>
      </c>
      <c r="J176" s="2">
        <v>0</v>
      </c>
      <c r="K176" s="2">
        <v>3.13</v>
      </c>
      <c r="L176" s="158">
        <v>1</v>
      </c>
      <c r="M176" s="158">
        <v>0</v>
      </c>
      <c r="N176" s="2"/>
      <c r="O176"/>
      <c r="P176"/>
      <c r="Q176"/>
    </row>
    <row r="177" spans="1:17" x14ac:dyDescent="0.25">
      <c r="A177" s="2">
        <v>540119</v>
      </c>
      <c r="B177" s="2" t="s">
        <v>205</v>
      </c>
      <c r="C177" s="2" t="s">
        <v>51</v>
      </c>
      <c r="D177" s="2" t="s">
        <v>115</v>
      </c>
      <c r="E177" s="2">
        <v>1</v>
      </c>
      <c r="F177" s="2">
        <v>1.17</v>
      </c>
      <c r="G177" s="2">
        <v>0</v>
      </c>
      <c r="H177" s="2">
        <v>1.17</v>
      </c>
      <c r="I177" s="2">
        <v>0</v>
      </c>
      <c r="J177" s="2">
        <v>0</v>
      </c>
      <c r="K177" s="2">
        <v>1.17</v>
      </c>
      <c r="L177" s="158">
        <v>1</v>
      </c>
      <c r="M177" s="158">
        <v>0</v>
      </c>
      <c r="N177" s="2"/>
      <c r="O177"/>
      <c r="P177"/>
      <c r="Q177"/>
    </row>
    <row r="178" spans="1:17" x14ac:dyDescent="0.25">
      <c r="A178" s="2">
        <v>540120</v>
      </c>
      <c r="B178" s="2" t="s">
        <v>206</v>
      </c>
      <c r="C178" s="2" t="s">
        <v>51</v>
      </c>
      <c r="D178" s="2" t="s">
        <v>115</v>
      </c>
      <c r="E178" s="2">
        <v>1</v>
      </c>
      <c r="F178" s="2">
        <v>1.4</v>
      </c>
      <c r="G178" s="2">
        <v>0</v>
      </c>
      <c r="H178" s="2">
        <v>1.4</v>
      </c>
      <c r="I178" s="2">
        <v>0</v>
      </c>
      <c r="J178" s="2">
        <v>0</v>
      </c>
      <c r="K178" s="2">
        <v>1.4</v>
      </c>
      <c r="L178" s="158">
        <v>1</v>
      </c>
      <c r="M178" s="158">
        <v>0</v>
      </c>
      <c r="N178" s="2"/>
      <c r="O178"/>
      <c r="P178"/>
      <c r="Q178"/>
    </row>
    <row r="179" spans="1:17" x14ac:dyDescent="0.25">
      <c r="A179" s="2">
        <v>540121</v>
      </c>
      <c r="B179" s="2" t="s">
        <v>207</v>
      </c>
      <c r="C179" s="2" t="s">
        <v>51</v>
      </c>
      <c r="D179" s="2" t="s">
        <v>115</v>
      </c>
      <c r="E179" s="2">
        <v>1</v>
      </c>
      <c r="F179" s="2">
        <v>1.32</v>
      </c>
      <c r="G179" s="2">
        <v>1.0900000000000001</v>
      </c>
      <c r="H179" s="2">
        <v>1.32</v>
      </c>
      <c r="I179" s="2">
        <v>0</v>
      </c>
      <c r="J179" s="2">
        <v>0</v>
      </c>
      <c r="K179" s="2">
        <v>2.41</v>
      </c>
      <c r="L179" s="158">
        <v>0.54710000000000003</v>
      </c>
      <c r="M179" s="158">
        <v>0.45290000000000002</v>
      </c>
      <c r="N179" s="2"/>
      <c r="O179"/>
      <c r="P179"/>
      <c r="Q179"/>
    </row>
    <row r="180" spans="1:17" x14ac:dyDescent="0.25">
      <c r="A180" s="2">
        <v>540122</v>
      </c>
      <c r="B180" s="2" t="s">
        <v>208</v>
      </c>
      <c r="C180" s="2" t="s">
        <v>51</v>
      </c>
      <c r="D180" s="2" t="s">
        <v>115</v>
      </c>
      <c r="E180" s="2">
        <v>1</v>
      </c>
      <c r="F180" s="2">
        <v>2.75</v>
      </c>
      <c r="G180" s="2">
        <v>0.45</v>
      </c>
      <c r="H180" s="2">
        <v>2.75</v>
      </c>
      <c r="I180" s="2">
        <v>0</v>
      </c>
      <c r="J180" s="2">
        <v>0</v>
      </c>
      <c r="K180" s="2">
        <v>3.2</v>
      </c>
      <c r="L180" s="158">
        <v>0.85960000000000003</v>
      </c>
      <c r="M180" s="158">
        <v>0.1404</v>
      </c>
      <c r="N180" s="2"/>
      <c r="O180"/>
      <c r="P180"/>
      <c r="Q180"/>
    </row>
    <row r="181" spans="1:17" x14ac:dyDescent="0.25">
      <c r="A181" s="2">
        <v>540123</v>
      </c>
      <c r="B181" s="2" t="s">
        <v>209</v>
      </c>
      <c r="C181" s="2" t="s">
        <v>51</v>
      </c>
      <c r="D181" s="2" t="s">
        <v>115</v>
      </c>
      <c r="E181" s="2">
        <v>1</v>
      </c>
      <c r="F181" s="2">
        <v>7.96</v>
      </c>
      <c r="G181" s="2">
        <v>0.25</v>
      </c>
      <c r="H181" s="2">
        <v>7.96</v>
      </c>
      <c r="I181" s="2">
        <v>0</v>
      </c>
      <c r="J181" s="2">
        <v>0</v>
      </c>
      <c r="K181" s="2">
        <v>8.2100000000000009</v>
      </c>
      <c r="L181" s="158">
        <v>0.96950000000000003</v>
      </c>
      <c r="M181" s="158">
        <v>3.0499999999999999E-2</v>
      </c>
      <c r="N181" s="2"/>
      <c r="O181"/>
      <c r="P181"/>
      <c r="Q181"/>
    </row>
    <row r="182" spans="1:17" x14ac:dyDescent="0.25">
      <c r="A182" s="2">
        <v>540291</v>
      </c>
      <c r="B182" s="2" t="s">
        <v>328</v>
      </c>
      <c r="C182" s="2" t="s">
        <v>51</v>
      </c>
      <c r="D182" s="2" t="s">
        <v>115</v>
      </c>
      <c r="E182" s="2">
        <v>1</v>
      </c>
      <c r="F182" s="2">
        <v>1.84</v>
      </c>
      <c r="G182" s="2">
        <v>0</v>
      </c>
      <c r="H182" s="2">
        <v>1.84</v>
      </c>
      <c r="I182" s="2">
        <v>0</v>
      </c>
      <c r="J182" s="2">
        <v>0</v>
      </c>
      <c r="K182" s="2">
        <v>1.84</v>
      </c>
      <c r="L182" s="158">
        <v>1</v>
      </c>
      <c r="M182" s="158">
        <v>0</v>
      </c>
      <c r="N182" s="2"/>
      <c r="O182"/>
      <c r="P182"/>
      <c r="Q182"/>
    </row>
    <row r="183" spans="1:17" x14ac:dyDescent="0.25">
      <c r="A183" s="2">
        <v>540114</v>
      </c>
      <c r="B183" s="2" t="s">
        <v>50</v>
      </c>
      <c r="C183" s="2" t="s">
        <v>51</v>
      </c>
      <c r="D183" s="2" t="s">
        <v>5</v>
      </c>
      <c r="E183" s="2">
        <v>1</v>
      </c>
      <c r="F183" s="2">
        <v>83.83</v>
      </c>
      <c r="G183" s="2">
        <v>55.36</v>
      </c>
      <c r="H183" s="2">
        <v>83.83</v>
      </c>
      <c r="I183" s="2">
        <v>0</v>
      </c>
      <c r="J183" s="2">
        <v>0</v>
      </c>
      <c r="K183" s="2">
        <v>139.19</v>
      </c>
      <c r="L183" s="158">
        <v>0.60229999999999995</v>
      </c>
      <c r="M183" s="158">
        <v>0.3977</v>
      </c>
      <c r="N183" s="2"/>
      <c r="O183"/>
      <c r="P183"/>
      <c r="Q183"/>
    </row>
    <row r="184" spans="1:17" x14ac:dyDescent="0.25">
      <c r="A184" s="255"/>
      <c r="B184" s="255"/>
      <c r="C184" s="255" t="s">
        <v>51</v>
      </c>
      <c r="D184" s="255"/>
      <c r="E184" s="255"/>
      <c r="F184" s="255">
        <v>114.57</v>
      </c>
      <c r="G184" s="255">
        <v>0</v>
      </c>
      <c r="H184" s="255">
        <v>0</v>
      </c>
      <c r="I184" s="255">
        <v>114.57</v>
      </c>
      <c r="J184" s="255">
        <v>59.58</v>
      </c>
      <c r="K184" s="255">
        <v>174.14</v>
      </c>
      <c r="L184" s="256">
        <v>0.65790000000000004</v>
      </c>
      <c r="M184" s="256">
        <v>0.34210000000000002</v>
      </c>
      <c r="N184" s="255">
        <v>35</v>
      </c>
      <c r="O184"/>
      <c r="P184"/>
      <c r="Q184"/>
    </row>
    <row r="185" spans="1:17" x14ac:dyDescent="0.25">
      <c r="A185" s="2">
        <v>540125</v>
      </c>
      <c r="B185" s="2" t="s">
        <v>210</v>
      </c>
      <c r="C185" s="2" t="s">
        <v>53</v>
      </c>
      <c r="D185" s="2" t="s">
        <v>115</v>
      </c>
      <c r="E185" s="2">
        <v>1</v>
      </c>
      <c r="F185" s="2">
        <v>2.88</v>
      </c>
      <c r="G185" s="2">
        <v>0.11</v>
      </c>
      <c r="H185" s="2">
        <v>2.88</v>
      </c>
      <c r="I185" s="2">
        <v>0</v>
      </c>
      <c r="J185" s="2">
        <v>0</v>
      </c>
      <c r="K185" s="2">
        <v>3</v>
      </c>
      <c r="L185" s="158">
        <v>0.96260000000000001</v>
      </c>
      <c r="M185" s="158">
        <v>3.7400000000000003E-2</v>
      </c>
      <c r="N185" s="2"/>
      <c r="O185"/>
      <c r="P185"/>
      <c r="Q185"/>
    </row>
    <row r="186" spans="1:17" x14ac:dyDescent="0.25">
      <c r="A186" s="2">
        <v>540126</v>
      </c>
      <c r="B186" s="2" t="s">
        <v>211</v>
      </c>
      <c r="C186" s="2" t="s">
        <v>53</v>
      </c>
      <c r="D186" s="2" t="s">
        <v>115</v>
      </c>
      <c r="E186" s="2">
        <v>1</v>
      </c>
      <c r="F186" s="2">
        <v>1.1200000000000001</v>
      </c>
      <c r="G186" s="2">
        <v>7.0000000000000007E-2</v>
      </c>
      <c r="H186" s="2">
        <v>1.1200000000000001</v>
      </c>
      <c r="I186" s="2">
        <v>0</v>
      </c>
      <c r="J186" s="2">
        <v>0</v>
      </c>
      <c r="K186" s="2">
        <v>1.2</v>
      </c>
      <c r="L186" s="158">
        <v>0.9375</v>
      </c>
      <c r="M186" s="158">
        <v>6.25E-2</v>
      </c>
      <c r="N186" s="2"/>
      <c r="O186"/>
      <c r="P186"/>
      <c r="Q186"/>
    </row>
    <row r="187" spans="1:17" x14ac:dyDescent="0.25">
      <c r="A187" s="2">
        <v>540127</v>
      </c>
      <c r="B187" s="2" t="s">
        <v>212</v>
      </c>
      <c r="C187" s="2" t="s">
        <v>53</v>
      </c>
      <c r="D187" s="2" t="s">
        <v>115</v>
      </c>
      <c r="E187" s="2">
        <v>1</v>
      </c>
      <c r="F187" s="2">
        <v>1.25</v>
      </c>
      <c r="G187" s="2">
        <v>0</v>
      </c>
      <c r="H187" s="2">
        <v>1.25</v>
      </c>
      <c r="I187" s="2">
        <v>0</v>
      </c>
      <c r="J187" s="2">
        <v>0</v>
      </c>
      <c r="K187" s="2">
        <v>1.25</v>
      </c>
      <c r="L187" s="158">
        <v>1</v>
      </c>
      <c r="M187" s="158">
        <v>0</v>
      </c>
      <c r="N187" s="2"/>
      <c r="O187"/>
      <c r="P187"/>
      <c r="Q187"/>
    </row>
    <row r="188" spans="1:17" x14ac:dyDescent="0.25">
      <c r="A188" s="2">
        <v>540128</v>
      </c>
      <c r="B188" s="2" t="s">
        <v>213</v>
      </c>
      <c r="C188" s="2" t="s">
        <v>53</v>
      </c>
      <c r="D188" s="2" t="s">
        <v>115</v>
      </c>
      <c r="E188" s="2">
        <v>1</v>
      </c>
      <c r="F188" s="2">
        <v>4.68</v>
      </c>
      <c r="G188" s="2">
        <v>0.15</v>
      </c>
      <c r="H188" s="2">
        <v>4.68</v>
      </c>
      <c r="I188" s="2">
        <v>0</v>
      </c>
      <c r="J188" s="2">
        <v>0</v>
      </c>
      <c r="K188" s="2">
        <v>4.83</v>
      </c>
      <c r="L188" s="158">
        <v>0.96879999999999999</v>
      </c>
      <c r="M188" s="158">
        <v>3.1199999999999999E-2</v>
      </c>
      <c r="N188" s="2"/>
      <c r="O188"/>
      <c r="P188"/>
      <c r="Q188"/>
    </row>
    <row r="189" spans="1:17" x14ac:dyDescent="0.25">
      <c r="A189" s="2">
        <v>540172</v>
      </c>
      <c r="B189" s="2" t="s">
        <v>244</v>
      </c>
      <c r="C189" s="2" t="s">
        <v>53</v>
      </c>
      <c r="D189" s="2" t="s">
        <v>115</v>
      </c>
      <c r="E189" s="2">
        <v>1</v>
      </c>
      <c r="F189" s="2">
        <v>0</v>
      </c>
      <c r="G189" s="2">
        <v>0</v>
      </c>
      <c r="H189" s="2">
        <v>0</v>
      </c>
      <c r="I189" s="2">
        <v>0</v>
      </c>
      <c r="J189" s="2">
        <v>0</v>
      </c>
      <c r="K189" s="2">
        <v>0</v>
      </c>
      <c r="L189" s="2" t="s">
        <v>488</v>
      </c>
      <c r="M189" s="2" t="s">
        <v>488</v>
      </c>
      <c r="N189" s="2"/>
      <c r="O189"/>
      <c r="P189"/>
      <c r="Q189"/>
    </row>
    <row r="190" spans="1:17" x14ac:dyDescent="0.25">
      <c r="A190" s="2">
        <v>540285</v>
      </c>
      <c r="B190" s="2" t="s">
        <v>324</v>
      </c>
      <c r="C190" s="2" t="s">
        <v>53</v>
      </c>
      <c r="D190" s="2" t="s">
        <v>115</v>
      </c>
      <c r="E190" s="2">
        <v>1</v>
      </c>
      <c r="F190" s="2">
        <v>0</v>
      </c>
      <c r="G190" s="2">
        <v>0.27</v>
      </c>
      <c r="H190" s="2">
        <v>0</v>
      </c>
      <c r="I190" s="2">
        <v>0</v>
      </c>
      <c r="J190" s="2">
        <v>0</v>
      </c>
      <c r="K190" s="2">
        <v>0.27</v>
      </c>
      <c r="L190" s="158">
        <v>0</v>
      </c>
      <c r="M190" s="158">
        <v>1</v>
      </c>
      <c r="N190" s="2"/>
      <c r="O190"/>
      <c r="P190"/>
      <c r="Q190"/>
    </row>
    <row r="191" spans="1:17" x14ac:dyDescent="0.25">
      <c r="A191" s="2">
        <v>540124</v>
      </c>
      <c r="B191" s="2" t="s">
        <v>52</v>
      </c>
      <c r="C191" s="2" t="s">
        <v>53</v>
      </c>
      <c r="D191" s="2" t="s">
        <v>5</v>
      </c>
      <c r="E191" s="2">
        <v>1</v>
      </c>
      <c r="F191" s="2">
        <v>90.51</v>
      </c>
      <c r="G191" s="2">
        <v>190.57</v>
      </c>
      <c r="H191" s="2">
        <v>90.51</v>
      </c>
      <c r="I191" s="2">
        <v>0</v>
      </c>
      <c r="J191" s="2">
        <v>0</v>
      </c>
      <c r="K191" s="2">
        <v>281.08</v>
      </c>
      <c r="L191" s="158">
        <v>0.32200000000000001</v>
      </c>
      <c r="M191" s="158">
        <v>0.67800000000000005</v>
      </c>
      <c r="N191" s="2"/>
      <c r="O191"/>
      <c r="P191"/>
      <c r="Q191"/>
    </row>
    <row r="192" spans="1:17" x14ac:dyDescent="0.25">
      <c r="A192" s="255"/>
      <c r="B192" s="255"/>
      <c r="C192" s="255" t="s">
        <v>53</v>
      </c>
      <c r="D192" s="255"/>
      <c r="E192" s="255"/>
      <c r="F192" s="255">
        <v>100.45</v>
      </c>
      <c r="G192" s="255">
        <v>0</v>
      </c>
      <c r="H192" s="255">
        <v>0</v>
      </c>
      <c r="I192" s="255">
        <v>100.45</v>
      </c>
      <c r="J192" s="255">
        <v>191.18</v>
      </c>
      <c r="K192" s="255">
        <v>291.64</v>
      </c>
      <c r="L192" s="256">
        <v>0.34449999999999997</v>
      </c>
      <c r="M192" s="256">
        <v>0.65549999999999997</v>
      </c>
      <c r="N192" s="255">
        <v>16</v>
      </c>
      <c r="O192"/>
      <c r="P192"/>
      <c r="Q192"/>
    </row>
    <row r="193" spans="1:17" x14ac:dyDescent="0.25">
      <c r="A193" s="2">
        <v>540091</v>
      </c>
      <c r="B193" s="2" t="s">
        <v>338</v>
      </c>
      <c r="C193" s="2" t="s">
        <v>55</v>
      </c>
      <c r="D193" s="2" t="s">
        <v>115</v>
      </c>
      <c r="E193" s="2">
        <v>8</v>
      </c>
      <c r="F193" s="2">
        <v>0</v>
      </c>
      <c r="G193" s="2">
        <v>0</v>
      </c>
      <c r="H193" s="2">
        <v>0</v>
      </c>
      <c r="I193" s="2">
        <v>0</v>
      </c>
      <c r="J193" s="2">
        <v>0</v>
      </c>
      <c r="K193" s="2">
        <v>0</v>
      </c>
      <c r="L193" s="2" t="s">
        <v>488</v>
      </c>
      <c r="M193" s="2" t="s">
        <v>488</v>
      </c>
      <c r="N193" s="2"/>
      <c r="O193"/>
      <c r="P193"/>
      <c r="Q193"/>
    </row>
    <row r="194" spans="1:17" x14ac:dyDescent="0.25">
      <c r="A194" s="2">
        <v>540130</v>
      </c>
      <c r="B194" s="2" t="s">
        <v>214</v>
      </c>
      <c r="C194" s="2" t="s">
        <v>55</v>
      </c>
      <c r="D194" s="2" t="s">
        <v>115</v>
      </c>
      <c r="E194" s="2">
        <v>8</v>
      </c>
      <c r="F194" s="2">
        <v>2.56</v>
      </c>
      <c r="G194" s="2">
        <v>0.2</v>
      </c>
      <c r="H194" s="2">
        <v>2.56</v>
      </c>
      <c r="I194" s="2">
        <v>0</v>
      </c>
      <c r="J194" s="2">
        <v>0</v>
      </c>
      <c r="K194" s="2">
        <v>2.76</v>
      </c>
      <c r="L194" s="158">
        <v>0.92610000000000003</v>
      </c>
      <c r="M194" s="158">
        <v>7.3899999999999993E-2</v>
      </c>
      <c r="N194" s="2"/>
      <c r="O194"/>
      <c r="P194"/>
      <c r="Q194"/>
    </row>
    <row r="195" spans="1:17" x14ac:dyDescent="0.25">
      <c r="A195" s="2">
        <v>540131</v>
      </c>
      <c r="B195" s="2" t="s">
        <v>215</v>
      </c>
      <c r="C195" s="2" t="s">
        <v>55</v>
      </c>
      <c r="D195" s="2" t="s">
        <v>115</v>
      </c>
      <c r="E195" s="2">
        <v>8</v>
      </c>
      <c r="F195" s="2">
        <v>0</v>
      </c>
      <c r="G195" s="2">
        <v>0</v>
      </c>
      <c r="H195" s="2">
        <v>0</v>
      </c>
      <c r="I195" s="2">
        <v>0</v>
      </c>
      <c r="J195" s="2">
        <v>0</v>
      </c>
      <c r="K195" s="2">
        <v>0</v>
      </c>
      <c r="L195" s="2" t="s">
        <v>488</v>
      </c>
      <c r="M195" s="2" t="s">
        <v>488</v>
      </c>
      <c r="N195" s="2"/>
      <c r="O195"/>
      <c r="P195"/>
      <c r="Q195"/>
    </row>
    <row r="196" spans="1:17" x14ac:dyDescent="0.25">
      <c r="A196" s="2">
        <v>540155</v>
      </c>
      <c r="B196" s="2" t="s">
        <v>231</v>
      </c>
      <c r="C196" s="2" t="s">
        <v>55</v>
      </c>
      <c r="D196" s="2" t="s">
        <v>115</v>
      </c>
      <c r="E196" s="2">
        <v>8</v>
      </c>
      <c r="F196" s="2">
        <v>0.27</v>
      </c>
      <c r="G196" s="2">
        <v>0</v>
      </c>
      <c r="H196" s="2">
        <v>0.27</v>
      </c>
      <c r="I196" s="2">
        <v>0</v>
      </c>
      <c r="J196" s="2">
        <v>0</v>
      </c>
      <c r="K196" s="2">
        <v>0.27</v>
      </c>
      <c r="L196" s="158">
        <v>1</v>
      </c>
      <c r="M196" s="158">
        <v>0</v>
      </c>
      <c r="N196" s="2"/>
      <c r="O196"/>
      <c r="P196"/>
      <c r="Q196"/>
    </row>
    <row r="197" spans="1:17" x14ac:dyDescent="0.25">
      <c r="A197" s="2">
        <v>545555</v>
      </c>
      <c r="B197" s="2" t="s">
        <v>336</v>
      </c>
      <c r="C197" s="2" t="s">
        <v>55</v>
      </c>
      <c r="D197" s="2" t="s">
        <v>115</v>
      </c>
      <c r="E197" s="2">
        <v>8</v>
      </c>
      <c r="F197" s="2">
        <v>0.04</v>
      </c>
      <c r="G197" s="2">
        <v>0</v>
      </c>
      <c r="H197" s="2">
        <v>0.04</v>
      </c>
      <c r="I197" s="2">
        <v>0</v>
      </c>
      <c r="J197" s="2">
        <v>0</v>
      </c>
      <c r="K197" s="2">
        <v>0.04</v>
      </c>
      <c r="L197" s="158">
        <v>1</v>
      </c>
      <c r="M197" s="158">
        <v>0</v>
      </c>
      <c r="N197" s="2"/>
      <c r="O197"/>
      <c r="P197"/>
      <c r="Q197"/>
    </row>
    <row r="198" spans="1:17" x14ac:dyDescent="0.25">
      <c r="A198" s="2">
        <v>540129</v>
      </c>
      <c r="B198" s="2" t="s">
        <v>54</v>
      </c>
      <c r="C198" s="2" t="s">
        <v>55</v>
      </c>
      <c r="D198" s="2" t="s">
        <v>5</v>
      </c>
      <c r="E198" s="2">
        <v>8</v>
      </c>
      <c r="F198" s="2">
        <v>57.12</v>
      </c>
      <c r="G198" s="2">
        <v>72.2</v>
      </c>
      <c r="H198" s="2">
        <v>57.12</v>
      </c>
      <c r="I198" s="2">
        <v>0</v>
      </c>
      <c r="J198" s="2">
        <v>0</v>
      </c>
      <c r="K198" s="2">
        <v>129.32</v>
      </c>
      <c r="L198" s="158">
        <v>0.44169999999999998</v>
      </c>
      <c r="M198" s="158">
        <v>0.55830000000000002</v>
      </c>
      <c r="N198" s="2"/>
      <c r="O198"/>
      <c r="P198"/>
      <c r="Q198"/>
    </row>
    <row r="199" spans="1:17" x14ac:dyDescent="0.25">
      <c r="A199" s="255"/>
      <c r="B199" s="255"/>
      <c r="C199" s="255" t="s">
        <v>55</v>
      </c>
      <c r="D199" s="255"/>
      <c r="E199" s="255"/>
      <c r="F199" s="255">
        <v>59.99</v>
      </c>
      <c r="G199" s="255">
        <v>0</v>
      </c>
      <c r="H199" s="255">
        <v>0</v>
      </c>
      <c r="I199" s="255">
        <v>59.99</v>
      </c>
      <c r="J199" s="255">
        <v>72.400000000000006</v>
      </c>
      <c r="K199" s="255">
        <v>132.38999999999999</v>
      </c>
      <c r="L199" s="256">
        <v>0.4531</v>
      </c>
      <c r="M199" s="256">
        <v>0.54690000000000005</v>
      </c>
      <c r="N199" s="255">
        <v>47</v>
      </c>
      <c r="O199"/>
      <c r="P199"/>
      <c r="Q199"/>
    </row>
    <row r="200" spans="1:17" x14ac:dyDescent="0.25">
      <c r="A200" s="2">
        <v>540134</v>
      </c>
      <c r="B200" s="2" t="s">
        <v>217</v>
      </c>
      <c r="C200" s="2" t="s">
        <v>57</v>
      </c>
      <c r="D200" s="2" t="s">
        <v>115</v>
      </c>
      <c r="E200" s="2">
        <v>2</v>
      </c>
      <c r="F200" s="2">
        <v>3.04</v>
      </c>
      <c r="G200" s="2">
        <v>0</v>
      </c>
      <c r="H200" s="2">
        <v>3.04</v>
      </c>
      <c r="I200" s="2">
        <v>0</v>
      </c>
      <c r="J200" s="2">
        <v>0</v>
      </c>
      <c r="K200" s="2">
        <v>3.04</v>
      </c>
      <c r="L200" s="158">
        <v>1</v>
      </c>
      <c r="M200" s="158">
        <v>0</v>
      </c>
      <c r="N200" s="2"/>
      <c r="O200"/>
      <c r="P200"/>
      <c r="Q200"/>
    </row>
    <row r="201" spans="1:17" x14ac:dyDescent="0.25">
      <c r="A201" s="2">
        <v>540135</v>
      </c>
      <c r="B201" s="2" t="s">
        <v>218</v>
      </c>
      <c r="C201" s="2" t="s">
        <v>57</v>
      </c>
      <c r="D201" s="2" t="s">
        <v>115</v>
      </c>
      <c r="E201" s="2">
        <v>2</v>
      </c>
      <c r="F201" s="2">
        <v>3.47</v>
      </c>
      <c r="G201" s="2">
        <v>0</v>
      </c>
      <c r="H201" s="2">
        <v>3.47</v>
      </c>
      <c r="I201" s="2">
        <v>0</v>
      </c>
      <c r="J201" s="2">
        <v>0</v>
      </c>
      <c r="K201" s="2">
        <v>3.47</v>
      </c>
      <c r="L201" s="158">
        <v>1</v>
      </c>
      <c r="M201" s="158">
        <v>0</v>
      </c>
      <c r="N201" s="2"/>
      <c r="O201"/>
      <c r="P201"/>
      <c r="Q201"/>
    </row>
    <row r="202" spans="1:17" x14ac:dyDescent="0.25">
      <c r="A202" s="2">
        <v>540136</v>
      </c>
      <c r="B202" s="2" t="s">
        <v>219</v>
      </c>
      <c r="C202" s="2" t="s">
        <v>57</v>
      </c>
      <c r="D202" s="2" t="s">
        <v>115</v>
      </c>
      <c r="E202" s="2">
        <v>2</v>
      </c>
      <c r="F202" s="2">
        <v>1.07</v>
      </c>
      <c r="G202" s="2">
        <v>0</v>
      </c>
      <c r="H202" s="2">
        <v>1.07</v>
      </c>
      <c r="I202" s="2">
        <v>0</v>
      </c>
      <c r="J202" s="2">
        <v>0</v>
      </c>
      <c r="K202" s="2">
        <v>1.07</v>
      </c>
      <c r="L202" s="158">
        <v>1</v>
      </c>
      <c r="M202" s="158">
        <v>0</v>
      </c>
      <c r="N202" s="2"/>
      <c r="O202"/>
      <c r="P202"/>
      <c r="Q202"/>
    </row>
    <row r="203" spans="1:17" x14ac:dyDescent="0.25">
      <c r="A203" s="2">
        <v>540138</v>
      </c>
      <c r="B203" s="2" t="s">
        <v>221</v>
      </c>
      <c r="C203" s="2" t="s">
        <v>57</v>
      </c>
      <c r="D203" s="2" t="s">
        <v>115</v>
      </c>
      <c r="E203" s="2">
        <v>2</v>
      </c>
      <c r="F203" s="2">
        <v>4.6100000000000003</v>
      </c>
      <c r="G203" s="2">
        <v>0</v>
      </c>
      <c r="H203" s="2">
        <v>4.6100000000000003</v>
      </c>
      <c r="I203" s="2">
        <v>0</v>
      </c>
      <c r="J203" s="2">
        <v>0</v>
      </c>
      <c r="K203" s="2">
        <v>4.6100000000000003</v>
      </c>
      <c r="L203" s="158">
        <v>0.99990000000000001</v>
      </c>
      <c r="M203" s="158">
        <v>1E-4</v>
      </c>
      <c r="N203" s="2"/>
      <c r="O203"/>
      <c r="P203"/>
      <c r="Q203"/>
    </row>
    <row r="204" spans="1:17" x14ac:dyDescent="0.25">
      <c r="A204" s="2">
        <v>545538</v>
      </c>
      <c r="B204" s="2" t="s">
        <v>334</v>
      </c>
      <c r="C204" s="2" t="s">
        <v>57</v>
      </c>
      <c r="D204" s="2" t="s">
        <v>115</v>
      </c>
      <c r="E204" s="2">
        <v>2</v>
      </c>
      <c r="F204" s="2">
        <v>4.1900000000000004</v>
      </c>
      <c r="G204" s="2">
        <v>0</v>
      </c>
      <c r="H204" s="2">
        <v>4.1900000000000004</v>
      </c>
      <c r="I204" s="2">
        <v>0</v>
      </c>
      <c r="J204" s="2">
        <v>0</v>
      </c>
      <c r="K204" s="2">
        <v>4.1900000000000004</v>
      </c>
      <c r="L204" s="158">
        <v>1</v>
      </c>
      <c r="M204" s="158">
        <v>0</v>
      </c>
      <c r="N204" s="2"/>
      <c r="O204"/>
      <c r="P204"/>
      <c r="Q204"/>
    </row>
    <row r="205" spans="1:17" x14ac:dyDescent="0.25">
      <c r="A205" s="2">
        <v>540133</v>
      </c>
      <c r="B205" s="2" t="s">
        <v>56</v>
      </c>
      <c r="C205" s="2" t="s">
        <v>57</v>
      </c>
      <c r="D205" s="2" t="s">
        <v>5</v>
      </c>
      <c r="E205" s="2">
        <v>2</v>
      </c>
      <c r="F205" s="2">
        <v>136.75</v>
      </c>
      <c r="G205" s="2">
        <v>107.32</v>
      </c>
      <c r="H205" s="2">
        <v>136.75</v>
      </c>
      <c r="I205" s="2">
        <v>0</v>
      </c>
      <c r="J205" s="2">
        <v>0</v>
      </c>
      <c r="K205" s="2">
        <v>244.06</v>
      </c>
      <c r="L205" s="158">
        <v>0.56030000000000002</v>
      </c>
      <c r="M205" s="158">
        <v>0.43969999999999998</v>
      </c>
      <c r="N205" s="2"/>
      <c r="O205"/>
      <c r="P205"/>
      <c r="Q205"/>
    </row>
    <row r="206" spans="1:17" x14ac:dyDescent="0.25">
      <c r="A206" s="255"/>
      <c r="B206" s="255"/>
      <c r="C206" s="255" t="s">
        <v>57</v>
      </c>
      <c r="D206" s="255"/>
      <c r="E206" s="255"/>
      <c r="F206" s="255">
        <v>153.12</v>
      </c>
      <c r="G206" s="255">
        <v>0</v>
      </c>
      <c r="H206" s="255">
        <v>0</v>
      </c>
      <c r="I206" s="255">
        <v>153.12</v>
      </c>
      <c r="J206" s="255">
        <v>107.32</v>
      </c>
      <c r="K206" s="255">
        <v>260.44</v>
      </c>
      <c r="L206" s="256">
        <v>0.58789999999999998</v>
      </c>
      <c r="M206" s="256">
        <v>0.41210000000000002</v>
      </c>
      <c r="N206" s="255">
        <v>23</v>
      </c>
      <c r="O206"/>
      <c r="P206"/>
      <c r="Q206"/>
    </row>
    <row r="207" spans="1:17" x14ac:dyDescent="0.25">
      <c r="A207" s="2">
        <v>540140</v>
      </c>
      <c r="B207" s="2" t="s">
        <v>222</v>
      </c>
      <c r="C207" s="2" t="s">
        <v>59</v>
      </c>
      <c r="D207" s="2" t="s">
        <v>115</v>
      </c>
      <c r="E207" s="2">
        <v>6</v>
      </c>
      <c r="F207" s="2">
        <v>0</v>
      </c>
      <c r="G207" s="2">
        <v>0.85</v>
      </c>
      <c r="H207" s="2">
        <v>0</v>
      </c>
      <c r="I207" s="2">
        <v>0</v>
      </c>
      <c r="J207" s="2">
        <v>0</v>
      </c>
      <c r="K207" s="2">
        <v>0.85</v>
      </c>
      <c r="L207" s="158">
        <v>0</v>
      </c>
      <c r="M207" s="158">
        <v>1</v>
      </c>
      <c r="N207" s="2"/>
      <c r="O207"/>
      <c r="P207"/>
      <c r="Q207"/>
    </row>
    <row r="208" spans="1:17" x14ac:dyDescent="0.25">
      <c r="A208" s="2">
        <v>540141</v>
      </c>
      <c r="B208" s="2" t="s">
        <v>223</v>
      </c>
      <c r="C208" s="2" t="s">
        <v>59</v>
      </c>
      <c r="D208" s="2" t="s">
        <v>115</v>
      </c>
      <c r="E208" s="2">
        <v>6</v>
      </c>
      <c r="F208" s="2">
        <v>12.19</v>
      </c>
      <c r="G208" s="2">
        <v>2.33</v>
      </c>
      <c r="H208" s="2">
        <v>12.19</v>
      </c>
      <c r="I208" s="2">
        <v>0</v>
      </c>
      <c r="J208" s="2">
        <v>0</v>
      </c>
      <c r="K208" s="2">
        <v>14.53</v>
      </c>
      <c r="L208" s="158">
        <v>0.83930000000000005</v>
      </c>
      <c r="M208" s="158">
        <v>0.16070000000000001</v>
      </c>
      <c r="N208" s="2"/>
      <c r="O208"/>
      <c r="P208"/>
      <c r="Q208"/>
    </row>
    <row r="209" spans="1:17" x14ac:dyDescent="0.25">
      <c r="A209" s="2">
        <v>540272</v>
      </c>
      <c r="B209" s="2" t="s">
        <v>315</v>
      </c>
      <c r="C209" s="2" t="s">
        <v>59</v>
      </c>
      <c r="D209" s="2" t="s">
        <v>115</v>
      </c>
      <c r="E209" s="2">
        <v>6</v>
      </c>
      <c r="F209" s="2">
        <v>0.53</v>
      </c>
      <c r="G209" s="2">
        <v>0</v>
      </c>
      <c r="H209" s="2">
        <v>0.53</v>
      </c>
      <c r="I209" s="2">
        <v>0</v>
      </c>
      <c r="J209" s="2">
        <v>0</v>
      </c>
      <c r="K209" s="2">
        <v>0.53</v>
      </c>
      <c r="L209" s="158">
        <v>1</v>
      </c>
      <c r="M209" s="158">
        <v>0</v>
      </c>
      <c r="N209" s="2"/>
      <c r="O209"/>
      <c r="P209"/>
      <c r="Q209"/>
    </row>
    <row r="210" spans="1:17" x14ac:dyDescent="0.25">
      <c r="A210" s="2">
        <v>540273</v>
      </c>
      <c r="B210" s="2" t="s">
        <v>316</v>
      </c>
      <c r="C210" s="2" t="s">
        <v>59</v>
      </c>
      <c r="D210" s="2" t="s">
        <v>115</v>
      </c>
      <c r="E210" s="2">
        <v>6</v>
      </c>
      <c r="F210" s="2">
        <v>1.63</v>
      </c>
      <c r="G210" s="2">
        <v>0</v>
      </c>
      <c r="H210" s="2">
        <v>1.63</v>
      </c>
      <c r="I210" s="2">
        <v>0</v>
      </c>
      <c r="J210" s="2">
        <v>0</v>
      </c>
      <c r="K210" s="2">
        <v>1.63</v>
      </c>
      <c r="L210" s="158">
        <v>1</v>
      </c>
      <c r="M210" s="158">
        <v>0</v>
      </c>
      <c r="N210" s="2"/>
      <c r="O210"/>
      <c r="P210"/>
      <c r="Q210"/>
    </row>
    <row r="211" spans="1:17" x14ac:dyDescent="0.25">
      <c r="A211" s="2">
        <v>540274</v>
      </c>
      <c r="B211" s="2" t="s">
        <v>317</v>
      </c>
      <c r="C211" s="2" t="s">
        <v>59</v>
      </c>
      <c r="D211" s="2" t="s">
        <v>115</v>
      </c>
      <c r="E211" s="2">
        <v>6</v>
      </c>
      <c r="F211" s="2">
        <v>0.54</v>
      </c>
      <c r="G211" s="2">
        <v>0</v>
      </c>
      <c r="H211" s="2">
        <v>0.54</v>
      </c>
      <c r="I211" s="2">
        <v>0</v>
      </c>
      <c r="J211" s="2">
        <v>0</v>
      </c>
      <c r="K211" s="2">
        <v>0.54</v>
      </c>
      <c r="L211" s="158">
        <v>1</v>
      </c>
      <c r="M211" s="158">
        <v>0</v>
      </c>
      <c r="N211" s="2"/>
      <c r="O211"/>
      <c r="P211"/>
      <c r="Q211"/>
    </row>
    <row r="212" spans="1:17" x14ac:dyDescent="0.25">
      <c r="A212" s="2">
        <v>540139</v>
      </c>
      <c r="B212" s="2" t="s">
        <v>58</v>
      </c>
      <c r="C212" s="2" t="s">
        <v>59</v>
      </c>
      <c r="D212" s="2" t="s">
        <v>5</v>
      </c>
      <c r="E212" s="2">
        <v>6</v>
      </c>
      <c r="F212" s="2">
        <v>47.46</v>
      </c>
      <c r="G212" s="2">
        <v>171.19</v>
      </c>
      <c r="H212" s="2">
        <v>47.46</v>
      </c>
      <c r="I212" s="2">
        <v>0</v>
      </c>
      <c r="J212" s="2">
        <v>0</v>
      </c>
      <c r="K212" s="2">
        <v>218.65</v>
      </c>
      <c r="L212" s="158">
        <v>0.217</v>
      </c>
      <c r="M212" s="158">
        <v>0.78300000000000003</v>
      </c>
      <c r="N212" s="2"/>
      <c r="O212"/>
      <c r="P212"/>
      <c r="Q212"/>
    </row>
    <row r="213" spans="1:17" x14ac:dyDescent="0.25">
      <c r="A213" s="255"/>
      <c r="B213" s="255"/>
      <c r="C213" s="255" t="s">
        <v>59</v>
      </c>
      <c r="D213" s="255"/>
      <c r="E213" s="255"/>
      <c r="F213" s="255">
        <v>62.36</v>
      </c>
      <c r="G213" s="255">
        <v>0</v>
      </c>
      <c r="H213" s="255">
        <v>0</v>
      </c>
      <c r="I213" s="255">
        <v>62.36</v>
      </c>
      <c r="J213" s="255">
        <v>174.37</v>
      </c>
      <c r="K213" s="255">
        <v>236.73</v>
      </c>
      <c r="L213" s="256">
        <v>0.26340000000000002</v>
      </c>
      <c r="M213" s="256">
        <v>0.73660000000000003</v>
      </c>
      <c r="N213" s="255">
        <v>26</v>
      </c>
      <c r="O213"/>
      <c r="P213"/>
      <c r="Q213"/>
    </row>
    <row r="214" spans="1:17" x14ac:dyDescent="0.25">
      <c r="A214" s="2">
        <v>540041</v>
      </c>
      <c r="B214" s="2" t="s">
        <v>142</v>
      </c>
      <c r="C214" s="2" t="s">
        <v>105</v>
      </c>
      <c r="D214" s="2" t="s">
        <v>115</v>
      </c>
      <c r="E214" s="2">
        <v>1</v>
      </c>
      <c r="F214" s="2">
        <v>0.69</v>
      </c>
      <c r="G214" s="2">
        <v>0.08</v>
      </c>
      <c r="H214" s="2">
        <v>0.69</v>
      </c>
      <c r="I214" s="2">
        <v>0</v>
      </c>
      <c r="J214" s="2">
        <v>0</v>
      </c>
      <c r="K214" s="2">
        <v>0.77</v>
      </c>
      <c r="L214" s="158">
        <v>0.90049999999999997</v>
      </c>
      <c r="M214" s="158">
        <v>9.9500000000000005E-2</v>
      </c>
      <c r="N214" s="2"/>
      <c r="O214"/>
      <c r="P214"/>
      <c r="Q214"/>
    </row>
    <row r="215" spans="1:17" x14ac:dyDescent="0.25">
      <c r="A215" s="2">
        <v>540143</v>
      </c>
      <c r="B215" s="2" t="s">
        <v>224</v>
      </c>
      <c r="C215" s="2" t="s">
        <v>105</v>
      </c>
      <c r="D215" s="2" t="s">
        <v>115</v>
      </c>
      <c r="E215" s="2">
        <v>1</v>
      </c>
      <c r="F215" s="2">
        <v>1.1399999999999999</v>
      </c>
      <c r="G215" s="2">
        <v>0.04</v>
      </c>
      <c r="H215" s="2">
        <v>1.1399999999999999</v>
      </c>
      <c r="I215" s="2">
        <v>0</v>
      </c>
      <c r="J215" s="2">
        <v>0</v>
      </c>
      <c r="K215" s="2">
        <v>1.17</v>
      </c>
      <c r="L215" s="158">
        <v>0.96879999999999999</v>
      </c>
      <c r="M215" s="158">
        <v>3.1199999999999999E-2</v>
      </c>
      <c r="N215" s="2"/>
      <c r="O215"/>
      <c r="P215"/>
      <c r="Q215"/>
    </row>
    <row r="216" spans="1:17" x14ac:dyDescent="0.25">
      <c r="A216" s="2">
        <v>540290</v>
      </c>
      <c r="B216" s="2" t="s">
        <v>327</v>
      </c>
      <c r="C216" s="2" t="s">
        <v>105</v>
      </c>
      <c r="D216" s="2" t="s">
        <v>115</v>
      </c>
      <c r="E216" s="2">
        <v>1</v>
      </c>
      <c r="F216" s="2">
        <v>0</v>
      </c>
      <c r="G216" s="2">
        <v>0</v>
      </c>
      <c r="H216" s="2">
        <v>0</v>
      </c>
      <c r="I216" s="2">
        <v>0</v>
      </c>
      <c r="J216" s="2">
        <v>0</v>
      </c>
      <c r="K216" s="2">
        <v>0</v>
      </c>
      <c r="L216" s="2" t="s">
        <v>488</v>
      </c>
      <c r="M216" s="2" t="s">
        <v>488</v>
      </c>
      <c r="N216" s="2"/>
      <c r="O216"/>
      <c r="P216"/>
      <c r="Q216"/>
    </row>
    <row r="217" spans="1:17" x14ac:dyDescent="0.25">
      <c r="A217" s="2">
        <v>540278</v>
      </c>
      <c r="B217" s="2" t="s">
        <v>104</v>
      </c>
      <c r="C217" s="2" t="s">
        <v>105</v>
      </c>
      <c r="D217" s="2" t="s">
        <v>5</v>
      </c>
      <c r="E217" s="2">
        <v>1</v>
      </c>
      <c r="F217" s="2">
        <v>0.41</v>
      </c>
      <c r="G217" s="2">
        <v>172</v>
      </c>
      <c r="H217" s="2">
        <v>0.41</v>
      </c>
      <c r="I217" s="2">
        <v>0</v>
      </c>
      <c r="J217" s="2">
        <v>0</v>
      </c>
      <c r="K217" s="2">
        <v>172.41</v>
      </c>
      <c r="L217" s="158">
        <v>2.3999999999999998E-3</v>
      </c>
      <c r="M217" s="158">
        <v>0.99760000000000004</v>
      </c>
      <c r="N217" s="2"/>
      <c r="O217"/>
      <c r="P217"/>
      <c r="Q217"/>
    </row>
    <row r="218" spans="1:17" x14ac:dyDescent="0.25">
      <c r="A218" s="255"/>
      <c r="B218" s="255"/>
      <c r="C218" s="255" t="s">
        <v>105</v>
      </c>
      <c r="D218" s="255"/>
      <c r="E218" s="255"/>
      <c r="F218" s="255">
        <v>2.2400000000000002</v>
      </c>
      <c r="G218" s="255">
        <v>0</v>
      </c>
      <c r="H218" s="255">
        <v>0</v>
      </c>
      <c r="I218" s="255">
        <v>2.2400000000000002</v>
      </c>
      <c r="J218" s="255">
        <v>172.11</v>
      </c>
      <c r="K218" s="255">
        <v>174.34</v>
      </c>
      <c r="L218" s="256">
        <v>1.2800000000000001E-2</v>
      </c>
      <c r="M218" s="256">
        <v>0.98719999999999997</v>
      </c>
      <c r="N218" s="255">
        <v>34</v>
      </c>
      <c r="O218"/>
      <c r="P218"/>
      <c r="Q218"/>
    </row>
    <row r="219" spans="1:17" x14ac:dyDescent="0.25">
      <c r="A219" s="2">
        <v>540005</v>
      </c>
      <c r="B219" s="2" t="s">
        <v>118</v>
      </c>
      <c r="C219" s="2" t="s">
        <v>61</v>
      </c>
      <c r="D219" s="2" t="s">
        <v>115</v>
      </c>
      <c r="E219" s="2">
        <v>9</v>
      </c>
      <c r="F219" s="2">
        <v>1.36</v>
      </c>
      <c r="G219" s="2">
        <v>0.02</v>
      </c>
      <c r="H219" s="2">
        <v>1.36</v>
      </c>
      <c r="I219" s="2">
        <v>0</v>
      </c>
      <c r="J219" s="2">
        <v>0</v>
      </c>
      <c r="K219" s="2">
        <v>1.37</v>
      </c>
      <c r="L219" s="158">
        <v>0.98750000000000004</v>
      </c>
      <c r="M219" s="158">
        <v>1.2500000000000001E-2</v>
      </c>
      <c r="N219" s="2"/>
      <c r="O219"/>
      <c r="P219"/>
      <c r="Q219"/>
    </row>
    <row r="220" spans="1:17" x14ac:dyDescent="0.25">
      <c r="A220" s="2">
        <v>540252</v>
      </c>
      <c r="B220" s="2" t="s">
        <v>298</v>
      </c>
      <c r="C220" s="2" t="s">
        <v>61</v>
      </c>
      <c r="D220" s="2" t="s">
        <v>115</v>
      </c>
      <c r="E220" s="2">
        <v>9</v>
      </c>
      <c r="F220" s="2">
        <v>0.2</v>
      </c>
      <c r="G220" s="2">
        <v>0.67</v>
      </c>
      <c r="H220" s="2">
        <v>0.2</v>
      </c>
      <c r="I220" s="2">
        <v>0</v>
      </c>
      <c r="J220" s="2">
        <v>0</v>
      </c>
      <c r="K220" s="2">
        <v>0.87</v>
      </c>
      <c r="L220" s="158">
        <v>0.23269999999999999</v>
      </c>
      <c r="M220" s="158">
        <v>0.76729999999999998</v>
      </c>
      <c r="N220" s="2"/>
      <c r="O220"/>
      <c r="P220"/>
      <c r="Q220"/>
    </row>
    <row r="221" spans="1:17" x14ac:dyDescent="0.25">
      <c r="A221" s="2">
        <v>540144</v>
      </c>
      <c r="B221" s="2" t="s">
        <v>60</v>
      </c>
      <c r="C221" s="2" t="s">
        <v>61</v>
      </c>
      <c r="D221" s="2" t="s">
        <v>5</v>
      </c>
      <c r="E221" s="2">
        <v>9</v>
      </c>
      <c r="F221" s="2">
        <v>36.270000000000003</v>
      </c>
      <c r="G221" s="2">
        <v>121.43</v>
      </c>
      <c r="H221" s="2">
        <v>36.270000000000003</v>
      </c>
      <c r="I221" s="2">
        <v>0</v>
      </c>
      <c r="J221" s="2">
        <v>0</v>
      </c>
      <c r="K221" s="2">
        <v>157.69</v>
      </c>
      <c r="L221" s="158">
        <v>0.23</v>
      </c>
      <c r="M221" s="158">
        <v>0.77</v>
      </c>
      <c r="N221" s="2"/>
      <c r="O221"/>
      <c r="P221"/>
      <c r="Q221"/>
    </row>
    <row r="222" spans="1:17" x14ac:dyDescent="0.25">
      <c r="A222" s="255"/>
      <c r="B222" s="255"/>
      <c r="C222" s="255" t="s">
        <v>61</v>
      </c>
      <c r="D222" s="255"/>
      <c r="E222" s="255"/>
      <c r="F222" s="255">
        <v>37.83</v>
      </c>
      <c r="G222" s="255">
        <v>0</v>
      </c>
      <c r="H222" s="255">
        <v>0</v>
      </c>
      <c r="I222" s="255">
        <v>37.83</v>
      </c>
      <c r="J222" s="255">
        <v>122.11</v>
      </c>
      <c r="K222" s="255">
        <v>159.94</v>
      </c>
      <c r="L222" s="256">
        <v>0.23649999999999999</v>
      </c>
      <c r="M222" s="256">
        <v>0.76349999999999996</v>
      </c>
      <c r="N222" s="255">
        <v>42</v>
      </c>
      <c r="O222"/>
      <c r="P222"/>
      <c r="Q222"/>
    </row>
    <row r="223" spans="1:17" x14ac:dyDescent="0.25">
      <c r="A223" s="2">
        <v>540147</v>
      </c>
      <c r="B223" s="2" t="s">
        <v>225</v>
      </c>
      <c r="C223" s="2" t="s">
        <v>63</v>
      </c>
      <c r="D223" s="2" t="s">
        <v>115</v>
      </c>
      <c r="E223" s="2">
        <v>4</v>
      </c>
      <c r="F223" s="2">
        <v>4.51</v>
      </c>
      <c r="G223" s="2">
        <v>0.06</v>
      </c>
      <c r="H223" s="2">
        <v>4.51</v>
      </c>
      <c r="I223" s="2">
        <v>0</v>
      </c>
      <c r="J223" s="2">
        <v>0</v>
      </c>
      <c r="K223" s="2">
        <v>4.5599999999999996</v>
      </c>
      <c r="L223" s="158">
        <v>0.9879</v>
      </c>
      <c r="M223" s="158">
        <v>1.21E-2</v>
      </c>
      <c r="N223" s="2"/>
      <c r="O223"/>
      <c r="P223"/>
      <c r="Q223"/>
    </row>
    <row r="224" spans="1:17" x14ac:dyDescent="0.25">
      <c r="A224" s="2">
        <v>540148</v>
      </c>
      <c r="B224" s="2" t="s">
        <v>226</v>
      </c>
      <c r="C224" s="2" t="s">
        <v>63</v>
      </c>
      <c r="D224" s="2" t="s">
        <v>115</v>
      </c>
      <c r="E224" s="2">
        <v>4</v>
      </c>
      <c r="F224" s="2">
        <v>0</v>
      </c>
      <c r="G224" s="2">
        <v>3.35</v>
      </c>
      <c r="H224" s="2">
        <v>0</v>
      </c>
      <c r="I224" s="2">
        <v>0</v>
      </c>
      <c r="J224" s="2">
        <v>0</v>
      </c>
      <c r="K224" s="2">
        <v>3.35</v>
      </c>
      <c r="L224" s="158">
        <v>0</v>
      </c>
      <c r="M224" s="158">
        <v>1</v>
      </c>
      <c r="N224" s="2"/>
      <c r="O224"/>
      <c r="P224"/>
      <c r="Q224"/>
    </row>
    <row r="225" spans="1:17" x14ac:dyDescent="0.25">
      <c r="A225" s="2">
        <v>540146</v>
      </c>
      <c r="B225" s="2" t="s">
        <v>62</v>
      </c>
      <c r="C225" s="2" t="s">
        <v>63</v>
      </c>
      <c r="D225" s="2" t="s">
        <v>5</v>
      </c>
      <c r="E225" s="2">
        <v>4</v>
      </c>
      <c r="F225" s="2">
        <v>21.68</v>
      </c>
      <c r="G225" s="2">
        <v>367.24</v>
      </c>
      <c r="H225" s="2">
        <v>21.68</v>
      </c>
      <c r="I225" s="2">
        <v>0</v>
      </c>
      <c r="J225" s="2">
        <v>0</v>
      </c>
      <c r="K225" s="2">
        <v>388.92</v>
      </c>
      <c r="L225" s="158">
        <v>5.57E-2</v>
      </c>
      <c r="M225" s="158">
        <v>0.94430000000000003</v>
      </c>
      <c r="N225" s="2"/>
      <c r="O225"/>
      <c r="P225"/>
      <c r="Q225"/>
    </row>
    <row r="226" spans="1:17" x14ac:dyDescent="0.25">
      <c r="A226" s="255"/>
      <c r="B226" s="255"/>
      <c r="C226" s="255" t="s">
        <v>63</v>
      </c>
      <c r="D226" s="255"/>
      <c r="E226" s="255"/>
      <c r="F226" s="255">
        <v>26.19</v>
      </c>
      <c r="G226" s="255">
        <v>0</v>
      </c>
      <c r="H226" s="255">
        <v>0</v>
      </c>
      <c r="I226" s="255">
        <v>26.19</v>
      </c>
      <c r="J226" s="255">
        <v>370.65</v>
      </c>
      <c r="K226" s="255">
        <v>396.84</v>
      </c>
      <c r="L226" s="256">
        <v>6.6000000000000003E-2</v>
      </c>
      <c r="M226" s="256">
        <v>0.93400000000000005</v>
      </c>
      <c r="N226" s="255">
        <v>8</v>
      </c>
      <c r="O226"/>
      <c r="P226"/>
      <c r="Q226"/>
    </row>
    <row r="227" spans="1:17" x14ac:dyDescent="0.25">
      <c r="A227" s="2">
        <v>540080</v>
      </c>
      <c r="B227" s="2" t="s">
        <v>175</v>
      </c>
      <c r="C227" s="2" t="s">
        <v>65</v>
      </c>
      <c r="D227" s="2" t="s">
        <v>115</v>
      </c>
      <c r="E227" s="2">
        <v>10</v>
      </c>
      <c r="F227" s="2">
        <v>0</v>
      </c>
      <c r="G227" s="2">
        <v>0</v>
      </c>
      <c r="H227" s="2">
        <v>0</v>
      </c>
      <c r="I227" s="2">
        <v>0</v>
      </c>
      <c r="J227" s="2">
        <v>0</v>
      </c>
      <c r="K227" s="2">
        <v>0</v>
      </c>
      <c r="L227" s="2" t="s">
        <v>488</v>
      </c>
      <c r="M227" s="2" t="s">
        <v>488</v>
      </c>
      <c r="N227" s="2"/>
      <c r="O227"/>
      <c r="P227"/>
      <c r="Q227"/>
    </row>
    <row r="228" spans="1:17" x14ac:dyDescent="0.25">
      <c r="A228" s="2">
        <v>540094</v>
      </c>
      <c r="B228" s="2" t="s">
        <v>185</v>
      </c>
      <c r="C228" s="2" t="s">
        <v>65</v>
      </c>
      <c r="D228" s="2" t="s">
        <v>115</v>
      </c>
      <c r="E228" s="2">
        <v>10</v>
      </c>
      <c r="F228" s="2">
        <v>0</v>
      </c>
      <c r="G228" s="2">
        <v>1.06</v>
      </c>
      <c r="H228" s="2">
        <v>0</v>
      </c>
      <c r="I228" s="2">
        <v>0</v>
      </c>
      <c r="J228" s="2">
        <v>0</v>
      </c>
      <c r="K228" s="2">
        <v>1.06</v>
      </c>
      <c r="L228" s="158">
        <v>0</v>
      </c>
      <c r="M228" s="158">
        <v>1</v>
      </c>
      <c r="N228" s="2"/>
      <c r="O228"/>
      <c r="P228"/>
      <c r="Q228"/>
    </row>
    <row r="229" spans="1:17" x14ac:dyDescent="0.25">
      <c r="A229" s="2">
        <v>540150</v>
      </c>
      <c r="B229" s="2" t="s">
        <v>227</v>
      </c>
      <c r="C229" s="2" t="s">
        <v>65</v>
      </c>
      <c r="D229" s="2" t="s">
        <v>115</v>
      </c>
      <c r="E229" s="2">
        <v>10</v>
      </c>
      <c r="F229" s="2">
        <v>3.27</v>
      </c>
      <c r="G229" s="2">
        <v>0</v>
      </c>
      <c r="H229" s="2">
        <v>3.27</v>
      </c>
      <c r="I229" s="2">
        <v>0</v>
      </c>
      <c r="J229" s="2">
        <v>0</v>
      </c>
      <c r="K229" s="2">
        <v>3.27</v>
      </c>
      <c r="L229" s="158">
        <v>1</v>
      </c>
      <c r="M229" s="158">
        <v>0</v>
      </c>
      <c r="N229" s="2"/>
      <c r="O229"/>
      <c r="P229"/>
      <c r="Q229"/>
    </row>
    <row r="230" spans="1:17" x14ac:dyDescent="0.25">
      <c r="A230" s="2">
        <v>540151</v>
      </c>
      <c r="B230" s="2" t="s">
        <v>228</v>
      </c>
      <c r="C230" s="2" t="s">
        <v>65</v>
      </c>
      <c r="D230" s="2" t="s">
        <v>115</v>
      </c>
      <c r="E230" s="2">
        <v>10</v>
      </c>
      <c r="F230" s="2">
        <v>0</v>
      </c>
      <c r="G230" s="2">
        <v>3.97</v>
      </c>
      <c r="H230" s="2">
        <v>0</v>
      </c>
      <c r="I230" s="2">
        <v>0</v>
      </c>
      <c r="J230" s="2">
        <v>0</v>
      </c>
      <c r="K230" s="2">
        <v>3.97</v>
      </c>
      <c r="L230" s="158">
        <v>0</v>
      </c>
      <c r="M230" s="158">
        <v>1</v>
      </c>
      <c r="N230" s="2"/>
      <c r="O230"/>
      <c r="P230"/>
      <c r="Q230"/>
    </row>
    <row r="231" spans="1:17" x14ac:dyDescent="0.25">
      <c r="A231" s="2">
        <v>540152</v>
      </c>
      <c r="B231" s="2" t="s">
        <v>229</v>
      </c>
      <c r="C231" s="2" t="s">
        <v>65</v>
      </c>
      <c r="D231" s="2" t="s">
        <v>115</v>
      </c>
      <c r="E231" s="2">
        <v>10</v>
      </c>
      <c r="F231" s="2">
        <v>23.31</v>
      </c>
      <c r="G231" s="2">
        <v>0.4</v>
      </c>
      <c r="H231" s="2">
        <v>23.31</v>
      </c>
      <c r="I231" s="2">
        <v>0</v>
      </c>
      <c r="J231" s="2">
        <v>0</v>
      </c>
      <c r="K231" s="2">
        <v>23.7</v>
      </c>
      <c r="L231" s="158">
        <v>0.98329999999999995</v>
      </c>
      <c r="M231" s="158">
        <v>1.67E-2</v>
      </c>
      <c r="N231" s="2"/>
      <c r="O231"/>
      <c r="P231"/>
      <c r="Q231"/>
    </row>
    <row r="232" spans="1:17" x14ac:dyDescent="0.25">
      <c r="A232" s="2">
        <v>540275</v>
      </c>
      <c r="B232" s="2" t="s">
        <v>318</v>
      </c>
      <c r="C232" s="2" t="s">
        <v>65</v>
      </c>
      <c r="D232" s="2" t="s">
        <v>115</v>
      </c>
      <c r="E232" s="2">
        <v>10</v>
      </c>
      <c r="F232" s="2">
        <v>0</v>
      </c>
      <c r="G232" s="2">
        <v>0</v>
      </c>
      <c r="H232" s="2">
        <v>0</v>
      </c>
      <c r="I232" s="2">
        <v>0</v>
      </c>
      <c r="J232" s="2">
        <v>0</v>
      </c>
      <c r="K232" s="2">
        <v>0</v>
      </c>
      <c r="L232" s="2" t="s">
        <v>488</v>
      </c>
      <c r="M232" s="2" t="s">
        <v>488</v>
      </c>
      <c r="N232" s="2"/>
      <c r="O232"/>
      <c r="P232"/>
      <c r="Q232"/>
    </row>
    <row r="233" spans="1:17" x14ac:dyDescent="0.25">
      <c r="A233" s="2">
        <v>540149</v>
      </c>
      <c r="B233" s="2" t="s">
        <v>64</v>
      </c>
      <c r="C233" s="2" t="s">
        <v>65</v>
      </c>
      <c r="D233" s="2" t="s">
        <v>5</v>
      </c>
      <c r="E233" s="2">
        <v>10</v>
      </c>
      <c r="F233" s="2">
        <v>5.26</v>
      </c>
      <c r="G233" s="2">
        <v>36.700000000000003</v>
      </c>
      <c r="H233" s="2">
        <v>5.26</v>
      </c>
      <c r="I233" s="2">
        <v>0</v>
      </c>
      <c r="J233" s="2">
        <v>0</v>
      </c>
      <c r="K233" s="2">
        <v>41.96</v>
      </c>
      <c r="L233" s="158">
        <v>0.12529999999999999</v>
      </c>
      <c r="M233" s="158">
        <v>0.87470000000000003</v>
      </c>
      <c r="N233" s="2"/>
      <c r="O233"/>
      <c r="P233"/>
      <c r="Q233"/>
    </row>
    <row r="234" spans="1:17" x14ac:dyDescent="0.25">
      <c r="A234" s="255"/>
      <c r="B234" s="255"/>
      <c r="C234" s="255" t="s">
        <v>65</v>
      </c>
      <c r="D234" s="255"/>
      <c r="E234" s="255"/>
      <c r="F234" s="255">
        <v>31.83</v>
      </c>
      <c r="G234" s="255">
        <v>0</v>
      </c>
      <c r="H234" s="255">
        <v>0</v>
      </c>
      <c r="I234" s="255">
        <v>31.83</v>
      </c>
      <c r="J234" s="255">
        <v>42.13</v>
      </c>
      <c r="K234" s="255">
        <v>73.959999999999994</v>
      </c>
      <c r="L234" s="256">
        <v>0.4304</v>
      </c>
      <c r="M234" s="256">
        <v>0.5696</v>
      </c>
      <c r="N234" s="255">
        <v>53</v>
      </c>
      <c r="O234"/>
      <c r="P234"/>
      <c r="Q234"/>
    </row>
    <row r="235" spans="1:17" x14ac:dyDescent="0.25">
      <c r="A235" s="2">
        <v>540154</v>
      </c>
      <c r="B235" s="2" t="s">
        <v>230</v>
      </c>
      <c r="C235" s="2" t="s">
        <v>67</v>
      </c>
      <c r="D235" s="2" t="s">
        <v>115</v>
      </c>
      <c r="E235" s="2">
        <v>8</v>
      </c>
      <c r="F235" s="2">
        <v>0.06</v>
      </c>
      <c r="G235" s="2">
        <v>0</v>
      </c>
      <c r="H235" s="2">
        <v>0.06</v>
      </c>
      <c r="I235" s="2">
        <v>0</v>
      </c>
      <c r="J235" s="2">
        <v>0</v>
      </c>
      <c r="K235" s="2">
        <v>0.06</v>
      </c>
      <c r="L235" s="158">
        <v>1</v>
      </c>
      <c r="M235" s="158">
        <v>0</v>
      </c>
      <c r="N235" s="2"/>
      <c r="O235"/>
      <c r="P235"/>
      <c r="Q235"/>
    </row>
    <row r="236" spans="1:17" x14ac:dyDescent="0.25">
      <c r="A236" s="2">
        <v>540153</v>
      </c>
      <c r="B236" s="2" t="s">
        <v>66</v>
      </c>
      <c r="C236" s="2" t="s">
        <v>67</v>
      </c>
      <c r="D236" s="2" t="s">
        <v>5</v>
      </c>
      <c r="E236" s="2">
        <v>8</v>
      </c>
      <c r="F236" s="2">
        <v>3.05</v>
      </c>
      <c r="G236" s="2">
        <v>295.18</v>
      </c>
      <c r="H236" s="2">
        <v>3.05</v>
      </c>
      <c r="I236" s="2">
        <v>0</v>
      </c>
      <c r="J236" s="2">
        <v>0</v>
      </c>
      <c r="K236" s="2">
        <v>298.23</v>
      </c>
      <c r="L236" s="158">
        <v>1.0200000000000001E-2</v>
      </c>
      <c r="M236" s="158">
        <v>0.98980000000000001</v>
      </c>
      <c r="N236" s="2"/>
      <c r="O236"/>
      <c r="P236"/>
      <c r="Q236"/>
    </row>
    <row r="237" spans="1:17" x14ac:dyDescent="0.25">
      <c r="A237" s="255"/>
      <c r="B237" s="255"/>
      <c r="C237" s="255" t="s">
        <v>67</v>
      </c>
      <c r="D237" s="255"/>
      <c r="E237" s="255"/>
      <c r="F237" s="255">
        <v>3.11</v>
      </c>
      <c r="G237" s="255">
        <v>0</v>
      </c>
      <c r="H237" s="255">
        <v>0</v>
      </c>
      <c r="I237" s="255">
        <v>3.11</v>
      </c>
      <c r="J237" s="255">
        <v>295.18</v>
      </c>
      <c r="K237" s="255">
        <v>298.29000000000002</v>
      </c>
      <c r="L237" s="256">
        <v>1.04E-2</v>
      </c>
      <c r="M237" s="256">
        <v>0.98960000000000004</v>
      </c>
      <c r="N237" s="255">
        <v>15</v>
      </c>
      <c r="O237"/>
      <c r="P237"/>
      <c r="Q237"/>
    </row>
    <row r="238" spans="1:17" x14ac:dyDescent="0.25">
      <c r="A238" s="2">
        <v>540156</v>
      </c>
      <c r="B238" s="2" t="s">
        <v>232</v>
      </c>
      <c r="C238" s="2" t="s">
        <v>99</v>
      </c>
      <c r="D238" s="2" t="s">
        <v>115</v>
      </c>
      <c r="E238" s="2">
        <v>5</v>
      </c>
      <c r="F238" s="2">
        <v>0.65</v>
      </c>
      <c r="G238" s="2">
        <v>0</v>
      </c>
      <c r="H238" s="2">
        <v>0.65</v>
      </c>
      <c r="I238" s="2">
        <v>0</v>
      </c>
      <c r="J238" s="2">
        <v>0</v>
      </c>
      <c r="K238" s="2">
        <v>0.65</v>
      </c>
      <c r="L238" s="158">
        <v>1</v>
      </c>
      <c r="M238" s="158">
        <v>0</v>
      </c>
      <c r="N238" s="2"/>
      <c r="O238"/>
      <c r="P238"/>
      <c r="Q238"/>
    </row>
    <row r="239" spans="1:17" x14ac:dyDescent="0.25">
      <c r="A239" s="2">
        <v>540253</v>
      </c>
      <c r="B239" s="2" t="s">
        <v>299</v>
      </c>
      <c r="C239" s="2" t="s">
        <v>99</v>
      </c>
      <c r="D239" s="2" t="s">
        <v>115</v>
      </c>
      <c r="E239" s="2">
        <v>5</v>
      </c>
      <c r="F239" s="2">
        <v>0.32</v>
      </c>
      <c r="G239" s="2">
        <v>0</v>
      </c>
      <c r="H239" s="2">
        <v>0.32</v>
      </c>
      <c r="I239" s="2">
        <v>0</v>
      </c>
      <c r="J239" s="2">
        <v>0</v>
      </c>
      <c r="K239" s="2">
        <v>0.32</v>
      </c>
      <c r="L239" s="158">
        <v>1</v>
      </c>
      <c r="M239" s="158">
        <v>0</v>
      </c>
      <c r="N239" s="2"/>
      <c r="O239"/>
      <c r="P239"/>
      <c r="Q239"/>
    </row>
    <row r="240" spans="1:17" x14ac:dyDescent="0.25">
      <c r="A240" s="2">
        <v>540225</v>
      </c>
      <c r="B240" s="2" t="s">
        <v>98</v>
      </c>
      <c r="C240" s="2" t="s">
        <v>99</v>
      </c>
      <c r="D240" s="2" t="s">
        <v>5</v>
      </c>
      <c r="E240" s="2">
        <v>5</v>
      </c>
      <c r="F240" s="2">
        <v>56.48</v>
      </c>
      <c r="G240" s="2">
        <v>38.700000000000003</v>
      </c>
      <c r="H240" s="2">
        <v>56.48</v>
      </c>
      <c r="I240" s="2">
        <v>0</v>
      </c>
      <c r="J240" s="2">
        <v>0</v>
      </c>
      <c r="K240" s="2">
        <v>95.18</v>
      </c>
      <c r="L240" s="158">
        <v>0.59340000000000004</v>
      </c>
      <c r="M240" s="158">
        <v>0.40660000000000002</v>
      </c>
      <c r="N240" s="2"/>
      <c r="O240"/>
      <c r="P240"/>
      <c r="Q240"/>
    </row>
    <row r="241" spans="1:17" x14ac:dyDescent="0.25">
      <c r="A241" s="255"/>
      <c r="B241" s="255"/>
      <c r="C241" s="255" t="s">
        <v>99</v>
      </c>
      <c r="D241" s="255"/>
      <c r="E241" s="255"/>
      <c r="F241" s="255">
        <v>57.45</v>
      </c>
      <c r="G241" s="255">
        <v>0</v>
      </c>
      <c r="H241" s="255">
        <v>0</v>
      </c>
      <c r="I241" s="255">
        <v>57.45</v>
      </c>
      <c r="J241" s="255">
        <v>38.700000000000003</v>
      </c>
      <c r="K241" s="255">
        <v>96.15</v>
      </c>
      <c r="L241" s="256">
        <v>0.59750000000000003</v>
      </c>
      <c r="M241" s="256">
        <v>0.40250000000000002</v>
      </c>
      <c r="N241" s="255">
        <v>52</v>
      </c>
      <c r="O241"/>
      <c r="P241"/>
      <c r="Q241"/>
    </row>
    <row r="242" spans="1:17" x14ac:dyDescent="0.25">
      <c r="A242" s="2">
        <v>540158</v>
      </c>
      <c r="B242" s="2" t="s">
        <v>233</v>
      </c>
      <c r="C242" s="2" t="s">
        <v>109</v>
      </c>
      <c r="D242" s="2" t="s">
        <v>115</v>
      </c>
      <c r="E242" s="2">
        <v>4</v>
      </c>
      <c r="F242" s="2">
        <v>1.52</v>
      </c>
      <c r="G242" s="2">
        <v>0</v>
      </c>
      <c r="H242" s="2">
        <v>1.52</v>
      </c>
      <c r="I242" s="2">
        <v>0</v>
      </c>
      <c r="J242" s="2">
        <v>0</v>
      </c>
      <c r="K242" s="2">
        <v>1.52</v>
      </c>
      <c r="L242" s="158">
        <v>1</v>
      </c>
      <c r="M242" s="158">
        <v>0</v>
      </c>
      <c r="N242" s="2"/>
      <c r="O242"/>
      <c r="P242"/>
      <c r="Q242"/>
    </row>
    <row r="243" spans="1:17" x14ac:dyDescent="0.25">
      <c r="A243" s="2">
        <v>540159</v>
      </c>
      <c r="B243" s="2" t="s">
        <v>234</v>
      </c>
      <c r="C243" s="2" t="s">
        <v>109</v>
      </c>
      <c r="D243" s="2" t="s">
        <v>115</v>
      </c>
      <c r="E243" s="2">
        <v>4</v>
      </c>
      <c r="F243" s="2">
        <v>4.58</v>
      </c>
      <c r="G243" s="2">
        <v>1.9</v>
      </c>
      <c r="H243" s="2">
        <v>4.58</v>
      </c>
      <c r="I243" s="2">
        <v>0</v>
      </c>
      <c r="J243" s="2">
        <v>0</v>
      </c>
      <c r="K243" s="2">
        <v>6.47</v>
      </c>
      <c r="L243" s="158">
        <v>0.70660000000000001</v>
      </c>
      <c r="M243" s="158">
        <v>0.29339999999999999</v>
      </c>
      <c r="N243" s="2"/>
      <c r="O243"/>
      <c r="P243"/>
      <c r="Q243"/>
    </row>
    <row r="244" spans="1:17" x14ac:dyDescent="0.25">
      <c r="A244" s="2">
        <v>540288</v>
      </c>
      <c r="B244" s="2" t="s">
        <v>340</v>
      </c>
      <c r="C244" s="2" t="s">
        <v>109</v>
      </c>
      <c r="D244" s="2" t="s">
        <v>115</v>
      </c>
      <c r="E244" s="2">
        <v>4</v>
      </c>
      <c r="F244" s="2">
        <v>0</v>
      </c>
      <c r="G244" s="2">
        <v>0</v>
      </c>
      <c r="H244" s="2">
        <v>0</v>
      </c>
      <c r="I244" s="2">
        <v>0</v>
      </c>
      <c r="J244" s="2">
        <v>0</v>
      </c>
      <c r="K244" s="2">
        <v>0</v>
      </c>
      <c r="L244" s="2" t="s">
        <v>488</v>
      </c>
      <c r="M244" s="2" t="s">
        <v>488</v>
      </c>
      <c r="N244" s="2"/>
      <c r="O244"/>
      <c r="P244"/>
      <c r="Q244"/>
    </row>
    <row r="245" spans="1:17" x14ac:dyDescent="0.25">
      <c r="A245" s="2">
        <v>540283</v>
      </c>
      <c r="B245" s="2" t="s">
        <v>108</v>
      </c>
      <c r="C245" s="2" t="s">
        <v>109</v>
      </c>
      <c r="D245" s="2" t="s">
        <v>5</v>
      </c>
      <c r="E245" s="2">
        <v>4</v>
      </c>
      <c r="F245" s="2">
        <v>80.63</v>
      </c>
      <c r="G245" s="2">
        <v>287.62</v>
      </c>
      <c r="H245" s="2">
        <v>80.63</v>
      </c>
      <c r="I245" s="2">
        <v>0</v>
      </c>
      <c r="J245" s="2">
        <v>0</v>
      </c>
      <c r="K245" s="2">
        <v>368.25</v>
      </c>
      <c r="L245" s="158">
        <v>0.219</v>
      </c>
      <c r="M245" s="158">
        <v>0.78100000000000003</v>
      </c>
      <c r="N245" s="2"/>
      <c r="O245"/>
      <c r="P245"/>
      <c r="Q245"/>
    </row>
    <row r="246" spans="1:17" x14ac:dyDescent="0.25">
      <c r="A246" s="255"/>
      <c r="B246" s="255"/>
      <c r="C246" s="255" t="s">
        <v>109</v>
      </c>
      <c r="D246" s="255"/>
      <c r="E246" s="255"/>
      <c r="F246" s="255">
        <v>86.73</v>
      </c>
      <c r="G246" s="255">
        <v>0</v>
      </c>
      <c r="H246" s="255">
        <v>0</v>
      </c>
      <c r="I246" s="255">
        <v>86.73</v>
      </c>
      <c r="J246" s="255">
        <v>289.52</v>
      </c>
      <c r="K246" s="255">
        <v>376.25</v>
      </c>
      <c r="L246" s="256">
        <v>0.23050000000000001</v>
      </c>
      <c r="M246" s="256">
        <v>0.76949999999999996</v>
      </c>
      <c r="N246" s="255">
        <v>10</v>
      </c>
      <c r="O246"/>
      <c r="P246"/>
      <c r="Q246"/>
    </row>
    <row r="247" spans="1:17" x14ac:dyDescent="0.25">
      <c r="A247" s="2">
        <v>540137</v>
      </c>
      <c r="B247" s="2" t="s">
        <v>220</v>
      </c>
      <c r="C247" s="2" t="s">
        <v>69</v>
      </c>
      <c r="D247" s="2" t="s">
        <v>115</v>
      </c>
      <c r="E247" s="2">
        <v>6</v>
      </c>
      <c r="F247" s="2">
        <v>0</v>
      </c>
      <c r="G247" s="2">
        <v>0</v>
      </c>
      <c r="H247" s="2">
        <v>0</v>
      </c>
      <c r="I247" s="2">
        <v>0</v>
      </c>
      <c r="J247" s="2">
        <v>0</v>
      </c>
      <c r="K247" s="2">
        <v>0</v>
      </c>
      <c r="L247" s="2" t="s">
        <v>488</v>
      </c>
      <c r="M247" s="2" t="s">
        <v>488</v>
      </c>
      <c r="N247" s="2"/>
      <c r="O247"/>
      <c r="P247"/>
      <c r="Q247"/>
    </row>
    <row r="248" spans="1:17" x14ac:dyDescent="0.25">
      <c r="A248" s="2">
        <v>540161</v>
      </c>
      <c r="B248" s="2" t="s">
        <v>235</v>
      </c>
      <c r="C248" s="2" t="s">
        <v>69</v>
      </c>
      <c r="D248" s="2" t="s">
        <v>115</v>
      </c>
      <c r="E248" s="2">
        <v>6</v>
      </c>
      <c r="F248" s="2">
        <v>1.08</v>
      </c>
      <c r="G248" s="2">
        <v>0</v>
      </c>
      <c r="H248" s="2">
        <v>1.08</v>
      </c>
      <c r="I248" s="2">
        <v>0</v>
      </c>
      <c r="J248" s="2">
        <v>0</v>
      </c>
      <c r="K248" s="2">
        <v>1.08</v>
      </c>
      <c r="L248" s="158">
        <v>1</v>
      </c>
      <c r="M248" s="158">
        <v>0</v>
      </c>
      <c r="N248" s="2"/>
      <c r="O248"/>
      <c r="P248"/>
      <c r="Q248"/>
    </row>
    <row r="249" spans="1:17" x14ac:dyDescent="0.25">
      <c r="A249" s="2">
        <v>540162</v>
      </c>
      <c r="B249" s="2" t="s">
        <v>236</v>
      </c>
      <c r="C249" s="2" t="s">
        <v>69</v>
      </c>
      <c r="D249" s="2" t="s">
        <v>115</v>
      </c>
      <c r="E249" s="2">
        <v>6</v>
      </c>
      <c r="F249" s="2">
        <v>0.34</v>
      </c>
      <c r="G249" s="2">
        <v>0</v>
      </c>
      <c r="H249" s="2">
        <v>0.34</v>
      </c>
      <c r="I249" s="2">
        <v>0</v>
      </c>
      <c r="J249" s="2">
        <v>0</v>
      </c>
      <c r="K249" s="2">
        <v>0.34</v>
      </c>
      <c r="L249" s="158">
        <v>1</v>
      </c>
      <c r="M249" s="158">
        <v>0</v>
      </c>
      <c r="N249" s="2"/>
      <c r="O249"/>
      <c r="P249"/>
      <c r="Q249"/>
    </row>
    <row r="250" spans="1:17" x14ac:dyDescent="0.25">
      <c r="A250" s="2">
        <v>540163</v>
      </c>
      <c r="B250" s="2" t="s">
        <v>237</v>
      </c>
      <c r="C250" s="2" t="s">
        <v>69</v>
      </c>
      <c r="D250" s="2" t="s">
        <v>115</v>
      </c>
      <c r="E250" s="2">
        <v>6</v>
      </c>
      <c r="F250" s="2">
        <v>2.99</v>
      </c>
      <c r="G250" s="2">
        <v>0</v>
      </c>
      <c r="H250" s="2">
        <v>2.99</v>
      </c>
      <c r="I250" s="2">
        <v>0</v>
      </c>
      <c r="J250" s="2">
        <v>0</v>
      </c>
      <c r="K250" s="2">
        <v>2.99</v>
      </c>
      <c r="L250" s="158">
        <v>1</v>
      </c>
      <c r="M250" s="158">
        <v>0</v>
      </c>
      <c r="N250" s="2"/>
      <c r="O250"/>
      <c r="P250"/>
      <c r="Q250"/>
    </row>
    <row r="251" spans="1:17" x14ac:dyDescent="0.25">
      <c r="A251" s="2">
        <v>540254</v>
      </c>
      <c r="B251" s="2" t="s">
        <v>300</v>
      </c>
      <c r="C251" s="2" t="s">
        <v>69</v>
      </c>
      <c r="D251" s="2" t="s">
        <v>115</v>
      </c>
      <c r="E251" s="2">
        <v>6</v>
      </c>
      <c r="F251" s="2">
        <v>0</v>
      </c>
      <c r="G251" s="2">
        <v>1.04</v>
      </c>
      <c r="H251" s="2">
        <v>0</v>
      </c>
      <c r="I251" s="2">
        <v>0</v>
      </c>
      <c r="J251" s="2">
        <v>0</v>
      </c>
      <c r="K251" s="2">
        <v>1.04</v>
      </c>
      <c r="L251" s="158">
        <v>0</v>
      </c>
      <c r="M251" s="158">
        <v>1</v>
      </c>
      <c r="N251" s="2"/>
      <c r="O251"/>
      <c r="P251"/>
      <c r="Q251"/>
    </row>
    <row r="252" spans="1:17" x14ac:dyDescent="0.25">
      <c r="A252" s="2">
        <v>540257</v>
      </c>
      <c r="B252" s="2" t="s">
        <v>302</v>
      </c>
      <c r="C252" s="2" t="s">
        <v>69</v>
      </c>
      <c r="D252" s="2" t="s">
        <v>115</v>
      </c>
      <c r="E252" s="2">
        <v>6</v>
      </c>
      <c r="F252" s="2">
        <v>0</v>
      </c>
      <c r="G252" s="2">
        <v>1.29</v>
      </c>
      <c r="H252" s="2">
        <v>0</v>
      </c>
      <c r="I252" s="2">
        <v>0</v>
      </c>
      <c r="J252" s="2">
        <v>0</v>
      </c>
      <c r="K252" s="2">
        <v>1.29</v>
      </c>
      <c r="L252" s="158">
        <v>0</v>
      </c>
      <c r="M252" s="158">
        <v>1</v>
      </c>
      <c r="N252" s="2"/>
      <c r="O252"/>
      <c r="P252"/>
      <c r="Q252"/>
    </row>
    <row r="253" spans="1:17" x14ac:dyDescent="0.25">
      <c r="A253" s="2">
        <v>540268</v>
      </c>
      <c r="B253" s="2" t="s">
        <v>311</v>
      </c>
      <c r="C253" s="2" t="s">
        <v>69</v>
      </c>
      <c r="D253" s="2" t="s">
        <v>115</v>
      </c>
      <c r="E253" s="2">
        <v>6</v>
      </c>
      <c r="F253" s="2">
        <v>0</v>
      </c>
      <c r="G253" s="2">
        <v>1.45</v>
      </c>
      <c r="H253" s="2">
        <v>0</v>
      </c>
      <c r="I253" s="2">
        <v>0</v>
      </c>
      <c r="J253" s="2">
        <v>0</v>
      </c>
      <c r="K253" s="2">
        <v>1.45</v>
      </c>
      <c r="L253" s="158">
        <v>0</v>
      </c>
      <c r="M253" s="158">
        <v>1</v>
      </c>
      <c r="N253" s="2"/>
      <c r="O253"/>
      <c r="P253"/>
      <c r="Q253"/>
    </row>
    <row r="254" spans="1:17" x14ac:dyDescent="0.25">
      <c r="A254" s="2">
        <v>540269</v>
      </c>
      <c r="B254" s="2" t="s">
        <v>312</v>
      </c>
      <c r="C254" s="2" t="s">
        <v>69</v>
      </c>
      <c r="D254" s="2" t="s">
        <v>115</v>
      </c>
      <c r="E254" s="2">
        <v>6</v>
      </c>
      <c r="F254" s="2">
        <v>0</v>
      </c>
      <c r="G254" s="2">
        <v>0</v>
      </c>
      <c r="H254" s="2">
        <v>0</v>
      </c>
      <c r="I254" s="2">
        <v>0</v>
      </c>
      <c r="J254" s="2">
        <v>0</v>
      </c>
      <c r="K254" s="2">
        <v>0</v>
      </c>
      <c r="L254" s="2" t="s">
        <v>488</v>
      </c>
      <c r="M254" s="2" t="s">
        <v>488</v>
      </c>
      <c r="N254" s="2"/>
      <c r="O254"/>
      <c r="P254"/>
      <c r="Q254"/>
    </row>
    <row r="255" spans="1:17" x14ac:dyDescent="0.25">
      <c r="A255" s="2">
        <v>540270</v>
      </c>
      <c r="B255" s="2" t="s">
        <v>313</v>
      </c>
      <c r="C255" s="2" t="s">
        <v>69</v>
      </c>
      <c r="D255" s="2" t="s">
        <v>115</v>
      </c>
      <c r="E255" s="2">
        <v>6</v>
      </c>
      <c r="F255" s="2">
        <v>0</v>
      </c>
      <c r="G255" s="2">
        <v>0</v>
      </c>
      <c r="H255" s="2">
        <v>0</v>
      </c>
      <c r="I255" s="2">
        <v>0</v>
      </c>
      <c r="J255" s="2">
        <v>0</v>
      </c>
      <c r="K255" s="2">
        <v>0</v>
      </c>
      <c r="L255" s="2" t="s">
        <v>488</v>
      </c>
      <c r="M255" s="2" t="s">
        <v>488</v>
      </c>
      <c r="N255" s="2"/>
      <c r="O255"/>
      <c r="P255"/>
      <c r="Q255"/>
    </row>
    <row r="256" spans="1:17" x14ac:dyDescent="0.25">
      <c r="A256" s="2">
        <v>540284</v>
      </c>
      <c r="B256" s="2" t="s">
        <v>323</v>
      </c>
      <c r="C256" s="2" t="s">
        <v>69</v>
      </c>
      <c r="D256" s="2" t="s">
        <v>115</v>
      </c>
      <c r="E256" s="2">
        <v>6</v>
      </c>
      <c r="F256" s="2">
        <v>0.4</v>
      </c>
      <c r="G256" s="2">
        <v>0</v>
      </c>
      <c r="H256" s="2">
        <v>0.4</v>
      </c>
      <c r="I256" s="2">
        <v>0</v>
      </c>
      <c r="J256" s="2">
        <v>0</v>
      </c>
      <c r="K256" s="2">
        <v>0.4</v>
      </c>
      <c r="L256" s="158">
        <v>1</v>
      </c>
      <c r="M256" s="158">
        <v>0</v>
      </c>
      <c r="N256" s="2"/>
      <c r="O256"/>
      <c r="P256"/>
      <c r="Q256"/>
    </row>
    <row r="257" spans="1:17" x14ac:dyDescent="0.25">
      <c r="A257" s="2">
        <v>540160</v>
      </c>
      <c r="B257" s="2" t="s">
        <v>68</v>
      </c>
      <c r="C257" s="2" t="s">
        <v>69</v>
      </c>
      <c r="D257" s="2" t="s">
        <v>5</v>
      </c>
      <c r="E257" s="2">
        <v>6</v>
      </c>
      <c r="F257" s="2">
        <v>122.03</v>
      </c>
      <c r="G257" s="2">
        <v>152.75</v>
      </c>
      <c r="H257" s="2">
        <v>122.03</v>
      </c>
      <c r="I257" s="2">
        <v>0</v>
      </c>
      <c r="J257" s="2">
        <v>0</v>
      </c>
      <c r="K257" s="2">
        <v>274.77999999999997</v>
      </c>
      <c r="L257" s="158">
        <v>0.44409999999999999</v>
      </c>
      <c r="M257" s="158">
        <v>0.55589999999999995</v>
      </c>
      <c r="N257" s="2"/>
      <c r="O257"/>
      <c r="P257"/>
      <c r="Q257"/>
    </row>
    <row r="258" spans="1:17" x14ac:dyDescent="0.25">
      <c r="A258" s="255"/>
      <c r="B258" s="255"/>
      <c r="C258" s="255" t="s">
        <v>69</v>
      </c>
      <c r="D258" s="255"/>
      <c r="E258" s="255"/>
      <c r="F258" s="255">
        <v>126.84</v>
      </c>
      <c r="G258" s="255">
        <v>0</v>
      </c>
      <c r="H258" s="255">
        <v>0</v>
      </c>
      <c r="I258" s="255">
        <v>126.84</v>
      </c>
      <c r="J258" s="255">
        <v>156.54</v>
      </c>
      <c r="K258" s="255">
        <v>283.38</v>
      </c>
      <c r="L258" s="256">
        <v>0.4476</v>
      </c>
      <c r="M258" s="256">
        <v>0.5524</v>
      </c>
      <c r="N258" s="255">
        <v>19</v>
      </c>
      <c r="O258"/>
      <c r="P258"/>
      <c r="Q258"/>
    </row>
    <row r="259" spans="1:17" x14ac:dyDescent="0.25">
      <c r="A259" s="2">
        <v>540081</v>
      </c>
      <c r="B259" s="2" t="s">
        <v>176</v>
      </c>
      <c r="C259" s="2" t="s">
        <v>71</v>
      </c>
      <c r="D259" s="2" t="s">
        <v>115</v>
      </c>
      <c r="E259" s="2">
        <v>3</v>
      </c>
      <c r="F259" s="2">
        <v>1.73</v>
      </c>
      <c r="G259" s="2">
        <v>0</v>
      </c>
      <c r="H259" s="2">
        <v>1.73</v>
      </c>
      <c r="I259" s="2">
        <v>0</v>
      </c>
      <c r="J259" s="2">
        <v>0</v>
      </c>
      <c r="K259" s="2">
        <v>1.73</v>
      </c>
      <c r="L259" s="158">
        <v>1</v>
      </c>
      <c r="M259" s="158">
        <v>0</v>
      </c>
      <c r="N259" s="2"/>
      <c r="O259"/>
      <c r="P259"/>
      <c r="Q259"/>
    </row>
    <row r="260" spans="1:17" x14ac:dyDescent="0.25">
      <c r="A260" s="2">
        <v>540165</v>
      </c>
      <c r="B260" s="2" t="s">
        <v>238</v>
      </c>
      <c r="C260" s="2" t="s">
        <v>71</v>
      </c>
      <c r="D260" s="2" t="s">
        <v>115</v>
      </c>
      <c r="E260" s="2">
        <v>3</v>
      </c>
      <c r="F260" s="2">
        <v>0</v>
      </c>
      <c r="G260" s="2">
        <v>0</v>
      </c>
      <c r="H260" s="2">
        <v>0</v>
      </c>
      <c r="I260" s="2">
        <v>0</v>
      </c>
      <c r="J260" s="2">
        <v>0</v>
      </c>
      <c r="K260" s="2">
        <v>0</v>
      </c>
      <c r="L260" s="2" t="s">
        <v>488</v>
      </c>
      <c r="M260" s="2" t="s">
        <v>488</v>
      </c>
      <c r="N260" s="2"/>
      <c r="O260"/>
      <c r="P260"/>
      <c r="Q260"/>
    </row>
    <row r="261" spans="1:17" x14ac:dyDescent="0.25">
      <c r="A261" s="2">
        <v>540166</v>
      </c>
      <c r="B261" s="2" t="s">
        <v>239</v>
      </c>
      <c r="C261" s="2" t="s">
        <v>71</v>
      </c>
      <c r="D261" s="2" t="s">
        <v>115</v>
      </c>
      <c r="E261" s="2">
        <v>3</v>
      </c>
      <c r="F261" s="2">
        <v>5.19</v>
      </c>
      <c r="G261" s="2">
        <v>0</v>
      </c>
      <c r="H261" s="2">
        <v>5.19</v>
      </c>
      <c r="I261" s="2">
        <v>0</v>
      </c>
      <c r="J261" s="2">
        <v>0</v>
      </c>
      <c r="K261" s="2">
        <v>5.19</v>
      </c>
      <c r="L261" s="158">
        <v>1</v>
      </c>
      <c r="M261" s="158">
        <v>0</v>
      </c>
      <c r="N261" s="2"/>
      <c r="O261"/>
      <c r="P261"/>
      <c r="Q261"/>
    </row>
    <row r="262" spans="1:17" x14ac:dyDescent="0.25">
      <c r="A262" s="2">
        <v>540167</v>
      </c>
      <c r="B262" s="2" t="s">
        <v>240</v>
      </c>
      <c r="C262" s="2" t="s">
        <v>71</v>
      </c>
      <c r="D262" s="2" t="s">
        <v>115</v>
      </c>
      <c r="E262" s="2">
        <v>3</v>
      </c>
      <c r="F262" s="2">
        <v>3.47</v>
      </c>
      <c r="G262" s="2">
        <v>0.31</v>
      </c>
      <c r="H262" s="2">
        <v>3.47</v>
      </c>
      <c r="I262" s="2">
        <v>0</v>
      </c>
      <c r="J262" s="2">
        <v>0</v>
      </c>
      <c r="K262" s="2">
        <v>3.78</v>
      </c>
      <c r="L262" s="158">
        <v>0.91710000000000003</v>
      </c>
      <c r="M262" s="158">
        <v>8.2900000000000001E-2</v>
      </c>
      <c r="N262" s="2"/>
      <c r="O262"/>
      <c r="P262"/>
      <c r="Q262"/>
    </row>
    <row r="263" spans="1:17" x14ac:dyDescent="0.25">
      <c r="A263" s="2">
        <v>540168</v>
      </c>
      <c r="B263" s="2" t="s">
        <v>241</v>
      </c>
      <c r="C263" s="2" t="s">
        <v>71</v>
      </c>
      <c r="D263" s="2" t="s">
        <v>115</v>
      </c>
      <c r="E263" s="2">
        <v>3</v>
      </c>
      <c r="F263" s="2">
        <v>3.39</v>
      </c>
      <c r="G263" s="2">
        <v>0</v>
      </c>
      <c r="H263" s="2">
        <v>3.39</v>
      </c>
      <c r="I263" s="2">
        <v>0</v>
      </c>
      <c r="J263" s="2">
        <v>0</v>
      </c>
      <c r="K263" s="2">
        <v>3.39</v>
      </c>
      <c r="L263" s="158">
        <v>1</v>
      </c>
      <c r="M263" s="158">
        <v>0</v>
      </c>
      <c r="N263" s="2"/>
      <c r="O263"/>
      <c r="P263"/>
      <c r="Q263"/>
    </row>
    <row r="264" spans="1:17" x14ac:dyDescent="0.25">
      <c r="A264" s="2">
        <v>540222</v>
      </c>
      <c r="B264" s="2" t="s">
        <v>276</v>
      </c>
      <c r="C264" s="2" t="s">
        <v>71</v>
      </c>
      <c r="D264" s="2" t="s">
        <v>115</v>
      </c>
      <c r="E264" s="2">
        <v>3</v>
      </c>
      <c r="F264" s="2">
        <v>2.12</v>
      </c>
      <c r="G264" s="2">
        <v>0</v>
      </c>
      <c r="H264" s="2">
        <v>2.12</v>
      </c>
      <c r="I264" s="2">
        <v>0</v>
      </c>
      <c r="J264" s="2">
        <v>0</v>
      </c>
      <c r="K264" s="2">
        <v>2.12</v>
      </c>
      <c r="L264" s="158">
        <v>1</v>
      </c>
      <c r="M264" s="158">
        <v>0</v>
      </c>
      <c r="N264" s="2"/>
      <c r="O264"/>
      <c r="P264"/>
      <c r="Q264"/>
    </row>
    <row r="265" spans="1:17" x14ac:dyDescent="0.25">
      <c r="A265" s="2">
        <v>540271</v>
      </c>
      <c r="B265" s="2" t="s">
        <v>314</v>
      </c>
      <c r="C265" s="2" t="s">
        <v>71</v>
      </c>
      <c r="D265" s="2" t="s">
        <v>115</v>
      </c>
      <c r="E265" s="2">
        <v>3</v>
      </c>
      <c r="F265" s="2">
        <v>0.82</v>
      </c>
      <c r="G265" s="2">
        <v>0</v>
      </c>
      <c r="H265" s="2">
        <v>0.82</v>
      </c>
      <c r="I265" s="2">
        <v>0</v>
      </c>
      <c r="J265" s="2">
        <v>0</v>
      </c>
      <c r="K265" s="2">
        <v>0.82</v>
      </c>
      <c r="L265" s="158">
        <v>1</v>
      </c>
      <c r="M265" s="158">
        <v>0</v>
      </c>
      <c r="N265" s="2"/>
      <c r="O265"/>
      <c r="P265"/>
      <c r="Q265"/>
    </row>
    <row r="266" spans="1:17" x14ac:dyDescent="0.25">
      <c r="A266" s="2">
        <v>540164</v>
      </c>
      <c r="B266" s="2" t="s">
        <v>70</v>
      </c>
      <c r="C266" s="2" t="s">
        <v>71</v>
      </c>
      <c r="D266" s="2" t="s">
        <v>5</v>
      </c>
      <c r="E266" s="2">
        <v>3</v>
      </c>
      <c r="F266" s="2">
        <v>121.41</v>
      </c>
      <c r="G266" s="2">
        <v>120.59</v>
      </c>
      <c r="H266" s="2">
        <v>121.41</v>
      </c>
      <c r="I266" s="2">
        <v>0</v>
      </c>
      <c r="J266" s="2">
        <v>0</v>
      </c>
      <c r="K266" s="2">
        <v>241.99</v>
      </c>
      <c r="L266" s="158">
        <v>0.50170000000000003</v>
      </c>
      <c r="M266" s="158">
        <v>0.49830000000000002</v>
      </c>
      <c r="N266" s="2"/>
      <c r="O266"/>
      <c r="P266"/>
      <c r="Q266"/>
    </row>
    <row r="267" spans="1:17" x14ac:dyDescent="0.25">
      <c r="A267" s="255"/>
      <c r="B267" s="255"/>
      <c r="C267" s="255" t="s">
        <v>71</v>
      </c>
      <c r="D267" s="255"/>
      <c r="E267" s="255"/>
      <c r="F267" s="255">
        <v>138.12</v>
      </c>
      <c r="G267" s="255">
        <v>0</v>
      </c>
      <c r="H267" s="255">
        <v>0</v>
      </c>
      <c r="I267" s="255">
        <v>138.12</v>
      </c>
      <c r="J267" s="255">
        <v>120.9</v>
      </c>
      <c r="K267" s="255">
        <v>259.02</v>
      </c>
      <c r="L267" s="256">
        <v>0.53320000000000001</v>
      </c>
      <c r="M267" s="256">
        <v>0.46679999999999999</v>
      </c>
      <c r="N267" s="255">
        <v>24</v>
      </c>
      <c r="O267"/>
      <c r="P267"/>
      <c r="Q267"/>
    </row>
    <row r="268" spans="1:17" x14ac:dyDescent="0.25">
      <c r="A268" s="2">
        <v>540170</v>
      </c>
      <c r="B268" s="2" t="s">
        <v>242</v>
      </c>
      <c r="C268" s="2" t="s">
        <v>73</v>
      </c>
      <c r="D268" s="2" t="s">
        <v>115</v>
      </c>
      <c r="E268" s="2">
        <v>1</v>
      </c>
      <c r="F268" s="2">
        <v>3.07</v>
      </c>
      <c r="G268" s="2">
        <v>0.53</v>
      </c>
      <c r="H268" s="2">
        <v>3.07</v>
      </c>
      <c r="I268" s="2">
        <v>0</v>
      </c>
      <c r="J268" s="2">
        <v>0</v>
      </c>
      <c r="K268" s="2">
        <v>3.6</v>
      </c>
      <c r="L268" s="158">
        <v>0.85170000000000001</v>
      </c>
      <c r="M268" s="158">
        <v>0.14829999999999999</v>
      </c>
      <c r="N268" s="2"/>
      <c r="O268"/>
      <c r="P268"/>
      <c r="Q268"/>
    </row>
    <row r="269" spans="1:17" x14ac:dyDescent="0.25">
      <c r="A269" s="2">
        <v>540171</v>
      </c>
      <c r="B269" s="2" t="s">
        <v>243</v>
      </c>
      <c r="C269" s="2" t="s">
        <v>73</v>
      </c>
      <c r="D269" s="2" t="s">
        <v>115</v>
      </c>
      <c r="E269" s="2">
        <v>1</v>
      </c>
      <c r="F269" s="2">
        <v>0</v>
      </c>
      <c r="G269" s="2">
        <v>2.31</v>
      </c>
      <c r="H269" s="2">
        <v>0</v>
      </c>
      <c r="I269" s="2">
        <v>0</v>
      </c>
      <c r="J269" s="2">
        <v>0</v>
      </c>
      <c r="K269" s="2">
        <v>2.31</v>
      </c>
      <c r="L269" s="158">
        <v>0</v>
      </c>
      <c r="M269" s="158">
        <v>1</v>
      </c>
      <c r="N269" s="2"/>
      <c r="O269"/>
      <c r="P269"/>
      <c r="Q269"/>
    </row>
    <row r="270" spans="1:17" x14ac:dyDescent="0.25">
      <c r="A270" s="2">
        <v>540173</v>
      </c>
      <c r="B270" s="2" t="s">
        <v>245</v>
      </c>
      <c r="C270" s="2" t="s">
        <v>73</v>
      </c>
      <c r="D270" s="2" t="s">
        <v>115</v>
      </c>
      <c r="E270" s="2">
        <v>1</v>
      </c>
      <c r="F270" s="2">
        <v>0</v>
      </c>
      <c r="G270" s="2">
        <v>1.42</v>
      </c>
      <c r="H270" s="2">
        <v>0</v>
      </c>
      <c r="I270" s="2">
        <v>0</v>
      </c>
      <c r="J270" s="2">
        <v>0</v>
      </c>
      <c r="K270" s="2">
        <v>1.42</v>
      </c>
      <c r="L270" s="158">
        <v>0</v>
      </c>
      <c r="M270" s="158">
        <v>1</v>
      </c>
      <c r="N270" s="2"/>
      <c r="O270"/>
      <c r="P270"/>
      <c r="Q270"/>
    </row>
    <row r="271" spans="1:17" x14ac:dyDescent="0.25">
      <c r="A271" s="2">
        <v>540174</v>
      </c>
      <c r="B271" s="2" t="s">
        <v>246</v>
      </c>
      <c r="C271" s="2" t="s">
        <v>73</v>
      </c>
      <c r="D271" s="2" t="s">
        <v>115</v>
      </c>
      <c r="E271" s="2">
        <v>1</v>
      </c>
      <c r="F271" s="2">
        <v>0.82</v>
      </c>
      <c r="G271" s="2">
        <v>0.2</v>
      </c>
      <c r="H271" s="2">
        <v>0.82</v>
      </c>
      <c r="I271" s="2">
        <v>0</v>
      </c>
      <c r="J271" s="2">
        <v>0</v>
      </c>
      <c r="K271" s="2">
        <v>1.02</v>
      </c>
      <c r="L271" s="158">
        <v>0.80200000000000005</v>
      </c>
      <c r="M271" s="158">
        <v>0.19800000000000001</v>
      </c>
      <c r="N271" s="2"/>
      <c r="O271"/>
      <c r="P271"/>
      <c r="Q271"/>
    </row>
    <row r="272" spans="1:17" x14ac:dyDescent="0.25">
      <c r="A272" s="2">
        <v>540286</v>
      </c>
      <c r="B272" s="2" t="s">
        <v>325</v>
      </c>
      <c r="C272" s="2" t="s">
        <v>73</v>
      </c>
      <c r="D272" s="2" t="s">
        <v>115</v>
      </c>
      <c r="E272" s="2">
        <v>1</v>
      </c>
      <c r="F272" s="2">
        <v>1.39</v>
      </c>
      <c r="G272" s="2">
        <v>0</v>
      </c>
      <c r="H272" s="2">
        <v>1.39</v>
      </c>
      <c r="I272" s="2">
        <v>0</v>
      </c>
      <c r="J272" s="2">
        <v>0</v>
      </c>
      <c r="K272" s="2">
        <v>1.39</v>
      </c>
      <c r="L272" s="158">
        <v>1</v>
      </c>
      <c r="M272" s="158">
        <v>0</v>
      </c>
      <c r="N272" s="2"/>
      <c r="O272"/>
      <c r="P272"/>
      <c r="Q272"/>
    </row>
    <row r="273" spans="1:17" x14ac:dyDescent="0.25">
      <c r="A273" s="2">
        <v>540169</v>
      </c>
      <c r="B273" s="2" t="s">
        <v>72</v>
      </c>
      <c r="C273" s="2" t="s">
        <v>73</v>
      </c>
      <c r="D273" s="2" t="s">
        <v>5</v>
      </c>
      <c r="E273" s="2">
        <v>1</v>
      </c>
      <c r="F273" s="2">
        <v>97.64</v>
      </c>
      <c r="G273" s="2">
        <v>198.13</v>
      </c>
      <c r="H273" s="2">
        <v>97.64</v>
      </c>
      <c r="I273" s="2">
        <v>0</v>
      </c>
      <c r="J273" s="2">
        <v>0</v>
      </c>
      <c r="K273" s="2">
        <v>295.76</v>
      </c>
      <c r="L273" s="158">
        <v>0.3301</v>
      </c>
      <c r="M273" s="158">
        <v>0.66990000000000005</v>
      </c>
      <c r="N273" s="2"/>
      <c r="O273"/>
      <c r="P273"/>
      <c r="Q273"/>
    </row>
    <row r="274" spans="1:17" x14ac:dyDescent="0.25">
      <c r="A274" s="255"/>
      <c r="B274" s="255"/>
      <c r="C274" s="255" t="s">
        <v>73</v>
      </c>
      <c r="D274" s="255"/>
      <c r="E274" s="255"/>
      <c r="F274" s="255">
        <v>102.9</v>
      </c>
      <c r="G274" s="255">
        <v>0</v>
      </c>
      <c r="H274" s="255">
        <v>0</v>
      </c>
      <c r="I274" s="255">
        <v>102.9</v>
      </c>
      <c r="J274" s="255">
        <v>202.59</v>
      </c>
      <c r="K274" s="255">
        <v>305.49</v>
      </c>
      <c r="L274" s="256">
        <v>0.33679999999999999</v>
      </c>
      <c r="M274" s="256">
        <v>0.66320000000000001</v>
      </c>
      <c r="N274" s="255">
        <v>13</v>
      </c>
      <c r="O274"/>
      <c r="P274"/>
      <c r="Q274"/>
    </row>
    <row r="275" spans="1:17" x14ac:dyDescent="0.25">
      <c r="A275" s="2">
        <v>540176</v>
      </c>
      <c r="B275" s="2" t="s">
        <v>247</v>
      </c>
      <c r="C275" s="2" t="s">
        <v>75</v>
      </c>
      <c r="D275" s="2" t="s">
        <v>115</v>
      </c>
      <c r="E275" s="2">
        <v>7</v>
      </c>
      <c r="F275" s="2">
        <v>0</v>
      </c>
      <c r="G275" s="2">
        <v>1.59</v>
      </c>
      <c r="H275" s="2">
        <v>0</v>
      </c>
      <c r="I275" s="2">
        <v>0</v>
      </c>
      <c r="J275" s="2">
        <v>0</v>
      </c>
      <c r="K275" s="2">
        <v>1.59</v>
      </c>
      <c r="L275" s="158">
        <v>0</v>
      </c>
      <c r="M275" s="158">
        <v>1</v>
      </c>
      <c r="N275" s="2"/>
      <c r="O275"/>
      <c r="P275"/>
      <c r="Q275"/>
    </row>
    <row r="276" spans="1:17" x14ac:dyDescent="0.25">
      <c r="A276" s="2">
        <v>540177</v>
      </c>
      <c r="B276" s="2" t="s">
        <v>248</v>
      </c>
      <c r="C276" s="2" t="s">
        <v>75</v>
      </c>
      <c r="D276" s="2" t="s">
        <v>115</v>
      </c>
      <c r="E276" s="2">
        <v>7</v>
      </c>
      <c r="F276" s="2">
        <v>5.57</v>
      </c>
      <c r="G276" s="2">
        <v>1.17</v>
      </c>
      <c r="H276" s="2">
        <v>5.57</v>
      </c>
      <c r="I276" s="2">
        <v>0</v>
      </c>
      <c r="J276" s="2">
        <v>0</v>
      </c>
      <c r="K276" s="2">
        <v>6.74</v>
      </c>
      <c r="L276" s="158">
        <v>0.82609999999999995</v>
      </c>
      <c r="M276" s="158">
        <v>0.1739</v>
      </c>
      <c r="N276" s="2"/>
      <c r="O276"/>
      <c r="P276"/>
      <c r="Q276"/>
    </row>
    <row r="277" spans="1:17" x14ac:dyDescent="0.25">
      <c r="A277" s="2">
        <v>540178</v>
      </c>
      <c r="B277" s="2" t="s">
        <v>249</v>
      </c>
      <c r="C277" s="2" t="s">
        <v>75</v>
      </c>
      <c r="D277" s="2" t="s">
        <v>115</v>
      </c>
      <c r="E277" s="2">
        <v>7</v>
      </c>
      <c r="F277" s="2">
        <v>0</v>
      </c>
      <c r="G277" s="2">
        <v>1.44</v>
      </c>
      <c r="H277" s="2">
        <v>0</v>
      </c>
      <c r="I277" s="2">
        <v>0</v>
      </c>
      <c r="J277" s="2">
        <v>0</v>
      </c>
      <c r="K277" s="2">
        <v>1.44</v>
      </c>
      <c r="L277" s="158">
        <v>0</v>
      </c>
      <c r="M277" s="158">
        <v>1</v>
      </c>
      <c r="N277" s="2"/>
      <c r="O277"/>
      <c r="P277"/>
      <c r="Q277"/>
    </row>
    <row r="278" spans="1:17" x14ac:dyDescent="0.25">
      <c r="A278" s="2">
        <v>540264</v>
      </c>
      <c r="B278" s="2" t="s">
        <v>307</v>
      </c>
      <c r="C278" s="2" t="s">
        <v>75</v>
      </c>
      <c r="D278" s="2" t="s">
        <v>115</v>
      </c>
      <c r="E278" s="2">
        <v>7</v>
      </c>
      <c r="F278" s="2">
        <v>0</v>
      </c>
      <c r="G278" s="2">
        <v>0.81</v>
      </c>
      <c r="H278" s="2">
        <v>0</v>
      </c>
      <c r="I278" s="2">
        <v>0</v>
      </c>
      <c r="J278" s="2">
        <v>0</v>
      </c>
      <c r="K278" s="2">
        <v>0.81</v>
      </c>
      <c r="L278" s="158">
        <v>0</v>
      </c>
      <c r="M278" s="158">
        <v>1</v>
      </c>
      <c r="N278" s="2"/>
      <c r="O278"/>
      <c r="P278"/>
      <c r="Q278"/>
    </row>
    <row r="279" spans="1:17" x14ac:dyDescent="0.25">
      <c r="A279" s="2">
        <v>540265</v>
      </c>
      <c r="B279" s="2" t="s">
        <v>308</v>
      </c>
      <c r="C279" s="2" t="s">
        <v>75</v>
      </c>
      <c r="D279" s="2" t="s">
        <v>115</v>
      </c>
      <c r="E279" s="2">
        <v>7</v>
      </c>
      <c r="F279" s="2">
        <v>0</v>
      </c>
      <c r="G279" s="2">
        <v>2.02</v>
      </c>
      <c r="H279" s="2">
        <v>0</v>
      </c>
      <c r="I279" s="2">
        <v>0</v>
      </c>
      <c r="J279" s="2">
        <v>0</v>
      </c>
      <c r="K279" s="2">
        <v>2.02</v>
      </c>
      <c r="L279" s="158">
        <v>0</v>
      </c>
      <c r="M279" s="158">
        <v>1</v>
      </c>
      <c r="N279" s="2"/>
      <c r="O279"/>
      <c r="P279"/>
      <c r="Q279"/>
    </row>
    <row r="280" spans="1:17" x14ac:dyDescent="0.25">
      <c r="A280" s="2">
        <v>540266</v>
      </c>
      <c r="B280" s="2" t="s">
        <v>309</v>
      </c>
      <c r="C280" s="2" t="s">
        <v>75</v>
      </c>
      <c r="D280" s="2" t="s">
        <v>115</v>
      </c>
      <c r="E280" s="2">
        <v>7</v>
      </c>
      <c r="F280" s="2">
        <v>0</v>
      </c>
      <c r="G280" s="2">
        <v>0.66</v>
      </c>
      <c r="H280" s="2">
        <v>0</v>
      </c>
      <c r="I280" s="2">
        <v>0</v>
      </c>
      <c r="J280" s="2">
        <v>0</v>
      </c>
      <c r="K280" s="2">
        <v>0.66</v>
      </c>
      <c r="L280" s="158">
        <v>0</v>
      </c>
      <c r="M280" s="158">
        <v>1</v>
      </c>
      <c r="N280" s="2"/>
      <c r="O280"/>
      <c r="P280"/>
      <c r="Q280"/>
    </row>
    <row r="281" spans="1:17" x14ac:dyDescent="0.25">
      <c r="A281" s="2">
        <v>540267</v>
      </c>
      <c r="B281" s="2" t="s">
        <v>310</v>
      </c>
      <c r="C281" s="2" t="s">
        <v>75</v>
      </c>
      <c r="D281" s="2" t="s">
        <v>115</v>
      </c>
      <c r="E281" s="2">
        <v>7</v>
      </c>
      <c r="F281" s="2">
        <v>0.92</v>
      </c>
      <c r="G281" s="2">
        <v>0.27</v>
      </c>
      <c r="H281" s="2">
        <v>0.92</v>
      </c>
      <c r="I281" s="2">
        <v>0</v>
      </c>
      <c r="J281" s="2">
        <v>0</v>
      </c>
      <c r="K281" s="2">
        <v>1.19</v>
      </c>
      <c r="L281" s="158">
        <v>0.77249999999999996</v>
      </c>
      <c r="M281" s="158">
        <v>0.22750000000000001</v>
      </c>
      <c r="N281" s="2"/>
      <c r="O281"/>
      <c r="P281"/>
      <c r="Q281"/>
    </row>
    <row r="282" spans="1:17" x14ac:dyDescent="0.25">
      <c r="A282" s="2">
        <v>540175</v>
      </c>
      <c r="B282" s="2" t="s">
        <v>74</v>
      </c>
      <c r="C282" s="2" t="s">
        <v>75</v>
      </c>
      <c r="D282" s="2" t="s">
        <v>5</v>
      </c>
      <c r="E282" s="2">
        <v>7</v>
      </c>
      <c r="F282" s="2">
        <v>63.59</v>
      </c>
      <c r="G282" s="2">
        <v>409.38</v>
      </c>
      <c r="H282" s="2">
        <v>63.59</v>
      </c>
      <c r="I282" s="2">
        <v>0</v>
      </c>
      <c r="J282" s="2">
        <v>0</v>
      </c>
      <c r="K282" s="2">
        <v>472.98</v>
      </c>
      <c r="L282" s="158">
        <v>0.13450000000000001</v>
      </c>
      <c r="M282" s="158">
        <v>0.86550000000000005</v>
      </c>
      <c r="N282" s="2"/>
      <c r="O282"/>
      <c r="P282"/>
      <c r="Q282"/>
    </row>
    <row r="283" spans="1:17" x14ac:dyDescent="0.25">
      <c r="A283" s="255"/>
      <c r="B283" s="255"/>
      <c r="C283" s="255" t="s">
        <v>75</v>
      </c>
      <c r="D283" s="255"/>
      <c r="E283" s="255"/>
      <c r="F283" s="255">
        <v>70.08</v>
      </c>
      <c r="G283" s="255">
        <v>0</v>
      </c>
      <c r="H283" s="255">
        <v>0</v>
      </c>
      <c r="I283" s="255">
        <v>70.08</v>
      </c>
      <c r="J283" s="255">
        <v>417.35</v>
      </c>
      <c r="K283" s="255">
        <v>487.42</v>
      </c>
      <c r="L283" s="256">
        <v>0.14380000000000001</v>
      </c>
      <c r="M283" s="256">
        <v>0.85619999999999996</v>
      </c>
      <c r="N283" s="255">
        <v>4</v>
      </c>
      <c r="O283"/>
      <c r="P283"/>
      <c r="Q283"/>
    </row>
    <row r="284" spans="1:17" x14ac:dyDescent="0.25">
      <c r="A284" s="2">
        <v>540132</v>
      </c>
      <c r="B284" s="2" t="s">
        <v>216</v>
      </c>
      <c r="C284" s="2" t="s">
        <v>97</v>
      </c>
      <c r="D284" s="2" t="s">
        <v>115</v>
      </c>
      <c r="E284" s="2">
        <v>5</v>
      </c>
      <c r="F284" s="2">
        <v>0</v>
      </c>
      <c r="G284" s="2">
        <v>0.56000000000000005</v>
      </c>
      <c r="H284" s="2">
        <v>0</v>
      </c>
      <c r="I284" s="2">
        <v>0</v>
      </c>
      <c r="J284" s="2">
        <v>0</v>
      </c>
      <c r="K284" s="2">
        <v>0.56000000000000005</v>
      </c>
      <c r="L284" s="158">
        <v>0</v>
      </c>
      <c r="M284" s="158">
        <v>1</v>
      </c>
      <c r="N284" s="2"/>
      <c r="O284"/>
      <c r="P284"/>
      <c r="Q284"/>
    </row>
    <row r="285" spans="1:17" x14ac:dyDescent="0.25">
      <c r="A285" s="2">
        <v>540179</v>
      </c>
      <c r="B285" s="2" t="s">
        <v>250</v>
      </c>
      <c r="C285" s="2" t="s">
        <v>97</v>
      </c>
      <c r="D285" s="2" t="s">
        <v>115</v>
      </c>
      <c r="E285" s="2">
        <v>5</v>
      </c>
      <c r="F285" s="2">
        <v>1.26</v>
      </c>
      <c r="G285" s="2">
        <v>0.01</v>
      </c>
      <c r="H285" s="2">
        <v>1.26</v>
      </c>
      <c r="I285" s="2">
        <v>0</v>
      </c>
      <c r="J285" s="2">
        <v>0</v>
      </c>
      <c r="K285" s="2">
        <v>1.27</v>
      </c>
      <c r="L285" s="158">
        <v>0.99370000000000003</v>
      </c>
      <c r="M285" s="158">
        <v>6.3E-3</v>
      </c>
      <c r="N285" s="2"/>
      <c r="O285"/>
      <c r="P285"/>
      <c r="Q285"/>
    </row>
    <row r="286" spans="1:17" x14ac:dyDescent="0.25">
      <c r="A286" s="2">
        <v>540180</v>
      </c>
      <c r="B286" s="2" t="s">
        <v>251</v>
      </c>
      <c r="C286" s="2" t="s">
        <v>97</v>
      </c>
      <c r="D286" s="2" t="s">
        <v>115</v>
      </c>
      <c r="E286" s="2">
        <v>5</v>
      </c>
      <c r="F286" s="2">
        <v>0</v>
      </c>
      <c r="G286" s="2">
        <v>2.15</v>
      </c>
      <c r="H286" s="2">
        <v>0</v>
      </c>
      <c r="I286" s="2">
        <v>0</v>
      </c>
      <c r="J286" s="2">
        <v>0</v>
      </c>
      <c r="K286" s="2">
        <v>2.15</v>
      </c>
      <c r="L286" s="158">
        <v>0</v>
      </c>
      <c r="M286" s="158">
        <v>1</v>
      </c>
      <c r="N286" s="2"/>
      <c r="O286"/>
      <c r="P286"/>
      <c r="Q286"/>
    </row>
    <row r="287" spans="1:17" x14ac:dyDescent="0.25">
      <c r="A287" s="2">
        <v>540182</v>
      </c>
      <c r="B287" s="2" t="s">
        <v>252</v>
      </c>
      <c r="C287" s="2" t="s">
        <v>97</v>
      </c>
      <c r="D287" s="2" t="s">
        <v>115</v>
      </c>
      <c r="E287" s="2">
        <v>5</v>
      </c>
      <c r="F287" s="2">
        <v>0</v>
      </c>
      <c r="G287" s="2">
        <v>2.08</v>
      </c>
      <c r="H287" s="2">
        <v>0</v>
      </c>
      <c r="I287" s="2">
        <v>0</v>
      </c>
      <c r="J287" s="2">
        <v>0</v>
      </c>
      <c r="K287" s="2">
        <v>2.08</v>
      </c>
      <c r="L287" s="158">
        <v>0</v>
      </c>
      <c r="M287" s="158">
        <v>1</v>
      </c>
      <c r="N287" s="2"/>
      <c r="O287"/>
      <c r="P287"/>
      <c r="Q287"/>
    </row>
    <row r="288" spans="1:17" x14ac:dyDescent="0.25">
      <c r="A288" s="2">
        <v>540262</v>
      </c>
      <c r="B288" s="2" t="s">
        <v>305</v>
      </c>
      <c r="C288" s="2" t="s">
        <v>97</v>
      </c>
      <c r="D288" s="2" t="s">
        <v>115</v>
      </c>
      <c r="E288" s="2">
        <v>5</v>
      </c>
      <c r="F288" s="2">
        <v>0</v>
      </c>
      <c r="G288" s="2">
        <v>0.97</v>
      </c>
      <c r="H288" s="2">
        <v>0</v>
      </c>
      <c r="I288" s="2">
        <v>0</v>
      </c>
      <c r="J288" s="2">
        <v>0</v>
      </c>
      <c r="K288" s="2">
        <v>0.97</v>
      </c>
      <c r="L288" s="158">
        <v>0</v>
      </c>
      <c r="M288" s="158">
        <v>1</v>
      </c>
      <c r="N288" s="2"/>
      <c r="O288"/>
      <c r="P288"/>
      <c r="Q288"/>
    </row>
    <row r="289" spans="1:17" x14ac:dyDescent="0.25">
      <c r="A289" s="2">
        <v>540263</v>
      </c>
      <c r="B289" s="2" t="s">
        <v>306</v>
      </c>
      <c r="C289" s="2" t="s">
        <v>97</v>
      </c>
      <c r="D289" s="2" t="s">
        <v>115</v>
      </c>
      <c r="E289" s="2">
        <v>5</v>
      </c>
      <c r="F289" s="2">
        <v>0</v>
      </c>
      <c r="G289" s="2">
        <v>0.53</v>
      </c>
      <c r="H289" s="2">
        <v>0</v>
      </c>
      <c r="I289" s="2">
        <v>0</v>
      </c>
      <c r="J289" s="2">
        <v>0</v>
      </c>
      <c r="K289" s="2">
        <v>0.53</v>
      </c>
      <c r="L289" s="158">
        <v>0</v>
      </c>
      <c r="M289" s="158">
        <v>1</v>
      </c>
      <c r="N289" s="2"/>
      <c r="O289"/>
      <c r="P289"/>
      <c r="Q289"/>
    </row>
    <row r="290" spans="1:17" x14ac:dyDescent="0.25">
      <c r="A290" s="2">
        <v>540224</v>
      </c>
      <c r="B290" s="2" t="s">
        <v>96</v>
      </c>
      <c r="C290" s="2" t="s">
        <v>97</v>
      </c>
      <c r="D290" s="2" t="s">
        <v>5</v>
      </c>
      <c r="E290" s="2">
        <v>5</v>
      </c>
      <c r="F290" s="2">
        <v>0</v>
      </c>
      <c r="G290" s="2">
        <v>257.77</v>
      </c>
      <c r="H290" s="2">
        <v>0</v>
      </c>
      <c r="I290" s="2">
        <v>0</v>
      </c>
      <c r="J290" s="2">
        <v>0</v>
      </c>
      <c r="K290" s="2">
        <v>257.77</v>
      </c>
      <c r="L290" s="158">
        <v>0</v>
      </c>
      <c r="M290" s="158">
        <v>1</v>
      </c>
      <c r="N290" s="2"/>
      <c r="O290"/>
      <c r="P290"/>
      <c r="Q290"/>
    </row>
    <row r="291" spans="1:17" x14ac:dyDescent="0.25">
      <c r="A291" s="255"/>
      <c r="B291" s="255"/>
      <c r="C291" s="255" t="s">
        <v>97</v>
      </c>
      <c r="D291" s="255"/>
      <c r="E291" s="255"/>
      <c r="F291" s="255">
        <v>1.26</v>
      </c>
      <c r="G291" s="255">
        <v>0</v>
      </c>
      <c r="H291" s="255">
        <v>0</v>
      </c>
      <c r="I291" s="255">
        <v>1.26</v>
      </c>
      <c r="J291" s="255">
        <v>264.08</v>
      </c>
      <c r="K291" s="255">
        <v>265.33999999999997</v>
      </c>
      <c r="L291" s="256">
        <v>4.7999999999999996E-3</v>
      </c>
      <c r="M291" s="256">
        <v>0.99519999999999997</v>
      </c>
      <c r="N291" s="255">
        <v>21</v>
      </c>
      <c r="O291"/>
      <c r="P291"/>
      <c r="Q291"/>
    </row>
    <row r="292" spans="1:17" x14ac:dyDescent="0.25">
      <c r="A292" s="2">
        <v>540184</v>
      </c>
      <c r="B292" s="2" t="s">
        <v>253</v>
      </c>
      <c r="C292" s="2" t="s">
        <v>77</v>
      </c>
      <c r="D292" s="2" t="s">
        <v>115</v>
      </c>
      <c r="E292" s="2">
        <v>5</v>
      </c>
      <c r="F292" s="2">
        <v>0.75</v>
      </c>
      <c r="G292" s="2">
        <v>0</v>
      </c>
      <c r="H292" s="2">
        <v>0.75</v>
      </c>
      <c r="I292" s="2">
        <v>0</v>
      </c>
      <c r="J292" s="2">
        <v>0</v>
      </c>
      <c r="K292" s="2">
        <v>0.75</v>
      </c>
      <c r="L292" s="158">
        <v>1</v>
      </c>
      <c r="M292" s="158">
        <v>0</v>
      </c>
      <c r="N292" s="2"/>
      <c r="O292"/>
      <c r="P292"/>
      <c r="Q292"/>
    </row>
    <row r="293" spans="1:17" x14ac:dyDescent="0.25">
      <c r="A293" s="2">
        <v>540185</v>
      </c>
      <c r="B293" s="2" t="s">
        <v>254</v>
      </c>
      <c r="C293" s="2" t="s">
        <v>77</v>
      </c>
      <c r="D293" s="2" t="s">
        <v>115</v>
      </c>
      <c r="E293" s="2">
        <v>5</v>
      </c>
      <c r="F293" s="2">
        <v>3.02</v>
      </c>
      <c r="G293" s="2">
        <v>0.63</v>
      </c>
      <c r="H293" s="2">
        <v>3.02</v>
      </c>
      <c r="I293" s="2">
        <v>0</v>
      </c>
      <c r="J293" s="2">
        <v>0</v>
      </c>
      <c r="K293" s="2">
        <v>3.65</v>
      </c>
      <c r="L293" s="158">
        <v>0.8276</v>
      </c>
      <c r="M293" s="158">
        <v>0.1724</v>
      </c>
      <c r="N293" s="2"/>
      <c r="O293"/>
      <c r="P293"/>
      <c r="Q293"/>
    </row>
    <row r="294" spans="1:17" x14ac:dyDescent="0.25">
      <c r="A294" s="2">
        <v>540183</v>
      </c>
      <c r="B294" s="2" t="s">
        <v>76</v>
      </c>
      <c r="C294" s="2" t="s">
        <v>77</v>
      </c>
      <c r="D294" s="2" t="s">
        <v>5</v>
      </c>
      <c r="E294" s="2">
        <v>5</v>
      </c>
      <c r="F294" s="2">
        <v>1.35</v>
      </c>
      <c r="G294" s="2">
        <v>207.82</v>
      </c>
      <c r="H294" s="2">
        <v>1.35</v>
      </c>
      <c r="I294" s="2">
        <v>0</v>
      </c>
      <c r="J294" s="2">
        <v>0</v>
      </c>
      <c r="K294" s="2">
        <v>209.17</v>
      </c>
      <c r="L294" s="158">
        <v>6.4999999999999997E-3</v>
      </c>
      <c r="M294" s="158">
        <v>0.99350000000000005</v>
      </c>
      <c r="N294" s="2"/>
      <c r="O294"/>
      <c r="P294"/>
      <c r="Q294"/>
    </row>
    <row r="295" spans="1:17" x14ac:dyDescent="0.25">
      <c r="A295" s="255"/>
      <c r="B295" s="255"/>
      <c r="C295" s="255" t="s">
        <v>77</v>
      </c>
      <c r="D295" s="255"/>
      <c r="E295" s="255"/>
      <c r="F295" s="255">
        <v>5.1100000000000003</v>
      </c>
      <c r="G295" s="255">
        <v>0</v>
      </c>
      <c r="H295" s="255">
        <v>0</v>
      </c>
      <c r="I295" s="255">
        <v>5.1100000000000003</v>
      </c>
      <c r="J295" s="255">
        <v>208.45</v>
      </c>
      <c r="K295" s="255">
        <v>213.57</v>
      </c>
      <c r="L295" s="256">
        <v>2.4E-2</v>
      </c>
      <c r="M295" s="256">
        <v>0.97599999999999998</v>
      </c>
      <c r="N295" s="255">
        <v>30</v>
      </c>
      <c r="O295"/>
      <c r="P295"/>
      <c r="Q295"/>
    </row>
    <row r="296" spans="1:17" x14ac:dyDescent="0.25">
      <c r="A296" s="2">
        <v>540187</v>
      </c>
      <c r="B296" s="2" t="s">
        <v>255</v>
      </c>
      <c r="C296" s="2" t="s">
        <v>79</v>
      </c>
      <c r="D296" s="2" t="s">
        <v>115</v>
      </c>
      <c r="E296" s="2">
        <v>1</v>
      </c>
      <c r="F296" s="2">
        <v>5.73</v>
      </c>
      <c r="G296" s="2">
        <v>0</v>
      </c>
      <c r="H296" s="2">
        <v>5.73</v>
      </c>
      <c r="I296" s="2">
        <v>0</v>
      </c>
      <c r="J296" s="2">
        <v>0</v>
      </c>
      <c r="K296" s="2">
        <v>5.73</v>
      </c>
      <c r="L296" s="158">
        <v>1</v>
      </c>
      <c r="M296" s="158">
        <v>0</v>
      </c>
      <c r="N296" s="2"/>
      <c r="O296"/>
      <c r="P296"/>
      <c r="Q296"/>
    </row>
    <row r="297" spans="1:17" x14ac:dyDescent="0.25">
      <c r="A297" s="2">
        <v>540186</v>
      </c>
      <c r="B297" s="2" t="s">
        <v>78</v>
      </c>
      <c r="C297" s="2" t="s">
        <v>79</v>
      </c>
      <c r="D297" s="2" t="s">
        <v>5</v>
      </c>
      <c r="E297" s="2">
        <v>1</v>
      </c>
      <c r="F297" s="2">
        <v>71.569999999999993</v>
      </c>
      <c r="G297" s="2">
        <v>32.630000000000003</v>
      </c>
      <c r="H297" s="2">
        <v>71.569999999999993</v>
      </c>
      <c r="I297" s="2">
        <v>0</v>
      </c>
      <c r="J297" s="2">
        <v>0</v>
      </c>
      <c r="K297" s="2">
        <v>104.2</v>
      </c>
      <c r="L297" s="158">
        <v>0.68679999999999997</v>
      </c>
      <c r="M297" s="158">
        <v>0.31319999999999998</v>
      </c>
      <c r="N297" s="2"/>
      <c r="O297"/>
      <c r="P297"/>
      <c r="Q297"/>
    </row>
    <row r="298" spans="1:17" x14ac:dyDescent="0.25">
      <c r="A298" s="255"/>
      <c r="B298" s="255"/>
      <c r="C298" s="255" t="s">
        <v>79</v>
      </c>
      <c r="D298" s="255"/>
      <c r="E298" s="255"/>
      <c r="F298" s="255">
        <v>77.3</v>
      </c>
      <c r="G298" s="255">
        <v>0</v>
      </c>
      <c r="H298" s="255">
        <v>0</v>
      </c>
      <c r="I298" s="255">
        <v>77.3</v>
      </c>
      <c r="J298" s="255">
        <v>32.630000000000003</v>
      </c>
      <c r="K298" s="255">
        <v>109.93</v>
      </c>
      <c r="L298" s="256">
        <v>0.70320000000000005</v>
      </c>
      <c r="M298" s="256">
        <v>0.29680000000000001</v>
      </c>
      <c r="N298" s="255">
        <v>50</v>
      </c>
      <c r="O298"/>
      <c r="P298"/>
      <c r="Q298"/>
    </row>
    <row r="299" spans="1:17" x14ac:dyDescent="0.25">
      <c r="A299" s="2">
        <v>540189</v>
      </c>
      <c r="B299" s="2" t="s">
        <v>256</v>
      </c>
      <c r="C299" s="2" t="s">
        <v>81</v>
      </c>
      <c r="D299" s="2" t="s">
        <v>115</v>
      </c>
      <c r="E299" s="2">
        <v>6</v>
      </c>
      <c r="F299" s="2">
        <v>0</v>
      </c>
      <c r="G299" s="2">
        <v>1.1499999999999999</v>
      </c>
      <c r="H299" s="2">
        <v>0</v>
      </c>
      <c r="I299" s="2">
        <v>0</v>
      </c>
      <c r="J299" s="2">
        <v>0</v>
      </c>
      <c r="K299" s="2">
        <v>1.1499999999999999</v>
      </c>
      <c r="L299" s="158">
        <v>0</v>
      </c>
      <c r="M299" s="158">
        <v>1</v>
      </c>
      <c r="N299" s="2"/>
      <c r="O299"/>
      <c r="P299"/>
      <c r="Q299"/>
    </row>
    <row r="300" spans="1:17" x14ac:dyDescent="0.25">
      <c r="A300" s="2">
        <v>540190</v>
      </c>
      <c r="B300" s="2" t="s">
        <v>257</v>
      </c>
      <c r="C300" s="2" t="s">
        <v>81</v>
      </c>
      <c r="D300" s="2" t="s">
        <v>115</v>
      </c>
      <c r="E300" s="2">
        <v>6</v>
      </c>
      <c r="F300" s="2">
        <v>0</v>
      </c>
      <c r="G300" s="2">
        <v>5.89</v>
      </c>
      <c r="H300" s="2">
        <v>0</v>
      </c>
      <c r="I300" s="2">
        <v>0</v>
      </c>
      <c r="J300" s="2">
        <v>0</v>
      </c>
      <c r="K300" s="2">
        <v>5.89</v>
      </c>
      <c r="L300" s="158">
        <v>0</v>
      </c>
      <c r="M300" s="158">
        <v>1</v>
      </c>
      <c r="N300" s="2"/>
      <c r="O300"/>
      <c r="P300"/>
      <c r="Q300"/>
    </row>
    <row r="301" spans="1:17" x14ac:dyDescent="0.25">
      <c r="A301" s="2">
        <v>540188</v>
      </c>
      <c r="B301" s="2" t="s">
        <v>80</v>
      </c>
      <c r="C301" s="2" t="s">
        <v>81</v>
      </c>
      <c r="D301" s="2" t="s">
        <v>5</v>
      </c>
      <c r="E301" s="2">
        <v>6</v>
      </c>
      <c r="F301" s="2">
        <v>5.85</v>
      </c>
      <c r="G301" s="2">
        <v>94.42</v>
      </c>
      <c r="H301" s="2">
        <v>5.85</v>
      </c>
      <c r="I301" s="2">
        <v>0</v>
      </c>
      <c r="J301" s="2">
        <v>0</v>
      </c>
      <c r="K301" s="2">
        <v>100.27</v>
      </c>
      <c r="L301" s="158">
        <v>5.8400000000000001E-2</v>
      </c>
      <c r="M301" s="158">
        <v>0.94159999999999999</v>
      </c>
      <c r="N301" s="2"/>
      <c r="O301"/>
      <c r="P301"/>
      <c r="Q301"/>
    </row>
    <row r="302" spans="1:17" x14ac:dyDescent="0.25">
      <c r="A302" s="255"/>
      <c r="B302" s="255"/>
      <c r="C302" s="255" t="s">
        <v>81</v>
      </c>
      <c r="D302" s="255"/>
      <c r="E302" s="255"/>
      <c r="F302" s="255">
        <v>5.85</v>
      </c>
      <c r="G302" s="255">
        <v>0</v>
      </c>
      <c r="H302" s="255">
        <v>0</v>
      </c>
      <c r="I302" s="255">
        <v>5.85</v>
      </c>
      <c r="J302" s="255">
        <v>101.45</v>
      </c>
      <c r="K302" s="255">
        <v>107.31</v>
      </c>
      <c r="L302" s="256">
        <v>5.4600000000000003E-2</v>
      </c>
      <c r="M302" s="256">
        <v>0.94540000000000002</v>
      </c>
      <c r="N302" s="255">
        <v>51</v>
      </c>
      <c r="O302"/>
      <c r="P302"/>
      <c r="Q302"/>
    </row>
    <row r="303" spans="1:17" x14ac:dyDescent="0.25">
      <c r="A303" s="2">
        <v>540192</v>
      </c>
      <c r="B303" s="2" t="s">
        <v>343</v>
      </c>
      <c r="C303" s="2" t="s">
        <v>113</v>
      </c>
      <c r="D303" s="2" t="s">
        <v>115</v>
      </c>
      <c r="E303" s="2">
        <v>7</v>
      </c>
      <c r="F303" s="2">
        <v>2.06</v>
      </c>
      <c r="G303" s="2">
        <v>0</v>
      </c>
      <c r="H303" s="2">
        <v>2.06</v>
      </c>
      <c r="I303" s="2">
        <v>0</v>
      </c>
      <c r="J303" s="2">
        <v>0</v>
      </c>
      <c r="K303" s="2">
        <v>2.06</v>
      </c>
      <c r="L303" s="158">
        <v>1</v>
      </c>
      <c r="M303" s="158">
        <v>0</v>
      </c>
      <c r="N303" s="2"/>
      <c r="O303"/>
      <c r="P303"/>
      <c r="Q303"/>
    </row>
    <row r="304" spans="1:17" x14ac:dyDescent="0.25">
      <c r="A304" s="2">
        <v>540193</v>
      </c>
      <c r="B304" s="2" t="s">
        <v>342</v>
      </c>
      <c r="C304" s="2" t="s">
        <v>113</v>
      </c>
      <c r="D304" s="2" t="s">
        <v>115</v>
      </c>
      <c r="E304" s="2">
        <v>7</v>
      </c>
      <c r="F304" s="2">
        <v>0.46</v>
      </c>
      <c r="G304" s="2">
        <v>0</v>
      </c>
      <c r="H304" s="2">
        <v>0.46</v>
      </c>
      <c r="I304" s="2">
        <v>0</v>
      </c>
      <c r="J304" s="2">
        <v>0</v>
      </c>
      <c r="K304" s="2">
        <v>0.46</v>
      </c>
      <c r="L304" s="158">
        <v>1</v>
      </c>
      <c r="M304" s="158">
        <v>0</v>
      </c>
      <c r="N304" s="2"/>
      <c r="O304"/>
      <c r="P304"/>
      <c r="Q304"/>
    </row>
    <row r="305" spans="1:17" x14ac:dyDescent="0.25">
      <c r="A305" s="2">
        <v>540194</v>
      </c>
      <c r="B305" s="2" t="s">
        <v>344</v>
      </c>
      <c r="C305" s="2" t="s">
        <v>113</v>
      </c>
      <c r="D305" s="2" t="s">
        <v>115</v>
      </c>
      <c r="E305" s="2">
        <v>7</v>
      </c>
      <c r="F305" s="2">
        <v>2.39</v>
      </c>
      <c r="G305" s="2">
        <v>0</v>
      </c>
      <c r="H305" s="2">
        <v>2.39</v>
      </c>
      <c r="I305" s="2">
        <v>0</v>
      </c>
      <c r="J305" s="2">
        <v>0</v>
      </c>
      <c r="K305" s="2">
        <v>2.39</v>
      </c>
      <c r="L305" s="158">
        <v>1</v>
      </c>
      <c r="M305" s="158">
        <v>0</v>
      </c>
      <c r="N305" s="2"/>
      <c r="O305"/>
      <c r="P305"/>
      <c r="Q305"/>
    </row>
    <row r="306" spans="1:17" x14ac:dyDescent="0.25">
      <c r="A306" s="2">
        <v>540260</v>
      </c>
      <c r="B306" s="2" t="s">
        <v>346</v>
      </c>
      <c r="C306" s="2" t="s">
        <v>113</v>
      </c>
      <c r="D306" s="2" t="s">
        <v>115</v>
      </c>
      <c r="E306" s="2">
        <v>7</v>
      </c>
      <c r="F306" s="2">
        <v>1.48</v>
      </c>
      <c r="G306" s="2">
        <v>0.75</v>
      </c>
      <c r="H306" s="2">
        <v>1.48</v>
      </c>
      <c r="I306" s="2">
        <v>0</v>
      </c>
      <c r="J306" s="2">
        <v>0</v>
      </c>
      <c r="K306" s="2">
        <v>2.23</v>
      </c>
      <c r="L306" s="158">
        <v>0.66520000000000001</v>
      </c>
      <c r="M306" s="158">
        <v>0.33479999999999999</v>
      </c>
      <c r="N306" s="2"/>
      <c r="O306"/>
      <c r="P306"/>
      <c r="Q306"/>
    </row>
    <row r="307" spans="1:17" x14ac:dyDescent="0.25">
      <c r="A307" s="2">
        <v>540261</v>
      </c>
      <c r="B307" s="2" t="s">
        <v>345</v>
      </c>
      <c r="C307" s="2" t="s">
        <v>113</v>
      </c>
      <c r="D307" s="2" t="s">
        <v>115</v>
      </c>
      <c r="E307" s="2">
        <v>7</v>
      </c>
      <c r="F307" s="2">
        <v>1.2</v>
      </c>
      <c r="G307" s="2">
        <v>3.23</v>
      </c>
      <c r="H307" s="2">
        <v>1.2</v>
      </c>
      <c r="I307" s="2">
        <v>0</v>
      </c>
      <c r="J307" s="2">
        <v>0</v>
      </c>
      <c r="K307" s="2">
        <v>4.43</v>
      </c>
      <c r="L307" s="158">
        <v>0.27110000000000001</v>
      </c>
      <c r="M307" s="158">
        <v>0.72889999999999999</v>
      </c>
      <c r="N307" s="2"/>
      <c r="O307"/>
      <c r="P307"/>
      <c r="Q307"/>
    </row>
    <row r="308" spans="1:17" x14ac:dyDescent="0.25">
      <c r="A308" s="2">
        <v>540191</v>
      </c>
      <c r="B308" s="2" t="s">
        <v>112</v>
      </c>
      <c r="C308" s="2" t="s">
        <v>113</v>
      </c>
      <c r="D308" s="2" t="s">
        <v>5</v>
      </c>
      <c r="E308" s="2">
        <v>7</v>
      </c>
      <c r="F308" s="2">
        <v>55.66</v>
      </c>
      <c r="G308" s="2">
        <v>178.11</v>
      </c>
      <c r="H308" s="2">
        <v>55.66</v>
      </c>
      <c r="I308" s="2">
        <v>0</v>
      </c>
      <c r="J308" s="2">
        <v>0</v>
      </c>
      <c r="K308" s="2">
        <v>233.77</v>
      </c>
      <c r="L308" s="158">
        <v>0.23810000000000001</v>
      </c>
      <c r="M308" s="158">
        <v>0.76190000000000002</v>
      </c>
      <c r="N308" s="2"/>
      <c r="O308"/>
      <c r="P308"/>
      <c r="Q308"/>
    </row>
    <row r="309" spans="1:17" x14ac:dyDescent="0.25">
      <c r="A309" s="255"/>
      <c r="B309" s="255"/>
      <c r="C309" s="255" t="s">
        <v>113</v>
      </c>
      <c r="D309" s="255"/>
      <c r="E309" s="255"/>
      <c r="F309" s="255">
        <v>63.26</v>
      </c>
      <c r="G309" s="255">
        <v>0</v>
      </c>
      <c r="H309" s="255">
        <v>0</v>
      </c>
      <c r="I309" s="255">
        <v>63.26</v>
      </c>
      <c r="J309" s="255">
        <v>182.08</v>
      </c>
      <c r="K309" s="255">
        <v>245.34</v>
      </c>
      <c r="L309" s="256">
        <v>0.25779999999999997</v>
      </c>
      <c r="M309" s="256">
        <v>0.74219999999999997</v>
      </c>
      <c r="N309" s="255">
        <v>25</v>
      </c>
      <c r="O309"/>
      <c r="P309"/>
      <c r="Q309"/>
    </row>
    <row r="310" spans="1:17" x14ac:dyDescent="0.25">
      <c r="A310" s="2">
        <v>540195</v>
      </c>
      <c r="B310" s="2" t="s">
        <v>258</v>
      </c>
      <c r="C310" s="2" t="s">
        <v>103</v>
      </c>
      <c r="D310" s="2" t="s">
        <v>115</v>
      </c>
      <c r="E310" s="2">
        <v>5</v>
      </c>
      <c r="F310" s="2">
        <v>1.29</v>
      </c>
      <c r="G310" s="2">
        <v>0</v>
      </c>
      <c r="H310" s="2">
        <v>1.29</v>
      </c>
      <c r="I310" s="2">
        <v>0</v>
      </c>
      <c r="J310" s="2">
        <v>0</v>
      </c>
      <c r="K310" s="2">
        <v>1.29</v>
      </c>
      <c r="L310" s="158">
        <v>1</v>
      </c>
      <c r="M310" s="158">
        <v>0</v>
      </c>
      <c r="N310" s="2"/>
      <c r="O310"/>
      <c r="P310"/>
      <c r="Q310"/>
    </row>
    <row r="311" spans="1:17" x14ac:dyDescent="0.25">
      <c r="A311" s="2">
        <v>540196</v>
      </c>
      <c r="B311" s="2" t="s">
        <v>259</v>
      </c>
      <c r="C311" s="2" t="s">
        <v>103</v>
      </c>
      <c r="D311" s="2" t="s">
        <v>115</v>
      </c>
      <c r="E311" s="2">
        <v>5</v>
      </c>
      <c r="F311" s="2">
        <v>0.26</v>
      </c>
      <c r="G311" s="2">
        <v>0</v>
      </c>
      <c r="H311" s="2">
        <v>0.26</v>
      </c>
      <c r="I311" s="2">
        <v>0</v>
      </c>
      <c r="J311" s="2">
        <v>0</v>
      </c>
      <c r="K311" s="2">
        <v>0.26</v>
      </c>
      <c r="L311" s="158">
        <v>1</v>
      </c>
      <c r="M311" s="158">
        <v>0</v>
      </c>
      <c r="N311" s="2"/>
      <c r="O311"/>
      <c r="P311"/>
      <c r="Q311"/>
    </row>
    <row r="312" spans="1:17" x14ac:dyDescent="0.25">
      <c r="A312" s="2">
        <v>540197</v>
      </c>
      <c r="B312" s="2" t="s">
        <v>260</v>
      </c>
      <c r="C312" s="2" t="s">
        <v>103</v>
      </c>
      <c r="D312" s="2" t="s">
        <v>115</v>
      </c>
      <c r="E312" s="2">
        <v>5</v>
      </c>
      <c r="F312" s="2">
        <v>0.43</v>
      </c>
      <c r="G312" s="2">
        <v>0</v>
      </c>
      <c r="H312" s="2">
        <v>0.43</v>
      </c>
      <c r="I312" s="2">
        <v>0</v>
      </c>
      <c r="J312" s="2">
        <v>0</v>
      </c>
      <c r="K312" s="2">
        <v>0.43</v>
      </c>
      <c r="L312" s="158">
        <v>1</v>
      </c>
      <c r="M312" s="158">
        <v>0</v>
      </c>
      <c r="N312" s="2"/>
      <c r="O312"/>
      <c r="P312"/>
      <c r="Q312"/>
    </row>
    <row r="313" spans="1:17" x14ac:dyDescent="0.25">
      <c r="A313" s="2">
        <v>540259</v>
      </c>
      <c r="B313" s="2" t="s">
        <v>304</v>
      </c>
      <c r="C313" s="2" t="s">
        <v>103</v>
      </c>
      <c r="D313" s="2" t="s">
        <v>115</v>
      </c>
      <c r="E313" s="2">
        <v>5</v>
      </c>
      <c r="F313" s="2">
        <v>0.25</v>
      </c>
      <c r="G313" s="2">
        <v>0</v>
      </c>
      <c r="H313" s="2">
        <v>0.25</v>
      </c>
      <c r="I313" s="2">
        <v>0</v>
      </c>
      <c r="J313" s="2">
        <v>0</v>
      </c>
      <c r="K313" s="2">
        <v>0.25</v>
      </c>
      <c r="L313" s="158">
        <v>1</v>
      </c>
      <c r="M313" s="158">
        <v>0</v>
      </c>
      <c r="N313" s="2"/>
      <c r="O313"/>
      <c r="P313"/>
      <c r="Q313"/>
    </row>
    <row r="314" spans="1:17" x14ac:dyDescent="0.25">
      <c r="A314" s="2">
        <v>540277</v>
      </c>
      <c r="B314" s="2" t="s">
        <v>102</v>
      </c>
      <c r="C314" s="2" t="s">
        <v>103</v>
      </c>
      <c r="D314" s="2" t="s">
        <v>5</v>
      </c>
      <c r="E314" s="2">
        <v>5</v>
      </c>
      <c r="F314" s="2">
        <v>29.75</v>
      </c>
      <c r="G314" s="2">
        <v>114.61</v>
      </c>
      <c r="H314" s="2">
        <v>29.75</v>
      </c>
      <c r="I314" s="2">
        <v>0</v>
      </c>
      <c r="J314" s="2">
        <v>0</v>
      </c>
      <c r="K314" s="2">
        <v>144.36000000000001</v>
      </c>
      <c r="L314" s="158">
        <v>0.20610000000000001</v>
      </c>
      <c r="M314" s="158">
        <v>0.79390000000000005</v>
      </c>
      <c r="N314" s="2"/>
      <c r="O314"/>
      <c r="P314"/>
      <c r="Q314"/>
    </row>
    <row r="315" spans="1:17" x14ac:dyDescent="0.25">
      <c r="A315" s="255"/>
      <c r="B315" s="255"/>
      <c r="C315" s="255" t="s">
        <v>103</v>
      </c>
      <c r="D315" s="255"/>
      <c r="E315" s="255"/>
      <c r="F315" s="255">
        <v>31.98</v>
      </c>
      <c r="G315" s="255">
        <v>0</v>
      </c>
      <c r="H315" s="255">
        <v>0</v>
      </c>
      <c r="I315" s="255">
        <v>31.98</v>
      </c>
      <c r="J315" s="255">
        <v>114.61</v>
      </c>
      <c r="K315" s="255">
        <v>146.59</v>
      </c>
      <c r="L315" s="256">
        <v>0.21820000000000001</v>
      </c>
      <c r="M315" s="256">
        <v>0.78180000000000005</v>
      </c>
      <c r="N315" s="255">
        <v>45</v>
      </c>
      <c r="O315"/>
      <c r="P315"/>
      <c r="Q315"/>
    </row>
    <row r="316" spans="1:17" x14ac:dyDescent="0.25">
      <c r="A316" s="2">
        <v>540199</v>
      </c>
      <c r="B316" s="2" t="s">
        <v>261</v>
      </c>
      <c r="C316" s="2" t="s">
        <v>83</v>
      </c>
      <c r="D316" s="2" t="s">
        <v>115</v>
      </c>
      <c r="E316" s="2">
        <v>7</v>
      </c>
      <c r="F316" s="2">
        <v>6.09</v>
      </c>
      <c r="G316" s="2">
        <v>1.1299999999999999</v>
      </c>
      <c r="H316" s="2">
        <v>6.09</v>
      </c>
      <c r="I316" s="2">
        <v>0</v>
      </c>
      <c r="J316" s="2">
        <v>0</v>
      </c>
      <c r="K316" s="2">
        <v>7.22</v>
      </c>
      <c r="L316" s="158">
        <v>0.84360000000000002</v>
      </c>
      <c r="M316" s="158">
        <v>0.15640000000000001</v>
      </c>
      <c r="N316" s="2"/>
      <c r="O316"/>
      <c r="P316"/>
      <c r="Q316"/>
    </row>
    <row r="317" spans="1:17" x14ac:dyDescent="0.25">
      <c r="A317" s="2">
        <v>540198</v>
      </c>
      <c r="B317" s="2" t="s">
        <v>82</v>
      </c>
      <c r="C317" s="2" t="s">
        <v>83</v>
      </c>
      <c r="D317" s="2" t="s">
        <v>5</v>
      </c>
      <c r="E317" s="2">
        <v>7</v>
      </c>
      <c r="F317" s="2">
        <v>4.3899999999999997</v>
      </c>
      <c r="G317" s="2">
        <v>203.73</v>
      </c>
      <c r="H317" s="2">
        <v>4.3899999999999997</v>
      </c>
      <c r="I317" s="2">
        <v>0</v>
      </c>
      <c r="J317" s="2">
        <v>0</v>
      </c>
      <c r="K317" s="2">
        <v>208.12</v>
      </c>
      <c r="L317" s="158">
        <v>2.1100000000000001E-2</v>
      </c>
      <c r="M317" s="158">
        <v>0.97889999999999999</v>
      </c>
      <c r="N317" s="2"/>
      <c r="O317"/>
      <c r="P317"/>
      <c r="Q317"/>
    </row>
    <row r="318" spans="1:17" x14ac:dyDescent="0.25">
      <c r="A318" s="255"/>
      <c r="B318" s="255"/>
      <c r="C318" s="255" t="s">
        <v>83</v>
      </c>
      <c r="D318" s="255"/>
      <c r="E318" s="255"/>
      <c r="F318" s="255">
        <v>10.48</v>
      </c>
      <c r="G318" s="255">
        <v>0</v>
      </c>
      <c r="H318" s="255">
        <v>0</v>
      </c>
      <c r="I318" s="255">
        <v>10.48</v>
      </c>
      <c r="J318" s="255">
        <v>204.86</v>
      </c>
      <c r="K318" s="255">
        <v>215.34</v>
      </c>
      <c r="L318" s="256">
        <v>4.87E-2</v>
      </c>
      <c r="M318" s="256">
        <v>0.95130000000000003</v>
      </c>
      <c r="N318" s="255">
        <v>29</v>
      </c>
      <c r="O318"/>
      <c r="P318"/>
      <c r="Q318"/>
    </row>
    <row r="319" spans="1:17" x14ac:dyDescent="0.25">
      <c r="A319" s="2">
        <v>540018</v>
      </c>
      <c r="B319" s="2" t="s">
        <v>127</v>
      </c>
      <c r="C319" s="2" t="s">
        <v>85</v>
      </c>
      <c r="D319" s="2" t="s">
        <v>115</v>
      </c>
      <c r="E319" s="2">
        <v>2</v>
      </c>
      <c r="F319" s="2">
        <v>2.57</v>
      </c>
      <c r="G319" s="2">
        <v>0.01</v>
      </c>
      <c r="H319" s="2">
        <v>2.57</v>
      </c>
      <c r="I319" s="2">
        <v>0</v>
      </c>
      <c r="J319" s="2">
        <v>0</v>
      </c>
      <c r="K319" s="2">
        <v>2.57</v>
      </c>
      <c r="L319" s="158">
        <v>0.997</v>
      </c>
      <c r="M319" s="158">
        <v>3.0000000000000001E-3</v>
      </c>
      <c r="N319" s="2"/>
      <c r="O319"/>
      <c r="P319"/>
      <c r="Q319"/>
    </row>
    <row r="320" spans="1:17" x14ac:dyDescent="0.25">
      <c r="A320" s="2">
        <v>540202</v>
      </c>
      <c r="B320" s="2" t="s">
        <v>262</v>
      </c>
      <c r="C320" s="2" t="s">
        <v>85</v>
      </c>
      <c r="D320" s="2" t="s">
        <v>115</v>
      </c>
      <c r="E320" s="2">
        <v>2</v>
      </c>
      <c r="F320" s="2">
        <v>3.14</v>
      </c>
      <c r="G320" s="2">
        <v>0</v>
      </c>
      <c r="H320" s="2">
        <v>3.14</v>
      </c>
      <c r="I320" s="2">
        <v>0</v>
      </c>
      <c r="J320" s="2">
        <v>0</v>
      </c>
      <c r="K320" s="2">
        <v>3.14</v>
      </c>
      <c r="L320" s="158">
        <v>1</v>
      </c>
      <c r="M320" s="158">
        <v>0</v>
      </c>
      <c r="N320" s="2"/>
      <c r="O320"/>
      <c r="P320"/>
      <c r="Q320"/>
    </row>
    <row r="321" spans="1:17" x14ac:dyDescent="0.25">
      <c r="A321" s="2">
        <v>540221</v>
      </c>
      <c r="B321" s="2" t="s">
        <v>275</v>
      </c>
      <c r="C321" s="2" t="s">
        <v>85</v>
      </c>
      <c r="D321" s="2" t="s">
        <v>115</v>
      </c>
      <c r="E321" s="2">
        <v>2</v>
      </c>
      <c r="F321" s="2">
        <v>2.19</v>
      </c>
      <c r="G321" s="2">
        <v>0</v>
      </c>
      <c r="H321" s="2">
        <v>2.19</v>
      </c>
      <c r="I321" s="2">
        <v>0</v>
      </c>
      <c r="J321" s="2">
        <v>0</v>
      </c>
      <c r="K321" s="2">
        <v>2.19</v>
      </c>
      <c r="L321" s="158">
        <v>1</v>
      </c>
      <c r="M321" s="158">
        <v>0</v>
      </c>
      <c r="N321" s="2"/>
      <c r="O321"/>
      <c r="P321"/>
      <c r="Q321"/>
    </row>
    <row r="322" spans="1:17" x14ac:dyDescent="0.25">
      <c r="A322" s="2">
        <v>540231</v>
      </c>
      <c r="B322" s="2" t="s">
        <v>281</v>
      </c>
      <c r="C322" s="2" t="s">
        <v>85</v>
      </c>
      <c r="D322" s="2" t="s">
        <v>115</v>
      </c>
      <c r="E322" s="2">
        <v>2</v>
      </c>
      <c r="F322" s="2">
        <v>2.56</v>
      </c>
      <c r="G322" s="2">
        <v>0</v>
      </c>
      <c r="H322" s="2">
        <v>2.56</v>
      </c>
      <c r="I322" s="2">
        <v>0</v>
      </c>
      <c r="J322" s="2">
        <v>0</v>
      </c>
      <c r="K322" s="2">
        <v>2.56</v>
      </c>
      <c r="L322" s="158">
        <v>1</v>
      </c>
      <c r="M322" s="158">
        <v>0</v>
      </c>
      <c r="N322" s="2"/>
      <c r="O322"/>
      <c r="P322"/>
      <c r="Q322"/>
    </row>
    <row r="323" spans="1:17" x14ac:dyDescent="0.25">
      <c r="A323" s="2">
        <v>540232</v>
      </c>
      <c r="B323" s="2" t="s">
        <v>282</v>
      </c>
      <c r="C323" s="2" t="s">
        <v>85</v>
      </c>
      <c r="D323" s="2" t="s">
        <v>115</v>
      </c>
      <c r="E323" s="2">
        <v>2</v>
      </c>
      <c r="F323" s="2">
        <v>6.3</v>
      </c>
      <c r="G323" s="2">
        <v>0</v>
      </c>
      <c r="H323" s="2">
        <v>6.3</v>
      </c>
      <c r="I323" s="2">
        <v>0</v>
      </c>
      <c r="J323" s="2">
        <v>0</v>
      </c>
      <c r="K323" s="2">
        <v>6.3</v>
      </c>
      <c r="L323" s="158">
        <v>1</v>
      </c>
      <c r="M323" s="158">
        <v>0</v>
      </c>
      <c r="N323" s="2"/>
      <c r="O323"/>
      <c r="P323"/>
      <c r="Q323"/>
    </row>
    <row r="324" spans="1:17" x14ac:dyDescent="0.25">
      <c r="A324" s="2">
        <v>540200</v>
      </c>
      <c r="B324" s="2" t="s">
        <v>84</v>
      </c>
      <c r="C324" s="2" t="s">
        <v>85</v>
      </c>
      <c r="D324" s="2" t="s">
        <v>5</v>
      </c>
      <c r="E324" s="2">
        <v>2</v>
      </c>
      <c r="F324" s="2">
        <v>182.99</v>
      </c>
      <c r="G324" s="2">
        <v>231.75</v>
      </c>
      <c r="H324" s="2">
        <v>182.99</v>
      </c>
      <c r="I324" s="2">
        <v>0</v>
      </c>
      <c r="J324" s="2">
        <v>0</v>
      </c>
      <c r="K324" s="2">
        <v>414.75</v>
      </c>
      <c r="L324" s="158">
        <v>0.44119999999999998</v>
      </c>
      <c r="M324" s="158">
        <v>0.55879999999999996</v>
      </c>
      <c r="N324" s="2"/>
      <c r="O324"/>
      <c r="P324"/>
      <c r="Q324"/>
    </row>
    <row r="325" spans="1:17" x14ac:dyDescent="0.25">
      <c r="A325" s="255"/>
      <c r="B325" s="255"/>
      <c r="C325" s="255" t="s">
        <v>85</v>
      </c>
      <c r="D325" s="255"/>
      <c r="E325" s="255"/>
      <c r="F325" s="255">
        <v>199.75</v>
      </c>
      <c r="G325" s="255">
        <v>0</v>
      </c>
      <c r="H325" s="255">
        <v>0</v>
      </c>
      <c r="I325" s="255">
        <v>199.75</v>
      </c>
      <c r="J325" s="255">
        <v>231.76</v>
      </c>
      <c r="K325" s="255">
        <v>431.51</v>
      </c>
      <c r="L325" s="256">
        <v>0.46289999999999998</v>
      </c>
      <c r="M325" s="256">
        <v>0.53710000000000002</v>
      </c>
      <c r="N325" s="255">
        <v>5</v>
      </c>
      <c r="O325"/>
      <c r="P325"/>
      <c r="Q325"/>
    </row>
    <row r="326" spans="1:17" x14ac:dyDescent="0.25">
      <c r="A326" s="2">
        <v>540204</v>
      </c>
      <c r="B326" s="2" t="s">
        <v>263</v>
      </c>
      <c r="C326" s="2" t="s">
        <v>87</v>
      </c>
      <c r="D326" s="2" t="s">
        <v>115</v>
      </c>
      <c r="E326" s="2">
        <v>4</v>
      </c>
      <c r="F326" s="2">
        <v>1.83</v>
      </c>
      <c r="G326" s="2">
        <v>0</v>
      </c>
      <c r="H326" s="2">
        <v>1.83</v>
      </c>
      <c r="I326" s="2">
        <v>0</v>
      </c>
      <c r="J326" s="2">
        <v>0</v>
      </c>
      <c r="K326" s="2">
        <v>1.83</v>
      </c>
      <c r="L326" s="158">
        <v>1</v>
      </c>
      <c r="M326" s="158">
        <v>0</v>
      </c>
      <c r="N326" s="2"/>
      <c r="O326"/>
      <c r="P326"/>
      <c r="Q326"/>
    </row>
    <row r="327" spans="1:17" x14ac:dyDescent="0.25">
      <c r="A327" s="2">
        <v>540205</v>
      </c>
      <c r="B327" s="2" t="s">
        <v>264</v>
      </c>
      <c r="C327" s="2" t="s">
        <v>87</v>
      </c>
      <c r="D327" s="2" t="s">
        <v>115</v>
      </c>
      <c r="E327" s="2">
        <v>4</v>
      </c>
      <c r="F327" s="2">
        <v>0.56999999999999995</v>
      </c>
      <c r="G327" s="2">
        <v>0.4</v>
      </c>
      <c r="H327" s="2">
        <v>0.56999999999999995</v>
      </c>
      <c r="I327" s="2">
        <v>0</v>
      </c>
      <c r="J327" s="2">
        <v>0</v>
      </c>
      <c r="K327" s="2">
        <v>0.97</v>
      </c>
      <c r="L327" s="158">
        <v>0.58599999999999997</v>
      </c>
      <c r="M327" s="158">
        <v>0.41399999999999998</v>
      </c>
      <c r="N327" s="2"/>
      <c r="O327"/>
      <c r="P327"/>
      <c r="Q327"/>
    </row>
    <row r="328" spans="1:17" x14ac:dyDescent="0.25">
      <c r="A328" s="2">
        <v>540206</v>
      </c>
      <c r="B328" s="2" t="s">
        <v>265</v>
      </c>
      <c r="C328" s="2" t="s">
        <v>87</v>
      </c>
      <c r="D328" s="2" t="s">
        <v>115</v>
      </c>
      <c r="E328" s="2">
        <v>4</v>
      </c>
      <c r="F328" s="2">
        <v>0</v>
      </c>
      <c r="G328" s="2">
        <v>1.28</v>
      </c>
      <c r="H328" s="2">
        <v>0</v>
      </c>
      <c r="I328" s="2">
        <v>0</v>
      </c>
      <c r="J328" s="2">
        <v>0</v>
      </c>
      <c r="K328" s="2">
        <v>1.28</v>
      </c>
      <c r="L328" s="158">
        <v>0</v>
      </c>
      <c r="M328" s="158">
        <v>1</v>
      </c>
      <c r="N328" s="2"/>
      <c r="O328"/>
      <c r="P328"/>
      <c r="Q328"/>
    </row>
    <row r="329" spans="1:17" x14ac:dyDescent="0.25">
      <c r="A329" s="2">
        <v>540203</v>
      </c>
      <c r="B329" s="2" t="s">
        <v>86</v>
      </c>
      <c r="C329" s="2" t="s">
        <v>87</v>
      </c>
      <c r="D329" s="2" t="s">
        <v>5</v>
      </c>
      <c r="E329" s="2">
        <v>4</v>
      </c>
      <c r="F329" s="2">
        <v>128.78</v>
      </c>
      <c r="G329" s="2">
        <v>181.5</v>
      </c>
      <c r="H329" s="2">
        <v>128.78</v>
      </c>
      <c r="I329" s="2">
        <v>0</v>
      </c>
      <c r="J329" s="2">
        <v>0</v>
      </c>
      <c r="K329" s="2">
        <v>310.27999999999997</v>
      </c>
      <c r="L329" s="158">
        <v>0.41510000000000002</v>
      </c>
      <c r="M329" s="158">
        <v>0.58489999999999998</v>
      </c>
      <c r="N329" s="2"/>
      <c r="O329"/>
      <c r="P329"/>
      <c r="Q329"/>
    </row>
    <row r="330" spans="1:17" x14ac:dyDescent="0.25">
      <c r="A330" s="255"/>
      <c r="B330" s="255"/>
      <c r="C330" s="255" t="s">
        <v>87</v>
      </c>
      <c r="D330" s="255"/>
      <c r="E330" s="255"/>
      <c r="F330" s="255">
        <v>131.18</v>
      </c>
      <c r="G330" s="255">
        <v>0</v>
      </c>
      <c r="H330" s="255">
        <v>0</v>
      </c>
      <c r="I330" s="255">
        <v>131.18</v>
      </c>
      <c r="J330" s="255">
        <v>183.18</v>
      </c>
      <c r="K330" s="255">
        <v>314.36</v>
      </c>
      <c r="L330" s="256">
        <v>0.4173</v>
      </c>
      <c r="M330" s="256">
        <v>0.5827</v>
      </c>
      <c r="N330" s="255">
        <v>12</v>
      </c>
      <c r="O330"/>
      <c r="P330"/>
      <c r="Q330"/>
    </row>
    <row r="331" spans="1:17" x14ac:dyDescent="0.25">
      <c r="A331" s="2">
        <v>540196</v>
      </c>
      <c r="B331" s="2" t="s">
        <v>259</v>
      </c>
      <c r="C331" s="2" t="s">
        <v>89</v>
      </c>
      <c r="D331" s="2" t="s">
        <v>115</v>
      </c>
      <c r="E331" s="2">
        <v>5</v>
      </c>
      <c r="F331" s="2">
        <v>0</v>
      </c>
      <c r="G331" s="2">
        <v>0</v>
      </c>
      <c r="H331" s="2">
        <v>0</v>
      </c>
      <c r="I331" s="2">
        <v>0</v>
      </c>
      <c r="J331" s="2">
        <v>0</v>
      </c>
      <c r="K331" s="2">
        <v>0</v>
      </c>
      <c r="L331" s="2" t="s">
        <v>488</v>
      </c>
      <c r="M331" s="2" t="s">
        <v>488</v>
      </c>
      <c r="N331" s="2"/>
      <c r="O331"/>
      <c r="P331"/>
      <c r="Q331"/>
    </row>
    <row r="332" spans="1:17" x14ac:dyDescent="0.25">
      <c r="A332" s="2">
        <v>540208</v>
      </c>
      <c r="B332" s="2" t="s">
        <v>266</v>
      </c>
      <c r="C332" s="2" t="s">
        <v>89</v>
      </c>
      <c r="D332" s="2" t="s">
        <v>115</v>
      </c>
      <c r="E332" s="2">
        <v>10</v>
      </c>
      <c r="F332" s="2">
        <v>1.77</v>
      </c>
      <c r="G332" s="2">
        <v>0</v>
      </c>
      <c r="H332" s="2">
        <v>1.77</v>
      </c>
      <c r="I332" s="2">
        <v>0</v>
      </c>
      <c r="J332" s="2">
        <v>0</v>
      </c>
      <c r="K332" s="2">
        <v>1.77</v>
      </c>
      <c r="L332" s="158">
        <v>1</v>
      </c>
      <c r="M332" s="158">
        <v>0</v>
      </c>
      <c r="N332" s="2"/>
      <c r="O332"/>
      <c r="P332"/>
      <c r="Q332"/>
    </row>
    <row r="333" spans="1:17" x14ac:dyDescent="0.25">
      <c r="A333" s="2">
        <v>540210</v>
      </c>
      <c r="B333" s="2" t="s">
        <v>267</v>
      </c>
      <c r="C333" s="2" t="s">
        <v>89</v>
      </c>
      <c r="D333" s="2" t="s">
        <v>115</v>
      </c>
      <c r="E333" s="2">
        <v>10</v>
      </c>
      <c r="F333" s="2">
        <v>0</v>
      </c>
      <c r="G333" s="2">
        <v>2.37</v>
      </c>
      <c r="H333" s="2">
        <v>0</v>
      </c>
      <c r="I333" s="2">
        <v>0</v>
      </c>
      <c r="J333" s="2">
        <v>0</v>
      </c>
      <c r="K333" s="2">
        <v>2.37</v>
      </c>
      <c r="L333" s="158">
        <v>0</v>
      </c>
      <c r="M333" s="158">
        <v>1</v>
      </c>
      <c r="N333" s="2"/>
      <c r="O333"/>
      <c r="P333"/>
      <c r="Q333"/>
    </row>
    <row r="334" spans="1:17" x14ac:dyDescent="0.25">
      <c r="A334" s="2">
        <v>540256</v>
      </c>
      <c r="B334" s="2" t="s">
        <v>301</v>
      </c>
      <c r="C334" s="2" t="s">
        <v>89</v>
      </c>
      <c r="D334" s="2" t="s">
        <v>115</v>
      </c>
      <c r="E334" s="2">
        <v>10</v>
      </c>
      <c r="F334" s="2">
        <v>0</v>
      </c>
      <c r="G334" s="2">
        <v>1.84</v>
      </c>
      <c r="H334" s="2">
        <v>0</v>
      </c>
      <c r="I334" s="2">
        <v>0</v>
      </c>
      <c r="J334" s="2">
        <v>0</v>
      </c>
      <c r="K334" s="2">
        <v>1.84</v>
      </c>
      <c r="L334" s="158">
        <v>0</v>
      </c>
      <c r="M334" s="158">
        <v>1</v>
      </c>
      <c r="N334" s="2"/>
      <c r="O334"/>
      <c r="P334"/>
      <c r="Q334"/>
    </row>
    <row r="335" spans="1:17" x14ac:dyDescent="0.25">
      <c r="A335" s="2">
        <v>540258</v>
      </c>
      <c r="B335" s="2" t="s">
        <v>303</v>
      </c>
      <c r="C335" s="2" t="s">
        <v>89</v>
      </c>
      <c r="D335" s="2" t="s">
        <v>115</v>
      </c>
      <c r="E335" s="2">
        <v>10</v>
      </c>
      <c r="F335" s="2">
        <v>0</v>
      </c>
      <c r="G335" s="2">
        <v>1.64</v>
      </c>
      <c r="H335" s="2">
        <v>0</v>
      </c>
      <c r="I335" s="2">
        <v>0</v>
      </c>
      <c r="J335" s="2">
        <v>0</v>
      </c>
      <c r="K335" s="2">
        <v>1.64</v>
      </c>
      <c r="L335" s="158">
        <v>0</v>
      </c>
      <c r="M335" s="158">
        <v>1</v>
      </c>
      <c r="N335" s="2"/>
      <c r="O335"/>
      <c r="P335"/>
      <c r="Q335"/>
    </row>
    <row r="336" spans="1:17" x14ac:dyDescent="0.25">
      <c r="A336" s="2">
        <v>540207</v>
      </c>
      <c r="B336" s="2" t="s">
        <v>88</v>
      </c>
      <c r="C336" s="2" t="s">
        <v>89</v>
      </c>
      <c r="D336" s="2" t="s">
        <v>5</v>
      </c>
      <c r="E336" s="2">
        <v>10</v>
      </c>
      <c r="F336" s="2">
        <v>17.78</v>
      </c>
      <c r="G336" s="2">
        <v>176.83</v>
      </c>
      <c r="H336" s="2">
        <v>17.78</v>
      </c>
      <c r="I336" s="2">
        <v>0</v>
      </c>
      <c r="J336" s="2">
        <v>0</v>
      </c>
      <c r="K336" s="2">
        <v>194.61</v>
      </c>
      <c r="L336" s="158">
        <v>9.1399999999999995E-2</v>
      </c>
      <c r="M336" s="158">
        <v>0.90859999999999996</v>
      </c>
      <c r="N336" s="2"/>
      <c r="O336"/>
      <c r="P336"/>
      <c r="Q336"/>
    </row>
    <row r="337" spans="1:17" x14ac:dyDescent="0.25">
      <c r="A337" s="255"/>
      <c r="B337" s="255"/>
      <c r="C337" s="255" t="s">
        <v>89</v>
      </c>
      <c r="D337" s="255"/>
      <c r="E337" s="255"/>
      <c r="F337" s="255">
        <v>19.55</v>
      </c>
      <c r="G337" s="255">
        <v>0</v>
      </c>
      <c r="H337" s="255">
        <v>0</v>
      </c>
      <c r="I337" s="255">
        <v>19.55</v>
      </c>
      <c r="J337" s="255">
        <v>182.68</v>
      </c>
      <c r="K337" s="255">
        <v>202.23</v>
      </c>
      <c r="L337" s="256">
        <v>9.6699999999999994E-2</v>
      </c>
      <c r="M337" s="256">
        <v>0.90329999999999999</v>
      </c>
      <c r="N337" s="255">
        <v>33</v>
      </c>
      <c r="O337"/>
      <c r="P337"/>
      <c r="Q337"/>
    </row>
    <row r="338" spans="1:17" x14ac:dyDescent="0.25">
      <c r="A338" s="2">
        <v>540212</v>
      </c>
      <c r="B338" s="2" t="s">
        <v>268</v>
      </c>
      <c r="C338" s="2" t="s">
        <v>91</v>
      </c>
      <c r="D338" s="2" t="s">
        <v>115</v>
      </c>
      <c r="E338" s="2">
        <v>5</v>
      </c>
      <c r="F338" s="2">
        <v>1.79</v>
      </c>
      <c r="G338" s="2">
        <v>0</v>
      </c>
      <c r="H338" s="2">
        <v>1.79</v>
      </c>
      <c r="I338" s="2">
        <v>0</v>
      </c>
      <c r="J338" s="2">
        <v>0</v>
      </c>
      <c r="K338" s="2">
        <v>1.79</v>
      </c>
      <c r="L338" s="158">
        <v>1</v>
      </c>
      <c r="M338" s="158">
        <v>0</v>
      </c>
      <c r="N338" s="2"/>
      <c r="O338"/>
      <c r="P338"/>
      <c r="Q338"/>
    </row>
    <row r="339" spans="1:17" x14ac:dyDescent="0.25">
      <c r="A339" s="2">
        <v>540211</v>
      </c>
      <c r="B339" s="2" t="s">
        <v>90</v>
      </c>
      <c r="C339" s="2" t="s">
        <v>91</v>
      </c>
      <c r="D339" s="2" t="s">
        <v>5</v>
      </c>
      <c r="E339" s="2">
        <v>5</v>
      </c>
      <c r="F339" s="2">
        <v>0.71</v>
      </c>
      <c r="G339" s="2">
        <v>170.75</v>
      </c>
      <c r="H339" s="2">
        <v>0.71</v>
      </c>
      <c r="I339" s="2">
        <v>0</v>
      </c>
      <c r="J339" s="2">
        <v>0</v>
      </c>
      <c r="K339" s="2">
        <v>171.46</v>
      </c>
      <c r="L339" s="158">
        <v>4.1000000000000003E-3</v>
      </c>
      <c r="M339" s="158">
        <v>0.99590000000000001</v>
      </c>
      <c r="N339" s="2"/>
      <c r="O339"/>
      <c r="P339"/>
      <c r="Q339"/>
    </row>
    <row r="340" spans="1:17" x14ac:dyDescent="0.25">
      <c r="A340" s="255"/>
      <c r="B340" s="255"/>
      <c r="C340" s="255" t="s">
        <v>91</v>
      </c>
      <c r="D340" s="255"/>
      <c r="E340" s="255"/>
      <c r="F340" s="255">
        <v>2.5</v>
      </c>
      <c r="G340" s="255">
        <v>0</v>
      </c>
      <c r="H340" s="255">
        <v>0</v>
      </c>
      <c r="I340" s="255">
        <v>2.5</v>
      </c>
      <c r="J340" s="255">
        <v>170.75</v>
      </c>
      <c r="K340" s="255">
        <v>173.25</v>
      </c>
      <c r="L340" s="256">
        <v>1.44E-2</v>
      </c>
      <c r="M340" s="256">
        <v>0.98560000000000003</v>
      </c>
      <c r="N340" s="255">
        <v>36</v>
      </c>
      <c r="O340"/>
      <c r="P340"/>
      <c r="Q340"/>
    </row>
    <row r="341" spans="1:17" x14ac:dyDescent="0.25">
      <c r="A341" s="2">
        <v>540042</v>
      </c>
      <c r="B341" s="2" t="s">
        <v>143</v>
      </c>
      <c r="C341" s="2" t="s">
        <v>93</v>
      </c>
      <c r="D341" s="2" t="s">
        <v>115</v>
      </c>
      <c r="E341" s="2">
        <v>5</v>
      </c>
      <c r="F341" s="2">
        <v>0</v>
      </c>
      <c r="G341" s="2">
        <v>0.57999999999999996</v>
      </c>
      <c r="H341" s="2">
        <v>0</v>
      </c>
      <c r="I341" s="2">
        <v>0</v>
      </c>
      <c r="J341" s="2">
        <v>0</v>
      </c>
      <c r="K341" s="2">
        <v>0.57999999999999996</v>
      </c>
      <c r="L341" s="158">
        <v>0</v>
      </c>
      <c r="M341" s="158">
        <v>1</v>
      </c>
      <c r="N341" s="2"/>
      <c r="O341"/>
      <c r="P341"/>
      <c r="Q341"/>
    </row>
    <row r="342" spans="1:17" x14ac:dyDescent="0.25">
      <c r="A342" s="2">
        <v>540214</v>
      </c>
      <c r="B342" s="2" t="s">
        <v>269</v>
      </c>
      <c r="C342" s="2" t="s">
        <v>93</v>
      </c>
      <c r="D342" s="2" t="s">
        <v>115</v>
      </c>
      <c r="E342" s="2">
        <v>5</v>
      </c>
      <c r="F342" s="2">
        <v>13.16</v>
      </c>
      <c r="G342" s="2">
        <v>2.04</v>
      </c>
      <c r="H342" s="2">
        <v>13.16</v>
      </c>
      <c r="I342" s="2">
        <v>0</v>
      </c>
      <c r="J342" s="2">
        <v>0</v>
      </c>
      <c r="K342" s="2">
        <v>15.21</v>
      </c>
      <c r="L342" s="158">
        <v>0.86570000000000003</v>
      </c>
      <c r="M342" s="158">
        <v>0.1343</v>
      </c>
      <c r="N342" s="2"/>
      <c r="O342"/>
      <c r="P342"/>
      <c r="Q342"/>
    </row>
    <row r="343" spans="1:17" x14ac:dyDescent="0.25">
      <c r="A343" s="2">
        <v>540215</v>
      </c>
      <c r="B343" s="2" t="s">
        <v>270</v>
      </c>
      <c r="C343" s="2" t="s">
        <v>93</v>
      </c>
      <c r="D343" s="2" t="s">
        <v>115</v>
      </c>
      <c r="E343" s="2">
        <v>5</v>
      </c>
      <c r="F343" s="2">
        <v>2.2400000000000002</v>
      </c>
      <c r="G343" s="2">
        <v>1.1599999999999999</v>
      </c>
      <c r="H343" s="2">
        <v>2.2400000000000002</v>
      </c>
      <c r="I343" s="2">
        <v>0</v>
      </c>
      <c r="J343" s="2">
        <v>0</v>
      </c>
      <c r="K343" s="2">
        <v>3.4</v>
      </c>
      <c r="L343" s="158">
        <v>0.65920000000000001</v>
      </c>
      <c r="M343" s="158">
        <v>0.34079999999999999</v>
      </c>
      <c r="N343" s="2"/>
      <c r="O343"/>
      <c r="P343"/>
      <c r="Q343"/>
    </row>
    <row r="344" spans="1:17" x14ac:dyDescent="0.25">
      <c r="A344" s="2">
        <v>540216</v>
      </c>
      <c r="B344" s="2" t="s">
        <v>271</v>
      </c>
      <c r="C344" s="2" t="s">
        <v>93</v>
      </c>
      <c r="D344" s="2" t="s">
        <v>115</v>
      </c>
      <c r="E344" s="2">
        <v>5</v>
      </c>
      <c r="F344" s="2">
        <v>2.71</v>
      </c>
      <c r="G344" s="2">
        <v>0</v>
      </c>
      <c r="H344" s="2">
        <v>2.71</v>
      </c>
      <c r="I344" s="2">
        <v>0</v>
      </c>
      <c r="J344" s="2">
        <v>0</v>
      </c>
      <c r="K344" s="2">
        <v>2.71</v>
      </c>
      <c r="L344" s="158">
        <v>1</v>
      </c>
      <c r="M344" s="158">
        <v>0</v>
      </c>
      <c r="N344" s="2"/>
      <c r="O344"/>
      <c r="P344"/>
      <c r="Q344"/>
    </row>
    <row r="345" spans="1:17" x14ac:dyDescent="0.25">
      <c r="A345" s="2">
        <v>540213</v>
      </c>
      <c r="B345" s="2" t="s">
        <v>92</v>
      </c>
      <c r="C345" s="2" t="s">
        <v>93</v>
      </c>
      <c r="D345" s="2" t="s">
        <v>5</v>
      </c>
      <c r="E345" s="2">
        <v>5</v>
      </c>
      <c r="F345" s="2">
        <v>173.82</v>
      </c>
      <c r="G345" s="2">
        <v>216.35</v>
      </c>
      <c r="H345" s="2">
        <v>173.82</v>
      </c>
      <c r="I345" s="2">
        <v>0</v>
      </c>
      <c r="J345" s="2">
        <v>0</v>
      </c>
      <c r="K345" s="2">
        <v>390.16</v>
      </c>
      <c r="L345" s="158">
        <v>0.44550000000000001</v>
      </c>
      <c r="M345" s="158">
        <v>0.55449999999999999</v>
      </c>
      <c r="N345" s="2"/>
      <c r="O345"/>
      <c r="P345"/>
      <c r="Q345"/>
    </row>
    <row r="346" spans="1:17" x14ac:dyDescent="0.25">
      <c r="A346" s="255"/>
      <c r="B346" s="255"/>
      <c r="C346" s="255" t="s">
        <v>93</v>
      </c>
      <c r="D346" s="255"/>
      <c r="E346" s="255"/>
      <c r="F346" s="255">
        <v>191.93</v>
      </c>
      <c r="G346" s="255">
        <v>0</v>
      </c>
      <c r="H346" s="255">
        <v>0</v>
      </c>
      <c r="I346" s="255">
        <v>191.93</v>
      </c>
      <c r="J346" s="255">
        <v>220.13</v>
      </c>
      <c r="K346" s="255">
        <v>412.06</v>
      </c>
      <c r="L346" s="256">
        <v>0.46579999999999999</v>
      </c>
      <c r="M346" s="256">
        <v>0.53420000000000001</v>
      </c>
      <c r="N346" s="255">
        <v>6</v>
      </c>
      <c r="O346"/>
      <c r="P346"/>
      <c r="Q346"/>
    </row>
    <row r="347" spans="1:17" x14ac:dyDescent="0.25">
      <c r="A347" s="2">
        <v>540218</v>
      </c>
      <c r="B347" s="2" t="s">
        <v>272</v>
      </c>
      <c r="C347" s="2" t="s">
        <v>95</v>
      </c>
      <c r="D347" s="2" t="s">
        <v>115</v>
      </c>
      <c r="E347" s="2">
        <v>1</v>
      </c>
      <c r="F347" s="2">
        <v>5</v>
      </c>
      <c r="G347" s="2">
        <v>0</v>
      </c>
      <c r="H347" s="2">
        <v>5</v>
      </c>
      <c r="I347" s="2">
        <v>0</v>
      </c>
      <c r="J347" s="2">
        <v>0</v>
      </c>
      <c r="K347" s="2">
        <v>5</v>
      </c>
      <c r="L347" s="158">
        <v>1</v>
      </c>
      <c r="M347" s="158">
        <v>0</v>
      </c>
      <c r="N347" s="2"/>
      <c r="O347"/>
      <c r="P347"/>
      <c r="Q347"/>
    </row>
    <row r="348" spans="1:17" x14ac:dyDescent="0.25">
      <c r="A348" s="2">
        <v>540219</v>
      </c>
      <c r="B348" s="2" t="s">
        <v>273</v>
      </c>
      <c r="C348" s="2" t="s">
        <v>95</v>
      </c>
      <c r="D348" s="2" t="s">
        <v>115</v>
      </c>
      <c r="E348" s="2">
        <v>1</v>
      </c>
      <c r="F348" s="2">
        <v>4.1500000000000004</v>
      </c>
      <c r="G348" s="2">
        <v>0.41</v>
      </c>
      <c r="H348" s="2">
        <v>4.1500000000000004</v>
      </c>
      <c r="I348" s="2">
        <v>0</v>
      </c>
      <c r="J348" s="2">
        <v>0</v>
      </c>
      <c r="K348" s="2">
        <v>4.5599999999999996</v>
      </c>
      <c r="L348" s="158">
        <v>0.90959999999999996</v>
      </c>
      <c r="M348" s="158">
        <v>9.0399999999999994E-2</v>
      </c>
      <c r="N348" s="2"/>
      <c r="O348"/>
      <c r="P348"/>
      <c r="Q348"/>
    </row>
    <row r="349" spans="1:17" x14ac:dyDescent="0.25">
      <c r="A349" s="2">
        <v>540220</v>
      </c>
      <c r="B349" s="2" t="s">
        <v>274</v>
      </c>
      <c r="C349" s="2" t="s">
        <v>95</v>
      </c>
      <c r="D349" s="2" t="s">
        <v>115</v>
      </c>
      <c r="E349" s="2">
        <v>1</v>
      </c>
      <c r="F349" s="2">
        <v>3.58</v>
      </c>
      <c r="G349" s="2">
        <v>0.34</v>
      </c>
      <c r="H349" s="2">
        <v>3.58</v>
      </c>
      <c r="I349" s="2">
        <v>0</v>
      </c>
      <c r="J349" s="2">
        <v>0</v>
      </c>
      <c r="K349" s="2">
        <v>3.92</v>
      </c>
      <c r="L349" s="158">
        <v>0.91320000000000001</v>
      </c>
      <c r="M349" s="158">
        <v>8.6800000000000002E-2</v>
      </c>
      <c r="N349" s="2"/>
      <c r="O349"/>
      <c r="P349"/>
      <c r="Q349"/>
    </row>
    <row r="350" spans="1:17" x14ac:dyDescent="0.25">
      <c r="A350" s="2">
        <v>540217</v>
      </c>
      <c r="B350" s="2" t="s">
        <v>94</v>
      </c>
      <c r="C350" s="2" t="s">
        <v>95</v>
      </c>
      <c r="D350" s="2" t="s">
        <v>5</v>
      </c>
      <c r="E350" s="2">
        <v>1</v>
      </c>
      <c r="F350" s="2">
        <v>108.93</v>
      </c>
      <c r="G350" s="2">
        <v>96.01</v>
      </c>
      <c r="H350" s="2">
        <v>108.93</v>
      </c>
      <c r="I350" s="2">
        <v>0</v>
      </c>
      <c r="J350" s="2">
        <v>0</v>
      </c>
      <c r="K350" s="2">
        <v>204.94</v>
      </c>
      <c r="L350" s="158">
        <v>0.53149999999999997</v>
      </c>
      <c r="M350" s="158">
        <v>0.46850000000000003</v>
      </c>
      <c r="N350" s="2"/>
      <c r="O350"/>
      <c r="P350"/>
      <c r="Q350"/>
    </row>
    <row r="351" spans="1:17" x14ac:dyDescent="0.25">
      <c r="A351" s="255"/>
      <c r="B351" s="255"/>
      <c r="C351" s="255" t="s">
        <v>95</v>
      </c>
      <c r="D351" s="255"/>
      <c r="E351" s="255"/>
      <c r="F351" s="255">
        <v>121.66</v>
      </c>
      <c r="G351" s="255">
        <v>0</v>
      </c>
      <c r="H351" s="255">
        <v>0</v>
      </c>
      <c r="I351" s="255">
        <v>121.66</v>
      </c>
      <c r="J351" s="255">
        <v>96.76</v>
      </c>
      <c r="K351" s="255">
        <v>218.43</v>
      </c>
      <c r="L351" s="256">
        <v>0.55700000000000005</v>
      </c>
      <c r="M351" s="256">
        <v>0.443</v>
      </c>
      <c r="N351" s="255">
        <v>28</v>
      </c>
      <c r="O351"/>
      <c r="P351"/>
      <c r="Q351"/>
    </row>
  </sheetData>
  <hyperlinks>
    <hyperlink ref="Q3" r:id="rId1"/>
  </hyperlinks>
  <pageMargins left="0.7" right="0.7" top="0.75" bottom="0.75" header="0.3" footer="0.3"/>
  <pageSetup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topLeftCell="F1" workbookViewId="0">
      <pane ySplit="1" topLeftCell="A2" activePane="bottomLeft" state="frozen"/>
      <selection pane="bottomLeft" activeCell="M3" sqref="M3"/>
    </sheetView>
  </sheetViews>
  <sheetFormatPr defaultColWidth="9.140625" defaultRowHeight="15" x14ac:dyDescent="0.25"/>
  <cols>
    <col min="1" max="1" width="22.42578125" style="260" bestFit="1" customWidth="1"/>
    <col min="2" max="2" width="25.85546875" style="261" bestFit="1" customWidth="1"/>
    <col min="3" max="3" width="26.140625" style="262" bestFit="1" customWidth="1"/>
    <col min="4" max="4" width="26.28515625" style="262" bestFit="1" customWidth="1"/>
    <col min="5" max="5" width="34" style="263" bestFit="1" customWidth="1"/>
    <col min="6" max="6" width="25.140625" style="260" bestFit="1" customWidth="1"/>
    <col min="7" max="7" width="11.85546875" style="260" bestFit="1" customWidth="1"/>
    <col min="8" max="8" width="15.5703125" style="260" bestFit="1" customWidth="1"/>
    <col min="9" max="9" width="14.42578125" style="260" bestFit="1" customWidth="1"/>
    <col min="10" max="10" width="20.7109375" style="260" bestFit="1" customWidth="1"/>
    <col min="11" max="11" width="9.140625" style="39"/>
    <col min="12" max="12" width="9.42578125" style="39" bestFit="1" customWidth="1"/>
    <col min="13" max="13" width="111" style="39" bestFit="1" customWidth="1"/>
    <col min="14" max="16384" width="9.140625" style="39"/>
  </cols>
  <sheetData>
    <row r="1" spans="1:13" ht="45.75" customHeight="1" x14ac:dyDescent="0.25">
      <c r="A1" s="251" t="s">
        <v>2</v>
      </c>
      <c r="B1" s="251" t="s">
        <v>1372</v>
      </c>
      <c r="C1" s="251" t="s">
        <v>1373</v>
      </c>
      <c r="D1" s="251" t="s">
        <v>1374</v>
      </c>
      <c r="E1" s="251" t="s">
        <v>1375</v>
      </c>
      <c r="F1" s="251" t="s">
        <v>1376</v>
      </c>
      <c r="G1" s="251" t="s">
        <v>1377</v>
      </c>
      <c r="H1" s="251" t="s">
        <v>480</v>
      </c>
      <c r="I1" s="251" t="s">
        <v>481</v>
      </c>
      <c r="J1" s="251" t="s">
        <v>479</v>
      </c>
      <c r="K1"/>
      <c r="L1"/>
      <c r="M1"/>
    </row>
    <row r="2" spans="1:13" x14ac:dyDescent="0.25">
      <c r="A2" s="258" t="s">
        <v>4</v>
      </c>
      <c r="B2" s="258">
        <v>8.32</v>
      </c>
      <c r="C2" s="258">
        <v>0</v>
      </c>
      <c r="D2" s="258">
        <v>0</v>
      </c>
      <c r="E2" s="258">
        <v>8.32</v>
      </c>
      <c r="F2" s="258">
        <v>142.84</v>
      </c>
      <c r="G2" s="258">
        <v>151.16</v>
      </c>
      <c r="H2" s="259">
        <v>5.5100000000000003E-2</v>
      </c>
      <c r="I2" s="259">
        <v>0.94489999999999996</v>
      </c>
      <c r="J2" s="258">
        <v>44</v>
      </c>
      <c r="K2"/>
      <c r="L2" s="206" t="s">
        <v>1325</v>
      </c>
      <c r="M2" s="62" t="s">
        <v>1379</v>
      </c>
    </row>
    <row r="3" spans="1:13" x14ac:dyDescent="0.25">
      <c r="A3" s="258" t="s">
        <v>107</v>
      </c>
      <c r="B3" s="258">
        <v>72.069999999999993</v>
      </c>
      <c r="C3" s="258">
        <v>0</v>
      </c>
      <c r="D3" s="258">
        <v>0</v>
      </c>
      <c r="E3" s="258">
        <v>72.069999999999993</v>
      </c>
      <c r="F3" s="258">
        <v>90.73</v>
      </c>
      <c r="G3" s="258">
        <v>162.80000000000001</v>
      </c>
      <c r="H3" s="259">
        <v>0.44269999999999998</v>
      </c>
      <c r="I3" s="259">
        <v>0.55730000000000002</v>
      </c>
      <c r="J3" s="258">
        <v>40</v>
      </c>
      <c r="K3"/>
      <c r="L3" s="206" t="s">
        <v>1326</v>
      </c>
      <c r="M3" s="393" t="s">
        <v>1378</v>
      </c>
    </row>
    <row r="4" spans="1:13" ht="15.75" customHeight="1" x14ac:dyDescent="0.25">
      <c r="A4" s="258" t="s">
        <v>7</v>
      </c>
      <c r="B4" s="258">
        <v>110.71</v>
      </c>
      <c r="C4" s="258">
        <v>0</v>
      </c>
      <c r="D4" s="258">
        <v>0</v>
      </c>
      <c r="E4" s="258">
        <v>110.71</v>
      </c>
      <c r="F4" s="258">
        <v>101.36</v>
      </c>
      <c r="G4" s="258">
        <v>212.07</v>
      </c>
      <c r="H4" s="259">
        <v>0.52200000000000002</v>
      </c>
      <c r="I4" s="259">
        <v>0.47799999999999998</v>
      </c>
      <c r="J4" s="258">
        <v>32</v>
      </c>
      <c r="K4"/>
      <c r="L4"/>
      <c r="M4"/>
    </row>
    <row r="5" spans="1:13" x14ac:dyDescent="0.25">
      <c r="A5" s="258" t="s">
        <v>9</v>
      </c>
      <c r="B5" s="258">
        <v>40.04</v>
      </c>
      <c r="C5" s="258">
        <v>0</v>
      </c>
      <c r="D5" s="258">
        <v>0</v>
      </c>
      <c r="E5" s="258">
        <v>40.04</v>
      </c>
      <c r="F5" s="258">
        <v>245.23</v>
      </c>
      <c r="G5" s="258">
        <v>285.27</v>
      </c>
      <c r="H5" s="259">
        <v>0.1404</v>
      </c>
      <c r="I5" s="259">
        <v>0.85960000000000003</v>
      </c>
      <c r="J5" s="258">
        <v>17</v>
      </c>
      <c r="K5"/>
      <c r="L5"/>
      <c r="M5"/>
    </row>
    <row r="6" spans="1:13" x14ac:dyDescent="0.25">
      <c r="A6" s="258" t="s">
        <v>11</v>
      </c>
      <c r="B6" s="258">
        <v>35.950000000000003</v>
      </c>
      <c r="C6" s="258">
        <v>0</v>
      </c>
      <c r="D6" s="258">
        <v>0</v>
      </c>
      <c r="E6" s="258">
        <v>35.950000000000003</v>
      </c>
      <c r="F6" s="258">
        <v>22.17</v>
      </c>
      <c r="G6" s="258">
        <v>58.12</v>
      </c>
      <c r="H6" s="259">
        <v>0.61850000000000005</v>
      </c>
      <c r="I6" s="259">
        <v>0.38150000000000001</v>
      </c>
      <c r="J6" s="258">
        <v>54</v>
      </c>
      <c r="K6"/>
      <c r="L6"/>
      <c r="M6"/>
    </row>
    <row r="7" spans="1:13" x14ac:dyDescent="0.25">
      <c r="A7" s="258" t="s">
        <v>13</v>
      </c>
      <c r="B7" s="258">
        <v>161.34</v>
      </c>
      <c r="C7" s="258">
        <v>0</v>
      </c>
      <c r="D7" s="258">
        <v>0</v>
      </c>
      <c r="E7" s="258">
        <v>161.34</v>
      </c>
      <c r="F7" s="258">
        <v>121.9</v>
      </c>
      <c r="G7" s="258">
        <v>283.24</v>
      </c>
      <c r="H7" s="259">
        <v>0.5696</v>
      </c>
      <c r="I7" s="259">
        <v>0.4304</v>
      </c>
      <c r="J7" s="258">
        <v>20</v>
      </c>
      <c r="K7"/>
      <c r="L7"/>
      <c r="M7"/>
    </row>
    <row r="8" spans="1:13" x14ac:dyDescent="0.25">
      <c r="A8" s="258" t="s">
        <v>15</v>
      </c>
      <c r="B8" s="258">
        <v>29.29</v>
      </c>
      <c r="C8" s="258">
        <v>0</v>
      </c>
      <c r="D8" s="258">
        <v>0</v>
      </c>
      <c r="E8" s="258">
        <v>29.29</v>
      </c>
      <c r="F8" s="258">
        <v>100.82</v>
      </c>
      <c r="G8" s="258">
        <v>130.12</v>
      </c>
      <c r="H8" s="259">
        <v>0.22509999999999999</v>
      </c>
      <c r="I8" s="259">
        <v>0.77490000000000003</v>
      </c>
      <c r="J8" s="258">
        <v>48</v>
      </c>
      <c r="K8"/>
      <c r="L8"/>
      <c r="M8"/>
    </row>
    <row r="9" spans="1:13" x14ac:dyDescent="0.25">
      <c r="A9" s="258" t="s">
        <v>17</v>
      </c>
      <c r="B9" s="258">
        <v>75.290000000000006</v>
      </c>
      <c r="C9" s="258">
        <v>0</v>
      </c>
      <c r="D9" s="258">
        <v>0</v>
      </c>
      <c r="E9" s="258">
        <v>75.290000000000006</v>
      </c>
      <c r="F9" s="258">
        <v>84.74</v>
      </c>
      <c r="G9" s="258">
        <v>160.03</v>
      </c>
      <c r="H9" s="259">
        <v>0.47049999999999997</v>
      </c>
      <c r="I9" s="259">
        <v>0.52949999999999997</v>
      </c>
      <c r="J9" s="258">
        <v>41</v>
      </c>
      <c r="K9"/>
      <c r="L9"/>
      <c r="M9"/>
    </row>
    <row r="10" spans="1:13" x14ac:dyDescent="0.25">
      <c r="A10" s="258" t="s">
        <v>19</v>
      </c>
      <c r="B10" s="258">
        <v>57.38</v>
      </c>
      <c r="C10" s="258">
        <v>0</v>
      </c>
      <c r="D10" s="258">
        <v>0</v>
      </c>
      <c r="E10" s="258">
        <v>57.38</v>
      </c>
      <c r="F10" s="258">
        <v>109.67</v>
      </c>
      <c r="G10" s="258">
        <v>167.05</v>
      </c>
      <c r="H10" s="259">
        <v>0.34350000000000003</v>
      </c>
      <c r="I10" s="259">
        <v>0.65649999999999997</v>
      </c>
      <c r="J10" s="258">
        <v>38</v>
      </c>
      <c r="K10"/>
      <c r="L10"/>
      <c r="M10"/>
    </row>
    <row r="11" spans="1:13" x14ac:dyDescent="0.25">
      <c r="A11" s="258" t="s">
        <v>21</v>
      </c>
      <c r="B11" s="258">
        <v>28.63</v>
      </c>
      <c r="C11" s="258">
        <v>0</v>
      </c>
      <c r="D11" s="258">
        <v>0</v>
      </c>
      <c r="E11" s="258">
        <v>28.63</v>
      </c>
      <c r="F11" s="258">
        <v>124.33</v>
      </c>
      <c r="G11" s="258">
        <v>152.96</v>
      </c>
      <c r="H11" s="259">
        <v>0.18720000000000001</v>
      </c>
      <c r="I11" s="259">
        <v>0.81279999999999997</v>
      </c>
      <c r="J11" s="258">
        <v>43</v>
      </c>
      <c r="K11"/>
      <c r="L11"/>
      <c r="M11"/>
    </row>
    <row r="12" spans="1:13" x14ac:dyDescent="0.25">
      <c r="A12" s="258" t="s">
        <v>23</v>
      </c>
      <c r="B12" s="258">
        <v>67.95</v>
      </c>
      <c r="C12" s="258">
        <v>0</v>
      </c>
      <c r="D12" s="258">
        <v>0</v>
      </c>
      <c r="E12" s="258">
        <v>67.95</v>
      </c>
      <c r="F12" s="258">
        <v>144.77000000000001</v>
      </c>
      <c r="G12" s="258">
        <v>212.71</v>
      </c>
      <c r="H12" s="259">
        <v>0.31940000000000002</v>
      </c>
      <c r="I12" s="259">
        <v>0.68059999999999998</v>
      </c>
      <c r="J12" s="258">
        <v>31</v>
      </c>
      <c r="K12"/>
      <c r="L12"/>
      <c r="M12"/>
    </row>
    <row r="13" spans="1:13" x14ac:dyDescent="0.25">
      <c r="A13" s="258" t="s">
        <v>25</v>
      </c>
      <c r="B13" s="258">
        <v>12.55</v>
      </c>
      <c r="C13" s="258">
        <v>0.25</v>
      </c>
      <c r="D13" s="258">
        <v>0</v>
      </c>
      <c r="E13" s="258">
        <v>12.81</v>
      </c>
      <c r="F13" s="258">
        <v>127.71</v>
      </c>
      <c r="G13" s="258">
        <v>140.52000000000001</v>
      </c>
      <c r="H13" s="259">
        <v>9.11E-2</v>
      </c>
      <c r="I13" s="259">
        <v>0.90890000000000004</v>
      </c>
      <c r="J13" s="258">
        <v>46</v>
      </c>
      <c r="K13"/>
      <c r="L13"/>
      <c r="M13"/>
    </row>
    <row r="14" spans="1:13" x14ac:dyDescent="0.25">
      <c r="A14" s="258" t="s">
        <v>27</v>
      </c>
      <c r="B14" s="258">
        <v>54.9</v>
      </c>
      <c r="C14" s="258">
        <v>0</v>
      </c>
      <c r="D14" s="258">
        <v>0</v>
      </c>
      <c r="E14" s="258">
        <v>54.9</v>
      </c>
      <c r="F14" s="258">
        <v>507.72</v>
      </c>
      <c r="G14" s="258">
        <v>562.63</v>
      </c>
      <c r="H14" s="259">
        <v>9.7600000000000006E-2</v>
      </c>
      <c r="I14" s="259">
        <v>0.90239999999999998</v>
      </c>
      <c r="J14" s="258">
        <v>2</v>
      </c>
      <c r="K14"/>
      <c r="L14"/>
      <c r="M14"/>
    </row>
    <row r="15" spans="1:13" x14ac:dyDescent="0.25">
      <c r="A15" s="258" t="s">
        <v>101</v>
      </c>
      <c r="B15" s="258">
        <v>90.27</v>
      </c>
      <c r="C15" s="258">
        <v>0</v>
      </c>
      <c r="D15" s="258">
        <v>0</v>
      </c>
      <c r="E15" s="258">
        <v>90.27</v>
      </c>
      <c r="F15" s="258">
        <v>429.8</v>
      </c>
      <c r="G15" s="258">
        <v>520.07000000000005</v>
      </c>
      <c r="H15" s="259">
        <v>0.1736</v>
      </c>
      <c r="I15" s="259">
        <v>0.82640000000000002</v>
      </c>
      <c r="J15" s="258">
        <v>3</v>
      </c>
      <c r="K15"/>
      <c r="L15"/>
      <c r="M15"/>
    </row>
    <row r="16" spans="1:13" x14ac:dyDescent="0.25">
      <c r="A16" s="258" t="s">
        <v>29</v>
      </c>
      <c r="B16" s="258">
        <v>39.799999999999997</v>
      </c>
      <c r="C16" s="258">
        <v>0</v>
      </c>
      <c r="D16" s="258">
        <v>0</v>
      </c>
      <c r="E16" s="258">
        <v>39.799999999999997</v>
      </c>
      <c r="F16" s="258">
        <v>2</v>
      </c>
      <c r="G16" s="258">
        <v>41.8</v>
      </c>
      <c r="H16" s="259">
        <v>0.95209999999999995</v>
      </c>
      <c r="I16" s="259">
        <v>4.7899999999999998E-2</v>
      </c>
      <c r="J16" s="258">
        <v>55</v>
      </c>
      <c r="K16"/>
      <c r="L16"/>
      <c r="M16"/>
    </row>
    <row r="17" spans="1:13" x14ac:dyDescent="0.25">
      <c r="A17" s="258" t="s">
        <v>31</v>
      </c>
      <c r="B17" s="258">
        <v>25.44</v>
      </c>
      <c r="C17" s="258">
        <v>0</v>
      </c>
      <c r="D17" s="258">
        <v>0</v>
      </c>
      <c r="E17" s="258">
        <v>25.44</v>
      </c>
      <c r="F17" s="258">
        <v>239.55</v>
      </c>
      <c r="G17" s="258">
        <v>264.99</v>
      </c>
      <c r="H17" s="259">
        <v>9.6000000000000002E-2</v>
      </c>
      <c r="I17" s="259">
        <v>0.90400000000000003</v>
      </c>
      <c r="J17" s="258">
        <v>22</v>
      </c>
      <c r="K17"/>
      <c r="L17"/>
      <c r="M17"/>
    </row>
    <row r="18" spans="1:13" x14ac:dyDescent="0.25">
      <c r="A18" s="258" t="s">
        <v>33</v>
      </c>
      <c r="B18" s="258">
        <v>167.43</v>
      </c>
      <c r="C18" s="258">
        <v>0</v>
      </c>
      <c r="D18" s="258">
        <v>0</v>
      </c>
      <c r="E18" s="258">
        <v>167.43</v>
      </c>
      <c r="F18" s="258">
        <v>133.62</v>
      </c>
      <c r="G18" s="258">
        <v>301.05</v>
      </c>
      <c r="H18" s="259">
        <v>0.55610000000000004</v>
      </c>
      <c r="I18" s="259">
        <v>0.44390000000000002</v>
      </c>
      <c r="J18" s="258">
        <v>14</v>
      </c>
      <c r="K18"/>
      <c r="L18"/>
      <c r="M18"/>
    </row>
    <row r="19" spans="1:13" x14ac:dyDescent="0.25">
      <c r="A19" s="258" t="s">
        <v>35</v>
      </c>
      <c r="B19" s="258">
        <v>112.23</v>
      </c>
      <c r="C19" s="258">
        <v>0</v>
      </c>
      <c r="D19" s="258">
        <v>0</v>
      </c>
      <c r="E19" s="258">
        <v>112.23</v>
      </c>
      <c r="F19" s="258">
        <v>290.83</v>
      </c>
      <c r="G19" s="258">
        <v>403.06</v>
      </c>
      <c r="H19" s="259">
        <v>0.27839999999999998</v>
      </c>
      <c r="I19" s="259">
        <v>0.72160000000000002</v>
      </c>
      <c r="J19" s="258">
        <v>7</v>
      </c>
      <c r="K19"/>
      <c r="L19"/>
      <c r="M19"/>
    </row>
    <row r="20" spans="1:13" x14ac:dyDescent="0.25">
      <c r="A20" s="258" t="s">
        <v>37</v>
      </c>
      <c r="B20" s="258">
        <v>46.12</v>
      </c>
      <c r="C20" s="258">
        <v>0</v>
      </c>
      <c r="D20" s="258">
        <v>0.2</v>
      </c>
      <c r="E20" s="258">
        <v>46.32</v>
      </c>
      <c r="F20" s="258">
        <v>82.27</v>
      </c>
      <c r="G20" s="258">
        <v>128.59</v>
      </c>
      <c r="H20" s="259">
        <v>0.36020000000000002</v>
      </c>
      <c r="I20" s="259">
        <v>0.63980000000000004</v>
      </c>
      <c r="J20" s="258">
        <v>49</v>
      </c>
      <c r="K20"/>
      <c r="L20"/>
      <c r="M20"/>
    </row>
    <row r="21" spans="1:13" x14ac:dyDescent="0.25">
      <c r="A21" s="258" t="s">
        <v>39</v>
      </c>
      <c r="B21" s="258">
        <v>328.42</v>
      </c>
      <c r="C21" s="258">
        <v>0</v>
      </c>
      <c r="D21" s="258">
        <v>0</v>
      </c>
      <c r="E21" s="258">
        <v>328.42</v>
      </c>
      <c r="F21" s="258">
        <v>517.17999999999995</v>
      </c>
      <c r="G21" s="258">
        <v>845.59</v>
      </c>
      <c r="H21" s="259">
        <v>0.38840000000000002</v>
      </c>
      <c r="I21" s="259">
        <v>0.61160000000000003</v>
      </c>
      <c r="J21" s="258">
        <v>1</v>
      </c>
      <c r="K21"/>
      <c r="L21"/>
      <c r="M21"/>
    </row>
    <row r="22" spans="1:13" x14ac:dyDescent="0.25">
      <c r="A22" s="258" t="s">
        <v>41</v>
      </c>
      <c r="B22" s="258">
        <v>25.96</v>
      </c>
      <c r="C22" s="258">
        <v>0</v>
      </c>
      <c r="D22" s="258">
        <v>0</v>
      </c>
      <c r="E22" s="258">
        <v>25.96</v>
      </c>
      <c r="F22" s="258">
        <v>258.91000000000003</v>
      </c>
      <c r="G22" s="258">
        <v>284.87</v>
      </c>
      <c r="H22" s="259">
        <v>9.11E-2</v>
      </c>
      <c r="I22" s="259">
        <v>0.90890000000000004</v>
      </c>
      <c r="J22" s="258">
        <v>18</v>
      </c>
      <c r="K22"/>
      <c r="L22"/>
      <c r="M22"/>
    </row>
    <row r="23" spans="1:13" x14ac:dyDescent="0.25">
      <c r="A23" s="258" t="s">
        <v>43</v>
      </c>
      <c r="B23" s="258">
        <v>111.1</v>
      </c>
      <c r="C23" s="258">
        <v>0</v>
      </c>
      <c r="D23" s="258">
        <v>0</v>
      </c>
      <c r="E23" s="258">
        <v>111.1</v>
      </c>
      <c r="F23" s="258">
        <v>265.56</v>
      </c>
      <c r="G23" s="258">
        <v>376.66</v>
      </c>
      <c r="H23" s="259">
        <v>0.29499999999999998</v>
      </c>
      <c r="I23" s="259">
        <v>0.70499999999999996</v>
      </c>
      <c r="J23" s="258">
        <v>9</v>
      </c>
      <c r="K23"/>
      <c r="L23"/>
      <c r="M23"/>
    </row>
    <row r="24" spans="1:13" x14ac:dyDescent="0.25">
      <c r="A24" s="258" t="s">
        <v>111</v>
      </c>
      <c r="B24" s="258">
        <v>118.89</v>
      </c>
      <c r="C24" s="258">
        <v>0</v>
      </c>
      <c r="D24" s="258">
        <v>0</v>
      </c>
      <c r="E24" s="258">
        <v>118.89</v>
      </c>
      <c r="F24" s="258">
        <v>52.44</v>
      </c>
      <c r="G24" s="258">
        <v>171.33</v>
      </c>
      <c r="H24" s="259">
        <v>0.69389999999999996</v>
      </c>
      <c r="I24" s="259">
        <v>0.30609999999999998</v>
      </c>
      <c r="J24" s="258">
        <v>37</v>
      </c>
      <c r="K24"/>
      <c r="L24"/>
      <c r="M24"/>
    </row>
    <row r="25" spans="1:13" x14ac:dyDescent="0.25">
      <c r="A25" s="258" t="s">
        <v>45</v>
      </c>
      <c r="B25" s="258">
        <v>85.62</v>
      </c>
      <c r="C25" s="258">
        <v>0</v>
      </c>
      <c r="D25" s="258">
        <v>0</v>
      </c>
      <c r="E25" s="258">
        <v>85.62</v>
      </c>
      <c r="F25" s="258">
        <v>144.47999999999999</v>
      </c>
      <c r="G25" s="258">
        <v>230.1</v>
      </c>
      <c r="H25" s="259">
        <v>0.37209999999999999</v>
      </c>
      <c r="I25" s="259">
        <v>0.62790000000000001</v>
      </c>
      <c r="J25" s="258">
        <v>27</v>
      </c>
      <c r="K25"/>
      <c r="L25"/>
      <c r="M25"/>
    </row>
    <row r="26" spans="1:13" x14ac:dyDescent="0.25">
      <c r="A26" s="258" t="s">
        <v>47</v>
      </c>
      <c r="B26" s="258">
        <v>74.150000000000006</v>
      </c>
      <c r="C26" s="258">
        <v>0</v>
      </c>
      <c r="D26" s="258">
        <v>0</v>
      </c>
      <c r="E26" s="258">
        <v>74.150000000000006</v>
      </c>
      <c r="F26" s="258">
        <v>91.2</v>
      </c>
      <c r="G26" s="258">
        <v>165.35</v>
      </c>
      <c r="H26" s="259">
        <v>0.44840000000000002</v>
      </c>
      <c r="I26" s="259">
        <v>0.55159999999999998</v>
      </c>
      <c r="J26" s="258">
        <v>39</v>
      </c>
      <c r="K26"/>
      <c r="L26"/>
      <c r="M26"/>
    </row>
    <row r="27" spans="1:13" x14ac:dyDescent="0.25">
      <c r="A27" s="258" t="s">
        <v>49</v>
      </c>
      <c r="B27" s="258">
        <v>238.64</v>
      </c>
      <c r="C27" s="258">
        <v>0</v>
      </c>
      <c r="D27" s="258">
        <v>0</v>
      </c>
      <c r="E27" s="258">
        <v>238.64</v>
      </c>
      <c r="F27" s="258">
        <v>83.43</v>
      </c>
      <c r="G27" s="258">
        <v>322.06</v>
      </c>
      <c r="H27" s="259">
        <v>0.74099999999999999</v>
      </c>
      <c r="I27" s="259">
        <v>0.25900000000000001</v>
      </c>
      <c r="J27" s="258">
        <v>11</v>
      </c>
      <c r="K27"/>
      <c r="L27"/>
      <c r="M27"/>
    </row>
    <row r="28" spans="1:13" x14ac:dyDescent="0.25">
      <c r="A28" s="258" t="s">
        <v>51</v>
      </c>
      <c r="B28" s="258">
        <v>114.57</v>
      </c>
      <c r="C28" s="258">
        <v>0</v>
      </c>
      <c r="D28" s="258">
        <v>0</v>
      </c>
      <c r="E28" s="258">
        <v>114.57</v>
      </c>
      <c r="F28" s="258">
        <v>59.58</v>
      </c>
      <c r="G28" s="258">
        <v>174.14</v>
      </c>
      <c r="H28" s="259">
        <v>0.65790000000000004</v>
      </c>
      <c r="I28" s="259">
        <v>0.34210000000000002</v>
      </c>
      <c r="J28" s="258">
        <v>35</v>
      </c>
      <c r="K28"/>
      <c r="L28"/>
      <c r="M28"/>
    </row>
    <row r="29" spans="1:13" x14ac:dyDescent="0.25">
      <c r="A29" s="258" t="s">
        <v>53</v>
      </c>
      <c r="B29" s="258">
        <v>100.45</v>
      </c>
      <c r="C29" s="258">
        <v>0</v>
      </c>
      <c r="D29" s="258">
        <v>0</v>
      </c>
      <c r="E29" s="258">
        <v>100.45</v>
      </c>
      <c r="F29" s="258">
        <v>191.18</v>
      </c>
      <c r="G29" s="258">
        <v>291.64</v>
      </c>
      <c r="H29" s="259">
        <v>0.34449999999999997</v>
      </c>
      <c r="I29" s="259">
        <v>0.65549999999999997</v>
      </c>
      <c r="J29" s="258">
        <v>16</v>
      </c>
      <c r="K29"/>
      <c r="L29"/>
      <c r="M29"/>
    </row>
    <row r="30" spans="1:13" x14ac:dyDescent="0.25">
      <c r="A30" s="258" t="s">
        <v>55</v>
      </c>
      <c r="B30" s="258">
        <v>59.99</v>
      </c>
      <c r="C30" s="258">
        <v>0</v>
      </c>
      <c r="D30" s="258">
        <v>0</v>
      </c>
      <c r="E30" s="258">
        <v>59.99</v>
      </c>
      <c r="F30" s="258">
        <v>72.400000000000006</v>
      </c>
      <c r="G30" s="258">
        <v>132.38999999999999</v>
      </c>
      <c r="H30" s="259">
        <v>0.4531</v>
      </c>
      <c r="I30" s="259">
        <v>0.54690000000000005</v>
      </c>
      <c r="J30" s="258">
        <v>47</v>
      </c>
      <c r="K30"/>
      <c r="L30"/>
      <c r="M30"/>
    </row>
    <row r="31" spans="1:13" x14ac:dyDescent="0.25">
      <c r="A31" s="258" t="s">
        <v>57</v>
      </c>
      <c r="B31" s="258">
        <v>153.12</v>
      </c>
      <c r="C31" s="258">
        <v>0</v>
      </c>
      <c r="D31" s="258">
        <v>0</v>
      </c>
      <c r="E31" s="258">
        <v>153.12</v>
      </c>
      <c r="F31" s="258">
        <v>107.32</v>
      </c>
      <c r="G31" s="258">
        <v>260.44</v>
      </c>
      <c r="H31" s="259">
        <v>0.58789999999999998</v>
      </c>
      <c r="I31" s="259">
        <v>0.41210000000000002</v>
      </c>
      <c r="J31" s="258">
        <v>23</v>
      </c>
      <c r="K31"/>
      <c r="L31"/>
      <c r="M31"/>
    </row>
    <row r="32" spans="1:13" x14ac:dyDescent="0.25">
      <c r="A32" s="258" t="s">
        <v>59</v>
      </c>
      <c r="B32" s="258">
        <v>62.36</v>
      </c>
      <c r="C32" s="258">
        <v>0</v>
      </c>
      <c r="D32" s="258">
        <v>0</v>
      </c>
      <c r="E32" s="258">
        <v>62.36</v>
      </c>
      <c r="F32" s="258">
        <v>174.37</v>
      </c>
      <c r="G32" s="258">
        <v>236.73</v>
      </c>
      <c r="H32" s="259">
        <v>0.26340000000000002</v>
      </c>
      <c r="I32" s="259">
        <v>0.73660000000000003</v>
      </c>
      <c r="J32" s="258">
        <v>26</v>
      </c>
      <c r="K32"/>
      <c r="L32"/>
      <c r="M32"/>
    </row>
    <row r="33" spans="1:13" x14ac:dyDescent="0.25">
      <c r="A33" s="258" t="s">
        <v>105</v>
      </c>
      <c r="B33" s="258">
        <v>2.2400000000000002</v>
      </c>
      <c r="C33" s="258">
        <v>0</v>
      </c>
      <c r="D33" s="258">
        <v>0</v>
      </c>
      <c r="E33" s="258">
        <v>2.2400000000000002</v>
      </c>
      <c r="F33" s="258">
        <v>172.11</v>
      </c>
      <c r="G33" s="258">
        <v>174.34</v>
      </c>
      <c r="H33" s="259">
        <v>1.2800000000000001E-2</v>
      </c>
      <c r="I33" s="259">
        <v>0.98719999999999997</v>
      </c>
      <c r="J33" s="258">
        <v>34</v>
      </c>
      <c r="K33"/>
      <c r="L33"/>
      <c r="M33"/>
    </row>
    <row r="34" spans="1:13" x14ac:dyDescent="0.25">
      <c r="A34" s="258" t="s">
        <v>61</v>
      </c>
      <c r="B34" s="258">
        <v>37.83</v>
      </c>
      <c r="C34" s="258">
        <v>0</v>
      </c>
      <c r="D34" s="258">
        <v>0</v>
      </c>
      <c r="E34" s="258">
        <v>37.83</v>
      </c>
      <c r="F34" s="258">
        <v>122.11</v>
      </c>
      <c r="G34" s="258">
        <v>159.94</v>
      </c>
      <c r="H34" s="259">
        <v>0.23649999999999999</v>
      </c>
      <c r="I34" s="259">
        <v>0.76349999999999996</v>
      </c>
      <c r="J34" s="258">
        <v>42</v>
      </c>
      <c r="K34"/>
      <c r="L34"/>
      <c r="M34"/>
    </row>
    <row r="35" spans="1:13" x14ac:dyDescent="0.25">
      <c r="A35" s="258" t="s">
        <v>63</v>
      </c>
      <c r="B35" s="258">
        <v>26.19</v>
      </c>
      <c r="C35" s="258">
        <v>0</v>
      </c>
      <c r="D35" s="258">
        <v>0</v>
      </c>
      <c r="E35" s="258">
        <v>26.19</v>
      </c>
      <c r="F35" s="258">
        <v>370.65</v>
      </c>
      <c r="G35" s="258">
        <v>396.84</v>
      </c>
      <c r="H35" s="259">
        <v>6.6000000000000003E-2</v>
      </c>
      <c r="I35" s="259">
        <v>0.93400000000000005</v>
      </c>
      <c r="J35" s="258">
        <v>8</v>
      </c>
      <c r="K35"/>
      <c r="L35"/>
      <c r="M35"/>
    </row>
    <row r="36" spans="1:13" x14ac:dyDescent="0.25">
      <c r="A36" s="258" t="s">
        <v>65</v>
      </c>
      <c r="B36" s="258">
        <v>31.83</v>
      </c>
      <c r="C36" s="258">
        <v>0</v>
      </c>
      <c r="D36" s="258">
        <v>0</v>
      </c>
      <c r="E36" s="258">
        <v>31.83</v>
      </c>
      <c r="F36" s="258">
        <v>42.13</v>
      </c>
      <c r="G36" s="258">
        <v>73.959999999999994</v>
      </c>
      <c r="H36" s="259">
        <v>0.4304</v>
      </c>
      <c r="I36" s="259">
        <v>0.5696</v>
      </c>
      <c r="J36" s="258">
        <v>53</v>
      </c>
      <c r="K36"/>
      <c r="L36"/>
      <c r="M36"/>
    </row>
    <row r="37" spans="1:13" x14ac:dyDescent="0.25">
      <c r="A37" s="258" t="s">
        <v>67</v>
      </c>
      <c r="B37" s="258">
        <v>3.11</v>
      </c>
      <c r="C37" s="258">
        <v>0</v>
      </c>
      <c r="D37" s="258">
        <v>0</v>
      </c>
      <c r="E37" s="258">
        <v>3.11</v>
      </c>
      <c r="F37" s="258">
        <v>295.18</v>
      </c>
      <c r="G37" s="258">
        <v>298.29000000000002</v>
      </c>
      <c r="H37" s="259">
        <v>1.04E-2</v>
      </c>
      <c r="I37" s="259">
        <v>0.98960000000000004</v>
      </c>
      <c r="J37" s="258">
        <v>15</v>
      </c>
      <c r="K37"/>
      <c r="L37"/>
      <c r="M37"/>
    </row>
    <row r="38" spans="1:13" x14ac:dyDescent="0.25">
      <c r="A38" s="258" t="s">
        <v>99</v>
      </c>
      <c r="B38" s="258">
        <v>57.45</v>
      </c>
      <c r="C38" s="258">
        <v>0</v>
      </c>
      <c r="D38" s="258">
        <v>0</v>
      </c>
      <c r="E38" s="258">
        <v>57.45</v>
      </c>
      <c r="F38" s="258">
        <v>38.700000000000003</v>
      </c>
      <c r="G38" s="258">
        <v>96.15</v>
      </c>
      <c r="H38" s="259">
        <v>0.59750000000000003</v>
      </c>
      <c r="I38" s="259">
        <v>0.40250000000000002</v>
      </c>
      <c r="J38" s="258">
        <v>52</v>
      </c>
      <c r="K38"/>
      <c r="L38"/>
      <c r="M38"/>
    </row>
    <row r="39" spans="1:13" x14ac:dyDescent="0.25">
      <c r="A39" s="258" t="s">
        <v>109</v>
      </c>
      <c r="B39" s="258">
        <v>86.73</v>
      </c>
      <c r="C39" s="258">
        <v>0</v>
      </c>
      <c r="D39" s="258">
        <v>0</v>
      </c>
      <c r="E39" s="258">
        <v>86.73</v>
      </c>
      <c r="F39" s="258">
        <v>289.52</v>
      </c>
      <c r="G39" s="258">
        <v>376.25</v>
      </c>
      <c r="H39" s="259">
        <v>0.23050000000000001</v>
      </c>
      <c r="I39" s="259">
        <v>0.76949999999999996</v>
      </c>
      <c r="J39" s="258">
        <v>10</v>
      </c>
      <c r="K39"/>
      <c r="L39"/>
      <c r="M39"/>
    </row>
    <row r="40" spans="1:13" x14ac:dyDescent="0.25">
      <c r="A40" s="258" t="s">
        <v>69</v>
      </c>
      <c r="B40" s="258">
        <v>126.84</v>
      </c>
      <c r="C40" s="258">
        <v>0</v>
      </c>
      <c r="D40" s="258">
        <v>0</v>
      </c>
      <c r="E40" s="258">
        <v>126.84</v>
      </c>
      <c r="F40" s="258">
        <v>156.54</v>
      </c>
      <c r="G40" s="258">
        <v>283.38</v>
      </c>
      <c r="H40" s="259">
        <v>0.4476</v>
      </c>
      <c r="I40" s="259">
        <v>0.5524</v>
      </c>
      <c r="J40" s="258">
        <v>19</v>
      </c>
      <c r="K40"/>
      <c r="L40"/>
      <c r="M40"/>
    </row>
    <row r="41" spans="1:13" x14ac:dyDescent="0.25">
      <c r="A41" s="258" t="s">
        <v>71</v>
      </c>
      <c r="B41" s="258">
        <v>138.12</v>
      </c>
      <c r="C41" s="258">
        <v>0</v>
      </c>
      <c r="D41" s="258">
        <v>0</v>
      </c>
      <c r="E41" s="258">
        <v>138.12</v>
      </c>
      <c r="F41" s="258">
        <v>120.9</v>
      </c>
      <c r="G41" s="258">
        <v>259.02</v>
      </c>
      <c r="H41" s="259">
        <v>0.53320000000000001</v>
      </c>
      <c r="I41" s="259">
        <v>0.46679999999999999</v>
      </c>
      <c r="J41" s="258">
        <v>24</v>
      </c>
      <c r="K41"/>
      <c r="L41"/>
      <c r="M41"/>
    </row>
    <row r="42" spans="1:13" x14ac:dyDescent="0.25">
      <c r="A42" s="258" t="s">
        <v>73</v>
      </c>
      <c r="B42" s="258">
        <v>102.9</v>
      </c>
      <c r="C42" s="258">
        <v>0</v>
      </c>
      <c r="D42" s="258">
        <v>0</v>
      </c>
      <c r="E42" s="258">
        <v>102.9</v>
      </c>
      <c r="F42" s="258">
        <v>202.59</v>
      </c>
      <c r="G42" s="258">
        <v>305.49</v>
      </c>
      <c r="H42" s="259">
        <v>0.33679999999999999</v>
      </c>
      <c r="I42" s="259">
        <v>0.66320000000000001</v>
      </c>
      <c r="J42" s="258">
        <v>13</v>
      </c>
      <c r="K42"/>
      <c r="L42"/>
      <c r="M42"/>
    </row>
    <row r="43" spans="1:13" x14ac:dyDescent="0.25">
      <c r="A43" s="258" t="s">
        <v>75</v>
      </c>
      <c r="B43" s="258">
        <v>70.08</v>
      </c>
      <c r="C43" s="258">
        <v>0</v>
      </c>
      <c r="D43" s="258">
        <v>0</v>
      </c>
      <c r="E43" s="258">
        <v>70.08</v>
      </c>
      <c r="F43" s="258">
        <v>417.35</v>
      </c>
      <c r="G43" s="258">
        <v>487.42</v>
      </c>
      <c r="H43" s="259">
        <v>0.14380000000000001</v>
      </c>
      <c r="I43" s="259">
        <v>0.85619999999999996</v>
      </c>
      <c r="J43" s="258">
        <v>4</v>
      </c>
      <c r="K43"/>
      <c r="L43"/>
      <c r="M43"/>
    </row>
    <row r="44" spans="1:13" x14ac:dyDescent="0.25">
      <c r="A44" s="258" t="s">
        <v>97</v>
      </c>
      <c r="B44" s="258">
        <v>1.26</v>
      </c>
      <c r="C44" s="258">
        <v>0</v>
      </c>
      <c r="D44" s="258">
        <v>0</v>
      </c>
      <c r="E44" s="258">
        <v>1.26</v>
      </c>
      <c r="F44" s="258">
        <v>264.08</v>
      </c>
      <c r="G44" s="258">
        <v>265.33999999999997</v>
      </c>
      <c r="H44" s="259">
        <v>4.7999999999999996E-3</v>
      </c>
      <c r="I44" s="259">
        <v>0.99519999999999997</v>
      </c>
      <c r="J44" s="258">
        <v>21</v>
      </c>
      <c r="K44"/>
      <c r="L44"/>
      <c r="M44"/>
    </row>
    <row r="45" spans="1:13" x14ac:dyDescent="0.25">
      <c r="A45" s="258" t="s">
        <v>77</v>
      </c>
      <c r="B45" s="258">
        <v>5.1100000000000003</v>
      </c>
      <c r="C45" s="258">
        <v>0</v>
      </c>
      <c r="D45" s="258">
        <v>0</v>
      </c>
      <c r="E45" s="258">
        <v>5.1100000000000003</v>
      </c>
      <c r="F45" s="258">
        <v>208.45</v>
      </c>
      <c r="G45" s="258">
        <v>213.57</v>
      </c>
      <c r="H45" s="259">
        <v>2.4E-2</v>
      </c>
      <c r="I45" s="259">
        <v>0.97599999999999998</v>
      </c>
      <c r="J45" s="258">
        <v>30</v>
      </c>
      <c r="K45"/>
      <c r="L45"/>
      <c r="M45"/>
    </row>
    <row r="46" spans="1:13" x14ac:dyDescent="0.25">
      <c r="A46" s="258" t="s">
        <v>79</v>
      </c>
      <c r="B46" s="258">
        <v>77.3</v>
      </c>
      <c r="C46" s="258">
        <v>0</v>
      </c>
      <c r="D46" s="258">
        <v>0</v>
      </c>
      <c r="E46" s="258">
        <v>77.3</v>
      </c>
      <c r="F46" s="258">
        <v>32.630000000000003</v>
      </c>
      <c r="G46" s="258">
        <v>109.93</v>
      </c>
      <c r="H46" s="259">
        <v>0.70320000000000005</v>
      </c>
      <c r="I46" s="259">
        <v>0.29680000000000001</v>
      </c>
      <c r="J46" s="258">
        <v>50</v>
      </c>
      <c r="K46"/>
      <c r="L46"/>
      <c r="M46"/>
    </row>
    <row r="47" spans="1:13" x14ac:dyDescent="0.25">
      <c r="A47" s="258" t="s">
        <v>81</v>
      </c>
      <c r="B47" s="258">
        <v>5.85</v>
      </c>
      <c r="C47" s="258">
        <v>0</v>
      </c>
      <c r="D47" s="258">
        <v>0</v>
      </c>
      <c r="E47" s="258">
        <v>5.85</v>
      </c>
      <c r="F47" s="258">
        <v>101.45</v>
      </c>
      <c r="G47" s="258">
        <v>107.31</v>
      </c>
      <c r="H47" s="259">
        <v>5.4600000000000003E-2</v>
      </c>
      <c r="I47" s="259">
        <v>0.94540000000000002</v>
      </c>
      <c r="J47" s="258">
        <v>51</v>
      </c>
      <c r="K47"/>
      <c r="L47"/>
      <c r="M47"/>
    </row>
    <row r="48" spans="1:13" x14ac:dyDescent="0.25">
      <c r="A48" s="258" t="s">
        <v>113</v>
      </c>
      <c r="B48" s="258">
        <v>63.26</v>
      </c>
      <c r="C48" s="258">
        <v>0</v>
      </c>
      <c r="D48" s="258">
        <v>0</v>
      </c>
      <c r="E48" s="258">
        <v>63.26</v>
      </c>
      <c r="F48" s="258">
        <v>182.08</v>
      </c>
      <c r="G48" s="258">
        <v>245.34</v>
      </c>
      <c r="H48" s="259">
        <v>0.25779999999999997</v>
      </c>
      <c r="I48" s="259">
        <v>0.74219999999999997</v>
      </c>
      <c r="J48" s="258">
        <v>25</v>
      </c>
      <c r="K48"/>
      <c r="L48"/>
      <c r="M48"/>
    </row>
    <row r="49" spans="1:13" x14ac:dyDescent="0.25">
      <c r="A49" s="258" t="s">
        <v>103</v>
      </c>
      <c r="B49" s="258">
        <v>31.98</v>
      </c>
      <c r="C49" s="258">
        <v>0</v>
      </c>
      <c r="D49" s="258">
        <v>0</v>
      </c>
      <c r="E49" s="258">
        <v>31.98</v>
      </c>
      <c r="F49" s="258">
        <v>114.61</v>
      </c>
      <c r="G49" s="258">
        <v>146.59</v>
      </c>
      <c r="H49" s="259">
        <v>0.21820000000000001</v>
      </c>
      <c r="I49" s="259">
        <v>0.78180000000000005</v>
      </c>
      <c r="J49" s="258">
        <v>45</v>
      </c>
      <c r="K49"/>
      <c r="L49"/>
      <c r="M49"/>
    </row>
    <row r="50" spans="1:13" x14ac:dyDescent="0.25">
      <c r="A50" s="258" t="s">
        <v>83</v>
      </c>
      <c r="B50" s="258">
        <v>10.48</v>
      </c>
      <c r="C50" s="258">
        <v>0</v>
      </c>
      <c r="D50" s="258">
        <v>0</v>
      </c>
      <c r="E50" s="258">
        <v>10.48</v>
      </c>
      <c r="F50" s="258">
        <v>204.86</v>
      </c>
      <c r="G50" s="258">
        <v>215.34</v>
      </c>
      <c r="H50" s="259">
        <v>4.87E-2</v>
      </c>
      <c r="I50" s="259">
        <v>0.95130000000000003</v>
      </c>
      <c r="J50" s="258">
        <v>29</v>
      </c>
      <c r="K50"/>
      <c r="L50"/>
      <c r="M50"/>
    </row>
    <row r="51" spans="1:13" x14ac:dyDescent="0.25">
      <c r="A51" s="258" t="s">
        <v>85</v>
      </c>
      <c r="B51" s="258">
        <v>199.75</v>
      </c>
      <c r="C51" s="258">
        <v>0</v>
      </c>
      <c r="D51" s="258">
        <v>0</v>
      </c>
      <c r="E51" s="258">
        <v>199.75</v>
      </c>
      <c r="F51" s="258">
        <v>231.76</v>
      </c>
      <c r="G51" s="258">
        <v>431.51</v>
      </c>
      <c r="H51" s="259">
        <v>0.46289999999999998</v>
      </c>
      <c r="I51" s="259">
        <v>0.53710000000000002</v>
      </c>
      <c r="J51" s="258">
        <v>5</v>
      </c>
      <c r="K51"/>
      <c r="L51"/>
      <c r="M51"/>
    </row>
    <row r="52" spans="1:13" x14ac:dyDescent="0.25">
      <c r="A52" s="258" t="s">
        <v>87</v>
      </c>
      <c r="B52" s="258">
        <v>131.18</v>
      </c>
      <c r="C52" s="258">
        <v>0</v>
      </c>
      <c r="D52" s="258">
        <v>0</v>
      </c>
      <c r="E52" s="258">
        <v>131.18</v>
      </c>
      <c r="F52" s="258">
        <v>183.18</v>
      </c>
      <c r="G52" s="258">
        <v>314.36</v>
      </c>
      <c r="H52" s="259">
        <v>0.4173</v>
      </c>
      <c r="I52" s="259">
        <v>0.5827</v>
      </c>
      <c r="J52" s="258">
        <v>12</v>
      </c>
      <c r="K52"/>
      <c r="L52"/>
      <c r="M52"/>
    </row>
    <row r="53" spans="1:13" x14ac:dyDescent="0.25">
      <c r="A53" s="258" t="s">
        <v>89</v>
      </c>
      <c r="B53" s="258">
        <v>19.55</v>
      </c>
      <c r="C53" s="258">
        <v>0</v>
      </c>
      <c r="D53" s="258">
        <v>0</v>
      </c>
      <c r="E53" s="258">
        <v>19.55</v>
      </c>
      <c r="F53" s="258">
        <v>182.68</v>
      </c>
      <c r="G53" s="258">
        <v>202.23</v>
      </c>
      <c r="H53" s="259">
        <v>9.6699999999999994E-2</v>
      </c>
      <c r="I53" s="259">
        <v>0.90329999999999999</v>
      </c>
      <c r="J53" s="258">
        <v>33</v>
      </c>
      <c r="K53"/>
      <c r="L53"/>
      <c r="M53"/>
    </row>
    <row r="54" spans="1:13" x14ac:dyDescent="0.25">
      <c r="A54" s="258" t="s">
        <v>91</v>
      </c>
      <c r="B54" s="258">
        <v>2.5</v>
      </c>
      <c r="C54" s="258">
        <v>0</v>
      </c>
      <c r="D54" s="258">
        <v>0</v>
      </c>
      <c r="E54" s="258">
        <v>2.5</v>
      </c>
      <c r="F54" s="258">
        <v>170.75</v>
      </c>
      <c r="G54" s="258">
        <v>173.25</v>
      </c>
      <c r="H54" s="259">
        <v>1.44E-2</v>
      </c>
      <c r="I54" s="259">
        <v>0.98560000000000003</v>
      </c>
      <c r="J54" s="258">
        <v>36</v>
      </c>
      <c r="K54"/>
      <c r="L54"/>
      <c r="M54"/>
    </row>
    <row r="55" spans="1:13" x14ac:dyDescent="0.25">
      <c r="A55" s="258" t="s">
        <v>93</v>
      </c>
      <c r="B55" s="258">
        <v>191.93</v>
      </c>
      <c r="C55" s="258">
        <v>0</v>
      </c>
      <c r="D55" s="258">
        <v>0</v>
      </c>
      <c r="E55" s="258">
        <v>191.93</v>
      </c>
      <c r="F55" s="258">
        <v>220.13</v>
      </c>
      <c r="G55" s="258">
        <v>412.06</v>
      </c>
      <c r="H55" s="259">
        <v>0.46579999999999999</v>
      </c>
      <c r="I55" s="259">
        <v>0.53420000000000001</v>
      </c>
      <c r="J55" s="258">
        <v>6</v>
      </c>
      <c r="K55"/>
      <c r="L55"/>
      <c r="M55"/>
    </row>
    <row r="56" spans="1:13" x14ac:dyDescent="0.25">
      <c r="A56" s="258" t="s">
        <v>95</v>
      </c>
      <c r="B56" s="258">
        <v>121.66</v>
      </c>
      <c r="C56" s="258">
        <v>0</v>
      </c>
      <c r="D56" s="258">
        <v>0</v>
      </c>
      <c r="E56" s="258">
        <v>121.66</v>
      </c>
      <c r="F56" s="258">
        <v>96.76</v>
      </c>
      <c r="G56" s="258">
        <v>218.43</v>
      </c>
      <c r="H56" s="259">
        <v>0.55700000000000005</v>
      </c>
      <c r="I56" s="259">
        <v>0.443</v>
      </c>
      <c r="J56" s="258">
        <v>28</v>
      </c>
      <c r="K56"/>
      <c r="L56"/>
      <c r="M56"/>
    </row>
    <row r="57" spans="1:13" x14ac:dyDescent="0.25">
      <c r="K57"/>
      <c r="L57"/>
      <c r="M57"/>
    </row>
    <row r="58" spans="1:13" x14ac:dyDescent="0.25">
      <c r="A58" s="260" t="s">
        <v>1377</v>
      </c>
      <c r="B58" s="261">
        <f>SUM(B2:B56)</f>
        <v>4254.1099999999997</v>
      </c>
      <c r="C58" s="264">
        <f t="shared" ref="C58:G58" si="0">SUM(C2:C56)</f>
        <v>0.25</v>
      </c>
      <c r="D58" s="264">
        <f t="shared" si="0"/>
        <v>0.2</v>
      </c>
      <c r="E58" s="261">
        <f>SUM(E2:E56)</f>
        <v>4254.57</v>
      </c>
      <c r="F58" s="261">
        <f t="shared" si="0"/>
        <v>9541.31</v>
      </c>
      <c r="G58" s="261">
        <f t="shared" si="0"/>
        <v>13795.880000000001</v>
      </c>
      <c r="K58"/>
      <c r="L58"/>
      <c r="M58"/>
    </row>
    <row r="59" spans="1:13" x14ac:dyDescent="0.25">
      <c r="K59"/>
      <c r="L59"/>
      <c r="M59"/>
    </row>
    <row r="60" spans="1:13" x14ac:dyDescent="0.25">
      <c r="K60"/>
      <c r="L60"/>
      <c r="M60"/>
    </row>
    <row r="61" spans="1:13" x14ac:dyDescent="0.25">
      <c r="K61"/>
      <c r="L61"/>
      <c r="M61"/>
    </row>
    <row r="62" spans="1:13" x14ac:dyDescent="0.25">
      <c r="K62"/>
      <c r="L62"/>
      <c r="M62"/>
    </row>
    <row r="63" spans="1:13" x14ac:dyDescent="0.25">
      <c r="D63" s="265"/>
      <c r="K63"/>
      <c r="L63"/>
      <c r="M63"/>
    </row>
    <row r="64" spans="1:13" x14ac:dyDescent="0.25">
      <c r="K64"/>
      <c r="L64"/>
      <c r="M64"/>
    </row>
    <row r="65" spans="11:13" x14ac:dyDescent="0.25">
      <c r="K65"/>
      <c r="L65"/>
      <c r="M65"/>
    </row>
    <row r="66" spans="11:13" x14ac:dyDescent="0.25">
      <c r="K66"/>
      <c r="L66"/>
      <c r="M66"/>
    </row>
    <row r="67" spans="11:13" x14ac:dyDescent="0.25">
      <c r="K67"/>
      <c r="L67"/>
      <c r="M67"/>
    </row>
    <row r="68" spans="11:13" x14ac:dyDescent="0.25">
      <c r="K68"/>
      <c r="L68"/>
      <c r="M68"/>
    </row>
  </sheetData>
  <hyperlinks>
    <hyperlink ref="M3" r:id="rId1"/>
  </hyperlinks>
  <pageMargins left="0.7" right="0.7" top="0.75" bottom="0.75" header="0.3" footer="0.3"/>
  <pageSetup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workbookViewId="0">
      <selection activeCell="C7" sqref="C7"/>
    </sheetView>
  </sheetViews>
  <sheetFormatPr defaultRowHeight="15" x14ac:dyDescent="0.25"/>
  <cols>
    <col min="1" max="1" width="12.85546875" bestFit="1" customWidth="1"/>
    <col min="2" max="2" width="32.5703125" customWidth="1"/>
    <col min="3" max="3" width="23.140625" bestFit="1" customWidth="1"/>
    <col min="6" max="6" width="26" bestFit="1" customWidth="1"/>
  </cols>
  <sheetData>
    <row r="1" spans="1:11" x14ac:dyDescent="0.25">
      <c r="A1" s="43" t="s">
        <v>482</v>
      </c>
      <c r="B1" s="43" t="s">
        <v>483</v>
      </c>
      <c r="C1" s="43" t="s">
        <v>484</v>
      </c>
      <c r="K1" s="199" t="s">
        <v>1325</v>
      </c>
    </row>
    <row r="2" spans="1:11" x14ac:dyDescent="0.25">
      <c r="A2" s="40" t="s">
        <v>485</v>
      </c>
      <c r="B2" s="40" t="s">
        <v>383</v>
      </c>
      <c r="C2" s="44">
        <v>9541.2999999999993</v>
      </c>
      <c r="D2" s="266">
        <f>C2/C7</f>
        <v>0.69160653384894732</v>
      </c>
      <c r="K2" s="199" t="s">
        <v>1326</v>
      </c>
    </row>
    <row r="3" spans="1:11" x14ac:dyDescent="0.25">
      <c r="A3" s="40"/>
      <c r="B3" s="45" t="s">
        <v>384</v>
      </c>
      <c r="C3" s="46">
        <v>4254.1000000000004</v>
      </c>
    </row>
    <row r="4" spans="1:11" x14ac:dyDescent="0.25">
      <c r="A4" s="40"/>
      <c r="B4" s="45" t="s">
        <v>386</v>
      </c>
      <c r="C4" s="46">
        <v>0.25</v>
      </c>
    </row>
    <row r="5" spans="1:11" x14ac:dyDescent="0.25">
      <c r="A5" s="40"/>
      <c r="B5" s="45" t="s">
        <v>385</v>
      </c>
      <c r="C5" s="46">
        <v>0.2</v>
      </c>
    </row>
    <row r="6" spans="1:11" ht="15.75" customHeight="1" x14ac:dyDescent="0.25">
      <c r="A6" s="40"/>
      <c r="B6" s="47" t="s">
        <v>486</v>
      </c>
      <c r="C6" s="44">
        <f>SUM(C3:C5)</f>
        <v>4254.55</v>
      </c>
      <c r="D6" s="266">
        <f>C6/C7</f>
        <v>0.30839346615105273</v>
      </c>
      <c r="F6" s="48"/>
      <c r="G6" s="49"/>
    </row>
    <row r="7" spans="1:11" x14ac:dyDescent="0.25">
      <c r="A7" s="2"/>
      <c r="B7" s="50" t="s">
        <v>487</v>
      </c>
      <c r="C7" s="44">
        <f>SUM(C2,C6)</f>
        <v>13795.849999999999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4"/>
  <sheetViews>
    <sheetView zoomScaleNormal="100" workbookViewId="0">
      <pane ySplit="5" topLeftCell="A6" activePane="bottomLeft" state="frozen"/>
      <selection pane="bottomLeft" activeCell="K1" sqref="K1:L2"/>
    </sheetView>
  </sheetViews>
  <sheetFormatPr defaultRowHeight="15" x14ac:dyDescent="0.25"/>
  <cols>
    <col min="1" max="1" width="10.140625" customWidth="1"/>
    <col min="2" max="2" width="26.5703125" customWidth="1"/>
    <col min="3" max="3" width="22.42578125" bestFit="1" customWidth="1"/>
    <col min="4" max="4" width="15.140625" bestFit="1" customWidth="1"/>
    <col min="5" max="5" width="11.5703125" style="4" bestFit="1" customWidth="1"/>
    <col min="6" max="6" width="10.7109375" style="4" customWidth="1"/>
    <col min="7" max="7" width="10.7109375" style="4" bestFit="1" customWidth="1"/>
    <col min="8" max="8" width="9.7109375" style="4" customWidth="1"/>
    <col min="9" max="9" width="10.7109375" style="4" customWidth="1"/>
    <col min="10" max="10" width="16.140625" style="5" customWidth="1"/>
    <col min="11" max="11" width="9.85546875" bestFit="1" customWidth="1"/>
    <col min="12" max="12" width="103" bestFit="1" customWidth="1"/>
  </cols>
  <sheetData>
    <row r="1" spans="1:12" ht="18.75" x14ac:dyDescent="0.3">
      <c r="A1" s="8" t="s">
        <v>378</v>
      </c>
      <c r="B1" s="7"/>
      <c r="K1" s="199" t="s">
        <v>1325</v>
      </c>
      <c r="L1" s="201" t="s">
        <v>5653</v>
      </c>
    </row>
    <row r="2" spans="1:12" x14ac:dyDescent="0.25">
      <c r="A2" t="s">
        <v>380</v>
      </c>
      <c r="K2" s="199" t="s">
        <v>1326</v>
      </c>
      <c r="L2" s="412" t="s">
        <v>5654</v>
      </c>
    </row>
    <row r="5" spans="1:12" ht="97.5" customHeight="1" x14ac:dyDescent="0.25">
      <c r="A5" s="408" t="s">
        <v>0</v>
      </c>
      <c r="B5" s="408" t="s">
        <v>1</v>
      </c>
      <c r="C5" s="408" t="s">
        <v>2</v>
      </c>
      <c r="D5" s="408" t="s">
        <v>347</v>
      </c>
      <c r="E5" s="408" t="s">
        <v>403</v>
      </c>
      <c r="F5" s="409" t="s">
        <v>379</v>
      </c>
      <c r="G5" s="409" t="s">
        <v>375</v>
      </c>
      <c r="H5" s="409" t="s">
        <v>382</v>
      </c>
      <c r="I5" s="409" t="s">
        <v>381</v>
      </c>
      <c r="J5" s="409" t="s">
        <v>376</v>
      </c>
      <c r="K5" s="410" t="s">
        <v>377</v>
      </c>
    </row>
    <row r="6" spans="1:12" x14ac:dyDescent="0.25">
      <c r="A6" s="2">
        <v>540001</v>
      </c>
      <c r="B6" s="2" t="s">
        <v>3</v>
      </c>
      <c r="C6" s="2" t="s">
        <v>4</v>
      </c>
      <c r="D6" s="2" t="s">
        <v>5</v>
      </c>
      <c r="E6" s="2">
        <v>7</v>
      </c>
      <c r="F6" s="2">
        <v>215785</v>
      </c>
      <c r="G6" s="2">
        <v>6639</v>
      </c>
      <c r="H6" s="2">
        <v>435</v>
      </c>
      <c r="I6" s="2">
        <v>0</v>
      </c>
      <c r="J6" s="2">
        <v>6204</v>
      </c>
      <c r="K6" s="267">
        <v>2.8750839956400001E-2</v>
      </c>
    </row>
    <row r="7" spans="1:12" x14ac:dyDescent="0.25">
      <c r="A7" s="2">
        <v>540002</v>
      </c>
      <c r="B7" s="2" t="s">
        <v>114</v>
      </c>
      <c r="C7" s="2" t="s">
        <v>4</v>
      </c>
      <c r="D7" s="2" t="s">
        <v>115</v>
      </c>
      <c r="E7" s="2">
        <v>7</v>
      </c>
      <c r="F7" s="2">
        <v>1363</v>
      </c>
      <c r="G7" s="2">
        <v>119</v>
      </c>
      <c r="H7" s="2">
        <v>0</v>
      </c>
      <c r="I7" s="2">
        <v>0</v>
      </c>
      <c r="J7" s="2">
        <v>119</v>
      </c>
      <c r="K7" s="267">
        <v>8.7307410124700002E-2</v>
      </c>
    </row>
    <row r="8" spans="1:12" x14ac:dyDescent="0.25">
      <c r="A8" s="2">
        <v>540003</v>
      </c>
      <c r="B8" s="2" t="s">
        <v>116</v>
      </c>
      <c r="C8" s="2" t="s">
        <v>4</v>
      </c>
      <c r="D8" s="2" t="s">
        <v>115</v>
      </c>
      <c r="E8" s="2">
        <v>7</v>
      </c>
      <c r="F8" s="2">
        <v>217</v>
      </c>
      <c r="G8" s="2">
        <v>45</v>
      </c>
      <c r="H8" s="2">
        <v>0</v>
      </c>
      <c r="I8" s="2">
        <v>0</v>
      </c>
      <c r="J8" s="2">
        <v>45</v>
      </c>
      <c r="K8" s="267">
        <v>0.20737327188900001</v>
      </c>
    </row>
    <row r="9" spans="1:12" x14ac:dyDescent="0.25">
      <c r="A9" s="2">
        <v>540004</v>
      </c>
      <c r="B9" s="2" t="s">
        <v>117</v>
      </c>
      <c r="C9" s="2" t="s">
        <v>4</v>
      </c>
      <c r="D9" s="2" t="s">
        <v>115</v>
      </c>
      <c r="E9" s="2">
        <v>7</v>
      </c>
      <c r="F9" s="2">
        <v>1869</v>
      </c>
      <c r="G9" s="2">
        <v>175</v>
      </c>
      <c r="H9" s="2">
        <v>0</v>
      </c>
      <c r="I9" s="2">
        <v>0</v>
      </c>
      <c r="J9" s="2">
        <v>175</v>
      </c>
      <c r="K9" s="267">
        <v>9.3632958801499994E-2</v>
      </c>
    </row>
    <row r="10" spans="1:12" x14ac:dyDescent="0.25">
      <c r="A10" s="252"/>
      <c r="B10" s="252"/>
      <c r="C10" s="252" t="s">
        <v>4</v>
      </c>
      <c r="D10" s="252"/>
      <c r="E10" s="252"/>
      <c r="F10" s="252">
        <v>219234</v>
      </c>
      <c r="G10" s="252">
        <v>6978</v>
      </c>
      <c r="H10" s="252">
        <v>435</v>
      </c>
      <c r="I10" s="252">
        <v>0</v>
      </c>
      <c r="J10" s="252">
        <v>6543</v>
      </c>
      <c r="K10" s="411">
        <v>2.9844823339400001E-2</v>
      </c>
    </row>
    <row r="11" spans="1:12" x14ac:dyDescent="0.25">
      <c r="A11" s="2">
        <v>540007</v>
      </c>
      <c r="B11" s="2" t="s">
        <v>6</v>
      </c>
      <c r="C11" s="2" t="s">
        <v>7</v>
      </c>
      <c r="D11" s="2" t="s">
        <v>5</v>
      </c>
      <c r="E11" s="2">
        <v>3</v>
      </c>
      <c r="F11" s="2">
        <v>316257</v>
      </c>
      <c r="G11" s="2">
        <v>5273</v>
      </c>
      <c r="H11" s="2">
        <v>0</v>
      </c>
      <c r="I11" s="2">
        <v>0</v>
      </c>
      <c r="J11" s="2">
        <v>5273</v>
      </c>
      <c r="K11" s="267">
        <v>1.6673148736599998E-2</v>
      </c>
    </row>
    <row r="12" spans="1:12" x14ac:dyDescent="0.25">
      <c r="A12" s="2">
        <v>540008</v>
      </c>
      <c r="B12" s="2" t="s">
        <v>120</v>
      </c>
      <c r="C12" s="2" t="s">
        <v>7</v>
      </c>
      <c r="D12" s="2" t="s">
        <v>115</v>
      </c>
      <c r="E12" s="2">
        <v>3</v>
      </c>
      <c r="F12" s="2">
        <v>4517</v>
      </c>
      <c r="G12" s="2">
        <v>151</v>
      </c>
      <c r="H12" s="2">
        <v>0</v>
      </c>
      <c r="I12" s="2">
        <v>0</v>
      </c>
      <c r="J12" s="2">
        <v>151</v>
      </c>
      <c r="K12" s="267">
        <v>3.3429267212799998E-2</v>
      </c>
    </row>
    <row r="13" spans="1:12" x14ac:dyDescent="0.25">
      <c r="A13" s="2">
        <v>540229</v>
      </c>
      <c r="B13" s="2" t="s">
        <v>279</v>
      </c>
      <c r="C13" s="2" t="s">
        <v>7</v>
      </c>
      <c r="D13" s="2" t="s">
        <v>115</v>
      </c>
      <c r="E13" s="2">
        <v>3</v>
      </c>
      <c r="F13" s="2">
        <v>212</v>
      </c>
      <c r="G13" s="2">
        <v>39</v>
      </c>
      <c r="H13" s="2">
        <v>0</v>
      </c>
      <c r="I13" s="2">
        <v>0</v>
      </c>
      <c r="J13" s="2">
        <v>39</v>
      </c>
      <c r="K13" s="267">
        <v>0.183962264151</v>
      </c>
    </row>
    <row r="14" spans="1:12" x14ac:dyDescent="0.25">
      <c r="A14" s="2">
        <v>540230</v>
      </c>
      <c r="B14" s="2" t="s">
        <v>280</v>
      </c>
      <c r="C14" s="2" t="s">
        <v>7</v>
      </c>
      <c r="D14" s="2" t="s">
        <v>115</v>
      </c>
      <c r="E14" s="2">
        <v>3</v>
      </c>
      <c r="F14" s="2">
        <v>694</v>
      </c>
      <c r="G14" s="2">
        <v>79</v>
      </c>
      <c r="H14" s="2">
        <v>0</v>
      </c>
      <c r="I14" s="2">
        <v>0</v>
      </c>
      <c r="J14" s="2">
        <v>79</v>
      </c>
      <c r="K14" s="267">
        <v>0.11383285302600001</v>
      </c>
    </row>
    <row r="15" spans="1:12" x14ac:dyDescent="0.25">
      <c r="A15" s="2">
        <v>540238</v>
      </c>
      <c r="B15" s="2" t="s">
        <v>286</v>
      </c>
      <c r="C15" s="2" t="s">
        <v>7</v>
      </c>
      <c r="D15" s="2" t="s">
        <v>115</v>
      </c>
      <c r="E15" s="2">
        <v>3</v>
      </c>
      <c r="F15" s="2">
        <v>165</v>
      </c>
      <c r="G15" s="2">
        <v>27</v>
      </c>
      <c r="H15" s="2">
        <v>0</v>
      </c>
      <c r="I15" s="2">
        <v>0</v>
      </c>
      <c r="J15" s="2">
        <v>27</v>
      </c>
      <c r="K15" s="267">
        <v>0.16363636363600001</v>
      </c>
    </row>
    <row r="16" spans="1:12" x14ac:dyDescent="0.25">
      <c r="A16" s="252"/>
      <c r="B16" s="252"/>
      <c r="C16" s="252" t="s">
        <v>7</v>
      </c>
      <c r="D16" s="252"/>
      <c r="E16" s="252"/>
      <c r="F16" s="252">
        <v>321845</v>
      </c>
      <c r="G16" s="252">
        <v>5569</v>
      </c>
      <c r="H16" s="252">
        <v>0</v>
      </c>
      <c r="I16" s="252">
        <v>0</v>
      </c>
      <c r="J16" s="252">
        <v>5569</v>
      </c>
      <c r="K16" s="411">
        <v>1.7303360313200001E-2</v>
      </c>
    </row>
    <row r="17" spans="1:11" x14ac:dyDescent="0.25">
      <c r="A17" s="2">
        <v>540009</v>
      </c>
      <c r="B17" s="2" t="s">
        <v>8</v>
      </c>
      <c r="C17" s="2" t="s">
        <v>9</v>
      </c>
      <c r="D17" s="2" t="s">
        <v>5</v>
      </c>
      <c r="E17" s="2">
        <v>7</v>
      </c>
      <c r="F17" s="2">
        <v>327977</v>
      </c>
      <c r="G17" s="2">
        <v>12002</v>
      </c>
      <c r="H17" s="2">
        <v>4228</v>
      </c>
      <c r="I17" s="2">
        <v>0</v>
      </c>
      <c r="J17" s="2">
        <v>7774</v>
      </c>
      <c r="K17" s="267">
        <v>2.3702881604500001E-2</v>
      </c>
    </row>
    <row r="18" spans="1:11" x14ac:dyDescent="0.25">
      <c r="A18" s="2">
        <v>540010</v>
      </c>
      <c r="B18" s="2" t="s">
        <v>121</v>
      </c>
      <c r="C18" s="2" t="s">
        <v>9</v>
      </c>
      <c r="D18" s="2" t="s">
        <v>115</v>
      </c>
      <c r="E18" s="2">
        <v>7</v>
      </c>
      <c r="F18" s="2">
        <v>698</v>
      </c>
      <c r="G18" s="2">
        <v>106</v>
      </c>
      <c r="H18" s="2">
        <v>0</v>
      </c>
      <c r="I18" s="2">
        <v>0</v>
      </c>
      <c r="J18" s="2">
        <v>106</v>
      </c>
      <c r="K18" s="267">
        <v>0.15186246418300001</v>
      </c>
    </row>
    <row r="19" spans="1:11" x14ac:dyDescent="0.25">
      <c r="A19" s="2">
        <v>540235</v>
      </c>
      <c r="B19" s="2" t="s">
        <v>283</v>
      </c>
      <c r="C19" s="2" t="s">
        <v>9</v>
      </c>
      <c r="D19" s="2" t="s">
        <v>115</v>
      </c>
      <c r="E19" s="2">
        <v>7</v>
      </c>
      <c r="F19" s="2">
        <v>420</v>
      </c>
      <c r="G19" s="2">
        <v>0</v>
      </c>
      <c r="H19" s="2">
        <v>0</v>
      </c>
      <c r="I19" s="2">
        <v>0</v>
      </c>
      <c r="J19" s="2">
        <v>0</v>
      </c>
      <c r="K19" s="267">
        <v>0</v>
      </c>
    </row>
    <row r="20" spans="1:11" x14ac:dyDescent="0.25">
      <c r="A20" s="2">
        <v>540236</v>
      </c>
      <c r="B20" s="2" t="s">
        <v>284</v>
      </c>
      <c r="C20" s="2" t="s">
        <v>9</v>
      </c>
      <c r="D20" s="2" t="s">
        <v>115</v>
      </c>
      <c r="E20" s="2">
        <v>7</v>
      </c>
      <c r="F20" s="2">
        <v>526</v>
      </c>
      <c r="G20" s="2">
        <v>94</v>
      </c>
      <c r="H20" s="2">
        <v>0</v>
      </c>
      <c r="I20" s="2">
        <v>0</v>
      </c>
      <c r="J20" s="2">
        <v>94</v>
      </c>
      <c r="K20" s="267">
        <v>0.178707224335</v>
      </c>
    </row>
    <row r="21" spans="1:11" x14ac:dyDescent="0.25">
      <c r="A21" s="2">
        <v>540237</v>
      </c>
      <c r="B21" s="2" t="s">
        <v>285</v>
      </c>
      <c r="C21" s="2" t="s">
        <v>9</v>
      </c>
      <c r="D21" s="2" t="s">
        <v>115</v>
      </c>
      <c r="E21" s="2">
        <v>7</v>
      </c>
      <c r="F21" s="2">
        <v>779</v>
      </c>
      <c r="G21" s="2">
        <v>110</v>
      </c>
      <c r="H21" s="2">
        <v>0</v>
      </c>
      <c r="I21" s="2">
        <v>0</v>
      </c>
      <c r="J21" s="2">
        <v>110</v>
      </c>
      <c r="K21" s="267">
        <v>0.14120667522499999</v>
      </c>
    </row>
    <row r="22" spans="1:11" x14ac:dyDescent="0.25">
      <c r="A22" s="252"/>
      <c r="B22" s="252"/>
      <c r="C22" s="252" t="s">
        <v>9</v>
      </c>
      <c r="D22" s="252"/>
      <c r="E22" s="252"/>
      <c r="F22" s="252">
        <v>330400</v>
      </c>
      <c r="G22" s="252">
        <v>12312</v>
      </c>
      <c r="H22" s="252">
        <v>4228</v>
      </c>
      <c r="I22" s="252">
        <v>0</v>
      </c>
      <c r="J22" s="252">
        <v>8084</v>
      </c>
      <c r="K22" s="411">
        <v>2.4467312348700001E-2</v>
      </c>
    </row>
    <row r="23" spans="1:11" x14ac:dyDescent="0.25">
      <c r="A23" s="2">
        <v>540011</v>
      </c>
      <c r="B23" s="2" t="s">
        <v>10</v>
      </c>
      <c r="C23" s="2" t="s">
        <v>11</v>
      </c>
      <c r="D23" s="2" t="s">
        <v>5</v>
      </c>
      <c r="E23" s="2">
        <v>11</v>
      </c>
      <c r="F23" s="2">
        <v>51003</v>
      </c>
      <c r="G23" s="2">
        <v>1423</v>
      </c>
      <c r="H23" s="2">
        <v>1</v>
      </c>
      <c r="I23" s="2">
        <v>17</v>
      </c>
      <c r="J23" s="2">
        <v>1405</v>
      </c>
      <c r="K23" s="267">
        <v>2.75473991726E-2</v>
      </c>
    </row>
    <row r="24" spans="1:11" x14ac:dyDescent="0.25">
      <c r="A24" s="2">
        <v>540012</v>
      </c>
      <c r="B24" s="2" t="s">
        <v>122</v>
      </c>
      <c r="C24" s="2" t="s">
        <v>11</v>
      </c>
      <c r="D24" s="2" t="s">
        <v>115</v>
      </c>
      <c r="E24" s="2">
        <v>11</v>
      </c>
      <c r="F24" s="2">
        <v>471</v>
      </c>
      <c r="G24" s="2">
        <v>65</v>
      </c>
      <c r="H24" s="2">
        <v>0</v>
      </c>
      <c r="I24" s="2">
        <v>0</v>
      </c>
      <c r="J24" s="2">
        <v>65</v>
      </c>
      <c r="K24" s="267">
        <v>0.13800424628499999</v>
      </c>
    </row>
    <row r="25" spans="1:11" x14ac:dyDescent="0.25">
      <c r="A25" s="2">
        <v>540013</v>
      </c>
      <c r="B25" s="2" t="s">
        <v>123</v>
      </c>
      <c r="C25" s="2" t="s">
        <v>11</v>
      </c>
      <c r="D25" s="2" t="s">
        <v>115</v>
      </c>
      <c r="E25" s="2">
        <v>11</v>
      </c>
      <c r="F25" s="2">
        <v>1337</v>
      </c>
      <c r="G25" s="2">
        <v>28</v>
      </c>
      <c r="H25" s="2">
        <v>1</v>
      </c>
      <c r="I25" s="2">
        <v>0</v>
      </c>
      <c r="J25" s="2">
        <v>27</v>
      </c>
      <c r="K25" s="267">
        <v>2.0194465220599998E-2</v>
      </c>
    </row>
    <row r="26" spans="1:11" x14ac:dyDescent="0.25">
      <c r="A26" s="2">
        <v>540014</v>
      </c>
      <c r="B26" s="2" t="s">
        <v>124</v>
      </c>
      <c r="C26" s="2" t="s">
        <v>11</v>
      </c>
      <c r="D26" s="2" t="s">
        <v>115</v>
      </c>
      <c r="E26" s="2">
        <v>11</v>
      </c>
      <c r="F26" s="2">
        <v>4407</v>
      </c>
      <c r="G26" s="2">
        <v>92</v>
      </c>
      <c r="H26" s="2">
        <v>2</v>
      </c>
      <c r="I26" s="2">
        <v>0</v>
      </c>
      <c r="J26" s="2">
        <v>90</v>
      </c>
      <c r="K26" s="267">
        <v>2.04220558203E-2</v>
      </c>
    </row>
    <row r="27" spans="1:11" x14ac:dyDescent="0.25">
      <c r="A27" s="2">
        <v>540015</v>
      </c>
      <c r="B27" s="2" t="s">
        <v>125</v>
      </c>
      <c r="C27" s="2" t="s">
        <v>11</v>
      </c>
      <c r="D27" s="2" t="s">
        <v>115</v>
      </c>
      <c r="E27" s="2">
        <v>11</v>
      </c>
      <c r="F27" s="2">
        <v>850</v>
      </c>
      <c r="G27" s="2">
        <v>253</v>
      </c>
      <c r="H27" s="2">
        <v>0</v>
      </c>
      <c r="I27" s="2">
        <v>0</v>
      </c>
      <c r="J27" s="2">
        <v>253</v>
      </c>
      <c r="K27" s="267">
        <v>0.297647058824</v>
      </c>
    </row>
    <row r="28" spans="1:11" x14ac:dyDescent="0.25">
      <c r="A28" s="2">
        <v>540093</v>
      </c>
      <c r="B28" s="2" t="s">
        <v>184</v>
      </c>
      <c r="C28" s="2" t="s">
        <v>11</v>
      </c>
      <c r="D28" s="2" t="s">
        <v>115</v>
      </c>
      <c r="E28" s="2">
        <v>11</v>
      </c>
      <c r="F28" s="2">
        <v>1193</v>
      </c>
      <c r="G28" s="2">
        <v>146</v>
      </c>
      <c r="H28" s="2">
        <v>0</v>
      </c>
      <c r="I28" s="2">
        <v>0</v>
      </c>
      <c r="J28" s="2">
        <v>146</v>
      </c>
      <c r="K28" s="267">
        <v>0.12238055322700001</v>
      </c>
    </row>
    <row r="29" spans="1:11" x14ac:dyDescent="0.25">
      <c r="A29" s="2">
        <v>540084</v>
      </c>
      <c r="B29" s="2" t="s">
        <v>341</v>
      </c>
      <c r="C29" s="2" t="s">
        <v>11</v>
      </c>
      <c r="D29" s="2" t="s">
        <v>115</v>
      </c>
      <c r="E29" s="2">
        <v>11</v>
      </c>
      <c r="F29" s="2">
        <v>92</v>
      </c>
      <c r="G29" s="2">
        <v>0</v>
      </c>
      <c r="H29" s="2">
        <v>0</v>
      </c>
      <c r="I29" s="2">
        <v>0</v>
      </c>
      <c r="J29" s="2">
        <v>0</v>
      </c>
      <c r="K29" s="267">
        <v>0</v>
      </c>
    </row>
    <row r="30" spans="1:11" x14ac:dyDescent="0.25">
      <c r="A30" s="252"/>
      <c r="B30" s="252"/>
      <c r="C30" s="252" t="s">
        <v>11</v>
      </c>
      <c r="D30" s="252"/>
      <c r="E30" s="252"/>
      <c r="F30" s="252">
        <v>59353</v>
      </c>
      <c r="G30" s="252">
        <v>2007</v>
      </c>
      <c r="H30" s="252">
        <v>4</v>
      </c>
      <c r="I30" s="252">
        <v>17</v>
      </c>
      <c r="J30" s="252">
        <v>1986</v>
      </c>
      <c r="K30" s="411">
        <v>3.3460819166699997E-2</v>
      </c>
    </row>
    <row r="31" spans="1:11" x14ac:dyDescent="0.25">
      <c r="A31" s="2">
        <v>540016</v>
      </c>
      <c r="B31" s="2" t="s">
        <v>12</v>
      </c>
      <c r="C31" s="2" t="s">
        <v>13</v>
      </c>
      <c r="D31" s="2" t="s">
        <v>5</v>
      </c>
      <c r="E31" s="2">
        <v>2</v>
      </c>
      <c r="F31" s="2">
        <v>169628</v>
      </c>
      <c r="G31" s="2">
        <v>7120</v>
      </c>
      <c r="H31" s="2">
        <v>17</v>
      </c>
      <c r="I31" s="2">
        <v>0</v>
      </c>
      <c r="J31" s="2">
        <v>7103</v>
      </c>
      <c r="K31" s="267">
        <v>4.1873983068799997E-2</v>
      </c>
    </row>
    <row r="32" spans="1:11" x14ac:dyDescent="0.25">
      <c r="A32" s="2">
        <v>540017</v>
      </c>
      <c r="B32" s="2" t="s">
        <v>126</v>
      </c>
      <c r="C32" s="2" t="s">
        <v>13</v>
      </c>
      <c r="D32" s="2" t="s">
        <v>115</v>
      </c>
      <c r="E32" s="2">
        <v>2</v>
      </c>
      <c r="F32" s="2">
        <v>2679</v>
      </c>
      <c r="G32" s="2">
        <v>156</v>
      </c>
      <c r="H32" s="2">
        <v>0</v>
      </c>
      <c r="I32" s="2">
        <v>0</v>
      </c>
      <c r="J32" s="2">
        <v>156</v>
      </c>
      <c r="K32" s="267">
        <v>5.8230683090700001E-2</v>
      </c>
    </row>
    <row r="33" spans="1:11" x14ac:dyDescent="0.25">
      <c r="A33" s="2">
        <v>540018</v>
      </c>
      <c r="B33" s="2" t="s">
        <v>127</v>
      </c>
      <c r="C33" s="2" t="s">
        <v>13</v>
      </c>
      <c r="D33" s="2" t="s">
        <v>115</v>
      </c>
      <c r="E33" s="2">
        <v>2</v>
      </c>
      <c r="F33" s="2">
        <v>10925</v>
      </c>
      <c r="G33" s="2">
        <v>319</v>
      </c>
      <c r="H33" s="2">
        <v>0</v>
      </c>
      <c r="I33" s="2">
        <v>0</v>
      </c>
      <c r="J33" s="2">
        <v>319</v>
      </c>
      <c r="K33" s="267">
        <v>2.9199084668199999E-2</v>
      </c>
    </row>
    <row r="34" spans="1:11" x14ac:dyDescent="0.25">
      <c r="A34" s="2">
        <v>540019</v>
      </c>
      <c r="B34" s="2" t="s">
        <v>128</v>
      </c>
      <c r="C34" s="2" t="s">
        <v>13</v>
      </c>
      <c r="D34" s="2" t="s">
        <v>115</v>
      </c>
      <c r="E34" s="2">
        <v>2</v>
      </c>
      <c r="F34" s="2">
        <v>1005</v>
      </c>
      <c r="G34" s="2">
        <v>227</v>
      </c>
      <c r="H34" s="2">
        <v>8</v>
      </c>
      <c r="I34" s="2">
        <v>0</v>
      </c>
      <c r="J34" s="2">
        <v>219</v>
      </c>
      <c r="K34" s="267">
        <v>0.21791044776099999</v>
      </c>
    </row>
    <row r="35" spans="1:11" x14ac:dyDescent="0.25">
      <c r="A35" s="252"/>
      <c r="B35" s="252"/>
      <c r="C35" s="252" t="s">
        <v>13</v>
      </c>
      <c r="D35" s="252"/>
      <c r="E35" s="252"/>
      <c r="F35" s="252">
        <v>184237</v>
      </c>
      <c r="G35" s="252">
        <v>7822</v>
      </c>
      <c r="H35" s="252">
        <v>25</v>
      </c>
      <c r="I35" s="252">
        <v>0</v>
      </c>
      <c r="J35" s="252">
        <v>7797</v>
      </c>
      <c r="K35" s="411">
        <v>4.2320489369700003E-2</v>
      </c>
    </row>
    <row r="36" spans="1:11" x14ac:dyDescent="0.25">
      <c r="A36" s="2">
        <v>540020</v>
      </c>
      <c r="B36" s="2" t="s">
        <v>14</v>
      </c>
      <c r="C36" s="2" t="s">
        <v>15</v>
      </c>
      <c r="D36" s="2" t="s">
        <v>5</v>
      </c>
      <c r="E36" s="2">
        <v>5</v>
      </c>
      <c r="F36" s="2">
        <v>179082</v>
      </c>
      <c r="G36" s="2">
        <v>6397</v>
      </c>
      <c r="H36" s="2">
        <v>0</v>
      </c>
      <c r="I36" s="2">
        <v>0</v>
      </c>
      <c r="J36" s="2">
        <v>6397</v>
      </c>
      <c r="K36" s="267">
        <v>3.5721066327199999E-2</v>
      </c>
    </row>
    <row r="37" spans="1:11" x14ac:dyDescent="0.25">
      <c r="A37" s="2">
        <v>540021</v>
      </c>
      <c r="B37" s="2" t="s">
        <v>129</v>
      </c>
      <c r="C37" s="2" t="s">
        <v>15</v>
      </c>
      <c r="D37" s="2" t="s">
        <v>115</v>
      </c>
      <c r="E37" s="2">
        <v>5</v>
      </c>
      <c r="F37" s="2">
        <v>296</v>
      </c>
      <c r="G37" s="2">
        <v>88</v>
      </c>
      <c r="H37" s="2">
        <v>0</v>
      </c>
      <c r="I37" s="2">
        <v>0</v>
      </c>
      <c r="J37" s="2">
        <v>88</v>
      </c>
      <c r="K37" s="267">
        <v>0.297297297297</v>
      </c>
    </row>
    <row r="38" spans="1:11" x14ac:dyDescent="0.25">
      <c r="A38" s="252"/>
      <c r="B38" s="252"/>
      <c r="C38" s="252" t="s">
        <v>15</v>
      </c>
      <c r="D38" s="252"/>
      <c r="E38" s="252"/>
      <c r="F38" s="252">
        <v>179378</v>
      </c>
      <c r="G38" s="252">
        <v>6485</v>
      </c>
      <c r="H38" s="252">
        <v>0</v>
      </c>
      <c r="I38" s="252">
        <v>0</v>
      </c>
      <c r="J38" s="252">
        <v>6485</v>
      </c>
      <c r="K38" s="411">
        <v>3.6152705459999997E-2</v>
      </c>
    </row>
    <row r="39" spans="1:11" x14ac:dyDescent="0.25">
      <c r="A39" s="2">
        <v>540022</v>
      </c>
      <c r="B39" s="2" t="s">
        <v>16</v>
      </c>
      <c r="C39" s="2" t="s">
        <v>17</v>
      </c>
      <c r="D39" s="2" t="s">
        <v>5</v>
      </c>
      <c r="E39" s="2">
        <v>3</v>
      </c>
      <c r="F39" s="2">
        <v>219517</v>
      </c>
      <c r="G39" s="2">
        <v>5635</v>
      </c>
      <c r="H39" s="2">
        <v>17</v>
      </c>
      <c r="I39" s="2">
        <v>0</v>
      </c>
      <c r="J39" s="2">
        <v>5618</v>
      </c>
      <c r="K39" s="267">
        <v>2.55925509186E-2</v>
      </c>
    </row>
    <row r="40" spans="1:11" x14ac:dyDescent="0.25">
      <c r="A40" s="2">
        <v>540023</v>
      </c>
      <c r="B40" s="2" t="s">
        <v>130</v>
      </c>
      <c r="C40" s="2" t="s">
        <v>17</v>
      </c>
      <c r="D40" s="2" t="s">
        <v>115</v>
      </c>
      <c r="E40" s="2">
        <v>3</v>
      </c>
      <c r="F40" s="2">
        <v>394</v>
      </c>
      <c r="G40" s="2">
        <v>114</v>
      </c>
      <c r="H40" s="2">
        <v>0</v>
      </c>
      <c r="I40" s="2">
        <v>0</v>
      </c>
      <c r="J40" s="2">
        <v>114</v>
      </c>
      <c r="K40" s="267">
        <v>0.28934010152299999</v>
      </c>
    </row>
    <row r="41" spans="1:11" x14ac:dyDescent="0.25">
      <c r="A41" s="252"/>
      <c r="B41" s="252"/>
      <c r="C41" s="252" t="s">
        <v>17</v>
      </c>
      <c r="D41" s="252"/>
      <c r="E41" s="252"/>
      <c r="F41" s="252">
        <v>219911</v>
      </c>
      <c r="G41" s="252">
        <v>5749</v>
      </c>
      <c r="H41" s="252">
        <v>17</v>
      </c>
      <c r="I41" s="252">
        <v>0</v>
      </c>
      <c r="J41" s="252">
        <v>5732</v>
      </c>
      <c r="K41" s="411">
        <v>2.6065089968199999E-2</v>
      </c>
    </row>
    <row r="42" spans="1:11" x14ac:dyDescent="0.25">
      <c r="A42" s="2">
        <v>540024</v>
      </c>
      <c r="B42" s="2" t="s">
        <v>18</v>
      </c>
      <c r="C42" s="2" t="s">
        <v>19</v>
      </c>
      <c r="D42" s="2" t="s">
        <v>5</v>
      </c>
      <c r="E42" s="2">
        <v>6</v>
      </c>
      <c r="F42" s="2">
        <v>204680</v>
      </c>
      <c r="G42" s="2">
        <v>5651</v>
      </c>
      <c r="H42" s="2">
        <v>8</v>
      </c>
      <c r="I42" s="2">
        <v>0</v>
      </c>
      <c r="J42" s="2">
        <v>5643</v>
      </c>
      <c r="K42" s="267">
        <v>2.7569865155400001E-2</v>
      </c>
    </row>
    <row r="43" spans="1:11" x14ac:dyDescent="0.25">
      <c r="A43" s="2">
        <v>540025</v>
      </c>
      <c r="B43" s="2" t="s">
        <v>131</v>
      </c>
      <c r="C43" s="2" t="s">
        <v>19</v>
      </c>
      <c r="D43" s="2" t="s">
        <v>115</v>
      </c>
      <c r="E43" s="2">
        <v>6</v>
      </c>
      <c r="F43" s="2">
        <v>241</v>
      </c>
      <c r="G43" s="2">
        <v>29</v>
      </c>
      <c r="H43" s="2">
        <v>0</v>
      </c>
      <c r="I43" s="2">
        <v>0</v>
      </c>
      <c r="J43" s="2">
        <v>29</v>
      </c>
      <c r="K43" s="267">
        <v>0.12033195020699999</v>
      </c>
    </row>
    <row r="44" spans="1:11" x14ac:dyDescent="0.25">
      <c r="A44" s="252"/>
      <c r="B44" s="252"/>
      <c r="C44" s="252" t="s">
        <v>19</v>
      </c>
      <c r="D44" s="252"/>
      <c r="E44" s="252"/>
      <c r="F44" s="252">
        <v>204921</v>
      </c>
      <c r="G44" s="252">
        <v>5680</v>
      </c>
      <c r="H44" s="252">
        <v>8</v>
      </c>
      <c r="I44" s="252">
        <v>0</v>
      </c>
      <c r="J44" s="252">
        <v>5672</v>
      </c>
      <c r="K44" s="411">
        <v>2.7678959208700001E-2</v>
      </c>
    </row>
    <row r="45" spans="1:11" x14ac:dyDescent="0.25">
      <c r="A45" s="2">
        <v>540035</v>
      </c>
      <c r="B45" s="2" t="s">
        <v>22</v>
      </c>
      <c r="C45" s="2" t="s">
        <v>23</v>
      </c>
      <c r="D45" s="2" t="s">
        <v>5</v>
      </c>
      <c r="E45" s="2">
        <v>7</v>
      </c>
      <c r="F45" s="2">
        <v>216311</v>
      </c>
      <c r="G45" s="2">
        <v>6892</v>
      </c>
      <c r="H45" s="2">
        <v>0</v>
      </c>
      <c r="I45" s="2">
        <v>0</v>
      </c>
      <c r="J45" s="2">
        <v>6892</v>
      </c>
      <c r="K45" s="267">
        <v>3.18615327006E-2</v>
      </c>
    </row>
    <row r="46" spans="1:11" x14ac:dyDescent="0.25">
      <c r="A46" s="2">
        <v>540036</v>
      </c>
      <c r="B46" s="2" t="s">
        <v>139</v>
      </c>
      <c r="C46" s="2" t="s">
        <v>23</v>
      </c>
      <c r="D46" s="2" t="s">
        <v>115</v>
      </c>
      <c r="E46" s="2">
        <v>7</v>
      </c>
      <c r="F46" s="2">
        <v>662</v>
      </c>
      <c r="G46" s="2">
        <v>165</v>
      </c>
      <c r="H46" s="2">
        <v>0</v>
      </c>
      <c r="I46" s="2">
        <v>0</v>
      </c>
      <c r="J46" s="2">
        <v>165</v>
      </c>
      <c r="K46" s="267">
        <v>0.24924471299100001</v>
      </c>
    </row>
    <row r="47" spans="1:11" x14ac:dyDescent="0.25">
      <c r="A47" s="2">
        <v>540037</v>
      </c>
      <c r="B47" s="2" t="s">
        <v>140</v>
      </c>
      <c r="C47" s="2" t="s">
        <v>23</v>
      </c>
      <c r="D47" s="2" t="s">
        <v>115</v>
      </c>
      <c r="E47" s="2">
        <v>7</v>
      </c>
      <c r="F47" s="2">
        <v>224</v>
      </c>
      <c r="G47" s="2">
        <v>70</v>
      </c>
      <c r="H47" s="2">
        <v>0</v>
      </c>
      <c r="I47" s="2">
        <v>0</v>
      </c>
      <c r="J47" s="2">
        <v>70</v>
      </c>
      <c r="K47" s="267">
        <v>0.3125</v>
      </c>
    </row>
    <row r="48" spans="1:11" x14ac:dyDescent="0.25">
      <c r="A48" s="252"/>
      <c r="B48" s="252"/>
      <c r="C48" s="252" t="s">
        <v>23</v>
      </c>
      <c r="D48" s="252"/>
      <c r="E48" s="252"/>
      <c r="F48" s="252">
        <v>217197</v>
      </c>
      <c r="G48" s="252">
        <v>7127</v>
      </c>
      <c r="H48" s="252">
        <v>0</v>
      </c>
      <c r="I48" s="252">
        <v>0</v>
      </c>
      <c r="J48" s="252">
        <v>7127</v>
      </c>
      <c r="K48" s="411">
        <v>3.2813528731999997E-2</v>
      </c>
    </row>
    <row r="49" spans="1:11" x14ac:dyDescent="0.25">
      <c r="A49" s="2">
        <v>540038</v>
      </c>
      <c r="B49" s="2" t="s">
        <v>24</v>
      </c>
      <c r="C49" s="2" t="s">
        <v>25</v>
      </c>
      <c r="D49" s="2" t="s">
        <v>5</v>
      </c>
      <c r="E49" s="2">
        <v>8</v>
      </c>
      <c r="F49" s="2">
        <v>305978</v>
      </c>
      <c r="G49" s="2">
        <v>7698</v>
      </c>
      <c r="H49" s="2">
        <v>125</v>
      </c>
      <c r="I49" s="2">
        <v>549</v>
      </c>
      <c r="J49" s="2">
        <v>7024</v>
      </c>
      <c r="K49" s="267">
        <v>2.2955898790100002E-2</v>
      </c>
    </row>
    <row r="50" spans="1:11" x14ac:dyDescent="0.25">
      <c r="A50" s="2">
        <v>540039</v>
      </c>
      <c r="B50" s="2" t="s">
        <v>141</v>
      </c>
      <c r="C50" s="2" t="s">
        <v>25</v>
      </c>
      <c r="D50" s="2" t="s">
        <v>115</v>
      </c>
      <c r="E50" s="2">
        <v>8</v>
      </c>
      <c r="F50" s="2">
        <v>1035</v>
      </c>
      <c r="G50" s="2">
        <v>190</v>
      </c>
      <c r="H50" s="2">
        <v>0</v>
      </c>
      <c r="I50" s="2">
        <v>0</v>
      </c>
      <c r="J50" s="2">
        <v>190</v>
      </c>
      <c r="K50" s="267">
        <v>0.183574879227</v>
      </c>
    </row>
    <row r="51" spans="1:11" x14ac:dyDescent="0.25">
      <c r="A51" s="2">
        <v>540240</v>
      </c>
      <c r="B51" s="2" t="s">
        <v>287</v>
      </c>
      <c r="C51" s="2" t="s">
        <v>25</v>
      </c>
      <c r="D51" s="2" t="s">
        <v>115</v>
      </c>
      <c r="E51" s="2">
        <v>8</v>
      </c>
      <c r="F51" s="2">
        <v>195</v>
      </c>
      <c r="G51" s="2">
        <v>18</v>
      </c>
      <c r="H51" s="2">
        <v>0</v>
      </c>
      <c r="I51" s="2">
        <v>0</v>
      </c>
      <c r="J51" s="2">
        <v>18</v>
      </c>
      <c r="K51" s="267">
        <v>9.2307692307700001E-2</v>
      </c>
    </row>
    <row r="52" spans="1:11" x14ac:dyDescent="0.25">
      <c r="A52" s="252"/>
      <c r="B52" s="252"/>
      <c r="C52" s="252" t="s">
        <v>25</v>
      </c>
      <c r="D52" s="252"/>
      <c r="E52" s="252"/>
      <c r="F52" s="252">
        <v>307208</v>
      </c>
      <c r="G52" s="252">
        <v>7906</v>
      </c>
      <c r="H52" s="252">
        <v>125</v>
      </c>
      <c r="I52" s="252">
        <v>549</v>
      </c>
      <c r="J52" s="252">
        <v>7232</v>
      </c>
      <c r="K52" s="411">
        <v>2.3541053618400001E-2</v>
      </c>
    </row>
    <row r="53" spans="1:11" x14ac:dyDescent="0.25">
      <c r="A53" s="2">
        <v>540040</v>
      </c>
      <c r="B53" s="2" t="s">
        <v>26</v>
      </c>
      <c r="C53" s="2" t="s">
        <v>27</v>
      </c>
      <c r="D53" s="2" t="s">
        <v>5</v>
      </c>
      <c r="E53" s="2">
        <v>4</v>
      </c>
      <c r="F53" s="2">
        <v>648250</v>
      </c>
      <c r="G53" s="2">
        <v>21594</v>
      </c>
      <c r="H53" s="2">
        <v>463</v>
      </c>
      <c r="I53" s="2">
        <v>1853</v>
      </c>
      <c r="J53" s="2">
        <v>19278</v>
      </c>
      <c r="K53" s="267">
        <v>2.9738526802900001E-2</v>
      </c>
    </row>
    <row r="54" spans="1:11" x14ac:dyDescent="0.25">
      <c r="A54" s="2">
        <v>540041</v>
      </c>
      <c r="B54" s="2" t="s">
        <v>142</v>
      </c>
      <c r="C54" s="2" t="s">
        <v>27</v>
      </c>
      <c r="D54" s="2" t="s">
        <v>115</v>
      </c>
      <c r="E54" s="2">
        <v>4</v>
      </c>
      <c r="F54" s="2">
        <v>418</v>
      </c>
      <c r="G54" s="2">
        <v>83</v>
      </c>
      <c r="H54" s="2">
        <v>0</v>
      </c>
      <c r="I54" s="2">
        <v>0</v>
      </c>
      <c r="J54" s="2">
        <v>83</v>
      </c>
      <c r="K54" s="267">
        <v>0.19856459330099999</v>
      </c>
    </row>
    <row r="55" spans="1:11" x14ac:dyDescent="0.25">
      <c r="A55" s="2">
        <v>540043</v>
      </c>
      <c r="B55" s="2" t="s">
        <v>144</v>
      </c>
      <c r="C55" s="2" t="s">
        <v>27</v>
      </c>
      <c r="D55" s="2" t="s">
        <v>115</v>
      </c>
      <c r="E55" s="2">
        <v>4</v>
      </c>
      <c r="F55" s="2">
        <v>1106</v>
      </c>
      <c r="G55" s="2">
        <v>137</v>
      </c>
      <c r="H55" s="2">
        <v>0</v>
      </c>
      <c r="I55" s="2">
        <v>0</v>
      </c>
      <c r="J55" s="2">
        <v>137</v>
      </c>
      <c r="K55" s="267">
        <v>0.12386980108499999</v>
      </c>
    </row>
    <row r="56" spans="1:11" x14ac:dyDescent="0.25">
      <c r="A56" s="2">
        <v>540044</v>
      </c>
      <c r="B56" s="2" t="s">
        <v>145</v>
      </c>
      <c r="C56" s="2" t="s">
        <v>27</v>
      </c>
      <c r="D56" s="2" t="s">
        <v>115</v>
      </c>
      <c r="E56" s="2">
        <v>4</v>
      </c>
      <c r="F56" s="2">
        <v>501</v>
      </c>
      <c r="G56" s="2">
        <v>114</v>
      </c>
      <c r="H56" s="2">
        <v>0</v>
      </c>
      <c r="I56" s="2">
        <v>0</v>
      </c>
      <c r="J56" s="2">
        <v>114</v>
      </c>
      <c r="K56" s="267">
        <v>0.22754491018</v>
      </c>
    </row>
    <row r="57" spans="1:11" x14ac:dyDescent="0.25">
      <c r="A57" s="2">
        <v>540045</v>
      </c>
      <c r="B57" s="2" t="s">
        <v>146</v>
      </c>
      <c r="C57" s="2" t="s">
        <v>27</v>
      </c>
      <c r="D57" s="2" t="s">
        <v>115</v>
      </c>
      <c r="E57" s="2">
        <v>4</v>
      </c>
      <c r="F57" s="2">
        <v>1214</v>
      </c>
      <c r="G57" s="2">
        <v>189</v>
      </c>
      <c r="H57" s="2">
        <v>0</v>
      </c>
      <c r="I57" s="2">
        <v>0</v>
      </c>
      <c r="J57" s="2">
        <v>189</v>
      </c>
      <c r="K57" s="267">
        <v>0.15568369028000001</v>
      </c>
    </row>
    <row r="58" spans="1:11" x14ac:dyDescent="0.25">
      <c r="A58" s="2">
        <v>540228</v>
      </c>
      <c r="B58" s="2" t="s">
        <v>278</v>
      </c>
      <c r="C58" s="2" t="s">
        <v>27</v>
      </c>
      <c r="D58" s="2" t="s">
        <v>115</v>
      </c>
      <c r="E58" s="2">
        <v>4</v>
      </c>
      <c r="F58" s="2">
        <v>714</v>
      </c>
      <c r="G58" s="2">
        <v>66</v>
      </c>
      <c r="H58" s="2">
        <v>0</v>
      </c>
      <c r="I58" s="2">
        <v>0</v>
      </c>
      <c r="J58" s="2">
        <v>66</v>
      </c>
      <c r="K58" s="267">
        <v>9.2436974789899998E-2</v>
      </c>
    </row>
    <row r="59" spans="1:11" x14ac:dyDescent="0.25">
      <c r="A59" s="2">
        <v>540243</v>
      </c>
      <c r="B59" s="2" t="s">
        <v>290</v>
      </c>
      <c r="C59" s="2" t="s">
        <v>27</v>
      </c>
      <c r="D59" s="2" t="s">
        <v>115</v>
      </c>
      <c r="E59" s="2">
        <v>4</v>
      </c>
      <c r="F59" s="2">
        <v>338</v>
      </c>
      <c r="G59" s="2">
        <v>36</v>
      </c>
      <c r="H59" s="2">
        <v>0</v>
      </c>
      <c r="I59" s="2">
        <v>0</v>
      </c>
      <c r="J59" s="2">
        <v>36</v>
      </c>
      <c r="K59" s="267">
        <v>0.10650887573999999</v>
      </c>
    </row>
    <row r="60" spans="1:11" x14ac:dyDescent="0.25">
      <c r="A60" s="2">
        <v>540244</v>
      </c>
      <c r="B60" s="2" t="s">
        <v>291</v>
      </c>
      <c r="C60" s="2" t="s">
        <v>27</v>
      </c>
      <c r="D60" s="2" t="s">
        <v>115</v>
      </c>
      <c r="E60" s="2">
        <v>4</v>
      </c>
      <c r="F60" s="2">
        <v>221</v>
      </c>
      <c r="G60" s="2">
        <v>1</v>
      </c>
      <c r="H60" s="2">
        <v>0</v>
      </c>
      <c r="I60" s="2">
        <v>0</v>
      </c>
      <c r="J60" s="2">
        <v>1</v>
      </c>
      <c r="K60" s="267">
        <v>4.5248868778300002E-3</v>
      </c>
    </row>
    <row r="61" spans="1:11" x14ac:dyDescent="0.25">
      <c r="A61" s="2">
        <v>540281</v>
      </c>
      <c r="B61" s="2" t="s">
        <v>322</v>
      </c>
      <c r="C61" s="2" t="s">
        <v>27</v>
      </c>
      <c r="D61" s="2" t="s">
        <v>115</v>
      </c>
      <c r="E61" s="2">
        <v>4</v>
      </c>
      <c r="F61" s="2">
        <v>2437</v>
      </c>
      <c r="G61" s="2">
        <v>0</v>
      </c>
      <c r="H61" s="2">
        <v>0</v>
      </c>
      <c r="I61" s="2">
        <v>0</v>
      </c>
      <c r="J61" s="2">
        <v>0</v>
      </c>
      <c r="K61" s="267">
        <v>0</v>
      </c>
    </row>
    <row r="62" spans="1:11" x14ac:dyDescent="0.25">
      <c r="A62" s="252"/>
      <c r="B62" s="252"/>
      <c r="C62" s="252" t="s">
        <v>27</v>
      </c>
      <c r="D62" s="252"/>
      <c r="E62" s="252"/>
      <c r="F62" s="252">
        <v>655199</v>
      </c>
      <c r="G62" s="252">
        <v>22220</v>
      </c>
      <c r="H62" s="252">
        <v>463</v>
      </c>
      <c r="I62" s="252">
        <v>1853</v>
      </c>
      <c r="J62" s="252">
        <v>19904</v>
      </c>
      <c r="K62" s="411">
        <v>3.0378556743799998E-2</v>
      </c>
    </row>
    <row r="63" spans="1:11" x14ac:dyDescent="0.25">
      <c r="A63" s="2">
        <v>540047</v>
      </c>
      <c r="B63" s="2" t="s">
        <v>28</v>
      </c>
      <c r="C63" s="2" t="s">
        <v>29</v>
      </c>
      <c r="D63" s="2" t="s">
        <v>5</v>
      </c>
      <c r="E63" s="2">
        <v>11</v>
      </c>
      <c r="F63" s="2">
        <v>46787</v>
      </c>
      <c r="G63" s="2">
        <v>649</v>
      </c>
      <c r="H63" s="2">
        <v>5</v>
      </c>
      <c r="I63" s="2">
        <v>0</v>
      </c>
      <c r="J63" s="2">
        <v>644</v>
      </c>
      <c r="K63" s="267">
        <v>1.3764507234899999E-2</v>
      </c>
    </row>
    <row r="64" spans="1:11" x14ac:dyDescent="0.25">
      <c r="A64" s="2">
        <v>540014</v>
      </c>
      <c r="B64" s="2" t="s">
        <v>124</v>
      </c>
      <c r="C64" s="2" t="s">
        <v>29</v>
      </c>
      <c r="D64" s="2" t="s">
        <v>115</v>
      </c>
      <c r="E64" s="2">
        <v>11</v>
      </c>
      <c r="F64" s="2">
        <v>7775</v>
      </c>
      <c r="G64" s="2">
        <v>297</v>
      </c>
      <c r="H64" s="2">
        <v>5</v>
      </c>
      <c r="I64" s="2">
        <v>0</v>
      </c>
      <c r="J64" s="2">
        <v>292</v>
      </c>
      <c r="K64" s="267">
        <v>3.7556270096499998E-2</v>
      </c>
    </row>
    <row r="65" spans="1:11" x14ac:dyDescent="0.25">
      <c r="A65" s="2">
        <v>540048</v>
      </c>
      <c r="B65" s="2" t="s">
        <v>148</v>
      </c>
      <c r="C65" s="2" t="s">
        <v>29</v>
      </c>
      <c r="D65" s="2" t="s">
        <v>115</v>
      </c>
      <c r="E65" s="2">
        <v>11</v>
      </c>
      <c r="F65" s="2">
        <v>639</v>
      </c>
      <c r="G65" s="2">
        <v>39</v>
      </c>
      <c r="H65" s="2">
        <v>0</v>
      </c>
      <c r="I65" s="2">
        <v>0</v>
      </c>
      <c r="J65" s="2">
        <v>39</v>
      </c>
      <c r="K65" s="267">
        <v>6.1032863849800001E-2</v>
      </c>
    </row>
    <row r="66" spans="1:11" x14ac:dyDescent="0.25">
      <c r="A66" s="2">
        <v>540049</v>
      </c>
      <c r="B66" s="2" t="s">
        <v>149</v>
      </c>
      <c r="C66" s="2" t="s">
        <v>29</v>
      </c>
      <c r="D66" s="2" t="s">
        <v>115</v>
      </c>
      <c r="E66" s="2">
        <v>11</v>
      </c>
      <c r="F66" s="2">
        <v>1189</v>
      </c>
      <c r="G66" s="2">
        <v>149</v>
      </c>
      <c r="H66" s="2">
        <v>1</v>
      </c>
      <c r="I66" s="2">
        <v>0</v>
      </c>
      <c r="J66" s="2">
        <v>148</v>
      </c>
      <c r="K66" s="267">
        <v>0.124474348192</v>
      </c>
    </row>
    <row r="67" spans="1:11" x14ac:dyDescent="0.25">
      <c r="A67" s="252"/>
      <c r="B67" s="252"/>
      <c r="C67" s="252" t="s">
        <v>29</v>
      </c>
      <c r="D67" s="252"/>
      <c r="E67" s="252"/>
      <c r="F67" s="252">
        <v>56390</v>
      </c>
      <c r="G67" s="252">
        <v>1134</v>
      </c>
      <c r="H67" s="252">
        <v>11</v>
      </c>
      <c r="I67" s="252">
        <v>0</v>
      </c>
      <c r="J67" s="252">
        <v>1123</v>
      </c>
      <c r="K67" s="411">
        <v>1.9914878524599999E-2</v>
      </c>
    </row>
    <row r="68" spans="1:11" x14ac:dyDescent="0.25">
      <c r="A68" s="2">
        <v>540051</v>
      </c>
      <c r="B68" s="2" t="s">
        <v>30</v>
      </c>
      <c r="C68" s="2" t="s">
        <v>31</v>
      </c>
      <c r="D68" s="2" t="s">
        <v>5</v>
      </c>
      <c r="E68" s="2">
        <v>8</v>
      </c>
      <c r="F68" s="2">
        <v>372059</v>
      </c>
      <c r="G68" s="2">
        <v>17057</v>
      </c>
      <c r="H68" s="2">
        <v>55</v>
      </c>
      <c r="I68" s="2">
        <v>152</v>
      </c>
      <c r="J68" s="2">
        <v>16850</v>
      </c>
      <c r="K68" s="267">
        <v>4.5288516068699998E-2</v>
      </c>
    </row>
    <row r="69" spans="1:11" x14ac:dyDescent="0.25">
      <c r="A69" s="2">
        <v>540052</v>
      </c>
      <c r="B69" s="2" t="s">
        <v>151</v>
      </c>
      <c r="C69" s="2" t="s">
        <v>31</v>
      </c>
      <c r="D69" s="2" t="s">
        <v>115</v>
      </c>
      <c r="E69" s="2">
        <v>8</v>
      </c>
      <c r="F69" s="2">
        <v>1784</v>
      </c>
      <c r="G69" s="2">
        <v>475</v>
      </c>
      <c r="H69" s="2">
        <v>0</v>
      </c>
      <c r="I69" s="2">
        <v>0</v>
      </c>
      <c r="J69" s="2">
        <v>475</v>
      </c>
      <c r="K69" s="267">
        <v>0.26625560538100002</v>
      </c>
    </row>
    <row r="70" spans="1:11" x14ac:dyDescent="0.25">
      <c r="A70" s="2">
        <v>540245</v>
      </c>
      <c r="B70" s="2" t="s">
        <v>292</v>
      </c>
      <c r="C70" s="2" t="s">
        <v>31</v>
      </c>
      <c r="D70" s="2" t="s">
        <v>115</v>
      </c>
      <c r="E70" s="2">
        <v>8</v>
      </c>
      <c r="F70" s="2">
        <v>212</v>
      </c>
      <c r="G70" s="2">
        <v>12</v>
      </c>
      <c r="H70" s="2">
        <v>0</v>
      </c>
      <c r="I70" s="2">
        <v>0</v>
      </c>
      <c r="J70" s="2">
        <v>12</v>
      </c>
      <c r="K70" s="267">
        <v>5.66037735849E-2</v>
      </c>
    </row>
    <row r="71" spans="1:11" x14ac:dyDescent="0.25">
      <c r="A71" s="252"/>
      <c r="B71" s="252"/>
      <c r="C71" s="252" t="s">
        <v>31</v>
      </c>
      <c r="D71" s="252"/>
      <c r="E71" s="252"/>
      <c r="F71" s="252">
        <v>374055</v>
      </c>
      <c r="G71" s="252">
        <v>17544</v>
      </c>
      <c r="H71" s="252">
        <v>55</v>
      </c>
      <c r="I71" s="252">
        <v>152</v>
      </c>
      <c r="J71" s="252">
        <v>17337</v>
      </c>
      <c r="K71" s="411">
        <v>4.6348798973400003E-2</v>
      </c>
    </row>
    <row r="72" spans="1:11" x14ac:dyDescent="0.25">
      <c r="A72" s="2">
        <v>540053</v>
      </c>
      <c r="B72" s="2" t="s">
        <v>32</v>
      </c>
      <c r="C72" s="2" t="s">
        <v>33</v>
      </c>
      <c r="D72" s="2" t="s">
        <v>5</v>
      </c>
      <c r="E72" s="2">
        <v>6</v>
      </c>
      <c r="F72" s="2">
        <v>248423</v>
      </c>
      <c r="G72" s="2">
        <v>5696</v>
      </c>
      <c r="H72" s="2">
        <v>99</v>
      </c>
      <c r="I72" s="2">
        <v>0</v>
      </c>
      <c r="J72" s="2">
        <v>5597</v>
      </c>
      <c r="K72" s="267">
        <v>2.2530119996900001E-2</v>
      </c>
    </row>
    <row r="73" spans="1:11" x14ac:dyDescent="0.25">
      <c r="A73" s="2">
        <v>540054</v>
      </c>
      <c r="B73" s="2" t="s">
        <v>152</v>
      </c>
      <c r="C73" s="2" t="s">
        <v>33</v>
      </c>
      <c r="D73" s="2" t="s">
        <v>115</v>
      </c>
      <c r="E73" s="2">
        <v>6</v>
      </c>
      <c r="F73" s="2">
        <v>676</v>
      </c>
      <c r="G73" s="2">
        <v>15</v>
      </c>
      <c r="H73" s="2">
        <v>0</v>
      </c>
      <c r="I73" s="2">
        <v>0</v>
      </c>
      <c r="J73" s="2">
        <v>15</v>
      </c>
      <c r="K73" s="267">
        <v>2.21893491124E-2</v>
      </c>
    </row>
    <row r="74" spans="1:11" x14ac:dyDescent="0.25">
      <c r="A74" s="2">
        <v>540055</v>
      </c>
      <c r="B74" s="2" t="s">
        <v>153</v>
      </c>
      <c r="C74" s="2" t="s">
        <v>33</v>
      </c>
      <c r="D74" s="2" t="s">
        <v>115</v>
      </c>
      <c r="E74" s="2">
        <v>6</v>
      </c>
      <c r="F74" s="2">
        <v>6899</v>
      </c>
      <c r="G74" s="2">
        <v>182</v>
      </c>
      <c r="H74" s="2">
        <v>0</v>
      </c>
      <c r="I74" s="2">
        <v>0</v>
      </c>
      <c r="J74" s="2">
        <v>182</v>
      </c>
      <c r="K74" s="267">
        <v>2.63806348746E-2</v>
      </c>
    </row>
    <row r="75" spans="1:11" x14ac:dyDescent="0.25">
      <c r="A75" s="2">
        <v>540056</v>
      </c>
      <c r="B75" s="2" t="s">
        <v>154</v>
      </c>
      <c r="C75" s="2" t="s">
        <v>33</v>
      </c>
      <c r="D75" s="2" t="s">
        <v>115</v>
      </c>
      <c r="E75" s="2">
        <v>6</v>
      </c>
      <c r="F75" s="2">
        <v>6225</v>
      </c>
      <c r="G75" s="2">
        <v>183</v>
      </c>
      <c r="H75" s="2">
        <v>0</v>
      </c>
      <c r="I75" s="2">
        <v>0</v>
      </c>
      <c r="J75" s="2">
        <v>183</v>
      </c>
      <c r="K75" s="267">
        <v>2.9397590361400001E-2</v>
      </c>
    </row>
    <row r="76" spans="1:11" x14ac:dyDescent="0.25">
      <c r="A76" s="2">
        <v>540057</v>
      </c>
      <c r="B76" s="2" t="s">
        <v>155</v>
      </c>
      <c r="C76" s="2" t="s">
        <v>33</v>
      </c>
      <c r="D76" s="2" t="s">
        <v>115</v>
      </c>
      <c r="E76" s="2">
        <v>6</v>
      </c>
      <c r="F76" s="2">
        <v>621</v>
      </c>
      <c r="G76" s="2">
        <v>115</v>
      </c>
      <c r="H76" s="2">
        <v>0</v>
      </c>
      <c r="I76" s="2">
        <v>0</v>
      </c>
      <c r="J76" s="2">
        <v>115</v>
      </c>
      <c r="K76" s="267">
        <v>0.18518518518499999</v>
      </c>
    </row>
    <row r="77" spans="1:11" x14ac:dyDescent="0.25">
      <c r="A77" s="2">
        <v>540058</v>
      </c>
      <c r="B77" s="2" t="s">
        <v>156</v>
      </c>
      <c r="C77" s="2" t="s">
        <v>33</v>
      </c>
      <c r="D77" s="2" t="s">
        <v>115</v>
      </c>
      <c r="E77" s="2">
        <v>6</v>
      </c>
      <c r="F77" s="2">
        <v>322</v>
      </c>
      <c r="G77" s="2">
        <v>48</v>
      </c>
      <c r="H77" s="2">
        <v>0</v>
      </c>
      <c r="I77" s="2">
        <v>0</v>
      </c>
      <c r="J77" s="2">
        <v>48</v>
      </c>
      <c r="K77" s="267">
        <v>0.14906832298100001</v>
      </c>
    </row>
    <row r="78" spans="1:11" x14ac:dyDescent="0.25">
      <c r="A78" s="2">
        <v>540059</v>
      </c>
      <c r="B78" s="2" t="s">
        <v>157</v>
      </c>
      <c r="C78" s="2" t="s">
        <v>33</v>
      </c>
      <c r="D78" s="2" t="s">
        <v>115</v>
      </c>
      <c r="E78" s="2">
        <v>6</v>
      </c>
      <c r="F78" s="2">
        <v>569</v>
      </c>
      <c r="G78" s="2">
        <v>36</v>
      </c>
      <c r="H78" s="2">
        <v>0</v>
      </c>
      <c r="I78" s="2">
        <v>0</v>
      </c>
      <c r="J78" s="2">
        <v>36</v>
      </c>
      <c r="K78" s="267">
        <v>6.3268892794399997E-2</v>
      </c>
    </row>
    <row r="79" spans="1:11" x14ac:dyDescent="0.25">
      <c r="A79" s="2">
        <v>540060</v>
      </c>
      <c r="B79" s="2" t="s">
        <v>158</v>
      </c>
      <c r="C79" s="2" t="s">
        <v>33</v>
      </c>
      <c r="D79" s="2" t="s">
        <v>115</v>
      </c>
      <c r="E79" s="2">
        <v>6</v>
      </c>
      <c r="F79" s="2">
        <v>1070</v>
      </c>
      <c r="G79" s="2">
        <v>68</v>
      </c>
      <c r="H79" s="2">
        <v>0</v>
      </c>
      <c r="I79" s="2">
        <v>0</v>
      </c>
      <c r="J79" s="2">
        <v>68</v>
      </c>
      <c r="K79" s="267">
        <v>6.3551401869199997E-2</v>
      </c>
    </row>
    <row r="80" spans="1:11" x14ac:dyDescent="0.25">
      <c r="A80" s="2">
        <v>540061</v>
      </c>
      <c r="B80" s="2" t="s">
        <v>159</v>
      </c>
      <c r="C80" s="2" t="s">
        <v>33</v>
      </c>
      <c r="D80" s="2" t="s">
        <v>115</v>
      </c>
      <c r="E80" s="2">
        <v>6</v>
      </c>
      <c r="F80" s="2">
        <v>545</v>
      </c>
      <c r="G80" s="2">
        <v>13</v>
      </c>
      <c r="H80" s="2">
        <v>0</v>
      </c>
      <c r="I80" s="2">
        <v>0</v>
      </c>
      <c r="J80" s="2">
        <v>13</v>
      </c>
      <c r="K80" s="267">
        <v>2.3853211009200001E-2</v>
      </c>
    </row>
    <row r="81" spans="1:11" x14ac:dyDescent="0.25">
      <c r="A81" s="2">
        <v>540062</v>
      </c>
      <c r="B81" s="2" t="s">
        <v>160</v>
      </c>
      <c r="C81" s="2" t="s">
        <v>33</v>
      </c>
      <c r="D81" s="2" t="s">
        <v>115</v>
      </c>
      <c r="E81" s="2">
        <v>6</v>
      </c>
      <c r="F81" s="2">
        <v>340</v>
      </c>
      <c r="G81" s="2">
        <v>5</v>
      </c>
      <c r="H81" s="2">
        <v>0</v>
      </c>
      <c r="I81" s="2">
        <v>0</v>
      </c>
      <c r="J81" s="2">
        <v>5</v>
      </c>
      <c r="K81" s="267">
        <v>1.4705882352899999E-2</v>
      </c>
    </row>
    <row r="82" spans="1:11" x14ac:dyDescent="0.25">
      <c r="A82" s="2">
        <v>540242</v>
      </c>
      <c r="B82" s="2" t="s">
        <v>289</v>
      </c>
      <c r="C82" s="2" t="s">
        <v>33</v>
      </c>
      <c r="D82" s="2" t="s">
        <v>115</v>
      </c>
      <c r="E82" s="2">
        <v>6</v>
      </c>
      <c r="F82" s="2">
        <v>854</v>
      </c>
      <c r="G82" s="2">
        <v>45</v>
      </c>
      <c r="H82" s="2">
        <v>0</v>
      </c>
      <c r="I82" s="2">
        <v>0</v>
      </c>
      <c r="J82" s="2">
        <v>45</v>
      </c>
      <c r="K82" s="267">
        <v>5.2693208430900002E-2</v>
      </c>
    </row>
    <row r="83" spans="1:11" x14ac:dyDescent="0.25">
      <c r="A83" s="252"/>
      <c r="B83" s="252"/>
      <c r="C83" s="252" t="s">
        <v>33</v>
      </c>
      <c r="D83" s="252"/>
      <c r="E83" s="252"/>
      <c r="F83" s="252">
        <v>266544</v>
      </c>
      <c r="G83" s="252">
        <v>6406</v>
      </c>
      <c r="H83" s="252">
        <v>99</v>
      </c>
      <c r="I83" s="252">
        <v>0</v>
      </c>
      <c r="J83" s="252">
        <v>6307</v>
      </c>
      <c r="K83" s="411">
        <v>2.3662134581899998E-2</v>
      </c>
    </row>
    <row r="84" spans="1:11" x14ac:dyDescent="0.25">
      <c r="A84" s="2">
        <v>540063</v>
      </c>
      <c r="B84" s="2" t="s">
        <v>34</v>
      </c>
      <c r="C84" s="2" t="s">
        <v>35</v>
      </c>
      <c r="D84" s="2" t="s">
        <v>5</v>
      </c>
      <c r="E84" s="2">
        <v>5</v>
      </c>
      <c r="F84" s="2">
        <v>298304</v>
      </c>
      <c r="G84" s="2">
        <v>14340</v>
      </c>
      <c r="H84" s="2">
        <v>432</v>
      </c>
      <c r="I84" s="2">
        <v>0</v>
      </c>
      <c r="J84" s="2">
        <v>13908</v>
      </c>
      <c r="K84" s="267">
        <v>4.6623578631200001E-2</v>
      </c>
    </row>
    <row r="85" spans="1:11" x14ac:dyDescent="0.25">
      <c r="A85" s="2">
        <v>540064</v>
      </c>
      <c r="B85" s="2" t="s">
        <v>161</v>
      </c>
      <c r="C85" s="2" t="s">
        <v>35</v>
      </c>
      <c r="D85" s="2" t="s">
        <v>115</v>
      </c>
      <c r="E85" s="2">
        <v>5</v>
      </c>
      <c r="F85" s="2">
        <v>2101</v>
      </c>
      <c r="G85" s="2">
        <v>150</v>
      </c>
      <c r="H85" s="2">
        <v>1</v>
      </c>
      <c r="I85" s="2">
        <v>0</v>
      </c>
      <c r="J85" s="2">
        <v>149</v>
      </c>
      <c r="K85" s="267">
        <v>7.0918610185600001E-2</v>
      </c>
    </row>
    <row r="86" spans="1:11" x14ac:dyDescent="0.25">
      <c r="A86" s="2">
        <v>540241</v>
      </c>
      <c r="B86" s="2" t="s">
        <v>288</v>
      </c>
      <c r="C86" s="2" t="s">
        <v>35</v>
      </c>
      <c r="D86" s="2" t="s">
        <v>115</v>
      </c>
      <c r="E86" s="2">
        <v>5</v>
      </c>
      <c r="F86" s="2">
        <v>1208</v>
      </c>
      <c r="G86" s="2">
        <v>252</v>
      </c>
      <c r="H86" s="2">
        <v>35</v>
      </c>
      <c r="I86" s="2">
        <v>0</v>
      </c>
      <c r="J86" s="2">
        <v>217</v>
      </c>
      <c r="K86" s="267">
        <v>0.17963576158899999</v>
      </c>
    </row>
    <row r="87" spans="1:11" x14ac:dyDescent="0.25">
      <c r="A87" s="252"/>
      <c r="B87" s="252"/>
      <c r="C87" s="252" t="s">
        <v>35</v>
      </c>
      <c r="D87" s="252"/>
      <c r="E87" s="252"/>
      <c r="F87" s="252">
        <v>301613</v>
      </c>
      <c r="G87" s="252">
        <v>14742</v>
      </c>
      <c r="H87" s="252">
        <v>468</v>
      </c>
      <c r="I87" s="252">
        <v>0</v>
      </c>
      <c r="J87" s="252">
        <v>14274</v>
      </c>
      <c r="K87" s="411">
        <v>4.7325546312700001E-2</v>
      </c>
    </row>
    <row r="88" spans="1:11" x14ac:dyDescent="0.25">
      <c r="A88" s="2">
        <v>540065</v>
      </c>
      <c r="B88" s="2" t="s">
        <v>36</v>
      </c>
      <c r="C88" s="2" t="s">
        <v>37</v>
      </c>
      <c r="D88" s="2" t="s">
        <v>5</v>
      </c>
      <c r="E88" s="2">
        <v>9</v>
      </c>
      <c r="F88" s="2">
        <v>125719</v>
      </c>
      <c r="G88" s="2">
        <v>6696</v>
      </c>
      <c r="H88" s="2">
        <v>34</v>
      </c>
      <c r="I88" s="2">
        <v>124</v>
      </c>
      <c r="J88" s="2">
        <v>6538</v>
      </c>
      <c r="K88" s="267">
        <v>5.20048679993E-2</v>
      </c>
    </row>
    <row r="89" spans="1:11" x14ac:dyDescent="0.25">
      <c r="A89" s="2">
        <v>540030</v>
      </c>
      <c r="B89" s="2" t="s">
        <v>135</v>
      </c>
      <c r="C89" s="2" t="s">
        <v>37</v>
      </c>
      <c r="D89" s="2" t="s">
        <v>115</v>
      </c>
      <c r="E89" s="2">
        <v>9</v>
      </c>
      <c r="F89" s="2">
        <v>278</v>
      </c>
      <c r="G89" s="2">
        <v>11</v>
      </c>
      <c r="H89" s="2">
        <v>0</v>
      </c>
      <c r="I89" s="2">
        <v>10</v>
      </c>
      <c r="J89" s="2">
        <v>1</v>
      </c>
      <c r="K89" s="267">
        <v>3.5971223021600001E-3</v>
      </c>
    </row>
    <row r="90" spans="1:11" x14ac:dyDescent="0.25">
      <c r="A90" s="2">
        <v>540066</v>
      </c>
      <c r="B90" s="2" t="s">
        <v>162</v>
      </c>
      <c r="C90" s="2" t="s">
        <v>37</v>
      </c>
      <c r="D90" s="2" t="s">
        <v>115</v>
      </c>
      <c r="E90" s="2">
        <v>9</v>
      </c>
      <c r="F90" s="2">
        <v>3744</v>
      </c>
      <c r="G90" s="2">
        <v>187</v>
      </c>
      <c r="H90" s="2">
        <v>0</v>
      </c>
      <c r="I90" s="2">
        <v>0</v>
      </c>
      <c r="J90" s="2">
        <v>187</v>
      </c>
      <c r="K90" s="267">
        <v>4.9946581196599997E-2</v>
      </c>
    </row>
    <row r="91" spans="1:11" x14ac:dyDescent="0.25">
      <c r="A91" s="2">
        <v>540067</v>
      </c>
      <c r="B91" s="2" t="s">
        <v>163</v>
      </c>
      <c r="C91" s="2" t="s">
        <v>37</v>
      </c>
      <c r="D91" s="2" t="s">
        <v>115</v>
      </c>
      <c r="E91" s="2">
        <v>9</v>
      </c>
      <c r="F91" s="2">
        <v>400</v>
      </c>
      <c r="G91" s="2">
        <v>159</v>
      </c>
      <c r="H91" s="2">
        <v>1</v>
      </c>
      <c r="I91" s="2">
        <v>84</v>
      </c>
      <c r="J91" s="2">
        <v>74</v>
      </c>
      <c r="K91" s="267">
        <v>0.185</v>
      </c>
    </row>
    <row r="92" spans="1:11" x14ac:dyDescent="0.25">
      <c r="A92" s="2">
        <v>540068</v>
      </c>
      <c r="B92" s="2" t="s">
        <v>164</v>
      </c>
      <c r="C92" s="2" t="s">
        <v>37</v>
      </c>
      <c r="D92" s="2" t="s">
        <v>115</v>
      </c>
      <c r="E92" s="2">
        <v>9</v>
      </c>
      <c r="F92" s="2">
        <v>5185</v>
      </c>
      <c r="G92" s="2">
        <v>178</v>
      </c>
      <c r="H92" s="2">
        <v>0</v>
      </c>
      <c r="I92" s="2">
        <v>0</v>
      </c>
      <c r="J92" s="2">
        <v>178</v>
      </c>
      <c r="K92" s="267">
        <v>3.4329797492799997E-2</v>
      </c>
    </row>
    <row r="93" spans="1:11" x14ac:dyDescent="0.25">
      <c r="A93" s="2">
        <v>540069</v>
      </c>
      <c r="B93" s="2" t="s">
        <v>165</v>
      </c>
      <c r="C93" s="2" t="s">
        <v>37</v>
      </c>
      <c r="D93" s="2" t="s">
        <v>115</v>
      </c>
      <c r="E93" s="2">
        <v>9</v>
      </c>
      <c r="F93" s="2">
        <v>240</v>
      </c>
      <c r="G93" s="2">
        <v>21</v>
      </c>
      <c r="H93" s="2">
        <v>0</v>
      </c>
      <c r="I93" s="2">
        <v>0</v>
      </c>
      <c r="J93" s="2">
        <v>21</v>
      </c>
      <c r="K93" s="267">
        <v>8.7499999999999994E-2</v>
      </c>
    </row>
    <row r="94" spans="1:11" x14ac:dyDescent="0.25">
      <c r="A94" s="252"/>
      <c r="B94" s="252"/>
      <c r="C94" s="252" t="s">
        <v>37</v>
      </c>
      <c r="D94" s="252"/>
      <c r="E94" s="252"/>
      <c r="F94" s="252">
        <v>135566</v>
      </c>
      <c r="G94" s="252">
        <v>7252</v>
      </c>
      <c r="H94" s="252">
        <v>35</v>
      </c>
      <c r="I94" s="252">
        <v>218</v>
      </c>
      <c r="J94" s="252">
        <v>6999</v>
      </c>
      <c r="K94" s="411">
        <v>5.1627989318900003E-2</v>
      </c>
    </row>
    <row r="95" spans="1:11" x14ac:dyDescent="0.25">
      <c r="A95" s="2">
        <v>540070</v>
      </c>
      <c r="B95" s="2" t="s">
        <v>38</v>
      </c>
      <c r="C95" s="2" t="s">
        <v>39</v>
      </c>
      <c r="D95" s="2" t="s">
        <v>5</v>
      </c>
      <c r="E95" s="2">
        <v>3</v>
      </c>
      <c r="F95" s="2">
        <v>543863</v>
      </c>
      <c r="G95" s="2">
        <v>14259</v>
      </c>
      <c r="H95" s="2">
        <v>40</v>
      </c>
      <c r="I95" s="2">
        <v>0</v>
      </c>
      <c r="J95" s="2">
        <v>14219</v>
      </c>
      <c r="K95" s="267">
        <v>2.6144451819700001E-2</v>
      </c>
    </row>
    <row r="96" spans="1:11" x14ac:dyDescent="0.25">
      <c r="A96" s="2">
        <v>540029</v>
      </c>
      <c r="B96" s="2" t="s">
        <v>134</v>
      </c>
      <c r="C96" s="2" t="s">
        <v>39</v>
      </c>
      <c r="D96" s="2" t="s">
        <v>115</v>
      </c>
      <c r="E96" s="2">
        <v>3</v>
      </c>
      <c r="F96" s="2">
        <v>239</v>
      </c>
      <c r="G96" s="2">
        <v>13</v>
      </c>
      <c r="H96" s="2">
        <v>0</v>
      </c>
      <c r="I96" s="2">
        <v>0</v>
      </c>
      <c r="J96" s="2">
        <v>13</v>
      </c>
      <c r="K96" s="267">
        <v>5.4393305439300002E-2</v>
      </c>
    </row>
    <row r="97" spans="1:11" x14ac:dyDescent="0.25">
      <c r="A97" s="2">
        <v>540071</v>
      </c>
      <c r="B97" s="2" t="s">
        <v>166</v>
      </c>
      <c r="C97" s="2" t="s">
        <v>39</v>
      </c>
      <c r="D97" s="2" t="s">
        <v>115</v>
      </c>
      <c r="E97" s="2">
        <v>3</v>
      </c>
      <c r="F97" s="2">
        <v>500</v>
      </c>
      <c r="G97" s="2">
        <v>18</v>
      </c>
      <c r="H97" s="2">
        <v>0</v>
      </c>
      <c r="I97" s="2">
        <v>0</v>
      </c>
      <c r="J97" s="2">
        <v>18</v>
      </c>
      <c r="K97" s="267">
        <v>3.5999999999999997E-2</v>
      </c>
    </row>
    <row r="98" spans="1:11" x14ac:dyDescent="0.25">
      <c r="A98" s="2">
        <v>540072</v>
      </c>
      <c r="B98" s="2" t="s">
        <v>167</v>
      </c>
      <c r="C98" s="2" t="s">
        <v>39</v>
      </c>
      <c r="D98" s="2" t="s">
        <v>115</v>
      </c>
      <c r="E98" s="2">
        <v>3</v>
      </c>
      <c r="F98" s="2">
        <v>459</v>
      </c>
      <c r="G98" s="2">
        <v>34</v>
      </c>
      <c r="H98" s="2">
        <v>0</v>
      </c>
      <c r="I98" s="2">
        <v>0</v>
      </c>
      <c r="J98" s="2">
        <v>34</v>
      </c>
      <c r="K98" s="267">
        <v>7.4074074074099994E-2</v>
      </c>
    </row>
    <row r="99" spans="1:11" x14ac:dyDescent="0.25">
      <c r="A99" s="2">
        <v>540073</v>
      </c>
      <c r="B99" s="2" t="s">
        <v>168</v>
      </c>
      <c r="C99" s="2" t="s">
        <v>39</v>
      </c>
      <c r="D99" s="2" t="s">
        <v>115</v>
      </c>
      <c r="E99" s="2">
        <v>3</v>
      </c>
      <c r="F99" s="2">
        <v>20875</v>
      </c>
      <c r="G99" s="2">
        <v>769</v>
      </c>
      <c r="H99" s="2">
        <v>1</v>
      </c>
      <c r="I99" s="2">
        <v>0</v>
      </c>
      <c r="J99" s="2">
        <v>768</v>
      </c>
      <c r="K99" s="267">
        <v>3.6790419161699998E-2</v>
      </c>
    </row>
    <row r="100" spans="1:11" x14ac:dyDescent="0.25">
      <c r="A100" s="2">
        <v>540074</v>
      </c>
      <c r="B100" s="2" t="s">
        <v>169</v>
      </c>
      <c r="C100" s="2" t="s">
        <v>39</v>
      </c>
      <c r="D100" s="2" t="s">
        <v>115</v>
      </c>
      <c r="E100" s="2">
        <v>3</v>
      </c>
      <c r="F100" s="2">
        <v>411</v>
      </c>
      <c r="G100" s="2">
        <v>39</v>
      </c>
      <c r="H100" s="2">
        <v>0</v>
      </c>
      <c r="I100" s="2">
        <v>0</v>
      </c>
      <c r="J100" s="2">
        <v>39</v>
      </c>
      <c r="K100" s="267">
        <v>9.4890510948899998E-2</v>
      </c>
    </row>
    <row r="101" spans="1:11" x14ac:dyDescent="0.25">
      <c r="A101" s="2">
        <v>540075</v>
      </c>
      <c r="B101" s="2" t="s">
        <v>170</v>
      </c>
      <c r="C101" s="2" t="s">
        <v>39</v>
      </c>
      <c r="D101" s="2" t="s">
        <v>115</v>
      </c>
      <c r="E101" s="2">
        <v>3</v>
      </c>
      <c r="F101" s="2">
        <v>974</v>
      </c>
      <c r="G101" s="2">
        <v>133</v>
      </c>
      <c r="H101" s="2">
        <v>0</v>
      </c>
      <c r="I101" s="2">
        <v>0</v>
      </c>
      <c r="J101" s="2">
        <v>133</v>
      </c>
      <c r="K101" s="267">
        <v>0.136550308008</v>
      </c>
    </row>
    <row r="102" spans="1:11" x14ac:dyDescent="0.25">
      <c r="A102" s="2">
        <v>540076</v>
      </c>
      <c r="B102" s="2" t="s">
        <v>171</v>
      </c>
      <c r="C102" s="2" t="s">
        <v>39</v>
      </c>
      <c r="D102" s="2" t="s">
        <v>115</v>
      </c>
      <c r="E102" s="2">
        <v>3</v>
      </c>
      <c r="F102" s="2">
        <v>1795</v>
      </c>
      <c r="G102" s="2">
        <v>292</v>
      </c>
      <c r="H102" s="2">
        <v>1</v>
      </c>
      <c r="I102" s="2">
        <v>0</v>
      </c>
      <c r="J102" s="2">
        <v>291</v>
      </c>
      <c r="K102" s="267">
        <v>0.162116991643</v>
      </c>
    </row>
    <row r="103" spans="1:11" x14ac:dyDescent="0.25">
      <c r="A103" s="2">
        <v>540077</v>
      </c>
      <c r="B103" s="2" t="s">
        <v>172</v>
      </c>
      <c r="C103" s="2" t="s">
        <v>39</v>
      </c>
      <c r="D103" s="2" t="s">
        <v>115</v>
      </c>
      <c r="E103" s="2">
        <v>3</v>
      </c>
      <c r="F103" s="2">
        <v>309</v>
      </c>
      <c r="G103" s="2">
        <v>35</v>
      </c>
      <c r="H103" s="2">
        <v>0</v>
      </c>
      <c r="I103" s="2">
        <v>0</v>
      </c>
      <c r="J103" s="2">
        <v>35</v>
      </c>
      <c r="K103" s="267">
        <v>0.11326860841399999</v>
      </c>
    </row>
    <row r="104" spans="1:11" x14ac:dyDescent="0.25">
      <c r="A104" s="2">
        <v>540078</v>
      </c>
      <c r="B104" s="2" t="s">
        <v>173</v>
      </c>
      <c r="C104" s="2" t="s">
        <v>39</v>
      </c>
      <c r="D104" s="2" t="s">
        <v>115</v>
      </c>
      <c r="E104" s="2">
        <v>3</v>
      </c>
      <c r="F104" s="2">
        <v>301</v>
      </c>
      <c r="G104" s="2">
        <v>22</v>
      </c>
      <c r="H104" s="2">
        <v>0</v>
      </c>
      <c r="I104" s="2">
        <v>0</v>
      </c>
      <c r="J104" s="2">
        <v>22</v>
      </c>
      <c r="K104" s="267">
        <v>7.3089700996699994E-2</v>
      </c>
    </row>
    <row r="105" spans="1:11" x14ac:dyDescent="0.25">
      <c r="A105" s="2">
        <v>540079</v>
      </c>
      <c r="B105" s="2" t="s">
        <v>174</v>
      </c>
      <c r="C105" s="2" t="s">
        <v>39</v>
      </c>
      <c r="D105" s="2" t="s">
        <v>115</v>
      </c>
      <c r="E105" s="2">
        <v>3</v>
      </c>
      <c r="F105" s="2">
        <v>901</v>
      </c>
      <c r="G105" s="2">
        <v>20</v>
      </c>
      <c r="H105" s="2">
        <v>0</v>
      </c>
      <c r="I105" s="2">
        <v>0</v>
      </c>
      <c r="J105" s="2">
        <v>20</v>
      </c>
      <c r="K105" s="267">
        <v>2.2197558268599999E-2</v>
      </c>
    </row>
    <row r="106" spans="1:11" x14ac:dyDescent="0.25">
      <c r="A106" s="2">
        <v>540081</v>
      </c>
      <c r="B106" s="2" t="s">
        <v>176</v>
      </c>
      <c r="C106" s="2" t="s">
        <v>39</v>
      </c>
      <c r="D106" s="2" t="s">
        <v>115</v>
      </c>
      <c r="E106" s="2">
        <v>3</v>
      </c>
      <c r="F106" s="2">
        <v>3090</v>
      </c>
      <c r="G106" s="2">
        <v>187</v>
      </c>
      <c r="H106" s="2">
        <v>24</v>
      </c>
      <c r="I106" s="2">
        <v>0</v>
      </c>
      <c r="J106" s="2">
        <v>163</v>
      </c>
      <c r="K106" s="267">
        <v>5.2750809061500002E-2</v>
      </c>
    </row>
    <row r="107" spans="1:11" x14ac:dyDescent="0.25">
      <c r="A107" s="2">
        <v>540082</v>
      </c>
      <c r="B107" s="2" t="s">
        <v>177</v>
      </c>
      <c r="C107" s="2" t="s">
        <v>39</v>
      </c>
      <c r="D107" s="2" t="s">
        <v>115</v>
      </c>
      <c r="E107" s="2">
        <v>3</v>
      </c>
      <c r="F107" s="2">
        <v>187</v>
      </c>
      <c r="G107" s="2">
        <v>24</v>
      </c>
      <c r="H107" s="2">
        <v>0</v>
      </c>
      <c r="I107" s="2">
        <v>0</v>
      </c>
      <c r="J107" s="2">
        <v>24</v>
      </c>
      <c r="K107" s="267">
        <v>0.12834224598899999</v>
      </c>
    </row>
    <row r="108" spans="1:11" x14ac:dyDescent="0.25">
      <c r="A108" s="2">
        <v>540083</v>
      </c>
      <c r="B108" s="2" t="s">
        <v>178</v>
      </c>
      <c r="C108" s="2" t="s">
        <v>39</v>
      </c>
      <c r="D108" s="2" t="s">
        <v>115</v>
      </c>
      <c r="E108" s="2">
        <v>3</v>
      </c>
      <c r="F108" s="2">
        <v>2361</v>
      </c>
      <c r="G108" s="2">
        <v>151</v>
      </c>
      <c r="H108" s="2">
        <v>0</v>
      </c>
      <c r="I108" s="2">
        <v>0</v>
      </c>
      <c r="J108" s="2">
        <v>151</v>
      </c>
      <c r="K108" s="267">
        <v>6.3955950868299999E-2</v>
      </c>
    </row>
    <row r="109" spans="1:11" x14ac:dyDescent="0.25">
      <c r="A109" s="2">
        <v>540223</v>
      </c>
      <c r="B109" s="2" t="s">
        <v>277</v>
      </c>
      <c r="C109" s="2" t="s">
        <v>39</v>
      </c>
      <c r="D109" s="2" t="s">
        <v>115</v>
      </c>
      <c r="E109" s="2">
        <v>3</v>
      </c>
      <c r="F109" s="2">
        <v>5617</v>
      </c>
      <c r="G109" s="2">
        <v>251</v>
      </c>
      <c r="H109" s="2">
        <v>20</v>
      </c>
      <c r="I109" s="2">
        <v>0</v>
      </c>
      <c r="J109" s="2">
        <v>231</v>
      </c>
      <c r="K109" s="267">
        <v>4.1125155777099999E-2</v>
      </c>
    </row>
    <row r="110" spans="1:11" x14ac:dyDescent="0.25">
      <c r="A110" s="2">
        <v>540279</v>
      </c>
      <c r="B110" s="2" t="s">
        <v>320</v>
      </c>
      <c r="C110" s="2" t="s">
        <v>39</v>
      </c>
      <c r="D110" s="2" t="s">
        <v>115</v>
      </c>
      <c r="E110" s="2">
        <v>3</v>
      </c>
      <c r="F110" s="2">
        <v>622</v>
      </c>
      <c r="G110" s="2">
        <v>22</v>
      </c>
      <c r="H110" s="2">
        <v>0</v>
      </c>
      <c r="I110" s="2">
        <v>0</v>
      </c>
      <c r="J110" s="2">
        <v>22</v>
      </c>
      <c r="K110" s="267">
        <v>3.53697749196E-2</v>
      </c>
    </row>
    <row r="111" spans="1:11" x14ac:dyDescent="0.25">
      <c r="A111" s="2">
        <v>540033</v>
      </c>
      <c r="B111" s="2" t="s">
        <v>138</v>
      </c>
      <c r="C111" s="2" t="s">
        <v>39</v>
      </c>
      <c r="D111" s="2" t="s">
        <v>115</v>
      </c>
      <c r="E111" s="2">
        <v>3</v>
      </c>
      <c r="F111" s="2">
        <v>5</v>
      </c>
      <c r="G111" s="2">
        <v>1</v>
      </c>
      <c r="H111" s="2">
        <v>0</v>
      </c>
      <c r="I111" s="2">
        <v>0</v>
      </c>
      <c r="J111" s="2">
        <v>1</v>
      </c>
      <c r="K111" s="267">
        <v>0.2</v>
      </c>
    </row>
    <row r="112" spans="1:11" x14ac:dyDescent="0.25">
      <c r="A112" s="252"/>
      <c r="B112" s="252"/>
      <c r="C112" s="252" t="s">
        <v>39</v>
      </c>
      <c r="D112" s="252"/>
      <c r="E112" s="252"/>
      <c r="F112" s="252">
        <v>582509</v>
      </c>
      <c r="G112" s="252">
        <v>16270</v>
      </c>
      <c r="H112" s="252">
        <v>86</v>
      </c>
      <c r="I112" s="252">
        <v>0</v>
      </c>
      <c r="J112" s="252">
        <v>16184</v>
      </c>
      <c r="K112" s="411">
        <v>2.77832617178E-2</v>
      </c>
    </row>
    <row r="113" spans="1:11" x14ac:dyDescent="0.25">
      <c r="A113" s="2">
        <v>540085</v>
      </c>
      <c r="B113" s="2" t="s">
        <v>40</v>
      </c>
      <c r="C113" s="2" t="s">
        <v>41</v>
      </c>
      <c r="D113" s="2" t="s">
        <v>5</v>
      </c>
      <c r="E113" s="2">
        <v>7</v>
      </c>
      <c r="F113" s="2">
        <v>247701</v>
      </c>
      <c r="G113" s="2">
        <v>9571</v>
      </c>
      <c r="H113" s="2">
        <v>2718</v>
      </c>
      <c r="I113" s="2">
        <v>0</v>
      </c>
      <c r="J113" s="2">
        <v>6853</v>
      </c>
      <c r="K113" s="267">
        <v>2.7666420402E-2</v>
      </c>
    </row>
    <row r="114" spans="1:11" x14ac:dyDescent="0.25">
      <c r="A114" s="2">
        <v>540086</v>
      </c>
      <c r="B114" s="2" t="s">
        <v>179</v>
      </c>
      <c r="C114" s="2" t="s">
        <v>41</v>
      </c>
      <c r="D114" s="2" t="s">
        <v>115</v>
      </c>
      <c r="E114" s="2">
        <v>7</v>
      </c>
      <c r="F114" s="2">
        <v>158</v>
      </c>
      <c r="G114" s="2">
        <v>50</v>
      </c>
      <c r="H114" s="2">
        <v>0</v>
      </c>
      <c r="I114" s="2">
        <v>0</v>
      </c>
      <c r="J114" s="2">
        <v>50</v>
      </c>
      <c r="K114" s="267">
        <v>0.31645569620300001</v>
      </c>
    </row>
    <row r="115" spans="1:11" x14ac:dyDescent="0.25">
      <c r="A115" s="2">
        <v>540087</v>
      </c>
      <c r="B115" s="2" t="s">
        <v>180</v>
      </c>
      <c r="C115" s="2" t="s">
        <v>41</v>
      </c>
      <c r="D115" s="2" t="s">
        <v>115</v>
      </c>
      <c r="E115" s="2">
        <v>7</v>
      </c>
      <c r="F115" s="2">
        <v>1275</v>
      </c>
      <c r="G115" s="2">
        <v>158</v>
      </c>
      <c r="H115" s="2">
        <v>0</v>
      </c>
      <c r="I115" s="2">
        <v>0</v>
      </c>
      <c r="J115" s="2">
        <v>158</v>
      </c>
      <c r="K115" s="267">
        <v>0.123921568627</v>
      </c>
    </row>
    <row r="116" spans="1:11" x14ac:dyDescent="0.25">
      <c r="A116" s="252"/>
      <c r="B116" s="252"/>
      <c r="C116" s="252" t="s">
        <v>41</v>
      </c>
      <c r="D116" s="252"/>
      <c r="E116" s="252"/>
      <c r="F116" s="252">
        <v>249134</v>
      </c>
      <c r="G116" s="252">
        <v>9779</v>
      </c>
      <c r="H116" s="252">
        <v>2718</v>
      </c>
      <c r="I116" s="252">
        <v>0</v>
      </c>
      <c r="J116" s="252">
        <v>7061</v>
      </c>
      <c r="K116" s="411">
        <v>2.8342177302200001E-2</v>
      </c>
    </row>
    <row r="117" spans="1:11" x14ac:dyDescent="0.25">
      <c r="A117" s="2">
        <v>540088</v>
      </c>
      <c r="B117" s="2" t="s">
        <v>42</v>
      </c>
      <c r="C117" s="2" t="s">
        <v>43</v>
      </c>
      <c r="D117" s="2" t="s">
        <v>5</v>
      </c>
      <c r="E117" s="2">
        <v>2</v>
      </c>
      <c r="F117" s="2">
        <v>280041</v>
      </c>
      <c r="G117" s="2">
        <v>8653</v>
      </c>
      <c r="H117" s="2">
        <v>231</v>
      </c>
      <c r="I117" s="2">
        <v>0</v>
      </c>
      <c r="J117" s="2">
        <v>8422</v>
      </c>
      <c r="K117" s="267">
        <v>3.0074167711200001E-2</v>
      </c>
    </row>
    <row r="118" spans="1:11" x14ac:dyDescent="0.25">
      <c r="A118" s="2">
        <v>540089</v>
      </c>
      <c r="B118" s="2" t="s">
        <v>181</v>
      </c>
      <c r="C118" s="2" t="s">
        <v>43</v>
      </c>
      <c r="D118" s="2" t="s">
        <v>115</v>
      </c>
      <c r="E118" s="2">
        <v>2</v>
      </c>
      <c r="F118" s="2">
        <v>385</v>
      </c>
      <c r="G118" s="2">
        <v>44</v>
      </c>
      <c r="H118" s="2">
        <v>0</v>
      </c>
      <c r="I118" s="2">
        <v>0</v>
      </c>
      <c r="J118" s="2">
        <v>44</v>
      </c>
      <c r="K118" s="267">
        <v>0.114285714286</v>
      </c>
    </row>
    <row r="119" spans="1:11" x14ac:dyDescent="0.25">
      <c r="A119" s="2">
        <v>540090</v>
      </c>
      <c r="B119" s="2" t="s">
        <v>182</v>
      </c>
      <c r="C119" s="2" t="s">
        <v>43</v>
      </c>
      <c r="D119" s="2" t="s">
        <v>115</v>
      </c>
      <c r="E119" s="2">
        <v>2</v>
      </c>
      <c r="F119" s="2">
        <v>354</v>
      </c>
      <c r="G119" s="2">
        <v>52</v>
      </c>
      <c r="H119" s="2">
        <v>0</v>
      </c>
      <c r="I119" s="2">
        <v>0</v>
      </c>
      <c r="J119" s="2">
        <v>52</v>
      </c>
      <c r="K119" s="267">
        <v>0.146892655367</v>
      </c>
    </row>
    <row r="120" spans="1:11" x14ac:dyDescent="0.25">
      <c r="A120" s="252"/>
      <c r="B120" s="252"/>
      <c r="C120" s="252" t="s">
        <v>43</v>
      </c>
      <c r="D120" s="252"/>
      <c r="E120" s="252"/>
      <c r="F120" s="252">
        <v>280780</v>
      </c>
      <c r="G120" s="252">
        <v>8749</v>
      </c>
      <c r="H120" s="252">
        <v>231</v>
      </c>
      <c r="I120" s="252">
        <v>0</v>
      </c>
      <c r="J120" s="252">
        <v>8518</v>
      </c>
      <c r="K120" s="411">
        <v>3.0336918583899999E-2</v>
      </c>
    </row>
    <row r="121" spans="1:11" x14ac:dyDescent="0.25">
      <c r="A121" s="2">
        <v>540097</v>
      </c>
      <c r="B121" s="2" t="s">
        <v>44</v>
      </c>
      <c r="C121" s="2" t="s">
        <v>45</v>
      </c>
      <c r="D121" s="2" t="s">
        <v>5</v>
      </c>
      <c r="E121" s="2">
        <v>6</v>
      </c>
      <c r="F121" s="2">
        <v>187538</v>
      </c>
      <c r="G121" s="2">
        <v>4277</v>
      </c>
      <c r="H121" s="2">
        <v>90</v>
      </c>
      <c r="I121" s="2">
        <v>0</v>
      </c>
      <c r="J121" s="2">
        <v>4187</v>
      </c>
      <c r="K121" s="267">
        <v>2.23261419019E-2</v>
      </c>
    </row>
    <row r="122" spans="1:11" x14ac:dyDescent="0.25">
      <c r="A122" s="2">
        <v>540098</v>
      </c>
      <c r="B122" s="2" t="s">
        <v>187</v>
      </c>
      <c r="C122" s="2" t="s">
        <v>45</v>
      </c>
      <c r="D122" s="2" t="s">
        <v>115</v>
      </c>
      <c r="E122" s="2">
        <v>6</v>
      </c>
      <c r="F122" s="2">
        <v>454</v>
      </c>
      <c r="G122" s="2">
        <v>55</v>
      </c>
      <c r="H122" s="2">
        <v>0</v>
      </c>
      <c r="I122" s="2">
        <v>0</v>
      </c>
      <c r="J122" s="2">
        <v>55</v>
      </c>
      <c r="K122" s="267">
        <v>0.121145374449</v>
      </c>
    </row>
    <row r="123" spans="1:11" x14ac:dyDescent="0.25">
      <c r="A123" s="2">
        <v>540099</v>
      </c>
      <c r="B123" s="2" t="s">
        <v>188</v>
      </c>
      <c r="C123" s="2" t="s">
        <v>45</v>
      </c>
      <c r="D123" s="2" t="s">
        <v>115</v>
      </c>
      <c r="E123" s="2">
        <v>6</v>
      </c>
      <c r="F123" s="2">
        <v>5740</v>
      </c>
      <c r="G123" s="2">
        <v>77</v>
      </c>
      <c r="H123" s="2">
        <v>0</v>
      </c>
      <c r="I123" s="2">
        <v>0</v>
      </c>
      <c r="J123" s="2">
        <v>77</v>
      </c>
      <c r="K123" s="267">
        <v>1.34146341463E-2</v>
      </c>
    </row>
    <row r="124" spans="1:11" x14ac:dyDescent="0.25">
      <c r="A124" s="2">
        <v>540100</v>
      </c>
      <c r="B124" s="2" t="s">
        <v>189</v>
      </c>
      <c r="C124" s="2" t="s">
        <v>45</v>
      </c>
      <c r="D124" s="2" t="s">
        <v>115</v>
      </c>
      <c r="E124" s="2">
        <v>6</v>
      </c>
      <c r="F124" s="2">
        <v>179</v>
      </c>
      <c r="G124" s="2">
        <v>20</v>
      </c>
      <c r="H124" s="2">
        <v>0</v>
      </c>
      <c r="I124" s="2">
        <v>0</v>
      </c>
      <c r="J124" s="2">
        <v>20</v>
      </c>
      <c r="K124" s="267">
        <v>0.111731843575</v>
      </c>
    </row>
    <row r="125" spans="1:11" x14ac:dyDescent="0.25">
      <c r="A125" s="2">
        <v>540101</v>
      </c>
      <c r="B125" s="2" t="s">
        <v>190</v>
      </c>
      <c r="C125" s="2" t="s">
        <v>45</v>
      </c>
      <c r="D125" s="2" t="s">
        <v>115</v>
      </c>
      <c r="E125" s="2">
        <v>6</v>
      </c>
      <c r="F125" s="2">
        <v>274</v>
      </c>
      <c r="G125" s="2">
        <v>52</v>
      </c>
      <c r="H125" s="2">
        <v>0</v>
      </c>
      <c r="I125" s="2">
        <v>0</v>
      </c>
      <c r="J125" s="2">
        <v>52</v>
      </c>
      <c r="K125" s="267">
        <v>0.189781021898</v>
      </c>
    </row>
    <row r="126" spans="1:11" x14ac:dyDescent="0.25">
      <c r="A126" s="2">
        <v>540102</v>
      </c>
      <c r="B126" s="2" t="s">
        <v>191</v>
      </c>
      <c r="C126" s="2" t="s">
        <v>45</v>
      </c>
      <c r="D126" s="2" t="s">
        <v>115</v>
      </c>
      <c r="E126" s="2">
        <v>6</v>
      </c>
      <c r="F126" s="2">
        <v>347</v>
      </c>
      <c r="G126" s="2">
        <v>56</v>
      </c>
      <c r="H126" s="2">
        <v>0</v>
      </c>
      <c r="I126" s="2">
        <v>0</v>
      </c>
      <c r="J126" s="2">
        <v>56</v>
      </c>
      <c r="K126" s="267">
        <v>0.161383285303</v>
      </c>
    </row>
    <row r="127" spans="1:11" x14ac:dyDescent="0.25">
      <c r="A127" s="2">
        <v>540103</v>
      </c>
      <c r="B127" s="2" t="s">
        <v>192</v>
      </c>
      <c r="C127" s="2" t="s">
        <v>45</v>
      </c>
      <c r="D127" s="2" t="s">
        <v>115</v>
      </c>
      <c r="E127" s="2">
        <v>6</v>
      </c>
      <c r="F127" s="2">
        <v>729</v>
      </c>
      <c r="G127" s="2">
        <v>94</v>
      </c>
      <c r="H127" s="2">
        <v>0</v>
      </c>
      <c r="I127" s="2">
        <v>0</v>
      </c>
      <c r="J127" s="2">
        <v>94</v>
      </c>
      <c r="K127" s="267">
        <v>0.128943758573</v>
      </c>
    </row>
    <row r="128" spans="1:11" x14ac:dyDescent="0.25">
      <c r="A128" s="2">
        <v>540104</v>
      </c>
      <c r="B128" s="2" t="s">
        <v>193</v>
      </c>
      <c r="C128" s="2" t="s">
        <v>45</v>
      </c>
      <c r="D128" s="2" t="s">
        <v>115</v>
      </c>
      <c r="E128" s="2">
        <v>6</v>
      </c>
      <c r="F128" s="2">
        <v>341</v>
      </c>
      <c r="G128" s="2">
        <v>68</v>
      </c>
      <c r="H128" s="2">
        <v>0</v>
      </c>
      <c r="I128" s="2">
        <v>0</v>
      </c>
      <c r="J128" s="2">
        <v>68</v>
      </c>
      <c r="K128" s="267">
        <v>0.19941348973600001</v>
      </c>
    </row>
    <row r="129" spans="1:11" x14ac:dyDescent="0.25">
      <c r="A129" s="2">
        <v>540105</v>
      </c>
      <c r="B129" s="2" t="s">
        <v>194</v>
      </c>
      <c r="C129" s="2" t="s">
        <v>45</v>
      </c>
      <c r="D129" s="2" t="s">
        <v>115</v>
      </c>
      <c r="E129" s="2">
        <v>6</v>
      </c>
      <c r="F129" s="2">
        <v>381</v>
      </c>
      <c r="G129" s="2">
        <v>28</v>
      </c>
      <c r="H129" s="2">
        <v>0</v>
      </c>
      <c r="I129" s="2">
        <v>0</v>
      </c>
      <c r="J129" s="2">
        <v>28</v>
      </c>
      <c r="K129" s="267">
        <v>7.3490813648299999E-2</v>
      </c>
    </row>
    <row r="130" spans="1:11" x14ac:dyDescent="0.25">
      <c r="A130" s="2">
        <v>540106</v>
      </c>
      <c r="B130" s="2" t="s">
        <v>195</v>
      </c>
      <c r="C130" s="2" t="s">
        <v>45</v>
      </c>
      <c r="D130" s="2" t="s">
        <v>115</v>
      </c>
      <c r="E130" s="2">
        <v>6</v>
      </c>
      <c r="F130" s="2">
        <v>383</v>
      </c>
      <c r="G130" s="2">
        <v>44</v>
      </c>
      <c r="H130" s="2">
        <v>0</v>
      </c>
      <c r="I130" s="2">
        <v>0</v>
      </c>
      <c r="J130" s="2">
        <v>44</v>
      </c>
      <c r="K130" s="267">
        <v>0.11488250652699999</v>
      </c>
    </row>
    <row r="131" spans="1:11" x14ac:dyDescent="0.25">
      <c r="A131" s="2">
        <v>540292</v>
      </c>
      <c r="B131" s="2" t="s">
        <v>329</v>
      </c>
      <c r="C131" s="2" t="s">
        <v>45</v>
      </c>
      <c r="D131" s="2" t="s">
        <v>115</v>
      </c>
      <c r="E131" s="2">
        <v>6</v>
      </c>
      <c r="F131" s="2">
        <v>2179</v>
      </c>
      <c r="G131" s="2">
        <v>99</v>
      </c>
      <c r="H131" s="2">
        <v>0</v>
      </c>
      <c r="I131" s="2">
        <v>0</v>
      </c>
      <c r="J131" s="2">
        <v>99</v>
      </c>
      <c r="K131" s="267">
        <v>4.5433685176700003E-2</v>
      </c>
    </row>
    <row r="132" spans="1:11" x14ac:dyDescent="0.25">
      <c r="A132" s="2">
        <v>545556</v>
      </c>
      <c r="B132" s="2" t="s">
        <v>337</v>
      </c>
      <c r="C132" s="2" t="s">
        <v>45</v>
      </c>
      <c r="D132" s="2" t="s">
        <v>115</v>
      </c>
      <c r="E132" s="2">
        <v>6</v>
      </c>
      <c r="F132" s="2">
        <v>674</v>
      </c>
      <c r="G132" s="2">
        <v>12</v>
      </c>
      <c r="H132" s="2">
        <v>0</v>
      </c>
      <c r="I132" s="2">
        <v>0</v>
      </c>
      <c r="J132" s="2">
        <v>12</v>
      </c>
      <c r="K132" s="267">
        <v>1.78041543027E-2</v>
      </c>
    </row>
    <row r="133" spans="1:11" x14ac:dyDescent="0.25">
      <c r="A133" s="252"/>
      <c r="B133" s="252"/>
      <c r="C133" s="252" t="s">
        <v>45</v>
      </c>
      <c r="D133" s="252"/>
      <c r="E133" s="252"/>
      <c r="F133" s="252">
        <v>199219</v>
      </c>
      <c r="G133" s="252">
        <v>4882</v>
      </c>
      <c r="H133" s="252">
        <v>90</v>
      </c>
      <c r="I133" s="252">
        <v>0</v>
      </c>
      <c r="J133" s="252">
        <v>4792</v>
      </c>
      <c r="K133" s="411">
        <v>2.4053930599E-2</v>
      </c>
    </row>
    <row r="134" spans="1:11" x14ac:dyDescent="0.25">
      <c r="A134" s="2">
        <v>540107</v>
      </c>
      <c r="B134" s="2" t="s">
        <v>46</v>
      </c>
      <c r="C134" s="2" t="s">
        <v>47</v>
      </c>
      <c r="D134" s="2" t="s">
        <v>5</v>
      </c>
      <c r="E134" s="2">
        <v>10</v>
      </c>
      <c r="F134" s="2">
        <v>194254</v>
      </c>
      <c r="G134" s="2">
        <v>5033</v>
      </c>
      <c r="H134" s="2">
        <v>84</v>
      </c>
      <c r="I134" s="2">
        <v>71</v>
      </c>
      <c r="J134" s="2">
        <v>4878</v>
      </c>
      <c r="K134" s="267">
        <v>2.5111452016399999E-2</v>
      </c>
    </row>
    <row r="135" spans="1:11" x14ac:dyDescent="0.25">
      <c r="A135" s="2">
        <v>540108</v>
      </c>
      <c r="B135" s="2" t="s">
        <v>196</v>
      </c>
      <c r="C135" s="2" t="s">
        <v>47</v>
      </c>
      <c r="D135" s="2" t="s">
        <v>115</v>
      </c>
      <c r="E135" s="2">
        <v>10</v>
      </c>
      <c r="F135" s="2">
        <v>1137</v>
      </c>
      <c r="G135" s="2">
        <v>189</v>
      </c>
      <c r="H135" s="2">
        <v>0</v>
      </c>
      <c r="I135" s="2">
        <v>0</v>
      </c>
      <c r="J135" s="2">
        <v>189</v>
      </c>
      <c r="K135" s="267">
        <v>0.16622691292899999</v>
      </c>
    </row>
    <row r="136" spans="1:11" x14ac:dyDescent="0.25">
      <c r="A136" s="2">
        <v>540109</v>
      </c>
      <c r="B136" s="2" t="s">
        <v>197</v>
      </c>
      <c r="C136" s="2" t="s">
        <v>47</v>
      </c>
      <c r="D136" s="2" t="s">
        <v>115</v>
      </c>
      <c r="E136" s="2">
        <v>10</v>
      </c>
      <c r="F136" s="2">
        <v>742</v>
      </c>
      <c r="G136" s="2">
        <v>108</v>
      </c>
      <c r="H136" s="2">
        <v>0</v>
      </c>
      <c r="I136" s="2">
        <v>0</v>
      </c>
      <c r="J136" s="2">
        <v>108</v>
      </c>
      <c r="K136" s="267">
        <v>0.14555256064700001</v>
      </c>
    </row>
    <row r="137" spans="1:11" x14ac:dyDescent="0.25">
      <c r="A137" s="2">
        <v>540110</v>
      </c>
      <c r="B137" s="2" t="s">
        <v>198</v>
      </c>
      <c r="C137" s="2" t="s">
        <v>47</v>
      </c>
      <c r="D137" s="2" t="s">
        <v>115</v>
      </c>
      <c r="E137" s="2">
        <v>10</v>
      </c>
      <c r="F137" s="2">
        <v>517</v>
      </c>
      <c r="G137" s="2">
        <v>106</v>
      </c>
      <c r="H137" s="2">
        <v>0</v>
      </c>
      <c r="I137" s="2">
        <v>0</v>
      </c>
      <c r="J137" s="2">
        <v>106</v>
      </c>
      <c r="K137" s="267">
        <v>0.20502901354</v>
      </c>
    </row>
    <row r="138" spans="1:11" x14ac:dyDescent="0.25">
      <c r="A138" s="2">
        <v>540111</v>
      </c>
      <c r="B138" s="2" t="s">
        <v>199</v>
      </c>
      <c r="C138" s="2" t="s">
        <v>47</v>
      </c>
      <c r="D138" s="2" t="s">
        <v>115</v>
      </c>
      <c r="E138" s="2">
        <v>10</v>
      </c>
      <c r="F138" s="2">
        <v>2124</v>
      </c>
      <c r="G138" s="2">
        <v>534</v>
      </c>
      <c r="H138" s="2">
        <v>1</v>
      </c>
      <c r="I138" s="2">
        <v>0</v>
      </c>
      <c r="J138" s="2">
        <v>533</v>
      </c>
      <c r="K138" s="267">
        <v>0.25094161958599998</v>
      </c>
    </row>
    <row r="139" spans="1:11" x14ac:dyDescent="0.25">
      <c r="A139" s="2">
        <v>540287</v>
      </c>
      <c r="B139" s="2" t="s">
        <v>326</v>
      </c>
      <c r="C139" s="2" t="s">
        <v>47</v>
      </c>
      <c r="D139" s="2" t="s">
        <v>115</v>
      </c>
      <c r="E139" s="2">
        <v>10</v>
      </c>
      <c r="F139" s="2">
        <v>557</v>
      </c>
      <c r="G139" s="2">
        <v>26</v>
      </c>
      <c r="H139" s="2">
        <v>0</v>
      </c>
      <c r="I139" s="2">
        <v>0</v>
      </c>
      <c r="J139" s="2">
        <v>26</v>
      </c>
      <c r="K139" s="267">
        <v>4.6678635547600003E-2</v>
      </c>
    </row>
    <row r="140" spans="1:11" x14ac:dyDescent="0.25">
      <c r="A140" s="2">
        <v>540152</v>
      </c>
      <c r="B140" s="2" t="s">
        <v>229</v>
      </c>
      <c r="C140" s="2" t="s">
        <v>47</v>
      </c>
      <c r="D140" s="2" t="s">
        <v>115</v>
      </c>
      <c r="E140" s="2">
        <v>10</v>
      </c>
      <c r="F140" s="2">
        <v>132</v>
      </c>
      <c r="G140" s="2">
        <v>3</v>
      </c>
      <c r="H140" s="2">
        <v>0</v>
      </c>
      <c r="I140" s="2">
        <v>0</v>
      </c>
      <c r="J140" s="2">
        <v>3</v>
      </c>
      <c r="K140" s="267">
        <v>2.2727272727300001E-2</v>
      </c>
    </row>
    <row r="141" spans="1:11" x14ac:dyDescent="0.25">
      <c r="A141" s="252"/>
      <c r="B141" s="252"/>
      <c r="C141" s="252" t="s">
        <v>47</v>
      </c>
      <c r="D141" s="252"/>
      <c r="E141" s="252"/>
      <c r="F141" s="252">
        <v>199463</v>
      </c>
      <c r="G141" s="252">
        <v>5999</v>
      </c>
      <c r="H141" s="252">
        <v>85</v>
      </c>
      <c r="I141" s="252">
        <v>71</v>
      </c>
      <c r="J141" s="252">
        <v>5843</v>
      </c>
      <c r="K141" s="411">
        <v>2.92936534595E-2</v>
      </c>
    </row>
    <row r="142" spans="1:11" x14ac:dyDescent="0.25">
      <c r="A142" s="2">
        <v>540112</v>
      </c>
      <c r="B142" s="2" t="s">
        <v>48</v>
      </c>
      <c r="C142" s="2" t="s">
        <v>49</v>
      </c>
      <c r="D142" s="2" t="s">
        <v>5</v>
      </c>
      <c r="E142" s="2">
        <v>2</v>
      </c>
      <c r="F142" s="2">
        <v>280220</v>
      </c>
      <c r="G142" s="2">
        <v>20154</v>
      </c>
      <c r="H142" s="2">
        <v>157</v>
      </c>
      <c r="I142" s="2">
        <v>0</v>
      </c>
      <c r="J142" s="2">
        <v>19997</v>
      </c>
      <c r="K142" s="267">
        <v>7.13617871672E-2</v>
      </c>
    </row>
    <row r="143" spans="1:11" x14ac:dyDescent="0.25">
      <c r="A143" s="2">
        <v>540113</v>
      </c>
      <c r="B143" s="2" t="s">
        <v>200</v>
      </c>
      <c r="C143" s="2" t="s">
        <v>49</v>
      </c>
      <c r="D143" s="2" t="s">
        <v>115</v>
      </c>
      <c r="E143" s="2">
        <v>2</v>
      </c>
      <c r="F143" s="2">
        <v>240</v>
      </c>
      <c r="G143" s="2">
        <v>31</v>
      </c>
      <c r="H143" s="2">
        <v>0</v>
      </c>
      <c r="I143" s="2">
        <v>0</v>
      </c>
      <c r="J143" s="2">
        <v>31</v>
      </c>
      <c r="K143" s="267">
        <v>0.129166666667</v>
      </c>
    </row>
    <row r="144" spans="1:11" x14ac:dyDescent="0.25">
      <c r="A144" s="2">
        <v>540247</v>
      </c>
      <c r="B144" s="2" t="s">
        <v>293</v>
      </c>
      <c r="C144" s="2" t="s">
        <v>49</v>
      </c>
      <c r="D144" s="2" t="s">
        <v>115</v>
      </c>
      <c r="E144" s="2">
        <v>2</v>
      </c>
      <c r="F144" s="2">
        <v>793</v>
      </c>
      <c r="G144" s="2">
        <v>249</v>
      </c>
      <c r="H144" s="2">
        <v>0</v>
      </c>
      <c r="I144" s="2">
        <v>0</v>
      </c>
      <c r="J144" s="2">
        <v>249</v>
      </c>
      <c r="K144" s="267">
        <v>0.313997477932</v>
      </c>
    </row>
    <row r="145" spans="1:11" x14ac:dyDescent="0.25">
      <c r="A145" s="2">
        <v>540248</v>
      </c>
      <c r="B145" s="2" t="s">
        <v>294</v>
      </c>
      <c r="C145" s="2" t="s">
        <v>49</v>
      </c>
      <c r="D145" s="2" t="s">
        <v>115</v>
      </c>
      <c r="E145" s="2">
        <v>2</v>
      </c>
      <c r="F145" s="2">
        <v>374</v>
      </c>
      <c r="G145" s="2">
        <v>76</v>
      </c>
      <c r="H145" s="2">
        <v>0</v>
      </c>
      <c r="I145" s="2">
        <v>0</v>
      </c>
      <c r="J145" s="2">
        <v>76</v>
      </c>
      <c r="K145" s="267">
        <v>0.20320855615</v>
      </c>
    </row>
    <row r="146" spans="1:11" x14ac:dyDescent="0.25">
      <c r="A146" s="2">
        <v>540249</v>
      </c>
      <c r="B146" s="2" t="s">
        <v>295</v>
      </c>
      <c r="C146" s="2" t="s">
        <v>49</v>
      </c>
      <c r="D146" s="2" t="s">
        <v>115</v>
      </c>
      <c r="E146" s="2">
        <v>2</v>
      </c>
      <c r="F146" s="2">
        <v>833</v>
      </c>
      <c r="G146" s="2">
        <v>186</v>
      </c>
      <c r="H146" s="2">
        <v>0</v>
      </c>
      <c r="I146" s="2">
        <v>0</v>
      </c>
      <c r="J146" s="2">
        <v>186</v>
      </c>
      <c r="K146" s="267">
        <v>0.223289315726</v>
      </c>
    </row>
    <row r="147" spans="1:11" x14ac:dyDescent="0.25">
      <c r="A147" s="2">
        <v>540250</v>
      </c>
      <c r="B147" s="2" t="s">
        <v>296</v>
      </c>
      <c r="C147" s="2" t="s">
        <v>49</v>
      </c>
      <c r="D147" s="2" t="s">
        <v>115</v>
      </c>
      <c r="E147" s="2">
        <v>2</v>
      </c>
      <c r="F147" s="2">
        <v>1977</v>
      </c>
      <c r="G147" s="2">
        <v>606</v>
      </c>
      <c r="H147" s="2">
        <v>23</v>
      </c>
      <c r="I147" s="2">
        <v>0</v>
      </c>
      <c r="J147" s="2">
        <v>583</v>
      </c>
      <c r="K147" s="267">
        <v>0.29489124936799999</v>
      </c>
    </row>
    <row r="148" spans="1:11" x14ac:dyDescent="0.25">
      <c r="A148" s="2">
        <v>540251</v>
      </c>
      <c r="B148" s="2" t="s">
        <v>297</v>
      </c>
      <c r="C148" s="2" t="s">
        <v>49</v>
      </c>
      <c r="D148" s="2" t="s">
        <v>115</v>
      </c>
      <c r="E148" s="2">
        <v>2</v>
      </c>
      <c r="F148" s="2">
        <v>298</v>
      </c>
      <c r="G148" s="2">
        <v>121</v>
      </c>
      <c r="H148" s="2">
        <v>0</v>
      </c>
      <c r="I148" s="2">
        <v>0</v>
      </c>
      <c r="J148" s="2">
        <v>121</v>
      </c>
      <c r="K148" s="267">
        <v>0.406040268456</v>
      </c>
    </row>
    <row r="149" spans="1:11" x14ac:dyDescent="0.25">
      <c r="A149" s="252"/>
      <c r="B149" s="252"/>
      <c r="C149" s="252" t="s">
        <v>49</v>
      </c>
      <c r="D149" s="252"/>
      <c r="E149" s="252"/>
      <c r="F149" s="252">
        <v>284735</v>
      </c>
      <c r="G149" s="252">
        <v>21423</v>
      </c>
      <c r="H149" s="252">
        <v>180</v>
      </c>
      <c r="I149" s="252">
        <v>0</v>
      </c>
      <c r="J149" s="252">
        <v>21243</v>
      </c>
      <c r="K149" s="411">
        <v>7.4606212794399995E-2</v>
      </c>
    </row>
    <row r="150" spans="1:11" x14ac:dyDescent="0.25">
      <c r="A150" s="2">
        <v>540114</v>
      </c>
      <c r="B150" s="2" t="s">
        <v>50</v>
      </c>
      <c r="C150" s="2" t="s">
        <v>51</v>
      </c>
      <c r="D150" s="2" t="s">
        <v>5</v>
      </c>
      <c r="E150" s="2">
        <v>1</v>
      </c>
      <c r="F150" s="2">
        <v>333847</v>
      </c>
      <c r="G150" s="2">
        <v>2014</v>
      </c>
      <c r="H150" s="2">
        <v>0</v>
      </c>
      <c r="I150" s="2">
        <v>0</v>
      </c>
      <c r="J150" s="2">
        <v>2014</v>
      </c>
      <c r="K150" s="267">
        <v>6.03270360375E-3</v>
      </c>
    </row>
    <row r="151" spans="1:11" x14ac:dyDescent="0.25">
      <c r="A151" s="2">
        <v>540115</v>
      </c>
      <c r="B151" s="2" t="s">
        <v>201</v>
      </c>
      <c r="C151" s="2" t="s">
        <v>51</v>
      </c>
      <c r="D151" s="2" t="s">
        <v>115</v>
      </c>
      <c r="E151" s="2">
        <v>1</v>
      </c>
      <c r="F151" s="2">
        <v>368</v>
      </c>
      <c r="G151" s="2">
        <v>15</v>
      </c>
      <c r="H151" s="2">
        <v>0</v>
      </c>
      <c r="I151" s="2">
        <v>0</v>
      </c>
      <c r="J151" s="2">
        <v>15</v>
      </c>
      <c r="K151" s="267">
        <v>4.0760869565200003E-2</v>
      </c>
    </row>
    <row r="152" spans="1:11" x14ac:dyDescent="0.25">
      <c r="A152" s="2">
        <v>540116</v>
      </c>
      <c r="B152" s="2" t="s">
        <v>202</v>
      </c>
      <c r="C152" s="2" t="s">
        <v>51</v>
      </c>
      <c r="D152" s="2" t="s">
        <v>115</v>
      </c>
      <c r="E152" s="2">
        <v>1</v>
      </c>
      <c r="F152" s="2">
        <v>828</v>
      </c>
      <c r="G152" s="2">
        <v>39</v>
      </c>
      <c r="H152" s="2">
        <v>0</v>
      </c>
      <c r="I152" s="2">
        <v>0</v>
      </c>
      <c r="J152" s="2">
        <v>39</v>
      </c>
      <c r="K152" s="267">
        <v>4.7101449275399998E-2</v>
      </c>
    </row>
    <row r="153" spans="1:11" x14ac:dyDescent="0.25">
      <c r="A153" s="2">
        <v>540117</v>
      </c>
      <c r="B153" s="2" t="s">
        <v>203</v>
      </c>
      <c r="C153" s="2" t="s">
        <v>51</v>
      </c>
      <c r="D153" s="2" t="s">
        <v>115</v>
      </c>
      <c r="E153" s="2">
        <v>1</v>
      </c>
      <c r="F153" s="2">
        <v>559</v>
      </c>
      <c r="G153" s="2">
        <v>122</v>
      </c>
      <c r="H153" s="2">
        <v>0</v>
      </c>
      <c r="I153" s="2">
        <v>0</v>
      </c>
      <c r="J153" s="2">
        <v>122</v>
      </c>
      <c r="K153" s="267">
        <v>0.21824686940999999</v>
      </c>
    </row>
    <row r="154" spans="1:11" x14ac:dyDescent="0.25">
      <c r="A154" s="2">
        <v>540118</v>
      </c>
      <c r="B154" s="2" t="s">
        <v>204</v>
      </c>
      <c r="C154" s="2" t="s">
        <v>51</v>
      </c>
      <c r="D154" s="2" t="s">
        <v>115</v>
      </c>
      <c r="E154" s="2">
        <v>1</v>
      </c>
      <c r="F154" s="2">
        <v>535</v>
      </c>
      <c r="G154" s="2">
        <v>25</v>
      </c>
      <c r="H154" s="2">
        <v>0</v>
      </c>
      <c r="I154" s="2">
        <v>0</v>
      </c>
      <c r="J154" s="2">
        <v>25</v>
      </c>
      <c r="K154" s="267">
        <v>4.6728971962600001E-2</v>
      </c>
    </row>
    <row r="155" spans="1:11" x14ac:dyDescent="0.25">
      <c r="A155" s="2">
        <v>540119</v>
      </c>
      <c r="B155" s="2" t="s">
        <v>205</v>
      </c>
      <c r="C155" s="2" t="s">
        <v>51</v>
      </c>
      <c r="D155" s="2" t="s">
        <v>115</v>
      </c>
      <c r="E155" s="2">
        <v>1</v>
      </c>
      <c r="F155" s="2">
        <v>208</v>
      </c>
      <c r="G155" s="2">
        <v>17</v>
      </c>
      <c r="H155" s="2">
        <v>0</v>
      </c>
      <c r="I155" s="2">
        <v>0</v>
      </c>
      <c r="J155" s="2">
        <v>17</v>
      </c>
      <c r="K155" s="267">
        <v>8.1730769230799999E-2</v>
      </c>
    </row>
    <row r="156" spans="1:11" x14ac:dyDescent="0.25">
      <c r="A156" s="2">
        <v>540120</v>
      </c>
      <c r="B156" s="2" t="s">
        <v>206</v>
      </c>
      <c r="C156" s="2" t="s">
        <v>51</v>
      </c>
      <c r="D156" s="2" t="s">
        <v>115</v>
      </c>
      <c r="E156" s="2">
        <v>1</v>
      </c>
      <c r="F156" s="2">
        <v>162</v>
      </c>
      <c r="G156" s="2">
        <v>18</v>
      </c>
      <c r="H156" s="2">
        <v>0</v>
      </c>
      <c r="I156" s="2">
        <v>0</v>
      </c>
      <c r="J156" s="2">
        <v>18</v>
      </c>
      <c r="K156" s="267">
        <v>0.111111111111</v>
      </c>
    </row>
    <row r="157" spans="1:11" x14ac:dyDescent="0.25">
      <c r="A157" s="2">
        <v>540121</v>
      </c>
      <c r="B157" s="2" t="s">
        <v>207</v>
      </c>
      <c r="C157" s="2" t="s">
        <v>51</v>
      </c>
      <c r="D157" s="2" t="s">
        <v>115</v>
      </c>
      <c r="E157" s="2">
        <v>1</v>
      </c>
      <c r="F157" s="2">
        <v>617</v>
      </c>
      <c r="G157" s="2">
        <v>46</v>
      </c>
      <c r="H157" s="2">
        <v>0</v>
      </c>
      <c r="I157" s="2">
        <v>0</v>
      </c>
      <c r="J157" s="2">
        <v>46</v>
      </c>
      <c r="K157" s="267">
        <v>7.45542949757E-2</v>
      </c>
    </row>
    <row r="158" spans="1:11" x14ac:dyDescent="0.25">
      <c r="A158" s="2">
        <v>540122</v>
      </c>
      <c r="B158" s="2" t="s">
        <v>208</v>
      </c>
      <c r="C158" s="2" t="s">
        <v>51</v>
      </c>
      <c r="D158" s="2" t="s">
        <v>115</v>
      </c>
      <c r="E158" s="2">
        <v>1</v>
      </c>
      <c r="F158" s="2">
        <v>589</v>
      </c>
      <c r="G158" s="2">
        <v>31</v>
      </c>
      <c r="H158" s="2">
        <v>0</v>
      </c>
      <c r="I158" s="2">
        <v>0</v>
      </c>
      <c r="J158" s="2">
        <v>31</v>
      </c>
      <c r="K158" s="267">
        <v>5.2631578947399997E-2</v>
      </c>
    </row>
    <row r="159" spans="1:11" x14ac:dyDescent="0.25">
      <c r="A159" s="2">
        <v>540123</v>
      </c>
      <c r="B159" s="2" t="s">
        <v>209</v>
      </c>
      <c r="C159" s="2" t="s">
        <v>51</v>
      </c>
      <c r="D159" s="2" t="s">
        <v>115</v>
      </c>
      <c r="E159" s="2">
        <v>1</v>
      </c>
      <c r="F159" s="2">
        <v>3878</v>
      </c>
      <c r="G159" s="2">
        <v>108</v>
      </c>
      <c r="H159" s="2">
        <v>0</v>
      </c>
      <c r="I159" s="2">
        <v>0</v>
      </c>
      <c r="J159" s="2">
        <v>108</v>
      </c>
      <c r="K159" s="267">
        <v>2.7849406910800002E-2</v>
      </c>
    </row>
    <row r="160" spans="1:11" x14ac:dyDescent="0.25">
      <c r="A160" s="2">
        <v>540291</v>
      </c>
      <c r="B160" s="2" t="s">
        <v>328</v>
      </c>
      <c r="C160" s="2" t="s">
        <v>51</v>
      </c>
      <c r="D160" s="2" t="s">
        <v>115</v>
      </c>
      <c r="E160" s="2">
        <v>1</v>
      </c>
      <c r="F160" s="2">
        <v>512</v>
      </c>
      <c r="G160" s="2">
        <v>10</v>
      </c>
      <c r="H160" s="2">
        <v>0</v>
      </c>
      <c r="I160" s="2">
        <v>0</v>
      </c>
      <c r="J160" s="2">
        <v>10</v>
      </c>
      <c r="K160" s="267">
        <v>1.953125E-2</v>
      </c>
    </row>
    <row r="161" spans="1:11" x14ac:dyDescent="0.25">
      <c r="A161" s="252"/>
      <c r="B161" s="252"/>
      <c r="C161" s="252" t="s">
        <v>51</v>
      </c>
      <c r="D161" s="252"/>
      <c r="E161" s="252"/>
      <c r="F161" s="252">
        <v>342103</v>
      </c>
      <c r="G161" s="252">
        <v>2445</v>
      </c>
      <c r="H161" s="252">
        <v>0</v>
      </c>
      <c r="I161" s="252">
        <v>0</v>
      </c>
      <c r="J161" s="252">
        <v>2445</v>
      </c>
      <c r="K161" s="411">
        <v>7.1469703568800003E-3</v>
      </c>
    </row>
    <row r="162" spans="1:11" x14ac:dyDescent="0.25">
      <c r="A162" s="2">
        <v>540124</v>
      </c>
      <c r="B162" s="2" t="s">
        <v>52</v>
      </c>
      <c r="C162" s="2" t="s">
        <v>53</v>
      </c>
      <c r="D162" s="2" t="s">
        <v>5</v>
      </c>
      <c r="E162" s="2">
        <v>1</v>
      </c>
      <c r="F162" s="2">
        <v>260256</v>
      </c>
      <c r="G162" s="2">
        <v>6073</v>
      </c>
      <c r="H162" s="2">
        <v>186</v>
      </c>
      <c r="I162" s="2">
        <v>0</v>
      </c>
      <c r="J162" s="2">
        <v>5887</v>
      </c>
      <c r="K162" s="267">
        <v>2.2620035657199999E-2</v>
      </c>
    </row>
    <row r="163" spans="1:11" x14ac:dyDescent="0.25">
      <c r="A163" s="2">
        <v>540125</v>
      </c>
      <c r="B163" s="2" t="s">
        <v>210</v>
      </c>
      <c r="C163" s="2" t="s">
        <v>53</v>
      </c>
      <c r="D163" s="2" t="s">
        <v>115</v>
      </c>
      <c r="E163" s="2">
        <v>1</v>
      </c>
      <c r="F163" s="2">
        <v>374</v>
      </c>
      <c r="G163" s="2">
        <v>14</v>
      </c>
      <c r="H163" s="2">
        <v>0</v>
      </c>
      <c r="I163" s="2">
        <v>0</v>
      </c>
      <c r="J163" s="2">
        <v>14</v>
      </c>
      <c r="K163" s="267">
        <v>3.7433155080200002E-2</v>
      </c>
    </row>
    <row r="164" spans="1:11" x14ac:dyDescent="0.25">
      <c r="A164" s="2">
        <v>540126</v>
      </c>
      <c r="B164" s="2" t="s">
        <v>211</v>
      </c>
      <c r="C164" s="2" t="s">
        <v>53</v>
      </c>
      <c r="D164" s="2" t="s">
        <v>115</v>
      </c>
      <c r="E164" s="2">
        <v>1</v>
      </c>
      <c r="F164" s="2">
        <v>169</v>
      </c>
      <c r="G164" s="2">
        <v>24</v>
      </c>
      <c r="H164" s="2">
        <v>0</v>
      </c>
      <c r="I164" s="2">
        <v>0</v>
      </c>
      <c r="J164" s="2">
        <v>24</v>
      </c>
      <c r="K164" s="267">
        <v>0.14201183432</v>
      </c>
    </row>
    <row r="165" spans="1:11" x14ac:dyDescent="0.25">
      <c r="A165" s="2">
        <v>540127</v>
      </c>
      <c r="B165" s="2" t="s">
        <v>212</v>
      </c>
      <c r="C165" s="2" t="s">
        <v>53</v>
      </c>
      <c r="D165" s="2" t="s">
        <v>115</v>
      </c>
      <c r="E165" s="2">
        <v>1</v>
      </c>
      <c r="F165" s="2">
        <v>269</v>
      </c>
      <c r="G165" s="2">
        <v>19</v>
      </c>
      <c r="H165" s="2">
        <v>0</v>
      </c>
      <c r="I165" s="2">
        <v>0</v>
      </c>
      <c r="J165" s="2">
        <v>19</v>
      </c>
      <c r="K165" s="267">
        <v>7.0631970260200003E-2</v>
      </c>
    </row>
    <row r="166" spans="1:11" x14ac:dyDescent="0.25">
      <c r="A166" s="2">
        <v>540128</v>
      </c>
      <c r="B166" s="2" t="s">
        <v>213</v>
      </c>
      <c r="C166" s="2" t="s">
        <v>53</v>
      </c>
      <c r="D166" s="2" t="s">
        <v>115</v>
      </c>
      <c r="E166" s="2">
        <v>1</v>
      </c>
      <c r="F166" s="2">
        <v>1953</v>
      </c>
      <c r="G166" s="2">
        <v>294</v>
      </c>
      <c r="H166" s="2">
        <v>0</v>
      </c>
      <c r="I166" s="2">
        <v>0</v>
      </c>
      <c r="J166" s="2">
        <v>294</v>
      </c>
      <c r="K166" s="267">
        <v>0.150537634409</v>
      </c>
    </row>
    <row r="167" spans="1:11" x14ac:dyDescent="0.25">
      <c r="A167" s="2">
        <v>540172</v>
      </c>
      <c r="B167" s="2" t="s">
        <v>244</v>
      </c>
      <c r="C167" s="2" t="s">
        <v>53</v>
      </c>
      <c r="D167" s="2" t="s">
        <v>115</v>
      </c>
      <c r="E167" s="2">
        <v>1</v>
      </c>
      <c r="F167" s="2">
        <v>252</v>
      </c>
      <c r="G167" s="2">
        <v>0</v>
      </c>
      <c r="H167" s="2">
        <v>0</v>
      </c>
      <c r="I167" s="2">
        <v>0</v>
      </c>
      <c r="J167" s="2">
        <v>0</v>
      </c>
      <c r="K167" s="267">
        <v>0</v>
      </c>
    </row>
    <row r="168" spans="1:11" x14ac:dyDescent="0.25">
      <c r="A168" s="2">
        <v>540285</v>
      </c>
      <c r="B168" s="2" t="s">
        <v>324</v>
      </c>
      <c r="C168" s="2" t="s">
        <v>53</v>
      </c>
      <c r="D168" s="2" t="s">
        <v>115</v>
      </c>
      <c r="E168" s="2">
        <v>1</v>
      </c>
      <c r="F168" s="2">
        <v>5771</v>
      </c>
      <c r="G168" s="2">
        <v>8</v>
      </c>
      <c r="H168" s="2">
        <v>0</v>
      </c>
      <c r="I168" s="2">
        <v>0</v>
      </c>
      <c r="J168" s="2">
        <v>8</v>
      </c>
      <c r="K168" s="267">
        <v>1.3862415525900001E-3</v>
      </c>
    </row>
    <row r="169" spans="1:11" x14ac:dyDescent="0.25">
      <c r="A169" s="252"/>
      <c r="B169" s="252"/>
      <c r="C169" s="252" t="s">
        <v>53</v>
      </c>
      <c r="D169" s="252"/>
      <c r="E169" s="252"/>
      <c r="F169" s="252">
        <v>269044</v>
      </c>
      <c r="G169" s="252">
        <v>6432</v>
      </c>
      <c r="H169" s="252">
        <v>186</v>
      </c>
      <c r="I169" s="252">
        <v>0</v>
      </c>
      <c r="J169" s="252">
        <v>6246</v>
      </c>
      <c r="K169" s="411">
        <v>2.32155335187E-2</v>
      </c>
    </row>
    <row r="170" spans="1:11" x14ac:dyDescent="0.25">
      <c r="A170" s="2">
        <v>540129</v>
      </c>
      <c r="B170" s="2" t="s">
        <v>54</v>
      </c>
      <c r="C170" s="2" t="s">
        <v>55</v>
      </c>
      <c r="D170" s="2" t="s">
        <v>5</v>
      </c>
      <c r="E170" s="2">
        <v>8</v>
      </c>
      <c r="F170" s="2">
        <v>208143</v>
      </c>
      <c r="G170" s="2">
        <v>7469</v>
      </c>
      <c r="H170" s="2">
        <v>509</v>
      </c>
      <c r="I170" s="2">
        <v>0</v>
      </c>
      <c r="J170" s="2">
        <v>6960</v>
      </c>
      <c r="K170" s="267">
        <v>3.3438549458800003E-2</v>
      </c>
    </row>
    <row r="171" spans="1:11" x14ac:dyDescent="0.25">
      <c r="A171" s="2">
        <v>540130</v>
      </c>
      <c r="B171" s="2" t="s">
        <v>214</v>
      </c>
      <c r="C171" s="2" t="s">
        <v>55</v>
      </c>
      <c r="D171" s="2" t="s">
        <v>115</v>
      </c>
      <c r="E171" s="2">
        <v>8</v>
      </c>
      <c r="F171" s="2">
        <v>1259</v>
      </c>
      <c r="G171" s="2">
        <v>98</v>
      </c>
      <c r="H171" s="2">
        <v>0</v>
      </c>
      <c r="I171" s="2">
        <v>0</v>
      </c>
      <c r="J171" s="2">
        <v>98</v>
      </c>
      <c r="K171" s="267">
        <v>7.7839555202499994E-2</v>
      </c>
    </row>
    <row r="172" spans="1:11" x14ac:dyDescent="0.25">
      <c r="A172" s="2">
        <v>540131</v>
      </c>
      <c r="B172" s="2" t="s">
        <v>215</v>
      </c>
      <c r="C172" s="2" t="s">
        <v>55</v>
      </c>
      <c r="D172" s="2" t="s">
        <v>115</v>
      </c>
      <c r="E172" s="2">
        <v>8</v>
      </c>
      <c r="F172" s="2">
        <v>244</v>
      </c>
      <c r="G172" s="2">
        <v>19</v>
      </c>
      <c r="H172" s="2">
        <v>0</v>
      </c>
      <c r="I172" s="2">
        <v>0</v>
      </c>
      <c r="J172" s="2">
        <v>19</v>
      </c>
      <c r="K172" s="267">
        <v>7.7868852458999993E-2</v>
      </c>
    </row>
    <row r="173" spans="1:11" x14ac:dyDescent="0.25">
      <c r="A173" s="2">
        <v>540155</v>
      </c>
      <c r="B173" s="2" t="s">
        <v>231</v>
      </c>
      <c r="C173" s="2" t="s">
        <v>55</v>
      </c>
      <c r="D173" s="2" t="s">
        <v>115</v>
      </c>
      <c r="E173" s="2">
        <v>8</v>
      </c>
      <c r="F173" s="2">
        <v>187</v>
      </c>
      <c r="G173" s="2">
        <v>23</v>
      </c>
      <c r="H173" s="2">
        <v>0</v>
      </c>
      <c r="I173" s="2">
        <v>0</v>
      </c>
      <c r="J173" s="2">
        <v>23</v>
      </c>
      <c r="K173" s="267">
        <v>0.12299465240599999</v>
      </c>
    </row>
    <row r="174" spans="1:11" x14ac:dyDescent="0.25">
      <c r="A174" s="2">
        <v>545555</v>
      </c>
      <c r="B174" s="2" t="s">
        <v>336</v>
      </c>
      <c r="C174" s="2" t="s">
        <v>55</v>
      </c>
      <c r="D174" s="2" t="s">
        <v>115</v>
      </c>
      <c r="E174" s="2">
        <v>8</v>
      </c>
      <c r="F174" s="2">
        <v>835</v>
      </c>
      <c r="G174" s="2">
        <v>33</v>
      </c>
      <c r="H174" s="2">
        <v>0</v>
      </c>
      <c r="I174" s="2">
        <v>0</v>
      </c>
      <c r="J174" s="2">
        <v>33</v>
      </c>
      <c r="K174" s="267">
        <v>3.9520958083799997E-2</v>
      </c>
    </row>
    <row r="175" spans="1:11" x14ac:dyDescent="0.25">
      <c r="A175" s="2">
        <v>540091</v>
      </c>
      <c r="B175" s="2" t="s">
        <v>338</v>
      </c>
      <c r="C175" s="2" t="s">
        <v>55</v>
      </c>
      <c r="D175" s="2" t="s">
        <v>115</v>
      </c>
      <c r="E175" s="2">
        <v>8</v>
      </c>
      <c r="F175" s="2">
        <v>165</v>
      </c>
      <c r="G175" s="2">
        <v>0</v>
      </c>
      <c r="H175" s="2">
        <v>0</v>
      </c>
      <c r="I175" s="2">
        <v>0</v>
      </c>
      <c r="J175" s="2">
        <v>0</v>
      </c>
      <c r="K175" s="267">
        <v>0</v>
      </c>
    </row>
    <row r="176" spans="1:11" x14ac:dyDescent="0.25">
      <c r="A176" s="252"/>
      <c r="B176" s="252"/>
      <c r="C176" s="252" t="s">
        <v>55</v>
      </c>
      <c r="D176" s="252"/>
      <c r="E176" s="252"/>
      <c r="F176" s="252">
        <v>210833</v>
      </c>
      <c r="G176" s="252">
        <v>7642</v>
      </c>
      <c r="H176" s="252">
        <v>509</v>
      </c>
      <c r="I176" s="252">
        <v>0</v>
      </c>
      <c r="J176" s="252">
        <v>7133</v>
      </c>
      <c r="K176" s="411">
        <v>3.3832464557299997E-2</v>
      </c>
    </row>
    <row r="177" spans="1:11" x14ac:dyDescent="0.25">
      <c r="A177" s="2">
        <v>540133</v>
      </c>
      <c r="B177" s="2" t="s">
        <v>56</v>
      </c>
      <c r="C177" s="2" t="s">
        <v>57</v>
      </c>
      <c r="D177" s="2" t="s">
        <v>5</v>
      </c>
      <c r="E177" s="2">
        <v>2</v>
      </c>
      <c r="F177" s="2">
        <v>266606</v>
      </c>
      <c r="G177" s="2">
        <v>3343</v>
      </c>
      <c r="H177" s="2">
        <v>152</v>
      </c>
      <c r="I177" s="2">
        <v>0</v>
      </c>
      <c r="J177" s="2">
        <v>3191</v>
      </c>
      <c r="K177" s="267">
        <v>1.1968972941299999E-2</v>
      </c>
    </row>
    <row r="178" spans="1:11" x14ac:dyDescent="0.25">
      <c r="A178" s="2">
        <v>540134</v>
      </c>
      <c r="B178" s="2" t="s">
        <v>217</v>
      </c>
      <c r="C178" s="2" t="s">
        <v>57</v>
      </c>
      <c r="D178" s="2" t="s">
        <v>115</v>
      </c>
      <c r="E178" s="2">
        <v>2</v>
      </c>
      <c r="F178" s="2">
        <v>1272</v>
      </c>
      <c r="G178" s="2">
        <v>35</v>
      </c>
      <c r="H178" s="2">
        <v>0</v>
      </c>
      <c r="I178" s="2">
        <v>0</v>
      </c>
      <c r="J178" s="2">
        <v>35</v>
      </c>
      <c r="K178" s="267">
        <v>2.75157232704E-2</v>
      </c>
    </row>
    <row r="179" spans="1:11" x14ac:dyDescent="0.25">
      <c r="A179" s="2">
        <v>540135</v>
      </c>
      <c r="B179" s="2" t="s">
        <v>218</v>
      </c>
      <c r="C179" s="2" t="s">
        <v>57</v>
      </c>
      <c r="D179" s="2" t="s">
        <v>115</v>
      </c>
      <c r="E179" s="2">
        <v>2</v>
      </c>
      <c r="F179" s="2">
        <v>666</v>
      </c>
      <c r="G179" s="2">
        <v>20</v>
      </c>
      <c r="H179" s="2">
        <v>0</v>
      </c>
      <c r="I179" s="2">
        <v>0</v>
      </c>
      <c r="J179" s="2">
        <v>20</v>
      </c>
      <c r="K179" s="267">
        <v>3.0030030030000002E-2</v>
      </c>
    </row>
    <row r="180" spans="1:11" x14ac:dyDescent="0.25">
      <c r="A180" s="2">
        <v>540136</v>
      </c>
      <c r="B180" s="2" t="s">
        <v>219</v>
      </c>
      <c r="C180" s="2" t="s">
        <v>57</v>
      </c>
      <c r="D180" s="2" t="s">
        <v>115</v>
      </c>
      <c r="E180" s="2">
        <v>2</v>
      </c>
      <c r="F180" s="2">
        <v>251</v>
      </c>
      <c r="G180" s="2">
        <v>36</v>
      </c>
      <c r="H180" s="2">
        <v>0</v>
      </c>
      <c r="I180" s="2">
        <v>0</v>
      </c>
      <c r="J180" s="2">
        <v>36</v>
      </c>
      <c r="K180" s="267">
        <v>0.143426294821</v>
      </c>
    </row>
    <row r="181" spans="1:11" x14ac:dyDescent="0.25">
      <c r="A181" s="2">
        <v>540138</v>
      </c>
      <c r="B181" s="2" t="s">
        <v>221</v>
      </c>
      <c r="C181" s="2" t="s">
        <v>57</v>
      </c>
      <c r="D181" s="2" t="s">
        <v>115</v>
      </c>
      <c r="E181" s="2">
        <v>2</v>
      </c>
      <c r="F181" s="2">
        <v>2074</v>
      </c>
      <c r="G181" s="2">
        <v>134</v>
      </c>
      <c r="H181" s="2">
        <v>0</v>
      </c>
      <c r="I181" s="2">
        <v>0</v>
      </c>
      <c r="J181" s="2">
        <v>134</v>
      </c>
      <c r="K181" s="267">
        <v>6.4609450337499999E-2</v>
      </c>
    </row>
    <row r="182" spans="1:11" x14ac:dyDescent="0.25">
      <c r="A182" s="2">
        <v>545538</v>
      </c>
      <c r="B182" s="2" t="s">
        <v>334</v>
      </c>
      <c r="C182" s="2" t="s">
        <v>57</v>
      </c>
      <c r="D182" s="2" t="s">
        <v>115</v>
      </c>
      <c r="E182" s="2">
        <v>2</v>
      </c>
      <c r="F182" s="2">
        <v>348</v>
      </c>
      <c r="G182" s="2">
        <v>62</v>
      </c>
      <c r="H182" s="2">
        <v>0</v>
      </c>
      <c r="I182" s="2">
        <v>0</v>
      </c>
      <c r="J182" s="2">
        <v>62</v>
      </c>
      <c r="K182" s="267">
        <v>0.17816091953999999</v>
      </c>
    </row>
    <row r="183" spans="1:11" x14ac:dyDescent="0.25">
      <c r="A183" s="252"/>
      <c r="B183" s="252"/>
      <c r="C183" s="252" t="s">
        <v>57</v>
      </c>
      <c r="D183" s="252"/>
      <c r="E183" s="252"/>
      <c r="F183" s="252">
        <v>271217</v>
      </c>
      <c r="G183" s="252">
        <v>3630</v>
      </c>
      <c r="H183" s="252">
        <v>152</v>
      </c>
      <c r="I183" s="252">
        <v>0</v>
      </c>
      <c r="J183" s="252">
        <v>3478</v>
      </c>
      <c r="K183" s="411">
        <v>1.28236799316E-2</v>
      </c>
    </row>
    <row r="184" spans="1:11" x14ac:dyDescent="0.25">
      <c r="A184" s="2">
        <v>540139</v>
      </c>
      <c r="B184" s="2" t="s">
        <v>58</v>
      </c>
      <c r="C184" s="2" t="s">
        <v>59</v>
      </c>
      <c r="D184" s="2" t="s">
        <v>5</v>
      </c>
      <c r="E184" s="2">
        <v>6</v>
      </c>
      <c r="F184" s="2">
        <v>224992</v>
      </c>
      <c r="G184" s="2">
        <v>5763</v>
      </c>
      <c r="H184" s="2">
        <v>1441</v>
      </c>
      <c r="I184" s="2">
        <v>0</v>
      </c>
      <c r="J184" s="2">
        <v>4322</v>
      </c>
      <c r="K184" s="267">
        <v>1.9209571895900002E-2</v>
      </c>
    </row>
    <row r="185" spans="1:11" x14ac:dyDescent="0.25">
      <c r="A185" s="2">
        <v>540140</v>
      </c>
      <c r="B185" s="2" t="s">
        <v>222</v>
      </c>
      <c r="C185" s="2" t="s">
        <v>59</v>
      </c>
      <c r="D185" s="2" t="s">
        <v>115</v>
      </c>
      <c r="E185" s="2">
        <v>6</v>
      </c>
      <c r="F185" s="2">
        <v>198</v>
      </c>
      <c r="G185" s="2">
        <v>17</v>
      </c>
      <c r="H185" s="2">
        <v>0</v>
      </c>
      <c r="I185" s="2">
        <v>0</v>
      </c>
      <c r="J185" s="2">
        <v>17</v>
      </c>
      <c r="K185" s="267">
        <v>8.5858585858599998E-2</v>
      </c>
    </row>
    <row r="186" spans="1:11" x14ac:dyDescent="0.25">
      <c r="A186" s="2">
        <v>540141</v>
      </c>
      <c r="B186" s="2" t="s">
        <v>223</v>
      </c>
      <c r="C186" s="2" t="s">
        <v>59</v>
      </c>
      <c r="D186" s="2" t="s">
        <v>115</v>
      </c>
      <c r="E186" s="2">
        <v>6</v>
      </c>
      <c r="F186" s="2">
        <v>6672</v>
      </c>
      <c r="G186" s="2">
        <v>215</v>
      </c>
      <c r="H186" s="2">
        <v>13</v>
      </c>
      <c r="I186" s="2">
        <v>0</v>
      </c>
      <c r="J186" s="2">
        <v>202</v>
      </c>
      <c r="K186" s="267">
        <v>3.0275779376500001E-2</v>
      </c>
    </row>
    <row r="187" spans="1:11" x14ac:dyDescent="0.25">
      <c r="A187" s="2">
        <v>540272</v>
      </c>
      <c r="B187" s="2" t="s">
        <v>315</v>
      </c>
      <c r="C187" s="2" t="s">
        <v>59</v>
      </c>
      <c r="D187" s="2" t="s">
        <v>115</v>
      </c>
      <c r="E187" s="2">
        <v>6</v>
      </c>
      <c r="F187" s="2">
        <v>831</v>
      </c>
      <c r="G187" s="2">
        <v>23</v>
      </c>
      <c r="H187" s="2">
        <v>0</v>
      </c>
      <c r="I187" s="2">
        <v>0</v>
      </c>
      <c r="J187" s="2">
        <v>23</v>
      </c>
      <c r="K187" s="267">
        <v>2.7677496991599999E-2</v>
      </c>
    </row>
    <row r="188" spans="1:11" x14ac:dyDescent="0.25">
      <c r="A188" s="2">
        <v>540273</v>
      </c>
      <c r="B188" s="2" t="s">
        <v>316</v>
      </c>
      <c r="C188" s="2" t="s">
        <v>59</v>
      </c>
      <c r="D188" s="2" t="s">
        <v>115</v>
      </c>
      <c r="E188" s="2">
        <v>6</v>
      </c>
      <c r="F188" s="2">
        <v>378</v>
      </c>
      <c r="G188" s="2">
        <v>7</v>
      </c>
      <c r="H188" s="2">
        <v>0</v>
      </c>
      <c r="I188" s="2">
        <v>0</v>
      </c>
      <c r="J188" s="2">
        <v>7</v>
      </c>
      <c r="K188" s="267">
        <v>1.8518518518500001E-2</v>
      </c>
    </row>
    <row r="189" spans="1:11" x14ac:dyDescent="0.25">
      <c r="A189" s="2">
        <v>540274</v>
      </c>
      <c r="B189" s="2" t="s">
        <v>317</v>
      </c>
      <c r="C189" s="2" t="s">
        <v>59</v>
      </c>
      <c r="D189" s="2" t="s">
        <v>115</v>
      </c>
      <c r="E189" s="2">
        <v>6</v>
      </c>
      <c r="F189" s="2">
        <v>963</v>
      </c>
      <c r="G189" s="2">
        <v>23</v>
      </c>
      <c r="H189" s="2">
        <v>0</v>
      </c>
      <c r="I189" s="2">
        <v>0</v>
      </c>
      <c r="J189" s="2">
        <v>23</v>
      </c>
      <c r="K189" s="267">
        <v>2.38836967809E-2</v>
      </c>
    </row>
    <row r="190" spans="1:11" x14ac:dyDescent="0.25">
      <c r="A190" s="252"/>
      <c r="B190" s="252"/>
      <c r="C190" s="252" t="s">
        <v>59</v>
      </c>
      <c r="D190" s="252"/>
      <c r="E190" s="252"/>
      <c r="F190" s="252">
        <v>234034</v>
      </c>
      <c r="G190" s="252">
        <v>6048</v>
      </c>
      <c r="H190" s="252">
        <v>1454</v>
      </c>
      <c r="I190" s="252">
        <v>0</v>
      </c>
      <c r="J190" s="252">
        <v>4594</v>
      </c>
      <c r="K190" s="411">
        <v>1.9629626464500002E-2</v>
      </c>
    </row>
    <row r="191" spans="1:11" x14ac:dyDescent="0.25">
      <c r="A191" s="2">
        <v>540144</v>
      </c>
      <c r="B191" s="2" t="s">
        <v>60</v>
      </c>
      <c r="C191" s="2" t="s">
        <v>61</v>
      </c>
      <c r="D191" s="2" t="s">
        <v>5</v>
      </c>
      <c r="E191" s="2">
        <v>9</v>
      </c>
      <c r="F191" s="2">
        <v>146585</v>
      </c>
      <c r="G191" s="2">
        <v>7231</v>
      </c>
      <c r="H191" s="2">
        <v>21</v>
      </c>
      <c r="I191" s="2">
        <v>0</v>
      </c>
      <c r="J191" s="2">
        <v>7210</v>
      </c>
      <c r="K191" s="267">
        <v>4.9186478834799999E-2</v>
      </c>
    </row>
    <row r="192" spans="1:11" x14ac:dyDescent="0.25">
      <c r="A192" s="2">
        <v>540005</v>
      </c>
      <c r="B192" s="2" t="s">
        <v>118</v>
      </c>
      <c r="C192" s="2" t="s">
        <v>61</v>
      </c>
      <c r="D192" s="2" t="s">
        <v>115</v>
      </c>
      <c r="E192" s="2">
        <v>9</v>
      </c>
      <c r="F192" s="2">
        <v>215</v>
      </c>
      <c r="G192" s="2">
        <v>20</v>
      </c>
      <c r="H192" s="2">
        <v>0</v>
      </c>
      <c r="I192" s="2">
        <v>0</v>
      </c>
      <c r="J192" s="2">
        <v>20</v>
      </c>
      <c r="K192" s="267">
        <v>9.3023255814000005E-2</v>
      </c>
    </row>
    <row r="193" spans="1:11" x14ac:dyDescent="0.25">
      <c r="A193" s="2">
        <v>540252</v>
      </c>
      <c r="B193" s="2" t="s">
        <v>298</v>
      </c>
      <c r="C193" s="2" t="s">
        <v>61</v>
      </c>
      <c r="D193" s="2" t="s">
        <v>115</v>
      </c>
      <c r="E193" s="2">
        <v>9</v>
      </c>
      <c r="F193" s="2">
        <v>340</v>
      </c>
      <c r="G193" s="2">
        <v>119</v>
      </c>
      <c r="H193" s="2">
        <v>0</v>
      </c>
      <c r="I193" s="2">
        <v>0</v>
      </c>
      <c r="J193" s="2">
        <v>119</v>
      </c>
      <c r="K193" s="267">
        <v>0.35</v>
      </c>
    </row>
    <row r="194" spans="1:11" x14ac:dyDescent="0.25">
      <c r="A194" s="252"/>
      <c r="B194" s="252"/>
      <c r="C194" s="252" t="s">
        <v>61</v>
      </c>
      <c r="D194" s="252"/>
      <c r="E194" s="252"/>
      <c r="F194" s="252">
        <v>147140</v>
      </c>
      <c r="G194" s="252">
        <v>7370</v>
      </c>
      <c r="H194" s="252">
        <v>21</v>
      </c>
      <c r="I194" s="252">
        <v>0</v>
      </c>
      <c r="J194" s="252">
        <v>7349</v>
      </c>
      <c r="K194" s="411">
        <v>4.9945630012200003E-2</v>
      </c>
    </row>
    <row r="195" spans="1:11" x14ac:dyDescent="0.25">
      <c r="A195" s="2">
        <v>540146</v>
      </c>
      <c r="B195" s="2" t="s">
        <v>62</v>
      </c>
      <c r="C195" s="2" t="s">
        <v>63</v>
      </c>
      <c r="D195" s="2" t="s">
        <v>5</v>
      </c>
      <c r="E195" s="2">
        <v>4</v>
      </c>
      <c r="F195" s="2">
        <v>414533</v>
      </c>
      <c r="G195" s="2">
        <v>13865</v>
      </c>
      <c r="H195" s="2">
        <v>4568</v>
      </c>
      <c r="I195" s="2">
        <v>718</v>
      </c>
      <c r="J195" s="2">
        <v>8579</v>
      </c>
      <c r="K195" s="267">
        <v>2.0695577915399999E-2</v>
      </c>
    </row>
    <row r="196" spans="1:11" x14ac:dyDescent="0.25">
      <c r="A196" s="2">
        <v>540147</v>
      </c>
      <c r="B196" s="2" t="s">
        <v>225</v>
      </c>
      <c r="C196" s="2" t="s">
        <v>63</v>
      </c>
      <c r="D196" s="2" t="s">
        <v>115</v>
      </c>
      <c r="E196" s="2">
        <v>4</v>
      </c>
      <c r="F196" s="2">
        <v>1068</v>
      </c>
      <c r="G196" s="2">
        <v>122</v>
      </c>
      <c r="H196" s="2">
        <v>0</v>
      </c>
      <c r="I196" s="2">
        <v>0</v>
      </c>
      <c r="J196" s="2">
        <v>122</v>
      </c>
      <c r="K196" s="267">
        <v>0.114232209738</v>
      </c>
    </row>
    <row r="197" spans="1:11" x14ac:dyDescent="0.25">
      <c r="A197" s="2">
        <v>540148</v>
      </c>
      <c r="B197" s="2" t="s">
        <v>226</v>
      </c>
      <c r="C197" s="2" t="s">
        <v>63</v>
      </c>
      <c r="D197" s="2" t="s">
        <v>115</v>
      </c>
      <c r="E197" s="2">
        <v>4</v>
      </c>
      <c r="F197" s="2">
        <v>2897</v>
      </c>
      <c r="G197" s="2">
        <v>147</v>
      </c>
      <c r="H197" s="2">
        <v>41</v>
      </c>
      <c r="I197" s="2">
        <v>0</v>
      </c>
      <c r="J197" s="2">
        <v>106</v>
      </c>
      <c r="K197" s="267">
        <v>3.6589575422899999E-2</v>
      </c>
    </row>
    <row r="198" spans="1:11" x14ac:dyDescent="0.25">
      <c r="A198" s="252"/>
      <c r="B198" s="252"/>
      <c r="C198" s="252" t="s">
        <v>63</v>
      </c>
      <c r="D198" s="252"/>
      <c r="E198" s="252"/>
      <c r="F198" s="252">
        <v>418498</v>
      </c>
      <c r="G198" s="252">
        <v>14134</v>
      </c>
      <c r="H198" s="252">
        <v>4609</v>
      </c>
      <c r="I198" s="252">
        <v>718</v>
      </c>
      <c r="J198" s="252">
        <v>8807</v>
      </c>
      <c r="K198" s="411">
        <v>2.1044306065999999E-2</v>
      </c>
    </row>
    <row r="199" spans="1:11" x14ac:dyDescent="0.25">
      <c r="A199" s="2">
        <v>540149</v>
      </c>
      <c r="B199" s="2" t="s">
        <v>64</v>
      </c>
      <c r="C199" s="2" t="s">
        <v>65</v>
      </c>
      <c r="D199" s="2" t="s">
        <v>5</v>
      </c>
      <c r="E199" s="2">
        <v>10</v>
      </c>
      <c r="F199" s="2">
        <v>55697</v>
      </c>
      <c r="G199" s="2">
        <v>1155</v>
      </c>
      <c r="H199" s="2">
        <v>36</v>
      </c>
      <c r="I199" s="2">
        <v>0</v>
      </c>
      <c r="J199" s="2">
        <v>1119</v>
      </c>
      <c r="K199" s="267">
        <v>2.0090848699200001E-2</v>
      </c>
    </row>
    <row r="200" spans="1:11" x14ac:dyDescent="0.25">
      <c r="A200" s="2">
        <v>540080</v>
      </c>
      <c r="B200" s="2" t="s">
        <v>175</v>
      </c>
      <c r="C200" s="2" t="s">
        <v>65</v>
      </c>
      <c r="D200" s="2" t="s">
        <v>115</v>
      </c>
      <c r="E200" s="2">
        <v>10</v>
      </c>
      <c r="F200" s="2">
        <v>259</v>
      </c>
      <c r="G200" s="2">
        <v>0</v>
      </c>
      <c r="H200" s="2">
        <v>0</v>
      </c>
      <c r="I200" s="2">
        <v>0</v>
      </c>
      <c r="J200" s="2">
        <v>0</v>
      </c>
      <c r="K200" s="267">
        <v>0</v>
      </c>
    </row>
    <row r="201" spans="1:11" x14ac:dyDescent="0.25">
      <c r="A201" s="2">
        <v>540094</v>
      </c>
      <c r="B201" s="2" t="s">
        <v>185</v>
      </c>
      <c r="C201" s="2" t="s">
        <v>65</v>
      </c>
      <c r="D201" s="2" t="s">
        <v>115</v>
      </c>
      <c r="E201" s="2">
        <v>10</v>
      </c>
      <c r="F201" s="2">
        <v>700</v>
      </c>
      <c r="G201" s="2">
        <v>28</v>
      </c>
      <c r="H201" s="2">
        <v>0</v>
      </c>
      <c r="I201" s="2">
        <v>0</v>
      </c>
      <c r="J201" s="2">
        <v>28</v>
      </c>
      <c r="K201" s="267">
        <v>0.04</v>
      </c>
    </row>
    <row r="202" spans="1:11" x14ac:dyDescent="0.25">
      <c r="A202" s="2">
        <v>540150</v>
      </c>
      <c r="B202" s="2" t="s">
        <v>227</v>
      </c>
      <c r="C202" s="2" t="s">
        <v>65</v>
      </c>
      <c r="D202" s="2" t="s">
        <v>115</v>
      </c>
      <c r="E202" s="2">
        <v>10</v>
      </c>
      <c r="F202" s="2">
        <v>432</v>
      </c>
      <c r="G202" s="2">
        <v>33</v>
      </c>
      <c r="H202" s="2">
        <v>0</v>
      </c>
      <c r="I202" s="2">
        <v>0</v>
      </c>
      <c r="J202" s="2">
        <v>33</v>
      </c>
      <c r="K202" s="267">
        <v>7.6388888888899997E-2</v>
      </c>
    </row>
    <row r="203" spans="1:11" x14ac:dyDescent="0.25">
      <c r="A203" s="2">
        <v>540151</v>
      </c>
      <c r="B203" s="2" t="s">
        <v>228</v>
      </c>
      <c r="C203" s="2" t="s">
        <v>65</v>
      </c>
      <c r="D203" s="2" t="s">
        <v>115</v>
      </c>
      <c r="E203" s="2">
        <v>10</v>
      </c>
      <c r="F203" s="2">
        <v>350</v>
      </c>
      <c r="G203" s="2">
        <v>75</v>
      </c>
      <c r="H203" s="2">
        <v>0</v>
      </c>
      <c r="I203" s="2">
        <v>0</v>
      </c>
      <c r="J203" s="2">
        <v>75</v>
      </c>
      <c r="K203" s="267">
        <v>0.21428571428599999</v>
      </c>
    </row>
    <row r="204" spans="1:11" x14ac:dyDescent="0.25">
      <c r="A204" s="2">
        <v>540152</v>
      </c>
      <c r="B204" s="2" t="s">
        <v>229</v>
      </c>
      <c r="C204" s="2" t="s">
        <v>65</v>
      </c>
      <c r="D204" s="2" t="s">
        <v>115</v>
      </c>
      <c r="E204" s="2">
        <v>10</v>
      </c>
      <c r="F204" s="2">
        <v>9969</v>
      </c>
      <c r="G204" s="2">
        <v>932</v>
      </c>
      <c r="H204" s="2">
        <v>1</v>
      </c>
      <c r="I204" s="2">
        <v>0</v>
      </c>
      <c r="J204" s="2">
        <v>931</v>
      </c>
      <c r="K204" s="267">
        <v>9.3389507473200004E-2</v>
      </c>
    </row>
    <row r="205" spans="1:11" x14ac:dyDescent="0.25">
      <c r="A205" s="2">
        <v>540275</v>
      </c>
      <c r="B205" s="2" t="s">
        <v>318</v>
      </c>
      <c r="C205" s="2" t="s">
        <v>65</v>
      </c>
      <c r="D205" s="2" t="s">
        <v>115</v>
      </c>
      <c r="E205" s="2">
        <v>10</v>
      </c>
      <c r="F205" s="2">
        <v>2268</v>
      </c>
      <c r="G205" s="2">
        <v>0</v>
      </c>
      <c r="H205" s="2">
        <v>0</v>
      </c>
      <c r="I205" s="2">
        <v>0</v>
      </c>
      <c r="J205" s="2">
        <v>0</v>
      </c>
      <c r="K205" s="267">
        <v>0</v>
      </c>
    </row>
    <row r="206" spans="1:11" x14ac:dyDescent="0.25">
      <c r="A206" s="252"/>
      <c r="B206" s="252"/>
      <c r="C206" s="252" t="s">
        <v>65</v>
      </c>
      <c r="D206" s="252"/>
      <c r="E206" s="252"/>
      <c r="F206" s="252">
        <v>69675</v>
      </c>
      <c r="G206" s="252">
        <v>2223</v>
      </c>
      <c r="H206" s="252">
        <v>37</v>
      </c>
      <c r="I206" s="252">
        <v>0</v>
      </c>
      <c r="J206" s="252">
        <v>2186</v>
      </c>
      <c r="K206" s="411">
        <v>3.13742375314E-2</v>
      </c>
    </row>
    <row r="207" spans="1:11" x14ac:dyDescent="0.25">
      <c r="A207" s="2">
        <v>540153</v>
      </c>
      <c r="B207" s="2" t="s">
        <v>66</v>
      </c>
      <c r="C207" s="2" t="s">
        <v>67</v>
      </c>
      <c r="D207" s="2" t="s">
        <v>5</v>
      </c>
      <c r="E207" s="2">
        <v>8</v>
      </c>
      <c r="F207" s="2">
        <v>446299</v>
      </c>
      <c r="G207" s="2">
        <v>14467</v>
      </c>
      <c r="H207" s="2">
        <v>64</v>
      </c>
      <c r="I207" s="2">
        <v>1205</v>
      </c>
      <c r="J207" s="2">
        <v>13198</v>
      </c>
      <c r="K207" s="267">
        <v>2.95721030072E-2</v>
      </c>
    </row>
    <row r="208" spans="1:11" x14ac:dyDescent="0.25">
      <c r="A208" s="2">
        <v>540154</v>
      </c>
      <c r="B208" s="2" t="s">
        <v>230</v>
      </c>
      <c r="C208" s="2" t="s">
        <v>67</v>
      </c>
      <c r="D208" s="2" t="s">
        <v>115</v>
      </c>
      <c r="E208" s="2">
        <v>8</v>
      </c>
      <c r="F208" s="2">
        <v>361</v>
      </c>
      <c r="G208" s="2">
        <v>29</v>
      </c>
      <c r="H208" s="2">
        <v>0</v>
      </c>
      <c r="I208" s="2">
        <v>0</v>
      </c>
      <c r="J208" s="2">
        <v>29</v>
      </c>
      <c r="K208" s="267">
        <v>8.0332409972299998E-2</v>
      </c>
    </row>
    <row r="209" spans="1:11" x14ac:dyDescent="0.25">
      <c r="A209" s="252"/>
      <c r="B209" s="252"/>
      <c r="C209" s="252" t="s">
        <v>67</v>
      </c>
      <c r="D209" s="252"/>
      <c r="E209" s="252"/>
      <c r="F209" s="252">
        <v>446660</v>
      </c>
      <c r="G209" s="252">
        <v>14496</v>
      </c>
      <c r="H209" s="252">
        <v>64</v>
      </c>
      <c r="I209" s="252">
        <v>1205</v>
      </c>
      <c r="J209" s="252">
        <v>13227</v>
      </c>
      <c r="K209" s="411">
        <v>2.9613128554200001E-2</v>
      </c>
    </row>
    <row r="210" spans="1:11" x14ac:dyDescent="0.25">
      <c r="A210" s="2">
        <v>540160</v>
      </c>
      <c r="B210" s="2" t="s">
        <v>68</v>
      </c>
      <c r="C210" s="2" t="s">
        <v>69</v>
      </c>
      <c r="D210" s="2" t="s">
        <v>5</v>
      </c>
      <c r="E210" s="2">
        <v>6</v>
      </c>
      <c r="F210" s="2">
        <v>411882</v>
      </c>
      <c r="G210" s="2">
        <v>9919</v>
      </c>
      <c r="H210" s="2">
        <v>80</v>
      </c>
      <c r="I210" s="2">
        <v>0</v>
      </c>
      <c r="J210" s="2">
        <v>9839</v>
      </c>
      <c r="K210" s="267">
        <v>2.3887909644000001E-2</v>
      </c>
    </row>
    <row r="211" spans="1:11" x14ac:dyDescent="0.25">
      <c r="A211" s="2">
        <v>540137</v>
      </c>
      <c r="B211" s="2" t="s">
        <v>220</v>
      </c>
      <c r="C211" s="2" t="s">
        <v>69</v>
      </c>
      <c r="D211" s="2" t="s">
        <v>115</v>
      </c>
      <c r="E211" s="2">
        <v>6</v>
      </c>
      <c r="F211" s="2">
        <v>215</v>
      </c>
      <c r="G211" s="2">
        <v>0</v>
      </c>
      <c r="H211" s="2">
        <v>0</v>
      </c>
      <c r="I211" s="2">
        <v>0</v>
      </c>
      <c r="J211" s="2">
        <v>0</v>
      </c>
      <c r="K211" s="267">
        <v>0</v>
      </c>
    </row>
    <row r="212" spans="1:11" x14ac:dyDescent="0.25">
      <c r="A212" s="2">
        <v>540161</v>
      </c>
      <c r="B212" s="2" t="s">
        <v>235</v>
      </c>
      <c r="C212" s="2" t="s">
        <v>69</v>
      </c>
      <c r="D212" s="2" t="s">
        <v>115</v>
      </c>
      <c r="E212" s="2">
        <v>6</v>
      </c>
      <c r="F212" s="2">
        <v>175</v>
      </c>
      <c r="G212" s="2">
        <v>31</v>
      </c>
      <c r="H212" s="2">
        <v>0</v>
      </c>
      <c r="I212" s="2">
        <v>0</v>
      </c>
      <c r="J212" s="2">
        <v>31</v>
      </c>
      <c r="K212" s="267">
        <v>0.17714285714299999</v>
      </c>
    </row>
    <row r="213" spans="1:11" x14ac:dyDescent="0.25">
      <c r="A213" s="2">
        <v>540162</v>
      </c>
      <c r="B213" s="2" t="s">
        <v>236</v>
      </c>
      <c r="C213" s="2" t="s">
        <v>69</v>
      </c>
      <c r="D213" s="2" t="s">
        <v>115</v>
      </c>
      <c r="E213" s="2">
        <v>6</v>
      </c>
      <c r="F213" s="2">
        <v>36</v>
      </c>
      <c r="G213" s="2">
        <v>14</v>
      </c>
      <c r="H213" s="2">
        <v>0</v>
      </c>
      <c r="I213" s="2">
        <v>0</v>
      </c>
      <c r="J213" s="2">
        <v>14</v>
      </c>
      <c r="K213" s="267">
        <v>0.38888888888899997</v>
      </c>
    </row>
    <row r="214" spans="1:11" x14ac:dyDescent="0.25">
      <c r="A214" s="2">
        <v>540163</v>
      </c>
      <c r="B214" s="2" t="s">
        <v>237</v>
      </c>
      <c r="C214" s="2" t="s">
        <v>69</v>
      </c>
      <c r="D214" s="2" t="s">
        <v>115</v>
      </c>
      <c r="E214" s="2">
        <v>6</v>
      </c>
      <c r="F214" s="2">
        <v>702</v>
      </c>
      <c r="G214" s="2">
        <v>153</v>
      </c>
      <c r="H214" s="2">
        <v>0</v>
      </c>
      <c r="I214" s="2">
        <v>0</v>
      </c>
      <c r="J214" s="2">
        <v>153</v>
      </c>
      <c r="K214" s="267">
        <v>0.217948717949</v>
      </c>
    </row>
    <row r="215" spans="1:11" x14ac:dyDescent="0.25">
      <c r="A215" s="2">
        <v>540254</v>
      </c>
      <c r="B215" s="2" t="s">
        <v>300</v>
      </c>
      <c r="C215" s="2" t="s">
        <v>69</v>
      </c>
      <c r="D215" s="2" t="s">
        <v>115</v>
      </c>
      <c r="E215" s="2">
        <v>6</v>
      </c>
      <c r="F215" s="2">
        <v>1555</v>
      </c>
      <c r="G215" s="2">
        <v>18</v>
      </c>
      <c r="H215" s="2">
        <v>0</v>
      </c>
      <c r="I215" s="2">
        <v>0</v>
      </c>
      <c r="J215" s="2">
        <v>18</v>
      </c>
      <c r="K215" s="267">
        <v>1.1575562701E-2</v>
      </c>
    </row>
    <row r="216" spans="1:11" x14ac:dyDescent="0.25">
      <c r="A216" s="2">
        <v>540257</v>
      </c>
      <c r="B216" s="2" t="s">
        <v>302</v>
      </c>
      <c r="C216" s="2" t="s">
        <v>69</v>
      </c>
      <c r="D216" s="2" t="s">
        <v>115</v>
      </c>
      <c r="E216" s="2">
        <v>6</v>
      </c>
      <c r="F216" s="2">
        <v>759</v>
      </c>
      <c r="G216" s="2">
        <v>36</v>
      </c>
      <c r="H216" s="2">
        <v>0</v>
      </c>
      <c r="I216" s="2">
        <v>0</v>
      </c>
      <c r="J216" s="2">
        <v>36</v>
      </c>
      <c r="K216" s="267">
        <v>4.7430830039500001E-2</v>
      </c>
    </row>
    <row r="217" spans="1:11" x14ac:dyDescent="0.25">
      <c r="A217" s="2">
        <v>540268</v>
      </c>
      <c r="B217" s="2" t="s">
        <v>311</v>
      </c>
      <c r="C217" s="2" t="s">
        <v>69</v>
      </c>
      <c r="D217" s="2" t="s">
        <v>115</v>
      </c>
      <c r="E217" s="2">
        <v>6</v>
      </c>
      <c r="F217" s="2">
        <v>503</v>
      </c>
      <c r="G217" s="2">
        <v>25</v>
      </c>
      <c r="H217" s="2">
        <v>0</v>
      </c>
      <c r="I217" s="2">
        <v>0</v>
      </c>
      <c r="J217" s="2">
        <v>25</v>
      </c>
      <c r="K217" s="267">
        <v>4.9701789264399998E-2</v>
      </c>
    </row>
    <row r="218" spans="1:11" x14ac:dyDescent="0.25">
      <c r="A218" s="2">
        <v>540269</v>
      </c>
      <c r="B218" s="2" t="s">
        <v>312</v>
      </c>
      <c r="C218" s="2" t="s">
        <v>69</v>
      </c>
      <c r="D218" s="2" t="s">
        <v>115</v>
      </c>
      <c r="E218" s="2">
        <v>6</v>
      </c>
      <c r="F218" s="2">
        <v>416</v>
      </c>
      <c r="G218" s="2">
        <v>17</v>
      </c>
      <c r="H218" s="2">
        <v>0</v>
      </c>
      <c r="I218" s="2">
        <v>0</v>
      </c>
      <c r="J218" s="2">
        <v>17</v>
      </c>
      <c r="K218" s="267">
        <v>4.0865384615399999E-2</v>
      </c>
    </row>
    <row r="219" spans="1:11" x14ac:dyDescent="0.25">
      <c r="A219" s="2">
        <v>540270</v>
      </c>
      <c r="B219" s="2" t="s">
        <v>313</v>
      </c>
      <c r="C219" s="2" t="s">
        <v>69</v>
      </c>
      <c r="D219" s="2" t="s">
        <v>115</v>
      </c>
      <c r="E219" s="2">
        <v>6</v>
      </c>
      <c r="F219" s="2">
        <v>178</v>
      </c>
      <c r="G219" s="2">
        <v>1</v>
      </c>
      <c r="H219" s="2">
        <v>0</v>
      </c>
      <c r="I219" s="2">
        <v>0</v>
      </c>
      <c r="J219" s="2">
        <v>1</v>
      </c>
      <c r="K219" s="267">
        <v>5.6179775280900002E-3</v>
      </c>
    </row>
    <row r="220" spans="1:11" x14ac:dyDescent="0.25">
      <c r="A220" s="2">
        <v>540284</v>
      </c>
      <c r="B220" s="2" t="s">
        <v>323</v>
      </c>
      <c r="C220" s="2" t="s">
        <v>69</v>
      </c>
      <c r="D220" s="2" t="s">
        <v>115</v>
      </c>
      <c r="E220" s="2">
        <v>6</v>
      </c>
      <c r="F220" s="2">
        <v>247</v>
      </c>
      <c r="G220" s="2">
        <v>18</v>
      </c>
      <c r="H220" s="2">
        <v>0</v>
      </c>
      <c r="I220" s="2">
        <v>0</v>
      </c>
      <c r="J220" s="2">
        <v>18</v>
      </c>
      <c r="K220" s="267">
        <v>7.2874493927100006E-2</v>
      </c>
    </row>
    <row r="221" spans="1:11" x14ac:dyDescent="0.25">
      <c r="A221" s="252"/>
      <c r="B221" s="252"/>
      <c r="C221" s="252" t="s">
        <v>69</v>
      </c>
      <c r="D221" s="252"/>
      <c r="E221" s="252"/>
      <c r="F221" s="252">
        <v>416668</v>
      </c>
      <c r="G221" s="252">
        <v>10232</v>
      </c>
      <c r="H221" s="252">
        <v>80</v>
      </c>
      <c r="I221" s="252">
        <v>0</v>
      </c>
      <c r="J221" s="252">
        <v>10152</v>
      </c>
      <c r="K221" s="411">
        <v>2.4364722032900001E-2</v>
      </c>
    </row>
    <row r="222" spans="1:11" x14ac:dyDescent="0.25">
      <c r="A222" s="2">
        <v>540164</v>
      </c>
      <c r="B222" s="2" t="s">
        <v>70</v>
      </c>
      <c r="C222" s="2" t="s">
        <v>71</v>
      </c>
      <c r="D222" s="2" t="s">
        <v>5</v>
      </c>
      <c r="E222" s="2">
        <v>3</v>
      </c>
      <c r="F222" s="2">
        <v>216488</v>
      </c>
      <c r="G222" s="2">
        <v>8996</v>
      </c>
      <c r="H222" s="2">
        <v>122</v>
      </c>
      <c r="I222" s="2">
        <v>0</v>
      </c>
      <c r="J222" s="2">
        <v>8874</v>
      </c>
      <c r="K222" s="267">
        <v>4.0990724659100003E-2</v>
      </c>
    </row>
    <row r="223" spans="1:11" x14ac:dyDescent="0.25">
      <c r="A223" s="2">
        <v>540081</v>
      </c>
      <c r="B223" s="2" t="s">
        <v>176</v>
      </c>
      <c r="C223" s="2" t="s">
        <v>71</v>
      </c>
      <c r="D223" s="2" t="s">
        <v>115</v>
      </c>
      <c r="E223" s="2">
        <v>3</v>
      </c>
      <c r="F223" s="2">
        <v>633</v>
      </c>
      <c r="G223" s="2">
        <v>27</v>
      </c>
      <c r="H223" s="2">
        <v>0</v>
      </c>
      <c r="I223" s="2">
        <v>0</v>
      </c>
      <c r="J223" s="2">
        <v>27</v>
      </c>
      <c r="K223" s="267">
        <v>4.2654028435999997E-2</v>
      </c>
    </row>
    <row r="224" spans="1:11" x14ac:dyDescent="0.25">
      <c r="A224" s="2">
        <v>540165</v>
      </c>
      <c r="B224" s="2" t="s">
        <v>238</v>
      </c>
      <c r="C224" s="2" t="s">
        <v>71</v>
      </c>
      <c r="D224" s="2" t="s">
        <v>115</v>
      </c>
      <c r="E224" s="2">
        <v>3</v>
      </c>
      <c r="F224" s="2">
        <v>93</v>
      </c>
      <c r="G224" s="2">
        <v>30</v>
      </c>
      <c r="H224" s="2">
        <v>4</v>
      </c>
      <c r="I224" s="2">
        <v>0</v>
      </c>
      <c r="J224" s="2">
        <v>26</v>
      </c>
      <c r="K224" s="267">
        <v>0.27956989247300001</v>
      </c>
    </row>
    <row r="225" spans="1:11" x14ac:dyDescent="0.25">
      <c r="A225" s="2">
        <v>540166</v>
      </c>
      <c r="B225" s="2" t="s">
        <v>239</v>
      </c>
      <c r="C225" s="2" t="s">
        <v>71</v>
      </c>
      <c r="D225" s="2" t="s">
        <v>115</v>
      </c>
      <c r="E225" s="2">
        <v>3</v>
      </c>
      <c r="F225" s="2">
        <v>1054</v>
      </c>
      <c r="G225" s="2">
        <v>307</v>
      </c>
      <c r="H225" s="2">
        <v>0</v>
      </c>
      <c r="I225" s="2">
        <v>0</v>
      </c>
      <c r="J225" s="2">
        <v>307</v>
      </c>
      <c r="K225" s="267">
        <v>0.291271347249</v>
      </c>
    </row>
    <row r="226" spans="1:11" x14ac:dyDescent="0.25">
      <c r="A226" s="2">
        <v>540167</v>
      </c>
      <c r="B226" s="2" t="s">
        <v>240</v>
      </c>
      <c r="C226" s="2" t="s">
        <v>71</v>
      </c>
      <c r="D226" s="2" t="s">
        <v>115</v>
      </c>
      <c r="E226" s="2">
        <v>3</v>
      </c>
      <c r="F226" s="2">
        <v>2415</v>
      </c>
      <c r="G226" s="2">
        <v>46</v>
      </c>
      <c r="H226" s="2">
        <v>0</v>
      </c>
      <c r="I226" s="2">
        <v>0</v>
      </c>
      <c r="J226" s="2">
        <v>46</v>
      </c>
      <c r="K226" s="267">
        <v>1.9047619047599999E-2</v>
      </c>
    </row>
    <row r="227" spans="1:11" x14ac:dyDescent="0.25">
      <c r="A227" s="2">
        <v>540168</v>
      </c>
      <c r="B227" s="2" t="s">
        <v>241</v>
      </c>
      <c r="C227" s="2" t="s">
        <v>71</v>
      </c>
      <c r="D227" s="2" t="s">
        <v>115</v>
      </c>
      <c r="E227" s="2">
        <v>3</v>
      </c>
      <c r="F227" s="2">
        <v>482</v>
      </c>
      <c r="G227" s="2">
        <v>86</v>
      </c>
      <c r="H227" s="2">
        <v>5</v>
      </c>
      <c r="I227" s="2">
        <v>0</v>
      </c>
      <c r="J227" s="2">
        <v>81</v>
      </c>
      <c r="K227" s="267">
        <v>0.168049792531</v>
      </c>
    </row>
    <row r="228" spans="1:11" x14ac:dyDescent="0.25">
      <c r="A228" s="2">
        <v>540222</v>
      </c>
      <c r="B228" s="2" t="s">
        <v>276</v>
      </c>
      <c r="C228" s="2" t="s">
        <v>71</v>
      </c>
      <c r="D228" s="2" t="s">
        <v>115</v>
      </c>
      <c r="E228" s="2">
        <v>3</v>
      </c>
      <c r="F228" s="2">
        <v>1361</v>
      </c>
      <c r="G228" s="2">
        <v>320</v>
      </c>
      <c r="H228" s="2">
        <v>1</v>
      </c>
      <c r="I228" s="2">
        <v>0</v>
      </c>
      <c r="J228" s="2">
        <v>319</v>
      </c>
      <c r="K228" s="267">
        <v>0.23438648052899999</v>
      </c>
    </row>
    <row r="229" spans="1:11" x14ac:dyDescent="0.25">
      <c r="A229" s="2">
        <v>540271</v>
      </c>
      <c r="B229" s="2" t="s">
        <v>314</v>
      </c>
      <c r="C229" s="2" t="s">
        <v>71</v>
      </c>
      <c r="D229" s="2" t="s">
        <v>115</v>
      </c>
      <c r="E229" s="2">
        <v>3</v>
      </c>
      <c r="F229" s="2">
        <v>1554</v>
      </c>
      <c r="G229" s="2">
        <v>93</v>
      </c>
      <c r="H229" s="2">
        <v>5</v>
      </c>
      <c r="I229" s="2">
        <v>0</v>
      </c>
      <c r="J229" s="2">
        <v>88</v>
      </c>
      <c r="K229" s="267">
        <v>5.6628056628099999E-2</v>
      </c>
    </row>
    <row r="230" spans="1:11" x14ac:dyDescent="0.25">
      <c r="A230" s="252"/>
      <c r="B230" s="252"/>
      <c r="C230" s="252" t="s">
        <v>71</v>
      </c>
      <c r="D230" s="252"/>
      <c r="E230" s="252"/>
      <c r="F230" s="252">
        <v>224080</v>
      </c>
      <c r="G230" s="252">
        <v>9905</v>
      </c>
      <c r="H230" s="252">
        <v>137</v>
      </c>
      <c r="I230" s="252">
        <v>0</v>
      </c>
      <c r="J230" s="252">
        <v>9768</v>
      </c>
      <c r="K230" s="411">
        <v>4.3591574437700002E-2</v>
      </c>
    </row>
    <row r="231" spans="1:11" x14ac:dyDescent="0.25">
      <c r="A231" s="2">
        <v>540169</v>
      </c>
      <c r="B231" s="2" t="s">
        <v>72</v>
      </c>
      <c r="C231" s="2" t="s">
        <v>73</v>
      </c>
      <c r="D231" s="2" t="s">
        <v>5</v>
      </c>
      <c r="E231" s="2">
        <v>1</v>
      </c>
      <c r="F231" s="2">
        <v>381875</v>
      </c>
      <c r="G231" s="2">
        <v>9703</v>
      </c>
      <c r="H231" s="2">
        <v>592</v>
      </c>
      <c r="I231" s="2">
        <v>500</v>
      </c>
      <c r="J231" s="2">
        <v>8611</v>
      </c>
      <c r="K231" s="267">
        <v>2.25492635025E-2</v>
      </c>
    </row>
    <row r="232" spans="1:11" x14ac:dyDescent="0.25">
      <c r="A232" s="2">
        <v>540170</v>
      </c>
      <c r="B232" s="2" t="s">
        <v>242</v>
      </c>
      <c r="C232" s="2" t="s">
        <v>73</v>
      </c>
      <c r="D232" s="2" t="s">
        <v>115</v>
      </c>
      <c r="E232" s="2">
        <v>1</v>
      </c>
      <c r="F232" s="2">
        <v>6083</v>
      </c>
      <c r="G232" s="2">
        <v>76</v>
      </c>
      <c r="H232" s="2">
        <v>0</v>
      </c>
      <c r="I232" s="2">
        <v>0</v>
      </c>
      <c r="J232" s="2">
        <v>76</v>
      </c>
      <c r="K232" s="267">
        <v>1.2493835278600001E-2</v>
      </c>
    </row>
    <row r="233" spans="1:11" x14ac:dyDescent="0.25">
      <c r="A233" s="2">
        <v>540171</v>
      </c>
      <c r="B233" s="2" t="s">
        <v>243</v>
      </c>
      <c r="C233" s="2" t="s">
        <v>73</v>
      </c>
      <c r="D233" s="2" t="s">
        <v>115</v>
      </c>
      <c r="E233" s="2">
        <v>1</v>
      </c>
      <c r="F233" s="2">
        <v>321</v>
      </c>
      <c r="G233" s="2">
        <v>45</v>
      </c>
      <c r="H233" s="2">
        <v>0</v>
      </c>
      <c r="I233" s="2">
        <v>0</v>
      </c>
      <c r="J233" s="2">
        <v>45</v>
      </c>
      <c r="K233" s="267">
        <v>0.140186915888</v>
      </c>
    </row>
    <row r="234" spans="1:11" x14ac:dyDescent="0.25">
      <c r="A234" s="2">
        <v>540173</v>
      </c>
      <c r="B234" s="2" t="s">
        <v>245</v>
      </c>
      <c r="C234" s="2" t="s">
        <v>73</v>
      </c>
      <c r="D234" s="2" t="s">
        <v>115</v>
      </c>
      <c r="E234" s="2">
        <v>1</v>
      </c>
      <c r="F234" s="2">
        <v>201</v>
      </c>
      <c r="G234" s="2">
        <v>60</v>
      </c>
      <c r="H234" s="2">
        <v>0</v>
      </c>
      <c r="I234" s="2">
        <v>0</v>
      </c>
      <c r="J234" s="2">
        <v>60</v>
      </c>
      <c r="K234" s="267">
        <v>0.29850746268700001</v>
      </c>
    </row>
    <row r="235" spans="1:11" x14ac:dyDescent="0.25">
      <c r="A235" s="2">
        <v>540174</v>
      </c>
      <c r="B235" s="2" t="s">
        <v>246</v>
      </c>
      <c r="C235" s="2" t="s">
        <v>73</v>
      </c>
      <c r="D235" s="2" t="s">
        <v>115</v>
      </c>
      <c r="E235" s="2">
        <v>1</v>
      </c>
      <c r="F235" s="2">
        <v>447</v>
      </c>
      <c r="G235" s="2">
        <v>10</v>
      </c>
      <c r="H235" s="2">
        <v>0</v>
      </c>
      <c r="I235" s="2">
        <v>0</v>
      </c>
      <c r="J235" s="2">
        <v>10</v>
      </c>
      <c r="K235" s="267">
        <v>2.2371364653199999E-2</v>
      </c>
    </row>
    <row r="236" spans="1:11" x14ac:dyDescent="0.25">
      <c r="A236" s="2">
        <v>540286</v>
      </c>
      <c r="B236" s="2" t="s">
        <v>325</v>
      </c>
      <c r="C236" s="2" t="s">
        <v>73</v>
      </c>
      <c r="D236" s="2" t="s">
        <v>115</v>
      </c>
      <c r="E236" s="2">
        <v>1</v>
      </c>
      <c r="F236" s="2">
        <v>553</v>
      </c>
      <c r="G236" s="2">
        <v>49</v>
      </c>
      <c r="H236" s="2">
        <v>0</v>
      </c>
      <c r="I236" s="2">
        <v>0</v>
      </c>
      <c r="J236" s="2">
        <v>49</v>
      </c>
      <c r="K236" s="267">
        <v>8.8607594936699993E-2</v>
      </c>
    </row>
    <row r="237" spans="1:11" x14ac:dyDescent="0.25">
      <c r="A237" s="252"/>
      <c r="B237" s="252"/>
      <c r="C237" s="252" t="s">
        <v>73</v>
      </c>
      <c r="D237" s="252"/>
      <c r="E237" s="252"/>
      <c r="F237" s="252">
        <v>389480</v>
      </c>
      <c r="G237" s="252">
        <v>9943</v>
      </c>
      <c r="H237" s="252">
        <v>592</v>
      </c>
      <c r="I237" s="252">
        <v>500</v>
      </c>
      <c r="J237" s="252">
        <v>8851</v>
      </c>
      <c r="K237" s="411">
        <v>2.2725172024200001E-2</v>
      </c>
    </row>
    <row r="238" spans="1:11" x14ac:dyDescent="0.25">
      <c r="A238" s="2">
        <v>540183</v>
      </c>
      <c r="B238" s="2" t="s">
        <v>76</v>
      </c>
      <c r="C238" s="2" t="s">
        <v>77</v>
      </c>
      <c r="D238" s="2" t="s">
        <v>5</v>
      </c>
      <c r="E238" s="2">
        <v>5</v>
      </c>
      <c r="F238" s="2">
        <v>308455</v>
      </c>
      <c r="G238" s="2">
        <v>6894</v>
      </c>
      <c r="H238" s="2">
        <v>0</v>
      </c>
      <c r="I238" s="2">
        <v>0</v>
      </c>
      <c r="J238" s="2">
        <v>6894</v>
      </c>
      <c r="K238" s="267">
        <v>2.2350099690399999E-2</v>
      </c>
    </row>
    <row r="239" spans="1:11" x14ac:dyDescent="0.25">
      <c r="A239" s="2">
        <v>540184</v>
      </c>
      <c r="B239" s="2" t="s">
        <v>253</v>
      </c>
      <c r="C239" s="2" t="s">
        <v>77</v>
      </c>
      <c r="D239" s="2" t="s">
        <v>115</v>
      </c>
      <c r="E239" s="2">
        <v>5</v>
      </c>
      <c r="F239" s="2">
        <v>125</v>
      </c>
      <c r="G239" s="2">
        <v>60</v>
      </c>
      <c r="H239" s="2">
        <v>0</v>
      </c>
      <c r="I239" s="2">
        <v>0</v>
      </c>
      <c r="J239" s="2">
        <v>60</v>
      </c>
      <c r="K239" s="267">
        <v>0.48</v>
      </c>
    </row>
    <row r="240" spans="1:11" x14ac:dyDescent="0.25">
      <c r="A240" s="2">
        <v>540185</v>
      </c>
      <c r="B240" s="2" t="s">
        <v>254</v>
      </c>
      <c r="C240" s="2" t="s">
        <v>77</v>
      </c>
      <c r="D240" s="2" t="s">
        <v>115</v>
      </c>
      <c r="E240" s="2">
        <v>5</v>
      </c>
      <c r="F240" s="2">
        <v>816</v>
      </c>
      <c r="G240" s="2">
        <v>85</v>
      </c>
      <c r="H240" s="2">
        <v>0</v>
      </c>
      <c r="I240" s="2">
        <v>0</v>
      </c>
      <c r="J240" s="2">
        <v>85</v>
      </c>
      <c r="K240" s="267">
        <v>0.104166666667</v>
      </c>
    </row>
    <row r="241" spans="1:11" x14ac:dyDescent="0.25">
      <c r="A241" s="252"/>
      <c r="B241" s="252"/>
      <c r="C241" s="252" t="s">
        <v>77</v>
      </c>
      <c r="D241" s="252"/>
      <c r="E241" s="252"/>
      <c r="F241" s="252">
        <v>309396</v>
      </c>
      <c r="G241" s="252">
        <v>7039</v>
      </c>
      <c r="H241" s="252">
        <v>0</v>
      </c>
      <c r="I241" s="252">
        <v>0</v>
      </c>
      <c r="J241" s="252">
        <v>7039</v>
      </c>
      <c r="K241" s="411">
        <v>2.2750778937000001E-2</v>
      </c>
    </row>
    <row r="242" spans="1:11" x14ac:dyDescent="0.25">
      <c r="A242" s="2">
        <v>540186</v>
      </c>
      <c r="B242" s="2" t="s">
        <v>78</v>
      </c>
      <c r="C242" s="2" t="s">
        <v>79</v>
      </c>
      <c r="D242" s="2" t="s">
        <v>5</v>
      </c>
      <c r="E242" s="2">
        <v>1</v>
      </c>
      <c r="F242" s="2">
        <v>233224</v>
      </c>
      <c r="G242" s="2">
        <v>2118</v>
      </c>
      <c r="H242" s="2">
        <v>8</v>
      </c>
      <c r="I242" s="2">
        <v>32</v>
      </c>
      <c r="J242" s="2">
        <v>2078</v>
      </c>
      <c r="K242" s="267">
        <v>8.9098892052300004E-3</v>
      </c>
    </row>
    <row r="243" spans="1:11" x14ac:dyDescent="0.25">
      <c r="A243" s="2">
        <v>540187</v>
      </c>
      <c r="B243" s="2" t="s">
        <v>255</v>
      </c>
      <c r="C243" s="2" t="s">
        <v>79</v>
      </c>
      <c r="D243" s="2" t="s">
        <v>115</v>
      </c>
      <c r="E243" s="2">
        <v>1</v>
      </c>
      <c r="F243" s="2">
        <v>1914</v>
      </c>
      <c r="G243" s="2">
        <v>47</v>
      </c>
      <c r="H243" s="2">
        <v>0</v>
      </c>
      <c r="I243" s="2">
        <v>0</v>
      </c>
      <c r="J243" s="2">
        <v>47</v>
      </c>
      <c r="K243" s="267">
        <v>2.4555903866200001E-2</v>
      </c>
    </row>
    <row r="244" spans="1:11" x14ac:dyDescent="0.25">
      <c r="A244" s="252"/>
      <c r="B244" s="252"/>
      <c r="C244" s="252" t="s">
        <v>79</v>
      </c>
      <c r="D244" s="252"/>
      <c r="E244" s="252"/>
      <c r="F244" s="252">
        <v>235138</v>
      </c>
      <c r="G244" s="252">
        <v>2165</v>
      </c>
      <c r="H244" s="252">
        <v>8</v>
      </c>
      <c r="I244" s="252">
        <v>32</v>
      </c>
      <c r="J244" s="252">
        <v>2125</v>
      </c>
      <c r="K244" s="411">
        <v>9.0372462128599992E-3</v>
      </c>
    </row>
    <row r="245" spans="1:11" x14ac:dyDescent="0.25">
      <c r="A245" s="2">
        <v>540188</v>
      </c>
      <c r="B245" s="2" t="s">
        <v>80</v>
      </c>
      <c r="C245" s="2" t="s">
        <v>81</v>
      </c>
      <c r="D245" s="2" t="s">
        <v>5</v>
      </c>
      <c r="E245" s="2">
        <v>6</v>
      </c>
      <c r="F245" s="2">
        <v>109727</v>
      </c>
      <c r="G245" s="2">
        <v>4556</v>
      </c>
      <c r="H245" s="2">
        <v>1473</v>
      </c>
      <c r="I245" s="2">
        <v>0</v>
      </c>
      <c r="J245" s="2">
        <v>3083</v>
      </c>
      <c r="K245" s="267">
        <v>2.8097004383600001E-2</v>
      </c>
    </row>
    <row r="246" spans="1:11" x14ac:dyDescent="0.25">
      <c r="A246" s="2">
        <v>540189</v>
      </c>
      <c r="B246" s="2" t="s">
        <v>256</v>
      </c>
      <c r="C246" s="2" t="s">
        <v>81</v>
      </c>
      <c r="D246" s="2" t="s">
        <v>115</v>
      </c>
      <c r="E246" s="2">
        <v>6</v>
      </c>
      <c r="F246" s="2">
        <v>196</v>
      </c>
      <c r="G246" s="2">
        <v>21</v>
      </c>
      <c r="H246" s="2">
        <v>0</v>
      </c>
      <c r="I246" s="2">
        <v>0</v>
      </c>
      <c r="J246" s="2">
        <v>21</v>
      </c>
      <c r="K246" s="267">
        <v>0.10714285714299999</v>
      </c>
    </row>
    <row r="247" spans="1:11" x14ac:dyDescent="0.25">
      <c r="A247" s="2">
        <v>540190</v>
      </c>
      <c r="B247" s="2" t="s">
        <v>257</v>
      </c>
      <c r="C247" s="2" t="s">
        <v>81</v>
      </c>
      <c r="D247" s="2" t="s">
        <v>115</v>
      </c>
      <c r="E247" s="2">
        <v>6</v>
      </c>
      <c r="F247" s="2">
        <v>2433</v>
      </c>
      <c r="G247" s="2">
        <v>224</v>
      </c>
      <c r="H247" s="2">
        <v>0</v>
      </c>
      <c r="I247" s="2">
        <v>0</v>
      </c>
      <c r="J247" s="2">
        <v>224</v>
      </c>
      <c r="K247" s="267">
        <v>9.2067406493999998E-2</v>
      </c>
    </row>
    <row r="248" spans="1:11" x14ac:dyDescent="0.25">
      <c r="A248" s="252"/>
      <c r="B248" s="252"/>
      <c r="C248" s="252" t="s">
        <v>81</v>
      </c>
      <c r="D248" s="252"/>
      <c r="E248" s="252"/>
      <c r="F248" s="252">
        <v>112356</v>
      </c>
      <c r="G248" s="252">
        <v>4801</v>
      </c>
      <c r="H248" s="252">
        <v>1473</v>
      </c>
      <c r="I248" s="252">
        <v>0</v>
      </c>
      <c r="J248" s="252">
        <v>3328</v>
      </c>
      <c r="K248" s="411">
        <v>2.96201359963E-2</v>
      </c>
    </row>
    <row r="249" spans="1:11" x14ac:dyDescent="0.25">
      <c r="A249" s="2">
        <v>540198</v>
      </c>
      <c r="B249" s="2" t="s">
        <v>82</v>
      </c>
      <c r="C249" s="2" t="s">
        <v>83</v>
      </c>
      <c r="D249" s="2" t="s">
        <v>5</v>
      </c>
      <c r="E249" s="2">
        <v>7</v>
      </c>
      <c r="F249" s="2">
        <v>225085</v>
      </c>
      <c r="G249" s="2">
        <v>6212</v>
      </c>
      <c r="H249" s="2">
        <v>60</v>
      </c>
      <c r="I249" s="2">
        <v>0</v>
      </c>
      <c r="J249" s="2">
        <v>6152</v>
      </c>
      <c r="K249" s="267">
        <v>2.7331896838999999E-2</v>
      </c>
    </row>
    <row r="250" spans="1:11" x14ac:dyDescent="0.25">
      <c r="A250" s="2">
        <v>540199</v>
      </c>
      <c r="B250" s="2" t="s">
        <v>261</v>
      </c>
      <c r="C250" s="2" t="s">
        <v>83</v>
      </c>
      <c r="D250" s="2" t="s">
        <v>115</v>
      </c>
      <c r="E250" s="2">
        <v>7</v>
      </c>
      <c r="F250" s="2">
        <v>1822</v>
      </c>
      <c r="G250" s="2">
        <v>539</v>
      </c>
      <c r="H250" s="2">
        <v>0</v>
      </c>
      <c r="I250" s="2">
        <v>0</v>
      </c>
      <c r="J250" s="2">
        <v>539</v>
      </c>
      <c r="K250" s="267">
        <v>0.29582875960499999</v>
      </c>
    </row>
    <row r="251" spans="1:11" x14ac:dyDescent="0.25">
      <c r="A251" s="252"/>
      <c r="B251" s="252"/>
      <c r="C251" s="252" t="s">
        <v>83</v>
      </c>
      <c r="D251" s="252"/>
      <c r="E251" s="252"/>
      <c r="F251" s="252">
        <v>226907</v>
      </c>
      <c r="G251" s="252">
        <v>6751</v>
      </c>
      <c r="H251" s="252">
        <v>60</v>
      </c>
      <c r="I251" s="252">
        <v>0</v>
      </c>
      <c r="J251" s="252">
        <v>6691</v>
      </c>
      <c r="K251" s="411">
        <v>2.9487851851199998E-2</v>
      </c>
    </row>
    <row r="252" spans="1:11" x14ac:dyDescent="0.25">
      <c r="A252" s="2">
        <v>540200</v>
      </c>
      <c r="B252" s="2" t="s">
        <v>84</v>
      </c>
      <c r="C252" s="2" t="s">
        <v>85</v>
      </c>
      <c r="D252" s="2" t="s">
        <v>5</v>
      </c>
      <c r="E252" s="2">
        <v>2</v>
      </c>
      <c r="F252" s="2">
        <v>323384</v>
      </c>
      <c r="G252" s="2">
        <v>11232</v>
      </c>
      <c r="H252" s="2">
        <v>1851</v>
      </c>
      <c r="I252" s="2">
        <v>0</v>
      </c>
      <c r="J252" s="2">
        <v>9381</v>
      </c>
      <c r="K252" s="267">
        <v>2.9008856344200001E-2</v>
      </c>
    </row>
    <row r="253" spans="1:11" x14ac:dyDescent="0.25">
      <c r="A253" s="2">
        <v>540018</v>
      </c>
      <c r="B253" s="2" t="s">
        <v>127</v>
      </c>
      <c r="C253" s="2" t="s">
        <v>85</v>
      </c>
      <c r="D253" s="2" t="s">
        <v>115</v>
      </c>
      <c r="E253" s="2">
        <v>2</v>
      </c>
      <c r="F253" s="2">
        <v>859</v>
      </c>
      <c r="G253" s="2">
        <v>75</v>
      </c>
      <c r="H253" s="2">
        <v>0</v>
      </c>
      <c r="I253" s="2">
        <v>0</v>
      </c>
      <c r="J253" s="2">
        <v>75</v>
      </c>
      <c r="K253" s="267">
        <v>8.7310826542499997E-2</v>
      </c>
    </row>
    <row r="254" spans="1:11" x14ac:dyDescent="0.25">
      <c r="A254" s="2">
        <v>540202</v>
      </c>
      <c r="B254" s="2" t="s">
        <v>262</v>
      </c>
      <c r="C254" s="2" t="s">
        <v>85</v>
      </c>
      <c r="D254" s="2" t="s">
        <v>115</v>
      </c>
      <c r="E254" s="2">
        <v>2</v>
      </c>
      <c r="F254" s="2">
        <v>567</v>
      </c>
      <c r="G254" s="2">
        <v>91</v>
      </c>
      <c r="H254" s="2">
        <v>0</v>
      </c>
      <c r="I254" s="2">
        <v>0</v>
      </c>
      <c r="J254" s="2">
        <v>91</v>
      </c>
      <c r="K254" s="267">
        <v>0.16049382715999999</v>
      </c>
    </row>
    <row r="255" spans="1:11" x14ac:dyDescent="0.25">
      <c r="A255" s="2">
        <v>540221</v>
      </c>
      <c r="B255" s="2" t="s">
        <v>275</v>
      </c>
      <c r="C255" s="2" t="s">
        <v>85</v>
      </c>
      <c r="D255" s="2" t="s">
        <v>115</v>
      </c>
      <c r="E255" s="2">
        <v>2</v>
      </c>
      <c r="F255" s="2">
        <v>1056</v>
      </c>
      <c r="G255" s="2">
        <v>81</v>
      </c>
      <c r="H255" s="2">
        <v>0</v>
      </c>
      <c r="I255" s="2">
        <v>0</v>
      </c>
      <c r="J255" s="2">
        <v>81</v>
      </c>
      <c r="K255" s="267">
        <v>7.6704545454500006E-2</v>
      </c>
    </row>
    <row r="256" spans="1:11" x14ac:dyDescent="0.25">
      <c r="A256" s="2">
        <v>540231</v>
      </c>
      <c r="B256" s="2" t="s">
        <v>281</v>
      </c>
      <c r="C256" s="2" t="s">
        <v>85</v>
      </c>
      <c r="D256" s="2" t="s">
        <v>115</v>
      </c>
      <c r="E256" s="2">
        <v>2</v>
      </c>
      <c r="F256" s="2">
        <v>533</v>
      </c>
      <c r="G256" s="2">
        <v>83</v>
      </c>
      <c r="H256" s="2">
        <v>0</v>
      </c>
      <c r="I256" s="2">
        <v>0</v>
      </c>
      <c r="J256" s="2">
        <v>83</v>
      </c>
      <c r="K256" s="267">
        <v>0.155722326454</v>
      </c>
    </row>
    <row r="257" spans="1:11" x14ac:dyDescent="0.25">
      <c r="A257" s="2">
        <v>540232</v>
      </c>
      <c r="B257" s="2" t="s">
        <v>282</v>
      </c>
      <c r="C257" s="2" t="s">
        <v>85</v>
      </c>
      <c r="D257" s="2" t="s">
        <v>115</v>
      </c>
      <c r="E257" s="2">
        <v>2</v>
      </c>
      <c r="F257" s="2">
        <v>1388</v>
      </c>
      <c r="G257" s="2">
        <v>175</v>
      </c>
      <c r="H257" s="2">
        <v>0</v>
      </c>
      <c r="I257" s="2">
        <v>0</v>
      </c>
      <c r="J257" s="2">
        <v>175</v>
      </c>
      <c r="K257" s="267">
        <v>0.12608069164300001</v>
      </c>
    </row>
    <row r="258" spans="1:11" x14ac:dyDescent="0.25">
      <c r="A258" s="252"/>
      <c r="B258" s="252"/>
      <c r="C258" s="252" t="s">
        <v>85</v>
      </c>
      <c r="D258" s="252"/>
      <c r="E258" s="252"/>
      <c r="F258" s="252">
        <v>327787</v>
      </c>
      <c r="G258" s="252">
        <v>11737</v>
      </c>
      <c r="H258" s="252">
        <v>1851</v>
      </c>
      <c r="I258" s="252">
        <v>0</v>
      </c>
      <c r="J258" s="252">
        <v>9886</v>
      </c>
      <c r="K258" s="411">
        <v>3.0159829401399999E-2</v>
      </c>
    </row>
    <row r="259" spans="1:11" x14ac:dyDescent="0.25">
      <c r="A259" s="2">
        <v>540203</v>
      </c>
      <c r="B259" s="2" t="s">
        <v>86</v>
      </c>
      <c r="C259" s="2" t="s">
        <v>87</v>
      </c>
      <c r="D259" s="2" t="s">
        <v>5</v>
      </c>
      <c r="E259" s="2">
        <v>4</v>
      </c>
      <c r="F259" s="2">
        <v>354803</v>
      </c>
      <c r="G259" s="2">
        <v>8905</v>
      </c>
      <c r="H259" s="2">
        <v>211</v>
      </c>
      <c r="I259" s="2">
        <v>1935</v>
      </c>
      <c r="J259" s="2">
        <v>6759</v>
      </c>
      <c r="K259" s="267">
        <v>1.9050008032599999E-2</v>
      </c>
    </row>
    <row r="260" spans="1:11" x14ac:dyDescent="0.25">
      <c r="A260" s="2">
        <v>540204</v>
      </c>
      <c r="B260" s="2" t="s">
        <v>263</v>
      </c>
      <c r="C260" s="2" t="s">
        <v>87</v>
      </c>
      <c r="D260" s="2" t="s">
        <v>115</v>
      </c>
      <c r="E260" s="2">
        <v>4</v>
      </c>
      <c r="F260" s="2">
        <v>303</v>
      </c>
      <c r="G260" s="2">
        <v>43</v>
      </c>
      <c r="H260" s="2">
        <v>0</v>
      </c>
      <c r="I260" s="2">
        <v>0</v>
      </c>
      <c r="J260" s="2">
        <v>43</v>
      </c>
      <c r="K260" s="267">
        <v>0.141914191419</v>
      </c>
    </row>
    <row r="261" spans="1:11" x14ac:dyDescent="0.25">
      <c r="A261" s="2">
        <v>540205</v>
      </c>
      <c r="B261" s="2" t="s">
        <v>264</v>
      </c>
      <c r="C261" s="2" t="s">
        <v>87</v>
      </c>
      <c r="D261" s="2" t="s">
        <v>115</v>
      </c>
      <c r="E261" s="2">
        <v>4</v>
      </c>
      <c r="F261" s="2">
        <v>214</v>
      </c>
      <c r="G261" s="2">
        <v>18</v>
      </c>
      <c r="H261" s="2">
        <v>0</v>
      </c>
      <c r="I261" s="2">
        <v>0</v>
      </c>
      <c r="J261" s="2">
        <v>18</v>
      </c>
      <c r="K261" s="267">
        <v>8.4112149532700006E-2</v>
      </c>
    </row>
    <row r="262" spans="1:11" x14ac:dyDescent="0.25">
      <c r="A262" s="2">
        <v>540206</v>
      </c>
      <c r="B262" s="2" t="s">
        <v>265</v>
      </c>
      <c r="C262" s="2" t="s">
        <v>87</v>
      </c>
      <c r="D262" s="2" t="s">
        <v>115</v>
      </c>
      <c r="E262" s="2">
        <v>4</v>
      </c>
      <c r="F262" s="2">
        <v>403</v>
      </c>
      <c r="G262" s="2">
        <v>56</v>
      </c>
      <c r="H262" s="2">
        <v>0</v>
      </c>
      <c r="I262" s="2">
        <v>0</v>
      </c>
      <c r="J262" s="2">
        <v>56</v>
      </c>
      <c r="K262" s="267">
        <v>0.138957816377</v>
      </c>
    </row>
    <row r="263" spans="1:11" x14ac:dyDescent="0.25">
      <c r="A263" s="252"/>
      <c r="B263" s="252"/>
      <c r="C263" s="252" t="s">
        <v>87</v>
      </c>
      <c r="D263" s="252"/>
      <c r="E263" s="252"/>
      <c r="F263" s="252">
        <v>355723</v>
      </c>
      <c r="G263" s="252">
        <v>9022</v>
      </c>
      <c r="H263" s="252">
        <v>211</v>
      </c>
      <c r="I263" s="252">
        <v>1935</v>
      </c>
      <c r="J263" s="252">
        <v>6876</v>
      </c>
      <c r="K263" s="411">
        <v>1.9329646944400002E-2</v>
      </c>
    </row>
    <row r="264" spans="1:11" x14ac:dyDescent="0.25">
      <c r="A264" s="2">
        <v>540207</v>
      </c>
      <c r="B264" s="2" t="s">
        <v>88</v>
      </c>
      <c r="C264" s="2" t="s">
        <v>89</v>
      </c>
      <c r="D264" s="2" t="s">
        <v>5</v>
      </c>
      <c r="E264" s="2">
        <v>10</v>
      </c>
      <c r="F264" s="2">
        <v>228227</v>
      </c>
      <c r="G264" s="2">
        <v>6331</v>
      </c>
      <c r="H264" s="2">
        <v>34</v>
      </c>
      <c r="I264" s="2">
        <v>0</v>
      </c>
      <c r="J264" s="2">
        <v>6297</v>
      </c>
      <c r="K264" s="267">
        <v>2.7590951114499999E-2</v>
      </c>
    </row>
    <row r="265" spans="1:11" x14ac:dyDescent="0.25">
      <c r="A265" s="2">
        <v>540196</v>
      </c>
      <c r="B265" s="2" t="s">
        <v>259</v>
      </c>
      <c r="C265" s="2" t="s">
        <v>89</v>
      </c>
      <c r="D265" s="2" t="s">
        <v>115</v>
      </c>
      <c r="E265" s="2">
        <v>5</v>
      </c>
      <c r="F265" s="2">
        <v>332</v>
      </c>
      <c r="G265" s="2">
        <v>35</v>
      </c>
      <c r="H265" s="2">
        <v>0</v>
      </c>
      <c r="I265" s="2">
        <v>0</v>
      </c>
      <c r="J265" s="2">
        <v>35</v>
      </c>
      <c r="K265" s="267">
        <v>0.105421686747</v>
      </c>
    </row>
    <row r="266" spans="1:11" x14ac:dyDescent="0.25">
      <c r="A266" s="2">
        <v>540208</v>
      </c>
      <c r="B266" s="2" t="s">
        <v>266</v>
      </c>
      <c r="C266" s="2" t="s">
        <v>89</v>
      </c>
      <c r="D266" s="2" t="s">
        <v>115</v>
      </c>
      <c r="E266" s="2">
        <v>10</v>
      </c>
      <c r="F266" s="2">
        <v>1735</v>
      </c>
      <c r="G266" s="2">
        <v>519</v>
      </c>
      <c r="H266" s="2">
        <v>0</v>
      </c>
      <c r="I266" s="2">
        <v>0</v>
      </c>
      <c r="J266" s="2">
        <v>519</v>
      </c>
      <c r="K266" s="267">
        <v>0.29913544668600001</v>
      </c>
    </row>
    <row r="267" spans="1:11" x14ac:dyDescent="0.25">
      <c r="A267" s="2">
        <v>540210</v>
      </c>
      <c r="B267" s="2" t="s">
        <v>267</v>
      </c>
      <c r="C267" s="2" t="s">
        <v>89</v>
      </c>
      <c r="D267" s="2" t="s">
        <v>115</v>
      </c>
      <c r="E267" s="2">
        <v>10</v>
      </c>
      <c r="F267" s="2">
        <v>243</v>
      </c>
      <c r="G267" s="2">
        <v>103</v>
      </c>
      <c r="H267" s="2">
        <v>0</v>
      </c>
      <c r="I267" s="2">
        <v>0</v>
      </c>
      <c r="J267" s="2">
        <v>103</v>
      </c>
      <c r="K267" s="267">
        <v>0.42386831275699999</v>
      </c>
    </row>
    <row r="268" spans="1:11" x14ac:dyDescent="0.25">
      <c r="A268" s="2">
        <v>540256</v>
      </c>
      <c r="B268" s="2" t="s">
        <v>301</v>
      </c>
      <c r="C268" s="2" t="s">
        <v>89</v>
      </c>
      <c r="D268" s="2" t="s">
        <v>115</v>
      </c>
      <c r="E268" s="2">
        <v>10</v>
      </c>
      <c r="F268" s="2">
        <v>322</v>
      </c>
      <c r="G268" s="2">
        <v>53</v>
      </c>
      <c r="H268" s="2">
        <v>0</v>
      </c>
      <c r="I268" s="2">
        <v>0</v>
      </c>
      <c r="J268" s="2">
        <v>53</v>
      </c>
      <c r="K268" s="267">
        <v>0.16459627329199999</v>
      </c>
    </row>
    <row r="269" spans="1:11" x14ac:dyDescent="0.25">
      <c r="A269" s="2">
        <v>540258</v>
      </c>
      <c r="B269" s="2" t="s">
        <v>303</v>
      </c>
      <c r="C269" s="2" t="s">
        <v>89</v>
      </c>
      <c r="D269" s="2" t="s">
        <v>115</v>
      </c>
      <c r="E269" s="2">
        <v>10</v>
      </c>
      <c r="F269" s="2">
        <v>191</v>
      </c>
      <c r="G269" s="2">
        <v>36</v>
      </c>
      <c r="H269" s="2">
        <v>0</v>
      </c>
      <c r="I269" s="2">
        <v>0</v>
      </c>
      <c r="J269" s="2">
        <v>36</v>
      </c>
      <c r="K269" s="267">
        <v>0.18848167539300001</v>
      </c>
    </row>
    <row r="270" spans="1:11" x14ac:dyDescent="0.25">
      <c r="A270" s="252"/>
      <c r="B270" s="252"/>
      <c r="C270" s="252" t="s">
        <v>89</v>
      </c>
      <c r="D270" s="252"/>
      <c r="E270" s="252"/>
      <c r="F270" s="252">
        <v>231050</v>
      </c>
      <c r="G270" s="252">
        <v>7077</v>
      </c>
      <c r="H270" s="252">
        <v>34</v>
      </c>
      <c r="I270" s="252">
        <v>0</v>
      </c>
      <c r="J270" s="252">
        <v>7043</v>
      </c>
      <c r="K270" s="411">
        <v>3.04825795282E-2</v>
      </c>
    </row>
    <row r="271" spans="1:11" x14ac:dyDescent="0.25">
      <c r="A271" s="2">
        <v>540211</v>
      </c>
      <c r="B271" s="2" t="s">
        <v>90</v>
      </c>
      <c r="C271" s="2" t="s">
        <v>91</v>
      </c>
      <c r="D271" s="2" t="s">
        <v>5</v>
      </c>
      <c r="E271" s="2">
        <v>5</v>
      </c>
      <c r="F271" s="2">
        <v>149950</v>
      </c>
      <c r="G271" s="2">
        <v>8144</v>
      </c>
      <c r="H271" s="2">
        <v>0</v>
      </c>
      <c r="I271" s="2">
        <v>0</v>
      </c>
      <c r="J271" s="2">
        <v>8144</v>
      </c>
      <c r="K271" s="267">
        <v>5.4311437145699998E-2</v>
      </c>
    </row>
    <row r="272" spans="1:11" x14ac:dyDescent="0.25">
      <c r="A272" s="2">
        <v>540212</v>
      </c>
      <c r="B272" s="2" t="s">
        <v>268</v>
      </c>
      <c r="C272" s="2" t="s">
        <v>91</v>
      </c>
      <c r="D272" s="2" t="s">
        <v>115</v>
      </c>
      <c r="E272" s="2">
        <v>5</v>
      </c>
      <c r="F272" s="2">
        <v>343</v>
      </c>
      <c r="G272" s="2">
        <v>147</v>
      </c>
      <c r="H272" s="2">
        <v>0</v>
      </c>
      <c r="I272" s="2">
        <v>0</v>
      </c>
      <c r="J272" s="2">
        <v>147</v>
      </c>
      <c r="K272" s="267">
        <v>0.428571428571</v>
      </c>
    </row>
    <row r="273" spans="1:11" x14ac:dyDescent="0.25">
      <c r="A273" s="252"/>
      <c r="B273" s="252"/>
      <c r="C273" s="252" t="s">
        <v>91</v>
      </c>
      <c r="D273" s="252"/>
      <c r="E273" s="252"/>
      <c r="F273" s="252">
        <v>150293</v>
      </c>
      <c r="G273" s="252">
        <v>8291</v>
      </c>
      <c r="H273" s="252">
        <v>0</v>
      </c>
      <c r="I273" s="252">
        <v>0</v>
      </c>
      <c r="J273" s="252">
        <v>8291</v>
      </c>
      <c r="K273" s="411">
        <v>5.5165576573800001E-2</v>
      </c>
    </row>
    <row r="274" spans="1:11" x14ac:dyDescent="0.25">
      <c r="A274" s="2">
        <v>540213</v>
      </c>
      <c r="B274" s="2" t="s">
        <v>92</v>
      </c>
      <c r="C274" s="2" t="s">
        <v>93</v>
      </c>
      <c r="D274" s="2" t="s">
        <v>5</v>
      </c>
      <c r="E274" s="2">
        <v>5</v>
      </c>
      <c r="F274" s="2">
        <v>229238</v>
      </c>
      <c r="G274" s="2">
        <v>14462</v>
      </c>
      <c r="H274" s="2">
        <v>66</v>
      </c>
      <c r="I274" s="2">
        <v>8</v>
      </c>
      <c r="J274" s="2">
        <v>14388</v>
      </c>
      <c r="K274" s="267">
        <v>6.2764463134399998E-2</v>
      </c>
    </row>
    <row r="275" spans="1:11" x14ac:dyDescent="0.25">
      <c r="A275" s="2">
        <v>540042</v>
      </c>
      <c r="B275" s="2" t="s">
        <v>143</v>
      </c>
      <c r="C275" s="2" t="s">
        <v>93</v>
      </c>
      <c r="D275" s="2" t="s">
        <v>115</v>
      </c>
      <c r="E275" s="2">
        <v>5</v>
      </c>
      <c r="F275" s="2">
        <v>353</v>
      </c>
      <c r="G275" s="2">
        <v>15</v>
      </c>
      <c r="H275" s="2">
        <v>0</v>
      </c>
      <c r="I275" s="2">
        <v>0</v>
      </c>
      <c r="J275" s="2">
        <v>15</v>
      </c>
      <c r="K275" s="267">
        <v>4.2492917847000003E-2</v>
      </c>
    </row>
    <row r="276" spans="1:11" x14ac:dyDescent="0.25">
      <c r="A276" s="2">
        <v>540214</v>
      </c>
      <c r="B276" s="2" t="s">
        <v>269</v>
      </c>
      <c r="C276" s="2" t="s">
        <v>93</v>
      </c>
      <c r="D276" s="2" t="s">
        <v>115</v>
      </c>
      <c r="E276" s="2">
        <v>5</v>
      </c>
      <c r="F276" s="2">
        <v>7879</v>
      </c>
      <c r="G276" s="2">
        <v>941</v>
      </c>
      <c r="H276" s="2">
        <v>2</v>
      </c>
      <c r="I276" s="2">
        <v>0</v>
      </c>
      <c r="J276" s="2">
        <v>939</v>
      </c>
      <c r="K276" s="267">
        <v>0.119177560604</v>
      </c>
    </row>
    <row r="277" spans="1:11" x14ac:dyDescent="0.25">
      <c r="A277" s="2">
        <v>540215</v>
      </c>
      <c r="B277" s="2" t="s">
        <v>270</v>
      </c>
      <c r="C277" s="2" t="s">
        <v>93</v>
      </c>
      <c r="D277" s="2" t="s">
        <v>115</v>
      </c>
      <c r="E277" s="2">
        <v>5</v>
      </c>
      <c r="F277" s="2">
        <v>2525</v>
      </c>
      <c r="G277" s="2">
        <v>224</v>
      </c>
      <c r="H277" s="2">
        <v>0</v>
      </c>
      <c r="I277" s="2">
        <v>0</v>
      </c>
      <c r="J277" s="2">
        <v>224</v>
      </c>
      <c r="K277" s="267">
        <v>8.8712871287099995E-2</v>
      </c>
    </row>
    <row r="278" spans="1:11" x14ac:dyDescent="0.25">
      <c r="A278" s="2">
        <v>540216</v>
      </c>
      <c r="B278" s="2" t="s">
        <v>271</v>
      </c>
      <c r="C278" s="2" t="s">
        <v>93</v>
      </c>
      <c r="D278" s="2" t="s">
        <v>115</v>
      </c>
      <c r="E278" s="2">
        <v>5</v>
      </c>
      <c r="F278" s="2">
        <v>1055</v>
      </c>
      <c r="G278" s="2">
        <v>146</v>
      </c>
      <c r="H278" s="2">
        <v>0</v>
      </c>
      <c r="I278" s="2">
        <v>0</v>
      </c>
      <c r="J278" s="2">
        <v>146</v>
      </c>
      <c r="K278" s="267">
        <v>0.13838862559199999</v>
      </c>
    </row>
    <row r="279" spans="1:11" x14ac:dyDescent="0.25">
      <c r="A279" s="252"/>
      <c r="B279" s="252"/>
      <c r="C279" s="252" t="s">
        <v>93</v>
      </c>
      <c r="D279" s="252"/>
      <c r="E279" s="252"/>
      <c r="F279" s="252">
        <v>241050</v>
      </c>
      <c r="G279" s="252">
        <v>15788</v>
      </c>
      <c r="H279" s="252">
        <v>68</v>
      </c>
      <c r="I279" s="252">
        <v>8</v>
      </c>
      <c r="J279" s="252">
        <v>15712</v>
      </c>
      <c r="K279" s="411">
        <v>6.5181497614600001E-2</v>
      </c>
    </row>
    <row r="280" spans="1:11" x14ac:dyDescent="0.25">
      <c r="A280" s="2">
        <v>540224</v>
      </c>
      <c r="B280" s="2" t="s">
        <v>96</v>
      </c>
      <c r="C280" s="2" t="s">
        <v>97</v>
      </c>
      <c r="D280" s="2" t="s">
        <v>5</v>
      </c>
      <c r="E280" s="2">
        <v>5</v>
      </c>
      <c r="F280" s="2">
        <v>286084</v>
      </c>
      <c r="G280" s="2">
        <v>7943</v>
      </c>
      <c r="H280" s="2">
        <v>0</v>
      </c>
      <c r="I280" s="2">
        <v>0</v>
      </c>
      <c r="J280" s="2">
        <v>7943</v>
      </c>
      <c r="K280" s="267">
        <v>2.7764572643000002E-2</v>
      </c>
    </row>
    <row r="281" spans="1:11" x14ac:dyDescent="0.25">
      <c r="A281" s="2">
        <v>540132</v>
      </c>
      <c r="B281" s="2" t="s">
        <v>216</v>
      </c>
      <c r="C281" s="2" t="s">
        <v>97</v>
      </c>
      <c r="D281" s="2" t="s">
        <v>115</v>
      </c>
      <c r="E281" s="2">
        <v>5</v>
      </c>
      <c r="F281" s="2">
        <v>1020</v>
      </c>
      <c r="G281" s="2">
        <v>21</v>
      </c>
      <c r="H281" s="2">
        <v>0</v>
      </c>
      <c r="I281" s="2">
        <v>0</v>
      </c>
      <c r="J281" s="2">
        <v>21</v>
      </c>
      <c r="K281" s="267">
        <v>2.0588235294100001E-2</v>
      </c>
    </row>
    <row r="282" spans="1:11" x14ac:dyDescent="0.25">
      <c r="A282" s="2">
        <v>540179</v>
      </c>
      <c r="B282" s="2" t="s">
        <v>250</v>
      </c>
      <c r="C282" s="2" t="s">
        <v>97</v>
      </c>
      <c r="D282" s="2" t="s">
        <v>115</v>
      </c>
      <c r="E282" s="2">
        <v>5</v>
      </c>
      <c r="F282" s="2">
        <v>312</v>
      </c>
      <c r="G282" s="2">
        <v>38</v>
      </c>
      <c r="H282" s="2">
        <v>0</v>
      </c>
      <c r="I282" s="2">
        <v>0</v>
      </c>
      <c r="J282" s="2">
        <v>38</v>
      </c>
      <c r="K282" s="267">
        <v>0.121794871795</v>
      </c>
    </row>
    <row r="283" spans="1:11" x14ac:dyDescent="0.25">
      <c r="A283" s="2">
        <v>540180</v>
      </c>
      <c r="B283" s="2" t="s">
        <v>251</v>
      </c>
      <c r="C283" s="2" t="s">
        <v>97</v>
      </c>
      <c r="D283" s="2" t="s">
        <v>115</v>
      </c>
      <c r="E283" s="2">
        <v>5</v>
      </c>
      <c r="F283" s="2">
        <v>720</v>
      </c>
      <c r="G283" s="2">
        <v>33</v>
      </c>
      <c r="H283" s="2">
        <v>0</v>
      </c>
      <c r="I283" s="2">
        <v>0</v>
      </c>
      <c r="J283" s="2">
        <v>33</v>
      </c>
      <c r="K283" s="267">
        <v>4.5833333333300003E-2</v>
      </c>
    </row>
    <row r="284" spans="1:11" x14ac:dyDescent="0.25">
      <c r="A284" s="2">
        <v>540182</v>
      </c>
      <c r="B284" s="2" t="s">
        <v>252</v>
      </c>
      <c r="C284" s="2" t="s">
        <v>97</v>
      </c>
      <c r="D284" s="2" t="s">
        <v>115</v>
      </c>
      <c r="E284" s="2">
        <v>5</v>
      </c>
      <c r="F284" s="2">
        <v>1742</v>
      </c>
      <c r="G284" s="2">
        <v>52</v>
      </c>
      <c r="H284" s="2">
        <v>0</v>
      </c>
      <c r="I284" s="2">
        <v>0</v>
      </c>
      <c r="J284" s="2">
        <v>52</v>
      </c>
      <c r="K284" s="267">
        <v>2.9850746268700001E-2</v>
      </c>
    </row>
    <row r="285" spans="1:11" x14ac:dyDescent="0.25">
      <c r="A285" s="2">
        <v>540262</v>
      </c>
      <c r="B285" s="2" t="s">
        <v>305</v>
      </c>
      <c r="C285" s="2" t="s">
        <v>97</v>
      </c>
      <c r="D285" s="2" t="s">
        <v>115</v>
      </c>
      <c r="E285" s="2">
        <v>5</v>
      </c>
      <c r="F285" s="2">
        <v>215</v>
      </c>
      <c r="G285" s="2">
        <v>22</v>
      </c>
      <c r="H285" s="2">
        <v>0</v>
      </c>
      <c r="I285" s="2">
        <v>0</v>
      </c>
      <c r="J285" s="2">
        <v>22</v>
      </c>
      <c r="K285" s="267">
        <v>0.102325581395</v>
      </c>
    </row>
    <row r="286" spans="1:11" x14ac:dyDescent="0.25">
      <c r="A286" s="2">
        <v>540263</v>
      </c>
      <c r="B286" s="2" t="s">
        <v>306</v>
      </c>
      <c r="C286" s="2" t="s">
        <v>97</v>
      </c>
      <c r="D286" s="2" t="s">
        <v>115</v>
      </c>
      <c r="E286" s="2">
        <v>5</v>
      </c>
      <c r="F286" s="2">
        <v>156</v>
      </c>
      <c r="G286" s="2">
        <v>16</v>
      </c>
      <c r="H286" s="2">
        <v>0</v>
      </c>
      <c r="I286" s="2">
        <v>0</v>
      </c>
      <c r="J286" s="2">
        <v>16</v>
      </c>
      <c r="K286" s="267">
        <v>0.102564102564</v>
      </c>
    </row>
    <row r="287" spans="1:11" x14ac:dyDescent="0.25">
      <c r="A287" s="252"/>
      <c r="B287" s="252"/>
      <c r="C287" s="252" t="s">
        <v>97</v>
      </c>
      <c r="D287" s="252"/>
      <c r="E287" s="252"/>
      <c r="F287" s="252">
        <v>290249</v>
      </c>
      <c r="G287" s="252">
        <v>8125</v>
      </c>
      <c r="H287" s="252">
        <v>0</v>
      </c>
      <c r="I287" s="252">
        <v>0</v>
      </c>
      <c r="J287" s="252">
        <v>8125</v>
      </c>
      <c r="K287" s="411">
        <v>2.7993205833600002E-2</v>
      </c>
    </row>
    <row r="288" spans="1:11" x14ac:dyDescent="0.25">
      <c r="A288" s="2">
        <v>540225</v>
      </c>
      <c r="B288" s="2" t="s">
        <v>98</v>
      </c>
      <c r="C288" s="2" t="s">
        <v>99</v>
      </c>
      <c r="D288" s="2" t="s">
        <v>5</v>
      </c>
      <c r="E288" s="2">
        <v>5</v>
      </c>
      <c r="F288" s="2">
        <v>85133</v>
      </c>
      <c r="G288" s="2">
        <v>3663</v>
      </c>
      <c r="H288" s="2">
        <v>107</v>
      </c>
      <c r="I288" s="2">
        <v>0</v>
      </c>
      <c r="J288" s="2">
        <v>3556</v>
      </c>
      <c r="K288" s="267">
        <v>4.17699364524E-2</v>
      </c>
    </row>
    <row r="289" spans="1:11" x14ac:dyDescent="0.25">
      <c r="A289" s="2">
        <v>540156</v>
      </c>
      <c r="B289" s="2" t="s">
        <v>232</v>
      </c>
      <c r="C289" s="2" t="s">
        <v>99</v>
      </c>
      <c r="D289" s="2" t="s">
        <v>115</v>
      </c>
      <c r="E289" s="2">
        <v>5</v>
      </c>
      <c r="F289" s="2">
        <v>657</v>
      </c>
      <c r="G289" s="2">
        <v>57</v>
      </c>
      <c r="H289" s="2">
        <v>0</v>
      </c>
      <c r="I289" s="2">
        <v>0</v>
      </c>
      <c r="J289" s="2">
        <v>57</v>
      </c>
      <c r="K289" s="267">
        <v>8.6757990867599999E-2</v>
      </c>
    </row>
    <row r="290" spans="1:11" x14ac:dyDescent="0.25">
      <c r="A290" s="2">
        <v>540253</v>
      </c>
      <c r="B290" s="2" t="s">
        <v>299</v>
      </c>
      <c r="C290" s="2" t="s">
        <v>99</v>
      </c>
      <c r="D290" s="2" t="s">
        <v>115</v>
      </c>
      <c r="E290" s="2">
        <v>5</v>
      </c>
      <c r="F290" s="2">
        <v>262</v>
      </c>
      <c r="G290" s="2">
        <v>17</v>
      </c>
      <c r="H290" s="2">
        <v>1</v>
      </c>
      <c r="I290" s="2">
        <v>0</v>
      </c>
      <c r="J290" s="2">
        <v>16</v>
      </c>
      <c r="K290" s="267">
        <v>6.1068702290100002E-2</v>
      </c>
    </row>
    <row r="291" spans="1:11" x14ac:dyDescent="0.25">
      <c r="A291" s="252"/>
      <c r="B291" s="252"/>
      <c r="C291" s="252" t="s">
        <v>99</v>
      </c>
      <c r="D291" s="252"/>
      <c r="E291" s="252"/>
      <c r="F291" s="252">
        <v>86052</v>
      </c>
      <c r="G291" s="252">
        <v>3737</v>
      </c>
      <c r="H291" s="252">
        <v>108</v>
      </c>
      <c r="I291" s="252">
        <v>0</v>
      </c>
      <c r="J291" s="252">
        <v>3629</v>
      </c>
      <c r="K291" s="411">
        <v>4.2172174963999998E-2</v>
      </c>
    </row>
    <row r="292" spans="1:11" x14ac:dyDescent="0.25">
      <c r="A292" s="2">
        <v>540226</v>
      </c>
      <c r="B292" s="2" t="s">
        <v>100</v>
      </c>
      <c r="C292" s="2" t="s">
        <v>101</v>
      </c>
      <c r="D292" s="2" t="s">
        <v>5</v>
      </c>
      <c r="E292" s="2">
        <v>8</v>
      </c>
      <c r="F292" s="2">
        <v>411595</v>
      </c>
      <c r="G292" s="2">
        <v>20441</v>
      </c>
      <c r="H292" s="2">
        <v>9</v>
      </c>
      <c r="I292" s="2">
        <v>28</v>
      </c>
      <c r="J292" s="2">
        <v>20404</v>
      </c>
      <c r="K292" s="267">
        <v>4.9573002587499998E-2</v>
      </c>
    </row>
    <row r="293" spans="1:11" x14ac:dyDescent="0.25">
      <c r="A293" s="2">
        <v>540046</v>
      </c>
      <c r="B293" s="2" t="s">
        <v>147</v>
      </c>
      <c r="C293" s="2" t="s">
        <v>101</v>
      </c>
      <c r="D293" s="2" t="s">
        <v>115</v>
      </c>
      <c r="E293" s="2">
        <v>8</v>
      </c>
      <c r="F293" s="2">
        <v>447</v>
      </c>
      <c r="G293" s="2">
        <v>56</v>
      </c>
      <c r="H293" s="2">
        <v>0</v>
      </c>
      <c r="I293" s="2">
        <v>0</v>
      </c>
      <c r="J293" s="2">
        <v>56</v>
      </c>
      <c r="K293" s="267">
        <v>0.12527964205799999</v>
      </c>
    </row>
    <row r="294" spans="1:11" x14ac:dyDescent="0.25">
      <c r="A294" s="2">
        <v>540276</v>
      </c>
      <c r="B294" s="2" t="s">
        <v>319</v>
      </c>
      <c r="C294" s="2" t="s">
        <v>101</v>
      </c>
      <c r="D294" s="2" t="s">
        <v>115</v>
      </c>
      <c r="E294" s="2">
        <v>8</v>
      </c>
      <c r="F294" s="2">
        <v>615</v>
      </c>
      <c r="G294" s="2">
        <v>22</v>
      </c>
      <c r="H294" s="2">
        <v>0</v>
      </c>
      <c r="I294" s="2">
        <v>0</v>
      </c>
      <c r="J294" s="2">
        <v>22</v>
      </c>
      <c r="K294" s="267">
        <v>3.5772357723599997E-2</v>
      </c>
    </row>
    <row r="295" spans="1:11" x14ac:dyDescent="0.25">
      <c r="A295" s="252"/>
      <c r="B295" s="252"/>
      <c r="C295" s="252" t="s">
        <v>101</v>
      </c>
      <c r="D295" s="252"/>
      <c r="E295" s="252"/>
      <c r="F295" s="252">
        <v>412657</v>
      </c>
      <c r="G295" s="252">
        <v>20519</v>
      </c>
      <c r="H295" s="252">
        <v>9</v>
      </c>
      <c r="I295" s="252">
        <v>28</v>
      </c>
      <c r="J295" s="252">
        <v>20482</v>
      </c>
      <c r="K295" s="411">
        <v>4.9634442163800002E-2</v>
      </c>
    </row>
    <row r="296" spans="1:11" x14ac:dyDescent="0.25">
      <c r="A296" s="2">
        <v>540277</v>
      </c>
      <c r="B296" s="2" t="s">
        <v>102</v>
      </c>
      <c r="C296" s="2" t="s">
        <v>103</v>
      </c>
      <c r="D296" s="2" t="s">
        <v>5</v>
      </c>
      <c r="E296" s="2">
        <v>5</v>
      </c>
      <c r="F296" s="2">
        <v>165884</v>
      </c>
      <c r="G296" s="2">
        <v>7778</v>
      </c>
      <c r="H296" s="2">
        <v>0</v>
      </c>
      <c r="I296" s="2">
        <v>0</v>
      </c>
      <c r="J296" s="2">
        <v>7778</v>
      </c>
      <c r="K296" s="267">
        <v>4.6888186925799998E-2</v>
      </c>
    </row>
    <row r="297" spans="1:11" x14ac:dyDescent="0.25">
      <c r="A297" s="2">
        <v>540195</v>
      </c>
      <c r="B297" s="2" t="s">
        <v>258</v>
      </c>
      <c r="C297" s="2" t="s">
        <v>103</v>
      </c>
      <c r="D297" s="2" t="s">
        <v>115</v>
      </c>
      <c r="E297" s="2">
        <v>5</v>
      </c>
      <c r="F297" s="2">
        <v>242</v>
      </c>
      <c r="G297" s="2">
        <v>14</v>
      </c>
      <c r="H297" s="2">
        <v>0</v>
      </c>
      <c r="I297" s="2">
        <v>0</v>
      </c>
      <c r="J297" s="2">
        <v>14</v>
      </c>
      <c r="K297" s="267">
        <v>5.7851239669399999E-2</v>
      </c>
    </row>
    <row r="298" spans="1:11" x14ac:dyDescent="0.25">
      <c r="A298" s="2">
        <v>540196</v>
      </c>
      <c r="B298" s="2" t="s">
        <v>259</v>
      </c>
      <c r="C298" s="2" t="s">
        <v>103</v>
      </c>
      <c r="D298" s="2" t="s">
        <v>115</v>
      </c>
      <c r="E298" s="2">
        <v>5</v>
      </c>
      <c r="F298" s="2">
        <v>210</v>
      </c>
      <c r="G298" s="2">
        <v>25</v>
      </c>
      <c r="H298" s="2">
        <v>0</v>
      </c>
      <c r="I298" s="2">
        <v>0</v>
      </c>
      <c r="J298" s="2">
        <v>25</v>
      </c>
      <c r="K298" s="267">
        <v>0.119047619048</v>
      </c>
    </row>
    <row r="299" spans="1:11" x14ac:dyDescent="0.25">
      <c r="A299" s="2">
        <v>540197</v>
      </c>
      <c r="B299" s="2" t="s">
        <v>260</v>
      </c>
      <c r="C299" s="2" t="s">
        <v>103</v>
      </c>
      <c r="D299" s="2" t="s">
        <v>115</v>
      </c>
      <c r="E299" s="2">
        <v>5</v>
      </c>
      <c r="F299" s="2">
        <v>336</v>
      </c>
      <c r="G299" s="2">
        <v>50</v>
      </c>
      <c r="H299" s="2">
        <v>0</v>
      </c>
      <c r="I299" s="2">
        <v>0</v>
      </c>
      <c r="J299" s="2">
        <v>50</v>
      </c>
      <c r="K299" s="267">
        <v>0.14880952381000001</v>
      </c>
    </row>
    <row r="300" spans="1:11" x14ac:dyDescent="0.25">
      <c r="A300" s="2">
        <v>540259</v>
      </c>
      <c r="B300" s="2" t="s">
        <v>304</v>
      </c>
      <c r="C300" s="2" t="s">
        <v>103</v>
      </c>
      <c r="D300" s="2" t="s">
        <v>115</v>
      </c>
      <c r="E300" s="2">
        <v>5</v>
      </c>
      <c r="F300" s="2">
        <v>65</v>
      </c>
      <c r="G300" s="2">
        <v>36</v>
      </c>
      <c r="H300" s="2">
        <v>0</v>
      </c>
      <c r="I300" s="2">
        <v>0</v>
      </c>
      <c r="J300" s="2">
        <v>36</v>
      </c>
      <c r="K300" s="267">
        <v>0.553846153846</v>
      </c>
    </row>
    <row r="301" spans="1:11" x14ac:dyDescent="0.25">
      <c r="A301" s="252"/>
      <c r="B301" s="252"/>
      <c r="C301" s="252" t="s">
        <v>103</v>
      </c>
      <c r="D301" s="252"/>
      <c r="E301" s="252"/>
      <c r="F301" s="252">
        <v>166737</v>
      </c>
      <c r="G301" s="252">
        <v>7903</v>
      </c>
      <c r="H301" s="252">
        <v>0</v>
      </c>
      <c r="I301" s="252">
        <v>0</v>
      </c>
      <c r="J301" s="252">
        <v>7903</v>
      </c>
      <c r="K301" s="411">
        <v>4.7397998044800001E-2</v>
      </c>
    </row>
    <row r="302" spans="1:11" x14ac:dyDescent="0.25">
      <c r="A302" s="2">
        <v>540278</v>
      </c>
      <c r="B302" s="2" t="s">
        <v>104</v>
      </c>
      <c r="C302" s="2" t="s">
        <v>105</v>
      </c>
      <c r="D302" s="2" t="s">
        <v>5</v>
      </c>
      <c r="E302" s="2">
        <v>1</v>
      </c>
      <c r="F302" s="2">
        <v>302113</v>
      </c>
      <c r="G302" s="2">
        <v>7689</v>
      </c>
      <c r="H302" s="2">
        <v>113</v>
      </c>
      <c r="I302" s="2">
        <v>50</v>
      </c>
      <c r="J302" s="2">
        <v>7526</v>
      </c>
      <c r="K302" s="267">
        <v>2.4911208719900001E-2</v>
      </c>
    </row>
    <row r="303" spans="1:11" x14ac:dyDescent="0.25">
      <c r="A303" s="2">
        <v>540041</v>
      </c>
      <c r="B303" s="2" t="s">
        <v>142</v>
      </c>
      <c r="C303" s="2" t="s">
        <v>105</v>
      </c>
      <c r="D303" s="2" t="s">
        <v>115</v>
      </c>
      <c r="E303" s="2">
        <v>1</v>
      </c>
      <c r="F303" s="2">
        <v>193</v>
      </c>
      <c r="G303" s="2">
        <v>43</v>
      </c>
      <c r="H303" s="2">
        <v>0</v>
      </c>
      <c r="I303" s="2">
        <v>0</v>
      </c>
      <c r="J303" s="2">
        <v>43</v>
      </c>
      <c r="K303" s="267">
        <v>0.22279792746099999</v>
      </c>
    </row>
    <row r="304" spans="1:11" x14ac:dyDescent="0.25">
      <c r="A304" s="2">
        <v>540143</v>
      </c>
      <c r="B304" s="2" t="s">
        <v>224</v>
      </c>
      <c r="C304" s="2" t="s">
        <v>105</v>
      </c>
      <c r="D304" s="2" t="s">
        <v>115</v>
      </c>
      <c r="E304" s="2">
        <v>1</v>
      </c>
      <c r="F304" s="2">
        <v>202</v>
      </c>
      <c r="G304" s="2">
        <v>25</v>
      </c>
      <c r="H304" s="2">
        <v>0</v>
      </c>
      <c r="I304" s="2">
        <v>0</v>
      </c>
      <c r="J304" s="2">
        <v>25</v>
      </c>
      <c r="K304" s="267">
        <v>0.123762376238</v>
      </c>
    </row>
    <row r="305" spans="1:11" x14ac:dyDescent="0.25">
      <c r="A305" s="2">
        <v>540290</v>
      </c>
      <c r="B305" s="2" t="s">
        <v>327</v>
      </c>
      <c r="C305" s="2" t="s">
        <v>105</v>
      </c>
      <c r="D305" s="2" t="s">
        <v>115</v>
      </c>
      <c r="E305" s="2">
        <v>1</v>
      </c>
      <c r="F305" s="2">
        <v>287</v>
      </c>
      <c r="G305" s="2">
        <v>0</v>
      </c>
      <c r="H305" s="2">
        <v>0</v>
      </c>
      <c r="I305" s="2">
        <v>0</v>
      </c>
      <c r="J305" s="2">
        <v>0</v>
      </c>
      <c r="K305" s="267">
        <v>0</v>
      </c>
    </row>
    <row r="306" spans="1:11" x14ac:dyDescent="0.25">
      <c r="A306" s="252"/>
      <c r="B306" s="252"/>
      <c r="C306" s="252" t="s">
        <v>105</v>
      </c>
      <c r="D306" s="252"/>
      <c r="E306" s="252"/>
      <c r="F306" s="252">
        <v>302795</v>
      </c>
      <c r="G306" s="252">
        <v>7757</v>
      </c>
      <c r="H306" s="252">
        <v>113</v>
      </c>
      <c r="I306" s="252">
        <v>50</v>
      </c>
      <c r="J306" s="252">
        <v>7594</v>
      </c>
      <c r="K306" s="411">
        <v>2.5079674367099999E-2</v>
      </c>
    </row>
    <row r="307" spans="1:11" x14ac:dyDescent="0.25">
      <c r="A307" s="2">
        <v>540282</v>
      </c>
      <c r="B307" s="2" t="s">
        <v>106</v>
      </c>
      <c r="C307" s="2" t="s">
        <v>107</v>
      </c>
      <c r="D307" s="2" t="s">
        <v>5</v>
      </c>
      <c r="E307" s="2">
        <v>9</v>
      </c>
      <c r="F307" s="2">
        <v>201588</v>
      </c>
      <c r="G307" s="2">
        <v>8837</v>
      </c>
      <c r="H307" s="2">
        <v>17</v>
      </c>
      <c r="I307" s="2">
        <v>0</v>
      </c>
      <c r="J307" s="2">
        <v>8820</v>
      </c>
      <c r="K307" s="267">
        <v>4.37526043217E-2</v>
      </c>
    </row>
    <row r="308" spans="1:11" x14ac:dyDescent="0.25">
      <c r="A308" s="2">
        <v>540006</v>
      </c>
      <c r="B308" s="2" t="s">
        <v>119</v>
      </c>
      <c r="C308" s="2" t="s">
        <v>107</v>
      </c>
      <c r="D308" s="2" t="s">
        <v>115</v>
      </c>
      <c r="E308" s="2">
        <v>9</v>
      </c>
      <c r="F308" s="2">
        <v>4259</v>
      </c>
      <c r="G308" s="2">
        <v>139</v>
      </c>
      <c r="H308" s="2">
        <v>11</v>
      </c>
      <c r="I308" s="2">
        <v>0</v>
      </c>
      <c r="J308" s="2">
        <v>128</v>
      </c>
      <c r="K308" s="267">
        <v>3.0054003287199999E-2</v>
      </c>
    </row>
    <row r="309" spans="1:11" x14ac:dyDescent="0.25">
      <c r="A309" s="2">
        <v>545550</v>
      </c>
      <c r="B309" s="2" t="s">
        <v>339</v>
      </c>
      <c r="C309" s="2" t="s">
        <v>107</v>
      </c>
      <c r="D309" s="2" t="s">
        <v>115</v>
      </c>
      <c r="E309" s="2">
        <v>9</v>
      </c>
      <c r="F309" s="2">
        <v>85</v>
      </c>
      <c r="G309" s="2">
        <v>0</v>
      </c>
      <c r="H309" s="2">
        <v>0</v>
      </c>
      <c r="I309" s="2">
        <v>0</v>
      </c>
      <c r="J309" s="2">
        <v>0</v>
      </c>
      <c r="K309" s="267">
        <v>0</v>
      </c>
    </row>
    <row r="310" spans="1:11" x14ac:dyDescent="0.25">
      <c r="A310" s="252"/>
      <c r="B310" s="252"/>
      <c r="C310" s="252" t="s">
        <v>107</v>
      </c>
      <c r="D310" s="252"/>
      <c r="E310" s="252"/>
      <c r="F310" s="252">
        <v>205932</v>
      </c>
      <c r="G310" s="252">
        <v>8976</v>
      </c>
      <c r="H310" s="252">
        <v>28</v>
      </c>
      <c r="I310" s="252">
        <v>0</v>
      </c>
      <c r="J310" s="252">
        <v>8948</v>
      </c>
      <c r="K310" s="411">
        <v>4.3451236330400003E-2</v>
      </c>
    </row>
    <row r="311" spans="1:11" x14ac:dyDescent="0.25">
      <c r="A311" s="2">
        <v>540283</v>
      </c>
      <c r="B311" s="2" t="s">
        <v>108</v>
      </c>
      <c r="C311" s="2" t="s">
        <v>109</v>
      </c>
      <c r="D311" s="2" t="s">
        <v>5</v>
      </c>
      <c r="E311" s="2">
        <v>4</v>
      </c>
      <c r="F311" s="2">
        <v>600184</v>
      </c>
      <c r="G311" s="2">
        <v>12584</v>
      </c>
      <c r="H311" s="2">
        <v>649</v>
      </c>
      <c r="I311" s="2">
        <v>3885</v>
      </c>
      <c r="J311" s="2">
        <v>8050</v>
      </c>
      <c r="K311" s="267">
        <v>1.3412553483599999E-2</v>
      </c>
    </row>
    <row r="312" spans="1:11" x14ac:dyDescent="0.25">
      <c r="A312" s="2">
        <v>540158</v>
      </c>
      <c r="B312" s="2" t="s">
        <v>233</v>
      </c>
      <c r="C312" s="2" t="s">
        <v>109</v>
      </c>
      <c r="D312" s="2" t="s">
        <v>115</v>
      </c>
      <c r="E312" s="2">
        <v>4</v>
      </c>
      <c r="F312" s="2">
        <v>366</v>
      </c>
      <c r="G312" s="2">
        <v>23</v>
      </c>
      <c r="H312" s="2">
        <v>0</v>
      </c>
      <c r="I312" s="2">
        <v>0</v>
      </c>
      <c r="J312" s="2">
        <v>23</v>
      </c>
      <c r="K312" s="267">
        <v>6.2841530054599998E-2</v>
      </c>
    </row>
    <row r="313" spans="1:11" x14ac:dyDescent="0.25">
      <c r="A313" s="2">
        <v>540159</v>
      </c>
      <c r="B313" s="2" t="s">
        <v>234</v>
      </c>
      <c r="C313" s="2" t="s">
        <v>109</v>
      </c>
      <c r="D313" s="2" t="s">
        <v>115</v>
      </c>
      <c r="E313" s="2">
        <v>4</v>
      </c>
      <c r="F313" s="2">
        <v>1566</v>
      </c>
      <c r="G313" s="2">
        <v>330</v>
      </c>
      <c r="H313" s="2">
        <v>0</v>
      </c>
      <c r="I313" s="2">
        <v>0</v>
      </c>
      <c r="J313" s="2">
        <v>330</v>
      </c>
      <c r="K313" s="267">
        <v>0.21072796934900001</v>
      </c>
    </row>
    <row r="314" spans="1:11" x14ac:dyDescent="0.25">
      <c r="A314" s="2">
        <v>540288</v>
      </c>
      <c r="B314" s="2" t="s">
        <v>340</v>
      </c>
      <c r="C314" s="2" t="s">
        <v>109</v>
      </c>
      <c r="D314" s="2" t="s">
        <v>115</v>
      </c>
      <c r="E314" s="2">
        <v>4</v>
      </c>
      <c r="F314" s="2">
        <v>230</v>
      </c>
      <c r="G314" s="2">
        <v>0</v>
      </c>
      <c r="H314" s="2">
        <v>0</v>
      </c>
      <c r="I314" s="2">
        <v>0</v>
      </c>
      <c r="J314" s="2">
        <v>0</v>
      </c>
      <c r="K314" s="267">
        <v>0</v>
      </c>
    </row>
    <row r="315" spans="1:11" x14ac:dyDescent="0.25">
      <c r="A315" s="252"/>
      <c r="B315" s="252"/>
      <c r="C315" s="252" t="s">
        <v>109</v>
      </c>
      <c r="D315" s="252"/>
      <c r="E315" s="252"/>
      <c r="F315" s="252">
        <v>602346</v>
      </c>
      <c r="G315" s="252">
        <v>12937</v>
      </c>
      <c r="H315" s="252">
        <v>649</v>
      </c>
      <c r="I315" s="252">
        <v>3885</v>
      </c>
      <c r="J315" s="252">
        <v>8403</v>
      </c>
      <c r="K315" s="411">
        <v>1.39504537259E-2</v>
      </c>
    </row>
    <row r="316" spans="1:11" x14ac:dyDescent="0.25">
      <c r="A316" s="2">
        <v>545536</v>
      </c>
      <c r="B316" s="2" t="s">
        <v>110</v>
      </c>
      <c r="C316" s="2" t="s">
        <v>111</v>
      </c>
      <c r="D316" s="2" t="s">
        <v>5</v>
      </c>
      <c r="E316" s="2">
        <v>2</v>
      </c>
      <c r="F316" s="2">
        <v>289017</v>
      </c>
      <c r="G316" s="2">
        <v>3652</v>
      </c>
      <c r="H316" s="2">
        <v>0</v>
      </c>
      <c r="I316" s="2">
        <v>0</v>
      </c>
      <c r="J316" s="2">
        <v>3652</v>
      </c>
      <c r="K316" s="267">
        <v>1.26359349104E-2</v>
      </c>
    </row>
    <row r="317" spans="1:11" x14ac:dyDescent="0.25">
      <c r="A317" s="2">
        <v>540092</v>
      </c>
      <c r="B317" s="2" t="s">
        <v>183</v>
      </c>
      <c r="C317" s="2" t="s">
        <v>111</v>
      </c>
      <c r="D317" s="2" t="s">
        <v>115</v>
      </c>
      <c r="E317" s="2">
        <v>2</v>
      </c>
      <c r="F317" s="2">
        <v>436</v>
      </c>
      <c r="G317" s="2">
        <v>39</v>
      </c>
      <c r="H317" s="2">
        <v>0</v>
      </c>
      <c r="I317" s="2">
        <v>0</v>
      </c>
      <c r="J317" s="2">
        <v>39</v>
      </c>
      <c r="K317" s="267">
        <v>8.9449541284399997E-2</v>
      </c>
    </row>
    <row r="318" spans="1:11" x14ac:dyDescent="0.25">
      <c r="A318" s="2">
        <v>540095</v>
      </c>
      <c r="B318" s="2" t="s">
        <v>186</v>
      </c>
      <c r="C318" s="2" t="s">
        <v>111</v>
      </c>
      <c r="D318" s="2" t="s">
        <v>115</v>
      </c>
      <c r="E318" s="2">
        <v>2</v>
      </c>
      <c r="F318" s="2">
        <v>215</v>
      </c>
      <c r="G318" s="2">
        <v>11</v>
      </c>
      <c r="H318" s="2">
        <v>0</v>
      </c>
      <c r="I318" s="2">
        <v>0</v>
      </c>
      <c r="J318" s="2">
        <v>11</v>
      </c>
      <c r="K318" s="267">
        <v>5.1162790697700002E-2</v>
      </c>
    </row>
    <row r="319" spans="1:11" x14ac:dyDescent="0.25">
      <c r="A319" s="2">
        <v>545535</v>
      </c>
      <c r="B319" s="2" t="s">
        <v>332</v>
      </c>
      <c r="C319" s="2" t="s">
        <v>111</v>
      </c>
      <c r="D319" s="2" t="s">
        <v>115</v>
      </c>
      <c r="E319" s="2">
        <v>2</v>
      </c>
      <c r="F319" s="2">
        <v>790</v>
      </c>
      <c r="G319" s="2">
        <v>16</v>
      </c>
      <c r="H319" s="2">
        <v>0</v>
      </c>
      <c r="I319" s="2">
        <v>0</v>
      </c>
      <c r="J319" s="2">
        <v>16</v>
      </c>
      <c r="K319" s="267">
        <v>2.0253164556999999E-2</v>
      </c>
    </row>
    <row r="320" spans="1:11" x14ac:dyDescent="0.25">
      <c r="A320" s="2">
        <v>545537</v>
      </c>
      <c r="B320" s="2" t="s">
        <v>333</v>
      </c>
      <c r="C320" s="2" t="s">
        <v>111</v>
      </c>
      <c r="D320" s="2" t="s">
        <v>115</v>
      </c>
      <c r="E320" s="2">
        <v>2</v>
      </c>
      <c r="F320" s="2">
        <v>737</v>
      </c>
      <c r="G320" s="2">
        <v>67</v>
      </c>
      <c r="H320" s="2">
        <v>0</v>
      </c>
      <c r="I320" s="2">
        <v>0</v>
      </c>
      <c r="J320" s="2">
        <v>67</v>
      </c>
      <c r="K320" s="267">
        <v>9.0909090909100002E-2</v>
      </c>
    </row>
    <row r="321" spans="1:11" x14ac:dyDescent="0.25">
      <c r="A321" s="2">
        <v>545539</v>
      </c>
      <c r="B321" s="2" t="s">
        <v>335</v>
      </c>
      <c r="C321" s="2" t="s">
        <v>111</v>
      </c>
      <c r="D321" s="2" t="s">
        <v>115</v>
      </c>
      <c r="E321" s="2">
        <v>2</v>
      </c>
      <c r="F321" s="2">
        <v>216</v>
      </c>
      <c r="G321" s="2">
        <v>5</v>
      </c>
      <c r="H321" s="2">
        <v>0</v>
      </c>
      <c r="I321" s="2">
        <v>0</v>
      </c>
      <c r="J321" s="2">
        <v>5</v>
      </c>
      <c r="K321" s="267">
        <v>2.3148148148100001E-2</v>
      </c>
    </row>
    <row r="322" spans="1:11" x14ac:dyDescent="0.25">
      <c r="A322" s="252"/>
      <c r="B322" s="252"/>
      <c r="C322" s="252" t="s">
        <v>111</v>
      </c>
      <c r="D322" s="252"/>
      <c r="E322" s="252"/>
      <c r="F322" s="252">
        <v>291411</v>
      </c>
      <c r="G322" s="252">
        <v>3790</v>
      </c>
      <c r="H322" s="252">
        <v>0</v>
      </c>
      <c r="I322" s="252">
        <v>0</v>
      </c>
      <c r="J322" s="252">
        <v>3790</v>
      </c>
      <c r="K322" s="411">
        <v>1.3005686127199999E-2</v>
      </c>
    </row>
    <row r="323" spans="1:11" x14ac:dyDescent="0.25">
      <c r="A323" s="2">
        <v>540191</v>
      </c>
      <c r="B323" s="2" t="s">
        <v>112</v>
      </c>
      <c r="C323" s="2" t="s">
        <v>113</v>
      </c>
      <c r="D323" s="2" t="s">
        <v>5</v>
      </c>
      <c r="E323" s="2">
        <v>7</v>
      </c>
      <c r="F323" s="2">
        <v>264953</v>
      </c>
      <c r="G323" s="2">
        <v>10255</v>
      </c>
      <c r="H323" s="2">
        <v>2473</v>
      </c>
      <c r="I323" s="2">
        <v>2350</v>
      </c>
      <c r="J323" s="2">
        <v>5432</v>
      </c>
      <c r="K323" s="267">
        <v>2.05017493669E-2</v>
      </c>
    </row>
    <row r="324" spans="1:11" x14ac:dyDescent="0.25">
      <c r="A324" s="2">
        <v>540193</v>
      </c>
      <c r="B324" s="2" t="s">
        <v>342</v>
      </c>
      <c r="C324" s="2" t="s">
        <v>113</v>
      </c>
      <c r="D324" s="2" t="s">
        <v>115</v>
      </c>
      <c r="E324" s="2">
        <v>7</v>
      </c>
      <c r="F324" s="2">
        <v>274</v>
      </c>
      <c r="G324" s="2">
        <v>56</v>
      </c>
      <c r="H324" s="2">
        <v>0</v>
      </c>
      <c r="I324" s="2">
        <v>6</v>
      </c>
      <c r="J324" s="2">
        <v>50</v>
      </c>
      <c r="K324" s="267">
        <v>0.18248175182500001</v>
      </c>
    </row>
    <row r="325" spans="1:11" x14ac:dyDescent="0.25">
      <c r="A325" s="2">
        <v>540192</v>
      </c>
      <c r="B325" s="2" t="s">
        <v>343</v>
      </c>
      <c r="C325" s="2" t="s">
        <v>113</v>
      </c>
      <c r="D325" s="2" t="s">
        <v>115</v>
      </c>
      <c r="E325" s="2">
        <v>7</v>
      </c>
      <c r="F325" s="2">
        <v>166</v>
      </c>
      <c r="G325" s="2">
        <v>13</v>
      </c>
      <c r="H325" s="2">
        <v>0</v>
      </c>
      <c r="I325" s="2">
        <v>0</v>
      </c>
      <c r="J325" s="2">
        <v>13</v>
      </c>
      <c r="K325" s="267">
        <v>7.8313253011999998E-2</v>
      </c>
    </row>
    <row r="326" spans="1:11" x14ac:dyDescent="0.25">
      <c r="A326" s="2">
        <v>540194</v>
      </c>
      <c r="B326" s="2" t="s">
        <v>344</v>
      </c>
      <c r="C326" s="2" t="s">
        <v>113</v>
      </c>
      <c r="D326" s="2" t="s">
        <v>115</v>
      </c>
      <c r="E326" s="2">
        <v>7</v>
      </c>
      <c r="F326" s="2">
        <v>529</v>
      </c>
      <c r="G326" s="2">
        <v>133</v>
      </c>
      <c r="H326" s="2">
        <v>0</v>
      </c>
      <c r="I326" s="2">
        <v>0</v>
      </c>
      <c r="J326" s="2">
        <v>133</v>
      </c>
      <c r="K326" s="267">
        <v>0.25141776937600002</v>
      </c>
    </row>
    <row r="327" spans="1:11" x14ac:dyDescent="0.25">
      <c r="A327" s="2">
        <v>540261</v>
      </c>
      <c r="B327" s="2" t="s">
        <v>345</v>
      </c>
      <c r="C327" s="2" t="s">
        <v>113</v>
      </c>
      <c r="D327" s="2" t="s">
        <v>115</v>
      </c>
      <c r="E327" s="2">
        <v>7</v>
      </c>
      <c r="F327" s="2">
        <v>2257</v>
      </c>
      <c r="G327" s="2">
        <v>130</v>
      </c>
      <c r="H327" s="2">
        <v>17</v>
      </c>
      <c r="I327" s="2">
        <v>0</v>
      </c>
      <c r="J327" s="2">
        <v>113</v>
      </c>
      <c r="K327" s="267">
        <v>5.0066459902499999E-2</v>
      </c>
    </row>
    <row r="328" spans="1:11" x14ac:dyDescent="0.25">
      <c r="A328" s="2">
        <v>540260</v>
      </c>
      <c r="B328" s="2" t="s">
        <v>346</v>
      </c>
      <c r="C328" s="2" t="s">
        <v>113</v>
      </c>
      <c r="D328" s="2" t="s">
        <v>115</v>
      </c>
      <c r="E328" s="2">
        <v>7</v>
      </c>
      <c r="F328" s="2">
        <v>1280</v>
      </c>
      <c r="G328" s="2">
        <v>74</v>
      </c>
      <c r="H328" s="2">
        <v>0</v>
      </c>
      <c r="I328" s="2">
        <v>0</v>
      </c>
      <c r="J328" s="2">
        <v>74</v>
      </c>
      <c r="K328" s="267">
        <v>5.7812500000000003E-2</v>
      </c>
    </row>
    <row r="329" spans="1:11" x14ac:dyDescent="0.25">
      <c r="A329" s="252"/>
      <c r="B329" s="252"/>
      <c r="C329" s="252" t="s">
        <v>113</v>
      </c>
      <c r="D329" s="252"/>
      <c r="E329" s="252"/>
      <c r="F329" s="252">
        <v>269459</v>
      </c>
      <c r="G329" s="252">
        <v>10661</v>
      </c>
      <c r="H329" s="252">
        <v>2490</v>
      </c>
      <c r="I329" s="252">
        <v>2356</v>
      </c>
      <c r="J329" s="252">
        <v>5815</v>
      </c>
      <c r="K329" s="411">
        <v>2.1580277519000001E-2</v>
      </c>
    </row>
    <row r="330" spans="1:11" x14ac:dyDescent="0.25">
      <c r="A330" s="2">
        <v>540027</v>
      </c>
      <c r="B330" s="2" t="s">
        <v>132</v>
      </c>
      <c r="C330" s="2" t="s">
        <v>21</v>
      </c>
      <c r="D330" s="2" t="s">
        <v>115</v>
      </c>
      <c r="E330" s="2">
        <v>4</v>
      </c>
      <c r="F330" s="2">
        <v>1065</v>
      </c>
      <c r="G330" s="2">
        <v>19</v>
      </c>
      <c r="H330" s="2">
        <v>0</v>
      </c>
      <c r="I330" s="2">
        <v>0</v>
      </c>
      <c r="J330" s="2">
        <v>19</v>
      </c>
      <c r="K330" s="267">
        <v>1.7840375586899999E-2</v>
      </c>
    </row>
    <row r="331" spans="1:11" x14ac:dyDescent="0.25">
      <c r="A331" s="2">
        <v>540028</v>
      </c>
      <c r="B331" s="2" t="s">
        <v>133</v>
      </c>
      <c r="C331" s="2" t="s">
        <v>21</v>
      </c>
      <c r="D331" s="2" t="s">
        <v>115</v>
      </c>
      <c r="E331" s="2">
        <v>4</v>
      </c>
      <c r="F331" s="2">
        <v>260</v>
      </c>
      <c r="G331" s="2">
        <v>50</v>
      </c>
      <c r="H331" s="2">
        <v>0</v>
      </c>
      <c r="I331" s="2">
        <v>0</v>
      </c>
      <c r="J331" s="2">
        <v>50</v>
      </c>
      <c r="K331" s="267">
        <v>0.19230769230799999</v>
      </c>
    </row>
    <row r="332" spans="1:11" x14ac:dyDescent="0.25">
      <c r="A332" s="2">
        <v>540029</v>
      </c>
      <c r="B332" s="2" t="s">
        <v>134</v>
      </c>
      <c r="C332" s="2" t="s">
        <v>21</v>
      </c>
      <c r="D332" s="2" t="s">
        <v>115</v>
      </c>
      <c r="E332" s="2">
        <v>4</v>
      </c>
      <c r="F332" s="2">
        <v>777</v>
      </c>
      <c r="G332" s="2">
        <v>15</v>
      </c>
      <c r="H332" s="2">
        <v>0</v>
      </c>
      <c r="I332" s="2">
        <v>0</v>
      </c>
      <c r="J332" s="2">
        <v>15</v>
      </c>
      <c r="K332" s="267">
        <v>1.9305019305000001E-2</v>
      </c>
    </row>
    <row r="333" spans="1:11" x14ac:dyDescent="0.25">
      <c r="A333" s="2">
        <v>540031</v>
      </c>
      <c r="B333" s="2" t="s">
        <v>136</v>
      </c>
      <c r="C333" s="2" t="s">
        <v>21</v>
      </c>
      <c r="D333" s="2" t="s">
        <v>115</v>
      </c>
      <c r="E333" s="2">
        <v>4</v>
      </c>
      <c r="F333" s="2">
        <v>6159</v>
      </c>
      <c r="G333" s="2">
        <v>86</v>
      </c>
      <c r="H333" s="2">
        <v>0</v>
      </c>
      <c r="I333" s="2">
        <v>0</v>
      </c>
      <c r="J333" s="2">
        <v>86</v>
      </c>
      <c r="K333" s="267">
        <v>1.39633057314E-2</v>
      </c>
    </row>
    <row r="334" spans="1:11" x14ac:dyDescent="0.25">
      <c r="A334" s="2">
        <v>540032</v>
      </c>
      <c r="B334" s="2" t="s">
        <v>137</v>
      </c>
      <c r="C334" s="2" t="s">
        <v>21</v>
      </c>
      <c r="D334" s="2" t="s">
        <v>115</v>
      </c>
      <c r="E334" s="2">
        <v>4</v>
      </c>
      <c r="F334" s="2">
        <v>192</v>
      </c>
      <c r="G334" s="2">
        <v>26</v>
      </c>
      <c r="H334" s="2">
        <v>0</v>
      </c>
      <c r="I334" s="2">
        <v>0</v>
      </c>
      <c r="J334" s="2">
        <v>26</v>
      </c>
      <c r="K334" s="267">
        <v>0.135416666667</v>
      </c>
    </row>
    <row r="335" spans="1:11" x14ac:dyDescent="0.25">
      <c r="A335" s="2">
        <v>540050</v>
      </c>
      <c r="B335" s="2" t="s">
        <v>150</v>
      </c>
      <c r="C335" s="2" t="s">
        <v>21</v>
      </c>
      <c r="D335" s="2" t="s">
        <v>115</v>
      </c>
      <c r="E335" s="2">
        <v>4</v>
      </c>
      <c r="F335" s="2">
        <v>61</v>
      </c>
      <c r="G335" s="2">
        <v>0</v>
      </c>
      <c r="H335" s="2">
        <v>0</v>
      </c>
      <c r="I335" s="2">
        <v>0</v>
      </c>
      <c r="J335" s="2">
        <v>0</v>
      </c>
      <c r="K335" s="267">
        <v>0</v>
      </c>
    </row>
    <row r="336" spans="1:11" x14ac:dyDescent="0.25">
      <c r="A336" s="2">
        <v>540293</v>
      </c>
      <c r="B336" s="2" t="s">
        <v>330</v>
      </c>
      <c r="C336" s="2" t="s">
        <v>21</v>
      </c>
      <c r="D336" s="2" t="s">
        <v>115</v>
      </c>
      <c r="E336" s="2">
        <v>4</v>
      </c>
      <c r="F336" s="2">
        <v>3572</v>
      </c>
      <c r="G336" s="2">
        <v>12</v>
      </c>
      <c r="H336" s="2">
        <v>0</v>
      </c>
      <c r="I336" s="2">
        <v>0</v>
      </c>
      <c r="J336" s="2">
        <v>12</v>
      </c>
      <c r="K336" s="267">
        <v>3.3594624859999999E-3</v>
      </c>
    </row>
    <row r="337" spans="1:11" x14ac:dyDescent="0.25">
      <c r="A337" s="2">
        <v>540294</v>
      </c>
      <c r="B337" s="2" t="s">
        <v>331</v>
      </c>
      <c r="C337" s="2" t="s">
        <v>21</v>
      </c>
      <c r="D337" s="2" t="s">
        <v>115</v>
      </c>
      <c r="E337" s="2">
        <v>4</v>
      </c>
      <c r="F337" s="2">
        <v>1042</v>
      </c>
      <c r="G337" s="2">
        <v>22</v>
      </c>
      <c r="H337" s="2">
        <v>0</v>
      </c>
      <c r="I337" s="2">
        <v>0</v>
      </c>
      <c r="J337" s="2">
        <v>22</v>
      </c>
      <c r="K337" s="267">
        <v>2.1113243762000002E-2</v>
      </c>
    </row>
    <row r="338" spans="1:11" x14ac:dyDescent="0.25">
      <c r="A338" s="2">
        <v>540033</v>
      </c>
      <c r="B338" s="2" t="s">
        <v>138</v>
      </c>
      <c r="C338" s="2" t="s">
        <v>21</v>
      </c>
      <c r="D338" s="2" t="s">
        <v>115</v>
      </c>
      <c r="E338" s="2">
        <v>4</v>
      </c>
      <c r="F338" s="2">
        <v>1049</v>
      </c>
      <c r="G338" s="2">
        <v>22</v>
      </c>
      <c r="H338" s="2">
        <v>0</v>
      </c>
      <c r="I338" s="2">
        <v>0</v>
      </c>
      <c r="J338" s="2">
        <v>22</v>
      </c>
      <c r="K338" s="267">
        <v>2.09723546235E-2</v>
      </c>
    </row>
    <row r="339" spans="1:11" x14ac:dyDescent="0.25">
      <c r="A339" s="2">
        <v>540280</v>
      </c>
      <c r="B339" s="2" t="s">
        <v>321</v>
      </c>
      <c r="C339" s="2" t="s">
        <v>21</v>
      </c>
      <c r="D339" s="2" t="s">
        <v>115</v>
      </c>
      <c r="E339" s="2">
        <v>4</v>
      </c>
      <c r="F339" s="2">
        <v>996</v>
      </c>
      <c r="G339" s="2">
        <v>41</v>
      </c>
      <c r="H339" s="2">
        <v>0</v>
      </c>
      <c r="I339" s="2">
        <v>0</v>
      </c>
      <c r="J339" s="2">
        <v>41</v>
      </c>
      <c r="K339" s="267">
        <v>4.1164658634500001E-2</v>
      </c>
    </row>
    <row r="340" spans="1:11" x14ac:dyDescent="0.25">
      <c r="A340" s="2">
        <v>540026</v>
      </c>
      <c r="B340" s="2" t="s">
        <v>20</v>
      </c>
      <c r="C340" s="2" t="s">
        <v>21</v>
      </c>
      <c r="D340" s="2" t="s">
        <v>5</v>
      </c>
      <c r="E340" s="2">
        <v>4</v>
      </c>
      <c r="F340" s="2">
        <v>412491</v>
      </c>
      <c r="G340" s="2">
        <v>5757</v>
      </c>
      <c r="H340" s="2">
        <v>1804</v>
      </c>
      <c r="I340" s="2">
        <v>560</v>
      </c>
      <c r="J340" s="2">
        <v>3393</v>
      </c>
      <c r="K340" s="267">
        <v>8.2256340138300004E-3</v>
      </c>
    </row>
    <row r="341" spans="1:11" x14ac:dyDescent="0.25">
      <c r="A341" s="252"/>
      <c r="B341" s="252"/>
      <c r="C341" s="252" t="s">
        <v>21</v>
      </c>
      <c r="D341" s="252"/>
      <c r="E341" s="252"/>
      <c r="F341" s="252">
        <v>427664</v>
      </c>
      <c r="G341" s="252">
        <v>6050</v>
      </c>
      <c r="H341" s="252">
        <v>1804</v>
      </c>
      <c r="I341" s="252">
        <v>560</v>
      </c>
      <c r="J341" s="252">
        <v>3686</v>
      </c>
      <c r="K341" s="411">
        <v>8.6189157843499994E-3</v>
      </c>
    </row>
    <row r="342" spans="1:11" x14ac:dyDescent="0.25">
      <c r="A342" s="2">
        <v>540176</v>
      </c>
      <c r="B342" s="2" t="s">
        <v>247</v>
      </c>
      <c r="C342" s="2" t="s">
        <v>75</v>
      </c>
      <c r="D342" s="2" t="s">
        <v>115</v>
      </c>
      <c r="E342" s="2">
        <v>7</v>
      </c>
      <c r="F342" s="2">
        <v>265</v>
      </c>
      <c r="G342" s="2">
        <v>73</v>
      </c>
      <c r="H342" s="2">
        <v>0</v>
      </c>
      <c r="I342" s="2">
        <v>0</v>
      </c>
      <c r="J342" s="2">
        <v>73</v>
      </c>
      <c r="K342" s="267">
        <v>0.27547169811299999</v>
      </c>
    </row>
    <row r="343" spans="1:11" x14ac:dyDescent="0.25">
      <c r="A343" s="2">
        <v>540178</v>
      </c>
      <c r="B343" s="2" t="s">
        <v>249</v>
      </c>
      <c r="C343" s="2" t="s">
        <v>75</v>
      </c>
      <c r="D343" s="2" t="s">
        <v>115</v>
      </c>
      <c r="E343" s="2">
        <v>7</v>
      </c>
      <c r="F343" s="2">
        <v>207</v>
      </c>
      <c r="G343" s="2">
        <v>56</v>
      </c>
      <c r="H343" s="2">
        <v>0</v>
      </c>
      <c r="I343" s="2">
        <v>0</v>
      </c>
      <c r="J343" s="2">
        <v>56</v>
      </c>
      <c r="K343" s="267">
        <v>0.27053140096599998</v>
      </c>
    </row>
    <row r="344" spans="1:11" x14ac:dyDescent="0.25">
      <c r="A344" s="2">
        <v>540264</v>
      </c>
      <c r="B344" s="2" t="s">
        <v>307</v>
      </c>
      <c r="C344" s="2" t="s">
        <v>75</v>
      </c>
      <c r="D344" s="2" t="s">
        <v>115</v>
      </c>
      <c r="E344" s="2">
        <v>7</v>
      </c>
      <c r="F344" s="2">
        <v>194</v>
      </c>
      <c r="G344" s="2">
        <v>37</v>
      </c>
      <c r="H344" s="2">
        <v>0</v>
      </c>
      <c r="I344" s="2">
        <v>0</v>
      </c>
      <c r="J344" s="2">
        <v>37</v>
      </c>
      <c r="K344" s="267">
        <v>0.19072164948500001</v>
      </c>
    </row>
    <row r="345" spans="1:11" x14ac:dyDescent="0.25">
      <c r="A345" s="2">
        <v>540265</v>
      </c>
      <c r="B345" s="2" t="s">
        <v>308</v>
      </c>
      <c r="C345" s="2" t="s">
        <v>75</v>
      </c>
      <c r="D345" s="2" t="s">
        <v>115</v>
      </c>
      <c r="E345" s="2">
        <v>7</v>
      </c>
      <c r="F345" s="2">
        <v>402</v>
      </c>
      <c r="G345" s="2">
        <v>118</v>
      </c>
      <c r="H345" s="2">
        <v>0</v>
      </c>
      <c r="I345" s="2">
        <v>0</v>
      </c>
      <c r="J345" s="2">
        <v>118</v>
      </c>
      <c r="K345" s="267">
        <v>0.29353233830800002</v>
      </c>
    </row>
    <row r="346" spans="1:11" x14ac:dyDescent="0.25">
      <c r="A346" s="2">
        <v>540266</v>
      </c>
      <c r="B346" s="2" t="s">
        <v>309</v>
      </c>
      <c r="C346" s="2" t="s">
        <v>75</v>
      </c>
      <c r="D346" s="2" t="s">
        <v>115</v>
      </c>
      <c r="E346" s="2">
        <v>7</v>
      </c>
      <c r="F346" s="2">
        <v>293</v>
      </c>
      <c r="G346" s="2">
        <v>22</v>
      </c>
      <c r="H346" s="2">
        <v>0</v>
      </c>
      <c r="I346" s="2">
        <v>0</v>
      </c>
      <c r="J346" s="2">
        <v>22</v>
      </c>
      <c r="K346" s="267">
        <v>7.5085324232100001E-2</v>
      </c>
    </row>
    <row r="347" spans="1:11" x14ac:dyDescent="0.25">
      <c r="A347" s="2">
        <v>540267</v>
      </c>
      <c r="B347" s="2" t="s">
        <v>310</v>
      </c>
      <c r="C347" s="2" t="s">
        <v>75</v>
      </c>
      <c r="D347" s="2" t="s">
        <v>115</v>
      </c>
      <c r="E347" s="2">
        <v>7</v>
      </c>
      <c r="F347" s="2">
        <v>281</v>
      </c>
      <c r="G347" s="2">
        <v>72</v>
      </c>
      <c r="H347" s="2">
        <v>0</v>
      </c>
      <c r="I347" s="2">
        <v>0</v>
      </c>
      <c r="J347" s="2">
        <v>72</v>
      </c>
      <c r="K347" s="267">
        <v>0.25622775800699998</v>
      </c>
    </row>
    <row r="348" spans="1:11" x14ac:dyDescent="0.25">
      <c r="A348" s="2">
        <v>540177</v>
      </c>
      <c r="B348" s="2" t="s">
        <v>248</v>
      </c>
      <c r="C348" s="2" t="s">
        <v>75</v>
      </c>
      <c r="D348" s="2" t="s">
        <v>115</v>
      </c>
      <c r="E348" s="2">
        <v>7</v>
      </c>
      <c r="F348" s="2">
        <v>2325</v>
      </c>
      <c r="G348" s="2">
        <v>298</v>
      </c>
      <c r="H348" s="2">
        <v>9</v>
      </c>
      <c r="I348" s="2">
        <v>0</v>
      </c>
      <c r="J348" s="2">
        <v>289</v>
      </c>
      <c r="K348" s="267">
        <v>0.124301075269</v>
      </c>
    </row>
    <row r="349" spans="1:11" x14ac:dyDescent="0.25">
      <c r="A349" s="2">
        <v>540175</v>
      </c>
      <c r="B349" s="2" t="s">
        <v>74</v>
      </c>
      <c r="C349" s="2" t="s">
        <v>75</v>
      </c>
      <c r="D349" s="2" t="s">
        <v>5</v>
      </c>
      <c r="E349" s="2">
        <v>7</v>
      </c>
      <c r="F349" s="2">
        <v>661204</v>
      </c>
      <c r="G349" s="2">
        <v>25978</v>
      </c>
      <c r="H349" s="2">
        <v>20</v>
      </c>
      <c r="I349" s="2">
        <v>6124</v>
      </c>
      <c r="J349" s="2">
        <v>19834</v>
      </c>
      <c r="K349" s="267">
        <v>2.9996793727800002E-2</v>
      </c>
    </row>
    <row r="350" spans="1:11" x14ac:dyDescent="0.25">
      <c r="A350" s="252"/>
      <c r="B350" s="252"/>
      <c r="C350" s="252" t="s">
        <v>75</v>
      </c>
      <c r="D350" s="252"/>
      <c r="E350" s="252"/>
      <c r="F350" s="252">
        <v>665171</v>
      </c>
      <c r="G350" s="252">
        <v>26654</v>
      </c>
      <c r="H350" s="252">
        <v>29</v>
      </c>
      <c r="I350" s="252">
        <v>6124</v>
      </c>
      <c r="J350" s="252">
        <v>20501</v>
      </c>
      <c r="K350" s="411">
        <v>3.08206461196E-2</v>
      </c>
    </row>
    <row r="351" spans="1:11" x14ac:dyDescent="0.25">
      <c r="A351" s="2">
        <v>540219</v>
      </c>
      <c r="B351" s="2" t="s">
        <v>273</v>
      </c>
      <c r="C351" s="2" t="s">
        <v>95</v>
      </c>
      <c r="D351" s="2" t="s">
        <v>115</v>
      </c>
      <c r="E351" s="2">
        <v>1</v>
      </c>
      <c r="F351" s="2">
        <v>852</v>
      </c>
      <c r="G351" s="2">
        <v>88</v>
      </c>
      <c r="H351" s="2">
        <v>0</v>
      </c>
      <c r="I351" s="2">
        <v>0</v>
      </c>
      <c r="J351" s="2">
        <v>88</v>
      </c>
      <c r="K351" s="267">
        <v>0.103286384977</v>
      </c>
    </row>
    <row r="352" spans="1:11" x14ac:dyDescent="0.25">
      <c r="A352" s="2">
        <v>540220</v>
      </c>
      <c r="B352" s="2" t="s">
        <v>274</v>
      </c>
      <c r="C352" s="2" t="s">
        <v>95</v>
      </c>
      <c r="D352" s="2" t="s">
        <v>115</v>
      </c>
      <c r="E352" s="2">
        <v>1</v>
      </c>
      <c r="F352" s="2">
        <v>518</v>
      </c>
      <c r="G352" s="2">
        <v>52</v>
      </c>
      <c r="H352" s="2">
        <v>0</v>
      </c>
      <c r="I352" s="2">
        <v>0</v>
      </c>
      <c r="J352" s="2">
        <v>52</v>
      </c>
      <c r="K352" s="267">
        <v>0.100386100386</v>
      </c>
    </row>
    <row r="353" spans="1:11" x14ac:dyDescent="0.25">
      <c r="A353" s="2">
        <v>540218</v>
      </c>
      <c r="B353" s="2" t="s">
        <v>272</v>
      </c>
      <c r="C353" s="2" t="s">
        <v>95</v>
      </c>
      <c r="D353" s="2" t="s">
        <v>115</v>
      </c>
      <c r="E353" s="2">
        <v>1</v>
      </c>
      <c r="F353" s="2">
        <v>1213</v>
      </c>
      <c r="G353" s="2">
        <v>52</v>
      </c>
      <c r="H353" s="2">
        <v>0</v>
      </c>
      <c r="I353" s="2">
        <v>0</v>
      </c>
      <c r="J353" s="2">
        <v>52</v>
      </c>
      <c r="K353" s="267">
        <v>4.2868920033000003E-2</v>
      </c>
    </row>
    <row r="354" spans="1:11" x14ac:dyDescent="0.25">
      <c r="A354" s="2">
        <v>540217</v>
      </c>
      <c r="B354" s="2" t="s">
        <v>94</v>
      </c>
      <c r="C354" s="2" t="s">
        <v>95</v>
      </c>
      <c r="D354" s="2" t="s">
        <v>5</v>
      </c>
      <c r="E354" s="2">
        <v>1</v>
      </c>
      <c r="F354" s="2">
        <v>318426</v>
      </c>
      <c r="G354" s="2">
        <v>4232</v>
      </c>
      <c r="H354" s="2">
        <v>380</v>
      </c>
      <c r="I354" s="2">
        <v>0</v>
      </c>
      <c r="J354" s="2">
        <v>3852</v>
      </c>
      <c r="K354" s="267">
        <v>1.20970021292E-2</v>
      </c>
    </row>
    <row r="355" spans="1:11" x14ac:dyDescent="0.25">
      <c r="A355" s="252"/>
      <c r="B355" s="252"/>
      <c r="C355" s="252" t="s">
        <v>95</v>
      </c>
      <c r="D355" s="252"/>
      <c r="E355" s="252"/>
      <c r="F355" s="252">
        <v>321009</v>
      </c>
      <c r="G355" s="252">
        <v>4424</v>
      </c>
      <c r="H355" s="252">
        <v>380</v>
      </c>
      <c r="I355" s="252">
        <v>0</v>
      </c>
      <c r="J355" s="252">
        <v>4044</v>
      </c>
      <c r="K355" s="411">
        <v>1.25977776324E-2</v>
      </c>
    </row>
    <row r="356" spans="1:11" x14ac:dyDescent="0.25">
      <c r="A356" s="2" t="s">
        <v>535</v>
      </c>
      <c r="B356" s="2"/>
      <c r="C356" s="2"/>
      <c r="D356" s="2"/>
      <c r="E356" s="2"/>
      <c r="F356" s="2"/>
      <c r="G356" s="2"/>
      <c r="H356" s="2"/>
      <c r="I356" s="2"/>
      <c r="J356" s="2"/>
      <c r="K356" s="267"/>
    </row>
    <row r="357" spans="1:11" x14ac:dyDescent="0.25">
      <c r="A357" s="2">
        <v>540152</v>
      </c>
      <c r="B357" s="2" t="s">
        <v>229</v>
      </c>
      <c r="C357" s="2" t="s">
        <v>544</v>
      </c>
      <c r="D357" s="2" t="s">
        <v>115</v>
      </c>
      <c r="E357" s="2" t="s">
        <v>545</v>
      </c>
      <c r="F357" s="2">
        <v>10101</v>
      </c>
      <c r="G357" s="2">
        <v>935</v>
      </c>
      <c r="H357" s="2">
        <v>1</v>
      </c>
      <c r="I357" s="2">
        <v>0</v>
      </c>
      <c r="J357" s="2">
        <v>934</v>
      </c>
      <c r="K357" s="267">
        <v>9.2466092466100006E-2</v>
      </c>
    </row>
    <row r="358" spans="1:11" x14ac:dyDescent="0.25">
      <c r="A358" s="2">
        <v>540196</v>
      </c>
      <c r="B358" s="2" t="s">
        <v>259</v>
      </c>
      <c r="C358" s="2" t="s">
        <v>546</v>
      </c>
      <c r="D358" s="2" t="s">
        <v>115</v>
      </c>
      <c r="E358" s="2" t="s">
        <v>547</v>
      </c>
      <c r="F358" s="2">
        <v>542</v>
      </c>
      <c r="G358" s="2">
        <v>60</v>
      </c>
      <c r="H358" s="2">
        <v>0</v>
      </c>
      <c r="I358" s="2">
        <v>0</v>
      </c>
      <c r="J358" s="2">
        <v>60</v>
      </c>
      <c r="K358" s="267">
        <v>0.110701107011</v>
      </c>
    </row>
    <row r="359" spans="1:11" x14ac:dyDescent="0.25">
      <c r="A359" s="2">
        <v>540041</v>
      </c>
      <c r="B359" s="2" t="s">
        <v>142</v>
      </c>
      <c r="C359" s="2" t="s">
        <v>540</v>
      </c>
      <c r="D359" s="2" t="s">
        <v>115</v>
      </c>
      <c r="E359" s="2" t="s">
        <v>541</v>
      </c>
      <c r="F359" s="2">
        <v>611</v>
      </c>
      <c r="G359" s="2">
        <v>126</v>
      </c>
      <c r="H359" s="2">
        <v>0</v>
      </c>
      <c r="I359" s="2">
        <v>0</v>
      </c>
      <c r="J359" s="2">
        <v>126</v>
      </c>
      <c r="K359" s="267">
        <v>0.20621931260199999</v>
      </c>
    </row>
    <row r="360" spans="1:11" x14ac:dyDescent="0.25">
      <c r="A360" s="2">
        <v>540018</v>
      </c>
      <c r="B360" s="2" t="s">
        <v>127</v>
      </c>
      <c r="C360" s="2" t="s">
        <v>538</v>
      </c>
      <c r="D360" s="2" t="s">
        <v>115</v>
      </c>
      <c r="E360" s="2" t="s">
        <v>539</v>
      </c>
      <c r="F360" s="2">
        <v>11784</v>
      </c>
      <c r="G360" s="2">
        <v>394</v>
      </c>
      <c r="H360" s="2">
        <v>0</v>
      </c>
      <c r="I360" s="2">
        <v>0</v>
      </c>
      <c r="J360" s="2">
        <v>394</v>
      </c>
      <c r="K360" s="267">
        <v>3.3435166327199999E-2</v>
      </c>
    </row>
    <row r="361" spans="1:11" x14ac:dyDescent="0.25">
      <c r="A361" s="2">
        <v>540014</v>
      </c>
      <c r="B361" s="2" t="s">
        <v>124</v>
      </c>
      <c r="C361" s="2" t="s">
        <v>536</v>
      </c>
      <c r="D361" s="2" t="s">
        <v>115</v>
      </c>
      <c r="E361" s="2" t="s">
        <v>537</v>
      </c>
      <c r="F361" s="2">
        <v>12182</v>
      </c>
      <c r="G361" s="2">
        <v>389</v>
      </c>
      <c r="H361" s="2">
        <v>7</v>
      </c>
      <c r="I361" s="2">
        <v>0</v>
      </c>
      <c r="J361" s="2">
        <v>382</v>
      </c>
      <c r="K361" s="267">
        <v>3.1357740929199997E-2</v>
      </c>
    </row>
    <row r="362" spans="1:11" x14ac:dyDescent="0.25">
      <c r="A362" s="2">
        <v>540081</v>
      </c>
      <c r="B362" s="2" t="s">
        <v>176</v>
      </c>
      <c r="C362" s="2" t="s">
        <v>542</v>
      </c>
      <c r="D362" s="2" t="s">
        <v>115</v>
      </c>
      <c r="E362" s="2" t="s">
        <v>543</v>
      </c>
      <c r="F362" s="2">
        <v>3723</v>
      </c>
      <c r="G362" s="2">
        <v>214</v>
      </c>
      <c r="H362" s="2">
        <v>24</v>
      </c>
      <c r="I362" s="2">
        <v>0</v>
      </c>
      <c r="J362" s="2">
        <v>190</v>
      </c>
      <c r="K362" s="267">
        <v>5.1034112275000001E-2</v>
      </c>
    </row>
    <row r="363" spans="1:11" x14ac:dyDescent="0.25">
      <c r="A363" s="2">
        <v>540033</v>
      </c>
      <c r="B363" s="2" t="s">
        <v>138</v>
      </c>
      <c r="C363" s="2" t="s">
        <v>1299</v>
      </c>
      <c r="D363" s="2" t="s">
        <v>115</v>
      </c>
      <c r="E363" s="2" t="s">
        <v>1298</v>
      </c>
      <c r="F363" s="2">
        <v>1054</v>
      </c>
      <c r="G363" s="2">
        <v>23</v>
      </c>
      <c r="H363" s="2">
        <v>0</v>
      </c>
      <c r="I363" s="2">
        <v>0</v>
      </c>
      <c r="J363" s="2">
        <v>23</v>
      </c>
      <c r="K363" s="267">
        <v>2.1821631878599999E-2</v>
      </c>
    </row>
    <row r="364" spans="1:11" x14ac:dyDescent="0.25">
      <c r="A364" s="2">
        <v>540029</v>
      </c>
      <c r="B364" s="2" t="s">
        <v>134</v>
      </c>
      <c r="C364" s="2" t="s">
        <v>1299</v>
      </c>
      <c r="D364" s="2" t="s">
        <v>115</v>
      </c>
      <c r="E364" s="2" t="s">
        <v>1298</v>
      </c>
      <c r="F364" s="2">
        <v>1016</v>
      </c>
      <c r="G364" s="2">
        <v>28</v>
      </c>
      <c r="H364" s="2">
        <v>0</v>
      </c>
      <c r="I364" s="2">
        <v>0</v>
      </c>
      <c r="J364" s="2">
        <v>28</v>
      </c>
      <c r="K364" s="267">
        <v>2.7559055118100001E-2</v>
      </c>
    </row>
  </sheetData>
  <sortState ref="A2:J296">
    <sortCondition ref="C2:C296"/>
    <sortCondition descending="1" ref="D2:D296"/>
    <sortCondition ref="B2:B296"/>
  </sortState>
  <hyperlinks>
    <hyperlink ref="L2" r:id="rId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51"/>
  <sheetViews>
    <sheetView workbookViewId="0">
      <selection activeCell="B4" sqref="B4"/>
    </sheetView>
  </sheetViews>
  <sheetFormatPr defaultRowHeight="15" x14ac:dyDescent="0.25"/>
  <cols>
    <col min="1" max="1" width="7" bestFit="1" customWidth="1"/>
    <col min="2" max="2" width="38.42578125" bestFit="1" customWidth="1"/>
    <col min="3" max="3" width="22.42578125" bestFit="1" customWidth="1"/>
    <col min="4" max="4" width="27.85546875" bestFit="1" customWidth="1"/>
    <col min="5" max="5" width="16.140625" bestFit="1" customWidth="1"/>
    <col min="6" max="6" width="18.7109375" bestFit="1" customWidth="1"/>
    <col min="7" max="7" width="22.7109375" style="112" bestFit="1" customWidth="1"/>
    <col min="8" max="8" width="19.28515625" bestFit="1" customWidth="1"/>
    <col min="9" max="9" width="23.28515625" style="112" bestFit="1" customWidth="1"/>
    <col min="10" max="10" width="18.28515625" bestFit="1" customWidth="1"/>
    <col min="11" max="11" width="22.28515625" style="275" bestFit="1" customWidth="1"/>
    <col min="12" max="12" width="19.28515625" bestFit="1" customWidth="1"/>
    <col min="13" max="13" width="23.28515625" style="112" bestFit="1" customWidth="1"/>
    <col min="14" max="14" width="19.85546875" bestFit="1" customWidth="1"/>
    <col min="15" max="15" width="23.85546875" style="112" bestFit="1" customWidth="1"/>
    <col min="16" max="16" width="18.85546875" bestFit="1" customWidth="1"/>
    <col min="17" max="17" width="22.85546875" style="112" bestFit="1" customWidth="1"/>
    <col min="18" max="18" width="18.28515625" bestFit="1" customWidth="1"/>
    <col min="19" max="19" width="22.28515625" bestFit="1" customWidth="1"/>
    <col min="20" max="20" width="18.85546875" bestFit="1" customWidth="1"/>
    <col min="21" max="21" width="22.85546875" bestFit="1" customWidth="1"/>
    <col min="22" max="22" width="17.85546875" bestFit="1" customWidth="1"/>
    <col min="23" max="23" width="21.85546875" bestFit="1" customWidth="1"/>
    <col min="24" max="24" width="17" bestFit="1" customWidth="1"/>
    <col min="25" max="25" width="21" bestFit="1" customWidth="1"/>
    <col min="26" max="26" width="17.7109375" bestFit="1" customWidth="1"/>
    <col min="27" max="27" width="21.7109375" bestFit="1" customWidth="1"/>
    <col min="28" max="28" width="16.5703125" bestFit="1" customWidth="1"/>
    <col min="29" max="29" width="20.5703125" style="112" bestFit="1" customWidth="1"/>
    <col min="30" max="30" width="12.85546875" bestFit="1" customWidth="1"/>
    <col min="31" max="31" width="16.85546875" bestFit="1" customWidth="1"/>
    <col min="32" max="32" width="13.5703125" bestFit="1" customWidth="1"/>
    <col min="33" max="33" width="17.5703125" style="112" bestFit="1" customWidth="1"/>
    <col min="34" max="34" width="12.42578125" bestFit="1" customWidth="1"/>
    <col min="35" max="35" width="16.42578125" style="112" bestFit="1" customWidth="1"/>
    <col min="36" max="36" width="14.140625" bestFit="1" customWidth="1"/>
    <col min="37" max="37" width="18.140625" bestFit="1" customWidth="1"/>
    <col min="38" max="38" width="14.7109375" bestFit="1" customWidth="1"/>
    <col min="39" max="39" width="18.7109375" style="112" bestFit="1" customWidth="1"/>
    <col min="40" max="40" width="13.7109375" bestFit="1" customWidth="1"/>
    <col min="41" max="41" width="17.7109375" style="112" bestFit="1" customWidth="1"/>
    <col min="42" max="42" width="15.28515625" bestFit="1" customWidth="1"/>
    <col min="43" max="43" width="19.28515625" bestFit="1" customWidth="1"/>
    <col min="44" max="44" width="15.85546875" bestFit="1" customWidth="1"/>
    <col min="45" max="45" width="19.85546875" bestFit="1" customWidth="1"/>
    <col min="46" max="46" width="14.85546875" bestFit="1" customWidth="1"/>
    <col min="47" max="47" width="18.85546875" bestFit="1" customWidth="1"/>
    <col min="49" max="49" width="9.42578125" bestFit="1" customWidth="1"/>
    <col min="50" max="50" width="111.5703125" bestFit="1" customWidth="1"/>
  </cols>
  <sheetData>
    <row r="1" spans="1:50" x14ac:dyDescent="0.25">
      <c r="A1" s="251" t="s">
        <v>0</v>
      </c>
      <c r="B1" s="251" t="s">
        <v>1</v>
      </c>
      <c r="C1" s="251" t="s">
        <v>2</v>
      </c>
      <c r="D1" s="251" t="s">
        <v>512</v>
      </c>
      <c r="E1" s="251" t="s">
        <v>403</v>
      </c>
      <c r="F1" s="251" t="s">
        <v>5626</v>
      </c>
      <c r="G1" s="251" t="s">
        <v>2214</v>
      </c>
      <c r="H1" s="251" t="s">
        <v>2215</v>
      </c>
      <c r="I1" s="251" t="s">
        <v>5627</v>
      </c>
      <c r="J1" s="251" t="s">
        <v>2216</v>
      </c>
      <c r="K1" s="251" t="s">
        <v>5628</v>
      </c>
      <c r="L1" s="251" t="s">
        <v>5629</v>
      </c>
      <c r="M1" s="251" t="s">
        <v>5630</v>
      </c>
      <c r="N1" s="251" t="s">
        <v>2217</v>
      </c>
      <c r="O1" s="251" t="s">
        <v>5631</v>
      </c>
      <c r="P1" s="251" t="s">
        <v>2218</v>
      </c>
      <c r="Q1" s="251" t="s">
        <v>5632</v>
      </c>
      <c r="R1" s="251" t="s">
        <v>2219</v>
      </c>
      <c r="S1" s="251" t="s">
        <v>5633</v>
      </c>
      <c r="T1" s="251" t="s">
        <v>2220</v>
      </c>
      <c r="U1" s="251" t="s">
        <v>5634</v>
      </c>
      <c r="V1" s="251" t="s">
        <v>2221</v>
      </c>
      <c r="W1" s="251" t="s">
        <v>5635</v>
      </c>
      <c r="X1" s="251" t="s">
        <v>2222</v>
      </c>
      <c r="Y1" s="251" t="s">
        <v>5636</v>
      </c>
      <c r="Z1" s="251" t="s">
        <v>2223</v>
      </c>
      <c r="AA1" s="251" t="s">
        <v>5637</v>
      </c>
      <c r="AB1" s="251" t="s">
        <v>2224</v>
      </c>
      <c r="AC1" s="251" t="s">
        <v>5638</v>
      </c>
      <c r="AD1" s="251" t="s">
        <v>2225</v>
      </c>
      <c r="AE1" s="251" t="s">
        <v>5639</v>
      </c>
      <c r="AF1" s="251" t="s">
        <v>2226</v>
      </c>
      <c r="AG1" s="251" t="s">
        <v>5640</v>
      </c>
      <c r="AH1" s="251" t="s">
        <v>2227</v>
      </c>
      <c r="AI1" s="251" t="s">
        <v>5641</v>
      </c>
      <c r="AJ1" s="251" t="s">
        <v>2228</v>
      </c>
      <c r="AK1" s="251" t="s">
        <v>5642</v>
      </c>
      <c r="AL1" s="251" t="s">
        <v>2229</v>
      </c>
      <c r="AM1" s="251" t="s">
        <v>5643</v>
      </c>
      <c r="AN1" s="251" t="s">
        <v>2230</v>
      </c>
      <c r="AO1" s="251" t="s">
        <v>5644</v>
      </c>
      <c r="AP1" s="251" t="s">
        <v>2231</v>
      </c>
      <c r="AQ1" s="251" t="s">
        <v>5645</v>
      </c>
      <c r="AR1" s="251" t="s">
        <v>2232</v>
      </c>
      <c r="AS1" s="251" t="s">
        <v>5646</v>
      </c>
      <c r="AT1" s="251" t="s">
        <v>2233</v>
      </c>
      <c r="AU1" s="251" t="s">
        <v>5647</v>
      </c>
      <c r="AW1" s="394" t="s">
        <v>1325</v>
      </c>
      <c r="AX1" t="s">
        <v>5648</v>
      </c>
    </row>
    <row r="2" spans="1:50" x14ac:dyDescent="0.25">
      <c r="A2" s="117">
        <v>540001</v>
      </c>
      <c r="B2" s="2" t="s">
        <v>3</v>
      </c>
      <c r="C2" s="2" t="s">
        <v>4</v>
      </c>
      <c r="D2" s="2" t="s">
        <v>5</v>
      </c>
      <c r="E2" s="117">
        <v>7</v>
      </c>
      <c r="F2" s="117">
        <v>57</v>
      </c>
      <c r="G2" s="117">
        <v>2674200</v>
      </c>
      <c r="H2" s="117">
        <v>604</v>
      </c>
      <c r="I2" s="117">
        <v>28171500</v>
      </c>
      <c r="J2" s="117">
        <v>5498</v>
      </c>
      <c r="K2" s="117">
        <v>295099300</v>
      </c>
      <c r="L2" s="117">
        <v>0</v>
      </c>
      <c r="M2" s="117">
        <v>0</v>
      </c>
      <c r="N2" s="117">
        <v>0</v>
      </c>
      <c r="O2" s="117">
        <v>0</v>
      </c>
      <c r="P2" s="117">
        <v>85</v>
      </c>
      <c r="Q2" s="117">
        <v>9520400</v>
      </c>
      <c r="R2" s="117">
        <v>0</v>
      </c>
      <c r="S2" s="117">
        <v>0</v>
      </c>
      <c r="T2" s="117">
        <v>0</v>
      </c>
      <c r="U2" s="117">
        <v>0</v>
      </c>
      <c r="V2" s="117">
        <v>0</v>
      </c>
      <c r="W2" s="117">
        <v>0</v>
      </c>
      <c r="X2" s="117">
        <v>0</v>
      </c>
      <c r="Y2" s="117">
        <v>0</v>
      </c>
      <c r="Z2" s="117">
        <v>1</v>
      </c>
      <c r="AA2" s="117">
        <v>79000</v>
      </c>
      <c r="AB2" s="117">
        <v>4</v>
      </c>
      <c r="AC2" s="117">
        <v>2075100</v>
      </c>
      <c r="AD2" s="117">
        <v>48</v>
      </c>
      <c r="AE2" s="117">
        <v>2364200</v>
      </c>
      <c r="AF2" s="117">
        <v>326</v>
      </c>
      <c r="AG2" s="117">
        <v>17552200</v>
      </c>
      <c r="AH2" s="117">
        <v>2085</v>
      </c>
      <c r="AI2" s="117">
        <v>118807000</v>
      </c>
      <c r="AJ2" s="117">
        <v>0</v>
      </c>
      <c r="AK2" s="117">
        <v>0</v>
      </c>
      <c r="AL2" s="117">
        <v>1</v>
      </c>
      <c r="AM2" s="117">
        <v>1300</v>
      </c>
      <c r="AN2" s="117">
        <v>14</v>
      </c>
      <c r="AO2" s="117">
        <v>119100</v>
      </c>
      <c r="AP2" s="117">
        <v>1</v>
      </c>
      <c r="AQ2" s="117">
        <v>37800</v>
      </c>
      <c r="AR2" s="117">
        <v>14</v>
      </c>
      <c r="AS2" s="117">
        <v>897500</v>
      </c>
      <c r="AT2" s="117">
        <v>344</v>
      </c>
      <c r="AU2" s="117">
        <v>29507300</v>
      </c>
      <c r="AW2" s="394" t="s">
        <v>1326</v>
      </c>
      <c r="AX2" s="254" t="s">
        <v>5649</v>
      </c>
    </row>
    <row r="3" spans="1:50" x14ac:dyDescent="0.25">
      <c r="A3" s="117">
        <v>540002</v>
      </c>
      <c r="B3" s="2" t="s">
        <v>114</v>
      </c>
      <c r="C3" s="2" t="s">
        <v>4</v>
      </c>
      <c r="D3" s="2" t="s">
        <v>115</v>
      </c>
      <c r="E3" s="117">
        <v>7</v>
      </c>
      <c r="F3" s="117">
        <v>1</v>
      </c>
      <c r="G3" s="117">
        <v>4800</v>
      </c>
      <c r="H3" s="117">
        <v>19</v>
      </c>
      <c r="I3" s="117">
        <v>310300</v>
      </c>
      <c r="J3" s="117">
        <v>1178</v>
      </c>
      <c r="K3" s="117">
        <v>47676700</v>
      </c>
      <c r="L3" s="117">
        <v>0</v>
      </c>
      <c r="M3" s="117">
        <v>0</v>
      </c>
      <c r="N3" s="117">
        <v>0</v>
      </c>
      <c r="O3" s="117">
        <v>0</v>
      </c>
      <c r="P3" s="117">
        <v>52</v>
      </c>
      <c r="Q3" s="117">
        <v>5107700</v>
      </c>
      <c r="R3" s="117">
        <v>0</v>
      </c>
      <c r="S3" s="117">
        <v>0</v>
      </c>
      <c r="T3" s="117">
        <v>0</v>
      </c>
      <c r="U3" s="117">
        <v>0</v>
      </c>
      <c r="V3" s="117">
        <v>0</v>
      </c>
      <c r="W3" s="117">
        <v>0</v>
      </c>
      <c r="X3" s="117">
        <v>0</v>
      </c>
      <c r="Y3" s="117">
        <v>0</v>
      </c>
      <c r="Z3" s="117">
        <v>0</v>
      </c>
      <c r="AA3" s="117">
        <v>0</v>
      </c>
      <c r="AB3" s="117">
        <v>8</v>
      </c>
      <c r="AC3" s="117">
        <v>622500</v>
      </c>
      <c r="AD3" s="117">
        <v>1</v>
      </c>
      <c r="AE3" s="117">
        <v>29400</v>
      </c>
      <c r="AF3" s="117">
        <v>0</v>
      </c>
      <c r="AG3" s="117">
        <v>0</v>
      </c>
      <c r="AH3" s="117">
        <v>14</v>
      </c>
      <c r="AI3" s="117">
        <v>723600</v>
      </c>
      <c r="AJ3" s="117">
        <v>0</v>
      </c>
      <c r="AK3" s="117">
        <v>0</v>
      </c>
      <c r="AL3" s="117">
        <v>0</v>
      </c>
      <c r="AM3" s="117">
        <v>0</v>
      </c>
      <c r="AN3" s="117">
        <v>1</v>
      </c>
      <c r="AO3" s="117">
        <v>153500</v>
      </c>
      <c r="AP3" s="117">
        <v>0</v>
      </c>
      <c r="AQ3" s="117">
        <v>0</v>
      </c>
      <c r="AR3" s="117">
        <v>1</v>
      </c>
      <c r="AS3" s="117">
        <v>4000</v>
      </c>
      <c r="AT3" s="117">
        <v>55</v>
      </c>
      <c r="AU3" s="117">
        <v>3497500</v>
      </c>
    </row>
    <row r="4" spans="1:50" x14ac:dyDescent="0.25">
      <c r="A4" s="117">
        <v>540003</v>
      </c>
      <c r="B4" s="2" t="s">
        <v>116</v>
      </c>
      <c r="C4" s="2" t="s">
        <v>4</v>
      </c>
      <c r="D4" s="2" t="s">
        <v>115</v>
      </c>
      <c r="E4" s="117">
        <v>7</v>
      </c>
      <c r="F4" s="117">
        <v>0</v>
      </c>
      <c r="G4" s="117">
        <v>0</v>
      </c>
      <c r="H4" s="117">
        <v>5</v>
      </c>
      <c r="I4" s="117">
        <v>101000</v>
      </c>
      <c r="J4" s="117">
        <v>237</v>
      </c>
      <c r="K4" s="117">
        <v>6050700</v>
      </c>
      <c r="L4" s="117">
        <v>0</v>
      </c>
      <c r="M4" s="117">
        <v>0</v>
      </c>
      <c r="N4" s="117">
        <v>0</v>
      </c>
      <c r="O4" s="117">
        <v>0</v>
      </c>
      <c r="P4" s="117">
        <v>12</v>
      </c>
      <c r="Q4" s="117">
        <v>790900</v>
      </c>
      <c r="R4" s="117">
        <v>0</v>
      </c>
      <c r="S4" s="117">
        <v>0</v>
      </c>
      <c r="T4" s="117">
        <v>0</v>
      </c>
      <c r="U4" s="117">
        <v>0</v>
      </c>
      <c r="V4" s="117">
        <v>0</v>
      </c>
      <c r="W4" s="117">
        <v>0</v>
      </c>
      <c r="X4" s="117">
        <v>0</v>
      </c>
      <c r="Y4" s="117">
        <v>0</v>
      </c>
      <c r="Z4" s="117">
        <v>0</v>
      </c>
      <c r="AA4" s="117">
        <v>0</v>
      </c>
      <c r="AB4" s="117">
        <v>0</v>
      </c>
      <c r="AC4" s="117">
        <v>0</v>
      </c>
      <c r="AD4" s="117">
        <v>0</v>
      </c>
      <c r="AE4" s="117">
        <v>0</v>
      </c>
      <c r="AF4" s="117">
        <v>0</v>
      </c>
      <c r="AG4" s="117">
        <v>0</v>
      </c>
      <c r="AH4" s="117">
        <v>0</v>
      </c>
      <c r="AI4" s="117">
        <v>0</v>
      </c>
      <c r="AJ4" s="117">
        <v>0</v>
      </c>
      <c r="AK4" s="117">
        <v>0</v>
      </c>
      <c r="AL4" s="117">
        <v>0</v>
      </c>
      <c r="AM4" s="117">
        <v>0</v>
      </c>
      <c r="AN4" s="117">
        <v>0</v>
      </c>
      <c r="AO4" s="117">
        <v>0</v>
      </c>
      <c r="AP4" s="117">
        <v>0</v>
      </c>
      <c r="AQ4" s="117">
        <v>0</v>
      </c>
      <c r="AR4" s="117">
        <v>0</v>
      </c>
      <c r="AS4" s="117">
        <v>0</v>
      </c>
      <c r="AT4" s="117">
        <v>23</v>
      </c>
      <c r="AU4" s="117">
        <v>464700</v>
      </c>
    </row>
    <row r="5" spans="1:50" x14ac:dyDescent="0.25">
      <c r="A5" s="117">
        <v>540004</v>
      </c>
      <c r="B5" s="2" t="s">
        <v>117</v>
      </c>
      <c r="C5" s="2" t="s">
        <v>4</v>
      </c>
      <c r="D5" s="2" t="s">
        <v>115</v>
      </c>
      <c r="E5" s="117">
        <v>7</v>
      </c>
      <c r="F5" s="117">
        <v>16</v>
      </c>
      <c r="G5" s="117">
        <v>807300</v>
      </c>
      <c r="H5" s="117">
        <v>77</v>
      </c>
      <c r="I5" s="117">
        <v>3361600</v>
      </c>
      <c r="J5" s="117">
        <v>894</v>
      </c>
      <c r="K5" s="117">
        <v>50152500</v>
      </c>
      <c r="L5" s="117">
        <v>1</v>
      </c>
      <c r="M5" s="117">
        <v>36500</v>
      </c>
      <c r="N5" s="117">
        <v>2</v>
      </c>
      <c r="O5" s="117">
        <v>194000</v>
      </c>
      <c r="P5" s="117">
        <v>75</v>
      </c>
      <c r="Q5" s="117">
        <v>11139500</v>
      </c>
      <c r="R5" s="117">
        <v>0</v>
      </c>
      <c r="S5" s="117">
        <v>0</v>
      </c>
      <c r="T5" s="117">
        <v>0</v>
      </c>
      <c r="U5" s="117">
        <v>0</v>
      </c>
      <c r="V5" s="117">
        <v>3</v>
      </c>
      <c r="W5" s="117">
        <v>1578200</v>
      </c>
      <c r="X5" s="117">
        <v>0</v>
      </c>
      <c r="Y5" s="117">
        <v>0</v>
      </c>
      <c r="Z5" s="117">
        <v>0</v>
      </c>
      <c r="AA5" s="117">
        <v>0</v>
      </c>
      <c r="AB5" s="117">
        <v>0</v>
      </c>
      <c r="AC5" s="117">
        <v>0</v>
      </c>
      <c r="AD5" s="117">
        <v>0</v>
      </c>
      <c r="AE5" s="117">
        <v>0</v>
      </c>
      <c r="AF5" s="117">
        <v>2</v>
      </c>
      <c r="AG5" s="117">
        <v>118100</v>
      </c>
      <c r="AH5" s="117">
        <v>5</v>
      </c>
      <c r="AI5" s="117">
        <v>168500</v>
      </c>
      <c r="AJ5" s="117">
        <v>0</v>
      </c>
      <c r="AK5" s="117">
        <v>0</v>
      </c>
      <c r="AL5" s="117">
        <v>1</v>
      </c>
      <c r="AM5" s="117">
        <v>5000</v>
      </c>
      <c r="AN5" s="117">
        <v>1</v>
      </c>
      <c r="AO5" s="117">
        <v>400</v>
      </c>
      <c r="AP5" s="117">
        <v>2</v>
      </c>
      <c r="AQ5" s="117">
        <v>34900</v>
      </c>
      <c r="AR5" s="117">
        <v>5</v>
      </c>
      <c r="AS5" s="117">
        <v>94900</v>
      </c>
      <c r="AT5" s="117">
        <v>118</v>
      </c>
      <c r="AU5" s="117">
        <v>47538000</v>
      </c>
    </row>
    <row r="6" spans="1:50" x14ac:dyDescent="0.25">
      <c r="A6" s="269"/>
      <c r="B6" s="269"/>
      <c r="C6" s="269" t="s">
        <v>4</v>
      </c>
      <c r="D6" s="269"/>
      <c r="E6" s="269"/>
      <c r="F6" s="270">
        <v>74</v>
      </c>
      <c r="G6" s="270">
        <v>3486300</v>
      </c>
      <c r="H6" s="270">
        <v>705</v>
      </c>
      <c r="I6" s="270">
        <v>31944400</v>
      </c>
      <c r="J6" s="270">
        <v>7807</v>
      </c>
      <c r="K6" s="270">
        <v>398979200</v>
      </c>
      <c r="L6" s="270">
        <v>1</v>
      </c>
      <c r="M6" s="270">
        <v>36500</v>
      </c>
      <c r="N6" s="270">
        <v>2</v>
      </c>
      <c r="O6" s="270">
        <v>194000</v>
      </c>
      <c r="P6" s="270">
        <v>224</v>
      </c>
      <c r="Q6" s="270">
        <v>26558500</v>
      </c>
      <c r="R6" s="270">
        <v>0</v>
      </c>
      <c r="S6" s="270">
        <v>0</v>
      </c>
      <c r="T6" s="270">
        <v>0</v>
      </c>
      <c r="U6" s="270">
        <v>0</v>
      </c>
      <c r="V6" s="270">
        <v>3</v>
      </c>
      <c r="W6" s="270">
        <v>1578200</v>
      </c>
      <c r="X6" s="270">
        <v>0</v>
      </c>
      <c r="Y6" s="270">
        <v>0</v>
      </c>
      <c r="Z6" s="270">
        <v>1</v>
      </c>
      <c r="AA6" s="270">
        <v>79000</v>
      </c>
      <c r="AB6" s="270">
        <v>12</v>
      </c>
      <c r="AC6" s="270">
        <v>2697600</v>
      </c>
      <c r="AD6" s="270">
        <v>49</v>
      </c>
      <c r="AE6" s="270">
        <v>2393600</v>
      </c>
      <c r="AF6" s="270">
        <v>328</v>
      </c>
      <c r="AG6" s="270">
        <v>17670300</v>
      </c>
      <c r="AH6" s="270">
        <v>2104</v>
      </c>
      <c r="AI6" s="270">
        <v>119699100</v>
      </c>
      <c r="AJ6" s="270">
        <v>0</v>
      </c>
      <c r="AK6" s="270">
        <v>0</v>
      </c>
      <c r="AL6" s="270">
        <v>2</v>
      </c>
      <c r="AM6" s="270">
        <v>6300</v>
      </c>
      <c r="AN6" s="270">
        <v>16</v>
      </c>
      <c r="AO6" s="270">
        <v>273000</v>
      </c>
      <c r="AP6" s="270">
        <v>3</v>
      </c>
      <c r="AQ6" s="270">
        <v>72700</v>
      </c>
      <c r="AR6" s="270">
        <v>20</v>
      </c>
      <c r="AS6" s="270">
        <v>996400</v>
      </c>
      <c r="AT6" s="270">
        <v>540</v>
      </c>
      <c r="AU6" s="270">
        <v>81007500</v>
      </c>
    </row>
    <row r="7" spans="1:50" x14ac:dyDescent="0.25">
      <c r="A7" s="117">
        <v>540007</v>
      </c>
      <c r="B7" s="2" t="s">
        <v>6</v>
      </c>
      <c r="C7" s="2" t="s">
        <v>7</v>
      </c>
      <c r="D7" s="2" t="s">
        <v>5</v>
      </c>
      <c r="E7" s="117">
        <v>3</v>
      </c>
      <c r="F7" s="117">
        <v>324</v>
      </c>
      <c r="G7" s="117">
        <v>10558200</v>
      </c>
      <c r="H7" s="117">
        <v>890</v>
      </c>
      <c r="I7" s="117">
        <v>30685600</v>
      </c>
      <c r="J7" s="117">
        <v>5456</v>
      </c>
      <c r="K7" s="117">
        <v>189513900</v>
      </c>
      <c r="L7" s="117">
        <v>2</v>
      </c>
      <c r="M7" s="117">
        <v>224900</v>
      </c>
      <c r="N7" s="117">
        <v>16</v>
      </c>
      <c r="O7" s="117">
        <v>1571100</v>
      </c>
      <c r="P7" s="117">
        <v>84</v>
      </c>
      <c r="Q7" s="117">
        <v>30137900</v>
      </c>
      <c r="R7" s="117">
        <v>0</v>
      </c>
      <c r="S7" s="117">
        <v>0</v>
      </c>
      <c r="T7" s="117">
        <v>0</v>
      </c>
      <c r="U7" s="117">
        <v>0</v>
      </c>
      <c r="V7" s="117">
        <v>0</v>
      </c>
      <c r="W7" s="117">
        <v>0</v>
      </c>
      <c r="X7" s="117">
        <v>0</v>
      </c>
      <c r="Y7" s="117">
        <v>0</v>
      </c>
      <c r="Z7" s="117">
        <v>1</v>
      </c>
      <c r="AA7" s="117">
        <v>2000</v>
      </c>
      <c r="AB7" s="117">
        <v>8</v>
      </c>
      <c r="AC7" s="117">
        <v>127500</v>
      </c>
      <c r="AD7" s="117">
        <v>3</v>
      </c>
      <c r="AE7" s="117">
        <v>73400</v>
      </c>
      <c r="AF7" s="117">
        <v>9</v>
      </c>
      <c r="AG7" s="117">
        <v>376400</v>
      </c>
      <c r="AH7" s="117">
        <v>15</v>
      </c>
      <c r="AI7" s="117">
        <v>462000</v>
      </c>
      <c r="AJ7" s="117">
        <v>1</v>
      </c>
      <c r="AK7" s="117">
        <v>200</v>
      </c>
      <c r="AL7" s="117">
        <v>8</v>
      </c>
      <c r="AM7" s="117">
        <v>16600</v>
      </c>
      <c r="AN7" s="117">
        <v>19</v>
      </c>
      <c r="AO7" s="117">
        <v>15400</v>
      </c>
      <c r="AP7" s="117">
        <v>3</v>
      </c>
      <c r="AQ7" s="117">
        <v>14000</v>
      </c>
      <c r="AR7" s="117">
        <v>19</v>
      </c>
      <c r="AS7" s="117">
        <v>192500</v>
      </c>
      <c r="AT7" s="117">
        <v>228</v>
      </c>
      <c r="AU7" s="117">
        <v>6347500</v>
      </c>
    </row>
    <row r="8" spans="1:50" x14ac:dyDescent="0.25">
      <c r="A8" s="117">
        <v>540008</v>
      </c>
      <c r="B8" s="2" t="s">
        <v>120</v>
      </c>
      <c r="C8" s="2" t="s">
        <v>7</v>
      </c>
      <c r="D8" s="2" t="s">
        <v>115</v>
      </c>
      <c r="E8" s="117">
        <v>3</v>
      </c>
      <c r="F8" s="117">
        <v>8</v>
      </c>
      <c r="G8" s="117">
        <v>497700</v>
      </c>
      <c r="H8" s="117">
        <v>71</v>
      </c>
      <c r="I8" s="117">
        <v>2474300</v>
      </c>
      <c r="J8" s="117">
        <v>1184</v>
      </c>
      <c r="K8" s="117">
        <v>89865000</v>
      </c>
      <c r="L8" s="117">
        <v>0</v>
      </c>
      <c r="M8" s="117">
        <v>0</v>
      </c>
      <c r="N8" s="117">
        <v>4</v>
      </c>
      <c r="O8" s="117">
        <v>94000</v>
      </c>
      <c r="P8" s="117">
        <v>53</v>
      </c>
      <c r="Q8" s="117">
        <v>8141700</v>
      </c>
      <c r="R8" s="117">
        <v>0</v>
      </c>
      <c r="S8" s="117">
        <v>0</v>
      </c>
      <c r="T8" s="117">
        <v>1</v>
      </c>
      <c r="U8" s="117">
        <v>46700</v>
      </c>
      <c r="V8" s="117">
        <v>5</v>
      </c>
      <c r="W8" s="117">
        <v>691400</v>
      </c>
      <c r="X8" s="117">
        <v>0</v>
      </c>
      <c r="Y8" s="117">
        <v>0</v>
      </c>
      <c r="Z8" s="117">
        <v>0</v>
      </c>
      <c r="AA8" s="117">
        <v>0</v>
      </c>
      <c r="AB8" s="117">
        <v>0</v>
      </c>
      <c r="AC8" s="117">
        <v>0</v>
      </c>
      <c r="AD8" s="117">
        <v>0</v>
      </c>
      <c r="AE8" s="117">
        <v>0</v>
      </c>
      <c r="AF8" s="117">
        <v>0</v>
      </c>
      <c r="AG8" s="117">
        <v>0</v>
      </c>
      <c r="AH8" s="117">
        <v>0</v>
      </c>
      <c r="AI8" s="117">
        <v>0</v>
      </c>
      <c r="AJ8" s="117">
        <v>0</v>
      </c>
      <c r="AK8" s="117">
        <v>0</v>
      </c>
      <c r="AL8" s="117">
        <v>1</v>
      </c>
      <c r="AM8" s="117">
        <v>1500</v>
      </c>
      <c r="AN8" s="117">
        <v>9</v>
      </c>
      <c r="AO8" s="117">
        <v>284500</v>
      </c>
      <c r="AP8" s="117">
        <v>1</v>
      </c>
      <c r="AQ8" s="117">
        <v>100</v>
      </c>
      <c r="AR8" s="117">
        <v>3</v>
      </c>
      <c r="AS8" s="117">
        <v>1100</v>
      </c>
      <c r="AT8" s="117">
        <v>78</v>
      </c>
      <c r="AU8" s="117">
        <v>8413600</v>
      </c>
    </row>
    <row r="9" spans="1:50" x14ac:dyDescent="0.25">
      <c r="A9" s="117">
        <v>540229</v>
      </c>
      <c r="B9" s="2" t="s">
        <v>279</v>
      </c>
      <c r="C9" s="2" t="s">
        <v>7</v>
      </c>
      <c r="D9" s="2" t="s">
        <v>115</v>
      </c>
      <c r="E9" s="117">
        <v>3</v>
      </c>
      <c r="F9" s="117">
        <v>0</v>
      </c>
      <c r="G9" s="117">
        <v>0</v>
      </c>
      <c r="H9" s="117">
        <v>11</v>
      </c>
      <c r="I9" s="117">
        <v>217200</v>
      </c>
      <c r="J9" s="117">
        <v>111</v>
      </c>
      <c r="K9" s="117">
        <v>2528900</v>
      </c>
      <c r="L9" s="117">
        <v>0</v>
      </c>
      <c r="M9" s="117">
        <v>0</v>
      </c>
      <c r="N9" s="117">
        <v>0</v>
      </c>
      <c r="O9" s="117">
        <v>0</v>
      </c>
      <c r="P9" s="117">
        <v>49</v>
      </c>
      <c r="Q9" s="117">
        <v>3328200</v>
      </c>
      <c r="R9" s="117">
        <v>0</v>
      </c>
      <c r="S9" s="117">
        <v>0</v>
      </c>
      <c r="T9" s="117">
        <v>0</v>
      </c>
      <c r="U9" s="117">
        <v>0</v>
      </c>
      <c r="V9" s="117">
        <v>1</v>
      </c>
      <c r="W9" s="117">
        <v>63100</v>
      </c>
      <c r="X9" s="117">
        <v>0</v>
      </c>
      <c r="Y9" s="117">
        <v>0</v>
      </c>
      <c r="Z9" s="117">
        <v>0</v>
      </c>
      <c r="AA9" s="117">
        <v>0</v>
      </c>
      <c r="AB9" s="117">
        <v>0</v>
      </c>
      <c r="AC9" s="117">
        <v>0</v>
      </c>
      <c r="AD9" s="117">
        <v>0</v>
      </c>
      <c r="AE9" s="117">
        <v>0</v>
      </c>
      <c r="AF9" s="117">
        <v>0</v>
      </c>
      <c r="AG9" s="117">
        <v>0</v>
      </c>
      <c r="AH9" s="117">
        <v>0</v>
      </c>
      <c r="AI9" s="117">
        <v>0</v>
      </c>
      <c r="AJ9" s="117">
        <v>0</v>
      </c>
      <c r="AK9" s="117">
        <v>0</v>
      </c>
      <c r="AL9" s="117">
        <v>0</v>
      </c>
      <c r="AM9" s="117">
        <v>0</v>
      </c>
      <c r="AN9" s="117">
        <v>1</v>
      </c>
      <c r="AO9" s="117">
        <v>1000</v>
      </c>
      <c r="AP9" s="117">
        <v>0</v>
      </c>
      <c r="AQ9" s="117">
        <v>0</v>
      </c>
      <c r="AR9" s="117">
        <v>0</v>
      </c>
      <c r="AS9" s="117">
        <v>0</v>
      </c>
      <c r="AT9" s="117">
        <v>16</v>
      </c>
      <c r="AU9" s="117">
        <v>2000300</v>
      </c>
    </row>
    <row r="10" spans="1:50" x14ac:dyDescent="0.25">
      <c r="A10" s="117">
        <v>540230</v>
      </c>
      <c r="B10" s="2" t="s">
        <v>280</v>
      </c>
      <c r="C10" s="2" t="s">
        <v>7</v>
      </c>
      <c r="D10" s="2" t="s">
        <v>115</v>
      </c>
      <c r="E10" s="117">
        <v>3</v>
      </c>
      <c r="F10" s="117">
        <v>6</v>
      </c>
      <c r="G10" s="117">
        <v>255400</v>
      </c>
      <c r="H10" s="117">
        <v>16</v>
      </c>
      <c r="I10" s="117">
        <v>517000</v>
      </c>
      <c r="J10" s="117">
        <v>117</v>
      </c>
      <c r="K10" s="117">
        <v>5506800</v>
      </c>
      <c r="L10" s="117">
        <v>0</v>
      </c>
      <c r="M10" s="117">
        <v>0</v>
      </c>
      <c r="N10" s="117">
        <v>1</v>
      </c>
      <c r="O10" s="117">
        <v>114900</v>
      </c>
      <c r="P10" s="117">
        <v>19</v>
      </c>
      <c r="Q10" s="117">
        <v>1931100</v>
      </c>
      <c r="R10" s="117">
        <v>0</v>
      </c>
      <c r="S10" s="117">
        <v>0</v>
      </c>
      <c r="T10" s="117">
        <v>0</v>
      </c>
      <c r="U10" s="117">
        <v>0</v>
      </c>
      <c r="V10" s="117">
        <v>0</v>
      </c>
      <c r="W10" s="117">
        <v>0</v>
      </c>
      <c r="X10" s="117">
        <v>0</v>
      </c>
      <c r="Y10" s="117">
        <v>0</v>
      </c>
      <c r="Z10" s="117">
        <v>0</v>
      </c>
      <c r="AA10" s="117">
        <v>0</v>
      </c>
      <c r="AB10" s="117">
        <v>0</v>
      </c>
      <c r="AC10" s="117">
        <v>0</v>
      </c>
      <c r="AD10" s="117">
        <v>0</v>
      </c>
      <c r="AE10" s="117">
        <v>0</v>
      </c>
      <c r="AF10" s="117">
        <v>0</v>
      </c>
      <c r="AG10" s="117">
        <v>0</v>
      </c>
      <c r="AH10" s="117">
        <v>0</v>
      </c>
      <c r="AI10" s="117">
        <v>0</v>
      </c>
      <c r="AJ10" s="117">
        <v>0</v>
      </c>
      <c r="AK10" s="117">
        <v>0</v>
      </c>
      <c r="AL10" s="117">
        <v>1</v>
      </c>
      <c r="AM10" s="117">
        <v>21300</v>
      </c>
      <c r="AN10" s="117">
        <v>2</v>
      </c>
      <c r="AO10" s="117">
        <v>6100</v>
      </c>
      <c r="AP10" s="117">
        <v>1</v>
      </c>
      <c r="AQ10" s="117">
        <v>1103700</v>
      </c>
      <c r="AR10" s="117">
        <v>2</v>
      </c>
      <c r="AS10" s="117">
        <v>5800</v>
      </c>
      <c r="AT10" s="117">
        <v>13</v>
      </c>
      <c r="AU10" s="117">
        <v>1346300</v>
      </c>
    </row>
    <row r="11" spans="1:50" x14ac:dyDescent="0.25">
      <c r="A11" s="117">
        <v>540238</v>
      </c>
      <c r="B11" s="2" t="s">
        <v>286</v>
      </c>
      <c r="C11" s="2" t="s">
        <v>7</v>
      </c>
      <c r="D11" s="2" t="s">
        <v>115</v>
      </c>
      <c r="E11" s="117">
        <v>3</v>
      </c>
      <c r="F11" s="117">
        <v>0</v>
      </c>
      <c r="G11" s="117">
        <v>0</v>
      </c>
      <c r="H11" s="117">
        <v>1</v>
      </c>
      <c r="I11" s="117">
        <v>4100</v>
      </c>
      <c r="J11" s="117">
        <v>3</v>
      </c>
      <c r="K11" s="117">
        <v>45500</v>
      </c>
      <c r="L11" s="117">
        <v>0</v>
      </c>
      <c r="M11" s="117">
        <v>0</v>
      </c>
      <c r="N11" s="117">
        <v>2</v>
      </c>
      <c r="O11" s="117">
        <v>76200</v>
      </c>
      <c r="P11" s="117">
        <v>0</v>
      </c>
      <c r="Q11" s="117">
        <v>0</v>
      </c>
      <c r="R11" s="117">
        <v>0</v>
      </c>
      <c r="S11" s="117">
        <v>0</v>
      </c>
      <c r="T11" s="117">
        <v>0</v>
      </c>
      <c r="U11" s="117">
        <v>0</v>
      </c>
      <c r="V11" s="117">
        <v>0</v>
      </c>
      <c r="W11" s="117">
        <v>0</v>
      </c>
      <c r="X11" s="117">
        <v>0</v>
      </c>
      <c r="Y11" s="117">
        <v>0</v>
      </c>
      <c r="Z11" s="117">
        <v>0</v>
      </c>
      <c r="AA11" s="117">
        <v>0</v>
      </c>
      <c r="AB11" s="117">
        <v>0</v>
      </c>
      <c r="AC11" s="117">
        <v>0</v>
      </c>
      <c r="AD11" s="117">
        <v>0</v>
      </c>
      <c r="AE11" s="117">
        <v>0</v>
      </c>
      <c r="AF11" s="117">
        <v>0</v>
      </c>
      <c r="AG11" s="117">
        <v>0</v>
      </c>
      <c r="AH11" s="117">
        <v>0</v>
      </c>
      <c r="AI11" s="117">
        <v>0</v>
      </c>
      <c r="AJ11" s="117">
        <v>0</v>
      </c>
      <c r="AK11" s="117">
        <v>0</v>
      </c>
      <c r="AL11" s="117">
        <v>2</v>
      </c>
      <c r="AM11" s="117">
        <v>24500</v>
      </c>
      <c r="AN11" s="117">
        <v>0</v>
      </c>
      <c r="AO11" s="117">
        <v>0</v>
      </c>
      <c r="AP11" s="117">
        <v>0</v>
      </c>
      <c r="AQ11" s="117">
        <v>0</v>
      </c>
      <c r="AR11" s="117">
        <v>5</v>
      </c>
      <c r="AS11" s="117">
        <v>110300</v>
      </c>
      <c r="AT11" s="117">
        <v>1</v>
      </c>
      <c r="AU11" s="117">
        <v>5000</v>
      </c>
    </row>
    <row r="12" spans="1:50" x14ac:dyDescent="0.25">
      <c r="A12" s="269"/>
      <c r="B12" s="269"/>
      <c r="C12" s="269" t="s">
        <v>7</v>
      </c>
      <c r="D12" s="269"/>
      <c r="E12" s="269"/>
      <c r="F12" s="270">
        <v>338</v>
      </c>
      <c r="G12" s="270">
        <v>11311300</v>
      </c>
      <c r="H12" s="270">
        <v>989</v>
      </c>
      <c r="I12" s="270">
        <v>33898200</v>
      </c>
      <c r="J12" s="270">
        <v>6871</v>
      </c>
      <c r="K12" s="270">
        <v>287460100</v>
      </c>
      <c r="L12" s="270">
        <v>2</v>
      </c>
      <c r="M12" s="270">
        <v>224900</v>
      </c>
      <c r="N12" s="270">
        <v>23</v>
      </c>
      <c r="O12" s="270">
        <v>1856200</v>
      </c>
      <c r="P12" s="270">
        <v>205</v>
      </c>
      <c r="Q12" s="270">
        <v>43538900</v>
      </c>
      <c r="R12" s="270">
        <v>0</v>
      </c>
      <c r="S12" s="270">
        <v>0</v>
      </c>
      <c r="T12" s="270">
        <v>1</v>
      </c>
      <c r="U12" s="270">
        <v>46700</v>
      </c>
      <c r="V12" s="270">
        <v>6</v>
      </c>
      <c r="W12" s="270">
        <v>754500</v>
      </c>
      <c r="X12" s="270">
        <v>0</v>
      </c>
      <c r="Y12" s="270">
        <v>0</v>
      </c>
      <c r="Z12" s="270">
        <v>1</v>
      </c>
      <c r="AA12" s="270">
        <v>2000</v>
      </c>
      <c r="AB12" s="270">
        <v>8</v>
      </c>
      <c r="AC12" s="270">
        <v>127500</v>
      </c>
      <c r="AD12" s="270">
        <v>3</v>
      </c>
      <c r="AE12" s="270">
        <v>73400</v>
      </c>
      <c r="AF12" s="270">
        <v>9</v>
      </c>
      <c r="AG12" s="270">
        <v>376400</v>
      </c>
      <c r="AH12" s="270">
        <v>15</v>
      </c>
      <c r="AI12" s="270">
        <v>462000</v>
      </c>
      <c r="AJ12" s="270">
        <v>1</v>
      </c>
      <c r="AK12" s="270">
        <v>200</v>
      </c>
      <c r="AL12" s="270">
        <v>12</v>
      </c>
      <c r="AM12" s="270">
        <v>63900</v>
      </c>
      <c r="AN12" s="270">
        <v>31</v>
      </c>
      <c r="AO12" s="270">
        <v>307000</v>
      </c>
      <c r="AP12" s="270">
        <v>5</v>
      </c>
      <c r="AQ12" s="270">
        <v>1117800</v>
      </c>
      <c r="AR12" s="270">
        <v>29</v>
      </c>
      <c r="AS12" s="270">
        <v>309700</v>
      </c>
      <c r="AT12" s="270">
        <v>336</v>
      </c>
      <c r="AU12" s="270">
        <v>18112700</v>
      </c>
    </row>
    <row r="13" spans="1:50" x14ac:dyDescent="0.25">
      <c r="A13" s="117">
        <v>540009</v>
      </c>
      <c r="B13" s="2" t="s">
        <v>8</v>
      </c>
      <c r="C13" s="2" t="s">
        <v>9</v>
      </c>
      <c r="D13" s="2" t="s">
        <v>5</v>
      </c>
      <c r="E13" s="117">
        <v>7</v>
      </c>
      <c r="F13" s="117">
        <v>407</v>
      </c>
      <c r="G13" s="117">
        <v>17626200</v>
      </c>
      <c r="H13" s="117">
        <v>2262</v>
      </c>
      <c r="I13" s="117">
        <v>109452500</v>
      </c>
      <c r="J13" s="117">
        <v>6747</v>
      </c>
      <c r="K13" s="117">
        <v>330958300</v>
      </c>
      <c r="L13" s="117">
        <v>4</v>
      </c>
      <c r="M13" s="117">
        <v>729500</v>
      </c>
      <c r="N13" s="117">
        <v>36</v>
      </c>
      <c r="O13" s="117">
        <v>4586500</v>
      </c>
      <c r="P13" s="117">
        <v>160</v>
      </c>
      <c r="Q13" s="117">
        <v>48423700</v>
      </c>
      <c r="R13" s="117">
        <v>0</v>
      </c>
      <c r="S13" s="117">
        <v>0</v>
      </c>
      <c r="T13" s="117">
        <v>1</v>
      </c>
      <c r="U13" s="117">
        <v>1370100</v>
      </c>
      <c r="V13" s="117">
        <v>0</v>
      </c>
      <c r="W13" s="117">
        <v>0</v>
      </c>
      <c r="X13" s="117">
        <v>1</v>
      </c>
      <c r="Y13" s="117">
        <v>44000</v>
      </c>
      <c r="Z13" s="117">
        <v>2</v>
      </c>
      <c r="AA13" s="117">
        <v>807200</v>
      </c>
      <c r="AB13" s="117">
        <v>1</v>
      </c>
      <c r="AC13" s="117">
        <v>509700</v>
      </c>
      <c r="AD13" s="117">
        <v>84</v>
      </c>
      <c r="AE13" s="117">
        <v>3437700</v>
      </c>
      <c r="AF13" s="117">
        <v>405</v>
      </c>
      <c r="AG13" s="117">
        <v>15244300</v>
      </c>
      <c r="AH13" s="117">
        <v>1140</v>
      </c>
      <c r="AI13" s="117">
        <v>48632900</v>
      </c>
      <c r="AJ13" s="117">
        <v>1</v>
      </c>
      <c r="AK13" s="117">
        <v>76300</v>
      </c>
      <c r="AL13" s="117">
        <v>9</v>
      </c>
      <c r="AM13" s="117">
        <v>60800</v>
      </c>
      <c r="AN13" s="117">
        <v>33</v>
      </c>
      <c r="AO13" s="117">
        <v>1561500</v>
      </c>
      <c r="AP13" s="117">
        <v>12</v>
      </c>
      <c r="AQ13" s="117">
        <v>1492800</v>
      </c>
      <c r="AR13" s="117">
        <v>61</v>
      </c>
      <c r="AS13" s="117">
        <v>2629200</v>
      </c>
      <c r="AT13" s="117">
        <v>325</v>
      </c>
      <c r="AU13" s="117">
        <v>95463400</v>
      </c>
    </row>
    <row r="14" spans="1:50" x14ac:dyDescent="0.25">
      <c r="A14" s="117">
        <v>540010</v>
      </c>
      <c r="B14" s="2" t="s">
        <v>121</v>
      </c>
      <c r="C14" s="2" t="s">
        <v>9</v>
      </c>
      <c r="D14" s="2" t="s">
        <v>115</v>
      </c>
      <c r="E14" s="117">
        <v>7</v>
      </c>
      <c r="F14" s="117">
        <v>9</v>
      </c>
      <c r="G14" s="117">
        <v>289300</v>
      </c>
      <c r="H14" s="117">
        <v>91</v>
      </c>
      <c r="I14" s="117">
        <v>1534300</v>
      </c>
      <c r="J14" s="117">
        <v>432</v>
      </c>
      <c r="K14" s="117">
        <v>8022500</v>
      </c>
      <c r="L14" s="117">
        <v>0</v>
      </c>
      <c r="M14" s="117">
        <v>0</v>
      </c>
      <c r="N14" s="117">
        <v>0</v>
      </c>
      <c r="O14" s="117">
        <v>0</v>
      </c>
      <c r="P14" s="117">
        <v>29</v>
      </c>
      <c r="Q14" s="117">
        <v>2171400</v>
      </c>
      <c r="R14" s="117">
        <v>0</v>
      </c>
      <c r="S14" s="117">
        <v>0</v>
      </c>
      <c r="T14" s="117">
        <v>0</v>
      </c>
      <c r="U14" s="117">
        <v>0</v>
      </c>
      <c r="V14" s="117">
        <v>0</v>
      </c>
      <c r="W14" s="117">
        <v>0</v>
      </c>
      <c r="X14" s="117">
        <v>0</v>
      </c>
      <c r="Y14" s="117">
        <v>0</v>
      </c>
      <c r="Z14" s="117">
        <v>0</v>
      </c>
      <c r="AA14" s="117">
        <v>0</v>
      </c>
      <c r="AB14" s="117">
        <v>0</v>
      </c>
      <c r="AC14" s="117">
        <v>0</v>
      </c>
      <c r="AD14" s="117">
        <v>0</v>
      </c>
      <c r="AE14" s="117">
        <v>0</v>
      </c>
      <c r="AF14" s="117">
        <v>1</v>
      </c>
      <c r="AG14" s="117">
        <v>400</v>
      </c>
      <c r="AH14" s="117">
        <v>2</v>
      </c>
      <c r="AI14" s="117">
        <v>2300</v>
      </c>
      <c r="AJ14" s="117">
        <v>0</v>
      </c>
      <c r="AK14" s="117">
        <v>0</v>
      </c>
      <c r="AL14" s="117">
        <v>0</v>
      </c>
      <c r="AM14" s="117">
        <v>0</v>
      </c>
      <c r="AN14" s="117">
        <v>10</v>
      </c>
      <c r="AO14" s="117">
        <v>50300</v>
      </c>
      <c r="AP14" s="117">
        <v>0</v>
      </c>
      <c r="AQ14" s="117">
        <v>0</v>
      </c>
      <c r="AR14" s="117">
        <v>1</v>
      </c>
      <c r="AS14" s="117">
        <v>12400</v>
      </c>
      <c r="AT14" s="117">
        <v>45</v>
      </c>
      <c r="AU14" s="117">
        <v>4770700</v>
      </c>
    </row>
    <row r="15" spans="1:50" x14ac:dyDescent="0.25">
      <c r="A15" s="117">
        <v>540235</v>
      </c>
      <c r="B15" s="2" t="s">
        <v>283</v>
      </c>
      <c r="C15" s="2" t="s">
        <v>9</v>
      </c>
      <c r="D15" s="2" t="s">
        <v>115</v>
      </c>
      <c r="E15" s="117">
        <v>7</v>
      </c>
      <c r="F15" s="117">
        <v>0</v>
      </c>
      <c r="G15" s="117">
        <v>0</v>
      </c>
      <c r="H15" s="117">
        <v>30</v>
      </c>
      <c r="I15" s="117">
        <v>1230100</v>
      </c>
      <c r="J15" s="117">
        <v>180</v>
      </c>
      <c r="K15" s="117">
        <v>9136000</v>
      </c>
      <c r="L15" s="117">
        <v>0</v>
      </c>
      <c r="M15" s="117">
        <v>0</v>
      </c>
      <c r="N15" s="117">
        <v>0</v>
      </c>
      <c r="O15" s="117">
        <v>0</v>
      </c>
      <c r="P15" s="117">
        <v>18</v>
      </c>
      <c r="Q15" s="117">
        <v>1040900</v>
      </c>
      <c r="R15" s="117">
        <v>0</v>
      </c>
      <c r="S15" s="117">
        <v>0</v>
      </c>
      <c r="T15" s="117">
        <v>0</v>
      </c>
      <c r="U15" s="117">
        <v>0</v>
      </c>
      <c r="V15" s="117">
        <v>0</v>
      </c>
      <c r="W15" s="117">
        <v>0</v>
      </c>
      <c r="X15" s="117">
        <v>0</v>
      </c>
      <c r="Y15" s="117">
        <v>0</v>
      </c>
      <c r="Z15" s="117">
        <v>0</v>
      </c>
      <c r="AA15" s="117">
        <v>0</v>
      </c>
      <c r="AB15" s="117">
        <v>0</v>
      </c>
      <c r="AC15" s="117">
        <v>0</v>
      </c>
      <c r="AD15" s="117">
        <v>0</v>
      </c>
      <c r="AE15" s="117">
        <v>0</v>
      </c>
      <c r="AF15" s="117">
        <v>0</v>
      </c>
      <c r="AG15" s="117">
        <v>0</v>
      </c>
      <c r="AH15" s="117">
        <v>1</v>
      </c>
      <c r="AI15" s="117">
        <v>17600</v>
      </c>
      <c r="AJ15" s="117">
        <v>0</v>
      </c>
      <c r="AK15" s="117">
        <v>0</v>
      </c>
      <c r="AL15" s="117">
        <v>1</v>
      </c>
      <c r="AM15" s="117">
        <v>1800</v>
      </c>
      <c r="AN15" s="117">
        <v>0</v>
      </c>
      <c r="AO15" s="117">
        <v>0</v>
      </c>
      <c r="AP15" s="117">
        <v>0</v>
      </c>
      <c r="AQ15" s="117">
        <v>0</v>
      </c>
      <c r="AR15" s="117">
        <v>1</v>
      </c>
      <c r="AS15" s="117">
        <v>99800</v>
      </c>
      <c r="AT15" s="117">
        <v>19</v>
      </c>
      <c r="AU15" s="117">
        <v>5344100</v>
      </c>
    </row>
    <row r="16" spans="1:50" x14ac:dyDescent="0.25">
      <c r="A16" s="117">
        <v>540236</v>
      </c>
      <c r="B16" s="2" t="s">
        <v>284</v>
      </c>
      <c r="C16" s="2" t="s">
        <v>9</v>
      </c>
      <c r="D16" s="2" t="s">
        <v>115</v>
      </c>
      <c r="E16" s="117">
        <v>7</v>
      </c>
      <c r="F16" s="117">
        <v>14</v>
      </c>
      <c r="G16" s="117">
        <v>392500</v>
      </c>
      <c r="H16" s="117">
        <v>148</v>
      </c>
      <c r="I16" s="117">
        <v>3905000</v>
      </c>
      <c r="J16" s="117">
        <v>462</v>
      </c>
      <c r="K16" s="117">
        <v>19689400</v>
      </c>
      <c r="L16" s="117">
        <v>1</v>
      </c>
      <c r="M16" s="117">
        <v>80800</v>
      </c>
      <c r="N16" s="117">
        <v>7</v>
      </c>
      <c r="O16" s="117">
        <v>406700</v>
      </c>
      <c r="P16" s="117">
        <v>51</v>
      </c>
      <c r="Q16" s="117">
        <v>4946000</v>
      </c>
      <c r="R16" s="117">
        <v>0</v>
      </c>
      <c r="S16" s="117">
        <v>0</v>
      </c>
      <c r="T16" s="117">
        <v>0</v>
      </c>
      <c r="U16" s="117">
        <v>0</v>
      </c>
      <c r="V16" s="117">
        <v>0</v>
      </c>
      <c r="W16" s="117">
        <v>0</v>
      </c>
      <c r="X16" s="117">
        <v>0</v>
      </c>
      <c r="Y16" s="117">
        <v>0</v>
      </c>
      <c r="Z16" s="117">
        <v>0</v>
      </c>
      <c r="AA16" s="117">
        <v>0</v>
      </c>
      <c r="AB16" s="117">
        <v>0</v>
      </c>
      <c r="AC16" s="117">
        <v>0</v>
      </c>
      <c r="AD16" s="117">
        <v>0</v>
      </c>
      <c r="AE16" s="117">
        <v>0</v>
      </c>
      <c r="AF16" s="117">
        <v>0</v>
      </c>
      <c r="AG16" s="117">
        <v>0</v>
      </c>
      <c r="AH16" s="117">
        <v>0</v>
      </c>
      <c r="AI16" s="117">
        <v>0</v>
      </c>
      <c r="AJ16" s="117">
        <v>0</v>
      </c>
      <c r="AK16" s="117">
        <v>0</v>
      </c>
      <c r="AL16" s="117">
        <v>1</v>
      </c>
      <c r="AM16" s="117">
        <v>500</v>
      </c>
      <c r="AN16" s="117">
        <v>3</v>
      </c>
      <c r="AO16" s="117">
        <v>155200</v>
      </c>
      <c r="AP16" s="117">
        <v>1</v>
      </c>
      <c r="AQ16" s="117">
        <v>63800</v>
      </c>
      <c r="AR16" s="117">
        <v>7</v>
      </c>
      <c r="AS16" s="117">
        <v>403000</v>
      </c>
      <c r="AT16" s="117">
        <v>30</v>
      </c>
      <c r="AU16" s="117">
        <v>7128500</v>
      </c>
    </row>
    <row r="17" spans="1:47" x14ac:dyDescent="0.25">
      <c r="A17" s="117">
        <v>540237</v>
      </c>
      <c r="B17" s="2" t="s">
        <v>285</v>
      </c>
      <c r="C17" s="2" t="s">
        <v>9</v>
      </c>
      <c r="D17" s="2" t="s">
        <v>115</v>
      </c>
      <c r="E17" s="117">
        <v>7</v>
      </c>
      <c r="F17" s="117">
        <v>35</v>
      </c>
      <c r="G17" s="117">
        <v>304400</v>
      </c>
      <c r="H17" s="117">
        <v>116</v>
      </c>
      <c r="I17" s="117">
        <v>2436400</v>
      </c>
      <c r="J17" s="117">
        <v>433</v>
      </c>
      <c r="K17" s="117">
        <v>14349600</v>
      </c>
      <c r="L17" s="117">
        <v>1</v>
      </c>
      <c r="M17" s="117">
        <v>23000</v>
      </c>
      <c r="N17" s="117">
        <v>1</v>
      </c>
      <c r="O17" s="117">
        <v>9900</v>
      </c>
      <c r="P17" s="117">
        <v>114</v>
      </c>
      <c r="Q17" s="117">
        <v>16602700</v>
      </c>
      <c r="R17" s="117">
        <v>0</v>
      </c>
      <c r="S17" s="117">
        <v>0</v>
      </c>
      <c r="T17" s="117">
        <v>0</v>
      </c>
      <c r="U17" s="117">
        <v>0</v>
      </c>
      <c r="V17" s="117">
        <v>0</v>
      </c>
      <c r="W17" s="117">
        <v>0</v>
      </c>
      <c r="X17" s="117">
        <v>0</v>
      </c>
      <c r="Y17" s="117">
        <v>0</v>
      </c>
      <c r="Z17" s="117">
        <v>0</v>
      </c>
      <c r="AA17" s="117">
        <v>0</v>
      </c>
      <c r="AB17" s="117">
        <v>3</v>
      </c>
      <c r="AC17" s="117">
        <v>248200</v>
      </c>
      <c r="AD17" s="117">
        <v>0</v>
      </c>
      <c r="AE17" s="117">
        <v>0</v>
      </c>
      <c r="AF17" s="117">
        <v>0</v>
      </c>
      <c r="AG17" s="117">
        <v>0</v>
      </c>
      <c r="AH17" s="117">
        <v>0</v>
      </c>
      <c r="AI17" s="117">
        <v>0</v>
      </c>
      <c r="AJ17" s="117">
        <v>1</v>
      </c>
      <c r="AK17" s="117">
        <v>13100</v>
      </c>
      <c r="AL17" s="117">
        <v>0</v>
      </c>
      <c r="AM17" s="117">
        <v>0</v>
      </c>
      <c r="AN17" s="117">
        <v>2</v>
      </c>
      <c r="AO17" s="117">
        <v>34400</v>
      </c>
      <c r="AP17" s="117">
        <v>3</v>
      </c>
      <c r="AQ17" s="117">
        <v>145400</v>
      </c>
      <c r="AR17" s="117">
        <v>15</v>
      </c>
      <c r="AS17" s="117">
        <v>76100</v>
      </c>
      <c r="AT17" s="117">
        <v>32</v>
      </c>
      <c r="AU17" s="117">
        <v>7110200</v>
      </c>
    </row>
    <row r="18" spans="1:47" x14ac:dyDescent="0.25">
      <c r="A18" s="269"/>
      <c r="B18" s="269"/>
      <c r="C18" s="269" t="s">
        <v>9</v>
      </c>
      <c r="D18" s="269"/>
      <c r="E18" s="269"/>
      <c r="F18" s="270">
        <v>465</v>
      </c>
      <c r="G18" s="270">
        <v>18612400</v>
      </c>
      <c r="H18" s="270">
        <v>2647</v>
      </c>
      <c r="I18" s="270">
        <v>118558300</v>
      </c>
      <c r="J18" s="270">
        <v>8254</v>
      </c>
      <c r="K18" s="270">
        <v>382155800</v>
      </c>
      <c r="L18" s="270">
        <v>6</v>
      </c>
      <c r="M18" s="270">
        <v>833300</v>
      </c>
      <c r="N18" s="270">
        <v>44</v>
      </c>
      <c r="O18" s="270">
        <v>5003100</v>
      </c>
      <c r="P18" s="270">
        <v>372</v>
      </c>
      <c r="Q18" s="270">
        <v>73184700</v>
      </c>
      <c r="R18" s="270">
        <v>0</v>
      </c>
      <c r="S18" s="270">
        <v>0</v>
      </c>
      <c r="T18" s="270">
        <v>1</v>
      </c>
      <c r="U18" s="270">
        <v>1370100</v>
      </c>
      <c r="V18" s="270">
        <v>0</v>
      </c>
      <c r="W18" s="270">
        <v>0</v>
      </c>
      <c r="X18" s="270">
        <v>1</v>
      </c>
      <c r="Y18" s="270">
        <v>44000</v>
      </c>
      <c r="Z18" s="270">
        <v>2</v>
      </c>
      <c r="AA18" s="270">
        <v>807200</v>
      </c>
      <c r="AB18" s="270">
        <v>4</v>
      </c>
      <c r="AC18" s="270">
        <v>757900</v>
      </c>
      <c r="AD18" s="270">
        <v>84</v>
      </c>
      <c r="AE18" s="270">
        <v>3437700</v>
      </c>
      <c r="AF18" s="270">
        <v>406</v>
      </c>
      <c r="AG18" s="270">
        <v>15244700</v>
      </c>
      <c r="AH18" s="270">
        <v>1143</v>
      </c>
      <c r="AI18" s="270">
        <v>48652800</v>
      </c>
      <c r="AJ18" s="270">
        <v>2</v>
      </c>
      <c r="AK18" s="270">
        <v>89400</v>
      </c>
      <c r="AL18" s="270">
        <v>11</v>
      </c>
      <c r="AM18" s="270">
        <v>63100</v>
      </c>
      <c r="AN18" s="270">
        <v>48</v>
      </c>
      <c r="AO18" s="270">
        <v>1801400</v>
      </c>
      <c r="AP18" s="270">
        <v>16</v>
      </c>
      <c r="AQ18" s="270">
        <v>1702000</v>
      </c>
      <c r="AR18" s="270">
        <v>85</v>
      </c>
      <c r="AS18" s="270">
        <v>3220500</v>
      </c>
      <c r="AT18" s="270">
        <v>451</v>
      </c>
      <c r="AU18" s="270">
        <v>119816900</v>
      </c>
    </row>
    <row r="19" spans="1:47" x14ac:dyDescent="0.25">
      <c r="A19" s="117">
        <v>540011</v>
      </c>
      <c r="B19" s="2" t="s">
        <v>10</v>
      </c>
      <c r="C19" s="2" t="s">
        <v>11</v>
      </c>
      <c r="D19" s="2" t="s">
        <v>5</v>
      </c>
      <c r="E19" s="117">
        <v>11</v>
      </c>
      <c r="F19" s="117">
        <v>25</v>
      </c>
      <c r="G19" s="117">
        <v>700700</v>
      </c>
      <c r="H19" s="117">
        <v>466</v>
      </c>
      <c r="I19" s="117">
        <v>13671600</v>
      </c>
      <c r="J19" s="117">
        <v>6638</v>
      </c>
      <c r="K19" s="117">
        <v>330939500</v>
      </c>
      <c r="L19" s="117">
        <v>3</v>
      </c>
      <c r="M19" s="117">
        <v>263800</v>
      </c>
      <c r="N19" s="117">
        <v>10</v>
      </c>
      <c r="O19" s="117">
        <v>819100</v>
      </c>
      <c r="P19" s="117">
        <v>137</v>
      </c>
      <c r="Q19" s="117">
        <v>17973100</v>
      </c>
      <c r="R19" s="117">
        <v>0</v>
      </c>
      <c r="S19" s="117">
        <v>0</v>
      </c>
      <c r="T19" s="117">
        <v>0</v>
      </c>
      <c r="U19" s="117">
        <v>0</v>
      </c>
      <c r="V19" s="117">
        <v>0</v>
      </c>
      <c r="W19" s="117">
        <v>0</v>
      </c>
      <c r="X19" s="117">
        <v>0</v>
      </c>
      <c r="Y19" s="117">
        <v>0</v>
      </c>
      <c r="Z19" s="117">
        <v>0</v>
      </c>
      <c r="AA19" s="117">
        <v>0</v>
      </c>
      <c r="AB19" s="117">
        <v>0</v>
      </c>
      <c r="AC19" s="117">
        <v>0</v>
      </c>
      <c r="AD19" s="117">
        <v>2</v>
      </c>
      <c r="AE19" s="117">
        <v>207800</v>
      </c>
      <c r="AF19" s="117">
        <v>20</v>
      </c>
      <c r="AG19" s="117">
        <v>854800</v>
      </c>
      <c r="AH19" s="117">
        <v>240</v>
      </c>
      <c r="AI19" s="117">
        <v>13160600</v>
      </c>
      <c r="AJ19" s="117">
        <v>0</v>
      </c>
      <c r="AK19" s="117">
        <v>0</v>
      </c>
      <c r="AL19" s="117">
        <v>0</v>
      </c>
      <c r="AM19" s="117">
        <v>0</v>
      </c>
      <c r="AN19" s="117">
        <v>8</v>
      </c>
      <c r="AO19" s="117">
        <v>104100</v>
      </c>
      <c r="AP19" s="117">
        <v>4</v>
      </c>
      <c r="AQ19" s="117">
        <v>144600</v>
      </c>
      <c r="AR19" s="117">
        <v>30</v>
      </c>
      <c r="AS19" s="117">
        <v>1275300</v>
      </c>
      <c r="AT19" s="117">
        <v>217</v>
      </c>
      <c r="AU19" s="117">
        <v>20588900</v>
      </c>
    </row>
    <row r="20" spans="1:47" x14ac:dyDescent="0.25">
      <c r="A20" s="117">
        <v>540012</v>
      </c>
      <c r="B20" s="2" t="s">
        <v>122</v>
      </c>
      <c r="C20" s="2" t="s">
        <v>11</v>
      </c>
      <c r="D20" s="2" t="s">
        <v>115</v>
      </c>
      <c r="E20" s="117">
        <v>11</v>
      </c>
      <c r="F20" s="117">
        <v>0</v>
      </c>
      <c r="G20" s="117">
        <v>0</v>
      </c>
      <c r="H20" s="117">
        <v>1</v>
      </c>
      <c r="I20" s="117">
        <v>72100</v>
      </c>
      <c r="J20" s="117">
        <v>138</v>
      </c>
      <c r="K20" s="117">
        <v>9491600</v>
      </c>
      <c r="L20" s="117">
        <v>0</v>
      </c>
      <c r="M20" s="117">
        <v>0</v>
      </c>
      <c r="N20" s="117">
        <v>0</v>
      </c>
      <c r="O20" s="117">
        <v>0</v>
      </c>
      <c r="P20" s="117">
        <v>7</v>
      </c>
      <c r="Q20" s="117">
        <v>586200</v>
      </c>
      <c r="R20" s="117">
        <v>0</v>
      </c>
      <c r="S20" s="117">
        <v>0</v>
      </c>
      <c r="T20" s="117">
        <v>0</v>
      </c>
      <c r="U20" s="117">
        <v>0</v>
      </c>
      <c r="V20" s="117">
        <v>0</v>
      </c>
      <c r="W20" s="117">
        <v>0</v>
      </c>
      <c r="X20" s="117">
        <v>0</v>
      </c>
      <c r="Y20" s="117">
        <v>0</v>
      </c>
      <c r="Z20" s="117">
        <v>0</v>
      </c>
      <c r="AA20" s="117">
        <v>0</v>
      </c>
      <c r="AB20" s="117">
        <v>0</v>
      </c>
      <c r="AC20" s="117">
        <v>0</v>
      </c>
      <c r="AD20" s="117">
        <v>0</v>
      </c>
      <c r="AE20" s="117">
        <v>0</v>
      </c>
      <c r="AF20" s="117">
        <v>0</v>
      </c>
      <c r="AG20" s="117">
        <v>0</v>
      </c>
      <c r="AH20" s="117">
        <v>0</v>
      </c>
      <c r="AI20" s="117">
        <v>0</v>
      </c>
      <c r="AJ20" s="117">
        <v>0</v>
      </c>
      <c r="AK20" s="117">
        <v>0</v>
      </c>
      <c r="AL20" s="117">
        <v>0</v>
      </c>
      <c r="AM20" s="117">
        <v>0</v>
      </c>
      <c r="AN20" s="117">
        <v>2</v>
      </c>
      <c r="AO20" s="117">
        <v>11500</v>
      </c>
      <c r="AP20" s="117">
        <v>0</v>
      </c>
      <c r="AQ20" s="117">
        <v>0</v>
      </c>
      <c r="AR20" s="117">
        <v>1</v>
      </c>
      <c r="AS20" s="117">
        <v>700</v>
      </c>
      <c r="AT20" s="117">
        <v>71</v>
      </c>
      <c r="AU20" s="117">
        <v>7905200</v>
      </c>
    </row>
    <row r="21" spans="1:47" x14ac:dyDescent="0.25">
      <c r="A21" s="117">
        <v>540013</v>
      </c>
      <c r="B21" s="2" t="s">
        <v>123</v>
      </c>
      <c r="C21" s="2" t="s">
        <v>11</v>
      </c>
      <c r="D21" s="2" t="s">
        <v>115</v>
      </c>
      <c r="E21" s="117">
        <v>11</v>
      </c>
      <c r="F21" s="117">
        <v>15</v>
      </c>
      <c r="G21" s="117">
        <v>218800</v>
      </c>
      <c r="H21" s="117">
        <v>193</v>
      </c>
      <c r="I21" s="117">
        <v>4891400</v>
      </c>
      <c r="J21" s="117">
        <v>1251</v>
      </c>
      <c r="K21" s="117">
        <v>85805300</v>
      </c>
      <c r="L21" s="117">
        <v>0</v>
      </c>
      <c r="M21" s="117">
        <v>0</v>
      </c>
      <c r="N21" s="117">
        <v>1</v>
      </c>
      <c r="O21" s="117">
        <v>166200</v>
      </c>
      <c r="P21" s="117">
        <v>113</v>
      </c>
      <c r="Q21" s="117">
        <v>13501800</v>
      </c>
      <c r="R21" s="117">
        <v>0</v>
      </c>
      <c r="S21" s="117">
        <v>0</v>
      </c>
      <c r="T21" s="117">
        <v>0</v>
      </c>
      <c r="U21" s="117">
        <v>0</v>
      </c>
      <c r="V21" s="117">
        <v>1</v>
      </c>
      <c r="W21" s="117">
        <v>539400</v>
      </c>
      <c r="X21" s="117">
        <v>0</v>
      </c>
      <c r="Y21" s="117">
        <v>0</v>
      </c>
      <c r="Z21" s="117">
        <v>0</v>
      </c>
      <c r="AA21" s="117">
        <v>0</v>
      </c>
      <c r="AB21" s="117">
        <v>6</v>
      </c>
      <c r="AC21" s="117">
        <v>15148300</v>
      </c>
      <c r="AD21" s="117">
        <v>0</v>
      </c>
      <c r="AE21" s="117">
        <v>0</v>
      </c>
      <c r="AF21" s="117">
        <v>0</v>
      </c>
      <c r="AG21" s="117">
        <v>0</v>
      </c>
      <c r="AH21" s="117">
        <v>2</v>
      </c>
      <c r="AI21" s="117">
        <v>183800</v>
      </c>
      <c r="AJ21" s="117">
        <v>0</v>
      </c>
      <c r="AK21" s="117">
        <v>0</v>
      </c>
      <c r="AL21" s="117">
        <v>0</v>
      </c>
      <c r="AM21" s="117">
        <v>0</v>
      </c>
      <c r="AN21" s="117">
        <v>0</v>
      </c>
      <c r="AO21" s="117">
        <v>0</v>
      </c>
      <c r="AP21" s="117">
        <v>0</v>
      </c>
      <c r="AQ21" s="117">
        <v>0</v>
      </c>
      <c r="AR21" s="117">
        <v>11</v>
      </c>
      <c r="AS21" s="117">
        <v>452700</v>
      </c>
      <c r="AT21" s="117">
        <v>73</v>
      </c>
      <c r="AU21" s="117">
        <v>6409700</v>
      </c>
    </row>
    <row r="22" spans="1:47" x14ac:dyDescent="0.25">
      <c r="A22" s="117">
        <v>540014</v>
      </c>
      <c r="B22" s="2" t="s">
        <v>124</v>
      </c>
      <c r="C22" s="2" t="s">
        <v>11</v>
      </c>
      <c r="D22" s="2" t="s">
        <v>115</v>
      </c>
      <c r="E22" s="117">
        <v>11</v>
      </c>
      <c r="F22" s="117">
        <v>15</v>
      </c>
      <c r="G22" s="117">
        <v>484600</v>
      </c>
      <c r="H22" s="117">
        <v>124</v>
      </c>
      <c r="I22" s="117">
        <v>7039500</v>
      </c>
      <c r="J22" s="117">
        <v>1631</v>
      </c>
      <c r="K22" s="117">
        <v>127932100</v>
      </c>
      <c r="L22" s="117">
        <v>0</v>
      </c>
      <c r="M22" s="117">
        <v>0</v>
      </c>
      <c r="N22" s="117">
        <v>7</v>
      </c>
      <c r="O22" s="117">
        <v>2461900</v>
      </c>
      <c r="P22" s="117">
        <v>119</v>
      </c>
      <c r="Q22" s="117">
        <v>62538800</v>
      </c>
      <c r="R22" s="117">
        <v>0</v>
      </c>
      <c r="S22" s="117">
        <v>0</v>
      </c>
      <c r="T22" s="117">
        <v>0</v>
      </c>
      <c r="U22" s="117">
        <v>0</v>
      </c>
      <c r="V22" s="117">
        <v>1</v>
      </c>
      <c r="W22" s="117">
        <v>602300</v>
      </c>
      <c r="X22" s="117">
        <v>0</v>
      </c>
      <c r="Y22" s="117">
        <v>0</v>
      </c>
      <c r="Z22" s="117">
        <v>0</v>
      </c>
      <c r="AA22" s="117">
        <v>0</v>
      </c>
      <c r="AB22" s="117">
        <v>11</v>
      </c>
      <c r="AC22" s="117">
        <v>10390400</v>
      </c>
      <c r="AD22" s="117">
        <v>0</v>
      </c>
      <c r="AE22" s="117">
        <v>0</v>
      </c>
      <c r="AF22" s="117">
        <v>0</v>
      </c>
      <c r="AG22" s="117">
        <v>0</v>
      </c>
      <c r="AH22" s="117">
        <v>6</v>
      </c>
      <c r="AI22" s="117">
        <v>486100</v>
      </c>
      <c r="AJ22" s="117">
        <v>0</v>
      </c>
      <c r="AK22" s="117">
        <v>0</v>
      </c>
      <c r="AL22" s="117">
        <v>2</v>
      </c>
      <c r="AM22" s="117">
        <v>2230400</v>
      </c>
      <c r="AN22" s="117">
        <v>1</v>
      </c>
      <c r="AO22" s="117">
        <v>4100</v>
      </c>
      <c r="AP22" s="117">
        <v>1</v>
      </c>
      <c r="AQ22" s="117">
        <v>9600</v>
      </c>
      <c r="AR22" s="117">
        <v>5</v>
      </c>
      <c r="AS22" s="117">
        <v>393700</v>
      </c>
      <c r="AT22" s="117">
        <v>55</v>
      </c>
      <c r="AU22" s="117">
        <v>52812900</v>
      </c>
    </row>
    <row r="23" spans="1:47" x14ac:dyDescent="0.25">
      <c r="A23" s="117">
        <v>540015</v>
      </c>
      <c r="B23" s="2" t="s">
        <v>125</v>
      </c>
      <c r="C23" s="2" t="s">
        <v>11</v>
      </c>
      <c r="D23" s="2" t="s">
        <v>115</v>
      </c>
      <c r="E23" s="117">
        <v>11</v>
      </c>
      <c r="F23" s="117">
        <v>3</v>
      </c>
      <c r="G23" s="117">
        <v>178900</v>
      </c>
      <c r="H23" s="117">
        <v>52</v>
      </c>
      <c r="I23" s="117">
        <v>1215100</v>
      </c>
      <c r="J23" s="117">
        <v>606</v>
      </c>
      <c r="K23" s="117">
        <v>31295400</v>
      </c>
      <c r="L23" s="117">
        <v>0</v>
      </c>
      <c r="M23" s="117">
        <v>0</v>
      </c>
      <c r="N23" s="117">
        <v>0</v>
      </c>
      <c r="O23" s="117">
        <v>0</v>
      </c>
      <c r="P23" s="117">
        <v>48</v>
      </c>
      <c r="Q23" s="117">
        <v>5356000</v>
      </c>
      <c r="R23" s="117">
        <v>0</v>
      </c>
      <c r="S23" s="117">
        <v>0</v>
      </c>
      <c r="T23" s="117">
        <v>0</v>
      </c>
      <c r="U23" s="117">
        <v>0</v>
      </c>
      <c r="V23" s="117">
        <v>0</v>
      </c>
      <c r="W23" s="117">
        <v>0</v>
      </c>
      <c r="X23" s="117">
        <v>0</v>
      </c>
      <c r="Y23" s="117">
        <v>0</v>
      </c>
      <c r="Z23" s="117">
        <v>0</v>
      </c>
      <c r="AA23" s="117">
        <v>0</v>
      </c>
      <c r="AB23" s="117">
        <v>9</v>
      </c>
      <c r="AC23" s="117">
        <v>4002700</v>
      </c>
      <c r="AD23" s="117">
        <v>0</v>
      </c>
      <c r="AE23" s="117">
        <v>0</v>
      </c>
      <c r="AF23" s="117">
        <v>0</v>
      </c>
      <c r="AG23" s="117">
        <v>0</v>
      </c>
      <c r="AH23" s="117">
        <v>0</v>
      </c>
      <c r="AI23" s="117">
        <v>0</v>
      </c>
      <c r="AJ23" s="117">
        <v>0</v>
      </c>
      <c r="AK23" s="117">
        <v>0</v>
      </c>
      <c r="AL23" s="117">
        <v>0</v>
      </c>
      <c r="AM23" s="117">
        <v>0</v>
      </c>
      <c r="AN23" s="117">
        <v>0</v>
      </c>
      <c r="AO23" s="117">
        <v>0</v>
      </c>
      <c r="AP23" s="117">
        <v>0</v>
      </c>
      <c r="AQ23" s="117">
        <v>0</v>
      </c>
      <c r="AR23" s="117">
        <v>5</v>
      </c>
      <c r="AS23" s="117">
        <v>28000</v>
      </c>
      <c r="AT23" s="117">
        <v>53</v>
      </c>
      <c r="AU23" s="117">
        <v>2592200</v>
      </c>
    </row>
    <row r="24" spans="1:47" x14ac:dyDescent="0.25">
      <c r="A24" s="117">
        <v>540093</v>
      </c>
      <c r="B24" s="2" t="s">
        <v>184</v>
      </c>
      <c r="C24" s="2" t="s">
        <v>11</v>
      </c>
      <c r="D24" s="2" t="s">
        <v>115</v>
      </c>
      <c r="E24" s="117">
        <v>11</v>
      </c>
      <c r="F24" s="117">
        <v>0</v>
      </c>
      <c r="G24" s="117">
        <v>0</v>
      </c>
      <c r="H24" s="117">
        <v>45</v>
      </c>
      <c r="I24" s="117">
        <v>846800</v>
      </c>
      <c r="J24" s="117">
        <v>265</v>
      </c>
      <c r="K24" s="117">
        <v>6763500</v>
      </c>
      <c r="L24" s="117">
        <v>0</v>
      </c>
      <c r="M24" s="117">
        <v>0</v>
      </c>
      <c r="N24" s="117">
        <v>2</v>
      </c>
      <c r="O24" s="117">
        <v>11900</v>
      </c>
      <c r="P24" s="117">
        <v>24</v>
      </c>
      <c r="Q24" s="117">
        <v>2578900</v>
      </c>
      <c r="R24" s="117">
        <v>0</v>
      </c>
      <c r="S24" s="117">
        <v>0</v>
      </c>
      <c r="T24" s="117">
        <v>0</v>
      </c>
      <c r="U24" s="117">
        <v>0</v>
      </c>
      <c r="V24" s="117">
        <v>0</v>
      </c>
      <c r="W24" s="117">
        <v>0</v>
      </c>
      <c r="X24" s="117">
        <v>0</v>
      </c>
      <c r="Y24" s="117">
        <v>0</v>
      </c>
      <c r="Z24" s="117">
        <v>1</v>
      </c>
      <c r="AA24" s="117">
        <v>53300</v>
      </c>
      <c r="AB24" s="117">
        <v>1</v>
      </c>
      <c r="AC24" s="117">
        <v>477500</v>
      </c>
      <c r="AD24" s="117">
        <v>0</v>
      </c>
      <c r="AE24" s="117">
        <v>0</v>
      </c>
      <c r="AF24" s="117">
        <v>0</v>
      </c>
      <c r="AG24" s="117">
        <v>0</v>
      </c>
      <c r="AH24" s="117">
        <v>0</v>
      </c>
      <c r="AI24" s="117">
        <v>0</v>
      </c>
      <c r="AJ24" s="117">
        <v>0</v>
      </c>
      <c r="AK24" s="117">
        <v>0</v>
      </c>
      <c r="AL24" s="117">
        <v>0</v>
      </c>
      <c r="AM24" s="117">
        <v>0</v>
      </c>
      <c r="AN24" s="117">
        <v>3</v>
      </c>
      <c r="AO24" s="117">
        <v>44300</v>
      </c>
      <c r="AP24" s="117">
        <v>0</v>
      </c>
      <c r="AQ24" s="117">
        <v>0</v>
      </c>
      <c r="AR24" s="117">
        <v>4</v>
      </c>
      <c r="AS24" s="117">
        <v>4900</v>
      </c>
      <c r="AT24" s="117">
        <v>20</v>
      </c>
      <c r="AU24" s="117">
        <v>1123700</v>
      </c>
    </row>
    <row r="25" spans="1:47" x14ac:dyDescent="0.25">
      <c r="A25" s="117">
        <v>540084</v>
      </c>
      <c r="B25" s="2" t="s">
        <v>341</v>
      </c>
      <c r="C25" s="2" t="s">
        <v>11</v>
      </c>
      <c r="D25" s="2" t="s">
        <v>115</v>
      </c>
      <c r="E25" s="117">
        <v>11</v>
      </c>
      <c r="F25" s="117">
        <v>0</v>
      </c>
      <c r="G25" s="117">
        <v>0</v>
      </c>
      <c r="H25" s="117">
        <v>1</v>
      </c>
      <c r="I25" s="117">
        <v>13300</v>
      </c>
      <c r="J25" s="117">
        <v>204</v>
      </c>
      <c r="K25" s="117">
        <v>7104600</v>
      </c>
      <c r="L25" s="117">
        <v>0</v>
      </c>
      <c r="M25" s="117">
        <v>0</v>
      </c>
      <c r="N25" s="117">
        <v>0</v>
      </c>
      <c r="O25" s="117">
        <v>0</v>
      </c>
      <c r="P25" s="117">
        <v>1</v>
      </c>
      <c r="Q25" s="117">
        <v>41000</v>
      </c>
      <c r="R25" s="117">
        <v>0</v>
      </c>
      <c r="S25" s="117">
        <v>0</v>
      </c>
      <c r="T25" s="117">
        <v>0</v>
      </c>
      <c r="U25" s="117">
        <v>0</v>
      </c>
      <c r="V25" s="117">
        <v>0</v>
      </c>
      <c r="W25" s="117">
        <v>0</v>
      </c>
      <c r="X25" s="117">
        <v>0</v>
      </c>
      <c r="Y25" s="117">
        <v>0</v>
      </c>
      <c r="Z25" s="117">
        <v>0</v>
      </c>
      <c r="AA25" s="117">
        <v>0</v>
      </c>
      <c r="AB25" s="117">
        <v>0</v>
      </c>
      <c r="AC25" s="117">
        <v>0</v>
      </c>
      <c r="AD25" s="117">
        <v>0</v>
      </c>
      <c r="AE25" s="117">
        <v>0</v>
      </c>
      <c r="AF25" s="117">
        <v>0</v>
      </c>
      <c r="AG25" s="117">
        <v>0</v>
      </c>
      <c r="AH25" s="117">
        <v>0</v>
      </c>
      <c r="AI25" s="117">
        <v>0</v>
      </c>
      <c r="AJ25" s="117">
        <v>0</v>
      </c>
      <c r="AK25" s="117">
        <v>0</v>
      </c>
      <c r="AL25" s="117">
        <v>0</v>
      </c>
      <c r="AM25" s="117">
        <v>0</v>
      </c>
      <c r="AN25" s="117">
        <v>0</v>
      </c>
      <c r="AO25" s="117">
        <v>0</v>
      </c>
      <c r="AP25" s="117">
        <v>0</v>
      </c>
      <c r="AQ25" s="117">
        <v>0</v>
      </c>
      <c r="AR25" s="117">
        <v>3</v>
      </c>
      <c r="AS25" s="117">
        <v>37600</v>
      </c>
      <c r="AT25" s="117">
        <v>12</v>
      </c>
      <c r="AU25" s="117">
        <v>897700</v>
      </c>
    </row>
    <row r="26" spans="1:47" x14ac:dyDescent="0.25">
      <c r="A26" s="269"/>
      <c r="B26" s="269"/>
      <c r="C26" s="269" t="s">
        <v>11</v>
      </c>
      <c r="D26" s="269"/>
      <c r="E26" s="269"/>
      <c r="F26" s="270">
        <v>58</v>
      </c>
      <c r="G26" s="270">
        <v>1583000</v>
      </c>
      <c r="H26" s="270">
        <v>882</v>
      </c>
      <c r="I26" s="270">
        <v>27749800</v>
      </c>
      <c r="J26" s="270">
        <v>10733</v>
      </c>
      <c r="K26" s="270">
        <v>599332000</v>
      </c>
      <c r="L26" s="270">
        <v>3</v>
      </c>
      <c r="M26" s="270">
        <v>263800</v>
      </c>
      <c r="N26" s="270">
        <v>20</v>
      </c>
      <c r="O26" s="270">
        <v>3459100</v>
      </c>
      <c r="P26" s="270">
        <v>449</v>
      </c>
      <c r="Q26" s="270">
        <v>102575800</v>
      </c>
      <c r="R26" s="270">
        <v>0</v>
      </c>
      <c r="S26" s="270">
        <v>0</v>
      </c>
      <c r="T26" s="270">
        <v>0</v>
      </c>
      <c r="U26" s="270">
        <v>0</v>
      </c>
      <c r="V26" s="270">
        <v>2</v>
      </c>
      <c r="W26" s="270">
        <v>1141700</v>
      </c>
      <c r="X26" s="270">
        <v>0</v>
      </c>
      <c r="Y26" s="270">
        <v>0</v>
      </c>
      <c r="Z26" s="270">
        <v>1</v>
      </c>
      <c r="AA26" s="270">
        <v>53300</v>
      </c>
      <c r="AB26" s="270">
        <v>27</v>
      </c>
      <c r="AC26" s="270">
        <v>30018900</v>
      </c>
      <c r="AD26" s="270">
        <v>2</v>
      </c>
      <c r="AE26" s="270">
        <v>207800</v>
      </c>
      <c r="AF26" s="270">
        <v>20</v>
      </c>
      <c r="AG26" s="270">
        <v>854800</v>
      </c>
      <c r="AH26" s="270">
        <v>248</v>
      </c>
      <c r="AI26" s="270">
        <v>13830500</v>
      </c>
      <c r="AJ26" s="270">
        <v>0</v>
      </c>
      <c r="AK26" s="270">
        <v>0</v>
      </c>
      <c r="AL26" s="270">
        <v>2</v>
      </c>
      <c r="AM26" s="270">
        <v>2230400</v>
      </c>
      <c r="AN26" s="270">
        <v>14</v>
      </c>
      <c r="AO26" s="270">
        <v>164000</v>
      </c>
      <c r="AP26" s="270">
        <v>5</v>
      </c>
      <c r="AQ26" s="270">
        <v>154200</v>
      </c>
      <c r="AR26" s="270">
        <v>59</v>
      </c>
      <c r="AS26" s="270">
        <v>2192900</v>
      </c>
      <c r="AT26" s="270">
        <v>501</v>
      </c>
      <c r="AU26" s="270">
        <v>92330300</v>
      </c>
    </row>
    <row r="27" spans="1:47" x14ac:dyDescent="0.25">
      <c r="A27" s="117">
        <v>540016</v>
      </c>
      <c r="B27" s="2" t="s">
        <v>12</v>
      </c>
      <c r="C27" s="2" t="s">
        <v>13</v>
      </c>
      <c r="D27" s="2" t="s">
        <v>5</v>
      </c>
      <c r="E27" s="117">
        <v>2</v>
      </c>
      <c r="F27" s="117">
        <v>446</v>
      </c>
      <c r="G27" s="117">
        <v>20806600</v>
      </c>
      <c r="H27" s="117">
        <v>2066</v>
      </c>
      <c r="I27" s="117">
        <v>145503000</v>
      </c>
      <c r="J27" s="117">
        <v>14113</v>
      </c>
      <c r="K27" s="117">
        <v>1293085700</v>
      </c>
      <c r="L27" s="117">
        <v>7</v>
      </c>
      <c r="M27" s="117">
        <v>596400</v>
      </c>
      <c r="N27" s="117">
        <v>33</v>
      </c>
      <c r="O27" s="117">
        <v>7174700</v>
      </c>
      <c r="P27" s="117">
        <v>470</v>
      </c>
      <c r="Q27" s="117">
        <v>162933600</v>
      </c>
      <c r="R27" s="117">
        <v>0</v>
      </c>
      <c r="S27" s="117">
        <v>0</v>
      </c>
      <c r="T27" s="117">
        <v>3</v>
      </c>
      <c r="U27" s="117">
        <v>468500</v>
      </c>
      <c r="V27" s="117">
        <v>52</v>
      </c>
      <c r="W27" s="117">
        <v>19748000</v>
      </c>
      <c r="X27" s="117">
        <v>0</v>
      </c>
      <c r="Y27" s="117">
        <v>0</v>
      </c>
      <c r="Z27" s="117">
        <v>1</v>
      </c>
      <c r="AA27" s="117">
        <v>626100</v>
      </c>
      <c r="AB27" s="117">
        <v>16</v>
      </c>
      <c r="AC27" s="117">
        <v>13498300</v>
      </c>
      <c r="AD27" s="117">
        <v>37</v>
      </c>
      <c r="AE27" s="117">
        <v>3745200</v>
      </c>
      <c r="AF27" s="117">
        <v>171</v>
      </c>
      <c r="AG27" s="117">
        <v>13256700</v>
      </c>
      <c r="AH27" s="117">
        <v>560</v>
      </c>
      <c r="AI27" s="117">
        <v>40714300</v>
      </c>
      <c r="AJ27" s="117">
        <v>8</v>
      </c>
      <c r="AK27" s="117">
        <v>272000</v>
      </c>
      <c r="AL27" s="117">
        <v>8</v>
      </c>
      <c r="AM27" s="117">
        <v>44400</v>
      </c>
      <c r="AN27" s="117">
        <v>90</v>
      </c>
      <c r="AO27" s="117">
        <v>2336900</v>
      </c>
      <c r="AP27" s="117">
        <v>16</v>
      </c>
      <c r="AQ27" s="117">
        <v>946400</v>
      </c>
      <c r="AR27" s="117">
        <v>84</v>
      </c>
      <c r="AS27" s="117">
        <v>6541200</v>
      </c>
      <c r="AT27" s="117">
        <v>522</v>
      </c>
      <c r="AU27" s="117">
        <v>70956200</v>
      </c>
    </row>
    <row r="28" spans="1:47" x14ac:dyDescent="0.25">
      <c r="A28" s="117">
        <v>540017</v>
      </c>
      <c r="B28" s="2" t="s">
        <v>126</v>
      </c>
      <c r="C28" s="2" t="s">
        <v>13</v>
      </c>
      <c r="D28" s="2" t="s">
        <v>115</v>
      </c>
      <c r="E28" s="117">
        <v>2</v>
      </c>
      <c r="F28" s="117">
        <v>15</v>
      </c>
      <c r="G28" s="117">
        <v>4244300</v>
      </c>
      <c r="H28" s="117">
        <v>58</v>
      </c>
      <c r="I28" s="117">
        <v>9050100</v>
      </c>
      <c r="J28" s="117">
        <v>1217</v>
      </c>
      <c r="K28" s="117">
        <v>143133400</v>
      </c>
      <c r="L28" s="117">
        <v>0</v>
      </c>
      <c r="M28" s="117">
        <v>0</v>
      </c>
      <c r="N28" s="117">
        <v>4</v>
      </c>
      <c r="O28" s="117">
        <v>990100</v>
      </c>
      <c r="P28" s="117">
        <v>112</v>
      </c>
      <c r="Q28" s="117">
        <v>66809000</v>
      </c>
      <c r="R28" s="117">
        <v>0</v>
      </c>
      <c r="S28" s="117">
        <v>0</v>
      </c>
      <c r="T28" s="117">
        <v>0</v>
      </c>
      <c r="U28" s="117">
        <v>0</v>
      </c>
      <c r="V28" s="117">
        <v>14</v>
      </c>
      <c r="W28" s="117">
        <v>5147300</v>
      </c>
      <c r="X28" s="117">
        <v>0</v>
      </c>
      <c r="Y28" s="117">
        <v>0</v>
      </c>
      <c r="Z28" s="117">
        <v>0</v>
      </c>
      <c r="AA28" s="117">
        <v>0</v>
      </c>
      <c r="AB28" s="117">
        <v>2</v>
      </c>
      <c r="AC28" s="117">
        <v>1028900</v>
      </c>
      <c r="AD28" s="117">
        <v>0</v>
      </c>
      <c r="AE28" s="117">
        <v>0</v>
      </c>
      <c r="AF28" s="117">
        <v>0</v>
      </c>
      <c r="AG28" s="117">
        <v>0</v>
      </c>
      <c r="AH28" s="117">
        <v>0</v>
      </c>
      <c r="AI28" s="117">
        <v>0</v>
      </c>
      <c r="AJ28" s="117">
        <v>0</v>
      </c>
      <c r="AK28" s="117">
        <v>0</v>
      </c>
      <c r="AL28" s="117">
        <v>2</v>
      </c>
      <c r="AM28" s="117">
        <v>15700</v>
      </c>
      <c r="AN28" s="117">
        <v>8</v>
      </c>
      <c r="AO28" s="117">
        <v>64800</v>
      </c>
      <c r="AP28" s="117">
        <v>1</v>
      </c>
      <c r="AQ28" s="117">
        <v>10400</v>
      </c>
      <c r="AR28" s="117">
        <v>2</v>
      </c>
      <c r="AS28" s="117">
        <v>383300</v>
      </c>
      <c r="AT28" s="117">
        <v>88</v>
      </c>
      <c r="AU28" s="117">
        <v>33409200</v>
      </c>
    </row>
    <row r="29" spans="1:47" x14ac:dyDescent="0.25">
      <c r="A29" s="117">
        <v>540018</v>
      </c>
      <c r="B29" s="2" t="s">
        <v>127</v>
      </c>
      <c r="C29" s="2" t="s">
        <v>13</v>
      </c>
      <c r="D29" s="2" t="s">
        <v>115</v>
      </c>
      <c r="E29" s="117">
        <v>2</v>
      </c>
      <c r="F29" s="117">
        <v>147</v>
      </c>
      <c r="G29" s="117">
        <v>9206100</v>
      </c>
      <c r="H29" s="117">
        <v>1023</v>
      </c>
      <c r="I29" s="117">
        <v>79682400</v>
      </c>
      <c r="J29" s="117">
        <v>14820</v>
      </c>
      <c r="K29" s="117">
        <v>1046506300</v>
      </c>
      <c r="L29" s="117">
        <v>2</v>
      </c>
      <c r="M29" s="117">
        <v>61400</v>
      </c>
      <c r="N29" s="117">
        <v>5</v>
      </c>
      <c r="O29" s="117">
        <v>482000</v>
      </c>
      <c r="P29" s="117">
        <v>2136</v>
      </c>
      <c r="Q29" s="117">
        <v>377886100</v>
      </c>
      <c r="R29" s="117">
        <v>0</v>
      </c>
      <c r="S29" s="117">
        <v>0</v>
      </c>
      <c r="T29" s="117">
        <v>0</v>
      </c>
      <c r="U29" s="117">
        <v>0</v>
      </c>
      <c r="V29" s="117">
        <v>174</v>
      </c>
      <c r="W29" s="117">
        <v>59978600</v>
      </c>
      <c r="X29" s="117">
        <v>0</v>
      </c>
      <c r="Y29" s="117">
        <v>0</v>
      </c>
      <c r="Z29" s="117">
        <v>0</v>
      </c>
      <c r="AA29" s="117">
        <v>0</v>
      </c>
      <c r="AB29" s="117">
        <v>76</v>
      </c>
      <c r="AC29" s="117">
        <v>35224400</v>
      </c>
      <c r="AD29" s="117">
        <v>0</v>
      </c>
      <c r="AE29" s="117">
        <v>0</v>
      </c>
      <c r="AF29" s="117">
        <v>0</v>
      </c>
      <c r="AG29" s="117">
        <v>0</v>
      </c>
      <c r="AH29" s="117">
        <v>4</v>
      </c>
      <c r="AI29" s="117">
        <v>9600</v>
      </c>
      <c r="AJ29" s="117">
        <v>0</v>
      </c>
      <c r="AK29" s="117">
        <v>0</v>
      </c>
      <c r="AL29" s="117">
        <v>6</v>
      </c>
      <c r="AM29" s="117">
        <v>60000</v>
      </c>
      <c r="AN29" s="117">
        <v>108</v>
      </c>
      <c r="AO29" s="117">
        <v>7974300</v>
      </c>
      <c r="AP29" s="117">
        <v>8</v>
      </c>
      <c r="AQ29" s="117">
        <v>38400</v>
      </c>
      <c r="AR29" s="117">
        <v>63</v>
      </c>
      <c r="AS29" s="117">
        <v>6034800</v>
      </c>
      <c r="AT29" s="117">
        <v>1600</v>
      </c>
      <c r="AU29" s="117">
        <v>801406900</v>
      </c>
    </row>
    <row r="30" spans="1:47" x14ac:dyDescent="0.25">
      <c r="A30" s="117">
        <v>540019</v>
      </c>
      <c r="B30" s="2" t="s">
        <v>128</v>
      </c>
      <c r="C30" s="2" t="s">
        <v>13</v>
      </c>
      <c r="D30" s="2" t="s">
        <v>115</v>
      </c>
      <c r="E30" s="117">
        <v>2</v>
      </c>
      <c r="F30" s="117">
        <v>1</v>
      </c>
      <c r="G30" s="117">
        <v>27000</v>
      </c>
      <c r="H30" s="117">
        <v>22</v>
      </c>
      <c r="I30" s="117">
        <v>1916400</v>
      </c>
      <c r="J30" s="117">
        <v>610</v>
      </c>
      <c r="K30" s="117">
        <v>61751100</v>
      </c>
      <c r="L30" s="117">
        <v>0</v>
      </c>
      <c r="M30" s="117">
        <v>0</v>
      </c>
      <c r="N30" s="117">
        <v>2</v>
      </c>
      <c r="O30" s="117">
        <v>286700</v>
      </c>
      <c r="P30" s="117">
        <v>42</v>
      </c>
      <c r="Q30" s="117">
        <v>11148900</v>
      </c>
      <c r="R30" s="117">
        <v>0</v>
      </c>
      <c r="S30" s="117">
        <v>0</v>
      </c>
      <c r="T30" s="117">
        <v>0</v>
      </c>
      <c r="U30" s="117">
        <v>0</v>
      </c>
      <c r="V30" s="117">
        <v>1</v>
      </c>
      <c r="W30" s="117">
        <v>800900</v>
      </c>
      <c r="X30" s="117">
        <v>0</v>
      </c>
      <c r="Y30" s="117">
        <v>0</v>
      </c>
      <c r="Z30" s="117">
        <v>0</v>
      </c>
      <c r="AA30" s="117">
        <v>0</v>
      </c>
      <c r="AB30" s="117">
        <v>0</v>
      </c>
      <c r="AC30" s="117">
        <v>0</v>
      </c>
      <c r="AD30" s="117">
        <v>0</v>
      </c>
      <c r="AE30" s="117">
        <v>0</v>
      </c>
      <c r="AF30" s="117">
        <v>0</v>
      </c>
      <c r="AG30" s="117">
        <v>0</v>
      </c>
      <c r="AH30" s="117">
        <v>2</v>
      </c>
      <c r="AI30" s="117">
        <v>456100</v>
      </c>
      <c r="AJ30" s="117">
        <v>0</v>
      </c>
      <c r="AK30" s="117">
        <v>0</v>
      </c>
      <c r="AL30" s="117">
        <v>0</v>
      </c>
      <c r="AM30" s="117">
        <v>0</v>
      </c>
      <c r="AN30" s="117">
        <v>2</v>
      </c>
      <c r="AO30" s="117">
        <v>629500</v>
      </c>
      <c r="AP30" s="117">
        <v>0</v>
      </c>
      <c r="AQ30" s="117">
        <v>0</v>
      </c>
      <c r="AR30" s="117">
        <v>0</v>
      </c>
      <c r="AS30" s="117">
        <v>0</v>
      </c>
      <c r="AT30" s="117">
        <v>26</v>
      </c>
      <c r="AU30" s="117">
        <v>11412100</v>
      </c>
    </row>
    <row r="31" spans="1:47" x14ac:dyDescent="0.25">
      <c r="A31" s="269"/>
      <c r="B31" s="269"/>
      <c r="C31" s="269" t="s">
        <v>13</v>
      </c>
      <c r="D31" s="269"/>
      <c r="E31" s="269"/>
      <c r="F31" s="270">
        <v>609</v>
      </c>
      <c r="G31" s="270">
        <v>34284000</v>
      </c>
      <c r="H31" s="270">
        <v>3169</v>
      </c>
      <c r="I31" s="270">
        <v>236151900</v>
      </c>
      <c r="J31" s="270">
        <v>30760</v>
      </c>
      <c r="K31" s="270">
        <v>2544476500</v>
      </c>
      <c r="L31" s="270">
        <v>9</v>
      </c>
      <c r="M31" s="270">
        <v>657800</v>
      </c>
      <c r="N31" s="270">
        <v>44</v>
      </c>
      <c r="O31" s="270">
        <v>8933500</v>
      </c>
      <c r="P31" s="270">
        <v>2760</v>
      </c>
      <c r="Q31" s="270">
        <v>618777600</v>
      </c>
      <c r="R31" s="270">
        <v>0</v>
      </c>
      <c r="S31" s="270">
        <v>0</v>
      </c>
      <c r="T31" s="270">
        <v>3</v>
      </c>
      <c r="U31" s="270">
        <v>468500</v>
      </c>
      <c r="V31" s="270">
        <v>241</v>
      </c>
      <c r="W31" s="270">
        <v>85674800</v>
      </c>
      <c r="X31" s="270">
        <v>0</v>
      </c>
      <c r="Y31" s="270">
        <v>0</v>
      </c>
      <c r="Z31" s="270">
        <v>1</v>
      </c>
      <c r="AA31" s="270">
        <v>626100</v>
      </c>
      <c r="AB31" s="270">
        <v>94</v>
      </c>
      <c r="AC31" s="270">
        <v>49751600</v>
      </c>
      <c r="AD31" s="270">
        <v>37</v>
      </c>
      <c r="AE31" s="270">
        <v>3745200</v>
      </c>
      <c r="AF31" s="270">
        <v>171</v>
      </c>
      <c r="AG31" s="270">
        <v>13256700</v>
      </c>
      <c r="AH31" s="270">
        <v>566</v>
      </c>
      <c r="AI31" s="270">
        <v>41180000</v>
      </c>
      <c r="AJ31" s="270">
        <v>8</v>
      </c>
      <c r="AK31" s="270">
        <v>272000</v>
      </c>
      <c r="AL31" s="270">
        <v>16</v>
      </c>
      <c r="AM31" s="270">
        <v>120100</v>
      </c>
      <c r="AN31" s="270">
        <v>208</v>
      </c>
      <c r="AO31" s="270">
        <v>11005500</v>
      </c>
      <c r="AP31" s="270">
        <v>25</v>
      </c>
      <c r="AQ31" s="270">
        <v>995200</v>
      </c>
      <c r="AR31" s="270">
        <v>149</v>
      </c>
      <c r="AS31" s="270">
        <v>12959300</v>
      </c>
      <c r="AT31" s="270">
        <v>2236</v>
      </c>
      <c r="AU31" s="270">
        <v>917184400</v>
      </c>
    </row>
    <row r="32" spans="1:47" x14ac:dyDescent="0.25">
      <c r="A32" s="117">
        <v>540020</v>
      </c>
      <c r="B32" s="2" t="s">
        <v>14</v>
      </c>
      <c r="C32" s="2" t="s">
        <v>15</v>
      </c>
      <c r="D32" s="2" t="s">
        <v>5</v>
      </c>
      <c r="E32" s="117">
        <v>5</v>
      </c>
      <c r="F32" s="117">
        <v>27</v>
      </c>
      <c r="G32" s="117">
        <v>635900</v>
      </c>
      <c r="H32" s="117">
        <v>379</v>
      </c>
      <c r="I32" s="117">
        <v>8855820</v>
      </c>
      <c r="J32" s="117">
        <v>1778</v>
      </c>
      <c r="K32" s="117">
        <v>50190454</v>
      </c>
      <c r="L32" s="117">
        <v>0</v>
      </c>
      <c r="M32" s="117">
        <v>0</v>
      </c>
      <c r="N32" s="117">
        <v>6</v>
      </c>
      <c r="O32" s="117">
        <v>372400</v>
      </c>
      <c r="P32" s="117">
        <v>39</v>
      </c>
      <c r="Q32" s="117">
        <v>2860600</v>
      </c>
      <c r="R32" s="117">
        <v>0</v>
      </c>
      <c r="S32" s="117">
        <v>0</v>
      </c>
      <c r="T32" s="117">
        <v>0</v>
      </c>
      <c r="U32" s="117">
        <v>0</v>
      </c>
      <c r="V32" s="117">
        <v>3</v>
      </c>
      <c r="W32" s="117">
        <v>815800</v>
      </c>
      <c r="X32" s="117">
        <v>0</v>
      </c>
      <c r="Y32" s="117">
        <v>0</v>
      </c>
      <c r="Z32" s="117">
        <v>0</v>
      </c>
      <c r="AA32" s="117">
        <v>0</v>
      </c>
      <c r="AB32" s="117">
        <v>0</v>
      </c>
      <c r="AC32" s="117">
        <v>0</v>
      </c>
      <c r="AD32" s="117">
        <v>61</v>
      </c>
      <c r="AE32" s="117">
        <v>1983920</v>
      </c>
      <c r="AF32" s="117">
        <v>663</v>
      </c>
      <c r="AG32" s="117">
        <v>23431256</v>
      </c>
      <c r="AH32" s="117">
        <v>2126</v>
      </c>
      <c r="AI32" s="117">
        <v>78039978</v>
      </c>
      <c r="AJ32" s="117">
        <v>0</v>
      </c>
      <c r="AK32" s="117">
        <v>0</v>
      </c>
      <c r="AL32" s="117">
        <v>0</v>
      </c>
      <c r="AM32" s="117">
        <v>0</v>
      </c>
      <c r="AN32" s="117">
        <v>9</v>
      </c>
      <c r="AO32" s="117">
        <v>73100</v>
      </c>
      <c r="AP32" s="117">
        <v>3</v>
      </c>
      <c r="AQ32" s="117">
        <v>20500</v>
      </c>
      <c r="AR32" s="117">
        <v>25</v>
      </c>
      <c r="AS32" s="117">
        <v>1248500</v>
      </c>
      <c r="AT32" s="117">
        <v>209</v>
      </c>
      <c r="AU32" s="117">
        <v>14796700</v>
      </c>
    </row>
    <row r="33" spans="1:47" x14ac:dyDescent="0.25">
      <c r="A33" s="117">
        <v>540021</v>
      </c>
      <c r="B33" s="2" t="s">
        <v>129</v>
      </c>
      <c r="C33" s="2" t="s">
        <v>15</v>
      </c>
      <c r="D33" s="2" t="s">
        <v>115</v>
      </c>
      <c r="E33" s="117">
        <v>5</v>
      </c>
      <c r="F33" s="117">
        <v>0</v>
      </c>
      <c r="G33" s="117">
        <v>0</v>
      </c>
      <c r="H33" s="117">
        <v>19</v>
      </c>
      <c r="I33" s="117">
        <v>333500</v>
      </c>
      <c r="J33" s="117">
        <v>243</v>
      </c>
      <c r="K33" s="117">
        <v>5701700</v>
      </c>
      <c r="L33" s="117">
        <v>0</v>
      </c>
      <c r="M33" s="117">
        <v>0</v>
      </c>
      <c r="N33" s="117">
        <v>0</v>
      </c>
      <c r="O33" s="117">
        <v>0</v>
      </c>
      <c r="P33" s="117">
        <v>32</v>
      </c>
      <c r="Q33" s="117">
        <v>2504700</v>
      </c>
      <c r="R33" s="117">
        <v>0</v>
      </c>
      <c r="S33" s="117">
        <v>0</v>
      </c>
      <c r="T33" s="117">
        <v>0</v>
      </c>
      <c r="U33" s="117">
        <v>0</v>
      </c>
      <c r="V33" s="117">
        <v>3</v>
      </c>
      <c r="W33" s="117">
        <v>329200</v>
      </c>
      <c r="X33" s="117">
        <v>0</v>
      </c>
      <c r="Y33" s="117">
        <v>0</v>
      </c>
      <c r="Z33" s="117">
        <v>0</v>
      </c>
      <c r="AA33" s="117">
        <v>0</v>
      </c>
      <c r="AB33" s="117">
        <v>0</v>
      </c>
      <c r="AC33" s="117">
        <v>0</v>
      </c>
      <c r="AD33" s="117">
        <v>0</v>
      </c>
      <c r="AE33" s="117">
        <v>0</v>
      </c>
      <c r="AF33" s="117">
        <v>0</v>
      </c>
      <c r="AG33" s="117">
        <v>0</v>
      </c>
      <c r="AH33" s="117">
        <v>1</v>
      </c>
      <c r="AI33" s="117">
        <v>15400</v>
      </c>
      <c r="AJ33" s="117">
        <v>0</v>
      </c>
      <c r="AK33" s="117">
        <v>0</v>
      </c>
      <c r="AL33" s="117">
        <v>0</v>
      </c>
      <c r="AM33" s="117">
        <v>0</v>
      </c>
      <c r="AN33" s="117">
        <v>0</v>
      </c>
      <c r="AO33" s="117">
        <v>0</v>
      </c>
      <c r="AP33" s="117">
        <v>0</v>
      </c>
      <c r="AQ33" s="117">
        <v>0</v>
      </c>
      <c r="AR33" s="117">
        <v>3</v>
      </c>
      <c r="AS33" s="117">
        <v>408800</v>
      </c>
      <c r="AT33" s="117">
        <v>17</v>
      </c>
      <c r="AU33" s="117">
        <v>3539400</v>
      </c>
    </row>
    <row r="34" spans="1:47" x14ac:dyDescent="0.25">
      <c r="A34" s="269"/>
      <c r="B34" s="269"/>
      <c r="C34" s="269" t="s">
        <v>15</v>
      </c>
      <c r="D34" s="269"/>
      <c r="E34" s="269"/>
      <c r="F34" s="270">
        <v>27</v>
      </c>
      <c r="G34" s="270">
        <v>635900</v>
      </c>
      <c r="H34" s="270">
        <v>398</v>
      </c>
      <c r="I34" s="270">
        <v>9189320</v>
      </c>
      <c r="J34" s="270">
        <v>2021</v>
      </c>
      <c r="K34" s="270">
        <v>55892154</v>
      </c>
      <c r="L34" s="270">
        <v>0</v>
      </c>
      <c r="M34" s="270">
        <v>0</v>
      </c>
      <c r="N34" s="270">
        <v>6</v>
      </c>
      <c r="O34" s="270">
        <v>372400</v>
      </c>
      <c r="P34" s="270">
        <v>71</v>
      </c>
      <c r="Q34" s="270">
        <v>5365300</v>
      </c>
      <c r="R34" s="270">
        <v>0</v>
      </c>
      <c r="S34" s="270">
        <v>0</v>
      </c>
      <c r="T34" s="270">
        <v>0</v>
      </c>
      <c r="U34" s="270">
        <v>0</v>
      </c>
      <c r="V34" s="270">
        <v>6</v>
      </c>
      <c r="W34" s="270">
        <v>1145000</v>
      </c>
      <c r="X34" s="270">
        <v>0</v>
      </c>
      <c r="Y34" s="270">
        <v>0</v>
      </c>
      <c r="Z34" s="270">
        <v>0</v>
      </c>
      <c r="AA34" s="270">
        <v>0</v>
      </c>
      <c r="AB34" s="270">
        <v>0</v>
      </c>
      <c r="AC34" s="270">
        <v>0</v>
      </c>
      <c r="AD34" s="270">
        <v>61</v>
      </c>
      <c r="AE34" s="270">
        <v>1983920</v>
      </c>
      <c r="AF34" s="270">
        <v>663</v>
      </c>
      <c r="AG34" s="270">
        <v>23431256</v>
      </c>
      <c r="AH34" s="270">
        <v>2127</v>
      </c>
      <c r="AI34" s="270">
        <v>78055378</v>
      </c>
      <c r="AJ34" s="270">
        <v>0</v>
      </c>
      <c r="AK34" s="270">
        <v>0</v>
      </c>
      <c r="AL34" s="270">
        <v>0</v>
      </c>
      <c r="AM34" s="270">
        <v>0</v>
      </c>
      <c r="AN34" s="270">
        <v>9</v>
      </c>
      <c r="AO34" s="270">
        <v>73100</v>
      </c>
      <c r="AP34" s="270">
        <v>3</v>
      </c>
      <c r="AQ34" s="270">
        <v>20500</v>
      </c>
      <c r="AR34" s="270">
        <v>28</v>
      </c>
      <c r="AS34" s="270">
        <v>1657300</v>
      </c>
      <c r="AT34" s="270">
        <v>226</v>
      </c>
      <c r="AU34" s="270">
        <v>18336100</v>
      </c>
    </row>
    <row r="35" spans="1:47" x14ac:dyDescent="0.25">
      <c r="A35" s="117">
        <v>540022</v>
      </c>
      <c r="B35" s="2" t="s">
        <v>16</v>
      </c>
      <c r="C35" s="2" t="s">
        <v>17</v>
      </c>
      <c r="D35" s="2" t="s">
        <v>5</v>
      </c>
      <c r="E35" s="117">
        <v>3</v>
      </c>
      <c r="F35" s="117">
        <v>156</v>
      </c>
      <c r="G35" s="117">
        <v>3667600</v>
      </c>
      <c r="H35" s="117">
        <v>1061</v>
      </c>
      <c r="I35" s="117">
        <v>26343500</v>
      </c>
      <c r="J35" s="117">
        <v>3819</v>
      </c>
      <c r="K35" s="117">
        <v>95734100</v>
      </c>
      <c r="L35" s="117">
        <v>0</v>
      </c>
      <c r="M35" s="117">
        <v>0</v>
      </c>
      <c r="N35" s="117">
        <v>7</v>
      </c>
      <c r="O35" s="117">
        <v>581900</v>
      </c>
      <c r="P35" s="117">
        <v>45</v>
      </c>
      <c r="Q35" s="117">
        <v>3342700</v>
      </c>
      <c r="R35" s="117">
        <v>0</v>
      </c>
      <c r="S35" s="117">
        <v>0</v>
      </c>
      <c r="T35" s="117">
        <v>0</v>
      </c>
      <c r="U35" s="117">
        <v>0</v>
      </c>
      <c r="V35" s="117">
        <v>0</v>
      </c>
      <c r="W35" s="117">
        <v>0</v>
      </c>
      <c r="X35" s="117">
        <v>0</v>
      </c>
      <c r="Y35" s="117">
        <v>0</v>
      </c>
      <c r="Z35" s="117">
        <v>2</v>
      </c>
      <c r="AA35" s="117">
        <v>129900</v>
      </c>
      <c r="AB35" s="117">
        <v>2</v>
      </c>
      <c r="AC35" s="117">
        <v>702800</v>
      </c>
      <c r="AD35" s="117">
        <v>28</v>
      </c>
      <c r="AE35" s="117">
        <v>706300</v>
      </c>
      <c r="AF35" s="117">
        <v>159</v>
      </c>
      <c r="AG35" s="117">
        <v>4992600</v>
      </c>
      <c r="AH35" s="117">
        <v>420</v>
      </c>
      <c r="AI35" s="117">
        <v>12092900</v>
      </c>
      <c r="AJ35" s="117">
        <v>0</v>
      </c>
      <c r="AK35" s="117">
        <v>0</v>
      </c>
      <c r="AL35" s="117">
        <v>1</v>
      </c>
      <c r="AM35" s="117">
        <v>1300</v>
      </c>
      <c r="AN35" s="117">
        <v>5</v>
      </c>
      <c r="AO35" s="117">
        <v>101000</v>
      </c>
      <c r="AP35" s="117">
        <v>15</v>
      </c>
      <c r="AQ35" s="117">
        <v>385600</v>
      </c>
      <c r="AR35" s="117">
        <v>64</v>
      </c>
      <c r="AS35" s="117">
        <v>2679800</v>
      </c>
      <c r="AT35" s="117">
        <v>237</v>
      </c>
      <c r="AU35" s="117">
        <v>7974600</v>
      </c>
    </row>
    <row r="36" spans="1:47" x14ac:dyDescent="0.25">
      <c r="A36" s="117">
        <v>540023</v>
      </c>
      <c r="B36" s="2" t="s">
        <v>130</v>
      </c>
      <c r="C36" s="2" t="s">
        <v>17</v>
      </c>
      <c r="D36" s="2" t="s">
        <v>115</v>
      </c>
      <c r="E36" s="117">
        <v>3</v>
      </c>
      <c r="F36" s="117">
        <v>2</v>
      </c>
      <c r="G36" s="117">
        <v>54100</v>
      </c>
      <c r="H36" s="117">
        <v>67</v>
      </c>
      <c r="I36" s="117">
        <v>1216200</v>
      </c>
      <c r="J36" s="117">
        <v>154</v>
      </c>
      <c r="K36" s="117">
        <v>3978800</v>
      </c>
      <c r="L36" s="117">
        <v>0</v>
      </c>
      <c r="M36" s="117">
        <v>0</v>
      </c>
      <c r="N36" s="117">
        <v>4</v>
      </c>
      <c r="O36" s="117">
        <v>248900</v>
      </c>
      <c r="P36" s="117">
        <v>31</v>
      </c>
      <c r="Q36" s="117">
        <v>2470900</v>
      </c>
      <c r="R36" s="117">
        <v>0</v>
      </c>
      <c r="S36" s="117">
        <v>0</v>
      </c>
      <c r="T36" s="117">
        <v>0</v>
      </c>
      <c r="U36" s="117">
        <v>0</v>
      </c>
      <c r="V36" s="117">
        <v>0</v>
      </c>
      <c r="W36" s="117">
        <v>0</v>
      </c>
      <c r="X36" s="117">
        <v>0</v>
      </c>
      <c r="Y36" s="117">
        <v>0</v>
      </c>
      <c r="Z36" s="117">
        <v>0</v>
      </c>
      <c r="AA36" s="117">
        <v>0</v>
      </c>
      <c r="AB36" s="117">
        <v>0</v>
      </c>
      <c r="AC36" s="117">
        <v>0</v>
      </c>
      <c r="AD36" s="117">
        <v>0</v>
      </c>
      <c r="AE36" s="117">
        <v>0</v>
      </c>
      <c r="AF36" s="117">
        <v>0</v>
      </c>
      <c r="AG36" s="117">
        <v>0</v>
      </c>
      <c r="AH36" s="117">
        <v>0</v>
      </c>
      <c r="AI36" s="117">
        <v>0</v>
      </c>
      <c r="AJ36" s="117">
        <v>0</v>
      </c>
      <c r="AK36" s="117">
        <v>0</v>
      </c>
      <c r="AL36" s="117">
        <v>0</v>
      </c>
      <c r="AM36" s="117">
        <v>0</v>
      </c>
      <c r="AN36" s="117">
        <v>0</v>
      </c>
      <c r="AO36" s="117">
        <v>0</v>
      </c>
      <c r="AP36" s="117">
        <v>0</v>
      </c>
      <c r="AQ36" s="117">
        <v>0</v>
      </c>
      <c r="AR36" s="117">
        <v>6</v>
      </c>
      <c r="AS36" s="117">
        <v>782700</v>
      </c>
      <c r="AT36" s="117">
        <v>31</v>
      </c>
      <c r="AU36" s="117">
        <v>3903500</v>
      </c>
    </row>
    <row r="37" spans="1:47" x14ac:dyDescent="0.25">
      <c r="A37" s="269"/>
      <c r="B37" s="269"/>
      <c r="C37" s="269" t="s">
        <v>17</v>
      </c>
      <c r="D37" s="269"/>
      <c r="E37" s="269"/>
      <c r="F37" s="270">
        <v>158</v>
      </c>
      <c r="G37" s="270">
        <v>3721700</v>
      </c>
      <c r="H37" s="270">
        <v>1128</v>
      </c>
      <c r="I37" s="270">
        <v>27559700</v>
      </c>
      <c r="J37" s="270">
        <v>3973</v>
      </c>
      <c r="K37" s="270">
        <v>99712900</v>
      </c>
      <c r="L37" s="270">
        <v>0</v>
      </c>
      <c r="M37" s="270">
        <v>0</v>
      </c>
      <c r="N37" s="270">
        <v>11</v>
      </c>
      <c r="O37" s="270">
        <v>830800</v>
      </c>
      <c r="P37" s="270">
        <v>76</v>
      </c>
      <c r="Q37" s="270">
        <v>5813600</v>
      </c>
      <c r="R37" s="270">
        <v>0</v>
      </c>
      <c r="S37" s="270">
        <v>0</v>
      </c>
      <c r="T37" s="270">
        <v>0</v>
      </c>
      <c r="U37" s="270">
        <v>0</v>
      </c>
      <c r="V37" s="270">
        <v>0</v>
      </c>
      <c r="W37" s="270">
        <v>0</v>
      </c>
      <c r="X37" s="270">
        <v>0</v>
      </c>
      <c r="Y37" s="270">
        <v>0</v>
      </c>
      <c r="Z37" s="270">
        <v>2</v>
      </c>
      <c r="AA37" s="270">
        <v>129900</v>
      </c>
      <c r="AB37" s="270">
        <v>2</v>
      </c>
      <c r="AC37" s="270">
        <v>702800</v>
      </c>
      <c r="AD37" s="270">
        <v>28</v>
      </c>
      <c r="AE37" s="270">
        <v>706300</v>
      </c>
      <c r="AF37" s="270">
        <v>159</v>
      </c>
      <c r="AG37" s="270">
        <v>4992600</v>
      </c>
      <c r="AH37" s="270">
        <v>420</v>
      </c>
      <c r="AI37" s="270">
        <v>12092900</v>
      </c>
      <c r="AJ37" s="270">
        <v>0</v>
      </c>
      <c r="AK37" s="270">
        <v>0</v>
      </c>
      <c r="AL37" s="270">
        <v>1</v>
      </c>
      <c r="AM37" s="270">
        <v>1300</v>
      </c>
      <c r="AN37" s="270">
        <v>5</v>
      </c>
      <c r="AO37" s="270">
        <v>101000</v>
      </c>
      <c r="AP37" s="270">
        <v>15</v>
      </c>
      <c r="AQ37" s="270">
        <v>385600</v>
      </c>
      <c r="AR37" s="270">
        <v>70</v>
      </c>
      <c r="AS37" s="270">
        <v>3462500</v>
      </c>
      <c r="AT37" s="270">
        <v>268</v>
      </c>
      <c r="AU37" s="270">
        <v>11878100</v>
      </c>
    </row>
    <row r="38" spans="1:47" x14ac:dyDescent="0.25">
      <c r="A38" s="117">
        <v>540024</v>
      </c>
      <c r="B38" s="2" t="s">
        <v>18</v>
      </c>
      <c r="C38" s="2" t="s">
        <v>19</v>
      </c>
      <c r="D38" s="2" t="s">
        <v>5</v>
      </c>
      <c r="E38" s="117">
        <v>6</v>
      </c>
      <c r="F38" s="117">
        <v>35</v>
      </c>
      <c r="G38" s="117">
        <v>555300</v>
      </c>
      <c r="H38" s="117">
        <v>377</v>
      </c>
      <c r="I38" s="117">
        <v>8802600</v>
      </c>
      <c r="J38" s="117">
        <v>1795</v>
      </c>
      <c r="K38" s="117">
        <v>63254900</v>
      </c>
      <c r="L38" s="117">
        <v>1</v>
      </c>
      <c r="M38" s="117">
        <v>839700</v>
      </c>
      <c r="N38" s="117">
        <v>11</v>
      </c>
      <c r="O38" s="117">
        <v>3383900</v>
      </c>
      <c r="P38" s="117">
        <v>73</v>
      </c>
      <c r="Q38" s="117">
        <v>15464700</v>
      </c>
      <c r="R38" s="117">
        <v>0</v>
      </c>
      <c r="S38" s="117">
        <v>0</v>
      </c>
      <c r="T38" s="117">
        <v>0</v>
      </c>
      <c r="U38" s="117">
        <v>0</v>
      </c>
      <c r="V38" s="117">
        <v>0</v>
      </c>
      <c r="W38" s="117">
        <v>0</v>
      </c>
      <c r="X38" s="117">
        <v>0</v>
      </c>
      <c r="Y38" s="117">
        <v>0</v>
      </c>
      <c r="Z38" s="117">
        <v>1</v>
      </c>
      <c r="AA38" s="117">
        <v>50600</v>
      </c>
      <c r="AB38" s="117">
        <v>0</v>
      </c>
      <c r="AC38" s="117">
        <v>0</v>
      </c>
      <c r="AD38" s="117">
        <v>60</v>
      </c>
      <c r="AE38" s="117">
        <v>2848500</v>
      </c>
      <c r="AF38" s="117">
        <v>678</v>
      </c>
      <c r="AG38" s="117">
        <v>31155200</v>
      </c>
      <c r="AH38" s="117">
        <v>1989</v>
      </c>
      <c r="AI38" s="117">
        <v>104045900</v>
      </c>
      <c r="AJ38" s="117">
        <v>0</v>
      </c>
      <c r="AK38" s="117">
        <v>0</v>
      </c>
      <c r="AL38" s="117">
        <v>0</v>
      </c>
      <c r="AM38" s="117">
        <v>0</v>
      </c>
      <c r="AN38" s="117">
        <v>1</v>
      </c>
      <c r="AO38" s="117">
        <v>46500</v>
      </c>
      <c r="AP38" s="117">
        <v>3</v>
      </c>
      <c r="AQ38" s="117">
        <v>7900</v>
      </c>
      <c r="AR38" s="117">
        <v>35</v>
      </c>
      <c r="AS38" s="117">
        <v>11111100</v>
      </c>
      <c r="AT38" s="117">
        <v>159</v>
      </c>
      <c r="AU38" s="117">
        <v>33369100</v>
      </c>
    </row>
    <row r="39" spans="1:47" x14ac:dyDescent="0.25">
      <c r="A39" s="117">
        <v>540025</v>
      </c>
      <c r="B39" s="2" t="s">
        <v>131</v>
      </c>
      <c r="C39" s="2" t="s">
        <v>19</v>
      </c>
      <c r="D39" s="2" t="s">
        <v>115</v>
      </c>
      <c r="E39" s="117">
        <v>6</v>
      </c>
      <c r="F39" s="117">
        <v>3</v>
      </c>
      <c r="G39" s="117">
        <v>30000</v>
      </c>
      <c r="H39" s="117">
        <v>50</v>
      </c>
      <c r="I39" s="117">
        <v>661600</v>
      </c>
      <c r="J39" s="117">
        <v>400</v>
      </c>
      <c r="K39" s="117">
        <v>16632400</v>
      </c>
      <c r="L39" s="117">
        <v>0</v>
      </c>
      <c r="M39" s="117">
        <v>0</v>
      </c>
      <c r="N39" s="117">
        <v>0</v>
      </c>
      <c r="O39" s="117">
        <v>0</v>
      </c>
      <c r="P39" s="117">
        <v>70</v>
      </c>
      <c r="Q39" s="117">
        <v>6959400</v>
      </c>
      <c r="R39" s="117">
        <v>0</v>
      </c>
      <c r="S39" s="117">
        <v>0</v>
      </c>
      <c r="T39" s="117">
        <v>0</v>
      </c>
      <c r="U39" s="117">
        <v>0</v>
      </c>
      <c r="V39" s="117">
        <v>0</v>
      </c>
      <c r="W39" s="117">
        <v>0</v>
      </c>
      <c r="X39" s="117">
        <v>0</v>
      </c>
      <c r="Y39" s="117">
        <v>0</v>
      </c>
      <c r="Z39" s="117">
        <v>0</v>
      </c>
      <c r="AA39" s="117">
        <v>0</v>
      </c>
      <c r="AB39" s="117">
        <v>0</v>
      </c>
      <c r="AC39" s="117">
        <v>0</v>
      </c>
      <c r="AD39" s="117">
        <v>0</v>
      </c>
      <c r="AE39" s="117">
        <v>0</v>
      </c>
      <c r="AF39" s="117">
        <v>0</v>
      </c>
      <c r="AG39" s="117">
        <v>0</v>
      </c>
      <c r="AH39" s="117">
        <v>0</v>
      </c>
      <c r="AI39" s="117">
        <v>0</v>
      </c>
      <c r="AJ39" s="117">
        <v>0</v>
      </c>
      <c r="AK39" s="117">
        <v>0</v>
      </c>
      <c r="AL39" s="117">
        <v>0</v>
      </c>
      <c r="AM39" s="117">
        <v>0</v>
      </c>
      <c r="AN39" s="117">
        <v>0</v>
      </c>
      <c r="AO39" s="117">
        <v>0</v>
      </c>
      <c r="AP39" s="117">
        <v>0</v>
      </c>
      <c r="AQ39" s="117">
        <v>0</v>
      </c>
      <c r="AR39" s="117">
        <v>7</v>
      </c>
      <c r="AS39" s="117">
        <v>101900</v>
      </c>
      <c r="AT39" s="117">
        <v>70</v>
      </c>
      <c r="AU39" s="117">
        <v>7720000</v>
      </c>
    </row>
    <row r="40" spans="1:47" x14ac:dyDescent="0.25">
      <c r="A40" s="269"/>
      <c r="B40" s="269"/>
      <c r="C40" s="269" t="s">
        <v>19</v>
      </c>
      <c r="D40" s="269"/>
      <c r="E40" s="269"/>
      <c r="F40" s="270">
        <v>38</v>
      </c>
      <c r="G40" s="270">
        <v>585300</v>
      </c>
      <c r="H40" s="270">
        <v>427</v>
      </c>
      <c r="I40" s="270">
        <v>9464200</v>
      </c>
      <c r="J40" s="270">
        <v>2195</v>
      </c>
      <c r="K40" s="270">
        <v>79887300</v>
      </c>
      <c r="L40" s="270">
        <v>1</v>
      </c>
      <c r="M40" s="270">
        <v>839700</v>
      </c>
      <c r="N40" s="270">
        <v>11</v>
      </c>
      <c r="O40" s="270">
        <v>3383900</v>
      </c>
      <c r="P40" s="270">
        <v>143</v>
      </c>
      <c r="Q40" s="270">
        <v>22424100</v>
      </c>
      <c r="R40" s="270">
        <v>0</v>
      </c>
      <c r="S40" s="270">
        <v>0</v>
      </c>
      <c r="T40" s="270">
        <v>0</v>
      </c>
      <c r="U40" s="270">
        <v>0</v>
      </c>
      <c r="V40" s="270">
        <v>0</v>
      </c>
      <c r="W40" s="270">
        <v>0</v>
      </c>
      <c r="X40" s="270">
        <v>0</v>
      </c>
      <c r="Y40" s="270">
        <v>0</v>
      </c>
      <c r="Z40" s="270">
        <v>1</v>
      </c>
      <c r="AA40" s="270">
        <v>50600</v>
      </c>
      <c r="AB40" s="270">
        <v>0</v>
      </c>
      <c r="AC40" s="270">
        <v>0</v>
      </c>
      <c r="AD40" s="270">
        <v>60</v>
      </c>
      <c r="AE40" s="270">
        <v>2848500</v>
      </c>
      <c r="AF40" s="270">
        <v>678</v>
      </c>
      <c r="AG40" s="270">
        <v>31155200</v>
      </c>
      <c r="AH40" s="270">
        <v>1989</v>
      </c>
      <c r="AI40" s="270">
        <v>104045900</v>
      </c>
      <c r="AJ40" s="270">
        <v>0</v>
      </c>
      <c r="AK40" s="270">
        <v>0</v>
      </c>
      <c r="AL40" s="270">
        <v>0</v>
      </c>
      <c r="AM40" s="270">
        <v>0</v>
      </c>
      <c r="AN40" s="270">
        <v>1</v>
      </c>
      <c r="AO40" s="270">
        <v>46500</v>
      </c>
      <c r="AP40" s="270">
        <v>3</v>
      </c>
      <c r="AQ40" s="270">
        <v>7900</v>
      </c>
      <c r="AR40" s="270">
        <v>42</v>
      </c>
      <c r="AS40" s="270">
        <v>11213000</v>
      </c>
      <c r="AT40" s="270">
        <v>229</v>
      </c>
      <c r="AU40" s="270">
        <v>41089100</v>
      </c>
    </row>
    <row r="41" spans="1:47" x14ac:dyDescent="0.25">
      <c r="A41" s="117">
        <v>540035</v>
      </c>
      <c r="B41" s="2" t="s">
        <v>22</v>
      </c>
      <c r="C41" s="2" t="s">
        <v>23</v>
      </c>
      <c r="D41" s="2" t="s">
        <v>5</v>
      </c>
      <c r="E41" s="117">
        <v>7</v>
      </c>
      <c r="F41" s="117">
        <v>26</v>
      </c>
      <c r="G41" s="117">
        <v>531800</v>
      </c>
      <c r="H41" s="117">
        <v>213</v>
      </c>
      <c r="I41" s="117">
        <v>4370800</v>
      </c>
      <c r="J41" s="117">
        <v>1309</v>
      </c>
      <c r="K41" s="117">
        <v>41926200</v>
      </c>
      <c r="L41" s="117">
        <v>0</v>
      </c>
      <c r="M41" s="117">
        <v>0</v>
      </c>
      <c r="N41" s="117">
        <v>9</v>
      </c>
      <c r="O41" s="117">
        <v>1393800</v>
      </c>
      <c r="P41" s="117">
        <v>31</v>
      </c>
      <c r="Q41" s="117">
        <v>2944000</v>
      </c>
      <c r="R41" s="117">
        <v>0</v>
      </c>
      <c r="S41" s="117">
        <v>0</v>
      </c>
      <c r="T41" s="117">
        <v>0</v>
      </c>
      <c r="U41" s="117">
        <v>0</v>
      </c>
      <c r="V41" s="117">
        <v>1</v>
      </c>
      <c r="W41" s="117">
        <v>783000</v>
      </c>
      <c r="X41" s="117">
        <v>0</v>
      </c>
      <c r="Y41" s="117">
        <v>0</v>
      </c>
      <c r="Z41" s="117">
        <v>1</v>
      </c>
      <c r="AA41" s="117">
        <v>118500</v>
      </c>
      <c r="AB41" s="117">
        <v>3</v>
      </c>
      <c r="AC41" s="117">
        <v>723000</v>
      </c>
      <c r="AD41" s="117">
        <v>82</v>
      </c>
      <c r="AE41" s="117">
        <v>2672700</v>
      </c>
      <c r="AF41" s="117">
        <v>737</v>
      </c>
      <c r="AG41" s="117">
        <v>24690000</v>
      </c>
      <c r="AH41" s="117">
        <v>1984</v>
      </c>
      <c r="AI41" s="117">
        <v>65248100</v>
      </c>
      <c r="AJ41" s="117">
        <v>0</v>
      </c>
      <c r="AK41" s="117">
        <v>0</v>
      </c>
      <c r="AL41" s="117">
        <v>0</v>
      </c>
      <c r="AM41" s="117">
        <v>0</v>
      </c>
      <c r="AN41" s="117">
        <v>7</v>
      </c>
      <c r="AO41" s="117">
        <v>15300</v>
      </c>
      <c r="AP41" s="117">
        <v>4</v>
      </c>
      <c r="AQ41" s="117">
        <v>79000</v>
      </c>
      <c r="AR41" s="117">
        <v>33</v>
      </c>
      <c r="AS41" s="117">
        <v>767200</v>
      </c>
      <c r="AT41" s="117">
        <v>201</v>
      </c>
      <c r="AU41" s="117">
        <v>19081500</v>
      </c>
    </row>
    <row r="42" spans="1:47" x14ac:dyDescent="0.25">
      <c r="A42" s="117">
        <v>540036</v>
      </c>
      <c r="B42" s="2" t="s">
        <v>139</v>
      </c>
      <c r="C42" s="2" t="s">
        <v>23</v>
      </c>
      <c r="D42" s="2" t="s">
        <v>115</v>
      </c>
      <c r="E42" s="117">
        <v>7</v>
      </c>
      <c r="F42" s="117">
        <v>4</v>
      </c>
      <c r="G42" s="117">
        <v>144900</v>
      </c>
      <c r="H42" s="117">
        <v>48</v>
      </c>
      <c r="I42" s="117">
        <v>919100</v>
      </c>
      <c r="J42" s="117">
        <v>356</v>
      </c>
      <c r="K42" s="117">
        <v>14000900</v>
      </c>
      <c r="L42" s="117">
        <v>0</v>
      </c>
      <c r="M42" s="117">
        <v>0</v>
      </c>
      <c r="N42" s="117">
        <v>6</v>
      </c>
      <c r="O42" s="117">
        <v>290400</v>
      </c>
      <c r="P42" s="117">
        <v>22</v>
      </c>
      <c r="Q42" s="117">
        <v>3305400</v>
      </c>
      <c r="R42" s="117">
        <v>0</v>
      </c>
      <c r="S42" s="117">
        <v>0</v>
      </c>
      <c r="T42" s="117">
        <v>0</v>
      </c>
      <c r="U42" s="117">
        <v>0</v>
      </c>
      <c r="V42" s="117">
        <v>6</v>
      </c>
      <c r="W42" s="117">
        <v>598600</v>
      </c>
      <c r="X42" s="117">
        <v>0</v>
      </c>
      <c r="Y42" s="117">
        <v>0</v>
      </c>
      <c r="Z42" s="117">
        <v>0</v>
      </c>
      <c r="AA42" s="117">
        <v>0</v>
      </c>
      <c r="AB42" s="117">
        <v>0</v>
      </c>
      <c r="AC42" s="117">
        <v>0</v>
      </c>
      <c r="AD42" s="117">
        <v>0</v>
      </c>
      <c r="AE42" s="117">
        <v>0</v>
      </c>
      <c r="AF42" s="117">
        <v>0</v>
      </c>
      <c r="AG42" s="117">
        <v>0</v>
      </c>
      <c r="AH42" s="117">
        <v>2</v>
      </c>
      <c r="AI42" s="117">
        <v>211900</v>
      </c>
      <c r="AJ42" s="117">
        <v>0</v>
      </c>
      <c r="AK42" s="117">
        <v>0</v>
      </c>
      <c r="AL42" s="117">
        <v>0</v>
      </c>
      <c r="AM42" s="117">
        <v>0</v>
      </c>
      <c r="AN42" s="117">
        <v>3</v>
      </c>
      <c r="AO42" s="117">
        <v>63700</v>
      </c>
      <c r="AP42" s="117">
        <v>0</v>
      </c>
      <c r="AQ42" s="117">
        <v>0</v>
      </c>
      <c r="AR42" s="117">
        <v>17</v>
      </c>
      <c r="AS42" s="117">
        <v>259300</v>
      </c>
      <c r="AT42" s="117">
        <v>107</v>
      </c>
      <c r="AU42" s="117">
        <v>25950200</v>
      </c>
    </row>
    <row r="43" spans="1:47" x14ac:dyDescent="0.25">
      <c r="A43" s="117">
        <v>540037</v>
      </c>
      <c r="B43" s="2" t="s">
        <v>140</v>
      </c>
      <c r="C43" s="2" t="s">
        <v>23</v>
      </c>
      <c r="D43" s="2" t="s">
        <v>115</v>
      </c>
      <c r="E43" s="117">
        <v>7</v>
      </c>
      <c r="F43" s="117">
        <v>0</v>
      </c>
      <c r="G43" s="117">
        <v>0</v>
      </c>
      <c r="H43" s="117">
        <v>1</v>
      </c>
      <c r="I43" s="117">
        <v>1500</v>
      </c>
      <c r="J43" s="117">
        <v>68</v>
      </c>
      <c r="K43" s="117">
        <v>2009500</v>
      </c>
      <c r="L43" s="117">
        <v>0</v>
      </c>
      <c r="M43" s="117">
        <v>0</v>
      </c>
      <c r="N43" s="117">
        <v>0</v>
      </c>
      <c r="O43" s="117">
        <v>0</v>
      </c>
      <c r="P43" s="117">
        <v>5</v>
      </c>
      <c r="Q43" s="117">
        <v>1409000</v>
      </c>
      <c r="R43" s="117">
        <v>0</v>
      </c>
      <c r="S43" s="117">
        <v>0</v>
      </c>
      <c r="T43" s="117">
        <v>0</v>
      </c>
      <c r="U43" s="117">
        <v>0</v>
      </c>
      <c r="V43" s="117">
        <v>0</v>
      </c>
      <c r="W43" s="117">
        <v>0</v>
      </c>
      <c r="X43" s="117">
        <v>0</v>
      </c>
      <c r="Y43" s="117">
        <v>0</v>
      </c>
      <c r="Z43" s="117">
        <v>0</v>
      </c>
      <c r="AA43" s="117">
        <v>0</v>
      </c>
      <c r="AB43" s="117">
        <v>0</v>
      </c>
      <c r="AC43" s="117">
        <v>0</v>
      </c>
      <c r="AD43" s="117">
        <v>0</v>
      </c>
      <c r="AE43" s="117">
        <v>0</v>
      </c>
      <c r="AF43" s="117">
        <v>1</v>
      </c>
      <c r="AG43" s="117">
        <v>4400</v>
      </c>
      <c r="AH43" s="117">
        <v>5</v>
      </c>
      <c r="AI43" s="117">
        <v>125300</v>
      </c>
      <c r="AJ43" s="117">
        <v>0</v>
      </c>
      <c r="AK43" s="117">
        <v>0</v>
      </c>
      <c r="AL43" s="117">
        <v>0</v>
      </c>
      <c r="AM43" s="117">
        <v>0</v>
      </c>
      <c r="AN43" s="117">
        <v>0</v>
      </c>
      <c r="AO43" s="117">
        <v>0</v>
      </c>
      <c r="AP43" s="117">
        <v>0</v>
      </c>
      <c r="AQ43" s="117">
        <v>0</v>
      </c>
      <c r="AR43" s="117">
        <v>2</v>
      </c>
      <c r="AS43" s="117">
        <v>7400</v>
      </c>
      <c r="AT43" s="117">
        <v>18</v>
      </c>
      <c r="AU43" s="117">
        <v>461800</v>
      </c>
    </row>
    <row r="44" spans="1:47" x14ac:dyDescent="0.25">
      <c r="A44" s="269"/>
      <c r="B44" s="269"/>
      <c r="C44" s="269" t="s">
        <v>23</v>
      </c>
      <c r="D44" s="269"/>
      <c r="E44" s="269"/>
      <c r="F44" s="270">
        <v>30</v>
      </c>
      <c r="G44" s="270">
        <v>676700</v>
      </c>
      <c r="H44" s="270">
        <v>262</v>
      </c>
      <c r="I44" s="270">
        <v>5291400</v>
      </c>
      <c r="J44" s="270">
        <v>1733</v>
      </c>
      <c r="K44" s="270">
        <v>57936600</v>
      </c>
      <c r="L44" s="270">
        <v>0</v>
      </c>
      <c r="M44" s="270">
        <v>0</v>
      </c>
      <c r="N44" s="270">
        <v>15</v>
      </c>
      <c r="O44" s="270">
        <v>1684200</v>
      </c>
      <c r="P44" s="270">
        <v>58</v>
      </c>
      <c r="Q44" s="270">
        <v>7658400</v>
      </c>
      <c r="R44" s="270">
        <v>0</v>
      </c>
      <c r="S44" s="270">
        <v>0</v>
      </c>
      <c r="T44" s="270">
        <v>0</v>
      </c>
      <c r="U44" s="270">
        <v>0</v>
      </c>
      <c r="V44" s="270">
        <v>7</v>
      </c>
      <c r="W44" s="270">
        <v>1381600</v>
      </c>
      <c r="X44" s="270">
        <v>0</v>
      </c>
      <c r="Y44" s="270">
        <v>0</v>
      </c>
      <c r="Z44" s="270">
        <v>1</v>
      </c>
      <c r="AA44" s="270">
        <v>118500</v>
      </c>
      <c r="AB44" s="270">
        <v>3</v>
      </c>
      <c r="AC44" s="270">
        <v>723000</v>
      </c>
      <c r="AD44" s="270">
        <v>82</v>
      </c>
      <c r="AE44" s="270">
        <v>2672700</v>
      </c>
      <c r="AF44" s="270">
        <v>738</v>
      </c>
      <c r="AG44" s="270">
        <v>24694400</v>
      </c>
      <c r="AH44" s="270">
        <v>1991</v>
      </c>
      <c r="AI44" s="270">
        <v>65585300</v>
      </c>
      <c r="AJ44" s="270">
        <v>0</v>
      </c>
      <c r="AK44" s="270">
        <v>0</v>
      </c>
      <c r="AL44" s="270">
        <v>0</v>
      </c>
      <c r="AM44" s="270">
        <v>0</v>
      </c>
      <c r="AN44" s="270">
        <v>10</v>
      </c>
      <c r="AO44" s="270">
        <v>79000</v>
      </c>
      <c r="AP44" s="270">
        <v>4</v>
      </c>
      <c r="AQ44" s="270">
        <v>79000</v>
      </c>
      <c r="AR44" s="270">
        <v>52</v>
      </c>
      <c r="AS44" s="270">
        <v>1033900</v>
      </c>
      <c r="AT44" s="270">
        <v>326</v>
      </c>
      <c r="AU44" s="270">
        <v>45493500</v>
      </c>
    </row>
    <row r="45" spans="1:47" x14ac:dyDescent="0.25">
      <c r="A45" s="117">
        <v>540038</v>
      </c>
      <c r="B45" s="2" t="s">
        <v>24</v>
      </c>
      <c r="C45" s="2" t="s">
        <v>25</v>
      </c>
      <c r="D45" s="2" t="s">
        <v>5</v>
      </c>
      <c r="E45" s="117">
        <v>8</v>
      </c>
      <c r="F45" s="117">
        <v>130</v>
      </c>
      <c r="G45" s="117">
        <v>7073200</v>
      </c>
      <c r="H45" s="117">
        <v>741</v>
      </c>
      <c r="I45" s="117">
        <v>38658100</v>
      </c>
      <c r="J45" s="117">
        <v>5636</v>
      </c>
      <c r="K45" s="117">
        <v>310768800</v>
      </c>
      <c r="L45" s="117">
        <v>2</v>
      </c>
      <c r="M45" s="117">
        <v>146100</v>
      </c>
      <c r="N45" s="117">
        <v>7</v>
      </c>
      <c r="O45" s="117">
        <v>901700</v>
      </c>
      <c r="P45" s="117">
        <v>90</v>
      </c>
      <c r="Q45" s="117">
        <v>6944400</v>
      </c>
      <c r="R45" s="117">
        <v>0</v>
      </c>
      <c r="S45" s="117">
        <v>0</v>
      </c>
      <c r="T45" s="117">
        <v>0</v>
      </c>
      <c r="U45" s="117">
        <v>0</v>
      </c>
      <c r="V45" s="117">
        <v>0</v>
      </c>
      <c r="W45" s="117">
        <v>0</v>
      </c>
      <c r="X45" s="117">
        <v>3</v>
      </c>
      <c r="Y45" s="117">
        <v>111200</v>
      </c>
      <c r="Z45" s="117">
        <v>6</v>
      </c>
      <c r="AA45" s="117">
        <v>654600</v>
      </c>
      <c r="AB45" s="117">
        <v>19</v>
      </c>
      <c r="AC45" s="117">
        <v>4042900</v>
      </c>
      <c r="AD45" s="117">
        <v>63</v>
      </c>
      <c r="AE45" s="117">
        <v>2282700</v>
      </c>
      <c r="AF45" s="117">
        <v>317</v>
      </c>
      <c r="AG45" s="117">
        <v>11633600</v>
      </c>
      <c r="AH45" s="117">
        <v>1474</v>
      </c>
      <c r="AI45" s="117">
        <v>64171800</v>
      </c>
      <c r="AJ45" s="117">
        <v>0</v>
      </c>
      <c r="AK45" s="117">
        <v>0</v>
      </c>
      <c r="AL45" s="117">
        <v>0</v>
      </c>
      <c r="AM45" s="117">
        <v>0</v>
      </c>
      <c r="AN45" s="117">
        <v>6</v>
      </c>
      <c r="AO45" s="117">
        <v>1478200</v>
      </c>
      <c r="AP45" s="117">
        <v>11</v>
      </c>
      <c r="AQ45" s="117">
        <v>781200</v>
      </c>
      <c r="AR45" s="117">
        <v>51</v>
      </c>
      <c r="AS45" s="117">
        <v>7510200</v>
      </c>
      <c r="AT45" s="117">
        <v>222</v>
      </c>
      <c r="AU45" s="117">
        <v>23590800</v>
      </c>
    </row>
    <row r="46" spans="1:47" x14ac:dyDescent="0.25">
      <c r="A46" s="117">
        <v>540039</v>
      </c>
      <c r="B46" s="2" t="s">
        <v>141</v>
      </c>
      <c r="C46" s="2" t="s">
        <v>25</v>
      </c>
      <c r="D46" s="2" t="s">
        <v>115</v>
      </c>
      <c r="E46" s="117">
        <v>8</v>
      </c>
      <c r="F46" s="117">
        <v>8</v>
      </c>
      <c r="G46" s="117">
        <v>411900</v>
      </c>
      <c r="H46" s="117">
        <v>20</v>
      </c>
      <c r="I46" s="117">
        <v>1859200</v>
      </c>
      <c r="J46" s="117">
        <v>1082</v>
      </c>
      <c r="K46" s="117">
        <v>65944500</v>
      </c>
      <c r="L46" s="117">
        <v>0</v>
      </c>
      <c r="M46" s="117">
        <v>0</v>
      </c>
      <c r="N46" s="117">
        <v>1</v>
      </c>
      <c r="O46" s="117">
        <v>29500</v>
      </c>
      <c r="P46" s="117">
        <v>226</v>
      </c>
      <c r="Q46" s="117">
        <v>24246200</v>
      </c>
      <c r="R46" s="117">
        <v>0</v>
      </c>
      <c r="S46" s="117">
        <v>0</v>
      </c>
      <c r="T46" s="117">
        <v>0</v>
      </c>
      <c r="U46" s="117">
        <v>0</v>
      </c>
      <c r="V46" s="117">
        <v>0</v>
      </c>
      <c r="W46" s="117">
        <v>0</v>
      </c>
      <c r="X46" s="117">
        <v>0</v>
      </c>
      <c r="Y46" s="117">
        <v>0</v>
      </c>
      <c r="Z46" s="117">
        <v>1</v>
      </c>
      <c r="AA46" s="117">
        <v>127400</v>
      </c>
      <c r="AB46" s="117">
        <v>6</v>
      </c>
      <c r="AC46" s="117">
        <v>277400</v>
      </c>
      <c r="AD46" s="117">
        <v>0</v>
      </c>
      <c r="AE46" s="117">
        <v>0</v>
      </c>
      <c r="AF46" s="117">
        <v>0</v>
      </c>
      <c r="AG46" s="117">
        <v>0</v>
      </c>
      <c r="AH46" s="117">
        <v>1</v>
      </c>
      <c r="AI46" s="117">
        <v>4900</v>
      </c>
      <c r="AJ46" s="117">
        <v>0</v>
      </c>
      <c r="AK46" s="117">
        <v>0</v>
      </c>
      <c r="AL46" s="117">
        <v>0</v>
      </c>
      <c r="AM46" s="117">
        <v>0</v>
      </c>
      <c r="AN46" s="117">
        <v>0</v>
      </c>
      <c r="AO46" s="117">
        <v>0</v>
      </c>
      <c r="AP46" s="117">
        <v>0</v>
      </c>
      <c r="AQ46" s="117">
        <v>0</v>
      </c>
      <c r="AR46" s="117">
        <v>1</v>
      </c>
      <c r="AS46" s="117">
        <v>1100</v>
      </c>
      <c r="AT46" s="117">
        <v>116</v>
      </c>
      <c r="AU46" s="117">
        <v>39752400</v>
      </c>
    </row>
    <row r="47" spans="1:47" x14ac:dyDescent="0.25">
      <c r="A47" s="117">
        <v>540240</v>
      </c>
      <c r="B47" s="2" t="s">
        <v>287</v>
      </c>
      <c r="C47" s="2" t="s">
        <v>25</v>
      </c>
      <c r="D47" s="2" t="s">
        <v>115</v>
      </c>
      <c r="E47" s="117">
        <v>8</v>
      </c>
      <c r="F47" s="117">
        <v>8</v>
      </c>
      <c r="G47" s="117">
        <v>46300</v>
      </c>
      <c r="H47" s="117">
        <v>33</v>
      </c>
      <c r="I47" s="117">
        <v>73700</v>
      </c>
      <c r="J47" s="117">
        <v>371</v>
      </c>
      <c r="K47" s="117">
        <v>4155600</v>
      </c>
      <c r="L47" s="117">
        <v>0</v>
      </c>
      <c r="M47" s="117">
        <v>0</v>
      </c>
      <c r="N47" s="117">
        <v>1</v>
      </c>
      <c r="O47" s="117">
        <v>0</v>
      </c>
      <c r="P47" s="117">
        <v>15</v>
      </c>
      <c r="Q47" s="117">
        <v>251000</v>
      </c>
      <c r="R47" s="117">
        <v>0</v>
      </c>
      <c r="S47" s="117">
        <v>0</v>
      </c>
      <c r="T47" s="117">
        <v>0</v>
      </c>
      <c r="U47" s="117">
        <v>0</v>
      </c>
      <c r="V47" s="117">
        <v>0</v>
      </c>
      <c r="W47" s="117">
        <v>0</v>
      </c>
      <c r="X47" s="117">
        <v>0</v>
      </c>
      <c r="Y47" s="117">
        <v>0</v>
      </c>
      <c r="Z47" s="117">
        <v>0</v>
      </c>
      <c r="AA47" s="117">
        <v>0</v>
      </c>
      <c r="AB47" s="117">
        <v>0</v>
      </c>
      <c r="AC47" s="117">
        <v>0</v>
      </c>
      <c r="AD47" s="117">
        <v>0</v>
      </c>
      <c r="AE47" s="117">
        <v>0</v>
      </c>
      <c r="AF47" s="117">
        <v>0</v>
      </c>
      <c r="AG47" s="117">
        <v>0</v>
      </c>
      <c r="AH47" s="117">
        <v>0</v>
      </c>
      <c r="AI47" s="117">
        <v>0</v>
      </c>
      <c r="AJ47" s="117">
        <v>0</v>
      </c>
      <c r="AK47" s="117">
        <v>0</v>
      </c>
      <c r="AL47" s="117">
        <v>0</v>
      </c>
      <c r="AM47" s="117">
        <v>0</v>
      </c>
      <c r="AN47" s="117">
        <v>3</v>
      </c>
      <c r="AO47" s="117">
        <v>600</v>
      </c>
      <c r="AP47" s="117">
        <v>0</v>
      </c>
      <c r="AQ47" s="117">
        <v>0</v>
      </c>
      <c r="AR47" s="117">
        <v>0</v>
      </c>
      <c r="AS47" s="117">
        <v>0</v>
      </c>
      <c r="AT47" s="117">
        <v>31</v>
      </c>
      <c r="AU47" s="117">
        <v>775900</v>
      </c>
    </row>
    <row r="48" spans="1:47" x14ac:dyDescent="0.25">
      <c r="A48" s="269"/>
      <c r="B48" s="269"/>
      <c r="C48" s="269" t="s">
        <v>25</v>
      </c>
      <c r="D48" s="269"/>
      <c r="E48" s="269"/>
      <c r="F48" s="270">
        <v>146</v>
      </c>
      <c r="G48" s="270">
        <v>7531400</v>
      </c>
      <c r="H48" s="270">
        <v>794</v>
      </c>
      <c r="I48" s="270">
        <v>40591000</v>
      </c>
      <c r="J48" s="270">
        <v>7089</v>
      </c>
      <c r="K48" s="270">
        <v>380868900</v>
      </c>
      <c r="L48" s="270">
        <v>2</v>
      </c>
      <c r="M48" s="270">
        <v>146100</v>
      </c>
      <c r="N48" s="270">
        <v>9</v>
      </c>
      <c r="O48" s="270">
        <v>931200</v>
      </c>
      <c r="P48" s="270">
        <v>331</v>
      </c>
      <c r="Q48" s="270">
        <v>31441600</v>
      </c>
      <c r="R48" s="270">
        <v>0</v>
      </c>
      <c r="S48" s="270">
        <v>0</v>
      </c>
      <c r="T48" s="270">
        <v>0</v>
      </c>
      <c r="U48" s="270">
        <v>0</v>
      </c>
      <c r="V48" s="270">
        <v>0</v>
      </c>
      <c r="W48" s="270">
        <v>0</v>
      </c>
      <c r="X48" s="270">
        <v>3</v>
      </c>
      <c r="Y48" s="270">
        <v>111200</v>
      </c>
      <c r="Z48" s="270">
        <v>7</v>
      </c>
      <c r="AA48" s="270">
        <v>782000</v>
      </c>
      <c r="AB48" s="270">
        <v>25</v>
      </c>
      <c r="AC48" s="270">
        <v>4320300</v>
      </c>
      <c r="AD48" s="270">
        <v>63</v>
      </c>
      <c r="AE48" s="270">
        <v>2282700</v>
      </c>
      <c r="AF48" s="270">
        <v>317</v>
      </c>
      <c r="AG48" s="270">
        <v>11633600</v>
      </c>
      <c r="AH48" s="270">
        <v>1475</v>
      </c>
      <c r="AI48" s="270">
        <v>64176700</v>
      </c>
      <c r="AJ48" s="270">
        <v>0</v>
      </c>
      <c r="AK48" s="270">
        <v>0</v>
      </c>
      <c r="AL48" s="270">
        <v>0</v>
      </c>
      <c r="AM48" s="270">
        <v>0</v>
      </c>
      <c r="AN48" s="270">
        <v>9</v>
      </c>
      <c r="AO48" s="270">
        <v>1478800</v>
      </c>
      <c r="AP48" s="270">
        <v>11</v>
      </c>
      <c r="AQ48" s="270">
        <v>781200</v>
      </c>
      <c r="AR48" s="270">
        <v>52</v>
      </c>
      <c r="AS48" s="270">
        <v>7511300</v>
      </c>
      <c r="AT48" s="270">
        <v>369</v>
      </c>
      <c r="AU48" s="270">
        <v>64119100</v>
      </c>
    </row>
    <row r="49" spans="1:47" x14ac:dyDescent="0.25">
      <c r="A49" s="117">
        <v>540040</v>
      </c>
      <c r="B49" s="2" t="s">
        <v>26</v>
      </c>
      <c r="C49" s="2" t="s">
        <v>27</v>
      </c>
      <c r="D49" s="2" t="s">
        <v>5</v>
      </c>
      <c r="E49" s="117">
        <v>4</v>
      </c>
      <c r="F49" s="117">
        <v>253</v>
      </c>
      <c r="G49" s="117">
        <v>26969600</v>
      </c>
      <c r="H49" s="117">
        <v>1282</v>
      </c>
      <c r="I49" s="117">
        <v>176632800</v>
      </c>
      <c r="J49" s="117">
        <v>11915</v>
      </c>
      <c r="K49" s="117">
        <v>1018569400</v>
      </c>
      <c r="L49" s="117">
        <v>2</v>
      </c>
      <c r="M49" s="117">
        <v>79000</v>
      </c>
      <c r="N49" s="117">
        <v>11</v>
      </c>
      <c r="O49" s="117">
        <v>20398100</v>
      </c>
      <c r="P49" s="117">
        <v>556</v>
      </c>
      <c r="Q49" s="117">
        <v>255772300</v>
      </c>
      <c r="R49" s="117">
        <v>0</v>
      </c>
      <c r="S49" s="117">
        <v>0</v>
      </c>
      <c r="T49" s="117">
        <v>0</v>
      </c>
      <c r="U49" s="117">
        <v>0</v>
      </c>
      <c r="V49" s="117">
        <v>13</v>
      </c>
      <c r="W49" s="117">
        <v>2794500</v>
      </c>
      <c r="X49" s="117">
        <v>0</v>
      </c>
      <c r="Y49" s="117">
        <v>0</v>
      </c>
      <c r="Z49" s="117">
        <v>5</v>
      </c>
      <c r="AA49" s="117">
        <v>366600</v>
      </c>
      <c r="AB49" s="117">
        <v>23</v>
      </c>
      <c r="AC49" s="117">
        <v>5389900</v>
      </c>
      <c r="AD49" s="117">
        <v>92</v>
      </c>
      <c r="AE49" s="117">
        <v>3860400</v>
      </c>
      <c r="AF49" s="117">
        <v>400</v>
      </c>
      <c r="AG49" s="117">
        <v>23486600</v>
      </c>
      <c r="AH49" s="117">
        <v>2589</v>
      </c>
      <c r="AI49" s="117">
        <v>176293500</v>
      </c>
      <c r="AJ49" s="117">
        <v>0</v>
      </c>
      <c r="AK49" s="117">
        <v>0</v>
      </c>
      <c r="AL49" s="117">
        <v>0</v>
      </c>
      <c r="AM49" s="117">
        <v>0</v>
      </c>
      <c r="AN49" s="117">
        <v>6</v>
      </c>
      <c r="AO49" s="117">
        <v>7400</v>
      </c>
      <c r="AP49" s="117">
        <v>6</v>
      </c>
      <c r="AQ49" s="117">
        <v>67400</v>
      </c>
      <c r="AR49" s="117">
        <v>36</v>
      </c>
      <c r="AS49" s="117">
        <v>1736700</v>
      </c>
      <c r="AT49" s="117">
        <v>328</v>
      </c>
      <c r="AU49" s="117">
        <v>12498100</v>
      </c>
    </row>
    <row r="50" spans="1:47" x14ac:dyDescent="0.25">
      <c r="A50" s="117">
        <v>540041</v>
      </c>
      <c r="B50" s="2" t="s">
        <v>142</v>
      </c>
      <c r="C50" s="2" t="s">
        <v>27</v>
      </c>
      <c r="D50" s="2" t="s">
        <v>115</v>
      </c>
      <c r="E50" s="117">
        <v>4</v>
      </c>
      <c r="F50" s="117">
        <v>0</v>
      </c>
      <c r="G50" s="117">
        <v>0</v>
      </c>
      <c r="H50" s="117">
        <v>0</v>
      </c>
      <c r="I50" s="117">
        <v>0</v>
      </c>
      <c r="J50" s="117">
        <v>452</v>
      </c>
      <c r="K50" s="117">
        <v>24806700</v>
      </c>
      <c r="L50" s="117">
        <v>0</v>
      </c>
      <c r="M50" s="117">
        <v>0</v>
      </c>
      <c r="N50" s="117">
        <v>0</v>
      </c>
      <c r="O50" s="117">
        <v>0</v>
      </c>
      <c r="P50" s="117">
        <v>38</v>
      </c>
      <c r="Q50" s="117">
        <v>2944700</v>
      </c>
      <c r="R50" s="117">
        <v>0</v>
      </c>
      <c r="S50" s="117">
        <v>0</v>
      </c>
      <c r="T50" s="117">
        <v>0</v>
      </c>
      <c r="U50" s="117">
        <v>0</v>
      </c>
      <c r="V50" s="117">
        <v>2</v>
      </c>
      <c r="W50" s="117">
        <v>1007200</v>
      </c>
      <c r="X50" s="117">
        <v>0</v>
      </c>
      <c r="Y50" s="117">
        <v>0</v>
      </c>
      <c r="Z50" s="117">
        <v>0</v>
      </c>
      <c r="AA50" s="117">
        <v>0</v>
      </c>
      <c r="AB50" s="117">
        <v>0</v>
      </c>
      <c r="AC50" s="117">
        <v>0</v>
      </c>
      <c r="AD50" s="117">
        <v>0</v>
      </c>
      <c r="AE50" s="117">
        <v>0</v>
      </c>
      <c r="AF50" s="117">
        <v>0</v>
      </c>
      <c r="AG50" s="117">
        <v>0</v>
      </c>
      <c r="AH50" s="117">
        <v>11</v>
      </c>
      <c r="AI50" s="117">
        <v>876000</v>
      </c>
      <c r="AJ50" s="117">
        <v>0</v>
      </c>
      <c r="AK50" s="117">
        <v>0</v>
      </c>
      <c r="AL50" s="117">
        <v>0</v>
      </c>
      <c r="AM50" s="117">
        <v>0</v>
      </c>
      <c r="AN50" s="117">
        <v>0</v>
      </c>
      <c r="AO50" s="117">
        <v>0</v>
      </c>
      <c r="AP50" s="117">
        <v>0</v>
      </c>
      <c r="AQ50" s="117">
        <v>0</v>
      </c>
      <c r="AR50" s="117">
        <v>0</v>
      </c>
      <c r="AS50" s="117">
        <v>0</v>
      </c>
      <c r="AT50" s="117">
        <v>34</v>
      </c>
      <c r="AU50" s="117">
        <v>99400</v>
      </c>
    </row>
    <row r="51" spans="1:47" x14ac:dyDescent="0.25">
      <c r="A51" s="117">
        <v>540043</v>
      </c>
      <c r="B51" s="2" t="s">
        <v>144</v>
      </c>
      <c r="C51" s="2" t="s">
        <v>27</v>
      </c>
      <c r="D51" s="2" t="s">
        <v>115</v>
      </c>
      <c r="E51" s="117">
        <v>4</v>
      </c>
      <c r="F51" s="117">
        <v>8</v>
      </c>
      <c r="G51" s="117">
        <v>146000</v>
      </c>
      <c r="H51" s="117">
        <v>97</v>
      </c>
      <c r="I51" s="117">
        <v>2141500</v>
      </c>
      <c r="J51" s="117">
        <v>1040</v>
      </c>
      <c r="K51" s="117">
        <v>41419600</v>
      </c>
      <c r="L51" s="117">
        <v>0</v>
      </c>
      <c r="M51" s="117">
        <v>0</v>
      </c>
      <c r="N51" s="117">
        <v>12</v>
      </c>
      <c r="O51" s="117">
        <v>354900</v>
      </c>
      <c r="P51" s="117">
        <v>96</v>
      </c>
      <c r="Q51" s="117">
        <v>5902100</v>
      </c>
      <c r="R51" s="117">
        <v>0</v>
      </c>
      <c r="S51" s="117">
        <v>0</v>
      </c>
      <c r="T51" s="117">
        <v>0</v>
      </c>
      <c r="U51" s="117">
        <v>0</v>
      </c>
      <c r="V51" s="117">
        <v>3</v>
      </c>
      <c r="W51" s="117">
        <v>520000</v>
      </c>
      <c r="X51" s="117">
        <v>0</v>
      </c>
      <c r="Y51" s="117">
        <v>0</v>
      </c>
      <c r="Z51" s="117">
        <v>0</v>
      </c>
      <c r="AA51" s="117">
        <v>0</v>
      </c>
      <c r="AB51" s="117">
        <v>1</v>
      </c>
      <c r="AC51" s="117">
        <v>2126700</v>
      </c>
      <c r="AD51" s="117">
        <v>1</v>
      </c>
      <c r="AE51" s="117">
        <v>6700</v>
      </c>
      <c r="AF51" s="117">
        <v>0</v>
      </c>
      <c r="AG51" s="117">
        <v>0</v>
      </c>
      <c r="AH51" s="117">
        <v>5</v>
      </c>
      <c r="AI51" s="117">
        <v>528200</v>
      </c>
      <c r="AJ51" s="117">
        <v>0</v>
      </c>
      <c r="AK51" s="117">
        <v>0</v>
      </c>
      <c r="AL51" s="117">
        <v>0</v>
      </c>
      <c r="AM51" s="117">
        <v>0</v>
      </c>
      <c r="AN51" s="117">
        <v>0</v>
      </c>
      <c r="AO51" s="117">
        <v>0</v>
      </c>
      <c r="AP51" s="117">
        <v>2</v>
      </c>
      <c r="AQ51" s="117">
        <v>200</v>
      </c>
      <c r="AR51" s="117">
        <v>16</v>
      </c>
      <c r="AS51" s="117">
        <v>2500</v>
      </c>
      <c r="AT51" s="117">
        <v>90</v>
      </c>
      <c r="AU51" s="117">
        <v>8729800</v>
      </c>
    </row>
    <row r="52" spans="1:47" x14ac:dyDescent="0.25">
      <c r="A52" s="117">
        <v>540044</v>
      </c>
      <c r="B52" s="2" t="s">
        <v>145</v>
      </c>
      <c r="C52" s="2" t="s">
        <v>27</v>
      </c>
      <c r="D52" s="2" t="s">
        <v>115</v>
      </c>
      <c r="E52" s="117">
        <v>4</v>
      </c>
      <c r="F52" s="117">
        <v>0</v>
      </c>
      <c r="G52" s="117">
        <v>0</v>
      </c>
      <c r="H52" s="117">
        <v>3</v>
      </c>
      <c r="I52" s="117">
        <v>71700</v>
      </c>
      <c r="J52" s="117">
        <v>502</v>
      </c>
      <c r="K52" s="117">
        <v>21988900</v>
      </c>
      <c r="L52" s="117">
        <v>0</v>
      </c>
      <c r="M52" s="117">
        <v>0</v>
      </c>
      <c r="N52" s="117">
        <v>0</v>
      </c>
      <c r="O52" s="117">
        <v>0</v>
      </c>
      <c r="P52" s="117">
        <v>95</v>
      </c>
      <c r="Q52" s="117">
        <v>5633600</v>
      </c>
      <c r="R52" s="117">
        <v>0</v>
      </c>
      <c r="S52" s="117">
        <v>0</v>
      </c>
      <c r="T52" s="117">
        <v>0</v>
      </c>
      <c r="U52" s="117">
        <v>0</v>
      </c>
      <c r="V52" s="117">
        <v>0</v>
      </c>
      <c r="W52" s="117">
        <v>0</v>
      </c>
      <c r="X52" s="117">
        <v>0</v>
      </c>
      <c r="Y52" s="117">
        <v>0</v>
      </c>
      <c r="Z52" s="117">
        <v>0</v>
      </c>
      <c r="AA52" s="117">
        <v>0</v>
      </c>
      <c r="AB52" s="117">
        <v>0</v>
      </c>
      <c r="AC52" s="117">
        <v>0</v>
      </c>
      <c r="AD52" s="117">
        <v>0</v>
      </c>
      <c r="AE52" s="117">
        <v>0</v>
      </c>
      <c r="AF52" s="117">
        <v>0</v>
      </c>
      <c r="AG52" s="117">
        <v>0</v>
      </c>
      <c r="AH52" s="117">
        <v>0</v>
      </c>
      <c r="AI52" s="117">
        <v>0</v>
      </c>
      <c r="AJ52" s="117">
        <v>0</v>
      </c>
      <c r="AK52" s="117">
        <v>0</v>
      </c>
      <c r="AL52" s="117">
        <v>0</v>
      </c>
      <c r="AM52" s="117">
        <v>0</v>
      </c>
      <c r="AN52" s="117">
        <v>0</v>
      </c>
      <c r="AO52" s="117">
        <v>0</v>
      </c>
      <c r="AP52" s="117">
        <v>0</v>
      </c>
      <c r="AQ52" s="117">
        <v>0</v>
      </c>
      <c r="AR52" s="117">
        <v>0</v>
      </c>
      <c r="AS52" s="117">
        <v>0</v>
      </c>
      <c r="AT52" s="117">
        <v>49</v>
      </c>
      <c r="AU52" s="117">
        <v>1030600</v>
      </c>
    </row>
    <row r="53" spans="1:47" x14ac:dyDescent="0.25">
      <c r="A53" s="117">
        <v>540045</v>
      </c>
      <c r="B53" s="2" t="s">
        <v>146</v>
      </c>
      <c r="C53" s="2" t="s">
        <v>27</v>
      </c>
      <c r="D53" s="2" t="s">
        <v>115</v>
      </c>
      <c r="E53" s="117">
        <v>4</v>
      </c>
      <c r="F53" s="117">
        <v>14</v>
      </c>
      <c r="G53" s="117">
        <v>381900</v>
      </c>
      <c r="H53" s="117">
        <v>60</v>
      </c>
      <c r="I53" s="117">
        <v>3321300</v>
      </c>
      <c r="J53" s="117">
        <v>1243</v>
      </c>
      <c r="K53" s="117">
        <v>74487900</v>
      </c>
      <c r="L53" s="117">
        <v>0</v>
      </c>
      <c r="M53" s="117">
        <v>0</v>
      </c>
      <c r="N53" s="117">
        <v>0</v>
      </c>
      <c r="O53" s="117">
        <v>0</v>
      </c>
      <c r="P53" s="117">
        <v>110</v>
      </c>
      <c r="Q53" s="117">
        <v>15097400</v>
      </c>
      <c r="R53" s="117">
        <v>0</v>
      </c>
      <c r="S53" s="117">
        <v>0</v>
      </c>
      <c r="T53" s="117">
        <v>1</v>
      </c>
      <c r="U53" s="117">
        <v>196000</v>
      </c>
      <c r="V53" s="117">
        <v>1</v>
      </c>
      <c r="W53" s="117">
        <v>115500</v>
      </c>
      <c r="X53" s="117">
        <v>0</v>
      </c>
      <c r="Y53" s="117">
        <v>0</v>
      </c>
      <c r="Z53" s="117">
        <v>0</v>
      </c>
      <c r="AA53" s="117">
        <v>0</v>
      </c>
      <c r="AB53" s="117">
        <v>0</v>
      </c>
      <c r="AC53" s="117">
        <v>0</v>
      </c>
      <c r="AD53" s="117">
        <v>0</v>
      </c>
      <c r="AE53" s="117">
        <v>0</v>
      </c>
      <c r="AF53" s="117">
        <v>0</v>
      </c>
      <c r="AG53" s="117">
        <v>0</v>
      </c>
      <c r="AH53" s="117">
        <v>2</v>
      </c>
      <c r="AI53" s="117">
        <v>14000</v>
      </c>
      <c r="AJ53" s="117">
        <v>0</v>
      </c>
      <c r="AK53" s="117">
        <v>0</v>
      </c>
      <c r="AL53" s="117">
        <v>0</v>
      </c>
      <c r="AM53" s="117">
        <v>0</v>
      </c>
      <c r="AN53" s="117">
        <v>0</v>
      </c>
      <c r="AO53" s="117">
        <v>0</v>
      </c>
      <c r="AP53" s="117">
        <v>0</v>
      </c>
      <c r="AQ53" s="117">
        <v>0</v>
      </c>
      <c r="AR53" s="117">
        <v>0</v>
      </c>
      <c r="AS53" s="117">
        <v>0</v>
      </c>
      <c r="AT53" s="117">
        <v>37</v>
      </c>
      <c r="AU53" s="117">
        <v>698600</v>
      </c>
    </row>
    <row r="54" spans="1:47" x14ac:dyDescent="0.25">
      <c r="A54" s="117">
        <v>540228</v>
      </c>
      <c r="B54" s="2" t="s">
        <v>278</v>
      </c>
      <c r="C54" s="2" t="s">
        <v>27</v>
      </c>
      <c r="D54" s="2" t="s">
        <v>115</v>
      </c>
      <c r="E54" s="117">
        <v>4</v>
      </c>
      <c r="F54" s="117">
        <v>3</v>
      </c>
      <c r="G54" s="117">
        <v>118100</v>
      </c>
      <c r="H54" s="117">
        <v>16</v>
      </c>
      <c r="I54" s="117">
        <v>249400</v>
      </c>
      <c r="J54" s="117">
        <v>622</v>
      </c>
      <c r="K54" s="117">
        <v>19932400</v>
      </c>
      <c r="L54" s="117">
        <v>0</v>
      </c>
      <c r="M54" s="117">
        <v>0</v>
      </c>
      <c r="N54" s="117">
        <v>1</v>
      </c>
      <c r="O54" s="117">
        <v>2800</v>
      </c>
      <c r="P54" s="117">
        <v>109</v>
      </c>
      <c r="Q54" s="117">
        <v>7930900</v>
      </c>
      <c r="R54" s="117">
        <v>0</v>
      </c>
      <c r="S54" s="117">
        <v>0</v>
      </c>
      <c r="T54" s="117">
        <v>0</v>
      </c>
      <c r="U54" s="117">
        <v>0</v>
      </c>
      <c r="V54" s="117">
        <v>4</v>
      </c>
      <c r="W54" s="117">
        <v>1581300</v>
      </c>
      <c r="X54" s="117">
        <v>0</v>
      </c>
      <c r="Y54" s="117">
        <v>0</v>
      </c>
      <c r="Z54" s="117">
        <v>0</v>
      </c>
      <c r="AA54" s="117">
        <v>0</v>
      </c>
      <c r="AB54" s="117">
        <v>0</v>
      </c>
      <c r="AC54" s="117">
        <v>0</v>
      </c>
      <c r="AD54" s="117">
        <v>0</v>
      </c>
      <c r="AE54" s="117">
        <v>0</v>
      </c>
      <c r="AF54" s="117">
        <v>0</v>
      </c>
      <c r="AG54" s="117">
        <v>0</v>
      </c>
      <c r="AH54" s="117">
        <v>0</v>
      </c>
      <c r="AI54" s="117">
        <v>0</v>
      </c>
      <c r="AJ54" s="117">
        <v>0</v>
      </c>
      <c r="AK54" s="117">
        <v>0</v>
      </c>
      <c r="AL54" s="117">
        <v>0</v>
      </c>
      <c r="AM54" s="117">
        <v>0</v>
      </c>
      <c r="AN54" s="117">
        <v>0</v>
      </c>
      <c r="AO54" s="117">
        <v>0</v>
      </c>
      <c r="AP54" s="117">
        <v>0</v>
      </c>
      <c r="AQ54" s="117">
        <v>0</v>
      </c>
      <c r="AR54" s="117">
        <v>1</v>
      </c>
      <c r="AS54" s="117">
        <v>100</v>
      </c>
      <c r="AT54" s="117">
        <v>28</v>
      </c>
      <c r="AU54" s="117">
        <v>666100</v>
      </c>
    </row>
    <row r="55" spans="1:47" x14ac:dyDescent="0.25">
      <c r="A55" s="117">
        <v>540243</v>
      </c>
      <c r="B55" s="2" t="s">
        <v>290</v>
      </c>
      <c r="C55" s="2" t="s">
        <v>27</v>
      </c>
      <c r="D55" s="2" t="s">
        <v>115</v>
      </c>
      <c r="E55" s="117">
        <v>4</v>
      </c>
      <c r="F55" s="117">
        <v>1</v>
      </c>
      <c r="G55" s="117">
        <v>1600</v>
      </c>
      <c r="H55" s="117">
        <v>6</v>
      </c>
      <c r="I55" s="117">
        <v>145100</v>
      </c>
      <c r="J55" s="117">
        <v>159</v>
      </c>
      <c r="K55" s="117">
        <v>4979100</v>
      </c>
      <c r="L55" s="117">
        <v>0</v>
      </c>
      <c r="M55" s="117">
        <v>0</v>
      </c>
      <c r="N55" s="117">
        <v>0</v>
      </c>
      <c r="O55" s="117">
        <v>0</v>
      </c>
      <c r="P55" s="117">
        <v>8</v>
      </c>
      <c r="Q55" s="117">
        <v>466400</v>
      </c>
      <c r="R55" s="117">
        <v>0</v>
      </c>
      <c r="S55" s="117">
        <v>0</v>
      </c>
      <c r="T55" s="117">
        <v>0</v>
      </c>
      <c r="U55" s="117">
        <v>0</v>
      </c>
      <c r="V55" s="117">
        <v>0</v>
      </c>
      <c r="W55" s="117">
        <v>0</v>
      </c>
      <c r="X55" s="117">
        <v>0</v>
      </c>
      <c r="Y55" s="117">
        <v>0</v>
      </c>
      <c r="Z55" s="117">
        <v>0</v>
      </c>
      <c r="AA55" s="117">
        <v>0</v>
      </c>
      <c r="AB55" s="117">
        <v>0</v>
      </c>
      <c r="AC55" s="117">
        <v>0</v>
      </c>
      <c r="AD55" s="117">
        <v>0</v>
      </c>
      <c r="AE55" s="117">
        <v>0</v>
      </c>
      <c r="AF55" s="117">
        <v>0</v>
      </c>
      <c r="AG55" s="117">
        <v>0</v>
      </c>
      <c r="AH55" s="117">
        <v>5</v>
      </c>
      <c r="AI55" s="117">
        <v>249400</v>
      </c>
      <c r="AJ55" s="117">
        <v>0</v>
      </c>
      <c r="AK55" s="117">
        <v>0</v>
      </c>
      <c r="AL55" s="117">
        <v>0</v>
      </c>
      <c r="AM55" s="117">
        <v>0</v>
      </c>
      <c r="AN55" s="117">
        <v>0</v>
      </c>
      <c r="AO55" s="117">
        <v>0</v>
      </c>
      <c r="AP55" s="117">
        <v>0</v>
      </c>
      <c r="AQ55" s="117">
        <v>0</v>
      </c>
      <c r="AR55" s="117">
        <v>0</v>
      </c>
      <c r="AS55" s="117">
        <v>0</v>
      </c>
      <c r="AT55" s="117">
        <v>19</v>
      </c>
      <c r="AU55" s="117">
        <v>144200</v>
      </c>
    </row>
    <row r="56" spans="1:47" x14ac:dyDescent="0.25">
      <c r="A56" s="117">
        <v>540244</v>
      </c>
      <c r="B56" s="2" t="s">
        <v>291</v>
      </c>
      <c r="C56" s="2" t="s">
        <v>27</v>
      </c>
      <c r="D56" s="2" t="s">
        <v>115</v>
      </c>
      <c r="E56" s="117">
        <v>4</v>
      </c>
      <c r="F56" s="117">
        <v>0</v>
      </c>
      <c r="G56" s="117">
        <v>0</v>
      </c>
      <c r="H56" s="117">
        <v>11</v>
      </c>
      <c r="I56" s="117">
        <v>181300</v>
      </c>
      <c r="J56" s="117">
        <v>216</v>
      </c>
      <c r="K56" s="117">
        <v>4914000</v>
      </c>
      <c r="L56" s="117">
        <v>0</v>
      </c>
      <c r="M56" s="117">
        <v>0</v>
      </c>
      <c r="N56" s="117">
        <v>0</v>
      </c>
      <c r="O56" s="117">
        <v>0</v>
      </c>
      <c r="P56" s="117">
        <v>12</v>
      </c>
      <c r="Q56" s="117">
        <v>132200</v>
      </c>
      <c r="R56" s="117">
        <v>0</v>
      </c>
      <c r="S56" s="117">
        <v>0</v>
      </c>
      <c r="T56" s="117">
        <v>0</v>
      </c>
      <c r="U56" s="117">
        <v>0</v>
      </c>
      <c r="V56" s="117">
        <v>0</v>
      </c>
      <c r="W56" s="117">
        <v>0</v>
      </c>
      <c r="X56" s="117">
        <v>0</v>
      </c>
      <c r="Y56" s="117">
        <v>0</v>
      </c>
      <c r="Z56" s="117">
        <v>0</v>
      </c>
      <c r="AA56" s="117">
        <v>0</v>
      </c>
      <c r="AB56" s="117">
        <v>0</v>
      </c>
      <c r="AC56" s="117">
        <v>0</v>
      </c>
      <c r="AD56" s="117">
        <v>0</v>
      </c>
      <c r="AE56" s="117">
        <v>0</v>
      </c>
      <c r="AF56" s="117">
        <v>0</v>
      </c>
      <c r="AG56" s="117">
        <v>0</v>
      </c>
      <c r="AH56" s="117">
        <v>0</v>
      </c>
      <c r="AI56" s="117">
        <v>0</v>
      </c>
      <c r="AJ56" s="117">
        <v>0</v>
      </c>
      <c r="AK56" s="117">
        <v>0</v>
      </c>
      <c r="AL56" s="117">
        <v>0</v>
      </c>
      <c r="AM56" s="117">
        <v>0</v>
      </c>
      <c r="AN56" s="117">
        <v>0</v>
      </c>
      <c r="AO56" s="117">
        <v>0</v>
      </c>
      <c r="AP56" s="117">
        <v>2</v>
      </c>
      <c r="AQ56" s="117">
        <v>18500</v>
      </c>
      <c r="AR56" s="117">
        <v>5</v>
      </c>
      <c r="AS56" s="117">
        <v>6200</v>
      </c>
      <c r="AT56" s="117">
        <v>64</v>
      </c>
      <c r="AU56" s="117">
        <v>601000</v>
      </c>
    </row>
    <row r="57" spans="1:47" x14ac:dyDescent="0.25">
      <c r="A57" s="117">
        <v>540281</v>
      </c>
      <c r="B57" s="2" t="s">
        <v>322</v>
      </c>
      <c r="C57" s="2" t="s">
        <v>27</v>
      </c>
      <c r="D57" s="2" t="s">
        <v>115</v>
      </c>
      <c r="E57" s="117">
        <v>4</v>
      </c>
      <c r="F57" s="117">
        <v>0</v>
      </c>
      <c r="G57" s="117">
        <v>0</v>
      </c>
      <c r="H57" s="117">
        <v>15</v>
      </c>
      <c r="I57" s="117">
        <v>2448700</v>
      </c>
      <c r="J57" s="117">
        <v>1885</v>
      </c>
      <c r="K57" s="117">
        <v>253636100</v>
      </c>
      <c r="L57" s="117">
        <v>0</v>
      </c>
      <c r="M57" s="117">
        <v>0</v>
      </c>
      <c r="N57" s="117">
        <v>3</v>
      </c>
      <c r="O57" s="117">
        <v>582700</v>
      </c>
      <c r="P57" s="117">
        <v>307</v>
      </c>
      <c r="Q57" s="117">
        <v>110863000</v>
      </c>
      <c r="R57" s="117">
        <v>0</v>
      </c>
      <c r="S57" s="117">
        <v>0</v>
      </c>
      <c r="T57" s="117">
        <v>0</v>
      </c>
      <c r="U57" s="117">
        <v>0</v>
      </c>
      <c r="V57" s="117">
        <v>7</v>
      </c>
      <c r="W57" s="117">
        <v>5556300</v>
      </c>
      <c r="X57" s="117">
        <v>0</v>
      </c>
      <c r="Y57" s="117">
        <v>0</v>
      </c>
      <c r="Z57" s="117">
        <v>0</v>
      </c>
      <c r="AA57" s="117">
        <v>0</v>
      </c>
      <c r="AB57" s="117">
        <v>2</v>
      </c>
      <c r="AC57" s="117">
        <v>1894800</v>
      </c>
      <c r="AD57" s="117">
        <v>0</v>
      </c>
      <c r="AE57" s="117">
        <v>0</v>
      </c>
      <c r="AF57" s="117">
        <v>0</v>
      </c>
      <c r="AG57" s="117">
        <v>0</v>
      </c>
      <c r="AH57" s="117">
        <v>13</v>
      </c>
      <c r="AI57" s="117">
        <v>4672200</v>
      </c>
      <c r="AJ57" s="117">
        <v>0</v>
      </c>
      <c r="AK57" s="117">
        <v>0</v>
      </c>
      <c r="AL57" s="117">
        <v>0</v>
      </c>
      <c r="AM57" s="117">
        <v>0</v>
      </c>
      <c r="AN57" s="117">
        <v>0</v>
      </c>
      <c r="AO57" s="117">
        <v>0</v>
      </c>
      <c r="AP57" s="117">
        <v>0</v>
      </c>
      <c r="AQ57" s="117">
        <v>0</v>
      </c>
      <c r="AR57" s="117">
        <v>3</v>
      </c>
      <c r="AS57" s="117">
        <v>100</v>
      </c>
      <c r="AT57" s="117">
        <v>68</v>
      </c>
      <c r="AU57" s="117">
        <v>4557300</v>
      </c>
    </row>
    <row r="58" spans="1:47" x14ac:dyDescent="0.25">
      <c r="A58" s="269"/>
      <c r="B58" s="269"/>
      <c r="C58" s="269" t="s">
        <v>27</v>
      </c>
      <c r="D58" s="269"/>
      <c r="E58" s="269"/>
      <c r="F58" s="270">
        <v>279</v>
      </c>
      <c r="G58" s="270">
        <v>27617200</v>
      </c>
      <c r="H58" s="270">
        <v>1490</v>
      </c>
      <c r="I58" s="270">
        <v>185191800</v>
      </c>
      <c r="J58" s="270">
        <v>18034</v>
      </c>
      <c r="K58" s="270">
        <v>1464734100</v>
      </c>
      <c r="L58" s="270">
        <v>2</v>
      </c>
      <c r="M58" s="270">
        <v>79000</v>
      </c>
      <c r="N58" s="270">
        <v>27</v>
      </c>
      <c r="O58" s="270">
        <v>21338500</v>
      </c>
      <c r="P58" s="270">
        <v>1331</v>
      </c>
      <c r="Q58" s="270">
        <v>404742600</v>
      </c>
      <c r="R58" s="270">
        <v>0</v>
      </c>
      <c r="S58" s="270">
        <v>0</v>
      </c>
      <c r="T58" s="270">
        <v>1</v>
      </c>
      <c r="U58" s="270">
        <v>196000</v>
      </c>
      <c r="V58" s="270">
        <v>30</v>
      </c>
      <c r="W58" s="270">
        <v>11574800</v>
      </c>
      <c r="X58" s="270">
        <v>0</v>
      </c>
      <c r="Y58" s="270">
        <v>0</v>
      </c>
      <c r="Z58" s="270">
        <v>5</v>
      </c>
      <c r="AA58" s="270">
        <v>366600</v>
      </c>
      <c r="AB58" s="270">
        <v>26</v>
      </c>
      <c r="AC58" s="270">
        <v>9411400</v>
      </c>
      <c r="AD58" s="270">
        <v>93</v>
      </c>
      <c r="AE58" s="270">
        <v>3867100</v>
      </c>
      <c r="AF58" s="270">
        <v>400</v>
      </c>
      <c r="AG58" s="270">
        <v>23486600</v>
      </c>
      <c r="AH58" s="270">
        <v>2625</v>
      </c>
      <c r="AI58" s="270">
        <v>182633300</v>
      </c>
      <c r="AJ58" s="270">
        <v>0</v>
      </c>
      <c r="AK58" s="270">
        <v>0</v>
      </c>
      <c r="AL58" s="270">
        <v>0</v>
      </c>
      <c r="AM58" s="270">
        <v>0</v>
      </c>
      <c r="AN58" s="270">
        <v>6</v>
      </c>
      <c r="AO58" s="270">
        <v>7400</v>
      </c>
      <c r="AP58" s="270">
        <v>10</v>
      </c>
      <c r="AQ58" s="270">
        <v>86100</v>
      </c>
      <c r="AR58" s="270">
        <v>61</v>
      </c>
      <c r="AS58" s="270">
        <v>1745600</v>
      </c>
      <c r="AT58" s="270">
        <v>717</v>
      </c>
      <c r="AU58" s="270">
        <v>29025100</v>
      </c>
    </row>
    <row r="59" spans="1:47" x14ac:dyDescent="0.25">
      <c r="A59" s="117">
        <v>540047</v>
      </c>
      <c r="B59" s="2" t="s">
        <v>28</v>
      </c>
      <c r="C59" s="2" t="s">
        <v>29</v>
      </c>
      <c r="D59" s="2" t="s">
        <v>5</v>
      </c>
      <c r="E59" s="117">
        <v>11</v>
      </c>
      <c r="F59" s="117">
        <v>42</v>
      </c>
      <c r="G59" s="117">
        <v>934700</v>
      </c>
      <c r="H59" s="117">
        <v>431</v>
      </c>
      <c r="I59" s="117">
        <v>17231700</v>
      </c>
      <c r="J59" s="117">
        <v>6583</v>
      </c>
      <c r="K59" s="117">
        <v>349452100</v>
      </c>
      <c r="L59" s="117">
        <v>0</v>
      </c>
      <c r="M59" s="117">
        <v>0</v>
      </c>
      <c r="N59" s="117">
        <v>16</v>
      </c>
      <c r="O59" s="117">
        <v>1414000</v>
      </c>
      <c r="P59" s="117">
        <v>290</v>
      </c>
      <c r="Q59" s="117">
        <v>29827100</v>
      </c>
      <c r="R59" s="117">
        <v>0</v>
      </c>
      <c r="S59" s="117">
        <v>0</v>
      </c>
      <c r="T59" s="117">
        <v>0</v>
      </c>
      <c r="U59" s="117">
        <v>0</v>
      </c>
      <c r="V59" s="117">
        <v>7</v>
      </c>
      <c r="W59" s="117">
        <v>981500</v>
      </c>
      <c r="X59" s="117">
        <v>0</v>
      </c>
      <c r="Y59" s="117">
        <v>0</v>
      </c>
      <c r="Z59" s="117">
        <v>0</v>
      </c>
      <c r="AA59" s="117">
        <v>0</v>
      </c>
      <c r="AB59" s="117">
        <v>12</v>
      </c>
      <c r="AC59" s="117">
        <v>20967800</v>
      </c>
      <c r="AD59" s="117">
        <v>0</v>
      </c>
      <c r="AE59" s="117">
        <v>0</v>
      </c>
      <c r="AF59" s="117">
        <v>6</v>
      </c>
      <c r="AG59" s="117">
        <v>391600</v>
      </c>
      <c r="AH59" s="117">
        <v>95</v>
      </c>
      <c r="AI59" s="117">
        <v>4453400</v>
      </c>
      <c r="AJ59" s="117">
        <v>0</v>
      </c>
      <c r="AK59" s="117">
        <v>0</v>
      </c>
      <c r="AL59" s="117">
        <v>3</v>
      </c>
      <c r="AM59" s="117">
        <v>9500</v>
      </c>
      <c r="AN59" s="117">
        <v>17</v>
      </c>
      <c r="AO59" s="117">
        <v>703100</v>
      </c>
      <c r="AP59" s="117">
        <v>1</v>
      </c>
      <c r="AQ59" s="117">
        <v>3700</v>
      </c>
      <c r="AR59" s="117">
        <v>12</v>
      </c>
      <c r="AS59" s="117">
        <v>298700</v>
      </c>
      <c r="AT59" s="117">
        <v>128</v>
      </c>
      <c r="AU59" s="117">
        <v>31063100</v>
      </c>
    </row>
    <row r="60" spans="1:47" x14ac:dyDescent="0.25">
      <c r="A60" s="117">
        <v>540014</v>
      </c>
      <c r="B60" s="2" t="s">
        <v>124</v>
      </c>
      <c r="C60" s="2" t="s">
        <v>29</v>
      </c>
      <c r="D60" s="2" t="s">
        <v>115</v>
      </c>
      <c r="E60" s="117">
        <v>11</v>
      </c>
      <c r="F60" s="117">
        <v>51</v>
      </c>
      <c r="G60" s="117">
        <v>1308400</v>
      </c>
      <c r="H60" s="117">
        <v>705</v>
      </c>
      <c r="I60" s="117">
        <v>23451000</v>
      </c>
      <c r="J60" s="117">
        <v>7572</v>
      </c>
      <c r="K60" s="117">
        <v>472739715</v>
      </c>
      <c r="L60" s="117">
        <v>2</v>
      </c>
      <c r="M60" s="117">
        <v>51700</v>
      </c>
      <c r="N60" s="117">
        <v>43</v>
      </c>
      <c r="O60" s="117">
        <v>7381327</v>
      </c>
      <c r="P60" s="117">
        <v>675</v>
      </c>
      <c r="Q60" s="117">
        <v>74015513</v>
      </c>
      <c r="R60" s="117">
        <v>0</v>
      </c>
      <c r="S60" s="117">
        <v>0</v>
      </c>
      <c r="T60" s="117">
        <v>8</v>
      </c>
      <c r="U60" s="117">
        <v>2637700</v>
      </c>
      <c r="V60" s="117">
        <v>59</v>
      </c>
      <c r="W60" s="117">
        <v>15158750</v>
      </c>
      <c r="X60" s="117">
        <v>0</v>
      </c>
      <c r="Y60" s="117">
        <v>0</v>
      </c>
      <c r="Z60" s="117">
        <v>0</v>
      </c>
      <c r="AA60" s="117">
        <v>0</v>
      </c>
      <c r="AB60" s="117">
        <v>7</v>
      </c>
      <c r="AC60" s="117">
        <v>8462473</v>
      </c>
      <c r="AD60" s="117">
        <v>0</v>
      </c>
      <c r="AE60" s="117">
        <v>0</v>
      </c>
      <c r="AF60" s="117">
        <v>0</v>
      </c>
      <c r="AG60" s="117">
        <v>0</v>
      </c>
      <c r="AH60" s="117">
        <v>0</v>
      </c>
      <c r="AI60" s="117">
        <v>0</v>
      </c>
      <c r="AJ60" s="117">
        <v>3</v>
      </c>
      <c r="AK60" s="117">
        <v>28400</v>
      </c>
      <c r="AL60" s="117">
        <v>3</v>
      </c>
      <c r="AM60" s="117">
        <v>13300</v>
      </c>
      <c r="AN60" s="117">
        <v>15</v>
      </c>
      <c r="AO60" s="117">
        <v>1297300</v>
      </c>
      <c r="AP60" s="117">
        <v>2</v>
      </c>
      <c r="AQ60" s="117">
        <v>25800</v>
      </c>
      <c r="AR60" s="117">
        <v>55</v>
      </c>
      <c r="AS60" s="117">
        <v>2757100</v>
      </c>
      <c r="AT60" s="117">
        <v>392</v>
      </c>
      <c r="AU60" s="117">
        <v>76766100</v>
      </c>
    </row>
    <row r="61" spans="1:47" x14ac:dyDescent="0.25">
      <c r="A61" s="117">
        <v>540048</v>
      </c>
      <c r="B61" s="2" t="s">
        <v>148</v>
      </c>
      <c r="C61" s="2" t="s">
        <v>29</v>
      </c>
      <c r="D61" s="2" t="s">
        <v>115</v>
      </c>
      <c r="E61" s="117">
        <v>11</v>
      </c>
      <c r="F61" s="117">
        <v>4</v>
      </c>
      <c r="G61" s="117">
        <v>5200</v>
      </c>
      <c r="H61" s="117">
        <v>105</v>
      </c>
      <c r="I61" s="117">
        <v>1573400</v>
      </c>
      <c r="J61" s="117">
        <v>1355</v>
      </c>
      <c r="K61" s="117">
        <v>55628100</v>
      </c>
      <c r="L61" s="117">
        <v>0</v>
      </c>
      <c r="M61" s="117">
        <v>0</v>
      </c>
      <c r="N61" s="117">
        <v>7</v>
      </c>
      <c r="O61" s="117">
        <v>118100</v>
      </c>
      <c r="P61" s="117">
        <v>149</v>
      </c>
      <c r="Q61" s="117">
        <v>16242500</v>
      </c>
      <c r="R61" s="117">
        <v>0</v>
      </c>
      <c r="S61" s="117">
        <v>0</v>
      </c>
      <c r="T61" s="117">
        <v>1</v>
      </c>
      <c r="U61" s="117">
        <v>1500</v>
      </c>
      <c r="V61" s="117">
        <v>16</v>
      </c>
      <c r="W61" s="117">
        <v>2310900</v>
      </c>
      <c r="X61" s="117">
        <v>0</v>
      </c>
      <c r="Y61" s="117">
        <v>0</v>
      </c>
      <c r="Z61" s="117">
        <v>0</v>
      </c>
      <c r="AA61" s="117">
        <v>0</v>
      </c>
      <c r="AB61" s="117">
        <v>1</v>
      </c>
      <c r="AC61" s="117">
        <v>57600</v>
      </c>
      <c r="AD61" s="117">
        <v>0</v>
      </c>
      <c r="AE61" s="117">
        <v>0</v>
      </c>
      <c r="AF61" s="117">
        <v>0</v>
      </c>
      <c r="AG61" s="117">
        <v>0</v>
      </c>
      <c r="AH61" s="117">
        <v>0</v>
      </c>
      <c r="AI61" s="117">
        <v>0</v>
      </c>
      <c r="AJ61" s="117">
        <v>0</v>
      </c>
      <c r="AK61" s="117">
        <v>0</v>
      </c>
      <c r="AL61" s="117">
        <v>2</v>
      </c>
      <c r="AM61" s="117">
        <v>9300</v>
      </c>
      <c r="AN61" s="117">
        <v>7</v>
      </c>
      <c r="AO61" s="117">
        <v>142800</v>
      </c>
      <c r="AP61" s="117">
        <v>1</v>
      </c>
      <c r="AQ61" s="117">
        <v>200</v>
      </c>
      <c r="AR61" s="117">
        <v>9</v>
      </c>
      <c r="AS61" s="117">
        <v>32300</v>
      </c>
      <c r="AT61" s="117">
        <v>53</v>
      </c>
      <c r="AU61" s="117">
        <v>8057300</v>
      </c>
    </row>
    <row r="62" spans="1:47" x14ac:dyDescent="0.25">
      <c r="A62" s="117">
        <v>540049</v>
      </c>
      <c r="B62" s="2" t="s">
        <v>149</v>
      </c>
      <c r="C62" s="2" t="s">
        <v>29</v>
      </c>
      <c r="D62" s="2" t="s">
        <v>115</v>
      </c>
      <c r="E62" s="117">
        <v>11</v>
      </c>
      <c r="F62" s="117">
        <v>5</v>
      </c>
      <c r="G62" s="117">
        <v>106800</v>
      </c>
      <c r="H62" s="117">
        <v>93</v>
      </c>
      <c r="I62" s="117">
        <v>1403200</v>
      </c>
      <c r="J62" s="117">
        <v>395</v>
      </c>
      <c r="K62" s="117">
        <v>17526700</v>
      </c>
      <c r="L62" s="117">
        <v>0</v>
      </c>
      <c r="M62" s="117">
        <v>0</v>
      </c>
      <c r="N62" s="117">
        <v>1</v>
      </c>
      <c r="O62" s="117">
        <v>63100</v>
      </c>
      <c r="P62" s="117">
        <v>59</v>
      </c>
      <c r="Q62" s="117">
        <v>4756100</v>
      </c>
      <c r="R62" s="117">
        <v>0</v>
      </c>
      <c r="S62" s="117">
        <v>0</v>
      </c>
      <c r="T62" s="117">
        <v>0</v>
      </c>
      <c r="U62" s="117">
        <v>0</v>
      </c>
      <c r="V62" s="117">
        <v>2</v>
      </c>
      <c r="W62" s="117">
        <v>3231100</v>
      </c>
      <c r="X62" s="117">
        <v>0</v>
      </c>
      <c r="Y62" s="117">
        <v>0</v>
      </c>
      <c r="Z62" s="117">
        <v>0</v>
      </c>
      <c r="AA62" s="117">
        <v>0</v>
      </c>
      <c r="AB62" s="117">
        <v>0</v>
      </c>
      <c r="AC62" s="117">
        <v>0</v>
      </c>
      <c r="AD62" s="117">
        <v>0</v>
      </c>
      <c r="AE62" s="117">
        <v>0</v>
      </c>
      <c r="AF62" s="117">
        <v>0</v>
      </c>
      <c r="AG62" s="117">
        <v>0</v>
      </c>
      <c r="AH62" s="117">
        <v>0</v>
      </c>
      <c r="AI62" s="117">
        <v>0</v>
      </c>
      <c r="AJ62" s="117">
        <v>0</v>
      </c>
      <c r="AK62" s="117">
        <v>0</v>
      </c>
      <c r="AL62" s="117">
        <v>0</v>
      </c>
      <c r="AM62" s="117">
        <v>0</v>
      </c>
      <c r="AN62" s="117">
        <v>1</v>
      </c>
      <c r="AO62" s="117">
        <v>54400</v>
      </c>
      <c r="AP62" s="117">
        <v>0</v>
      </c>
      <c r="AQ62" s="117">
        <v>0</v>
      </c>
      <c r="AR62" s="117">
        <v>13</v>
      </c>
      <c r="AS62" s="117">
        <v>8200</v>
      </c>
      <c r="AT62" s="117">
        <v>44</v>
      </c>
      <c r="AU62" s="117">
        <v>13283800</v>
      </c>
    </row>
    <row r="63" spans="1:47" x14ac:dyDescent="0.25">
      <c r="A63" s="269"/>
      <c r="B63" s="269"/>
      <c r="C63" s="269" t="s">
        <v>29</v>
      </c>
      <c r="D63" s="269"/>
      <c r="E63" s="269"/>
      <c r="F63" s="270">
        <v>102</v>
      </c>
      <c r="G63" s="270">
        <v>2355100</v>
      </c>
      <c r="H63" s="270">
        <v>1334</v>
      </c>
      <c r="I63" s="270">
        <v>43659300</v>
      </c>
      <c r="J63" s="270">
        <v>15905</v>
      </c>
      <c r="K63" s="270">
        <v>895346615</v>
      </c>
      <c r="L63" s="270">
        <v>2</v>
      </c>
      <c r="M63" s="270">
        <v>51700</v>
      </c>
      <c r="N63" s="270">
        <v>67</v>
      </c>
      <c r="O63" s="270">
        <v>8976527</v>
      </c>
      <c r="P63" s="270">
        <v>1173</v>
      </c>
      <c r="Q63" s="270">
        <v>124841213</v>
      </c>
      <c r="R63" s="270">
        <v>0</v>
      </c>
      <c r="S63" s="270">
        <v>0</v>
      </c>
      <c r="T63" s="270">
        <v>9</v>
      </c>
      <c r="U63" s="270">
        <v>2639200</v>
      </c>
      <c r="V63" s="270">
        <v>84</v>
      </c>
      <c r="W63" s="270">
        <v>21682250</v>
      </c>
      <c r="X63" s="270">
        <v>0</v>
      </c>
      <c r="Y63" s="270">
        <v>0</v>
      </c>
      <c r="Z63" s="270">
        <v>0</v>
      </c>
      <c r="AA63" s="270">
        <v>0</v>
      </c>
      <c r="AB63" s="270">
        <v>20</v>
      </c>
      <c r="AC63" s="270">
        <v>29487873</v>
      </c>
      <c r="AD63" s="270">
        <v>0</v>
      </c>
      <c r="AE63" s="270">
        <v>0</v>
      </c>
      <c r="AF63" s="270">
        <v>6</v>
      </c>
      <c r="AG63" s="270">
        <v>391600</v>
      </c>
      <c r="AH63" s="270">
        <v>95</v>
      </c>
      <c r="AI63" s="270">
        <v>4453400</v>
      </c>
      <c r="AJ63" s="270">
        <v>3</v>
      </c>
      <c r="AK63" s="270">
        <v>28400</v>
      </c>
      <c r="AL63" s="270">
        <v>8</v>
      </c>
      <c r="AM63" s="270">
        <v>32100</v>
      </c>
      <c r="AN63" s="270">
        <v>40</v>
      </c>
      <c r="AO63" s="270">
        <v>2197600</v>
      </c>
      <c r="AP63" s="270">
        <v>4</v>
      </c>
      <c r="AQ63" s="270">
        <v>29700</v>
      </c>
      <c r="AR63" s="270">
        <v>89</v>
      </c>
      <c r="AS63" s="270">
        <v>3096300</v>
      </c>
      <c r="AT63" s="270">
        <v>617</v>
      </c>
      <c r="AU63" s="270">
        <v>129170300</v>
      </c>
    </row>
    <row r="64" spans="1:47" x14ac:dyDescent="0.25">
      <c r="A64" s="117">
        <v>540051</v>
      </c>
      <c r="B64" s="2" t="s">
        <v>30</v>
      </c>
      <c r="C64" s="2" t="s">
        <v>31</v>
      </c>
      <c r="D64" s="2" t="s">
        <v>5</v>
      </c>
      <c r="E64" s="117">
        <v>8</v>
      </c>
      <c r="F64" s="117">
        <v>208</v>
      </c>
      <c r="G64" s="117">
        <v>14063000</v>
      </c>
      <c r="H64" s="117">
        <v>1156</v>
      </c>
      <c r="I64" s="117">
        <v>80756400</v>
      </c>
      <c r="J64" s="117">
        <v>5855</v>
      </c>
      <c r="K64" s="117">
        <v>422087800</v>
      </c>
      <c r="L64" s="117">
        <v>1</v>
      </c>
      <c r="M64" s="117">
        <v>0</v>
      </c>
      <c r="N64" s="117">
        <v>8</v>
      </c>
      <c r="O64" s="117">
        <v>2815300</v>
      </c>
      <c r="P64" s="117">
        <v>90</v>
      </c>
      <c r="Q64" s="117">
        <v>15804200</v>
      </c>
      <c r="R64" s="117">
        <v>0</v>
      </c>
      <c r="S64" s="117">
        <v>0</v>
      </c>
      <c r="T64" s="117">
        <v>0</v>
      </c>
      <c r="U64" s="117">
        <v>0</v>
      </c>
      <c r="V64" s="117">
        <v>1</v>
      </c>
      <c r="W64" s="117">
        <v>1900</v>
      </c>
      <c r="X64" s="117">
        <v>0</v>
      </c>
      <c r="Y64" s="117">
        <v>0</v>
      </c>
      <c r="Z64" s="117">
        <v>0</v>
      </c>
      <c r="AA64" s="117">
        <v>0</v>
      </c>
      <c r="AB64" s="117">
        <v>10</v>
      </c>
      <c r="AC64" s="117">
        <v>2220700</v>
      </c>
      <c r="AD64" s="117">
        <v>47</v>
      </c>
      <c r="AE64" s="117">
        <v>2591700</v>
      </c>
      <c r="AF64" s="117">
        <v>397</v>
      </c>
      <c r="AG64" s="117">
        <v>20221600</v>
      </c>
      <c r="AH64" s="117">
        <v>1904</v>
      </c>
      <c r="AI64" s="117">
        <v>119252900</v>
      </c>
      <c r="AJ64" s="117">
        <v>1</v>
      </c>
      <c r="AK64" s="117">
        <v>500</v>
      </c>
      <c r="AL64" s="117">
        <v>0</v>
      </c>
      <c r="AM64" s="117">
        <v>0</v>
      </c>
      <c r="AN64" s="117">
        <v>28</v>
      </c>
      <c r="AO64" s="117">
        <v>616100</v>
      </c>
      <c r="AP64" s="117">
        <v>19</v>
      </c>
      <c r="AQ64" s="117">
        <v>1395900</v>
      </c>
      <c r="AR64" s="117">
        <v>49</v>
      </c>
      <c r="AS64" s="117">
        <v>3701100</v>
      </c>
      <c r="AT64" s="117">
        <v>292</v>
      </c>
      <c r="AU64" s="117">
        <v>49144000</v>
      </c>
    </row>
    <row r="65" spans="1:47" x14ac:dyDescent="0.25">
      <c r="A65" s="117">
        <v>540052</v>
      </c>
      <c r="B65" s="2" t="s">
        <v>151</v>
      </c>
      <c r="C65" s="2" t="s">
        <v>31</v>
      </c>
      <c r="D65" s="2" t="s">
        <v>115</v>
      </c>
      <c r="E65" s="117">
        <v>8</v>
      </c>
      <c r="F65" s="117">
        <v>2</v>
      </c>
      <c r="G65" s="117">
        <v>242200</v>
      </c>
      <c r="H65" s="117">
        <v>14</v>
      </c>
      <c r="I65" s="117">
        <v>801900</v>
      </c>
      <c r="J65" s="117">
        <v>895</v>
      </c>
      <c r="K65" s="117">
        <v>53479600</v>
      </c>
      <c r="L65" s="117">
        <v>0</v>
      </c>
      <c r="M65" s="117">
        <v>0</v>
      </c>
      <c r="N65" s="117">
        <v>1</v>
      </c>
      <c r="O65" s="117">
        <v>73300</v>
      </c>
      <c r="P65" s="117">
        <v>166</v>
      </c>
      <c r="Q65" s="117">
        <v>23855300</v>
      </c>
      <c r="R65" s="117">
        <v>0</v>
      </c>
      <c r="S65" s="117">
        <v>0</v>
      </c>
      <c r="T65" s="117">
        <v>0</v>
      </c>
      <c r="U65" s="117">
        <v>0</v>
      </c>
      <c r="V65" s="117">
        <v>0</v>
      </c>
      <c r="W65" s="117">
        <v>0</v>
      </c>
      <c r="X65" s="117">
        <v>0</v>
      </c>
      <c r="Y65" s="117">
        <v>0</v>
      </c>
      <c r="Z65" s="117">
        <v>0</v>
      </c>
      <c r="AA65" s="117">
        <v>0</v>
      </c>
      <c r="AB65" s="117">
        <v>22</v>
      </c>
      <c r="AC65" s="117">
        <v>4575800</v>
      </c>
      <c r="AD65" s="117">
        <v>0</v>
      </c>
      <c r="AE65" s="117">
        <v>0</v>
      </c>
      <c r="AF65" s="117">
        <v>1</v>
      </c>
      <c r="AG65" s="117">
        <v>1000</v>
      </c>
      <c r="AH65" s="117">
        <v>9</v>
      </c>
      <c r="AI65" s="117">
        <v>90300</v>
      </c>
      <c r="AJ65" s="117">
        <v>0</v>
      </c>
      <c r="AK65" s="117">
        <v>0</v>
      </c>
      <c r="AL65" s="117">
        <v>1</v>
      </c>
      <c r="AM65" s="117">
        <v>5000</v>
      </c>
      <c r="AN65" s="117">
        <v>4</v>
      </c>
      <c r="AO65" s="117">
        <v>346800</v>
      </c>
      <c r="AP65" s="117">
        <v>1</v>
      </c>
      <c r="AQ65" s="117">
        <v>16000</v>
      </c>
      <c r="AR65" s="117">
        <v>1</v>
      </c>
      <c r="AS65" s="117">
        <v>94100</v>
      </c>
      <c r="AT65" s="117">
        <v>143</v>
      </c>
      <c r="AU65" s="117">
        <v>52193300</v>
      </c>
    </row>
    <row r="66" spans="1:47" x14ac:dyDescent="0.25">
      <c r="A66" s="117">
        <v>540245</v>
      </c>
      <c r="B66" s="2" t="s">
        <v>292</v>
      </c>
      <c r="C66" s="2" t="s">
        <v>31</v>
      </c>
      <c r="D66" s="2" t="s">
        <v>115</v>
      </c>
      <c r="E66" s="117">
        <v>8</v>
      </c>
      <c r="F66" s="117">
        <v>0</v>
      </c>
      <c r="G66" s="117">
        <v>0</v>
      </c>
      <c r="H66" s="117">
        <v>0</v>
      </c>
      <c r="I66" s="117">
        <v>0</v>
      </c>
      <c r="J66" s="117">
        <v>218</v>
      </c>
      <c r="K66" s="117">
        <v>10274300</v>
      </c>
      <c r="L66" s="117">
        <v>0</v>
      </c>
      <c r="M66" s="117">
        <v>0</v>
      </c>
      <c r="N66" s="117">
        <v>0</v>
      </c>
      <c r="O66" s="117">
        <v>0</v>
      </c>
      <c r="P66" s="117">
        <v>39</v>
      </c>
      <c r="Q66" s="117">
        <v>3579900</v>
      </c>
      <c r="R66" s="117">
        <v>0</v>
      </c>
      <c r="S66" s="117">
        <v>0</v>
      </c>
      <c r="T66" s="117">
        <v>0</v>
      </c>
      <c r="U66" s="117">
        <v>0</v>
      </c>
      <c r="V66" s="117">
        <v>0</v>
      </c>
      <c r="W66" s="117">
        <v>0</v>
      </c>
      <c r="X66" s="117">
        <v>0</v>
      </c>
      <c r="Y66" s="117">
        <v>0</v>
      </c>
      <c r="Z66" s="117">
        <v>0</v>
      </c>
      <c r="AA66" s="117">
        <v>0</v>
      </c>
      <c r="AB66" s="117">
        <v>0</v>
      </c>
      <c r="AC66" s="117">
        <v>0</v>
      </c>
      <c r="AD66" s="117">
        <v>0</v>
      </c>
      <c r="AE66" s="117">
        <v>0</v>
      </c>
      <c r="AF66" s="117">
        <v>0</v>
      </c>
      <c r="AG66" s="117">
        <v>0</v>
      </c>
      <c r="AH66" s="117">
        <v>12</v>
      </c>
      <c r="AI66" s="117">
        <v>322300</v>
      </c>
      <c r="AJ66" s="117">
        <v>0</v>
      </c>
      <c r="AK66" s="117">
        <v>0</v>
      </c>
      <c r="AL66" s="117">
        <v>0</v>
      </c>
      <c r="AM66" s="117">
        <v>0</v>
      </c>
      <c r="AN66" s="117">
        <v>2</v>
      </c>
      <c r="AO66" s="117">
        <v>27400</v>
      </c>
      <c r="AP66" s="117">
        <v>0</v>
      </c>
      <c r="AQ66" s="117">
        <v>0</v>
      </c>
      <c r="AR66" s="117">
        <v>0</v>
      </c>
      <c r="AS66" s="117">
        <v>0</v>
      </c>
      <c r="AT66" s="117">
        <v>28</v>
      </c>
      <c r="AU66" s="117">
        <v>2828800</v>
      </c>
    </row>
    <row r="67" spans="1:47" x14ac:dyDescent="0.25">
      <c r="A67" s="269"/>
      <c r="B67" s="269"/>
      <c r="C67" s="269" t="s">
        <v>31</v>
      </c>
      <c r="D67" s="269"/>
      <c r="E67" s="269"/>
      <c r="F67" s="270">
        <v>210</v>
      </c>
      <c r="G67" s="270">
        <v>14305200</v>
      </c>
      <c r="H67" s="270">
        <v>1170</v>
      </c>
      <c r="I67" s="270">
        <v>81558300</v>
      </c>
      <c r="J67" s="270">
        <v>6968</v>
      </c>
      <c r="K67" s="270">
        <v>485841700</v>
      </c>
      <c r="L67" s="270">
        <v>1</v>
      </c>
      <c r="M67" s="270">
        <v>0</v>
      </c>
      <c r="N67" s="270">
        <v>9</v>
      </c>
      <c r="O67" s="270">
        <v>2888600</v>
      </c>
      <c r="P67" s="270">
        <v>295</v>
      </c>
      <c r="Q67" s="270">
        <v>43239400</v>
      </c>
      <c r="R67" s="270">
        <v>0</v>
      </c>
      <c r="S67" s="270">
        <v>0</v>
      </c>
      <c r="T67" s="270">
        <v>0</v>
      </c>
      <c r="U67" s="270">
        <v>0</v>
      </c>
      <c r="V67" s="270">
        <v>1</v>
      </c>
      <c r="W67" s="270">
        <v>1900</v>
      </c>
      <c r="X67" s="270">
        <v>0</v>
      </c>
      <c r="Y67" s="270">
        <v>0</v>
      </c>
      <c r="Z67" s="270">
        <v>0</v>
      </c>
      <c r="AA67" s="270">
        <v>0</v>
      </c>
      <c r="AB67" s="270">
        <v>32</v>
      </c>
      <c r="AC67" s="270">
        <v>6796500</v>
      </c>
      <c r="AD67" s="270">
        <v>47</v>
      </c>
      <c r="AE67" s="270">
        <v>2591700</v>
      </c>
      <c r="AF67" s="270">
        <v>398</v>
      </c>
      <c r="AG67" s="270">
        <v>20222600</v>
      </c>
      <c r="AH67" s="270">
        <v>1925</v>
      </c>
      <c r="AI67" s="270">
        <v>119665500</v>
      </c>
      <c r="AJ67" s="270">
        <v>1</v>
      </c>
      <c r="AK67" s="270">
        <v>500</v>
      </c>
      <c r="AL67" s="270">
        <v>1</v>
      </c>
      <c r="AM67" s="270">
        <v>5000</v>
      </c>
      <c r="AN67" s="270">
        <v>34</v>
      </c>
      <c r="AO67" s="270">
        <v>990300</v>
      </c>
      <c r="AP67" s="270">
        <v>20</v>
      </c>
      <c r="AQ67" s="270">
        <v>1411900</v>
      </c>
      <c r="AR67" s="270">
        <v>50</v>
      </c>
      <c r="AS67" s="270">
        <v>3795200</v>
      </c>
      <c r="AT67" s="270">
        <v>463</v>
      </c>
      <c r="AU67" s="270">
        <v>104166100</v>
      </c>
    </row>
    <row r="68" spans="1:47" x14ac:dyDescent="0.25">
      <c r="A68" s="117">
        <v>540053</v>
      </c>
      <c r="B68" s="2" t="s">
        <v>32</v>
      </c>
      <c r="C68" s="2" t="s">
        <v>33</v>
      </c>
      <c r="D68" s="2" t="s">
        <v>5</v>
      </c>
      <c r="E68" s="117">
        <v>6</v>
      </c>
      <c r="F68" s="117">
        <v>183</v>
      </c>
      <c r="G68" s="117">
        <v>5905700</v>
      </c>
      <c r="H68" s="117">
        <v>2051</v>
      </c>
      <c r="I68" s="117">
        <v>68861800</v>
      </c>
      <c r="J68" s="117">
        <v>15122</v>
      </c>
      <c r="K68" s="117">
        <v>852150100</v>
      </c>
      <c r="L68" s="117">
        <v>7</v>
      </c>
      <c r="M68" s="117">
        <v>743900</v>
      </c>
      <c r="N68" s="117">
        <v>69</v>
      </c>
      <c r="O68" s="117">
        <v>12104900</v>
      </c>
      <c r="P68" s="117">
        <v>702</v>
      </c>
      <c r="Q68" s="117">
        <v>149455700</v>
      </c>
      <c r="R68" s="117">
        <v>0</v>
      </c>
      <c r="S68" s="117">
        <v>0</v>
      </c>
      <c r="T68" s="117">
        <v>1</v>
      </c>
      <c r="U68" s="117">
        <v>162800</v>
      </c>
      <c r="V68" s="117">
        <v>22</v>
      </c>
      <c r="W68" s="117">
        <v>21146900</v>
      </c>
      <c r="X68" s="117">
        <v>0</v>
      </c>
      <c r="Y68" s="117">
        <v>0</v>
      </c>
      <c r="Z68" s="117">
        <v>0</v>
      </c>
      <c r="AA68" s="117">
        <v>0</v>
      </c>
      <c r="AB68" s="117">
        <v>5</v>
      </c>
      <c r="AC68" s="117">
        <v>1985800</v>
      </c>
      <c r="AD68" s="117">
        <v>134</v>
      </c>
      <c r="AE68" s="117">
        <v>6391500</v>
      </c>
      <c r="AF68" s="117">
        <v>1007</v>
      </c>
      <c r="AG68" s="117">
        <v>51935400</v>
      </c>
      <c r="AH68" s="117">
        <v>3558</v>
      </c>
      <c r="AI68" s="117">
        <v>227282900</v>
      </c>
      <c r="AJ68" s="117">
        <v>1</v>
      </c>
      <c r="AK68" s="117">
        <v>23300</v>
      </c>
      <c r="AL68" s="117">
        <v>9</v>
      </c>
      <c r="AM68" s="117">
        <v>339100</v>
      </c>
      <c r="AN68" s="117">
        <v>128</v>
      </c>
      <c r="AO68" s="117">
        <v>4305100</v>
      </c>
      <c r="AP68" s="117">
        <v>5</v>
      </c>
      <c r="AQ68" s="117">
        <v>145300</v>
      </c>
      <c r="AR68" s="117">
        <v>66</v>
      </c>
      <c r="AS68" s="117">
        <v>12123800</v>
      </c>
      <c r="AT68" s="117">
        <v>599</v>
      </c>
      <c r="AU68" s="117">
        <v>46097600</v>
      </c>
    </row>
    <row r="69" spans="1:47" x14ac:dyDescent="0.25">
      <c r="A69" s="117">
        <v>540054</v>
      </c>
      <c r="B69" s="2" t="s">
        <v>152</v>
      </c>
      <c r="C69" s="2" t="s">
        <v>33</v>
      </c>
      <c r="D69" s="2" t="s">
        <v>115</v>
      </c>
      <c r="E69" s="117">
        <v>6</v>
      </c>
      <c r="F69" s="117">
        <v>0</v>
      </c>
      <c r="G69" s="117">
        <v>0</v>
      </c>
      <c r="H69" s="117">
        <v>21</v>
      </c>
      <c r="I69" s="117">
        <v>324000</v>
      </c>
      <c r="J69" s="117">
        <v>329</v>
      </c>
      <c r="K69" s="117">
        <v>9305500</v>
      </c>
      <c r="L69" s="117">
        <v>0</v>
      </c>
      <c r="M69" s="117">
        <v>0</v>
      </c>
      <c r="N69" s="117">
        <v>6</v>
      </c>
      <c r="O69" s="117">
        <v>544400</v>
      </c>
      <c r="P69" s="117">
        <v>75</v>
      </c>
      <c r="Q69" s="117">
        <v>11709300</v>
      </c>
      <c r="R69" s="117">
        <v>0</v>
      </c>
      <c r="S69" s="117">
        <v>0</v>
      </c>
      <c r="T69" s="117">
        <v>0</v>
      </c>
      <c r="U69" s="117">
        <v>0</v>
      </c>
      <c r="V69" s="117">
        <v>2</v>
      </c>
      <c r="W69" s="117">
        <v>292400</v>
      </c>
      <c r="X69" s="117">
        <v>0</v>
      </c>
      <c r="Y69" s="117">
        <v>0</v>
      </c>
      <c r="Z69" s="117">
        <v>1</v>
      </c>
      <c r="AA69" s="117">
        <v>3600</v>
      </c>
      <c r="AB69" s="117">
        <v>2</v>
      </c>
      <c r="AC69" s="117">
        <v>12100</v>
      </c>
      <c r="AD69" s="117">
        <v>1</v>
      </c>
      <c r="AE69" s="117">
        <v>44100</v>
      </c>
      <c r="AF69" s="117">
        <v>4</v>
      </c>
      <c r="AG69" s="117">
        <v>396400</v>
      </c>
      <c r="AH69" s="117">
        <v>12</v>
      </c>
      <c r="AI69" s="117">
        <v>381700</v>
      </c>
      <c r="AJ69" s="117">
        <v>0</v>
      </c>
      <c r="AK69" s="117">
        <v>0</v>
      </c>
      <c r="AL69" s="117">
        <v>1</v>
      </c>
      <c r="AM69" s="117">
        <v>10500</v>
      </c>
      <c r="AN69" s="117">
        <v>1</v>
      </c>
      <c r="AO69" s="117">
        <v>3300</v>
      </c>
      <c r="AP69" s="117">
        <v>1</v>
      </c>
      <c r="AQ69" s="117">
        <v>10500</v>
      </c>
      <c r="AR69" s="117">
        <v>8</v>
      </c>
      <c r="AS69" s="117">
        <v>87400</v>
      </c>
      <c r="AT69" s="117">
        <v>55</v>
      </c>
      <c r="AU69" s="117">
        <v>1516900</v>
      </c>
    </row>
    <row r="70" spans="1:47" x14ac:dyDescent="0.25">
      <c r="A70" s="117">
        <v>540055</v>
      </c>
      <c r="B70" s="2" t="s">
        <v>153</v>
      </c>
      <c r="C70" s="2" t="s">
        <v>33</v>
      </c>
      <c r="D70" s="2" t="s">
        <v>115</v>
      </c>
      <c r="E70" s="117">
        <v>6</v>
      </c>
      <c r="F70" s="117">
        <v>13</v>
      </c>
      <c r="G70" s="117">
        <v>1236000</v>
      </c>
      <c r="H70" s="117">
        <v>161</v>
      </c>
      <c r="I70" s="117">
        <v>30782000</v>
      </c>
      <c r="J70" s="117">
        <v>3692</v>
      </c>
      <c r="K70" s="117">
        <v>694784900</v>
      </c>
      <c r="L70" s="117">
        <v>1</v>
      </c>
      <c r="M70" s="117">
        <v>546700</v>
      </c>
      <c r="N70" s="117">
        <v>29</v>
      </c>
      <c r="O70" s="117">
        <v>38548100</v>
      </c>
      <c r="P70" s="117">
        <v>313</v>
      </c>
      <c r="Q70" s="117">
        <v>340638300</v>
      </c>
      <c r="R70" s="117">
        <v>0</v>
      </c>
      <c r="S70" s="117">
        <v>0</v>
      </c>
      <c r="T70" s="117">
        <v>0</v>
      </c>
      <c r="U70" s="117">
        <v>0</v>
      </c>
      <c r="V70" s="117">
        <v>30</v>
      </c>
      <c r="W70" s="117">
        <v>28429100</v>
      </c>
      <c r="X70" s="117">
        <v>0</v>
      </c>
      <c r="Y70" s="117">
        <v>0</v>
      </c>
      <c r="Z70" s="117">
        <v>0</v>
      </c>
      <c r="AA70" s="117">
        <v>0</v>
      </c>
      <c r="AB70" s="117">
        <v>5</v>
      </c>
      <c r="AC70" s="117">
        <v>5928700</v>
      </c>
      <c r="AD70" s="117">
        <v>0</v>
      </c>
      <c r="AE70" s="117">
        <v>0</v>
      </c>
      <c r="AF70" s="117">
        <v>5</v>
      </c>
      <c r="AG70" s="117">
        <v>158700</v>
      </c>
      <c r="AH70" s="117">
        <v>58</v>
      </c>
      <c r="AI70" s="117">
        <v>6952600</v>
      </c>
      <c r="AJ70" s="117">
        <v>0</v>
      </c>
      <c r="AK70" s="117">
        <v>0</v>
      </c>
      <c r="AL70" s="117">
        <v>1</v>
      </c>
      <c r="AM70" s="117">
        <v>18358000</v>
      </c>
      <c r="AN70" s="117">
        <v>6</v>
      </c>
      <c r="AO70" s="117">
        <v>234300</v>
      </c>
      <c r="AP70" s="117">
        <v>0</v>
      </c>
      <c r="AQ70" s="117">
        <v>0</v>
      </c>
      <c r="AR70" s="117">
        <v>24</v>
      </c>
      <c r="AS70" s="117">
        <v>10992200</v>
      </c>
      <c r="AT70" s="117">
        <v>172</v>
      </c>
      <c r="AU70" s="117">
        <v>325198222</v>
      </c>
    </row>
    <row r="71" spans="1:47" x14ac:dyDescent="0.25">
      <c r="A71" s="117">
        <v>540056</v>
      </c>
      <c r="B71" s="2" t="s">
        <v>154</v>
      </c>
      <c r="C71" s="2" t="s">
        <v>33</v>
      </c>
      <c r="D71" s="2" t="s">
        <v>115</v>
      </c>
      <c r="E71" s="117">
        <v>6</v>
      </c>
      <c r="F71" s="117">
        <v>77</v>
      </c>
      <c r="G71" s="117">
        <v>1229100</v>
      </c>
      <c r="H71" s="117">
        <v>775</v>
      </c>
      <c r="I71" s="117">
        <v>21613200</v>
      </c>
      <c r="J71" s="117">
        <v>7643</v>
      </c>
      <c r="K71" s="117">
        <v>448820400</v>
      </c>
      <c r="L71" s="117">
        <v>6</v>
      </c>
      <c r="M71" s="117">
        <v>83300</v>
      </c>
      <c r="N71" s="117">
        <v>64</v>
      </c>
      <c r="O71" s="117">
        <v>3457400</v>
      </c>
      <c r="P71" s="117">
        <v>910</v>
      </c>
      <c r="Q71" s="117">
        <v>177447250</v>
      </c>
      <c r="R71" s="117">
        <v>0</v>
      </c>
      <c r="S71" s="117">
        <v>0</v>
      </c>
      <c r="T71" s="117">
        <v>1</v>
      </c>
      <c r="U71" s="117">
        <v>161700</v>
      </c>
      <c r="V71" s="117">
        <v>57</v>
      </c>
      <c r="W71" s="117">
        <v>20949300</v>
      </c>
      <c r="X71" s="117">
        <v>0</v>
      </c>
      <c r="Y71" s="117">
        <v>0</v>
      </c>
      <c r="Z71" s="117">
        <v>0</v>
      </c>
      <c r="AA71" s="117">
        <v>0</v>
      </c>
      <c r="AB71" s="117">
        <v>19</v>
      </c>
      <c r="AC71" s="117">
        <v>6965900</v>
      </c>
      <c r="AD71" s="117">
        <v>0</v>
      </c>
      <c r="AE71" s="117">
        <v>0</v>
      </c>
      <c r="AF71" s="117">
        <v>8</v>
      </c>
      <c r="AG71" s="117">
        <v>226200</v>
      </c>
      <c r="AH71" s="117">
        <v>16</v>
      </c>
      <c r="AI71" s="117">
        <v>436800</v>
      </c>
      <c r="AJ71" s="117">
        <v>0</v>
      </c>
      <c r="AK71" s="117">
        <v>0</v>
      </c>
      <c r="AL71" s="117">
        <v>2</v>
      </c>
      <c r="AM71" s="117">
        <v>200</v>
      </c>
      <c r="AN71" s="117">
        <v>19</v>
      </c>
      <c r="AO71" s="117">
        <v>5667600</v>
      </c>
      <c r="AP71" s="117">
        <v>11</v>
      </c>
      <c r="AQ71" s="117">
        <v>1121100</v>
      </c>
      <c r="AR71" s="117">
        <v>52</v>
      </c>
      <c r="AS71" s="117">
        <v>149040300</v>
      </c>
      <c r="AT71" s="117">
        <v>529</v>
      </c>
      <c r="AU71" s="117">
        <v>381893500</v>
      </c>
    </row>
    <row r="72" spans="1:47" x14ac:dyDescent="0.25">
      <c r="A72" s="117">
        <v>540057</v>
      </c>
      <c r="B72" s="2" t="s">
        <v>155</v>
      </c>
      <c r="C72" s="2" t="s">
        <v>33</v>
      </c>
      <c r="D72" s="2" t="s">
        <v>115</v>
      </c>
      <c r="E72" s="117">
        <v>6</v>
      </c>
      <c r="F72" s="117">
        <v>1</v>
      </c>
      <c r="G72" s="117">
        <v>100</v>
      </c>
      <c r="H72" s="117">
        <v>23</v>
      </c>
      <c r="I72" s="117">
        <v>223000</v>
      </c>
      <c r="J72" s="117">
        <v>197</v>
      </c>
      <c r="K72" s="117">
        <v>5341900</v>
      </c>
      <c r="L72" s="117">
        <v>0</v>
      </c>
      <c r="M72" s="117">
        <v>0</v>
      </c>
      <c r="N72" s="117">
        <v>0</v>
      </c>
      <c r="O72" s="117">
        <v>0</v>
      </c>
      <c r="P72" s="117">
        <v>11</v>
      </c>
      <c r="Q72" s="117">
        <v>396300</v>
      </c>
      <c r="R72" s="117">
        <v>0</v>
      </c>
      <c r="S72" s="117">
        <v>0</v>
      </c>
      <c r="T72" s="117">
        <v>0</v>
      </c>
      <c r="U72" s="117">
        <v>0</v>
      </c>
      <c r="V72" s="117">
        <v>0</v>
      </c>
      <c r="W72" s="117">
        <v>0</v>
      </c>
      <c r="X72" s="117">
        <v>0</v>
      </c>
      <c r="Y72" s="117">
        <v>0</v>
      </c>
      <c r="Z72" s="117">
        <v>0</v>
      </c>
      <c r="AA72" s="117">
        <v>0</v>
      </c>
      <c r="AB72" s="117">
        <v>0</v>
      </c>
      <c r="AC72" s="117">
        <v>0</v>
      </c>
      <c r="AD72" s="117">
        <v>0</v>
      </c>
      <c r="AE72" s="117">
        <v>0</v>
      </c>
      <c r="AF72" s="117">
        <v>1</v>
      </c>
      <c r="AG72" s="117">
        <v>150700</v>
      </c>
      <c r="AH72" s="117">
        <v>9</v>
      </c>
      <c r="AI72" s="117">
        <v>196100</v>
      </c>
      <c r="AJ72" s="117">
        <v>0</v>
      </c>
      <c r="AK72" s="117">
        <v>0</v>
      </c>
      <c r="AL72" s="117">
        <v>0</v>
      </c>
      <c r="AM72" s="117">
        <v>0</v>
      </c>
      <c r="AN72" s="117">
        <v>0</v>
      </c>
      <c r="AO72" s="117">
        <v>0</v>
      </c>
      <c r="AP72" s="117">
        <v>0</v>
      </c>
      <c r="AQ72" s="117">
        <v>0</v>
      </c>
      <c r="AR72" s="117">
        <v>3</v>
      </c>
      <c r="AS72" s="117">
        <v>2700</v>
      </c>
      <c r="AT72" s="117">
        <v>16</v>
      </c>
      <c r="AU72" s="117">
        <v>5358900</v>
      </c>
    </row>
    <row r="73" spans="1:47" x14ac:dyDescent="0.25">
      <c r="A73" s="117">
        <v>540058</v>
      </c>
      <c r="B73" s="2" t="s">
        <v>156</v>
      </c>
      <c r="C73" s="2" t="s">
        <v>33</v>
      </c>
      <c r="D73" s="2" t="s">
        <v>115</v>
      </c>
      <c r="E73" s="117">
        <v>6</v>
      </c>
      <c r="F73" s="117">
        <v>0</v>
      </c>
      <c r="G73" s="117">
        <v>0</v>
      </c>
      <c r="H73" s="117">
        <v>28</v>
      </c>
      <c r="I73" s="117">
        <v>331900</v>
      </c>
      <c r="J73" s="117">
        <v>657</v>
      </c>
      <c r="K73" s="117">
        <v>21445900</v>
      </c>
      <c r="L73" s="117">
        <v>0</v>
      </c>
      <c r="M73" s="117">
        <v>0</v>
      </c>
      <c r="N73" s="117">
        <v>5</v>
      </c>
      <c r="O73" s="117">
        <v>108300</v>
      </c>
      <c r="P73" s="117">
        <v>43</v>
      </c>
      <c r="Q73" s="117">
        <v>1359100</v>
      </c>
      <c r="R73" s="117">
        <v>0</v>
      </c>
      <c r="S73" s="117">
        <v>0</v>
      </c>
      <c r="T73" s="117">
        <v>0</v>
      </c>
      <c r="U73" s="117">
        <v>0</v>
      </c>
      <c r="V73" s="117">
        <v>0</v>
      </c>
      <c r="W73" s="117">
        <v>0</v>
      </c>
      <c r="X73" s="117">
        <v>0</v>
      </c>
      <c r="Y73" s="117">
        <v>0</v>
      </c>
      <c r="Z73" s="117">
        <v>0</v>
      </c>
      <c r="AA73" s="117">
        <v>0</v>
      </c>
      <c r="AB73" s="117">
        <v>0</v>
      </c>
      <c r="AC73" s="117">
        <v>0</v>
      </c>
      <c r="AD73" s="117">
        <v>0</v>
      </c>
      <c r="AE73" s="117">
        <v>0</v>
      </c>
      <c r="AF73" s="117">
        <v>0</v>
      </c>
      <c r="AG73" s="117">
        <v>0</v>
      </c>
      <c r="AH73" s="117">
        <v>5</v>
      </c>
      <c r="AI73" s="117">
        <v>296600</v>
      </c>
      <c r="AJ73" s="117">
        <v>0</v>
      </c>
      <c r="AK73" s="117">
        <v>0</v>
      </c>
      <c r="AL73" s="117">
        <v>0</v>
      </c>
      <c r="AM73" s="117">
        <v>0</v>
      </c>
      <c r="AN73" s="117">
        <v>0</v>
      </c>
      <c r="AO73" s="117">
        <v>0</v>
      </c>
      <c r="AP73" s="117">
        <v>0</v>
      </c>
      <c r="AQ73" s="117">
        <v>0</v>
      </c>
      <c r="AR73" s="117">
        <v>1</v>
      </c>
      <c r="AS73" s="117">
        <v>22300</v>
      </c>
      <c r="AT73" s="117">
        <v>33</v>
      </c>
      <c r="AU73" s="117">
        <v>12325600</v>
      </c>
    </row>
    <row r="74" spans="1:47" x14ac:dyDescent="0.25">
      <c r="A74" s="117">
        <v>540059</v>
      </c>
      <c r="B74" s="2" t="s">
        <v>157</v>
      </c>
      <c r="C74" s="2" t="s">
        <v>33</v>
      </c>
      <c r="D74" s="2" t="s">
        <v>115</v>
      </c>
      <c r="E74" s="117">
        <v>6</v>
      </c>
      <c r="F74" s="117">
        <v>5</v>
      </c>
      <c r="G74" s="117">
        <v>118000</v>
      </c>
      <c r="H74" s="117">
        <v>31</v>
      </c>
      <c r="I74" s="117">
        <v>1010500</v>
      </c>
      <c r="J74" s="117">
        <v>836</v>
      </c>
      <c r="K74" s="117">
        <v>51791800</v>
      </c>
      <c r="L74" s="117">
        <v>2</v>
      </c>
      <c r="M74" s="117">
        <v>54300</v>
      </c>
      <c r="N74" s="117">
        <v>7</v>
      </c>
      <c r="O74" s="117">
        <v>397000</v>
      </c>
      <c r="P74" s="117">
        <v>133</v>
      </c>
      <c r="Q74" s="117">
        <v>14881300</v>
      </c>
      <c r="R74" s="117">
        <v>0</v>
      </c>
      <c r="S74" s="117">
        <v>0</v>
      </c>
      <c r="T74" s="117">
        <v>0</v>
      </c>
      <c r="U74" s="117">
        <v>0</v>
      </c>
      <c r="V74" s="117">
        <v>6</v>
      </c>
      <c r="W74" s="117">
        <v>1231800</v>
      </c>
      <c r="X74" s="117">
        <v>0</v>
      </c>
      <c r="Y74" s="117">
        <v>0</v>
      </c>
      <c r="Z74" s="117">
        <v>0</v>
      </c>
      <c r="AA74" s="117">
        <v>0</v>
      </c>
      <c r="AB74" s="117">
        <v>0</v>
      </c>
      <c r="AC74" s="117">
        <v>0</v>
      </c>
      <c r="AD74" s="117">
        <v>0</v>
      </c>
      <c r="AE74" s="117">
        <v>0</v>
      </c>
      <c r="AF74" s="117">
        <v>2</v>
      </c>
      <c r="AG74" s="117">
        <v>181000</v>
      </c>
      <c r="AH74" s="117">
        <v>2</v>
      </c>
      <c r="AI74" s="117">
        <v>56300</v>
      </c>
      <c r="AJ74" s="117">
        <v>0</v>
      </c>
      <c r="AK74" s="117">
        <v>0</v>
      </c>
      <c r="AL74" s="117">
        <v>0</v>
      </c>
      <c r="AM74" s="117">
        <v>0</v>
      </c>
      <c r="AN74" s="117">
        <v>2</v>
      </c>
      <c r="AO74" s="117">
        <v>11000</v>
      </c>
      <c r="AP74" s="117">
        <v>0</v>
      </c>
      <c r="AQ74" s="117">
        <v>0</v>
      </c>
      <c r="AR74" s="117">
        <v>2</v>
      </c>
      <c r="AS74" s="117">
        <v>14800</v>
      </c>
      <c r="AT74" s="117">
        <v>70</v>
      </c>
      <c r="AU74" s="117">
        <v>14658400</v>
      </c>
    </row>
    <row r="75" spans="1:47" x14ac:dyDescent="0.25">
      <c r="A75" s="117">
        <v>540060</v>
      </c>
      <c r="B75" s="2" t="s">
        <v>158</v>
      </c>
      <c r="C75" s="2" t="s">
        <v>33</v>
      </c>
      <c r="D75" s="2" t="s">
        <v>115</v>
      </c>
      <c r="E75" s="117">
        <v>6</v>
      </c>
      <c r="F75" s="117">
        <v>7</v>
      </c>
      <c r="G75" s="117">
        <v>147500</v>
      </c>
      <c r="H75" s="117">
        <v>81</v>
      </c>
      <c r="I75" s="117">
        <v>3681500</v>
      </c>
      <c r="J75" s="117">
        <v>1153</v>
      </c>
      <c r="K75" s="117">
        <v>69387100</v>
      </c>
      <c r="L75" s="117">
        <v>0</v>
      </c>
      <c r="M75" s="117">
        <v>0</v>
      </c>
      <c r="N75" s="117">
        <v>3</v>
      </c>
      <c r="O75" s="117">
        <v>92200</v>
      </c>
      <c r="P75" s="117">
        <v>116</v>
      </c>
      <c r="Q75" s="117">
        <v>11172800</v>
      </c>
      <c r="R75" s="117">
        <v>0</v>
      </c>
      <c r="S75" s="117">
        <v>0</v>
      </c>
      <c r="T75" s="117">
        <v>0</v>
      </c>
      <c r="U75" s="117">
        <v>0</v>
      </c>
      <c r="V75" s="117">
        <v>10</v>
      </c>
      <c r="W75" s="117">
        <v>3316000</v>
      </c>
      <c r="X75" s="117">
        <v>0</v>
      </c>
      <c r="Y75" s="117">
        <v>0</v>
      </c>
      <c r="Z75" s="117">
        <v>0</v>
      </c>
      <c r="AA75" s="117">
        <v>0</v>
      </c>
      <c r="AB75" s="117">
        <v>5</v>
      </c>
      <c r="AC75" s="117">
        <v>822000</v>
      </c>
      <c r="AD75" s="117">
        <v>1</v>
      </c>
      <c r="AE75" s="117">
        <v>129300</v>
      </c>
      <c r="AF75" s="117">
        <v>2</v>
      </c>
      <c r="AG75" s="117">
        <v>300</v>
      </c>
      <c r="AH75" s="117">
        <v>15</v>
      </c>
      <c r="AI75" s="117">
        <v>1321500</v>
      </c>
      <c r="AJ75" s="117">
        <v>0</v>
      </c>
      <c r="AK75" s="117">
        <v>0</v>
      </c>
      <c r="AL75" s="117">
        <v>0</v>
      </c>
      <c r="AM75" s="117">
        <v>0</v>
      </c>
      <c r="AN75" s="117">
        <v>4</v>
      </c>
      <c r="AO75" s="117">
        <v>63300</v>
      </c>
      <c r="AP75" s="117">
        <v>0</v>
      </c>
      <c r="AQ75" s="117">
        <v>0</v>
      </c>
      <c r="AR75" s="117">
        <v>3</v>
      </c>
      <c r="AS75" s="117">
        <v>51800</v>
      </c>
      <c r="AT75" s="117">
        <v>75</v>
      </c>
      <c r="AU75" s="117">
        <v>15000400</v>
      </c>
    </row>
    <row r="76" spans="1:47" x14ac:dyDescent="0.25">
      <c r="A76" s="117">
        <v>540061</v>
      </c>
      <c r="B76" s="2" t="s">
        <v>159</v>
      </c>
      <c r="C76" s="2" t="s">
        <v>33</v>
      </c>
      <c r="D76" s="2" t="s">
        <v>115</v>
      </c>
      <c r="E76" s="117">
        <v>6</v>
      </c>
      <c r="F76" s="117">
        <v>7</v>
      </c>
      <c r="G76" s="117">
        <v>113700</v>
      </c>
      <c r="H76" s="117">
        <v>77</v>
      </c>
      <c r="I76" s="117">
        <v>2883700</v>
      </c>
      <c r="J76" s="117">
        <v>1016</v>
      </c>
      <c r="K76" s="117">
        <v>61817800</v>
      </c>
      <c r="L76" s="117">
        <v>1</v>
      </c>
      <c r="M76" s="117">
        <v>6200</v>
      </c>
      <c r="N76" s="117">
        <v>7</v>
      </c>
      <c r="O76" s="117">
        <v>65200</v>
      </c>
      <c r="P76" s="117">
        <v>53</v>
      </c>
      <c r="Q76" s="117">
        <v>4457300</v>
      </c>
      <c r="R76" s="117">
        <v>0</v>
      </c>
      <c r="S76" s="117">
        <v>0</v>
      </c>
      <c r="T76" s="117">
        <v>0</v>
      </c>
      <c r="U76" s="117">
        <v>0</v>
      </c>
      <c r="V76" s="117">
        <v>0</v>
      </c>
      <c r="W76" s="117">
        <v>0</v>
      </c>
      <c r="X76" s="117">
        <v>0</v>
      </c>
      <c r="Y76" s="117">
        <v>0</v>
      </c>
      <c r="Z76" s="117">
        <v>0</v>
      </c>
      <c r="AA76" s="117">
        <v>0</v>
      </c>
      <c r="AB76" s="117">
        <v>0</v>
      </c>
      <c r="AC76" s="117">
        <v>0</v>
      </c>
      <c r="AD76" s="117">
        <v>0</v>
      </c>
      <c r="AE76" s="117">
        <v>0</v>
      </c>
      <c r="AF76" s="117">
        <v>0</v>
      </c>
      <c r="AG76" s="117">
        <v>0</v>
      </c>
      <c r="AH76" s="117">
        <v>1</v>
      </c>
      <c r="AI76" s="117">
        <v>38500</v>
      </c>
      <c r="AJ76" s="117">
        <v>1</v>
      </c>
      <c r="AK76" s="117">
        <v>3600</v>
      </c>
      <c r="AL76" s="117">
        <v>4</v>
      </c>
      <c r="AM76" s="117">
        <v>14400</v>
      </c>
      <c r="AN76" s="117">
        <v>2</v>
      </c>
      <c r="AO76" s="117">
        <v>7200</v>
      </c>
      <c r="AP76" s="117">
        <v>0</v>
      </c>
      <c r="AQ76" s="117">
        <v>0</v>
      </c>
      <c r="AR76" s="117">
        <v>0</v>
      </c>
      <c r="AS76" s="117">
        <v>0</v>
      </c>
      <c r="AT76" s="117">
        <v>64</v>
      </c>
      <c r="AU76" s="117">
        <v>10166000</v>
      </c>
    </row>
    <row r="77" spans="1:47" x14ac:dyDescent="0.25">
      <c r="A77" s="117">
        <v>540062</v>
      </c>
      <c r="B77" s="2" t="s">
        <v>160</v>
      </c>
      <c r="C77" s="2" t="s">
        <v>33</v>
      </c>
      <c r="D77" s="2" t="s">
        <v>115</v>
      </c>
      <c r="E77" s="117">
        <v>6</v>
      </c>
      <c r="F77" s="117">
        <v>0</v>
      </c>
      <c r="G77" s="117">
        <v>0</v>
      </c>
      <c r="H77" s="117">
        <v>3</v>
      </c>
      <c r="I77" s="117">
        <v>32400</v>
      </c>
      <c r="J77" s="117">
        <v>313</v>
      </c>
      <c r="K77" s="117">
        <v>18548000</v>
      </c>
      <c r="L77" s="117">
        <v>0</v>
      </c>
      <c r="M77" s="117">
        <v>0</v>
      </c>
      <c r="N77" s="117">
        <v>2</v>
      </c>
      <c r="O77" s="117">
        <v>52800</v>
      </c>
      <c r="P77" s="117">
        <v>8</v>
      </c>
      <c r="Q77" s="117">
        <v>1156200</v>
      </c>
      <c r="R77" s="117">
        <v>0</v>
      </c>
      <c r="S77" s="117">
        <v>0</v>
      </c>
      <c r="T77" s="117">
        <v>0</v>
      </c>
      <c r="U77" s="117">
        <v>0</v>
      </c>
      <c r="V77" s="117">
        <v>3</v>
      </c>
      <c r="W77" s="117">
        <v>353100</v>
      </c>
      <c r="X77" s="117">
        <v>0</v>
      </c>
      <c r="Y77" s="117">
        <v>0</v>
      </c>
      <c r="Z77" s="117">
        <v>0</v>
      </c>
      <c r="AA77" s="117">
        <v>0</v>
      </c>
      <c r="AB77" s="117">
        <v>0</v>
      </c>
      <c r="AC77" s="117">
        <v>0</v>
      </c>
      <c r="AD77" s="117">
        <v>0</v>
      </c>
      <c r="AE77" s="117">
        <v>0</v>
      </c>
      <c r="AF77" s="117">
        <v>2</v>
      </c>
      <c r="AG77" s="117">
        <v>55800</v>
      </c>
      <c r="AH77" s="117">
        <v>8</v>
      </c>
      <c r="AI77" s="117">
        <v>184100</v>
      </c>
      <c r="AJ77" s="117">
        <v>0</v>
      </c>
      <c r="AK77" s="117">
        <v>0</v>
      </c>
      <c r="AL77" s="117">
        <v>0</v>
      </c>
      <c r="AM77" s="117">
        <v>0</v>
      </c>
      <c r="AN77" s="117">
        <v>1</v>
      </c>
      <c r="AO77" s="117">
        <v>52000</v>
      </c>
      <c r="AP77" s="117">
        <v>0</v>
      </c>
      <c r="AQ77" s="117">
        <v>0</v>
      </c>
      <c r="AR77" s="117">
        <v>0</v>
      </c>
      <c r="AS77" s="117">
        <v>0</v>
      </c>
      <c r="AT77" s="117">
        <v>27</v>
      </c>
      <c r="AU77" s="117">
        <v>5517700</v>
      </c>
    </row>
    <row r="78" spans="1:47" x14ac:dyDescent="0.25">
      <c r="A78" s="117">
        <v>540242</v>
      </c>
      <c r="B78" s="2" t="s">
        <v>289</v>
      </c>
      <c r="C78" s="2" t="s">
        <v>33</v>
      </c>
      <c r="D78" s="2" t="s">
        <v>115</v>
      </c>
      <c r="E78" s="117">
        <v>6</v>
      </c>
      <c r="F78" s="117">
        <v>8</v>
      </c>
      <c r="G78" s="117">
        <v>189400</v>
      </c>
      <c r="H78" s="117">
        <v>134</v>
      </c>
      <c r="I78" s="117">
        <v>2379900</v>
      </c>
      <c r="J78" s="117">
        <v>581</v>
      </c>
      <c r="K78" s="117">
        <v>16913200</v>
      </c>
      <c r="L78" s="117">
        <v>0</v>
      </c>
      <c r="M78" s="117">
        <v>0</v>
      </c>
      <c r="N78" s="117">
        <v>2</v>
      </c>
      <c r="O78" s="117">
        <v>60000</v>
      </c>
      <c r="P78" s="117">
        <v>40</v>
      </c>
      <c r="Q78" s="117">
        <v>2472400</v>
      </c>
      <c r="R78" s="117">
        <v>0</v>
      </c>
      <c r="S78" s="117">
        <v>0</v>
      </c>
      <c r="T78" s="117">
        <v>0</v>
      </c>
      <c r="U78" s="117">
        <v>0</v>
      </c>
      <c r="V78" s="117">
        <v>4</v>
      </c>
      <c r="W78" s="117">
        <v>1068300</v>
      </c>
      <c r="X78" s="117">
        <v>0</v>
      </c>
      <c r="Y78" s="117">
        <v>0</v>
      </c>
      <c r="Z78" s="117">
        <v>0</v>
      </c>
      <c r="AA78" s="117">
        <v>0</v>
      </c>
      <c r="AB78" s="117">
        <v>0</v>
      </c>
      <c r="AC78" s="117">
        <v>0</v>
      </c>
      <c r="AD78" s="117">
        <v>2</v>
      </c>
      <c r="AE78" s="117">
        <v>93300</v>
      </c>
      <c r="AF78" s="117">
        <v>5</v>
      </c>
      <c r="AG78" s="117">
        <v>32400</v>
      </c>
      <c r="AH78" s="117">
        <v>9</v>
      </c>
      <c r="AI78" s="117">
        <v>692900</v>
      </c>
      <c r="AJ78" s="117">
        <v>0</v>
      </c>
      <c r="AK78" s="117">
        <v>0</v>
      </c>
      <c r="AL78" s="117">
        <v>0</v>
      </c>
      <c r="AM78" s="117">
        <v>0</v>
      </c>
      <c r="AN78" s="117">
        <v>2</v>
      </c>
      <c r="AO78" s="117">
        <v>284200</v>
      </c>
      <c r="AP78" s="117">
        <v>4</v>
      </c>
      <c r="AQ78" s="117">
        <v>35800</v>
      </c>
      <c r="AR78" s="117">
        <v>16</v>
      </c>
      <c r="AS78" s="117">
        <v>18076400</v>
      </c>
      <c r="AT78" s="117">
        <v>73</v>
      </c>
      <c r="AU78" s="117">
        <v>14921700</v>
      </c>
    </row>
    <row r="79" spans="1:47" x14ac:dyDescent="0.25">
      <c r="A79" s="269"/>
      <c r="B79" s="269"/>
      <c r="C79" s="269" t="s">
        <v>33</v>
      </c>
      <c r="D79" s="269"/>
      <c r="E79" s="269"/>
      <c r="F79" s="270">
        <v>301</v>
      </c>
      <c r="G79" s="270">
        <v>8939500</v>
      </c>
      <c r="H79" s="270">
        <v>3385</v>
      </c>
      <c r="I79" s="270">
        <v>132123900</v>
      </c>
      <c r="J79" s="270">
        <v>31539</v>
      </c>
      <c r="K79" s="270">
        <v>2250306600</v>
      </c>
      <c r="L79" s="270">
        <v>17</v>
      </c>
      <c r="M79" s="270">
        <v>1434400</v>
      </c>
      <c r="N79" s="270">
        <v>194</v>
      </c>
      <c r="O79" s="270">
        <v>55430300</v>
      </c>
      <c r="P79" s="270">
        <v>2404</v>
      </c>
      <c r="Q79" s="270">
        <v>715145950</v>
      </c>
      <c r="R79" s="270">
        <v>0</v>
      </c>
      <c r="S79" s="270">
        <v>0</v>
      </c>
      <c r="T79" s="270">
        <v>2</v>
      </c>
      <c r="U79" s="270">
        <v>324500</v>
      </c>
      <c r="V79" s="270">
        <v>134</v>
      </c>
      <c r="W79" s="270">
        <v>76786900</v>
      </c>
      <c r="X79" s="270">
        <v>0</v>
      </c>
      <c r="Y79" s="270">
        <v>0</v>
      </c>
      <c r="Z79" s="270">
        <v>1</v>
      </c>
      <c r="AA79" s="270">
        <v>3600</v>
      </c>
      <c r="AB79" s="270">
        <v>36</v>
      </c>
      <c r="AC79" s="270">
        <v>15714500</v>
      </c>
      <c r="AD79" s="270">
        <v>138</v>
      </c>
      <c r="AE79" s="270">
        <v>6658200</v>
      </c>
      <c r="AF79" s="270">
        <v>1036</v>
      </c>
      <c r="AG79" s="270">
        <v>53136900</v>
      </c>
      <c r="AH79" s="270">
        <v>3693</v>
      </c>
      <c r="AI79" s="270">
        <v>237840000</v>
      </c>
      <c r="AJ79" s="270">
        <v>2</v>
      </c>
      <c r="AK79" s="270">
        <v>26900</v>
      </c>
      <c r="AL79" s="270">
        <v>17</v>
      </c>
      <c r="AM79" s="270">
        <v>18722200</v>
      </c>
      <c r="AN79" s="270">
        <v>165</v>
      </c>
      <c r="AO79" s="270">
        <v>10628000</v>
      </c>
      <c r="AP79" s="270">
        <v>21</v>
      </c>
      <c r="AQ79" s="270">
        <v>1312700</v>
      </c>
      <c r="AR79" s="270">
        <v>175</v>
      </c>
      <c r="AS79" s="270">
        <v>190411700</v>
      </c>
      <c r="AT79" s="270">
        <v>1713</v>
      </c>
      <c r="AU79" s="270">
        <v>832654922</v>
      </c>
    </row>
    <row r="80" spans="1:47" x14ac:dyDescent="0.25">
      <c r="A80" s="117">
        <v>540063</v>
      </c>
      <c r="B80" s="2" t="s">
        <v>34</v>
      </c>
      <c r="C80" s="2" t="s">
        <v>35</v>
      </c>
      <c r="D80" s="2" t="s">
        <v>5</v>
      </c>
      <c r="E80" s="117">
        <v>5</v>
      </c>
      <c r="F80" s="117">
        <v>61</v>
      </c>
      <c r="G80" s="117">
        <v>3012300</v>
      </c>
      <c r="H80" s="117">
        <v>942</v>
      </c>
      <c r="I80" s="117">
        <v>53314100</v>
      </c>
      <c r="J80" s="117">
        <v>7183</v>
      </c>
      <c r="K80" s="117">
        <v>471633700</v>
      </c>
      <c r="L80" s="117">
        <v>1</v>
      </c>
      <c r="M80" s="117">
        <v>44100</v>
      </c>
      <c r="N80" s="117">
        <v>23</v>
      </c>
      <c r="O80" s="117">
        <v>4351400</v>
      </c>
      <c r="P80" s="117">
        <v>308</v>
      </c>
      <c r="Q80" s="117">
        <v>90739500</v>
      </c>
      <c r="R80" s="117">
        <v>0</v>
      </c>
      <c r="S80" s="117">
        <v>0</v>
      </c>
      <c r="T80" s="117">
        <v>0</v>
      </c>
      <c r="U80" s="117">
        <v>0</v>
      </c>
      <c r="V80" s="117">
        <v>0</v>
      </c>
      <c r="W80" s="117">
        <v>0</v>
      </c>
      <c r="X80" s="117">
        <v>0</v>
      </c>
      <c r="Y80" s="117">
        <v>0</v>
      </c>
      <c r="Z80" s="117">
        <v>0</v>
      </c>
      <c r="AA80" s="117">
        <v>0</v>
      </c>
      <c r="AB80" s="117">
        <v>9</v>
      </c>
      <c r="AC80" s="117">
        <v>7889600</v>
      </c>
      <c r="AD80" s="117">
        <v>68</v>
      </c>
      <c r="AE80" s="117">
        <v>3698200</v>
      </c>
      <c r="AF80" s="117">
        <v>781</v>
      </c>
      <c r="AG80" s="117">
        <v>37288200</v>
      </c>
      <c r="AH80" s="117">
        <v>2659</v>
      </c>
      <c r="AI80" s="117">
        <v>150300600</v>
      </c>
      <c r="AJ80" s="117">
        <v>1</v>
      </c>
      <c r="AK80" s="117">
        <v>3200</v>
      </c>
      <c r="AL80" s="117">
        <v>1</v>
      </c>
      <c r="AM80" s="117">
        <v>500</v>
      </c>
      <c r="AN80" s="117">
        <v>5</v>
      </c>
      <c r="AO80" s="117">
        <v>629000</v>
      </c>
      <c r="AP80" s="117">
        <v>0</v>
      </c>
      <c r="AQ80" s="117">
        <v>0</v>
      </c>
      <c r="AR80" s="117">
        <v>0</v>
      </c>
      <c r="AS80" s="117">
        <v>0</v>
      </c>
      <c r="AT80" s="117">
        <v>5</v>
      </c>
      <c r="AU80" s="117">
        <v>534200</v>
      </c>
    </row>
    <row r="81" spans="1:47" x14ac:dyDescent="0.25">
      <c r="A81" s="117">
        <v>540064</v>
      </c>
      <c r="B81" s="2" t="s">
        <v>161</v>
      </c>
      <c r="C81" s="2" t="s">
        <v>35</v>
      </c>
      <c r="D81" s="2" t="s">
        <v>115</v>
      </c>
      <c r="E81" s="117">
        <v>5</v>
      </c>
      <c r="F81" s="117">
        <v>14</v>
      </c>
      <c r="G81" s="117">
        <v>507100</v>
      </c>
      <c r="H81" s="117">
        <v>141</v>
      </c>
      <c r="I81" s="117">
        <v>8150700</v>
      </c>
      <c r="J81" s="117">
        <v>1328</v>
      </c>
      <c r="K81" s="117">
        <v>94394900</v>
      </c>
      <c r="L81" s="117">
        <v>0</v>
      </c>
      <c r="M81" s="117">
        <v>0</v>
      </c>
      <c r="N81" s="117">
        <v>5</v>
      </c>
      <c r="O81" s="117">
        <v>725200</v>
      </c>
      <c r="P81" s="117">
        <v>284</v>
      </c>
      <c r="Q81" s="117">
        <v>83002600</v>
      </c>
      <c r="R81" s="117">
        <v>0</v>
      </c>
      <c r="S81" s="117">
        <v>0</v>
      </c>
      <c r="T81" s="117">
        <v>0</v>
      </c>
      <c r="U81" s="117">
        <v>0</v>
      </c>
      <c r="V81" s="117">
        <v>1</v>
      </c>
      <c r="W81" s="117">
        <v>225800</v>
      </c>
      <c r="X81" s="117">
        <v>0</v>
      </c>
      <c r="Y81" s="117">
        <v>0</v>
      </c>
      <c r="Z81" s="117">
        <v>0</v>
      </c>
      <c r="AA81" s="117">
        <v>0</v>
      </c>
      <c r="AB81" s="117">
        <v>0</v>
      </c>
      <c r="AC81" s="117">
        <v>0</v>
      </c>
      <c r="AD81" s="117">
        <v>0</v>
      </c>
      <c r="AE81" s="117">
        <v>0</v>
      </c>
      <c r="AF81" s="117">
        <v>5</v>
      </c>
      <c r="AG81" s="117">
        <v>293800</v>
      </c>
      <c r="AH81" s="117">
        <v>13</v>
      </c>
      <c r="AI81" s="117">
        <v>1401800</v>
      </c>
      <c r="AJ81" s="117">
        <v>0</v>
      </c>
      <c r="AK81" s="117">
        <v>0</v>
      </c>
      <c r="AL81" s="117">
        <v>0</v>
      </c>
      <c r="AM81" s="117">
        <v>0</v>
      </c>
      <c r="AN81" s="117">
        <v>2</v>
      </c>
      <c r="AO81" s="117">
        <v>47600</v>
      </c>
      <c r="AP81" s="117">
        <v>0</v>
      </c>
      <c r="AQ81" s="117">
        <v>0</v>
      </c>
      <c r="AR81" s="117">
        <v>0</v>
      </c>
      <c r="AS81" s="117">
        <v>0</v>
      </c>
      <c r="AT81" s="117">
        <v>4</v>
      </c>
      <c r="AU81" s="117">
        <v>3310900</v>
      </c>
    </row>
    <row r="82" spans="1:47" x14ac:dyDescent="0.25">
      <c r="A82" s="117">
        <v>540241</v>
      </c>
      <c r="B82" s="2" t="s">
        <v>288</v>
      </c>
      <c r="C82" s="2" t="s">
        <v>35</v>
      </c>
      <c r="D82" s="2" t="s">
        <v>115</v>
      </c>
      <c r="E82" s="117">
        <v>5</v>
      </c>
      <c r="F82" s="117">
        <v>0</v>
      </c>
      <c r="G82" s="117">
        <v>0</v>
      </c>
      <c r="H82" s="117">
        <v>7</v>
      </c>
      <c r="I82" s="117">
        <v>847000</v>
      </c>
      <c r="J82" s="117">
        <v>1355</v>
      </c>
      <c r="K82" s="117">
        <v>110464300</v>
      </c>
      <c r="L82" s="117">
        <v>0</v>
      </c>
      <c r="M82" s="117">
        <v>0</v>
      </c>
      <c r="N82" s="117">
        <v>0</v>
      </c>
      <c r="O82" s="117">
        <v>0</v>
      </c>
      <c r="P82" s="117">
        <v>209</v>
      </c>
      <c r="Q82" s="117">
        <v>61704200</v>
      </c>
      <c r="R82" s="117">
        <v>0</v>
      </c>
      <c r="S82" s="117">
        <v>0</v>
      </c>
      <c r="T82" s="117">
        <v>0</v>
      </c>
      <c r="U82" s="117">
        <v>0</v>
      </c>
      <c r="V82" s="117">
        <v>1</v>
      </c>
      <c r="W82" s="117">
        <v>1337200</v>
      </c>
      <c r="X82" s="117">
        <v>0</v>
      </c>
      <c r="Y82" s="117">
        <v>0</v>
      </c>
      <c r="Z82" s="117">
        <v>0</v>
      </c>
      <c r="AA82" s="117">
        <v>0</v>
      </c>
      <c r="AB82" s="117">
        <v>2</v>
      </c>
      <c r="AC82" s="117">
        <v>1738600</v>
      </c>
      <c r="AD82" s="117">
        <v>0</v>
      </c>
      <c r="AE82" s="117">
        <v>0</v>
      </c>
      <c r="AF82" s="117">
        <v>0</v>
      </c>
      <c r="AG82" s="117">
        <v>0</v>
      </c>
      <c r="AH82" s="117">
        <v>0</v>
      </c>
      <c r="AI82" s="117">
        <v>0</v>
      </c>
      <c r="AJ82" s="117">
        <v>0</v>
      </c>
      <c r="AK82" s="117">
        <v>0</v>
      </c>
      <c r="AL82" s="117">
        <v>0</v>
      </c>
      <c r="AM82" s="117">
        <v>0</v>
      </c>
      <c r="AN82" s="117">
        <v>1</v>
      </c>
      <c r="AO82" s="117">
        <v>2700</v>
      </c>
      <c r="AP82" s="117">
        <v>0</v>
      </c>
      <c r="AQ82" s="117">
        <v>0</v>
      </c>
      <c r="AR82" s="117">
        <v>0</v>
      </c>
      <c r="AS82" s="117">
        <v>0</v>
      </c>
      <c r="AT82" s="117">
        <v>10</v>
      </c>
      <c r="AU82" s="117">
        <v>1883500</v>
      </c>
    </row>
    <row r="83" spans="1:47" x14ac:dyDescent="0.25">
      <c r="A83" s="269"/>
      <c r="B83" s="269"/>
      <c r="C83" s="269" t="s">
        <v>35</v>
      </c>
      <c r="D83" s="269"/>
      <c r="E83" s="269"/>
      <c r="F83" s="270">
        <v>75</v>
      </c>
      <c r="G83" s="270">
        <v>3519400</v>
      </c>
      <c r="H83" s="270">
        <v>1090</v>
      </c>
      <c r="I83" s="270">
        <v>62311800</v>
      </c>
      <c r="J83" s="270">
        <v>9866</v>
      </c>
      <c r="K83" s="270">
        <v>676492900</v>
      </c>
      <c r="L83" s="270">
        <v>1</v>
      </c>
      <c r="M83" s="270">
        <v>44100</v>
      </c>
      <c r="N83" s="270">
        <v>28</v>
      </c>
      <c r="O83" s="270">
        <v>5076600</v>
      </c>
      <c r="P83" s="270">
        <v>801</v>
      </c>
      <c r="Q83" s="270">
        <v>235446300</v>
      </c>
      <c r="R83" s="270">
        <v>0</v>
      </c>
      <c r="S83" s="270">
        <v>0</v>
      </c>
      <c r="T83" s="270">
        <v>0</v>
      </c>
      <c r="U83" s="270">
        <v>0</v>
      </c>
      <c r="V83" s="270">
        <v>2</v>
      </c>
      <c r="W83" s="270">
        <v>1563000</v>
      </c>
      <c r="X83" s="270">
        <v>0</v>
      </c>
      <c r="Y83" s="270">
        <v>0</v>
      </c>
      <c r="Z83" s="270">
        <v>0</v>
      </c>
      <c r="AA83" s="270">
        <v>0</v>
      </c>
      <c r="AB83" s="270">
        <v>11</v>
      </c>
      <c r="AC83" s="270">
        <v>9628200</v>
      </c>
      <c r="AD83" s="270">
        <v>68</v>
      </c>
      <c r="AE83" s="270">
        <v>3698200</v>
      </c>
      <c r="AF83" s="270">
        <v>786</v>
      </c>
      <c r="AG83" s="270">
        <v>37582000</v>
      </c>
      <c r="AH83" s="270">
        <v>2672</v>
      </c>
      <c r="AI83" s="270">
        <v>151702400</v>
      </c>
      <c r="AJ83" s="270">
        <v>1</v>
      </c>
      <c r="AK83" s="270">
        <v>3200</v>
      </c>
      <c r="AL83" s="270">
        <v>1</v>
      </c>
      <c r="AM83" s="270">
        <v>500</v>
      </c>
      <c r="AN83" s="270">
        <v>8</v>
      </c>
      <c r="AO83" s="270">
        <v>679300</v>
      </c>
      <c r="AP83" s="270">
        <v>0</v>
      </c>
      <c r="AQ83" s="270">
        <v>0</v>
      </c>
      <c r="AR83" s="270">
        <v>0</v>
      </c>
      <c r="AS83" s="270">
        <v>0</v>
      </c>
      <c r="AT83" s="270">
        <v>19</v>
      </c>
      <c r="AU83" s="270">
        <v>5728600</v>
      </c>
    </row>
    <row r="84" spans="1:47" x14ac:dyDescent="0.25">
      <c r="A84" s="117">
        <v>540065</v>
      </c>
      <c r="B84" s="2" t="s">
        <v>36</v>
      </c>
      <c r="C84" s="2" t="s">
        <v>37</v>
      </c>
      <c r="D84" s="2" t="s">
        <v>5</v>
      </c>
      <c r="E84" s="117">
        <v>9</v>
      </c>
      <c r="F84" s="117">
        <v>90</v>
      </c>
      <c r="G84" s="117">
        <v>9195000</v>
      </c>
      <c r="H84" s="117">
        <v>680</v>
      </c>
      <c r="I84" s="117">
        <v>67656900</v>
      </c>
      <c r="J84" s="117">
        <v>18585</v>
      </c>
      <c r="K84" s="117">
        <v>3243570300</v>
      </c>
      <c r="L84" s="117">
        <v>1</v>
      </c>
      <c r="M84" s="117">
        <v>463300</v>
      </c>
      <c r="N84" s="117">
        <v>6</v>
      </c>
      <c r="O84" s="117">
        <v>3384400</v>
      </c>
      <c r="P84" s="117">
        <v>417</v>
      </c>
      <c r="Q84" s="117">
        <v>431382400</v>
      </c>
      <c r="R84" s="117">
        <v>0</v>
      </c>
      <c r="S84" s="117">
        <v>0</v>
      </c>
      <c r="T84" s="117">
        <v>0</v>
      </c>
      <c r="U84" s="117">
        <v>0</v>
      </c>
      <c r="V84" s="117">
        <v>0</v>
      </c>
      <c r="W84" s="117">
        <v>0</v>
      </c>
      <c r="X84" s="117">
        <v>0</v>
      </c>
      <c r="Y84" s="117">
        <v>0</v>
      </c>
      <c r="Z84" s="117">
        <v>1</v>
      </c>
      <c r="AA84" s="117">
        <v>546100</v>
      </c>
      <c r="AB84" s="117">
        <v>21</v>
      </c>
      <c r="AC84" s="117">
        <v>34608600</v>
      </c>
      <c r="AD84" s="117">
        <v>0</v>
      </c>
      <c r="AE84" s="117">
        <v>0</v>
      </c>
      <c r="AF84" s="117">
        <v>15</v>
      </c>
      <c r="AG84" s="117">
        <v>2725300</v>
      </c>
      <c r="AH84" s="117">
        <v>1070</v>
      </c>
      <c r="AI84" s="117">
        <v>230717600</v>
      </c>
      <c r="AJ84" s="117">
        <v>0</v>
      </c>
      <c r="AK84" s="117">
        <v>0</v>
      </c>
      <c r="AL84" s="117">
        <v>4</v>
      </c>
      <c r="AM84" s="117">
        <v>86000</v>
      </c>
      <c r="AN84" s="117">
        <v>23</v>
      </c>
      <c r="AO84" s="117">
        <v>2130700</v>
      </c>
      <c r="AP84" s="117">
        <v>0</v>
      </c>
      <c r="AQ84" s="117">
        <v>0</v>
      </c>
      <c r="AR84" s="117">
        <v>0</v>
      </c>
      <c r="AS84" s="117">
        <v>0</v>
      </c>
      <c r="AT84" s="117">
        <v>0</v>
      </c>
      <c r="AU84" s="117">
        <v>0</v>
      </c>
    </row>
    <row r="85" spans="1:47" x14ac:dyDescent="0.25">
      <c r="A85" s="117">
        <v>540030</v>
      </c>
      <c r="B85" s="2" t="s">
        <v>135</v>
      </c>
      <c r="C85" s="2" t="s">
        <v>37</v>
      </c>
      <c r="D85" s="2" t="s">
        <v>115</v>
      </c>
      <c r="E85" s="117">
        <v>9</v>
      </c>
      <c r="F85" s="117">
        <v>0</v>
      </c>
      <c r="G85" s="117">
        <v>0</v>
      </c>
      <c r="H85" s="117">
        <v>13</v>
      </c>
      <c r="I85" s="117">
        <v>1717200</v>
      </c>
      <c r="J85" s="117">
        <v>547</v>
      </c>
      <c r="K85" s="117">
        <v>83570400</v>
      </c>
      <c r="L85" s="117">
        <v>0</v>
      </c>
      <c r="M85" s="117">
        <v>0</v>
      </c>
      <c r="N85" s="117">
        <v>0</v>
      </c>
      <c r="O85" s="117">
        <v>0</v>
      </c>
      <c r="P85" s="117">
        <v>23</v>
      </c>
      <c r="Q85" s="117">
        <v>7632700</v>
      </c>
      <c r="R85" s="117">
        <v>0</v>
      </c>
      <c r="S85" s="117">
        <v>0</v>
      </c>
      <c r="T85" s="117">
        <v>0</v>
      </c>
      <c r="U85" s="117">
        <v>0</v>
      </c>
      <c r="V85" s="117">
        <v>0</v>
      </c>
      <c r="W85" s="117">
        <v>0</v>
      </c>
      <c r="X85" s="117">
        <v>0</v>
      </c>
      <c r="Y85" s="117">
        <v>0</v>
      </c>
      <c r="Z85" s="117">
        <v>0</v>
      </c>
      <c r="AA85" s="117">
        <v>0</v>
      </c>
      <c r="AB85" s="117">
        <v>0</v>
      </c>
      <c r="AC85" s="117">
        <v>0</v>
      </c>
      <c r="AD85" s="117">
        <v>0</v>
      </c>
      <c r="AE85" s="117">
        <v>0</v>
      </c>
      <c r="AF85" s="117">
        <v>0</v>
      </c>
      <c r="AG85" s="117">
        <v>0</v>
      </c>
      <c r="AH85" s="117">
        <v>0</v>
      </c>
      <c r="AI85" s="117">
        <v>0</v>
      </c>
      <c r="AJ85" s="117">
        <v>0</v>
      </c>
      <c r="AK85" s="117">
        <v>0</v>
      </c>
      <c r="AL85" s="117">
        <v>1</v>
      </c>
      <c r="AM85" s="117">
        <v>34000</v>
      </c>
      <c r="AN85" s="117">
        <v>0</v>
      </c>
      <c r="AO85" s="117">
        <v>0</v>
      </c>
      <c r="AP85" s="117">
        <v>0</v>
      </c>
      <c r="AQ85" s="117">
        <v>0</v>
      </c>
      <c r="AR85" s="117">
        <v>0</v>
      </c>
      <c r="AS85" s="117">
        <v>0</v>
      </c>
      <c r="AT85" s="117">
        <v>0</v>
      </c>
      <c r="AU85" s="117">
        <v>0</v>
      </c>
    </row>
    <row r="86" spans="1:47" x14ac:dyDescent="0.25">
      <c r="A86" s="117">
        <v>540066</v>
      </c>
      <c r="B86" s="2" t="s">
        <v>162</v>
      </c>
      <c r="C86" s="2" t="s">
        <v>37</v>
      </c>
      <c r="D86" s="2" t="s">
        <v>115</v>
      </c>
      <c r="E86" s="117">
        <v>9</v>
      </c>
      <c r="F86" s="117">
        <v>0</v>
      </c>
      <c r="G86" s="117">
        <v>0</v>
      </c>
      <c r="H86" s="117">
        <v>10</v>
      </c>
      <c r="I86" s="117">
        <v>890100</v>
      </c>
      <c r="J86" s="117">
        <v>2404</v>
      </c>
      <c r="K86" s="117">
        <v>561917400</v>
      </c>
      <c r="L86" s="117">
        <v>0</v>
      </c>
      <c r="M86" s="117">
        <v>0</v>
      </c>
      <c r="N86" s="117">
        <v>0</v>
      </c>
      <c r="O86" s="117">
        <v>0</v>
      </c>
      <c r="P86" s="117">
        <v>216</v>
      </c>
      <c r="Q86" s="117">
        <v>121362900</v>
      </c>
      <c r="R86" s="117">
        <v>0</v>
      </c>
      <c r="S86" s="117">
        <v>0</v>
      </c>
      <c r="T86" s="117">
        <v>0</v>
      </c>
      <c r="U86" s="117">
        <v>0</v>
      </c>
      <c r="V86" s="117">
        <v>0</v>
      </c>
      <c r="W86" s="117">
        <v>0</v>
      </c>
      <c r="X86" s="117">
        <v>0</v>
      </c>
      <c r="Y86" s="117">
        <v>0</v>
      </c>
      <c r="Z86" s="117">
        <v>0</v>
      </c>
      <c r="AA86" s="117">
        <v>0</v>
      </c>
      <c r="AB86" s="117">
        <v>0</v>
      </c>
      <c r="AC86" s="117">
        <v>0</v>
      </c>
      <c r="AD86" s="117">
        <v>0</v>
      </c>
      <c r="AE86" s="117">
        <v>0</v>
      </c>
      <c r="AF86" s="117">
        <v>0</v>
      </c>
      <c r="AG86" s="117">
        <v>0</v>
      </c>
      <c r="AH86" s="117">
        <v>16</v>
      </c>
      <c r="AI86" s="117">
        <v>2416400</v>
      </c>
      <c r="AJ86" s="117">
        <v>0</v>
      </c>
      <c r="AK86" s="117">
        <v>0</v>
      </c>
      <c r="AL86" s="117">
        <v>0</v>
      </c>
      <c r="AM86" s="117">
        <v>0</v>
      </c>
      <c r="AN86" s="117">
        <v>2</v>
      </c>
      <c r="AO86" s="117">
        <v>462700</v>
      </c>
      <c r="AP86" s="117">
        <v>0</v>
      </c>
      <c r="AQ86" s="117">
        <v>0</v>
      </c>
      <c r="AR86" s="117">
        <v>0</v>
      </c>
      <c r="AS86" s="117">
        <v>0</v>
      </c>
      <c r="AT86" s="117">
        <v>0</v>
      </c>
      <c r="AU86" s="117">
        <v>0</v>
      </c>
    </row>
    <row r="87" spans="1:47" x14ac:dyDescent="0.25">
      <c r="A87" s="117">
        <v>540067</v>
      </c>
      <c r="B87" s="2" t="s">
        <v>163</v>
      </c>
      <c r="C87" s="2" t="s">
        <v>37</v>
      </c>
      <c r="D87" s="2" t="s">
        <v>115</v>
      </c>
      <c r="E87" s="117">
        <v>9</v>
      </c>
      <c r="F87" s="117">
        <v>7</v>
      </c>
      <c r="G87" s="117">
        <v>1292900</v>
      </c>
      <c r="H87" s="117">
        <v>51</v>
      </c>
      <c r="I87" s="117">
        <v>12541000</v>
      </c>
      <c r="J87" s="117">
        <v>218</v>
      </c>
      <c r="K87" s="117">
        <v>55679900</v>
      </c>
      <c r="L87" s="117">
        <v>1</v>
      </c>
      <c r="M87" s="117">
        <v>135600</v>
      </c>
      <c r="N87" s="117">
        <v>4</v>
      </c>
      <c r="O87" s="117">
        <v>1366900</v>
      </c>
      <c r="P87" s="117">
        <v>14</v>
      </c>
      <c r="Q87" s="117">
        <v>4892400</v>
      </c>
      <c r="R87" s="117">
        <v>0</v>
      </c>
      <c r="S87" s="117">
        <v>0</v>
      </c>
      <c r="T87" s="117">
        <v>0</v>
      </c>
      <c r="U87" s="117">
        <v>0</v>
      </c>
      <c r="V87" s="117">
        <v>0</v>
      </c>
      <c r="W87" s="117">
        <v>0</v>
      </c>
      <c r="X87" s="117">
        <v>0</v>
      </c>
      <c r="Y87" s="117">
        <v>0</v>
      </c>
      <c r="Z87" s="117">
        <v>0</v>
      </c>
      <c r="AA87" s="117">
        <v>0</v>
      </c>
      <c r="AB87" s="117">
        <v>0</v>
      </c>
      <c r="AC87" s="117">
        <v>0</v>
      </c>
      <c r="AD87" s="117">
        <v>0</v>
      </c>
      <c r="AE87" s="117">
        <v>0</v>
      </c>
      <c r="AF87" s="117">
        <v>0</v>
      </c>
      <c r="AG87" s="117">
        <v>0</v>
      </c>
      <c r="AH87" s="117">
        <v>0</v>
      </c>
      <c r="AI87" s="117">
        <v>0</v>
      </c>
      <c r="AJ87" s="117">
        <v>0</v>
      </c>
      <c r="AK87" s="117">
        <v>0</v>
      </c>
      <c r="AL87" s="117">
        <v>0</v>
      </c>
      <c r="AM87" s="117">
        <v>0</v>
      </c>
      <c r="AN87" s="117">
        <v>0</v>
      </c>
      <c r="AO87" s="117">
        <v>0</v>
      </c>
      <c r="AP87" s="117">
        <v>0</v>
      </c>
      <c r="AQ87" s="117">
        <v>0</v>
      </c>
      <c r="AR87" s="117">
        <v>0</v>
      </c>
      <c r="AS87" s="117">
        <v>0</v>
      </c>
      <c r="AT87" s="117">
        <v>0</v>
      </c>
      <c r="AU87" s="117">
        <v>0</v>
      </c>
    </row>
    <row r="88" spans="1:47" x14ac:dyDescent="0.25">
      <c r="A88" s="117">
        <v>540068</v>
      </c>
      <c r="B88" s="2" t="s">
        <v>164</v>
      </c>
      <c r="C88" s="2" t="s">
        <v>37</v>
      </c>
      <c r="D88" s="2" t="s">
        <v>115</v>
      </c>
      <c r="E88" s="117">
        <v>9</v>
      </c>
      <c r="F88" s="117">
        <v>0</v>
      </c>
      <c r="G88" s="117">
        <v>0</v>
      </c>
      <c r="H88" s="117">
        <v>6</v>
      </c>
      <c r="I88" s="117">
        <v>490300</v>
      </c>
      <c r="J88" s="117">
        <v>2136</v>
      </c>
      <c r="K88" s="117">
        <v>328829500</v>
      </c>
      <c r="L88" s="117">
        <v>0</v>
      </c>
      <c r="M88" s="117">
        <v>0</v>
      </c>
      <c r="N88" s="117">
        <v>2</v>
      </c>
      <c r="O88" s="117">
        <v>1852400</v>
      </c>
      <c r="P88" s="117">
        <v>212</v>
      </c>
      <c r="Q88" s="117">
        <v>162094200</v>
      </c>
      <c r="R88" s="117">
        <v>0</v>
      </c>
      <c r="S88" s="117">
        <v>0</v>
      </c>
      <c r="T88" s="117">
        <v>0</v>
      </c>
      <c r="U88" s="117">
        <v>0</v>
      </c>
      <c r="V88" s="117">
        <v>0</v>
      </c>
      <c r="W88" s="117">
        <v>0</v>
      </c>
      <c r="X88" s="117">
        <v>0</v>
      </c>
      <c r="Y88" s="117">
        <v>0</v>
      </c>
      <c r="Z88" s="117">
        <v>0</v>
      </c>
      <c r="AA88" s="117">
        <v>0</v>
      </c>
      <c r="AB88" s="117">
        <v>0</v>
      </c>
      <c r="AC88" s="117">
        <v>0</v>
      </c>
      <c r="AD88" s="117">
        <v>0</v>
      </c>
      <c r="AE88" s="117">
        <v>0</v>
      </c>
      <c r="AF88" s="117">
        <v>0</v>
      </c>
      <c r="AG88" s="117">
        <v>0</v>
      </c>
      <c r="AH88" s="117">
        <v>28</v>
      </c>
      <c r="AI88" s="117">
        <v>5618900</v>
      </c>
      <c r="AJ88" s="117">
        <v>0</v>
      </c>
      <c r="AK88" s="117">
        <v>0</v>
      </c>
      <c r="AL88" s="117">
        <v>0</v>
      </c>
      <c r="AM88" s="117">
        <v>0</v>
      </c>
      <c r="AN88" s="117">
        <v>1</v>
      </c>
      <c r="AO88" s="117">
        <v>107800</v>
      </c>
      <c r="AP88" s="117">
        <v>0</v>
      </c>
      <c r="AQ88" s="117">
        <v>0</v>
      </c>
      <c r="AR88" s="117">
        <v>0</v>
      </c>
      <c r="AS88" s="117">
        <v>0</v>
      </c>
      <c r="AT88" s="117">
        <v>0</v>
      </c>
      <c r="AU88" s="117">
        <v>0</v>
      </c>
    </row>
    <row r="89" spans="1:47" x14ac:dyDescent="0.25">
      <c r="A89" s="117">
        <v>540069</v>
      </c>
      <c r="B89" s="2" t="s">
        <v>165</v>
      </c>
      <c r="C89" s="2" t="s">
        <v>37</v>
      </c>
      <c r="D89" s="2" t="s">
        <v>115</v>
      </c>
      <c r="E89" s="117">
        <v>9</v>
      </c>
      <c r="F89" s="117">
        <v>0</v>
      </c>
      <c r="G89" s="117">
        <v>0</v>
      </c>
      <c r="H89" s="117">
        <v>9</v>
      </c>
      <c r="I89" s="117">
        <v>16119200</v>
      </c>
      <c r="J89" s="117">
        <v>380</v>
      </c>
      <c r="K89" s="117">
        <v>106807500</v>
      </c>
      <c r="L89" s="117">
        <v>0</v>
      </c>
      <c r="M89" s="117">
        <v>0</v>
      </c>
      <c r="N89" s="117">
        <v>1</v>
      </c>
      <c r="O89" s="117">
        <v>155900</v>
      </c>
      <c r="P89" s="117">
        <v>36</v>
      </c>
      <c r="Q89" s="117">
        <v>16415000</v>
      </c>
      <c r="R89" s="117">
        <v>0</v>
      </c>
      <c r="S89" s="117">
        <v>0</v>
      </c>
      <c r="T89" s="117">
        <v>0</v>
      </c>
      <c r="U89" s="117">
        <v>0</v>
      </c>
      <c r="V89" s="117">
        <v>0</v>
      </c>
      <c r="W89" s="117">
        <v>0</v>
      </c>
      <c r="X89" s="117">
        <v>0</v>
      </c>
      <c r="Y89" s="117">
        <v>0</v>
      </c>
      <c r="Z89" s="117">
        <v>0</v>
      </c>
      <c r="AA89" s="117">
        <v>0</v>
      </c>
      <c r="AB89" s="117">
        <v>0</v>
      </c>
      <c r="AC89" s="117">
        <v>0</v>
      </c>
      <c r="AD89" s="117">
        <v>0</v>
      </c>
      <c r="AE89" s="117">
        <v>0</v>
      </c>
      <c r="AF89" s="117">
        <v>0</v>
      </c>
      <c r="AG89" s="117">
        <v>0</v>
      </c>
      <c r="AH89" s="117">
        <v>0</v>
      </c>
      <c r="AI89" s="117">
        <v>0</v>
      </c>
      <c r="AJ89" s="117">
        <v>0</v>
      </c>
      <c r="AK89" s="117">
        <v>0</v>
      </c>
      <c r="AL89" s="117">
        <v>0</v>
      </c>
      <c r="AM89" s="117">
        <v>0</v>
      </c>
      <c r="AN89" s="117">
        <v>1</v>
      </c>
      <c r="AO89" s="117">
        <v>24200</v>
      </c>
      <c r="AP89" s="117">
        <v>0</v>
      </c>
      <c r="AQ89" s="117">
        <v>0</v>
      </c>
      <c r="AR89" s="117">
        <v>0</v>
      </c>
      <c r="AS89" s="117">
        <v>0</v>
      </c>
      <c r="AT89" s="117">
        <v>1</v>
      </c>
      <c r="AU89" s="117">
        <v>50000</v>
      </c>
    </row>
    <row r="90" spans="1:47" x14ac:dyDescent="0.25">
      <c r="A90" s="269"/>
      <c r="B90" s="269"/>
      <c r="C90" s="269" t="s">
        <v>37</v>
      </c>
      <c r="D90" s="269"/>
      <c r="E90" s="269"/>
      <c r="F90" s="270">
        <v>97</v>
      </c>
      <c r="G90" s="270">
        <v>10487900</v>
      </c>
      <c r="H90" s="270">
        <v>769</v>
      </c>
      <c r="I90" s="270">
        <v>99414700</v>
      </c>
      <c r="J90" s="270">
        <v>24270</v>
      </c>
      <c r="K90" s="270">
        <v>4380375000</v>
      </c>
      <c r="L90" s="270">
        <v>2</v>
      </c>
      <c r="M90" s="270">
        <v>598900</v>
      </c>
      <c r="N90" s="270">
        <v>13</v>
      </c>
      <c r="O90" s="270">
        <v>6759600</v>
      </c>
      <c r="P90" s="270">
        <v>918</v>
      </c>
      <c r="Q90" s="270">
        <v>743779600</v>
      </c>
      <c r="R90" s="270">
        <v>0</v>
      </c>
      <c r="S90" s="270">
        <v>0</v>
      </c>
      <c r="T90" s="270">
        <v>0</v>
      </c>
      <c r="U90" s="270">
        <v>0</v>
      </c>
      <c r="V90" s="270">
        <v>0</v>
      </c>
      <c r="W90" s="270">
        <v>0</v>
      </c>
      <c r="X90" s="270">
        <v>0</v>
      </c>
      <c r="Y90" s="270">
        <v>0</v>
      </c>
      <c r="Z90" s="270">
        <v>1</v>
      </c>
      <c r="AA90" s="270">
        <v>546100</v>
      </c>
      <c r="AB90" s="270">
        <v>21</v>
      </c>
      <c r="AC90" s="270">
        <v>34608600</v>
      </c>
      <c r="AD90" s="270">
        <v>0</v>
      </c>
      <c r="AE90" s="270">
        <v>0</v>
      </c>
      <c r="AF90" s="270">
        <v>15</v>
      </c>
      <c r="AG90" s="270">
        <v>2725300</v>
      </c>
      <c r="AH90" s="270">
        <v>1114</v>
      </c>
      <c r="AI90" s="270">
        <v>238752900</v>
      </c>
      <c r="AJ90" s="270">
        <v>0</v>
      </c>
      <c r="AK90" s="270">
        <v>0</v>
      </c>
      <c r="AL90" s="270">
        <v>5</v>
      </c>
      <c r="AM90" s="270">
        <v>120000</v>
      </c>
      <c r="AN90" s="270">
        <v>27</v>
      </c>
      <c r="AO90" s="270">
        <v>2725400</v>
      </c>
      <c r="AP90" s="270">
        <v>0</v>
      </c>
      <c r="AQ90" s="270">
        <v>0</v>
      </c>
      <c r="AR90" s="270">
        <v>0</v>
      </c>
      <c r="AS90" s="270">
        <v>0</v>
      </c>
      <c r="AT90" s="270">
        <v>1</v>
      </c>
      <c r="AU90" s="270">
        <v>50000</v>
      </c>
    </row>
    <row r="91" spans="1:47" x14ac:dyDescent="0.25">
      <c r="A91" s="117">
        <v>540070</v>
      </c>
      <c r="B91" s="2" t="s">
        <v>38</v>
      </c>
      <c r="C91" s="2" t="s">
        <v>39</v>
      </c>
      <c r="D91" s="2" t="s">
        <v>5</v>
      </c>
      <c r="E91" s="117">
        <v>3</v>
      </c>
      <c r="F91" s="117">
        <v>1483</v>
      </c>
      <c r="G91" s="117">
        <v>75082900</v>
      </c>
      <c r="H91" s="117">
        <v>6975</v>
      </c>
      <c r="I91" s="117">
        <v>387642328</v>
      </c>
      <c r="J91" s="117">
        <v>28341</v>
      </c>
      <c r="K91" s="117">
        <v>2043581860</v>
      </c>
      <c r="L91" s="117">
        <v>12</v>
      </c>
      <c r="M91" s="117">
        <v>1945000</v>
      </c>
      <c r="N91" s="117">
        <v>66</v>
      </c>
      <c r="O91" s="117">
        <v>11853164</v>
      </c>
      <c r="P91" s="117">
        <v>923</v>
      </c>
      <c r="Q91" s="117">
        <v>304232139</v>
      </c>
      <c r="R91" s="117">
        <v>1</v>
      </c>
      <c r="S91" s="117">
        <v>132600</v>
      </c>
      <c r="T91" s="117">
        <v>11</v>
      </c>
      <c r="U91" s="117">
        <v>7633973</v>
      </c>
      <c r="V91" s="117">
        <v>109</v>
      </c>
      <c r="W91" s="117">
        <v>114786437</v>
      </c>
      <c r="X91" s="117">
        <v>0</v>
      </c>
      <c r="Y91" s="117">
        <v>0</v>
      </c>
      <c r="Z91" s="117">
        <v>6</v>
      </c>
      <c r="AA91" s="117">
        <v>1447000</v>
      </c>
      <c r="AB91" s="117">
        <v>43</v>
      </c>
      <c r="AC91" s="117">
        <v>8738000</v>
      </c>
      <c r="AD91" s="117">
        <v>6</v>
      </c>
      <c r="AE91" s="117">
        <v>339400</v>
      </c>
      <c r="AF91" s="117">
        <v>37</v>
      </c>
      <c r="AG91" s="117">
        <v>2038500</v>
      </c>
      <c r="AH91" s="117">
        <v>83</v>
      </c>
      <c r="AI91" s="117">
        <v>4988300</v>
      </c>
      <c r="AJ91" s="117">
        <v>0</v>
      </c>
      <c r="AK91" s="117">
        <v>0</v>
      </c>
      <c r="AL91" s="117">
        <v>16</v>
      </c>
      <c r="AM91" s="117">
        <v>133000</v>
      </c>
      <c r="AN91" s="117">
        <v>109</v>
      </c>
      <c r="AO91" s="117">
        <v>2346200</v>
      </c>
      <c r="AP91" s="117">
        <v>36</v>
      </c>
      <c r="AQ91" s="117">
        <v>158800</v>
      </c>
      <c r="AR91" s="117">
        <v>216</v>
      </c>
      <c r="AS91" s="117">
        <v>9200900</v>
      </c>
      <c r="AT91" s="117">
        <v>1087</v>
      </c>
      <c r="AU91" s="117">
        <v>143133790</v>
      </c>
    </row>
    <row r="92" spans="1:47" x14ac:dyDescent="0.25">
      <c r="A92" s="117">
        <v>540029</v>
      </c>
      <c r="B92" s="2" t="s">
        <v>134</v>
      </c>
      <c r="C92" s="2" t="s">
        <v>39</v>
      </c>
      <c r="D92" s="2" t="s">
        <v>115</v>
      </c>
      <c r="E92" s="117">
        <v>3</v>
      </c>
      <c r="F92" s="117">
        <v>3</v>
      </c>
      <c r="G92" s="117">
        <v>106800</v>
      </c>
      <c r="H92" s="117">
        <v>10</v>
      </c>
      <c r="I92" s="117">
        <v>341100</v>
      </c>
      <c r="J92" s="117">
        <v>203</v>
      </c>
      <c r="K92" s="117">
        <v>7419400</v>
      </c>
      <c r="L92" s="117">
        <v>0</v>
      </c>
      <c r="M92" s="117">
        <v>0</v>
      </c>
      <c r="N92" s="117">
        <v>0</v>
      </c>
      <c r="O92" s="117">
        <v>0</v>
      </c>
      <c r="P92" s="117">
        <v>10</v>
      </c>
      <c r="Q92" s="117">
        <v>2038550</v>
      </c>
      <c r="R92" s="117">
        <v>0</v>
      </c>
      <c r="S92" s="117">
        <v>0</v>
      </c>
      <c r="T92" s="117">
        <v>0</v>
      </c>
      <c r="U92" s="117">
        <v>0</v>
      </c>
      <c r="V92" s="117">
        <v>4</v>
      </c>
      <c r="W92" s="117">
        <v>620682</v>
      </c>
      <c r="X92" s="117">
        <v>0</v>
      </c>
      <c r="Y92" s="117">
        <v>0</v>
      </c>
      <c r="Z92" s="117">
        <v>0</v>
      </c>
      <c r="AA92" s="117">
        <v>0</v>
      </c>
      <c r="AB92" s="117">
        <v>0</v>
      </c>
      <c r="AC92" s="117">
        <v>0</v>
      </c>
      <c r="AD92" s="117">
        <v>0</v>
      </c>
      <c r="AE92" s="117">
        <v>0</v>
      </c>
      <c r="AF92" s="117">
        <v>0</v>
      </c>
      <c r="AG92" s="117">
        <v>0</v>
      </c>
      <c r="AH92" s="117">
        <v>0</v>
      </c>
      <c r="AI92" s="117">
        <v>0</v>
      </c>
      <c r="AJ92" s="117">
        <v>0</v>
      </c>
      <c r="AK92" s="117">
        <v>0</v>
      </c>
      <c r="AL92" s="117">
        <v>0</v>
      </c>
      <c r="AM92" s="117">
        <v>0</v>
      </c>
      <c r="AN92" s="117">
        <v>0</v>
      </c>
      <c r="AO92" s="117">
        <v>0</v>
      </c>
      <c r="AP92" s="117">
        <v>1</v>
      </c>
      <c r="AQ92" s="117">
        <v>1100</v>
      </c>
      <c r="AR92" s="117">
        <v>1</v>
      </c>
      <c r="AS92" s="117">
        <v>10800</v>
      </c>
      <c r="AT92" s="117">
        <v>32</v>
      </c>
      <c r="AU92" s="117">
        <v>4798700</v>
      </c>
    </row>
    <row r="93" spans="1:47" x14ac:dyDescent="0.25">
      <c r="A93" s="117">
        <v>540071</v>
      </c>
      <c r="B93" s="2" t="s">
        <v>166</v>
      </c>
      <c r="C93" s="2" t="s">
        <v>39</v>
      </c>
      <c r="D93" s="2" t="s">
        <v>115</v>
      </c>
      <c r="E93" s="117">
        <v>3</v>
      </c>
      <c r="F93" s="117">
        <v>5</v>
      </c>
      <c r="G93" s="117">
        <v>200600</v>
      </c>
      <c r="H93" s="117">
        <v>18</v>
      </c>
      <c r="I93" s="117">
        <v>831300</v>
      </c>
      <c r="J93" s="117">
        <v>392</v>
      </c>
      <c r="K93" s="117">
        <v>28505400</v>
      </c>
      <c r="L93" s="117">
        <v>0</v>
      </c>
      <c r="M93" s="117">
        <v>0</v>
      </c>
      <c r="N93" s="117">
        <v>0</v>
      </c>
      <c r="O93" s="117">
        <v>0</v>
      </c>
      <c r="P93" s="117">
        <v>22</v>
      </c>
      <c r="Q93" s="117">
        <v>2787954</v>
      </c>
      <c r="R93" s="117">
        <v>0</v>
      </c>
      <c r="S93" s="117">
        <v>0</v>
      </c>
      <c r="T93" s="117">
        <v>0</v>
      </c>
      <c r="U93" s="117">
        <v>0</v>
      </c>
      <c r="V93" s="117">
        <v>8</v>
      </c>
      <c r="W93" s="117">
        <v>1298411</v>
      </c>
      <c r="X93" s="117">
        <v>0</v>
      </c>
      <c r="Y93" s="117">
        <v>0</v>
      </c>
      <c r="Z93" s="117">
        <v>0</v>
      </c>
      <c r="AA93" s="117">
        <v>0</v>
      </c>
      <c r="AB93" s="117">
        <v>0</v>
      </c>
      <c r="AC93" s="117">
        <v>0</v>
      </c>
      <c r="AD93" s="117">
        <v>0</v>
      </c>
      <c r="AE93" s="117">
        <v>0</v>
      </c>
      <c r="AF93" s="117">
        <v>0</v>
      </c>
      <c r="AG93" s="117">
        <v>0</v>
      </c>
      <c r="AH93" s="117">
        <v>0</v>
      </c>
      <c r="AI93" s="117">
        <v>0</v>
      </c>
      <c r="AJ93" s="117">
        <v>0</v>
      </c>
      <c r="AK93" s="117">
        <v>0</v>
      </c>
      <c r="AL93" s="117">
        <v>0</v>
      </c>
      <c r="AM93" s="117">
        <v>0</v>
      </c>
      <c r="AN93" s="117">
        <v>4</v>
      </c>
      <c r="AO93" s="117">
        <v>21400</v>
      </c>
      <c r="AP93" s="117">
        <v>0</v>
      </c>
      <c r="AQ93" s="117">
        <v>0</v>
      </c>
      <c r="AR93" s="117">
        <v>0</v>
      </c>
      <c r="AS93" s="117">
        <v>0</v>
      </c>
      <c r="AT93" s="117">
        <v>37</v>
      </c>
      <c r="AU93" s="117">
        <v>3263500</v>
      </c>
    </row>
    <row r="94" spans="1:47" x14ac:dyDescent="0.25">
      <c r="A94" s="117">
        <v>540072</v>
      </c>
      <c r="B94" s="2" t="s">
        <v>167</v>
      </c>
      <c r="C94" s="2" t="s">
        <v>39</v>
      </c>
      <c r="D94" s="2" t="s">
        <v>115</v>
      </c>
      <c r="E94" s="117">
        <v>3</v>
      </c>
      <c r="F94" s="117">
        <v>0</v>
      </c>
      <c r="G94" s="117">
        <v>0</v>
      </c>
      <c r="H94" s="117">
        <v>12</v>
      </c>
      <c r="I94" s="117">
        <v>343500</v>
      </c>
      <c r="J94" s="117">
        <v>301</v>
      </c>
      <c r="K94" s="117">
        <v>12504800</v>
      </c>
      <c r="L94" s="117">
        <v>0</v>
      </c>
      <c r="M94" s="117">
        <v>0</v>
      </c>
      <c r="N94" s="117">
        <v>2</v>
      </c>
      <c r="O94" s="117">
        <v>51600</v>
      </c>
      <c r="P94" s="117">
        <v>23</v>
      </c>
      <c r="Q94" s="117">
        <v>2145035</v>
      </c>
      <c r="R94" s="117">
        <v>0</v>
      </c>
      <c r="S94" s="117">
        <v>0</v>
      </c>
      <c r="T94" s="117">
        <v>0</v>
      </c>
      <c r="U94" s="117">
        <v>0</v>
      </c>
      <c r="V94" s="117">
        <v>2</v>
      </c>
      <c r="W94" s="117">
        <v>212304</v>
      </c>
      <c r="X94" s="117">
        <v>0</v>
      </c>
      <c r="Y94" s="117">
        <v>0</v>
      </c>
      <c r="Z94" s="117">
        <v>0</v>
      </c>
      <c r="AA94" s="117">
        <v>0</v>
      </c>
      <c r="AB94" s="117">
        <v>0</v>
      </c>
      <c r="AC94" s="117">
        <v>0</v>
      </c>
      <c r="AD94" s="117">
        <v>0</v>
      </c>
      <c r="AE94" s="117">
        <v>0</v>
      </c>
      <c r="AF94" s="117">
        <v>0</v>
      </c>
      <c r="AG94" s="117">
        <v>0</v>
      </c>
      <c r="AH94" s="117">
        <v>0</v>
      </c>
      <c r="AI94" s="117">
        <v>0</v>
      </c>
      <c r="AJ94" s="117">
        <v>0</v>
      </c>
      <c r="AK94" s="117">
        <v>0</v>
      </c>
      <c r="AL94" s="117">
        <v>0</v>
      </c>
      <c r="AM94" s="117">
        <v>0</v>
      </c>
      <c r="AN94" s="117">
        <v>0</v>
      </c>
      <c r="AO94" s="117">
        <v>0</v>
      </c>
      <c r="AP94" s="117">
        <v>0</v>
      </c>
      <c r="AQ94" s="117">
        <v>0</v>
      </c>
      <c r="AR94" s="117">
        <v>0</v>
      </c>
      <c r="AS94" s="117">
        <v>0</v>
      </c>
      <c r="AT94" s="117">
        <v>28</v>
      </c>
      <c r="AU94" s="117">
        <v>1763100</v>
      </c>
    </row>
    <row r="95" spans="1:47" x14ac:dyDescent="0.25">
      <c r="A95" s="117">
        <v>540073</v>
      </c>
      <c r="B95" s="2" t="s">
        <v>168</v>
      </c>
      <c r="C95" s="2" t="s">
        <v>39</v>
      </c>
      <c r="D95" s="2" t="s">
        <v>115</v>
      </c>
      <c r="E95" s="117">
        <v>3</v>
      </c>
      <c r="F95" s="117">
        <v>904</v>
      </c>
      <c r="G95" s="117">
        <v>63634570</v>
      </c>
      <c r="H95" s="117">
        <v>4326</v>
      </c>
      <c r="I95" s="117">
        <v>417266600</v>
      </c>
      <c r="J95" s="117">
        <v>16194</v>
      </c>
      <c r="K95" s="117">
        <v>1927493091</v>
      </c>
      <c r="L95" s="117">
        <v>7</v>
      </c>
      <c r="M95" s="117">
        <v>228427</v>
      </c>
      <c r="N95" s="117">
        <v>33</v>
      </c>
      <c r="O95" s="117">
        <v>17357785</v>
      </c>
      <c r="P95" s="117">
        <v>1818</v>
      </c>
      <c r="Q95" s="117">
        <v>995625502</v>
      </c>
      <c r="R95" s="117">
        <v>1</v>
      </c>
      <c r="S95" s="117">
        <v>177867</v>
      </c>
      <c r="T95" s="117">
        <v>27</v>
      </c>
      <c r="U95" s="117">
        <v>8610090</v>
      </c>
      <c r="V95" s="117">
        <v>255</v>
      </c>
      <c r="W95" s="117">
        <v>95629973</v>
      </c>
      <c r="X95" s="117">
        <v>0</v>
      </c>
      <c r="Y95" s="117">
        <v>0</v>
      </c>
      <c r="Z95" s="117">
        <v>1</v>
      </c>
      <c r="AA95" s="117">
        <v>400</v>
      </c>
      <c r="AB95" s="117">
        <v>23</v>
      </c>
      <c r="AC95" s="117">
        <v>17108200</v>
      </c>
      <c r="AD95" s="117">
        <v>0</v>
      </c>
      <c r="AE95" s="117">
        <v>0</v>
      </c>
      <c r="AF95" s="117">
        <v>0</v>
      </c>
      <c r="AG95" s="117">
        <v>0</v>
      </c>
      <c r="AH95" s="117">
        <v>0</v>
      </c>
      <c r="AI95" s="117">
        <v>0</v>
      </c>
      <c r="AJ95" s="117">
        <v>2</v>
      </c>
      <c r="AK95" s="117">
        <v>92600</v>
      </c>
      <c r="AL95" s="117">
        <v>4</v>
      </c>
      <c r="AM95" s="117">
        <v>25400</v>
      </c>
      <c r="AN95" s="117">
        <v>82</v>
      </c>
      <c r="AO95" s="117">
        <v>17878893</v>
      </c>
      <c r="AP95" s="117">
        <v>18</v>
      </c>
      <c r="AQ95" s="117">
        <v>15677100</v>
      </c>
      <c r="AR95" s="117">
        <v>167</v>
      </c>
      <c r="AS95" s="117">
        <v>17317100</v>
      </c>
      <c r="AT95" s="117">
        <v>1376</v>
      </c>
      <c r="AU95" s="117">
        <v>737958450</v>
      </c>
    </row>
    <row r="96" spans="1:47" x14ac:dyDescent="0.25">
      <c r="A96" s="117">
        <v>540074</v>
      </c>
      <c r="B96" s="2" t="s">
        <v>169</v>
      </c>
      <c r="C96" s="2" t="s">
        <v>39</v>
      </c>
      <c r="D96" s="2" t="s">
        <v>115</v>
      </c>
      <c r="E96" s="117">
        <v>3</v>
      </c>
      <c r="F96" s="117">
        <v>0</v>
      </c>
      <c r="G96" s="117">
        <v>0</v>
      </c>
      <c r="H96" s="117">
        <v>2</v>
      </c>
      <c r="I96" s="117">
        <v>78200</v>
      </c>
      <c r="J96" s="117">
        <v>463</v>
      </c>
      <c r="K96" s="117">
        <v>25443500</v>
      </c>
      <c r="L96" s="117">
        <v>0</v>
      </c>
      <c r="M96" s="117">
        <v>0</v>
      </c>
      <c r="N96" s="117">
        <v>0</v>
      </c>
      <c r="O96" s="117">
        <v>0</v>
      </c>
      <c r="P96" s="117">
        <v>19</v>
      </c>
      <c r="Q96" s="117">
        <v>1488900</v>
      </c>
      <c r="R96" s="117">
        <v>0</v>
      </c>
      <c r="S96" s="117">
        <v>0</v>
      </c>
      <c r="T96" s="117">
        <v>0</v>
      </c>
      <c r="U96" s="117">
        <v>0</v>
      </c>
      <c r="V96" s="117">
        <v>1</v>
      </c>
      <c r="W96" s="117">
        <v>93400</v>
      </c>
      <c r="X96" s="117">
        <v>0</v>
      </c>
      <c r="Y96" s="117">
        <v>0</v>
      </c>
      <c r="Z96" s="117">
        <v>0</v>
      </c>
      <c r="AA96" s="117">
        <v>0</v>
      </c>
      <c r="AB96" s="117">
        <v>0</v>
      </c>
      <c r="AC96" s="117">
        <v>0</v>
      </c>
      <c r="AD96" s="117">
        <v>0</v>
      </c>
      <c r="AE96" s="117">
        <v>0</v>
      </c>
      <c r="AF96" s="117">
        <v>0</v>
      </c>
      <c r="AG96" s="117">
        <v>0</v>
      </c>
      <c r="AH96" s="117">
        <v>0</v>
      </c>
      <c r="AI96" s="117">
        <v>0</v>
      </c>
      <c r="AJ96" s="117">
        <v>0</v>
      </c>
      <c r="AK96" s="117">
        <v>0</v>
      </c>
      <c r="AL96" s="117">
        <v>0</v>
      </c>
      <c r="AM96" s="117">
        <v>0</v>
      </c>
      <c r="AN96" s="117">
        <v>0</v>
      </c>
      <c r="AO96" s="117">
        <v>0</v>
      </c>
      <c r="AP96" s="117">
        <v>0</v>
      </c>
      <c r="AQ96" s="117">
        <v>0</v>
      </c>
      <c r="AR96" s="117">
        <v>0</v>
      </c>
      <c r="AS96" s="117">
        <v>0</v>
      </c>
      <c r="AT96" s="117">
        <v>25</v>
      </c>
      <c r="AU96" s="117">
        <v>1927000</v>
      </c>
    </row>
    <row r="97" spans="1:47" x14ac:dyDescent="0.25">
      <c r="A97" s="117">
        <v>540075</v>
      </c>
      <c r="B97" s="2" t="s">
        <v>170</v>
      </c>
      <c r="C97" s="2" t="s">
        <v>39</v>
      </c>
      <c r="D97" s="2" t="s">
        <v>115</v>
      </c>
      <c r="E97" s="117">
        <v>3</v>
      </c>
      <c r="F97" s="117">
        <v>14</v>
      </c>
      <c r="G97" s="117">
        <v>930200</v>
      </c>
      <c r="H97" s="117">
        <v>113</v>
      </c>
      <c r="I97" s="117">
        <v>4973900</v>
      </c>
      <c r="J97" s="117">
        <v>186</v>
      </c>
      <c r="K97" s="117">
        <v>9755500</v>
      </c>
      <c r="L97" s="117">
        <v>0</v>
      </c>
      <c r="M97" s="117">
        <v>0</v>
      </c>
      <c r="N97" s="117">
        <v>0</v>
      </c>
      <c r="O97" s="117">
        <v>0</v>
      </c>
      <c r="P97" s="117">
        <v>3</v>
      </c>
      <c r="Q97" s="117">
        <v>126000</v>
      </c>
      <c r="R97" s="117">
        <v>0</v>
      </c>
      <c r="S97" s="117">
        <v>0</v>
      </c>
      <c r="T97" s="117">
        <v>0</v>
      </c>
      <c r="U97" s="117">
        <v>0</v>
      </c>
      <c r="V97" s="117">
        <v>0</v>
      </c>
      <c r="W97" s="117">
        <v>0</v>
      </c>
      <c r="X97" s="117">
        <v>0</v>
      </c>
      <c r="Y97" s="117">
        <v>0</v>
      </c>
      <c r="Z97" s="117">
        <v>0</v>
      </c>
      <c r="AA97" s="117">
        <v>0</v>
      </c>
      <c r="AB97" s="117">
        <v>0</v>
      </c>
      <c r="AC97" s="117">
        <v>0</v>
      </c>
      <c r="AD97" s="117">
        <v>0</v>
      </c>
      <c r="AE97" s="117">
        <v>0</v>
      </c>
      <c r="AF97" s="117">
        <v>0</v>
      </c>
      <c r="AG97" s="117">
        <v>0</v>
      </c>
      <c r="AH97" s="117">
        <v>0</v>
      </c>
      <c r="AI97" s="117">
        <v>0</v>
      </c>
      <c r="AJ97" s="117">
        <v>0</v>
      </c>
      <c r="AK97" s="117">
        <v>0</v>
      </c>
      <c r="AL97" s="117">
        <v>1</v>
      </c>
      <c r="AM97" s="117">
        <v>200</v>
      </c>
      <c r="AN97" s="117">
        <v>6</v>
      </c>
      <c r="AO97" s="117">
        <v>38400</v>
      </c>
      <c r="AP97" s="117">
        <v>0</v>
      </c>
      <c r="AQ97" s="117">
        <v>0</v>
      </c>
      <c r="AR97" s="117">
        <v>1</v>
      </c>
      <c r="AS97" s="117">
        <v>7600</v>
      </c>
      <c r="AT97" s="117">
        <v>13</v>
      </c>
      <c r="AU97" s="117">
        <v>194500</v>
      </c>
    </row>
    <row r="98" spans="1:47" x14ac:dyDescent="0.25">
      <c r="A98" s="117">
        <v>540076</v>
      </c>
      <c r="B98" s="2" t="s">
        <v>171</v>
      </c>
      <c r="C98" s="2" t="s">
        <v>39</v>
      </c>
      <c r="D98" s="2" t="s">
        <v>115</v>
      </c>
      <c r="E98" s="117">
        <v>3</v>
      </c>
      <c r="F98" s="117">
        <v>54</v>
      </c>
      <c r="G98" s="117">
        <v>2112700</v>
      </c>
      <c r="H98" s="117">
        <v>324</v>
      </c>
      <c r="I98" s="117">
        <v>17100000</v>
      </c>
      <c r="J98" s="117">
        <v>1855</v>
      </c>
      <c r="K98" s="117">
        <v>140347500</v>
      </c>
      <c r="L98" s="117">
        <v>0</v>
      </c>
      <c r="M98" s="117">
        <v>0</v>
      </c>
      <c r="N98" s="117">
        <v>3</v>
      </c>
      <c r="O98" s="117">
        <v>1031170</v>
      </c>
      <c r="P98" s="117">
        <v>142</v>
      </c>
      <c r="Q98" s="117">
        <v>41198446</v>
      </c>
      <c r="R98" s="117">
        <v>0</v>
      </c>
      <c r="S98" s="117">
        <v>0</v>
      </c>
      <c r="T98" s="117">
        <v>0</v>
      </c>
      <c r="U98" s="117">
        <v>0</v>
      </c>
      <c r="V98" s="117">
        <v>16</v>
      </c>
      <c r="W98" s="117">
        <v>26154453</v>
      </c>
      <c r="X98" s="117">
        <v>0</v>
      </c>
      <c r="Y98" s="117">
        <v>0</v>
      </c>
      <c r="Z98" s="117">
        <v>0</v>
      </c>
      <c r="AA98" s="117">
        <v>0</v>
      </c>
      <c r="AB98" s="117">
        <v>0</v>
      </c>
      <c r="AC98" s="117">
        <v>0</v>
      </c>
      <c r="AD98" s="117">
        <v>0</v>
      </c>
      <c r="AE98" s="117">
        <v>0</v>
      </c>
      <c r="AF98" s="117">
        <v>0</v>
      </c>
      <c r="AG98" s="117">
        <v>0</v>
      </c>
      <c r="AH98" s="117">
        <v>0</v>
      </c>
      <c r="AI98" s="117">
        <v>0</v>
      </c>
      <c r="AJ98" s="117">
        <v>0</v>
      </c>
      <c r="AK98" s="117">
        <v>0</v>
      </c>
      <c r="AL98" s="117">
        <v>2</v>
      </c>
      <c r="AM98" s="117">
        <v>23700</v>
      </c>
      <c r="AN98" s="117">
        <v>5</v>
      </c>
      <c r="AO98" s="117">
        <v>53900</v>
      </c>
      <c r="AP98" s="117">
        <v>3</v>
      </c>
      <c r="AQ98" s="117">
        <v>1400</v>
      </c>
      <c r="AR98" s="117">
        <v>11</v>
      </c>
      <c r="AS98" s="117">
        <v>72300</v>
      </c>
      <c r="AT98" s="117">
        <v>126</v>
      </c>
      <c r="AU98" s="117">
        <v>13478100</v>
      </c>
    </row>
    <row r="99" spans="1:47" x14ac:dyDescent="0.25">
      <c r="A99" s="117">
        <v>540077</v>
      </c>
      <c r="B99" s="2" t="s">
        <v>172</v>
      </c>
      <c r="C99" s="2" t="s">
        <v>39</v>
      </c>
      <c r="D99" s="2" t="s">
        <v>115</v>
      </c>
      <c r="E99" s="117">
        <v>3</v>
      </c>
      <c r="F99" s="117">
        <v>1</v>
      </c>
      <c r="G99" s="117">
        <v>2200</v>
      </c>
      <c r="H99" s="117">
        <v>17</v>
      </c>
      <c r="I99" s="117">
        <v>507500</v>
      </c>
      <c r="J99" s="117">
        <v>315</v>
      </c>
      <c r="K99" s="117">
        <v>20634000</v>
      </c>
      <c r="L99" s="117">
        <v>0</v>
      </c>
      <c r="M99" s="117">
        <v>0</v>
      </c>
      <c r="N99" s="117">
        <v>0</v>
      </c>
      <c r="O99" s="117">
        <v>0</v>
      </c>
      <c r="P99" s="117">
        <v>6</v>
      </c>
      <c r="Q99" s="117">
        <v>876039</v>
      </c>
      <c r="R99" s="117">
        <v>0</v>
      </c>
      <c r="S99" s="117">
        <v>0</v>
      </c>
      <c r="T99" s="117">
        <v>0</v>
      </c>
      <c r="U99" s="117">
        <v>0</v>
      </c>
      <c r="V99" s="117">
        <v>3</v>
      </c>
      <c r="W99" s="117">
        <v>772953</v>
      </c>
      <c r="X99" s="117">
        <v>0</v>
      </c>
      <c r="Y99" s="117">
        <v>0</v>
      </c>
      <c r="Z99" s="117">
        <v>0</v>
      </c>
      <c r="AA99" s="117">
        <v>0</v>
      </c>
      <c r="AB99" s="117">
        <v>1</v>
      </c>
      <c r="AC99" s="117">
        <v>168200</v>
      </c>
      <c r="AD99" s="117">
        <v>0</v>
      </c>
      <c r="AE99" s="117">
        <v>0</v>
      </c>
      <c r="AF99" s="117">
        <v>0</v>
      </c>
      <c r="AG99" s="117">
        <v>0</v>
      </c>
      <c r="AH99" s="117">
        <v>0</v>
      </c>
      <c r="AI99" s="117">
        <v>0</v>
      </c>
      <c r="AJ99" s="117">
        <v>0</v>
      </c>
      <c r="AK99" s="117">
        <v>0</v>
      </c>
      <c r="AL99" s="117">
        <v>1</v>
      </c>
      <c r="AM99" s="117">
        <v>800</v>
      </c>
      <c r="AN99" s="117">
        <v>1</v>
      </c>
      <c r="AO99" s="117">
        <v>160900</v>
      </c>
      <c r="AP99" s="117">
        <v>0</v>
      </c>
      <c r="AQ99" s="117">
        <v>0</v>
      </c>
      <c r="AR99" s="117">
        <v>0</v>
      </c>
      <c r="AS99" s="117">
        <v>0</v>
      </c>
      <c r="AT99" s="117">
        <v>24</v>
      </c>
      <c r="AU99" s="117">
        <v>1299700</v>
      </c>
    </row>
    <row r="100" spans="1:47" x14ac:dyDescent="0.25">
      <c r="A100" s="117">
        <v>540078</v>
      </c>
      <c r="B100" s="2" t="s">
        <v>173</v>
      </c>
      <c r="C100" s="2" t="s">
        <v>39</v>
      </c>
      <c r="D100" s="2" t="s">
        <v>115</v>
      </c>
      <c r="E100" s="117">
        <v>3</v>
      </c>
      <c r="F100" s="117">
        <v>1</v>
      </c>
      <c r="G100" s="117">
        <v>31200</v>
      </c>
      <c r="H100" s="117">
        <v>9</v>
      </c>
      <c r="I100" s="117">
        <v>94700</v>
      </c>
      <c r="J100" s="117">
        <v>242</v>
      </c>
      <c r="K100" s="117">
        <v>17515900</v>
      </c>
      <c r="L100" s="117">
        <v>0</v>
      </c>
      <c r="M100" s="117">
        <v>0</v>
      </c>
      <c r="N100" s="117">
        <v>0</v>
      </c>
      <c r="O100" s="117">
        <v>0</v>
      </c>
      <c r="P100" s="117">
        <v>11</v>
      </c>
      <c r="Q100" s="117">
        <v>3668851</v>
      </c>
      <c r="R100" s="117">
        <v>0</v>
      </c>
      <c r="S100" s="117">
        <v>0</v>
      </c>
      <c r="T100" s="117">
        <v>0</v>
      </c>
      <c r="U100" s="117">
        <v>0</v>
      </c>
      <c r="V100" s="117">
        <v>0</v>
      </c>
      <c r="W100" s="117">
        <v>0</v>
      </c>
      <c r="X100" s="117">
        <v>0</v>
      </c>
      <c r="Y100" s="117">
        <v>0</v>
      </c>
      <c r="Z100" s="117">
        <v>0</v>
      </c>
      <c r="AA100" s="117">
        <v>0</v>
      </c>
      <c r="AB100" s="117">
        <v>0</v>
      </c>
      <c r="AC100" s="117">
        <v>0</v>
      </c>
      <c r="AD100" s="117">
        <v>0</v>
      </c>
      <c r="AE100" s="117">
        <v>0</v>
      </c>
      <c r="AF100" s="117">
        <v>0</v>
      </c>
      <c r="AG100" s="117">
        <v>0</v>
      </c>
      <c r="AH100" s="117">
        <v>0</v>
      </c>
      <c r="AI100" s="117">
        <v>0</v>
      </c>
      <c r="AJ100" s="117">
        <v>0</v>
      </c>
      <c r="AK100" s="117">
        <v>0</v>
      </c>
      <c r="AL100" s="117">
        <v>0</v>
      </c>
      <c r="AM100" s="117">
        <v>0</v>
      </c>
      <c r="AN100" s="117">
        <v>5</v>
      </c>
      <c r="AO100" s="117">
        <v>6900</v>
      </c>
      <c r="AP100" s="117">
        <v>0</v>
      </c>
      <c r="AQ100" s="117">
        <v>0</v>
      </c>
      <c r="AR100" s="117">
        <v>0</v>
      </c>
      <c r="AS100" s="117">
        <v>0</v>
      </c>
      <c r="AT100" s="117">
        <v>13</v>
      </c>
      <c r="AU100" s="117">
        <v>1638000</v>
      </c>
    </row>
    <row r="101" spans="1:47" x14ac:dyDescent="0.25">
      <c r="A101" s="117">
        <v>540079</v>
      </c>
      <c r="B101" s="2" t="s">
        <v>174</v>
      </c>
      <c r="C101" s="2" t="s">
        <v>39</v>
      </c>
      <c r="D101" s="2" t="s">
        <v>115</v>
      </c>
      <c r="E101" s="117">
        <v>3</v>
      </c>
      <c r="F101" s="117">
        <v>8</v>
      </c>
      <c r="G101" s="117">
        <v>308200</v>
      </c>
      <c r="H101" s="117">
        <v>40</v>
      </c>
      <c r="I101" s="117">
        <v>1444000</v>
      </c>
      <c r="J101" s="117">
        <v>571</v>
      </c>
      <c r="K101" s="117">
        <v>34853700</v>
      </c>
      <c r="L101" s="117">
        <v>0</v>
      </c>
      <c r="M101" s="117">
        <v>0</v>
      </c>
      <c r="N101" s="117">
        <v>0</v>
      </c>
      <c r="O101" s="117">
        <v>0</v>
      </c>
      <c r="P101" s="117">
        <v>73</v>
      </c>
      <c r="Q101" s="117">
        <v>8760421</v>
      </c>
      <c r="R101" s="117">
        <v>0</v>
      </c>
      <c r="S101" s="117">
        <v>0</v>
      </c>
      <c r="T101" s="117">
        <v>0</v>
      </c>
      <c r="U101" s="117">
        <v>0</v>
      </c>
      <c r="V101" s="117">
        <v>8</v>
      </c>
      <c r="W101" s="117">
        <v>2140711</v>
      </c>
      <c r="X101" s="117">
        <v>0</v>
      </c>
      <c r="Y101" s="117">
        <v>0</v>
      </c>
      <c r="Z101" s="117">
        <v>0</v>
      </c>
      <c r="AA101" s="117">
        <v>0</v>
      </c>
      <c r="AB101" s="117">
        <v>0</v>
      </c>
      <c r="AC101" s="117">
        <v>0</v>
      </c>
      <c r="AD101" s="117">
        <v>0</v>
      </c>
      <c r="AE101" s="117">
        <v>0</v>
      </c>
      <c r="AF101" s="117">
        <v>0</v>
      </c>
      <c r="AG101" s="117">
        <v>0</v>
      </c>
      <c r="AH101" s="117">
        <v>0</v>
      </c>
      <c r="AI101" s="117">
        <v>0</v>
      </c>
      <c r="AJ101" s="117">
        <v>0</v>
      </c>
      <c r="AK101" s="117">
        <v>0</v>
      </c>
      <c r="AL101" s="117">
        <v>0</v>
      </c>
      <c r="AM101" s="117">
        <v>0</v>
      </c>
      <c r="AN101" s="117">
        <v>3</v>
      </c>
      <c r="AO101" s="117">
        <v>41200</v>
      </c>
      <c r="AP101" s="117">
        <v>0</v>
      </c>
      <c r="AQ101" s="117">
        <v>0</v>
      </c>
      <c r="AR101" s="117">
        <v>1</v>
      </c>
      <c r="AS101" s="117">
        <v>1000</v>
      </c>
      <c r="AT101" s="117">
        <v>40</v>
      </c>
      <c r="AU101" s="117">
        <v>4416600</v>
      </c>
    </row>
    <row r="102" spans="1:47" x14ac:dyDescent="0.25">
      <c r="A102" s="117">
        <v>540081</v>
      </c>
      <c r="B102" s="2" t="s">
        <v>176</v>
      </c>
      <c r="C102" s="2" t="s">
        <v>39</v>
      </c>
      <c r="D102" s="2" t="s">
        <v>115</v>
      </c>
      <c r="E102" s="117">
        <v>3</v>
      </c>
      <c r="F102" s="117">
        <v>37</v>
      </c>
      <c r="G102" s="117">
        <v>3195600</v>
      </c>
      <c r="H102" s="117">
        <v>198</v>
      </c>
      <c r="I102" s="117">
        <v>16806300</v>
      </c>
      <c r="J102" s="117">
        <v>1590</v>
      </c>
      <c r="K102" s="117">
        <v>133994200</v>
      </c>
      <c r="L102" s="117">
        <v>0</v>
      </c>
      <c r="M102" s="117">
        <v>0</v>
      </c>
      <c r="N102" s="117">
        <v>3</v>
      </c>
      <c r="O102" s="117">
        <v>1218656</v>
      </c>
      <c r="P102" s="117">
        <v>169</v>
      </c>
      <c r="Q102" s="117">
        <v>100736766</v>
      </c>
      <c r="R102" s="117">
        <v>0</v>
      </c>
      <c r="S102" s="117">
        <v>0</v>
      </c>
      <c r="T102" s="117">
        <v>0</v>
      </c>
      <c r="U102" s="117">
        <v>0</v>
      </c>
      <c r="V102" s="117">
        <v>24</v>
      </c>
      <c r="W102" s="117">
        <v>6890501</v>
      </c>
      <c r="X102" s="117">
        <v>0</v>
      </c>
      <c r="Y102" s="117">
        <v>0</v>
      </c>
      <c r="Z102" s="117">
        <v>0</v>
      </c>
      <c r="AA102" s="117">
        <v>0</v>
      </c>
      <c r="AB102" s="117">
        <v>28</v>
      </c>
      <c r="AC102" s="117">
        <v>13651800</v>
      </c>
      <c r="AD102" s="117">
        <v>0</v>
      </c>
      <c r="AE102" s="117">
        <v>0</v>
      </c>
      <c r="AF102" s="117">
        <v>0</v>
      </c>
      <c r="AG102" s="117">
        <v>0</v>
      </c>
      <c r="AH102" s="117">
        <v>0</v>
      </c>
      <c r="AI102" s="117">
        <v>0</v>
      </c>
      <c r="AJ102" s="117">
        <v>0</v>
      </c>
      <c r="AK102" s="117">
        <v>0</v>
      </c>
      <c r="AL102" s="117">
        <v>2</v>
      </c>
      <c r="AM102" s="117">
        <v>4200</v>
      </c>
      <c r="AN102" s="117">
        <v>14</v>
      </c>
      <c r="AO102" s="117">
        <v>1285200</v>
      </c>
      <c r="AP102" s="117">
        <v>0</v>
      </c>
      <c r="AQ102" s="117">
        <v>0</v>
      </c>
      <c r="AR102" s="117">
        <v>4</v>
      </c>
      <c r="AS102" s="117">
        <v>1560000</v>
      </c>
      <c r="AT102" s="117">
        <v>84</v>
      </c>
      <c r="AU102" s="117">
        <v>14655805</v>
      </c>
    </row>
    <row r="103" spans="1:47" x14ac:dyDescent="0.25">
      <c r="A103" s="117">
        <v>540082</v>
      </c>
      <c r="B103" s="2" t="s">
        <v>177</v>
      </c>
      <c r="C103" s="2" t="s">
        <v>39</v>
      </c>
      <c r="D103" s="2" t="s">
        <v>115</v>
      </c>
      <c r="E103" s="117">
        <v>3</v>
      </c>
      <c r="F103" s="117">
        <v>0</v>
      </c>
      <c r="G103" s="117">
        <v>0</v>
      </c>
      <c r="H103" s="117">
        <v>8</v>
      </c>
      <c r="I103" s="117">
        <v>280200</v>
      </c>
      <c r="J103" s="117">
        <v>226</v>
      </c>
      <c r="K103" s="117">
        <v>15460200</v>
      </c>
      <c r="L103" s="117">
        <v>0</v>
      </c>
      <c r="M103" s="117">
        <v>0</v>
      </c>
      <c r="N103" s="117">
        <v>1</v>
      </c>
      <c r="O103" s="117">
        <v>59898</v>
      </c>
      <c r="P103" s="117">
        <v>3</v>
      </c>
      <c r="Q103" s="117">
        <v>161100</v>
      </c>
      <c r="R103" s="117">
        <v>0</v>
      </c>
      <c r="S103" s="117">
        <v>0</v>
      </c>
      <c r="T103" s="117">
        <v>0</v>
      </c>
      <c r="U103" s="117">
        <v>0</v>
      </c>
      <c r="V103" s="117">
        <v>4</v>
      </c>
      <c r="W103" s="117">
        <v>592408</v>
      </c>
      <c r="X103" s="117">
        <v>0</v>
      </c>
      <c r="Y103" s="117">
        <v>0</v>
      </c>
      <c r="Z103" s="117">
        <v>0</v>
      </c>
      <c r="AA103" s="117">
        <v>0</v>
      </c>
      <c r="AB103" s="117">
        <v>0</v>
      </c>
      <c r="AC103" s="117">
        <v>0</v>
      </c>
      <c r="AD103" s="117">
        <v>0</v>
      </c>
      <c r="AE103" s="117">
        <v>0</v>
      </c>
      <c r="AF103" s="117">
        <v>0</v>
      </c>
      <c r="AG103" s="117">
        <v>0</v>
      </c>
      <c r="AH103" s="117">
        <v>0</v>
      </c>
      <c r="AI103" s="117">
        <v>0</v>
      </c>
      <c r="AJ103" s="117">
        <v>0</v>
      </c>
      <c r="AK103" s="117">
        <v>0</v>
      </c>
      <c r="AL103" s="117">
        <v>0</v>
      </c>
      <c r="AM103" s="117">
        <v>0</v>
      </c>
      <c r="AN103" s="117">
        <v>1</v>
      </c>
      <c r="AO103" s="117">
        <v>10000</v>
      </c>
      <c r="AP103" s="117">
        <v>0</v>
      </c>
      <c r="AQ103" s="117">
        <v>0</v>
      </c>
      <c r="AR103" s="117">
        <v>0</v>
      </c>
      <c r="AS103" s="117">
        <v>0</v>
      </c>
      <c r="AT103" s="117">
        <v>14</v>
      </c>
      <c r="AU103" s="117">
        <v>1037100</v>
      </c>
    </row>
    <row r="104" spans="1:47" x14ac:dyDescent="0.25">
      <c r="A104" s="117">
        <v>540083</v>
      </c>
      <c r="B104" s="2" t="s">
        <v>178</v>
      </c>
      <c r="C104" s="2" t="s">
        <v>39</v>
      </c>
      <c r="D104" s="2" t="s">
        <v>115</v>
      </c>
      <c r="E104" s="117">
        <v>3</v>
      </c>
      <c r="F104" s="117">
        <v>53</v>
      </c>
      <c r="G104" s="117">
        <v>4052700</v>
      </c>
      <c r="H104" s="117">
        <v>291</v>
      </c>
      <c r="I104" s="117">
        <v>28526500</v>
      </c>
      <c r="J104" s="117">
        <v>4260</v>
      </c>
      <c r="K104" s="117">
        <v>400345100</v>
      </c>
      <c r="L104" s="117">
        <v>0</v>
      </c>
      <c r="M104" s="117">
        <v>0</v>
      </c>
      <c r="N104" s="117">
        <v>1</v>
      </c>
      <c r="O104" s="117">
        <v>68800</v>
      </c>
      <c r="P104" s="117">
        <v>381</v>
      </c>
      <c r="Q104" s="117">
        <v>93475082</v>
      </c>
      <c r="R104" s="117">
        <v>0</v>
      </c>
      <c r="S104" s="117">
        <v>0</v>
      </c>
      <c r="T104" s="117">
        <v>0</v>
      </c>
      <c r="U104" s="117">
        <v>0</v>
      </c>
      <c r="V104" s="117">
        <v>26</v>
      </c>
      <c r="W104" s="117">
        <v>6614904</v>
      </c>
      <c r="X104" s="117">
        <v>0</v>
      </c>
      <c r="Y104" s="117">
        <v>0</v>
      </c>
      <c r="Z104" s="117">
        <v>0</v>
      </c>
      <c r="AA104" s="117">
        <v>0</v>
      </c>
      <c r="AB104" s="117">
        <v>0</v>
      </c>
      <c r="AC104" s="117">
        <v>0</v>
      </c>
      <c r="AD104" s="117">
        <v>0</v>
      </c>
      <c r="AE104" s="117">
        <v>0</v>
      </c>
      <c r="AF104" s="117">
        <v>0</v>
      </c>
      <c r="AG104" s="117">
        <v>0</v>
      </c>
      <c r="AH104" s="117">
        <v>0</v>
      </c>
      <c r="AI104" s="117">
        <v>0</v>
      </c>
      <c r="AJ104" s="117">
        <v>0</v>
      </c>
      <c r="AK104" s="117">
        <v>0</v>
      </c>
      <c r="AL104" s="117">
        <v>1</v>
      </c>
      <c r="AM104" s="117">
        <v>120000</v>
      </c>
      <c r="AN104" s="117">
        <v>13</v>
      </c>
      <c r="AO104" s="117">
        <v>372100</v>
      </c>
      <c r="AP104" s="117">
        <v>1</v>
      </c>
      <c r="AQ104" s="117">
        <v>4100</v>
      </c>
      <c r="AR104" s="117">
        <v>8</v>
      </c>
      <c r="AS104" s="117">
        <v>337000</v>
      </c>
      <c r="AT104" s="117">
        <v>234</v>
      </c>
      <c r="AU104" s="117">
        <v>28143300</v>
      </c>
    </row>
    <row r="105" spans="1:47" x14ac:dyDescent="0.25">
      <c r="A105" s="117">
        <v>540223</v>
      </c>
      <c r="B105" s="2" t="s">
        <v>277</v>
      </c>
      <c r="C105" s="2" t="s">
        <v>39</v>
      </c>
      <c r="D105" s="2" t="s">
        <v>115</v>
      </c>
      <c r="E105" s="117">
        <v>3</v>
      </c>
      <c r="F105" s="117">
        <v>187</v>
      </c>
      <c r="G105" s="117">
        <v>22334000</v>
      </c>
      <c r="H105" s="117">
        <v>906</v>
      </c>
      <c r="I105" s="117">
        <v>109022900</v>
      </c>
      <c r="J105" s="117">
        <v>3935</v>
      </c>
      <c r="K105" s="117">
        <v>399630500</v>
      </c>
      <c r="L105" s="117">
        <v>0</v>
      </c>
      <c r="M105" s="117">
        <v>0</v>
      </c>
      <c r="N105" s="117">
        <v>8</v>
      </c>
      <c r="O105" s="117">
        <v>838890</v>
      </c>
      <c r="P105" s="117">
        <v>600</v>
      </c>
      <c r="Q105" s="117">
        <v>262932369</v>
      </c>
      <c r="R105" s="117">
        <v>1</v>
      </c>
      <c r="S105" s="117">
        <v>157537</v>
      </c>
      <c r="T105" s="117">
        <v>2</v>
      </c>
      <c r="U105" s="117">
        <v>277398</v>
      </c>
      <c r="V105" s="117">
        <v>75</v>
      </c>
      <c r="W105" s="117">
        <v>22089428</v>
      </c>
      <c r="X105" s="117">
        <v>1</v>
      </c>
      <c r="Y105" s="117">
        <v>3340700</v>
      </c>
      <c r="Z105" s="117">
        <v>0</v>
      </c>
      <c r="AA105" s="117">
        <v>0</v>
      </c>
      <c r="AB105" s="117">
        <v>47</v>
      </c>
      <c r="AC105" s="117">
        <v>43704900</v>
      </c>
      <c r="AD105" s="117">
        <v>0</v>
      </c>
      <c r="AE105" s="117">
        <v>0</v>
      </c>
      <c r="AF105" s="117">
        <v>0</v>
      </c>
      <c r="AG105" s="117">
        <v>0</v>
      </c>
      <c r="AH105" s="117">
        <v>0</v>
      </c>
      <c r="AI105" s="117">
        <v>0</v>
      </c>
      <c r="AJ105" s="117">
        <v>0</v>
      </c>
      <c r="AK105" s="117">
        <v>0</v>
      </c>
      <c r="AL105" s="117">
        <v>0</v>
      </c>
      <c r="AM105" s="117">
        <v>0</v>
      </c>
      <c r="AN105" s="117">
        <v>4</v>
      </c>
      <c r="AO105" s="117">
        <v>71300</v>
      </c>
      <c r="AP105" s="117">
        <v>1</v>
      </c>
      <c r="AQ105" s="117">
        <v>1400</v>
      </c>
      <c r="AR105" s="117">
        <v>20</v>
      </c>
      <c r="AS105" s="117">
        <v>3007600</v>
      </c>
      <c r="AT105" s="117">
        <v>435</v>
      </c>
      <c r="AU105" s="117">
        <v>187232273</v>
      </c>
    </row>
    <row r="106" spans="1:47" x14ac:dyDescent="0.25">
      <c r="A106" s="117">
        <v>540279</v>
      </c>
      <c r="B106" s="2" t="s">
        <v>320</v>
      </c>
      <c r="C106" s="2" t="s">
        <v>39</v>
      </c>
      <c r="D106" s="2" t="s">
        <v>115</v>
      </c>
      <c r="E106" s="117">
        <v>3</v>
      </c>
      <c r="F106" s="117">
        <v>3</v>
      </c>
      <c r="G106" s="117">
        <v>6400</v>
      </c>
      <c r="H106" s="117">
        <v>16</v>
      </c>
      <c r="I106" s="117">
        <v>185700</v>
      </c>
      <c r="J106" s="117">
        <v>157</v>
      </c>
      <c r="K106" s="117">
        <v>3048800</v>
      </c>
      <c r="L106" s="117">
        <v>0</v>
      </c>
      <c r="M106" s="117">
        <v>0</v>
      </c>
      <c r="N106" s="117">
        <v>0</v>
      </c>
      <c r="O106" s="117">
        <v>0</v>
      </c>
      <c r="P106" s="117">
        <v>5</v>
      </c>
      <c r="Q106" s="117">
        <v>410200</v>
      </c>
      <c r="R106" s="117">
        <v>0</v>
      </c>
      <c r="S106" s="117">
        <v>0</v>
      </c>
      <c r="T106" s="117">
        <v>0</v>
      </c>
      <c r="U106" s="117">
        <v>0</v>
      </c>
      <c r="V106" s="117">
        <v>0</v>
      </c>
      <c r="W106" s="117">
        <v>0</v>
      </c>
      <c r="X106" s="117">
        <v>0</v>
      </c>
      <c r="Y106" s="117">
        <v>0</v>
      </c>
      <c r="Z106" s="117">
        <v>0</v>
      </c>
      <c r="AA106" s="117">
        <v>0</v>
      </c>
      <c r="AB106" s="117">
        <v>0</v>
      </c>
      <c r="AC106" s="117">
        <v>0</v>
      </c>
      <c r="AD106" s="117">
        <v>0</v>
      </c>
      <c r="AE106" s="117">
        <v>0</v>
      </c>
      <c r="AF106" s="117">
        <v>0</v>
      </c>
      <c r="AG106" s="117">
        <v>0</v>
      </c>
      <c r="AH106" s="117">
        <v>0</v>
      </c>
      <c r="AI106" s="117">
        <v>0</v>
      </c>
      <c r="AJ106" s="117">
        <v>0</v>
      </c>
      <c r="AK106" s="117">
        <v>0</v>
      </c>
      <c r="AL106" s="117">
        <v>0</v>
      </c>
      <c r="AM106" s="117">
        <v>0</v>
      </c>
      <c r="AN106" s="117">
        <v>2</v>
      </c>
      <c r="AO106" s="117">
        <v>56800</v>
      </c>
      <c r="AP106" s="117">
        <v>0</v>
      </c>
      <c r="AQ106" s="117">
        <v>0</v>
      </c>
      <c r="AR106" s="117">
        <v>0</v>
      </c>
      <c r="AS106" s="117">
        <v>0</v>
      </c>
      <c r="AT106" s="117">
        <v>8</v>
      </c>
      <c r="AU106" s="117">
        <v>223400</v>
      </c>
    </row>
    <row r="107" spans="1:47" x14ac:dyDescent="0.25">
      <c r="A107" s="117">
        <v>540033</v>
      </c>
      <c r="B107" s="2" t="s">
        <v>138</v>
      </c>
      <c r="C107" s="2" t="s">
        <v>39</v>
      </c>
      <c r="D107" s="2" t="s">
        <v>115</v>
      </c>
      <c r="E107" s="117">
        <v>3</v>
      </c>
      <c r="F107" s="117">
        <v>0</v>
      </c>
      <c r="G107" s="117">
        <v>0</v>
      </c>
      <c r="H107" s="117">
        <v>0</v>
      </c>
      <c r="I107" s="117">
        <v>0</v>
      </c>
      <c r="J107" s="117">
        <v>1</v>
      </c>
      <c r="K107" s="117">
        <v>35000</v>
      </c>
      <c r="L107" s="117">
        <v>0</v>
      </c>
      <c r="M107" s="117">
        <v>0</v>
      </c>
      <c r="N107" s="117">
        <v>0</v>
      </c>
      <c r="O107" s="117">
        <v>0</v>
      </c>
      <c r="P107" s="117">
        <v>0</v>
      </c>
      <c r="Q107" s="117">
        <v>0</v>
      </c>
      <c r="R107" s="117">
        <v>0</v>
      </c>
      <c r="S107" s="117">
        <v>0</v>
      </c>
      <c r="T107" s="117">
        <v>0</v>
      </c>
      <c r="U107" s="117">
        <v>0</v>
      </c>
      <c r="V107" s="117">
        <v>0</v>
      </c>
      <c r="W107" s="117">
        <v>0</v>
      </c>
      <c r="X107" s="117">
        <v>0</v>
      </c>
      <c r="Y107" s="117">
        <v>0</v>
      </c>
      <c r="Z107" s="117">
        <v>0</v>
      </c>
      <c r="AA107" s="117">
        <v>0</v>
      </c>
      <c r="AB107" s="117">
        <v>0</v>
      </c>
      <c r="AC107" s="117">
        <v>0</v>
      </c>
      <c r="AD107" s="117">
        <v>0</v>
      </c>
      <c r="AE107" s="117">
        <v>0</v>
      </c>
      <c r="AF107" s="117">
        <v>0</v>
      </c>
      <c r="AG107" s="117">
        <v>0</v>
      </c>
      <c r="AH107" s="117">
        <v>0</v>
      </c>
      <c r="AI107" s="117">
        <v>0</v>
      </c>
      <c r="AJ107" s="117">
        <v>0</v>
      </c>
      <c r="AK107" s="117">
        <v>0</v>
      </c>
      <c r="AL107" s="117">
        <v>0</v>
      </c>
      <c r="AM107" s="117">
        <v>0</v>
      </c>
      <c r="AN107" s="117">
        <v>0</v>
      </c>
      <c r="AO107" s="117">
        <v>0</v>
      </c>
      <c r="AP107" s="117">
        <v>0</v>
      </c>
      <c r="AQ107" s="117">
        <v>0</v>
      </c>
      <c r="AR107" s="117">
        <v>0</v>
      </c>
      <c r="AS107" s="117">
        <v>0</v>
      </c>
      <c r="AT107" s="117">
        <v>0</v>
      </c>
      <c r="AU107" s="117">
        <v>0</v>
      </c>
    </row>
    <row r="108" spans="1:47" x14ac:dyDescent="0.25">
      <c r="A108" s="269"/>
      <c r="B108" s="269"/>
      <c r="C108" s="269" t="s">
        <v>39</v>
      </c>
      <c r="D108" s="269"/>
      <c r="E108" s="269"/>
      <c r="F108" s="270">
        <v>2753</v>
      </c>
      <c r="G108" s="270">
        <v>171998070</v>
      </c>
      <c r="H108" s="270">
        <v>13265</v>
      </c>
      <c r="I108" s="270">
        <v>985444728</v>
      </c>
      <c r="J108" s="270">
        <v>59232</v>
      </c>
      <c r="K108" s="270">
        <v>5220568451</v>
      </c>
      <c r="L108" s="270">
        <v>19</v>
      </c>
      <c r="M108" s="270">
        <v>2173427</v>
      </c>
      <c r="N108" s="270">
        <v>117</v>
      </c>
      <c r="O108" s="270">
        <v>32479963</v>
      </c>
      <c r="P108" s="270">
        <v>4208</v>
      </c>
      <c r="Q108" s="270">
        <v>1820663354</v>
      </c>
      <c r="R108" s="270">
        <v>3</v>
      </c>
      <c r="S108" s="270">
        <v>468004</v>
      </c>
      <c r="T108" s="270">
        <v>40</v>
      </c>
      <c r="U108" s="270">
        <v>16521461</v>
      </c>
      <c r="V108" s="270">
        <v>535</v>
      </c>
      <c r="W108" s="270">
        <v>277896565</v>
      </c>
      <c r="X108" s="270">
        <v>1</v>
      </c>
      <c r="Y108" s="270">
        <v>3340700</v>
      </c>
      <c r="Z108" s="270">
        <v>7</v>
      </c>
      <c r="AA108" s="270">
        <v>1447400</v>
      </c>
      <c r="AB108" s="270">
        <v>142</v>
      </c>
      <c r="AC108" s="270">
        <v>83371100</v>
      </c>
      <c r="AD108" s="270">
        <v>6</v>
      </c>
      <c r="AE108" s="270">
        <v>339400</v>
      </c>
      <c r="AF108" s="270">
        <v>37</v>
      </c>
      <c r="AG108" s="270">
        <v>2038500</v>
      </c>
      <c r="AH108" s="270">
        <v>83</v>
      </c>
      <c r="AI108" s="270">
        <v>4988300</v>
      </c>
      <c r="AJ108" s="270">
        <v>2</v>
      </c>
      <c r="AK108" s="270">
        <v>92600</v>
      </c>
      <c r="AL108" s="270">
        <v>27</v>
      </c>
      <c r="AM108" s="270">
        <v>307300</v>
      </c>
      <c r="AN108" s="270">
        <v>249</v>
      </c>
      <c r="AO108" s="270">
        <v>22343193</v>
      </c>
      <c r="AP108" s="270">
        <v>60</v>
      </c>
      <c r="AQ108" s="270">
        <v>15843900</v>
      </c>
      <c r="AR108" s="270">
        <v>429</v>
      </c>
      <c r="AS108" s="270">
        <v>31514300</v>
      </c>
      <c r="AT108" s="270">
        <v>3576</v>
      </c>
      <c r="AU108" s="270">
        <v>1145163318</v>
      </c>
    </row>
    <row r="109" spans="1:47" x14ac:dyDescent="0.25">
      <c r="A109" s="117">
        <v>540085</v>
      </c>
      <c r="B109" s="2" t="s">
        <v>40</v>
      </c>
      <c r="C109" s="2" t="s">
        <v>41</v>
      </c>
      <c r="D109" s="2" t="s">
        <v>5</v>
      </c>
      <c r="E109" s="117">
        <v>7</v>
      </c>
      <c r="F109" s="117">
        <v>143</v>
      </c>
      <c r="G109" s="117">
        <v>6225600</v>
      </c>
      <c r="H109" s="117">
        <v>1217</v>
      </c>
      <c r="I109" s="117">
        <v>56345300</v>
      </c>
      <c r="J109" s="117">
        <v>6042</v>
      </c>
      <c r="K109" s="117">
        <v>352316300</v>
      </c>
      <c r="L109" s="117">
        <v>0</v>
      </c>
      <c r="M109" s="117">
        <v>0</v>
      </c>
      <c r="N109" s="117">
        <v>19</v>
      </c>
      <c r="O109" s="117">
        <v>3184600</v>
      </c>
      <c r="P109" s="117">
        <v>178</v>
      </c>
      <c r="Q109" s="117">
        <v>43903600</v>
      </c>
      <c r="R109" s="117">
        <v>0</v>
      </c>
      <c r="S109" s="117">
        <v>0</v>
      </c>
      <c r="T109" s="117">
        <v>0</v>
      </c>
      <c r="U109" s="117">
        <v>0</v>
      </c>
      <c r="V109" s="117">
        <v>0</v>
      </c>
      <c r="W109" s="117">
        <v>0</v>
      </c>
      <c r="X109" s="117">
        <v>0</v>
      </c>
      <c r="Y109" s="117">
        <v>0</v>
      </c>
      <c r="Z109" s="117">
        <v>0</v>
      </c>
      <c r="AA109" s="117">
        <v>0</v>
      </c>
      <c r="AB109" s="117">
        <v>1</v>
      </c>
      <c r="AC109" s="117">
        <v>8400</v>
      </c>
      <c r="AD109" s="117">
        <v>35</v>
      </c>
      <c r="AE109" s="117">
        <v>2408200</v>
      </c>
      <c r="AF109" s="117">
        <v>255</v>
      </c>
      <c r="AG109" s="117">
        <v>11920500</v>
      </c>
      <c r="AH109" s="117">
        <v>662</v>
      </c>
      <c r="AI109" s="117">
        <v>37776200</v>
      </c>
      <c r="AJ109" s="117">
        <v>0</v>
      </c>
      <c r="AK109" s="117">
        <v>0</v>
      </c>
      <c r="AL109" s="117">
        <v>5</v>
      </c>
      <c r="AM109" s="117">
        <v>15900</v>
      </c>
      <c r="AN109" s="117">
        <v>29</v>
      </c>
      <c r="AO109" s="117">
        <v>2817000</v>
      </c>
      <c r="AP109" s="117">
        <v>11</v>
      </c>
      <c r="AQ109" s="117">
        <v>188200</v>
      </c>
      <c r="AR109" s="117">
        <v>72</v>
      </c>
      <c r="AS109" s="117">
        <v>10178100</v>
      </c>
      <c r="AT109" s="117">
        <v>345</v>
      </c>
      <c r="AU109" s="117">
        <v>12433400</v>
      </c>
    </row>
    <row r="110" spans="1:47" x14ac:dyDescent="0.25">
      <c r="A110" s="117">
        <v>540086</v>
      </c>
      <c r="B110" s="2" t="s">
        <v>179</v>
      </c>
      <c r="C110" s="2" t="s">
        <v>41</v>
      </c>
      <c r="D110" s="2" t="s">
        <v>115</v>
      </c>
      <c r="E110" s="117">
        <v>7</v>
      </c>
      <c r="F110" s="117">
        <v>0</v>
      </c>
      <c r="G110" s="117">
        <v>0</v>
      </c>
      <c r="H110" s="117">
        <v>6</v>
      </c>
      <c r="I110" s="117">
        <v>150000</v>
      </c>
      <c r="J110" s="117">
        <v>171</v>
      </c>
      <c r="K110" s="117">
        <v>9222000</v>
      </c>
      <c r="L110" s="117">
        <v>0</v>
      </c>
      <c r="M110" s="117">
        <v>0</v>
      </c>
      <c r="N110" s="117">
        <v>0</v>
      </c>
      <c r="O110" s="117">
        <v>0</v>
      </c>
      <c r="P110" s="117">
        <v>20</v>
      </c>
      <c r="Q110" s="117">
        <v>1898500</v>
      </c>
      <c r="R110" s="117">
        <v>0</v>
      </c>
      <c r="S110" s="117">
        <v>0</v>
      </c>
      <c r="T110" s="117">
        <v>0</v>
      </c>
      <c r="U110" s="117">
        <v>0</v>
      </c>
      <c r="V110" s="117">
        <v>0</v>
      </c>
      <c r="W110" s="117">
        <v>0</v>
      </c>
      <c r="X110" s="117">
        <v>0</v>
      </c>
      <c r="Y110" s="117">
        <v>0</v>
      </c>
      <c r="Z110" s="117">
        <v>0</v>
      </c>
      <c r="AA110" s="117">
        <v>0</v>
      </c>
      <c r="AB110" s="117">
        <v>0</v>
      </c>
      <c r="AC110" s="117">
        <v>0</v>
      </c>
      <c r="AD110" s="117">
        <v>0</v>
      </c>
      <c r="AE110" s="117">
        <v>0</v>
      </c>
      <c r="AF110" s="117">
        <v>0</v>
      </c>
      <c r="AG110" s="117">
        <v>0</v>
      </c>
      <c r="AH110" s="117">
        <v>0</v>
      </c>
      <c r="AI110" s="117">
        <v>0</v>
      </c>
      <c r="AJ110" s="117">
        <v>0</v>
      </c>
      <c r="AK110" s="117">
        <v>0</v>
      </c>
      <c r="AL110" s="117">
        <v>0</v>
      </c>
      <c r="AM110" s="117">
        <v>0</v>
      </c>
      <c r="AN110" s="117">
        <v>2</v>
      </c>
      <c r="AO110" s="117">
        <v>34000</v>
      </c>
      <c r="AP110" s="117">
        <v>0</v>
      </c>
      <c r="AQ110" s="117">
        <v>0</v>
      </c>
      <c r="AR110" s="117">
        <v>1</v>
      </c>
      <c r="AS110" s="117">
        <v>14400</v>
      </c>
      <c r="AT110" s="117">
        <v>18</v>
      </c>
      <c r="AU110" s="117">
        <v>1088200</v>
      </c>
    </row>
    <row r="111" spans="1:47" x14ac:dyDescent="0.25">
      <c r="A111" s="117">
        <v>540087</v>
      </c>
      <c r="B111" s="2" t="s">
        <v>180</v>
      </c>
      <c r="C111" s="2" t="s">
        <v>41</v>
      </c>
      <c r="D111" s="2" t="s">
        <v>115</v>
      </c>
      <c r="E111" s="117">
        <v>7</v>
      </c>
      <c r="F111" s="117">
        <v>3</v>
      </c>
      <c r="G111" s="117">
        <v>29000</v>
      </c>
      <c r="H111" s="117">
        <v>178</v>
      </c>
      <c r="I111" s="117">
        <v>3818400</v>
      </c>
      <c r="J111" s="117">
        <v>1682</v>
      </c>
      <c r="K111" s="117">
        <v>78286000</v>
      </c>
      <c r="L111" s="117">
        <v>0</v>
      </c>
      <c r="M111" s="117">
        <v>0</v>
      </c>
      <c r="N111" s="117">
        <v>3</v>
      </c>
      <c r="O111" s="117">
        <v>112900</v>
      </c>
      <c r="P111" s="117">
        <v>197</v>
      </c>
      <c r="Q111" s="117">
        <v>18552200</v>
      </c>
      <c r="R111" s="117">
        <v>0</v>
      </c>
      <c r="S111" s="117">
        <v>0</v>
      </c>
      <c r="T111" s="117">
        <v>0</v>
      </c>
      <c r="U111" s="117">
        <v>0</v>
      </c>
      <c r="V111" s="117">
        <v>0</v>
      </c>
      <c r="W111" s="117">
        <v>0</v>
      </c>
      <c r="X111" s="117">
        <v>0</v>
      </c>
      <c r="Y111" s="117">
        <v>0</v>
      </c>
      <c r="Z111" s="117">
        <v>0</v>
      </c>
      <c r="AA111" s="117">
        <v>0</v>
      </c>
      <c r="AB111" s="117">
        <v>0</v>
      </c>
      <c r="AC111" s="117">
        <v>0</v>
      </c>
      <c r="AD111" s="117">
        <v>0</v>
      </c>
      <c r="AE111" s="117">
        <v>0</v>
      </c>
      <c r="AF111" s="117">
        <v>1</v>
      </c>
      <c r="AG111" s="117">
        <v>59300</v>
      </c>
      <c r="AH111" s="117">
        <v>0</v>
      </c>
      <c r="AI111" s="117">
        <v>0</v>
      </c>
      <c r="AJ111" s="117">
        <v>0</v>
      </c>
      <c r="AK111" s="117">
        <v>0</v>
      </c>
      <c r="AL111" s="117">
        <v>0</v>
      </c>
      <c r="AM111" s="117">
        <v>0</v>
      </c>
      <c r="AN111" s="117">
        <v>5</v>
      </c>
      <c r="AO111" s="117">
        <v>168100</v>
      </c>
      <c r="AP111" s="117">
        <v>0</v>
      </c>
      <c r="AQ111" s="117">
        <v>0</v>
      </c>
      <c r="AR111" s="117">
        <v>4</v>
      </c>
      <c r="AS111" s="117">
        <v>16800</v>
      </c>
      <c r="AT111" s="117">
        <v>88</v>
      </c>
      <c r="AU111" s="117">
        <v>16295000</v>
      </c>
    </row>
    <row r="112" spans="1:47" x14ac:dyDescent="0.25">
      <c r="A112" s="269"/>
      <c r="B112" s="269"/>
      <c r="C112" s="269" t="s">
        <v>41</v>
      </c>
      <c r="D112" s="269"/>
      <c r="E112" s="269"/>
      <c r="F112" s="270">
        <v>146</v>
      </c>
      <c r="G112" s="270">
        <v>6254600</v>
      </c>
      <c r="H112" s="270">
        <v>1401</v>
      </c>
      <c r="I112" s="270">
        <v>60313700</v>
      </c>
      <c r="J112" s="270">
        <v>7895</v>
      </c>
      <c r="K112" s="270">
        <v>439824300</v>
      </c>
      <c r="L112" s="270">
        <v>0</v>
      </c>
      <c r="M112" s="270">
        <v>0</v>
      </c>
      <c r="N112" s="270">
        <v>22</v>
      </c>
      <c r="O112" s="270">
        <v>3297500</v>
      </c>
      <c r="P112" s="270">
        <v>395</v>
      </c>
      <c r="Q112" s="270">
        <v>64354300</v>
      </c>
      <c r="R112" s="270">
        <v>0</v>
      </c>
      <c r="S112" s="270">
        <v>0</v>
      </c>
      <c r="T112" s="270">
        <v>0</v>
      </c>
      <c r="U112" s="270">
        <v>0</v>
      </c>
      <c r="V112" s="270">
        <v>0</v>
      </c>
      <c r="W112" s="270">
        <v>0</v>
      </c>
      <c r="X112" s="270">
        <v>0</v>
      </c>
      <c r="Y112" s="270">
        <v>0</v>
      </c>
      <c r="Z112" s="270">
        <v>0</v>
      </c>
      <c r="AA112" s="270">
        <v>0</v>
      </c>
      <c r="AB112" s="270">
        <v>1</v>
      </c>
      <c r="AC112" s="270">
        <v>8400</v>
      </c>
      <c r="AD112" s="270">
        <v>35</v>
      </c>
      <c r="AE112" s="270">
        <v>2408200</v>
      </c>
      <c r="AF112" s="270">
        <v>256</v>
      </c>
      <c r="AG112" s="270">
        <v>11979800</v>
      </c>
      <c r="AH112" s="270">
        <v>662</v>
      </c>
      <c r="AI112" s="270">
        <v>37776200</v>
      </c>
      <c r="AJ112" s="270">
        <v>0</v>
      </c>
      <c r="AK112" s="270">
        <v>0</v>
      </c>
      <c r="AL112" s="270">
        <v>5</v>
      </c>
      <c r="AM112" s="270">
        <v>15900</v>
      </c>
      <c r="AN112" s="270">
        <v>36</v>
      </c>
      <c r="AO112" s="270">
        <v>3019100</v>
      </c>
      <c r="AP112" s="270">
        <v>11</v>
      </c>
      <c r="AQ112" s="270">
        <v>188200</v>
      </c>
      <c r="AR112" s="270">
        <v>77</v>
      </c>
      <c r="AS112" s="270">
        <v>10209300</v>
      </c>
      <c r="AT112" s="270">
        <v>451</v>
      </c>
      <c r="AU112" s="270">
        <v>29816600</v>
      </c>
    </row>
    <row r="113" spans="1:47" x14ac:dyDescent="0.25">
      <c r="A113" s="117">
        <v>540088</v>
      </c>
      <c r="B113" s="2" t="s">
        <v>42</v>
      </c>
      <c r="C113" s="2" t="s">
        <v>43</v>
      </c>
      <c r="D113" s="2" t="s">
        <v>5</v>
      </c>
      <c r="E113" s="117">
        <v>2</v>
      </c>
      <c r="F113" s="117">
        <v>168</v>
      </c>
      <c r="G113" s="117">
        <v>7198300</v>
      </c>
      <c r="H113" s="117">
        <v>1047</v>
      </c>
      <c r="I113" s="117">
        <v>41643300</v>
      </c>
      <c r="J113" s="117">
        <v>6413</v>
      </c>
      <c r="K113" s="117">
        <v>242595200</v>
      </c>
      <c r="L113" s="117">
        <v>0</v>
      </c>
      <c r="M113" s="117">
        <v>0</v>
      </c>
      <c r="N113" s="117">
        <v>7</v>
      </c>
      <c r="O113" s="117">
        <v>832500</v>
      </c>
      <c r="P113" s="117">
        <v>81</v>
      </c>
      <c r="Q113" s="117">
        <v>6853000</v>
      </c>
      <c r="R113" s="117">
        <v>0</v>
      </c>
      <c r="S113" s="117">
        <v>0</v>
      </c>
      <c r="T113" s="117">
        <v>0</v>
      </c>
      <c r="U113" s="117">
        <v>0</v>
      </c>
      <c r="V113" s="117">
        <v>0</v>
      </c>
      <c r="W113" s="117">
        <v>0</v>
      </c>
      <c r="X113" s="117">
        <v>0</v>
      </c>
      <c r="Y113" s="117">
        <v>0</v>
      </c>
      <c r="Z113" s="117">
        <v>1</v>
      </c>
      <c r="AA113" s="117">
        <v>8600</v>
      </c>
      <c r="AB113" s="117">
        <v>2</v>
      </c>
      <c r="AC113" s="117">
        <v>361900</v>
      </c>
      <c r="AD113" s="117">
        <v>12</v>
      </c>
      <c r="AE113" s="117">
        <v>266700</v>
      </c>
      <c r="AF113" s="117">
        <v>65</v>
      </c>
      <c r="AG113" s="117">
        <v>2507100</v>
      </c>
      <c r="AH113" s="117">
        <v>440</v>
      </c>
      <c r="AI113" s="117">
        <v>15729700</v>
      </c>
      <c r="AJ113" s="117">
        <v>0</v>
      </c>
      <c r="AK113" s="117">
        <v>0</v>
      </c>
      <c r="AL113" s="117">
        <v>1</v>
      </c>
      <c r="AM113" s="117">
        <v>57500</v>
      </c>
      <c r="AN113" s="117">
        <v>7</v>
      </c>
      <c r="AO113" s="117">
        <v>24400</v>
      </c>
      <c r="AP113" s="117">
        <v>1</v>
      </c>
      <c r="AQ113" s="117">
        <v>7900</v>
      </c>
      <c r="AR113" s="117">
        <v>22</v>
      </c>
      <c r="AS113" s="117">
        <v>558900</v>
      </c>
      <c r="AT113" s="117">
        <v>324</v>
      </c>
      <c r="AU113" s="117">
        <v>7937500</v>
      </c>
    </row>
    <row r="114" spans="1:47" x14ac:dyDescent="0.25">
      <c r="A114" s="117">
        <v>540089</v>
      </c>
      <c r="B114" s="2" t="s">
        <v>181</v>
      </c>
      <c r="C114" s="2" t="s">
        <v>43</v>
      </c>
      <c r="D114" s="2" t="s">
        <v>115</v>
      </c>
      <c r="E114" s="117">
        <v>2</v>
      </c>
      <c r="F114" s="117">
        <v>0</v>
      </c>
      <c r="G114" s="117">
        <v>0</v>
      </c>
      <c r="H114" s="117">
        <v>0</v>
      </c>
      <c r="I114" s="117">
        <v>0</v>
      </c>
      <c r="J114" s="117">
        <v>364</v>
      </c>
      <c r="K114" s="117">
        <v>16389600</v>
      </c>
      <c r="L114" s="117">
        <v>0</v>
      </c>
      <c r="M114" s="117">
        <v>0</v>
      </c>
      <c r="N114" s="117">
        <v>0</v>
      </c>
      <c r="O114" s="117">
        <v>0</v>
      </c>
      <c r="P114" s="117">
        <v>74</v>
      </c>
      <c r="Q114" s="117">
        <v>5586900</v>
      </c>
      <c r="R114" s="117">
        <v>0</v>
      </c>
      <c r="S114" s="117">
        <v>0</v>
      </c>
      <c r="T114" s="117">
        <v>0</v>
      </c>
      <c r="U114" s="117">
        <v>0</v>
      </c>
      <c r="V114" s="117">
        <v>0</v>
      </c>
      <c r="W114" s="117">
        <v>0</v>
      </c>
      <c r="X114" s="117">
        <v>0</v>
      </c>
      <c r="Y114" s="117">
        <v>0</v>
      </c>
      <c r="Z114" s="117">
        <v>0</v>
      </c>
      <c r="AA114" s="117">
        <v>0</v>
      </c>
      <c r="AB114" s="117">
        <v>0</v>
      </c>
      <c r="AC114" s="117">
        <v>0</v>
      </c>
      <c r="AD114" s="117">
        <v>0</v>
      </c>
      <c r="AE114" s="117">
        <v>0</v>
      </c>
      <c r="AF114" s="117">
        <v>0</v>
      </c>
      <c r="AG114" s="117">
        <v>0</v>
      </c>
      <c r="AH114" s="117">
        <v>0</v>
      </c>
      <c r="AI114" s="117">
        <v>0</v>
      </c>
      <c r="AJ114" s="117">
        <v>0</v>
      </c>
      <c r="AK114" s="117">
        <v>0</v>
      </c>
      <c r="AL114" s="117">
        <v>0</v>
      </c>
      <c r="AM114" s="117">
        <v>0</v>
      </c>
      <c r="AN114" s="117">
        <v>4</v>
      </c>
      <c r="AO114" s="117">
        <v>99600</v>
      </c>
      <c r="AP114" s="117">
        <v>0</v>
      </c>
      <c r="AQ114" s="117">
        <v>0</v>
      </c>
      <c r="AR114" s="117">
        <v>0</v>
      </c>
      <c r="AS114" s="117">
        <v>0</v>
      </c>
      <c r="AT114" s="117">
        <v>46</v>
      </c>
      <c r="AU114" s="117">
        <v>7658200</v>
      </c>
    </row>
    <row r="115" spans="1:47" x14ac:dyDescent="0.25">
      <c r="A115" s="117">
        <v>540090</v>
      </c>
      <c r="B115" s="2" t="s">
        <v>182</v>
      </c>
      <c r="C115" s="2" t="s">
        <v>43</v>
      </c>
      <c r="D115" s="2" t="s">
        <v>115</v>
      </c>
      <c r="E115" s="117">
        <v>2</v>
      </c>
      <c r="F115" s="117">
        <v>0</v>
      </c>
      <c r="G115" s="117">
        <v>0</v>
      </c>
      <c r="H115" s="117">
        <v>0</v>
      </c>
      <c r="I115" s="117">
        <v>0</v>
      </c>
      <c r="J115" s="117">
        <v>223</v>
      </c>
      <c r="K115" s="117">
        <v>7116300</v>
      </c>
      <c r="L115" s="117">
        <v>0</v>
      </c>
      <c r="M115" s="117">
        <v>0</v>
      </c>
      <c r="N115" s="117">
        <v>0</v>
      </c>
      <c r="O115" s="117">
        <v>0</v>
      </c>
      <c r="P115" s="117">
        <v>27</v>
      </c>
      <c r="Q115" s="117">
        <v>3371000</v>
      </c>
      <c r="R115" s="117">
        <v>0</v>
      </c>
      <c r="S115" s="117">
        <v>0</v>
      </c>
      <c r="T115" s="117">
        <v>0</v>
      </c>
      <c r="U115" s="117">
        <v>0</v>
      </c>
      <c r="V115" s="117">
        <v>0</v>
      </c>
      <c r="W115" s="117">
        <v>0</v>
      </c>
      <c r="X115" s="117">
        <v>0</v>
      </c>
      <c r="Y115" s="117">
        <v>0</v>
      </c>
      <c r="Z115" s="117">
        <v>0</v>
      </c>
      <c r="AA115" s="117">
        <v>0</v>
      </c>
      <c r="AB115" s="117">
        <v>0</v>
      </c>
      <c r="AC115" s="117">
        <v>0</v>
      </c>
      <c r="AD115" s="117">
        <v>0</v>
      </c>
      <c r="AE115" s="117">
        <v>0</v>
      </c>
      <c r="AF115" s="117">
        <v>0</v>
      </c>
      <c r="AG115" s="117">
        <v>0</v>
      </c>
      <c r="AH115" s="117">
        <v>0</v>
      </c>
      <c r="AI115" s="117">
        <v>0</v>
      </c>
      <c r="AJ115" s="117">
        <v>0</v>
      </c>
      <c r="AK115" s="117">
        <v>0</v>
      </c>
      <c r="AL115" s="117">
        <v>0</v>
      </c>
      <c r="AM115" s="117">
        <v>0</v>
      </c>
      <c r="AN115" s="117">
        <v>1</v>
      </c>
      <c r="AO115" s="117">
        <v>15100</v>
      </c>
      <c r="AP115" s="117">
        <v>0</v>
      </c>
      <c r="AQ115" s="117">
        <v>0</v>
      </c>
      <c r="AR115" s="117">
        <v>0</v>
      </c>
      <c r="AS115" s="117">
        <v>0</v>
      </c>
      <c r="AT115" s="117">
        <v>18</v>
      </c>
      <c r="AU115" s="117">
        <v>1553000</v>
      </c>
    </row>
    <row r="116" spans="1:47" x14ac:dyDescent="0.25">
      <c r="A116" s="269"/>
      <c r="B116" s="269"/>
      <c r="C116" s="269" t="s">
        <v>43</v>
      </c>
      <c r="D116" s="269"/>
      <c r="E116" s="269"/>
      <c r="F116" s="270">
        <v>168</v>
      </c>
      <c r="G116" s="270">
        <v>7198300</v>
      </c>
      <c r="H116" s="270">
        <v>1047</v>
      </c>
      <c r="I116" s="270">
        <v>41643300</v>
      </c>
      <c r="J116" s="270">
        <v>7000</v>
      </c>
      <c r="K116" s="270">
        <v>266101100</v>
      </c>
      <c r="L116" s="270">
        <v>0</v>
      </c>
      <c r="M116" s="270">
        <v>0</v>
      </c>
      <c r="N116" s="270">
        <v>7</v>
      </c>
      <c r="O116" s="270">
        <v>832500</v>
      </c>
      <c r="P116" s="270">
        <v>182</v>
      </c>
      <c r="Q116" s="270">
        <v>15810900</v>
      </c>
      <c r="R116" s="270">
        <v>0</v>
      </c>
      <c r="S116" s="270">
        <v>0</v>
      </c>
      <c r="T116" s="270">
        <v>0</v>
      </c>
      <c r="U116" s="270">
        <v>0</v>
      </c>
      <c r="V116" s="270">
        <v>0</v>
      </c>
      <c r="W116" s="270">
        <v>0</v>
      </c>
      <c r="X116" s="270">
        <v>0</v>
      </c>
      <c r="Y116" s="270">
        <v>0</v>
      </c>
      <c r="Z116" s="270">
        <v>1</v>
      </c>
      <c r="AA116" s="270">
        <v>8600</v>
      </c>
      <c r="AB116" s="270">
        <v>2</v>
      </c>
      <c r="AC116" s="270">
        <v>361900</v>
      </c>
      <c r="AD116" s="270">
        <v>12</v>
      </c>
      <c r="AE116" s="270">
        <v>266700</v>
      </c>
      <c r="AF116" s="270">
        <v>65</v>
      </c>
      <c r="AG116" s="270">
        <v>2507100</v>
      </c>
      <c r="AH116" s="270">
        <v>440</v>
      </c>
      <c r="AI116" s="270">
        <v>15729700</v>
      </c>
      <c r="AJ116" s="270">
        <v>0</v>
      </c>
      <c r="AK116" s="270">
        <v>0</v>
      </c>
      <c r="AL116" s="270">
        <v>1</v>
      </c>
      <c r="AM116" s="270">
        <v>57500</v>
      </c>
      <c r="AN116" s="270">
        <v>12</v>
      </c>
      <c r="AO116" s="270">
        <v>139100</v>
      </c>
      <c r="AP116" s="270">
        <v>1</v>
      </c>
      <c r="AQ116" s="270">
        <v>7900</v>
      </c>
      <c r="AR116" s="270">
        <v>22</v>
      </c>
      <c r="AS116" s="270">
        <v>558900</v>
      </c>
      <c r="AT116" s="270">
        <v>388</v>
      </c>
      <c r="AU116" s="270">
        <v>17148700</v>
      </c>
    </row>
    <row r="117" spans="1:47" x14ac:dyDescent="0.25">
      <c r="A117" s="117">
        <v>540097</v>
      </c>
      <c r="B117" s="2" t="s">
        <v>44</v>
      </c>
      <c r="C117" s="2" t="s">
        <v>45</v>
      </c>
      <c r="D117" s="2" t="s">
        <v>5</v>
      </c>
      <c r="E117" s="117">
        <v>6</v>
      </c>
      <c r="F117" s="117">
        <v>190</v>
      </c>
      <c r="G117" s="117">
        <v>10674300</v>
      </c>
      <c r="H117" s="117">
        <v>1878</v>
      </c>
      <c r="I117" s="117">
        <v>121296200</v>
      </c>
      <c r="J117" s="117">
        <v>11633</v>
      </c>
      <c r="K117" s="117">
        <v>1013981800</v>
      </c>
      <c r="L117" s="117">
        <v>1</v>
      </c>
      <c r="M117" s="117">
        <v>22300</v>
      </c>
      <c r="N117" s="117">
        <v>52</v>
      </c>
      <c r="O117" s="117">
        <v>8852600</v>
      </c>
      <c r="P117" s="117">
        <v>311</v>
      </c>
      <c r="Q117" s="117">
        <v>71902900</v>
      </c>
      <c r="R117" s="117">
        <v>0</v>
      </c>
      <c r="S117" s="117">
        <v>0</v>
      </c>
      <c r="T117" s="117">
        <v>1</v>
      </c>
      <c r="U117" s="117">
        <v>60600</v>
      </c>
      <c r="V117" s="117">
        <v>36</v>
      </c>
      <c r="W117" s="117">
        <v>14929900</v>
      </c>
      <c r="X117" s="117">
        <v>1</v>
      </c>
      <c r="Y117" s="117">
        <v>1800</v>
      </c>
      <c r="Z117" s="117">
        <v>4</v>
      </c>
      <c r="AA117" s="117">
        <v>380000</v>
      </c>
      <c r="AB117" s="117">
        <v>22</v>
      </c>
      <c r="AC117" s="117">
        <v>5941700</v>
      </c>
      <c r="AD117" s="117">
        <v>35</v>
      </c>
      <c r="AE117" s="117">
        <v>3023800</v>
      </c>
      <c r="AF117" s="117">
        <v>341</v>
      </c>
      <c r="AG117" s="117">
        <v>22515000</v>
      </c>
      <c r="AH117" s="117">
        <v>1165</v>
      </c>
      <c r="AI117" s="117">
        <v>87476900</v>
      </c>
      <c r="AJ117" s="117">
        <v>0</v>
      </c>
      <c r="AK117" s="117">
        <v>0</v>
      </c>
      <c r="AL117" s="117">
        <v>4</v>
      </c>
      <c r="AM117" s="117">
        <v>131100</v>
      </c>
      <c r="AN117" s="117">
        <v>15</v>
      </c>
      <c r="AO117" s="117">
        <v>319100</v>
      </c>
      <c r="AP117" s="117">
        <v>2</v>
      </c>
      <c r="AQ117" s="117">
        <v>238200</v>
      </c>
      <c r="AR117" s="117">
        <v>51</v>
      </c>
      <c r="AS117" s="117">
        <v>6338100</v>
      </c>
      <c r="AT117" s="117">
        <v>398</v>
      </c>
      <c r="AU117" s="117">
        <v>36669800</v>
      </c>
    </row>
    <row r="118" spans="1:47" x14ac:dyDescent="0.25">
      <c r="A118" s="117">
        <v>540098</v>
      </c>
      <c r="B118" s="2" t="s">
        <v>187</v>
      </c>
      <c r="C118" s="2" t="s">
        <v>45</v>
      </c>
      <c r="D118" s="2" t="s">
        <v>115</v>
      </c>
      <c r="E118" s="117">
        <v>6</v>
      </c>
      <c r="F118" s="117">
        <v>6</v>
      </c>
      <c r="G118" s="117">
        <v>165800</v>
      </c>
      <c r="H118" s="117">
        <v>31</v>
      </c>
      <c r="I118" s="117">
        <v>1105600</v>
      </c>
      <c r="J118" s="117">
        <v>619</v>
      </c>
      <c r="K118" s="117">
        <v>50842200</v>
      </c>
      <c r="L118" s="117">
        <v>0</v>
      </c>
      <c r="M118" s="117">
        <v>0</v>
      </c>
      <c r="N118" s="117">
        <v>0</v>
      </c>
      <c r="O118" s="117">
        <v>0</v>
      </c>
      <c r="P118" s="117">
        <v>20</v>
      </c>
      <c r="Q118" s="117">
        <v>2027700</v>
      </c>
      <c r="R118" s="117">
        <v>0</v>
      </c>
      <c r="S118" s="117">
        <v>0</v>
      </c>
      <c r="T118" s="117">
        <v>0</v>
      </c>
      <c r="U118" s="117">
        <v>0</v>
      </c>
      <c r="V118" s="117">
        <v>1</v>
      </c>
      <c r="W118" s="117">
        <v>82400</v>
      </c>
      <c r="X118" s="117">
        <v>0</v>
      </c>
      <c r="Y118" s="117">
        <v>0</v>
      </c>
      <c r="Z118" s="117">
        <v>0</v>
      </c>
      <c r="AA118" s="117">
        <v>0</v>
      </c>
      <c r="AB118" s="117">
        <v>0</v>
      </c>
      <c r="AC118" s="117">
        <v>0</v>
      </c>
      <c r="AD118" s="117">
        <v>0</v>
      </c>
      <c r="AE118" s="117">
        <v>0</v>
      </c>
      <c r="AF118" s="117">
        <v>0</v>
      </c>
      <c r="AG118" s="117">
        <v>0</v>
      </c>
      <c r="AH118" s="117">
        <v>0</v>
      </c>
      <c r="AI118" s="117">
        <v>0</v>
      </c>
      <c r="AJ118" s="117">
        <v>0</v>
      </c>
      <c r="AK118" s="117">
        <v>0</v>
      </c>
      <c r="AL118" s="117">
        <v>0</v>
      </c>
      <c r="AM118" s="117">
        <v>0</v>
      </c>
      <c r="AN118" s="117">
        <v>0</v>
      </c>
      <c r="AO118" s="117">
        <v>0</v>
      </c>
      <c r="AP118" s="117">
        <v>0</v>
      </c>
      <c r="AQ118" s="117">
        <v>0</v>
      </c>
      <c r="AR118" s="117">
        <v>0</v>
      </c>
      <c r="AS118" s="117">
        <v>0</v>
      </c>
      <c r="AT118" s="117">
        <v>26</v>
      </c>
      <c r="AU118" s="117">
        <v>5395200</v>
      </c>
    </row>
    <row r="119" spans="1:47" x14ac:dyDescent="0.25">
      <c r="A119" s="117">
        <v>540099</v>
      </c>
      <c r="B119" s="2" t="s">
        <v>188</v>
      </c>
      <c r="C119" s="2" t="s">
        <v>45</v>
      </c>
      <c r="D119" s="2" t="s">
        <v>115</v>
      </c>
      <c r="E119" s="117">
        <v>6</v>
      </c>
      <c r="F119" s="117">
        <v>52</v>
      </c>
      <c r="G119" s="117">
        <v>1920700</v>
      </c>
      <c r="H119" s="117">
        <v>957</v>
      </c>
      <c r="I119" s="117">
        <v>39537700</v>
      </c>
      <c r="J119" s="117">
        <v>8420</v>
      </c>
      <c r="K119" s="117">
        <v>695201800</v>
      </c>
      <c r="L119" s="117">
        <v>4</v>
      </c>
      <c r="M119" s="117">
        <v>17300</v>
      </c>
      <c r="N119" s="117">
        <v>63</v>
      </c>
      <c r="O119" s="117">
        <v>3243200</v>
      </c>
      <c r="P119" s="117">
        <v>806</v>
      </c>
      <c r="Q119" s="117">
        <v>183689100</v>
      </c>
      <c r="R119" s="117">
        <v>0</v>
      </c>
      <c r="S119" s="117">
        <v>0</v>
      </c>
      <c r="T119" s="117">
        <v>5</v>
      </c>
      <c r="U119" s="117">
        <v>462900</v>
      </c>
      <c r="V119" s="117">
        <v>49</v>
      </c>
      <c r="W119" s="117">
        <v>12403600</v>
      </c>
      <c r="X119" s="117">
        <v>0</v>
      </c>
      <c r="Y119" s="117">
        <v>0</v>
      </c>
      <c r="Z119" s="117">
        <v>7</v>
      </c>
      <c r="AA119" s="117">
        <v>40700</v>
      </c>
      <c r="AB119" s="117">
        <v>34</v>
      </c>
      <c r="AC119" s="117">
        <v>6763000</v>
      </c>
      <c r="AD119" s="117">
        <v>0</v>
      </c>
      <c r="AE119" s="117">
        <v>0</v>
      </c>
      <c r="AF119" s="117">
        <v>0</v>
      </c>
      <c r="AG119" s="117">
        <v>0</v>
      </c>
      <c r="AH119" s="117">
        <v>0</v>
      </c>
      <c r="AI119" s="117">
        <v>0</v>
      </c>
      <c r="AJ119" s="117">
        <v>0</v>
      </c>
      <c r="AK119" s="117">
        <v>0</v>
      </c>
      <c r="AL119" s="117">
        <v>1</v>
      </c>
      <c r="AM119" s="117">
        <v>10000</v>
      </c>
      <c r="AN119" s="117">
        <v>21</v>
      </c>
      <c r="AO119" s="117">
        <v>31756600</v>
      </c>
      <c r="AP119" s="117">
        <v>4</v>
      </c>
      <c r="AQ119" s="117">
        <v>55100</v>
      </c>
      <c r="AR119" s="117">
        <v>88</v>
      </c>
      <c r="AS119" s="117">
        <v>230375100</v>
      </c>
      <c r="AT119" s="117">
        <v>598</v>
      </c>
      <c r="AU119" s="117">
        <v>248345100</v>
      </c>
    </row>
    <row r="120" spans="1:47" x14ac:dyDescent="0.25">
      <c r="A120" s="117">
        <v>540100</v>
      </c>
      <c r="B120" s="2" t="s">
        <v>189</v>
      </c>
      <c r="C120" s="2" t="s">
        <v>45</v>
      </c>
      <c r="D120" s="2" t="s">
        <v>115</v>
      </c>
      <c r="E120" s="117">
        <v>6</v>
      </c>
      <c r="F120" s="117">
        <v>0</v>
      </c>
      <c r="G120" s="117">
        <v>0</v>
      </c>
      <c r="H120" s="117">
        <v>6</v>
      </c>
      <c r="I120" s="117">
        <v>183100</v>
      </c>
      <c r="J120" s="117">
        <v>207</v>
      </c>
      <c r="K120" s="117">
        <v>9227000</v>
      </c>
      <c r="L120" s="117">
        <v>0</v>
      </c>
      <c r="M120" s="117">
        <v>0</v>
      </c>
      <c r="N120" s="117">
        <v>0</v>
      </c>
      <c r="O120" s="117">
        <v>0</v>
      </c>
      <c r="P120" s="117">
        <v>3</v>
      </c>
      <c r="Q120" s="117">
        <v>223300</v>
      </c>
      <c r="R120" s="117">
        <v>0</v>
      </c>
      <c r="S120" s="117">
        <v>0</v>
      </c>
      <c r="T120" s="117">
        <v>0</v>
      </c>
      <c r="U120" s="117">
        <v>0</v>
      </c>
      <c r="V120" s="117">
        <v>0</v>
      </c>
      <c r="W120" s="117">
        <v>0</v>
      </c>
      <c r="X120" s="117">
        <v>0</v>
      </c>
      <c r="Y120" s="117">
        <v>0</v>
      </c>
      <c r="Z120" s="117">
        <v>0</v>
      </c>
      <c r="AA120" s="117">
        <v>0</v>
      </c>
      <c r="AB120" s="117">
        <v>0</v>
      </c>
      <c r="AC120" s="117">
        <v>0</v>
      </c>
      <c r="AD120" s="117">
        <v>0</v>
      </c>
      <c r="AE120" s="117">
        <v>0</v>
      </c>
      <c r="AF120" s="117">
        <v>0</v>
      </c>
      <c r="AG120" s="117">
        <v>0</v>
      </c>
      <c r="AH120" s="117">
        <v>1</v>
      </c>
      <c r="AI120" s="117">
        <v>48100</v>
      </c>
      <c r="AJ120" s="117">
        <v>0</v>
      </c>
      <c r="AK120" s="117">
        <v>0</v>
      </c>
      <c r="AL120" s="117">
        <v>0</v>
      </c>
      <c r="AM120" s="117">
        <v>0</v>
      </c>
      <c r="AN120" s="117">
        <v>1</v>
      </c>
      <c r="AO120" s="117">
        <v>44600</v>
      </c>
      <c r="AP120" s="117">
        <v>0</v>
      </c>
      <c r="AQ120" s="117">
        <v>0</v>
      </c>
      <c r="AR120" s="117">
        <v>2</v>
      </c>
      <c r="AS120" s="117">
        <v>5900</v>
      </c>
      <c r="AT120" s="117">
        <v>17</v>
      </c>
      <c r="AU120" s="117">
        <v>3303900</v>
      </c>
    </row>
    <row r="121" spans="1:47" x14ac:dyDescent="0.25">
      <c r="A121" s="117">
        <v>540101</v>
      </c>
      <c r="B121" s="2" t="s">
        <v>190</v>
      </c>
      <c r="C121" s="2" t="s">
        <v>45</v>
      </c>
      <c r="D121" s="2" t="s">
        <v>115</v>
      </c>
      <c r="E121" s="117">
        <v>6</v>
      </c>
      <c r="F121" s="117">
        <v>1</v>
      </c>
      <c r="G121" s="117">
        <v>91400</v>
      </c>
      <c r="H121" s="117">
        <v>47</v>
      </c>
      <c r="I121" s="117">
        <v>1678600</v>
      </c>
      <c r="J121" s="117">
        <v>146</v>
      </c>
      <c r="K121" s="117">
        <v>6299100</v>
      </c>
      <c r="L121" s="117">
        <v>0</v>
      </c>
      <c r="M121" s="117">
        <v>0</v>
      </c>
      <c r="N121" s="117">
        <v>3</v>
      </c>
      <c r="O121" s="117">
        <v>1207900</v>
      </c>
      <c r="P121" s="117">
        <v>29</v>
      </c>
      <c r="Q121" s="117">
        <v>2422000</v>
      </c>
      <c r="R121" s="117">
        <v>0</v>
      </c>
      <c r="S121" s="117">
        <v>0</v>
      </c>
      <c r="T121" s="117">
        <v>0</v>
      </c>
      <c r="U121" s="117">
        <v>0</v>
      </c>
      <c r="V121" s="117">
        <v>0</v>
      </c>
      <c r="W121" s="117">
        <v>0</v>
      </c>
      <c r="X121" s="117">
        <v>0</v>
      </c>
      <c r="Y121" s="117">
        <v>0</v>
      </c>
      <c r="Z121" s="117">
        <v>0</v>
      </c>
      <c r="AA121" s="117">
        <v>0</v>
      </c>
      <c r="AB121" s="117">
        <v>0</v>
      </c>
      <c r="AC121" s="117">
        <v>0</v>
      </c>
      <c r="AD121" s="117">
        <v>0</v>
      </c>
      <c r="AE121" s="117">
        <v>0</v>
      </c>
      <c r="AF121" s="117">
        <v>0</v>
      </c>
      <c r="AG121" s="117">
        <v>0</v>
      </c>
      <c r="AH121" s="117">
        <v>1</v>
      </c>
      <c r="AI121" s="117">
        <v>8200</v>
      </c>
      <c r="AJ121" s="117">
        <v>0</v>
      </c>
      <c r="AK121" s="117">
        <v>0</v>
      </c>
      <c r="AL121" s="117">
        <v>0</v>
      </c>
      <c r="AM121" s="117">
        <v>0</v>
      </c>
      <c r="AN121" s="117">
        <v>0</v>
      </c>
      <c r="AO121" s="117">
        <v>0</v>
      </c>
      <c r="AP121" s="117">
        <v>0</v>
      </c>
      <c r="AQ121" s="117">
        <v>0</v>
      </c>
      <c r="AR121" s="117">
        <v>0</v>
      </c>
      <c r="AS121" s="117">
        <v>0</v>
      </c>
      <c r="AT121" s="117">
        <v>16</v>
      </c>
      <c r="AU121" s="117">
        <v>1592700</v>
      </c>
    </row>
    <row r="122" spans="1:47" x14ac:dyDescent="0.25">
      <c r="A122" s="117">
        <v>540102</v>
      </c>
      <c r="B122" s="2" t="s">
        <v>191</v>
      </c>
      <c r="C122" s="2" t="s">
        <v>45</v>
      </c>
      <c r="D122" s="2" t="s">
        <v>115</v>
      </c>
      <c r="E122" s="117">
        <v>6</v>
      </c>
      <c r="F122" s="117">
        <v>2</v>
      </c>
      <c r="G122" s="117">
        <v>64200</v>
      </c>
      <c r="H122" s="117">
        <v>14</v>
      </c>
      <c r="I122" s="117">
        <v>611600</v>
      </c>
      <c r="J122" s="117">
        <v>281</v>
      </c>
      <c r="K122" s="117">
        <v>14045900</v>
      </c>
      <c r="L122" s="117">
        <v>0</v>
      </c>
      <c r="M122" s="117">
        <v>0</v>
      </c>
      <c r="N122" s="117">
        <v>0</v>
      </c>
      <c r="O122" s="117">
        <v>0</v>
      </c>
      <c r="P122" s="117">
        <v>15</v>
      </c>
      <c r="Q122" s="117">
        <v>434600</v>
      </c>
      <c r="R122" s="117">
        <v>0</v>
      </c>
      <c r="S122" s="117">
        <v>0</v>
      </c>
      <c r="T122" s="117">
        <v>0</v>
      </c>
      <c r="U122" s="117">
        <v>0</v>
      </c>
      <c r="V122" s="117">
        <v>0</v>
      </c>
      <c r="W122" s="117">
        <v>0</v>
      </c>
      <c r="X122" s="117">
        <v>0</v>
      </c>
      <c r="Y122" s="117">
        <v>0</v>
      </c>
      <c r="Z122" s="117">
        <v>0</v>
      </c>
      <c r="AA122" s="117">
        <v>0</v>
      </c>
      <c r="AB122" s="117">
        <v>0</v>
      </c>
      <c r="AC122" s="117">
        <v>0</v>
      </c>
      <c r="AD122" s="117">
        <v>0</v>
      </c>
      <c r="AE122" s="117">
        <v>0</v>
      </c>
      <c r="AF122" s="117">
        <v>2</v>
      </c>
      <c r="AG122" s="117">
        <v>183500</v>
      </c>
      <c r="AH122" s="117">
        <v>2</v>
      </c>
      <c r="AI122" s="117">
        <v>234600</v>
      </c>
      <c r="AJ122" s="117">
        <v>0</v>
      </c>
      <c r="AK122" s="117">
        <v>0</v>
      </c>
      <c r="AL122" s="117">
        <v>0</v>
      </c>
      <c r="AM122" s="117">
        <v>0</v>
      </c>
      <c r="AN122" s="117">
        <v>1</v>
      </c>
      <c r="AO122" s="117">
        <v>3800</v>
      </c>
      <c r="AP122" s="117">
        <v>0</v>
      </c>
      <c r="AQ122" s="117">
        <v>0</v>
      </c>
      <c r="AR122" s="117">
        <v>0</v>
      </c>
      <c r="AS122" s="117">
        <v>0</v>
      </c>
      <c r="AT122" s="117">
        <v>14</v>
      </c>
      <c r="AU122" s="117">
        <v>908800</v>
      </c>
    </row>
    <row r="123" spans="1:47" x14ac:dyDescent="0.25">
      <c r="A123" s="117">
        <v>540103</v>
      </c>
      <c r="B123" s="2" t="s">
        <v>192</v>
      </c>
      <c r="C123" s="2" t="s">
        <v>45</v>
      </c>
      <c r="D123" s="2" t="s">
        <v>115</v>
      </c>
      <c r="E123" s="117">
        <v>6</v>
      </c>
      <c r="F123" s="117">
        <v>9</v>
      </c>
      <c r="G123" s="117">
        <v>50600</v>
      </c>
      <c r="H123" s="117">
        <v>122</v>
      </c>
      <c r="I123" s="117">
        <v>2897900</v>
      </c>
      <c r="J123" s="117">
        <v>828</v>
      </c>
      <c r="K123" s="117">
        <v>35997000</v>
      </c>
      <c r="L123" s="117">
        <v>0</v>
      </c>
      <c r="M123" s="117">
        <v>0</v>
      </c>
      <c r="N123" s="117">
        <v>1</v>
      </c>
      <c r="O123" s="117">
        <v>11000</v>
      </c>
      <c r="P123" s="117">
        <v>68</v>
      </c>
      <c r="Q123" s="117">
        <v>10288700</v>
      </c>
      <c r="R123" s="117">
        <v>0</v>
      </c>
      <c r="S123" s="117">
        <v>0</v>
      </c>
      <c r="T123" s="117">
        <v>0</v>
      </c>
      <c r="U123" s="117">
        <v>0</v>
      </c>
      <c r="V123" s="117">
        <v>0</v>
      </c>
      <c r="W123" s="117">
        <v>0</v>
      </c>
      <c r="X123" s="117">
        <v>0</v>
      </c>
      <c r="Y123" s="117">
        <v>0</v>
      </c>
      <c r="Z123" s="117">
        <v>0</v>
      </c>
      <c r="AA123" s="117">
        <v>0</v>
      </c>
      <c r="AB123" s="117">
        <v>0</v>
      </c>
      <c r="AC123" s="117">
        <v>0</v>
      </c>
      <c r="AD123" s="117">
        <v>0</v>
      </c>
      <c r="AE123" s="117">
        <v>0</v>
      </c>
      <c r="AF123" s="117">
        <v>0</v>
      </c>
      <c r="AG123" s="117">
        <v>0</v>
      </c>
      <c r="AH123" s="117">
        <v>0</v>
      </c>
      <c r="AI123" s="117">
        <v>0</v>
      </c>
      <c r="AJ123" s="117">
        <v>0</v>
      </c>
      <c r="AK123" s="117">
        <v>0</v>
      </c>
      <c r="AL123" s="117">
        <v>1</v>
      </c>
      <c r="AM123" s="117">
        <v>1500</v>
      </c>
      <c r="AN123" s="117">
        <v>5</v>
      </c>
      <c r="AO123" s="117">
        <v>279800</v>
      </c>
      <c r="AP123" s="117">
        <v>2</v>
      </c>
      <c r="AQ123" s="117">
        <v>22100</v>
      </c>
      <c r="AR123" s="117">
        <v>8</v>
      </c>
      <c r="AS123" s="117">
        <v>5100</v>
      </c>
      <c r="AT123" s="117">
        <v>45</v>
      </c>
      <c r="AU123" s="117">
        <v>5916900</v>
      </c>
    </row>
    <row r="124" spans="1:47" x14ac:dyDescent="0.25">
      <c r="A124" s="117">
        <v>540104</v>
      </c>
      <c r="B124" s="2" t="s">
        <v>193</v>
      </c>
      <c r="C124" s="2" t="s">
        <v>45</v>
      </c>
      <c r="D124" s="2" t="s">
        <v>115</v>
      </c>
      <c r="E124" s="117">
        <v>6</v>
      </c>
      <c r="F124" s="117">
        <v>1</v>
      </c>
      <c r="G124" s="117">
        <v>18100</v>
      </c>
      <c r="H124" s="117">
        <v>43</v>
      </c>
      <c r="I124" s="117">
        <v>2004100</v>
      </c>
      <c r="J124" s="117">
        <v>433</v>
      </c>
      <c r="K124" s="117">
        <v>26455200</v>
      </c>
      <c r="L124" s="117">
        <v>0</v>
      </c>
      <c r="M124" s="117">
        <v>0</v>
      </c>
      <c r="N124" s="117">
        <v>1</v>
      </c>
      <c r="O124" s="117">
        <v>118900</v>
      </c>
      <c r="P124" s="117">
        <v>34</v>
      </c>
      <c r="Q124" s="117">
        <v>1812600</v>
      </c>
      <c r="R124" s="117">
        <v>0</v>
      </c>
      <c r="S124" s="117">
        <v>0</v>
      </c>
      <c r="T124" s="117">
        <v>0</v>
      </c>
      <c r="U124" s="117">
        <v>0</v>
      </c>
      <c r="V124" s="117">
        <v>0</v>
      </c>
      <c r="W124" s="117">
        <v>0</v>
      </c>
      <c r="X124" s="117">
        <v>0</v>
      </c>
      <c r="Y124" s="117">
        <v>0</v>
      </c>
      <c r="Z124" s="117">
        <v>0</v>
      </c>
      <c r="AA124" s="117">
        <v>0</v>
      </c>
      <c r="AB124" s="117">
        <v>2</v>
      </c>
      <c r="AC124" s="117">
        <v>31600</v>
      </c>
      <c r="AD124" s="117">
        <v>0</v>
      </c>
      <c r="AE124" s="117">
        <v>0</v>
      </c>
      <c r="AF124" s="117">
        <v>0</v>
      </c>
      <c r="AG124" s="117">
        <v>0</v>
      </c>
      <c r="AH124" s="117">
        <v>0</v>
      </c>
      <c r="AI124" s="117">
        <v>0</v>
      </c>
      <c r="AJ124" s="117">
        <v>0</v>
      </c>
      <c r="AK124" s="117">
        <v>0</v>
      </c>
      <c r="AL124" s="117">
        <v>0</v>
      </c>
      <c r="AM124" s="117">
        <v>0</v>
      </c>
      <c r="AN124" s="117">
        <v>1</v>
      </c>
      <c r="AO124" s="117">
        <v>38700</v>
      </c>
      <c r="AP124" s="117">
        <v>0</v>
      </c>
      <c r="AQ124" s="117">
        <v>0</v>
      </c>
      <c r="AR124" s="117">
        <v>1</v>
      </c>
      <c r="AS124" s="117">
        <v>11300</v>
      </c>
      <c r="AT124" s="117">
        <v>30</v>
      </c>
      <c r="AU124" s="117">
        <v>6618100</v>
      </c>
    </row>
    <row r="125" spans="1:47" x14ac:dyDescent="0.25">
      <c r="A125" s="117">
        <v>540105</v>
      </c>
      <c r="B125" s="2" t="s">
        <v>194</v>
      </c>
      <c r="C125" s="2" t="s">
        <v>45</v>
      </c>
      <c r="D125" s="2" t="s">
        <v>115</v>
      </c>
      <c r="E125" s="117">
        <v>6</v>
      </c>
      <c r="F125" s="117">
        <v>2</v>
      </c>
      <c r="G125" s="117">
        <v>44200</v>
      </c>
      <c r="H125" s="117">
        <v>25</v>
      </c>
      <c r="I125" s="117">
        <v>875600</v>
      </c>
      <c r="J125" s="117">
        <v>452</v>
      </c>
      <c r="K125" s="117">
        <v>31668300</v>
      </c>
      <c r="L125" s="117">
        <v>0</v>
      </c>
      <c r="M125" s="117">
        <v>0</v>
      </c>
      <c r="N125" s="117">
        <v>0</v>
      </c>
      <c r="O125" s="117">
        <v>0</v>
      </c>
      <c r="P125" s="117">
        <v>34</v>
      </c>
      <c r="Q125" s="117">
        <v>1318000</v>
      </c>
      <c r="R125" s="117">
        <v>0</v>
      </c>
      <c r="S125" s="117">
        <v>0</v>
      </c>
      <c r="T125" s="117">
        <v>0</v>
      </c>
      <c r="U125" s="117">
        <v>0</v>
      </c>
      <c r="V125" s="117">
        <v>1</v>
      </c>
      <c r="W125" s="117">
        <v>140200</v>
      </c>
      <c r="X125" s="117">
        <v>0</v>
      </c>
      <c r="Y125" s="117">
        <v>0</v>
      </c>
      <c r="Z125" s="117">
        <v>0</v>
      </c>
      <c r="AA125" s="117">
        <v>0</v>
      </c>
      <c r="AB125" s="117">
        <v>0</v>
      </c>
      <c r="AC125" s="117">
        <v>0</v>
      </c>
      <c r="AD125" s="117">
        <v>0</v>
      </c>
      <c r="AE125" s="117">
        <v>0</v>
      </c>
      <c r="AF125" s="117">
        <v>1</v>
      </c>
      <c r="AG125" s="117">
        <v>300</v>
      </c>
      <c r="AH125" s="117">
        <v>1</v>
      </c>
      <c r="AI125" s="117">
        <v>202400</v>
      </c>
      <c r="AJ125" s="117">
        <v>0</v>
      </c>
      <c r="AK125" s="117">
        <v>0</v>
      </c>
      <c r="AL125" s="117">
        <v>0</v>
      </c>
      <c r="AM125" s="117">
        <v>0</v>
      </c>
      <c r="AN125" s="117">
        <v>5</v>
      </c>
      <c r="AO125" s="117">
        <v>111400</v>
      </c>
      <c r="AP125" s="117">
        <v>0</v>
      </c>
      <c r="AQ125" s="117">
        <v>0</v>
      </c>
      <c r="AR125" s="117">
        <v>3</v>
      </c>
      <c r="AS125" s="117">
        <v>10300</v>
      </c>
      <c r="AT125" s="117">
        <v>16</v>
      </c>
      <c r="AU125" s="117">
        <v>1649400</v>
      </c>
    </row>
    <row r="126" spans="1:47" x14ac:dyDescent="0.25">
      <c r="A126" s="117">
        <v>540106</v>
      </c>
      <c r="B126" s="2" t="s">
        <v>195</v>
      </c>
      <c r="C126" s="2" t="s">
        <v>45</v>
      </c>
      <c r="D126" s="2" t="s">
        <v>115</v>
      </c>
      <c r="E126" s="117">
        <v>6</v>
      </c>
      <c r="F126" s="117">
        <v>1</v>
      </c>
      <c r="G126" s="117">
        <v>12000</v>
      </c>
      <c r="H126" s="117">
        <v>40</v>
      </c>
      <c r="I126" s="117">
        <v>656000</v>
      </c>
      <c r="J126" s="117">
        <v>93</v>
      </c>
      <c r="K126" s="117">
        <v>2276000</v>
      </c>
      <c r="L126" s="117">
        <v>0</v>
      </c>
      <c r="M126" s="117">
        <v>0</v>
      </c>
      <c r="N126" s="117">
        <v>1</v>
      </c>
      <c r="O126" s="117">
        <v>3900</v>
      </c>
      <c r="P126" s="117">
        <v>6</v>
      </c>
      <c r="Q126" s="117">
        <v>218800</v>
      </c>
      <c r="R126" s="117">
        <v>0</v>
      </c>
      <c r="S126" s="117">
        <v>0</v>
      </c>
      <c r="T126" s="117">
        <v>0</v>
      </c>
      <c r="U126" s="117">
        <v>0</v>
      </c>
      <c r="V126" s="117">
        <v>0</v>
      </c>
      <c r="W126" s="117">
        <v>0</v>
      </c>
      <c r="X126" s="117">
        <v>0</v>
      </c>
      <c r="Y126" s="117">
        <v>0</v>
      </c>
      <c r="Z126" s="117">
        <v>0</v>
      </c>
      <c r="AA126" s="117">
        <v>0</v>
      </c>
      <c r="AB126" s="117">
        <v>0</v>
      </c>
      <c r="AC126" s="117">
        <v>0</v>
      </c>
      <c r="AD126" s="117">
        <v>0</v>
      </c>
      <c r="AE126" s="117">
        <v>0</v>
      </c>
      <c r="AF126" s="117">
        <v>0</v>
      </c>
      <c r="AG126" s="117">
        <v>0</v>
      </c>
      <c r="AH126" s="117">
        <v>1</v>
      </c>
      <c r="AI126" s="117">
        <v>79200</v>
      </c>
      <c r="AJ126" s="117">
        <v>0</v>
      </c>
      <c r="AK126" s="117">
        <v>0</v>
      </c>
      <c r="AL126" s="117">
        <v>0</v>
      </c>
      <c r="AM126" s="117">
        <v>0</v>
      </c>
      <c r="AN126" s="117">
        <v>0</v>
      </c>
      <c r="AO126" s="117">
        <v>0</v>
      </c>
      <c r="AP126" s="117">
        <v>0</v>
      </c>
      <c r="AQ126" s="117">
        <v>0</v>
      </c>
      <c r="AR126" s="117">
        <v>1</v>
      </c>
      <c r="AS126" s="117">
        <v>500</v>
      </c>
      <c r="AT126" s="117">
        <v>7</v>
      </c>
      <c r="AU126" s="117">
        <v>369400</v>
      </c>
    </row>
    <row r="127" spans="1:47" x14ac:dyDescent="0.25">
      <c r="A127" s="117">
        <v>540292</v>
      </c>
      <c r="B127" s="2" t="s">
        <v>329</v>
      </c>
      <c r="C127" s="2" t="s">
        <v>45</v>
      </c>
      <c r="D127" s="2" t="s">
        <v>115</v>
      </c>
      <c r="E127" s="117">
        <v>6</v>
      </c>
      <c r="F127" s="117">
        <v>0</v>
      </c>
      <c r="G127" s="117">
        <v>0</v>
      </c>
      <c r="H127" s="117">
        <v>103</v>
      </c>
      <c r="I127" s="117">
        <v>5366000</v>
      </c>
      <c r="J127" s="117">
        <v>1604</v>
      </c>
      <c r="K127" s="117">
        <v>153075600</v>
      </c>
      <c r="L127" s="117">
        <v>0</v>
      </c>
      <c r="M127" s="117">
        <v>0</v>
      </c>
      <c r="N127" s="117">
        <v>10</v>
      </c>
      <c r="O127" s="117">
        <v>2498100</v>
      </c>
      <c r="P127" s="117">
        <v>115</v>
      </c>
      <c r="Q127" s="117">
        <v>42320100</v>
      </c>
      <c r="R127" s="117">
        <v>0</v>
      </c>
      <c r="S127" s="117">
        <v>0</v>
      </c>
      <c r="T127" s="117">
        <v>0</v>
      </c>
      <c r="U127" s="117">
        <v>0</v>
      </c>
      <c r="V127" s="117">
        <v>8</v>
      </c>
      <c r="W127" s="117">
        <v>8249600</v>
      </c>
      <c r="X127" s="117">
        <v>0</v>
      </c>
      <c r="Y127" s="117">
        <v>0</v>
      </c>
      <c r="Z127" s="117">
        <v>1</v>
      </c>
      <c r="AA127" s="117">
        <v>989100</v>
      </c>
      <c r="AB127" s="117">
        <v>1</v>
      </c>
      <c r="AC127" s="117">
        <v>592900</v>
      </c>
      <c r="AD127" s="117">
        <v>0</v>
      </c>
      <c r="AE127" s="117">
        <v>0</v>
      </c>
      <c r="AF127" s="117">
        <v>1</v>
      </c>
      <c r="AG127" s="117">
        <v>37100</v>
      </c>
      <c r="AH127" s="117">
        <v>5</v>
      </c>
      <c r="AI127" s="117">
        <v>772600</v>
      </c>
      <c r="AJ127" s="117">
        <v>0</v>
      </c>
      <c r="AK127" s="117">
        <v>0</v>
      </c>
      <c r="AL127" s="117">
        <v>0</v>
      </c>
      <c r="AM127" s="117">
        <v>0</v>
      </c>
      <c r="AN127" s="117">
        <v>2</v>
      </c>
      <c r="AO127" s="117">
        <v>44100</v>
      </c>
      <c r="AP127" s="117">
        <v>0</v>
      </c>
      <c r="AQ127" s="117">
        <v>0</v>
      </c>
      <c r="AR127" s="117">
        <v>6</v>
      </c>
      <c r="AS127" s="117">
        <v>811100</v>
      </c>
      <c r="AT127" s="117">
        <v>45</v>
      </c>
      <c r="AU127" s="117">
        <v>21541300</v>
      </c>
    </row>
    <row r="128" spans="1:47" x14ac:dyDescent="0.25">
      <c r="A128" s="117">
        <v>545556</v>
      </c>
      <c r="B128" s="2" t="s">
        <v>337</v>
      </c>
      <c r="C128" s="2" t="s">
        <v>45</v>
      </c>
      <c r="D128" s="2" t="s">
        <v>115</v>
      </c>
      <c r="E128" s="117">
        <v>6</v>
      </c>
      <c r="F128" s="117">
        <v>0</v>
      </c>
      <c r="G128" s="117">
        <v>0</v>
      </c>
      <c r="H128" s="117">
        <v>21</v>
      </c>
      <c r="I128" s="117">
        <v>2053100</v>
      </c>
      <c r="J128" s="117">
        <v>278</v>
      </c>
      <c r="K128" s="117">
        <v>31515900</v>
      </c>
      <c r="L128" s="117">
        <v>0</v>
      </c>
      <c r="M128" s="117">
        <v>0</v>
      </c>
      <c r="N128" s="117">
        <v>9</v>
      </c>
      <c r="O128" s="117">
        <v>1523500</v>
      </c>
      <c r="P128" s="117">
        <v>136</v>
      </c>
      <c r="Q128" s="117">
        <v>78124700</v>
      </c>
      <c r="R128" s="117">
        <v>0</v>
      </c>
      <c r="S128" s="117">
        <v>0</v>
      </c>
      <c r="T128" s="117">
        <v>0</v>
      </c>
      <c r="U128" s="117">
        <v>0</v>
      </c>
      <c r="V128" s="117">
        <v>15</v>
      </c>
      <c r="W128" s="117">
        <v>7982200</v>
      </c>
      <c r="X128" s="117">
        <v>0</v>
      </c>
      <c r="Y128" s="117">
        <v>0</v>
      </c>
      <c r="Z128" s="117">
        <v>1</v>
      </c>
      <c r="AA128" s="117">
        <v>256500</v>
      </c>
      <c r="AB128" s="117">
        <v>1</v>
      </c>
      <c r="AC128" s="117">
        <v>347000</v>
      </c>
      <c r="AD128" s="117">
        <v>0</v>
      </c>
      <c r="AE128" s="117">
        <v>0</v>
      </c>
      <c r="AF128" s="117">
        <v>0</v>
      </c>
      <c r="AG128" s="117">
        <v>0</v>
      </c>
      <c r="AH128" s="117">
        <v>5</v>
      </c>
      <c r="AI128" s="117">
        <v>229500</v>
      </c>
      <c r="AJ128" s="117">
        <v>0</v>
      </c>
      <c r="AK128" s="117">
        <v>0</v>
      </c>
      <c r="AL128" s="117">
        <v>2</v>
      </c>
      <c r="AM128" s="117">
        <v>21500</v>
      </c>
      <c r="AN128" s="117">
        <v>2</v>
      </c>
      <c r="AO128" s="117">
        <v>117900</v>
      </c>
      <c r="AP128" s="117">
        <v>0</v>
      </c>
      <c r="AQ128" s="117">
        <v>0</v>
      </c>
      <c r="AR128" s="117">
        <v>0</v>
      </c>
      <c r="AS128" s="117">
        <v>0</v>
      </c>
      <c r="AT128" s="117">
        <v>14</v>
      </c>
      <c r="AU128" s="117">
        <v>4763200</v>
      </c>
    </row>
    <row r="129" spans="1:47" x14ac:dyDescent="0.25">
      <c r="A129" s="269"/>
      <c r="B129" s="269"/>
      <c r="C129" s="269" t="s">
        <v>45</v>
      </c>
      <c r="D129" s="269"/>
      <c r="E129" s="269"/>
      <c r="F129" s="270">
        <v>264</v>
      </c>
      <c r="G129" s="270">
        <v>13041300</v>
      </c>
      <c r="H129" s="270">
        <v>3287</v>
      </c>
      <c r="I129" s="270">
        <v>178265500</v>
      </c>
      <c r="J129" s="270">
        <v>24994</v>
      </c>
      <c r="K129" s="270">
        <v>2070585800</v>
      </c>
      <c r="L129" s="270">
        <v>5</v>
      </c>
      <c r="M129" s="270">
        <v>39600</v>
      </c>
      <c r="N129" s="270">
        <v>140</v>
      </c>
      <c r="O129" s="270">
        <v>17459100</v>
      </c>
      <c r="P129" s="270">
        <v>1577</v>
      </c>
      <c r="Q129" s="270">
        <v>394782500</v>
      </c>
      <c r="R129" s="270">
        <v>0</v>
      </c>
      <c r="S129" s="270">
        <v>0</v>
      </c>
      <c r="T129" s="270">
        <v>6</v>
      </c>
      <c r="U129" s="270">
        <v>523500</v>
      </c>
      <c r="V129" s="270">
        <v>110</v>
      </c>
      <c r="W129" s="270">
        <v>43787900</v>
      </c>
      <c r="X129" s="270">
        <v>1</v>
      </c>
      <c r="Y129" s="270">
        <v>1800</v>
      </c>
      <c r="Z129" s="270">
        <v>13</v>
      </c>
      <c r="AA129" s="270">
        <v>1666300</v>
      </c>
      <c r="AB129" s="270">
        <v>60</v>
      </c>
      <c r="AC129" s="270">
        <v>13676200</v>
      </c>
      <c r="AD129" s="270">
        <v>35</v>
      </c>
      <c r="AE129" s="270">
        <v>3023800</v>
      </c>
      <c r="AF129" s="270">
        <v>345</v>
      </c>
      <c r="AG129" s="270">
        <v>22735900</v>
      </c>
      <c r="AH129" s="270">
        <v>1181</v>
      </c>
      <c r="AI129" s="270">
        <v>89051500</v>
      </c>
      <c r="AJ129" s="270">
        <v>0</v>
      </c>
      <c r="AK129" s="270">
        <v>0</v>
      </c>
      <c r="AL129" s="270">
        <v>8</v>
      </c>
      <c r="AM129" s="270">
        <v>164100</v>
      </c>
      <c r="AN129" s="270">
        <v>53</v>
      </c>
      <c r="AO129" s="270">
        <v>32716000</v>
      </c>
      <c r="AP129" s="270">
        <v>8</v>
      </c>
      <c r="AQ129" s="270">
        <v>315400</v>
      </c>
      <c r="AR129" s="270">
        <v>160</v>
      </c>
      <c r="AS129" s="270">
        <v>237557400</v>
      </c>
      <c r="AT129" s="270">
        <v>1226</v>
      </c>
      <c r="AU129" s="270">
        <v>337073800</v>
      </c>
    </row>
    <row r="130" spans="1:47" x14ac:dyDescent="0.25">
      <c r="A130" s="117">
        <v>540107</v>
      </c>
      <c r="B130" s="2" t="s">
        <v>46</v>
      </c>
      <c r="C130" s="2" t="s">
        <v>47</v>
      </c>
      <c r="D130" s="2" t="s">
        <v>5</v>
      </c>
      <c r="E130" s="117">
        <v>10</v>
      </c>
      <c r="F130" s="117">
        <v>62</v>
      </c>
      <c r="G130" s="117">
        <v>2761900</v>
      </c>
      <c r="H130" s="117">
        <v>1628</v>
      </c>
      <c r="I130" s="117">
        <v>82923700</v>
      </c>
      <c r="J130" s="117">
        <v>7151</v>
      </c>
      <c r="K130" s="117">
        <v>494438700</v>
      </c>
      <c r="L130" s="117">
        <v>0</v>
      </c>
      <c r="M130" s="117">
        <v>0</v>
      </c>
      <c r="N130" s="117">
        <v>39</v>
      </c>
      <c r="O130" s="117">
        <v>7085900</v>
      </c>
      <c r="P130" s="117">
        <v>165</v>
      </c>
      <c r="Q130" s="117">
        <v>18759600</v>
      </c>
      <c r="R130" s="117">
        <v>1</v>
      </c>
      <c r="S130" s="117">
        <v>146500</v>
      </c>
      <c r="T130" s="117">
        <v>0</v>
      </c>
      <c r="U130" s="117">
        <v>0</v>
      </c>
      <c r="V130" s="117">
        <v>39</v>
      </c>
      <c r="W130" s="117">
        <v>3934800</v>
      </c>
      <c r="X130" s="117">
        <v>1</v>
      </c>
      <c r="Y130" s="117">
        <v>83700</v>
      </c>
      <c r="Z130" s="117">
        <v>24</v>
      </c>
      <c r="AA130" s="117">
        <v>28053200</v>
      </c>
      <c r="AB130" s="117">
        <v>84</v>
      </c>
      <c r="AC130" s="117">
        <v>48723800</v>
      </c>
      <c r="AD130" s="117">
        <v>31</v>
      </c>
      <c r="AE130" s="117">
        <v>2414700</v>
      </c>
      <c r="AF130" s="117">
        <v>649</v>
      </c>
      <c r="AG130" s="117">
        <v>38848100</v>
      </c>
      <c r="AH130" s="117">
        <v>1932</v>
      </c>
      <c r="AI130" s="117">
        <v>111379300</v>
      </c>
      <c r="AJ130" s="117">
        <v>1</v>
      </c>
      <c r="AK130" s="117">
        <v>14300</v>
      </c>
      <c r="AL130" s="117">
        <v>4</v>
      </c>
      <c r="AM130" s="117">
        <v>155000</v>
      </c>
      <c r="AN130" s="117">
        <v>29</v>
      </c>
      <c r="AO130" s="117">
        <v>23595000</v>
      </c>
      <c r="AP130" s="117">
        <v>2</v>
      </c>
      <c r="AQ130" s="117">
        <v>65800</v>
      </c>
      <c r="AR130" s="117">
        <v>74</v>
      </c>
      <c r="AS130" s="117">
        <v>2434900</v>
      </c>
      <c r="AT130" s="117">
        <v>293</v>
      </c>
      <c r="AU130" s="117">
        <v>40843800</v>
      </c>
    </row>
    <row r="131" spans="1:47" x14ac:dyDescent="0.25">
      <c r="A131" s="117">
        <v>540108</v>
      </c>
      <c r="B131" s="2" t="s">
        <v>196</v>
      </c>
      <c r="C131" s="2" t="s">
        <v>47</v>
      </c>
      <c r="D131" s="2" t="s">
        <v>115</v>
      </c>
      <c r="E131" s="117">
        <v>10</v>
      </c>
      <c r="F131" s="117">
        <v>4</v>
      </c>
      <c r="G131" s="117">
        <v>49600</v>
      </c>
      <c r="H131" s="117">
        <v>81</v>
      </c>
      <c r="I131" s="117">
        <v>1654800</v>
      </c>
      <c r="J131" s="117">
        <v>335</v>
      </c>
      <c r="K131" s="117">
        <v>8865400</v>
      </c>
      <c r="L131" s="117">
        <v>0</v>
      </c>
      <c r="M131" s="117">
        <v>0</v>
      </c>
      <c r="N131" s="117">
        <v>0</v>
      </c>
      <c r="O131" s="117">
        <v>0</v>
      </c>
      <c r="P131" s="117">
        <v>5</v>
      </c>
      <c r="Q131" s="117">
        <v>258700</v>
      </c>
      <c r="R131" s="117">
        <v>0</v>
      </c>
      <c r="S131" s="117">
        <v>0</v>
      </c>
      <c r="T131" s="117">
        <v>0</v>
      </c>
      <c r="U131" s="117">
        <v>0</v>
      </c>
      <c r="V131" s="117">
        <v>2</v>
      </c>
      <c r="W131" s="117">
        <v>116100</v>
      </c>
      <c r="X131" s="117">
        <v>0</v>
      </c>
      <c r="Y131" s="117">
        <v>0</v>
      </c>
      <c r="Z131" s="117">
        <v>0</v>
      </c>
      <c r="AA131" s="117">
        <v>0</v>
      </c>
      <c r="AB131" s="117">
        <v>1</v>
      </c>
      <c r="AC131" s="117">
        <v>121800</v>
      </c>
      <c r="AD131" s="117">
        <v>0</v>
      </c>
      <c r="AE131" s="117">
        <v>0</v>
      </c>
      <c r="AF131" s="117">
        <v>0</v>
      </c>
      <c r="AG131" s="117">
        <v>0</v>
      </c>
      <c r="AH131" s="117">
        <v>0</v>
      </c>
      <c r="AI131" s="117">
        <v>0</v>
      </c>
      <c r="AJ131" s="117">
        <v>0</v>
      </c>
      <c r="AK131" s="117">
        <v>0</v>
      </c>
      <c r="AL131" s="117">
        <v>0</v>
      </c>
      <c r="AM131" s="117">
        <v>0</v>
      </c>
      <c r="AN131" s="117">
        <v>0</v>
      </c>
      <c r="AO131" s="117">
        <v>0</v>
      </c>
      <c r="AP131" s="117">
        <v>0</v>
      </c>
      <c r="AQ131" s="117">
        <v>0</v>
      </c>
      <c r="AR131" s="117">
        <v>10</v>
      </c>
      <c r="AS131" s="117">
        <v>35300</v>
      </c>
      <c r="AT131" s="117">
        <v>36</v>
      </c>
      <c r="AU131" s="117">
        <v>1529400</v>
      </c>
    </row>
    <row r="132" spans="1:47" x14ac:dyDescent="0.25">
      <c r="A132" s="117">
        <v>540109</v>
      </c>
      <c r="B132" s="2" t="s">
        <v>197</v>
      </c>
      <c r="C132" s="2" t="s">
        <v>47</v>
      </c>
      <c r="D132" s="2" t="s">
        <v>115</v>
      </c>
      <c r="E132" s="117">
        <v>10</v>
      </c>
      <c r="F132" s="117">
        <v>1</v>
      </c>
      <c r="G132" s="117">
        <v>2300</v>
      </c>
      <c r="H132" s="117">
        <v>9</v>
      </c>
      <c r="I132" s="117">
        <v>340900</v>
      </c>
      <c r="J132" s="117">
        <v>696</v>
      </c>
      <c r="K132" s="117">
        <v>77494400</v>
      </c>
      <c r="L132" s="117">
        <v>0</v>
      </c>
      <c r="M132" s="117">
        <v>0</v>
      </c>
      <c r="N132" s="117">
        <v>2</v>
      </c>
      <c r="O132" s="117">
        <v>122900</v>
      </c>
      <c r="P132" s="117">
        <v>33</v>
      </c>
      <c r="Q132" s="117">
        <v>11879700</v>
      </c>
      <c r="R132" s="117">
        <v>0</v>
      </c>
      <c r="S132" s="117">
        <v>0</v>
      </c>
      <c r="T132" s="117">
        <v>0</v>
      </c>
      <c r="U132" s="117">
        <v>0</v>
      </c>
      <c r="V132" s="117">
        <v>5</v>
      </c>
      <c r="W132" s="117">
        <v>1639700</v>
      </c>
      <c r="X132" s="117">
        <v>0</v>
      </c>
      <c r="Y132" s="117">
        <v>0</v>
      </c>
      <c r="Z132" s="117">
        <v>0</v>
      </c>
      <c r="AA132" s="117">
        <v>0</v>
      </c>
      <c r="AB132" s="117">
        <v>4</v>
      </c>
      <c r="AC132" s="117">
        <v>3391800</v>
      </c>
      <c r="AD132" s="117">
        <v>0</v>
      </c>
      <c r="AE132" s="117">
        <v>0</v>
      </c>
      <c r="AF132" s="117">
        <v>0</v>
      </c>
      <c r="AG132" s="117">
        <v>0</v>
      </c>
      <c r="AH132" s="117">
        <v>0</v>
      </c>
      <c r="AI132" s="117">
        <v>0</v>
      </c>
      <c r="AJ132" s="117">
        <v>0</v>
      </c>
      <c r="AK132" s="117">
        <v>0</v>
      </c>
      <c r="AL132" s="117">
        <v>0</v>
      </c>
      <c r="AM132" s="117">
        <v>0</v>
      </c>
      <c r="AN132" s="117">
        <v>1</v>
      </c>
      <c r="AO132" s="117">
        <v>33500</v>
      </c>
      <c r="AP132" s="117">
        <v>0</v>
      </c>
      <c r="AQ132" s="117">
        <v>0</v>
      </c>
      <c r="AR132" s="117">
        <v>0</v>
      </c>
      <c r="AS132" s="117">
        <v>0</v>
      </c>
      <c r="AT132" s="117">
        <v>44</v>
      </c>
      <c r="AU132" s="117">
        <v>14889300</v>
      </c>
    </row>
    <row r="133" spans="1:47" x14ac:dyDescent="0.25">
      <c r="A133" s="117">
        <v>540110</v>
      </c>
      <c r="B133" s="2" t="s">
        <v>198</v>
      </c>
      <c r="C133" s="2" t="s">
        <v>47</v>
      </c>
      <c r="D133" s="2" t="s">
        <v>115</v>
      </c>
      <c r="E133" s="117">
        <v>10</v>
      </c>
      <c r="F133" s="117">
        <v>1</v>
      </c>
      <c r="G133" s="117">
        <v>1300</v>
      </c>
      <c r="H133" s="117">
        <v>57</v>
      </c>
      <c r="I133" s="117">
        <v>1031100</v>
      </c>
      <c r="J133" s="117">
        <v>688</v>
      </c>
      <c r="K133" s="117">
        <v>32461600</v>
      </c>
      <c r="L133" s="117">
        <v>0</v>
      </c>
      <c r="M133" s="117">
        <v>0</v>
      </c>
      <c r="N133" s="117">
        <v>0</v>
      </c>
      <c r="O133" s="117">
        <v>0</v>
      </c>
      <c r="P133" s="117">
        <v>50</v>
      </c>
      <c r="Q133" s="117">
        <v>2986400</v>
      </c>
      <c r="R133" s="117">
        <v>0</v>
      </c>
      <c r="S133" s="117">
        <v>0</v>
      </c>
      <c r="T133" s="117">
        <v>0</v>
      </c>
      <c r="U133" s="117">
        <v>0</v>
      </c>
      <c r="V133" s="117">
        <v>4</v>
      </c>
      <c r="W133" s="117">
        <v>215000</v>
      </c>
      <c r="X133" s="117">
        <v>0</v>
      </c>
      <c r="Y133" s="117">
        <v>0</v>
      </c>
      <c r="Z133" s="117">
        <v>0</v>
      </c>
      <c r="AA133" s="117">
        <v>0</v>
      </c>
      <c r="AB133" s="117">
        <v>0</v>
      </c>
      <c r="AC133" s="117">
        <v>0</v>
      </c>
      <c r="AD133" s="117">
        <v>0</v>
      </c>
      <c r="AE133" s="117">
        <v>0</v>
      </c>
      <c r="AF133" s="117">
        <v>0</v>
      </c>
      <c r="AG133" s="117">
        <v>0</v>
      </c>
      <c r="AH133" s="117">
        <v>0</v>
      </c>
      <c r="AI133" s="117">
        <v>0</v>
      </c>
      <c r="AJ133" s="117">
        <v>0</v>
      </c>
      <c r="AK133" s="117">
        <v>0</v>
      </c>
      <c r="AL133" s="117">
        <v>1</v>
      </c>
      <c r="AM133" s="117">
        <v>22300</v>
      </c>
      <c r="AN133" s="117">
        <v>0</v>
      </c>
      <c r="AO133" s="117">
        <v>0</v>
      </c>
      <c r="AP133" s="117">
        <v>1</v>
      </c>
      <c r="AQ133" s="117">
        <v>100</v>
      </c>
      <c r="AR133" s="117">
        <v>22</v>
      </c>
      <c r="AS133" s="117">
        <v>304900</v>
      </c>
      <c r="AT133" s="117">
        <v>54</v>
      </c>
      <c r="AU133" s="117">
        <v>3934800</v>
      </c>
    </row>
    <row r="134" spans="1:47" x14ac:dyDescent="0.25">
      <c r="A134" s="117">
        <v>540111</v>
      </c>
      <c r="B134" s="2" t="s">
        <v>199</v>
      </c>
      <c r="C134" s="2" t="s">
        <v>47</v>
      </c>
      <c r="D134" s="2" t="s">
        <v>115</v>
      </c>
      <c r="E134" s="117">
        <v>10</v>
      </c>
      <c r="F134" s="117">
        <v>0</v>
      </c>
      <c r="G134" s="117">
        <v>0</v>
      </c>
      <c r="H134" s="117">
        <v>22</v>
      </c>
      <c r="I134" s="117">
        <v>1323200</v>
      </c>
      <c r="J134" s="117">
        <v>3937</v>
      </c>
      <c r="K134" s="117">
        <v>224466100</v>
      </c>
      <c r="L134" s="117">
        <v>0</v>
      </c>
      <c r="M134" s="117">
        <v>0</v>
      </c>
      <c r="N134" s="117">
        <v>4</v>
      </c>
      <c r="O134" s="117">
        <v>241400</v>
      </c>
      <c r="P134" s="117">
        <v>357</v>
      </c>
      <c r="Q134" s="117">
        <v>35880800</v>
      </c>
      <c r="R134" s="117">
        <v>0</v>
      </c>
      <c r="S134" s="117">
        <v>0</v>
      </c>
      <c r="T134" s="117">
        <v>0</v>
      </c>
      <c r="U134" s="117">
        <v>0</v>
      </c>
      <c r="V134" s="117">
        <v>6</v>
      </c>
      <c r="W134" s="117">
        <v>370800</v>
      </c>
      <c r="X134" s="117">
        <v>0</v>
      </c>
      <c r="Y134" s="117">
        <v>0</v>
      </c>
      <c r="Z134" s="117">
        <v>0</v>
      </c>
      <c r="AA134" s="117">
        <v>0</v>
      </c>
      <c r="AB134" s="117">
        <v>3</v>
      </c>
      <c r="AC134" s="117">
        <v>381100</v>
      </c>
      <c r="AD134" s="117">
        <v>0</v>
      </c>
      <c r="AE134" s="117">
        <v>0</v>
      </c>
      <c r="AF134" s="117">
        <v>1</v>
      </c>
      <c r="AG134" s="117">
        <v>1300</v>
      </c>
      <c r="AH134" s="117">
        <v>1</v>
      </c>
      <c r="AI134" s="117">
        <v>53500</v>
      </c>
      <c r="AJ134" s="117">
        <v>0</v>
      </c>
      <c r="AK134" s="117">
        <v>0</v>
      </c>
      <c r="AL134" s="117">
        <v>0</v>
      </c>
      <c r="AM134" s="117">
        <v>0</v>
      </c>
      <c r="AN134" s="117">
        <v>2</v>
      </c>
      <c r="AO134" s="117">
        <v>7800</v>
      </c>
      <c r="AP134" s="117">
        <v>0</v>
      </c>
      <c r="AQ134" s="117">
        <v>0</v>
      </c>
      <c r="AR134" s="117">
        <v>1</v>
      </c>
      <c r="AS134" s="117">
        <v>12600</v>
      </c>
      <c r="AT134" s="117">
        <v>224</v>
      </c>
      <c r="AU134" s="117">
        <v>35621700</v>
      </c>
    </row>
    <row r="135" spans="1:47" x14ac:dyDescent="0.25">
      <c r="A135" s="117">
        <v>540287</v>
      </c>
      <c r="B135" s="2" t="s">
        <v>326</v>
      </c>
      <c r="C135" s="2" t="s">
        <v>47</v>
      </c>
      <c r="D135" s="2" t="s">
        <v>115</v>
      </c>
      <c r="E135" s="117">
        <v>10</v>
      </c>
      <c r="F135" s="117">
        <v>6</v>
      </c>
      <c r="G135" s="117">
        <v>65300</v>
      </c>
      <c r="H135" s="117">
        <v>219</v>
      </c>
      <c r="I135" s="117">
        <v>2684500</v>
      </c>
      <c r="J135" s="117">
        <v>536</v>
      </c>
      <c r="K135" s="117">
        <v>9488800</v>
      </c>
      <c r="L135" s="117">
        <v>0</v>
      </c>
      <c r="M135" s="117">
        <v>0</v>
      </c>
      <c r="N135" s="117">
        <v>7</v>
      </c>
      <c r="O135" s="117">
        <v>51900</v>
      </c>
      <c r="P135" s="117">
        <v>53</v>
      </c>
      <c r="Q135" s="117">
        <v>1236900</v>
      </c>
      <c r="R135" s="117">
        <v>0</v>
      </c>
      <c r="S135" s="117">
        <v>0</v>
      </c>
      <c r="T135" s="117">
        <v>0</v>
      </c>
      <c r="U135" s="117">
        <v>0</v>
      </c>
      <c r="V135" s="117">
        <v>1</v>
      </c>
      <c r="W135" s="117">
        <v>353000</v>
      </c>
      <c r="X135" s="117">
        <v>0</v>
      </c>
      <c r="Y135" s="117">
        <v>0</v>
      </c>
      <c r="Z135" s="117">
        <v>0</v>
      </c>
      <c r="AA135" s="117">
        <v>0</v>
      </c>
      <c r="AB135" s="117">
        <v>0</v>
      </c>
      <c r="AC135" s="117">
        <v>0</v>
      </c>
      <c r="AD135" s="117">
        <v>0</v>
      </c>
      <c r="AE135" s="117">
        <v>0</v>
      </c>
      <c r="AF135" s="117">
        <v>1</v>
      </c>
      <c r="AG135" s="117">
        <v>4600</v>
      </c>
      <c r="AH135" s="117">
        <v>4</v>
      </c>
      <c r="AI135" s="117">
        <v>81400</v>
      </c>
      <c r="AJ135" s="117">
        <v>0</v>
      </c>
      <c r="AK135" s="117">
        <v>0</v>
      </c>
      <c r="AL135" s="117">
        <v>0</v>
      </c>
      <c r="AM135" s="117">
        <v>0</v>
      </c>
      <c r="AN135" s="117">
        <v>0</v>
      </c>
      <c r="AO135" s="117">
        <v>0</v>
      </c>
      <c r="AP135" s="117">
        <v>0</v>
      </c>
      <c r="AQ135" s="117">
        <v>0</v>
      </c>
      <c r="AR135" s="117">
        <v>4</v>
      </c>
      <c r="AS135" s="117">
        <v>2039900</v>
      </c>
      <c r="AT135" s="117">
        <v>53</v>
      </c>
      <c r="AU135" s="117">
        <v>1908200</v>
      </c>
    </row>
    <row r="136" spans="1:47" x14ac:dyDescent="0.25">
      <c r="A136" s="117">
        <v>540152</v>
      </c>
      <c r="B136" s="2" t="s">
        <v>229</v>
      </c>
      <c r="C136" s="2" t="s">
        <v>47</v>
      </c>
      <c r="D136" s="2" t="s">
        <v>115</v>
      </c>
      <c r="E136" s="117">
        <v>10</v>
      </c>
      <c r="F136" s="117">
        <v>2</v>
      </c>
      <c r="G136" s="117">
        <v>127500</v>
      </c>
      <c r="H136" s="117">
        <v>15</v>
      </c>
      <c r="I136" s="117">
        <v>1341600</v>
      </c>
      <c r="J136" s="117">
        <v>100</v>
      </c>
      <c r="K136" s="117">
        <v>9931400</v>
      </c>
      <c r="L136" s="117">
        <v>0</v>
      </c>
      <c r="M136" s="117">
        <v>0</v>
      </c>
      <c r="N136" s="117">
        <v>1</v>
      </c>
      <c r="O136" s="117">
        <v>6000</v>
      </c>
      <c r="P136" s="117">
        <v>1</v>
      </c>
      <c r="Q136" s="117">
        <v>84600</v>
      </c>
      <c r="R136" s="117">
        <v>0</v>
      </c>
      <c r="S136" s="117">
        <v>0</v>
      </c>
      <c r="T136" s="117">
        <v>0</v>
      </c>
      <c r="U136" s="117">
        <v>0</v>
      </c>
      <c r="V136" s="117">
        <v>20</v>
      </c>
      <c r="W136" s="117">
        <v>1727900</v>
      </c>
      <c r="X136" s="117">
        <v>0</v>
      </c>
      <c r="Y136" s="117">
        <v>0</v>
      </c>
      <c r="Z136" s="117">
        <v>0</v>
      </c>
      <c r="AA136" s="117">
        <v>0</v>
      </c>
      <c r="AB136" s="117">
        <v>0</v>
      </c>
      <c r="AC136" s="117">
        <v>0</v>
      </c>
      <c r="AD136" s="117">
        <v>0</v>
      </c>
      <c r="AE136" s="117">
        <v>0</v>
      </c>
      <c r="AF136" s="117">
        <v>0</v>
      </c>
      <c r="AG136" s="117">
        <v>0</v>
      </c>
      <c r="AH136" s="117">
        <v>0</v>
      </c>
      <c r="AI136" s="117">
        <v>0</v>
      </c>
      <c r="AJ136" s="117">
        <v>0</v>
      </c>
      <c r="AK136" s="117">
        <v>0</v>
      </c>
      <c r="AL136" s="117">
        <v>0</v>
      </c>
      <c r="AM136" s="117">
        <v>0</v>
      </c>
      <c r="AN136" s="117">
        <v>0</v>
      </c>
      <c r="AO136" s="117">
        <v>0</v>
      </c>
      <c r="AP136" s="117">
        <v>0</v>
      </c>
      <c r="AQ136" s="117">
        <v>0</v>
      </c>
      <c r="AR136" s="117">
        <v>0</v>
      </c>
      <c r="AS136" s="117">
        <v>0</v>
      </c>
      <c r="AT136" s="117">
        <v>2</v>
      </c>
      <c r="AU136" s="117">
        <v>276200</v>
      </c>
    </row>
    <row r="137" spans="1:47" x14ac:dyDescent="0.25">
      <c r="A137" s="269"/>
      <c r="B137" s="269"/>
      <c r="C137" s="269" t="s">
        <v>47</v>
      </c>
      <c r="D137" s="269"/>
      <c r="E137" s="269"/>
      <c r="F137" s="270">
        <v>76</v>
      </c>
      <c r="G137" s="270">
        <v>3007900</v>
      </c>
      <c r="H137" s="270">
        <v>2031</v>
      </c>
      <c r="I137" s="270">
        <v>91299800</v>
      </c>
      <c r="J137" s="270">
        <v>13443</v>
      </c>
      <c r="K137" s="270">
        <v>857146400</v>
      </c>
      <c r="L137" s="270">
        <v>0</v>
      </c>
      <c r="M137" s="270">
        <v>0</v>
      </c>
      <c r="N137" s="270">
        <v>53</v>
      </c>
      <c r="O137" s="270">
        <v>7508100</v>
      </c>
      <c r="P137" s="270">
        <v>664</v>
      </c>
      <c r="Q137" s="270">
        <v>71086700</v>
      </c>
      <c r="R137" s="270">
        <v>1</v>
      </c>
      <c r="S137" s="270">
        <v>146500</v>
      </c>
      <c r="T137" s="270">
        <v>0</v>
      </c>
      <c r="U137" s="270">
        <v>0</v>
      </c>
      <c r="V137" s="270">
        <v>77</v>
      </c>
      <c r="W137" s="270">
        <v>8357300</v>
      </c>
      <c r="X137" s="270">
        <v>1</v>
      </c>
      <c r="Y137" s="270">
        <v>83700</v>
      </c>
      <c r="Z137" s="270">
        <v>24</v>
      </c>
      <c r="AA137" s="270">
        <v>28053200</v>
      </c>
      <c r="AB137" s="270">
        <v>92</v>
      </c>
      <c r="AC137" s="270">
        <v>52618500</v>
      </c>
      <c r="AD137" s="270">
        <v>31</v>
      </c>
      <c r="AE137" s="270">
        <v>2414700</v>
      </c>
      <c r="AF137" s="270">
        <v>651</v>
      </c>
      <c r="AG137" s="270">
        <v>38854000</v>
      </c>
      <c r="AH137" s="270">
        <v>1937</v>
      </c>
      <c r="AI137" s="270">
        <v>111514200</v>
      </c>
      <c r="AJ137" s="270">
        <v>1</v>
      </c>
      <c r="AK137" s="270">
        <v>14300</v>
      </c>
      <c r="AL137" s="270">
        <v>5</v>
      </c>
      <c r="AM137" s="270">
        <v>177300</v>
      </c>
      <c r="AN137" s="270">
        <v>32</v>
      </c>
      <c r="AO137" s="270">
        <v>23636300</v>
      </c>
      <c r="AP137" s="270">
        <v>3</v>
      </c>
      <c r="AQ137" s="270">
        <v>65900</v>
      </c>
      <c r="AR137" s="270">
        <v>111</v>
      </c>
      <c r="AS137" s="270">
        <v>4827600</v>
      </c>
      <c r="AT137" s="270">
        <v>706</v>
      </c>
      <c r="AU137" s="270">
        <v>99003400</v>
      </c>
    </row>
    <row r="138" spans="1:47" x14ac:dyDescent="0.25">
      <c r="A138" s="117">
        <v>540112</v>
      </c>
      <c r="B138" s="2" t="s">
        <v>48</v>
      </c>
      <c r="C138" s="2" t="s">
        <v>49</v>
      </c>
      <c r="D138" s="2" t="s">
        <v>5</v>
      </c>
      <c r="E138" s="117">
        <v>2</v>
      </c>
      <c r="F138" s="117">
        <v>58</v>
      </c>
      <c r="G138" s="117">
        <v>2190200</v>
      </c>
      <c r="H138" s="117">
        <v>569</v>
      </c>
      <c r="I138" s="117">
        <v>25025500</v>
      </c>
      <c r="J138" s="117">
        <v>6441</v>
      </c>
      <c r="K138" s="117">
        <v>360244100</v>
      </c>
      <c r="L138" s="117">
        <v>3</v>
      </c>
      <c r="M138" s="117">
        <v>31700</v>
      </c>
      <c r="N138" s="117">
        <v>7</v>
      </c>
      <c r="O138" s="117">
        <v>357400</v>
      </c>
      <c r="P138" s="117">
        <v>171</v>
      </c>
      <c r="Q138" s="117">
        <v>24455610</v>
      </c>
      <c r="R138" s="117">
        <v>0</v>
      </c>
      <c r="S138" s="117">
        <v>0</v>
      </c>
      <c r="T138" s="117">
        <v>0</v>
      </c>
      <c r="U138" s="117">
        <v>0</v>
      </c>
      <c r="V138" s="117">
        <v>1</v>
      </c>
      <c r="W138" s="117">
        <v>259900</v>
      </c>
      <c r="X138" s="117">
        <v>0</v>
      </c>
      <c r="Y138" s="117">
        <v>0</v>
      </c>
      <c r="Z138" s="117">
        <v>0</v>
      </c>
      <c r="AA138" s="117">
        <v>0</v>
      </c>
      <c r="AB138" s="117">
        <v>13</v>
      </c>
      <c r="AC138" s="117">
        <v>1696100</v>
      </c>
      <c r="AD138" s="117">
        <v>77</v>
      </c>
      <c r="AE138" s="117">
        <v>3553800</v>
      </c>
      <c r="AF138" s="117">
        <v>589</v>
      </c>
      <c r="AG138" s="117">
        <v>32081300</v>
      </c>
      <c r="AH138" s="117">
        <v>3032</v>
      </c>
      <c r="AI138" s="117">
        <v>168509800</v>
      </c>
      <c r="AJ138" s="117">
        <v>0</v>
      </c>
      <c r="AK138" s="117">
        <v>0</v>
      </c>
      <c r="AL138" s="117">
        <v>3</v>
      </c>
      <c r="AM138" s="117">
        <v>44900</v>
      </c>
      <c r="AN138" s="117">
        <v>35</v>
      </c>
      <c r="AO138" s="117">
        <v>2024200</v>
      </c>
      <c r="AP138" s="117">
        <v>4</v>
      </c>
      <c r="AQ138" s="117">
        <v>519400</v>
      </c>
      <c r="AR138" s="117">
        <v>58</v>
      </c>
      <c r="AS138" s="117">
        <v>3469300</v>
      </c>
      <c r="AT138" s="117">
        <v>504</v>
      </c>
      <c r="AU138" s="117">
        <v>121650500</v>
      </c>
    </row>
    <row r="139" spans="1:47" x14ac:dyDescent="0.25">
      <c r="A139" s="117">
        <v>540113</v>
      </c>
      <c r="B139" s="2" t="s">
        <v>200</v>
      </c>
      <c r="C139" s="2" t="s">
        <v>49</v>
      </c>
      <c r="D139" s="2" t="s">
        <v>115</v>
      </c>
      <c r="E139" s="117">
        <v>2</v>
      </c>
      <c r="F139" s="117">
        <v>0</v>
      </c>
      <c r="G139" s="117">
        <v>0</v>
      </c>
      <c r="H139" s="117">
        <v>2</v>
      </c>
      <c r="I139" s="117">
        <v>60300</v>
      </c>
      <c r="J139" s="117">
        <v>59</v>
      </c>
      <c r="K139" s="117">
        <v>1450700</v>
      </c>
      <c r="L139" s="117">
        <v>0</v>
      </c>
      <c r="M139" s="117">
        <v>0</v>
      </c>
      <c r="N139" s="117">
        <v>0</v>
      </c>
      <c r="O139" s="117">
        <v>0</v>
      </c>
      <c r="P139" s="117">
        <v>0</v>
      </c>
      <c r="Q139" s="117">
        <v>0</v>
      </c>
      <c r="R139" s="117">
        <v>0</v>
      </c>
      <c r="S139" s="117">
        <v>0</v>
      </c>
      <c r="T139" s="117">
        <v>0</v>
      </c>
      <c r="U139" s="117">
        <v>0</v>
      </c>
      <c r="V139" s="117">
        <v>0</v>
      </c>
      <c r="W139" s="117">
        <v>0</v>
      </c>
      <c r="X139" s="117">
        <v>0</v>
      </c>
      <c r="Y139" s="117">
        <v>0</v>
      </c>
      <c r="Z139" s="117">
        <v>0</v>
      </c>
      <c r="AA139" s="117">
        <v>0</v>
      </c>
      <c r="AB139" s="117">
        <v>0</v>
      </c>
      <c r="AC139" s="117">
        <v>0</v>
      </c>
      <c r="AD139" s="117">
        <v>0</v>
      </c>
      <c r="AE139" s="117">
        <v>0</v>
      </c>
      <c r="AF139" s="117">
        <v>1</v>
      </c>
      <c r="AG139" s="117">
        <v>118900</v>
      </c>
      <c r="AH139" s="117">
        <v>4</v>
      </c>
      <c r="AI139" s="117">
        <v>83200</v>
      </c>
      <c r="AJ139" s="117">
        <v>0</v>
      </c>
      <c r="AK139" s="117">
        <v>0</v>
      </c>
      <c r="AL139" s="117">
        <v>0</v>
      </c>
      <c r="AM139" s="117">
        <v>0</v>
      </c>
      <c r="AN139" s="117">
        <v>0</v>
      </c>
      <c r="AO139" s="117">
        <v>0</v>
      </c>
      <c r="AP139" s="117">
        <v>0</v>
      </c>
      <c r="AQ139" s="117">
        <v>0</v>
      </c>
      <c r="AR139" s="117">
        <v>1</v>
      </c>
      <c r="AS139" s="117">
        <v>8500</v>
      </c>
      <c r="AT139" s="117">
        <v>11</v>
      </c>
      <c r="AU139" s="117">
        <v>827600</v>
      </c>
    </row>
    <row r="140" spans="1:47" x14ac:dyDescent="0.25">
      <c r="A140" s="117">
        <v>540247</v>
      </c>
      <c r="B140" s="2" t="s">
        <v>293</v>
      </c>
      <c r="C140" s="2" t="s">
        <v>49</v>
      </c>
      <c r="D140" s="2" t="s">
        <v>115</v>
      </c>
      <c r="E140" s="117">
        <v>2</v>
      </c>
      <c r="F140" s="117">
        <v>0</v>
      </c>
      <c r="G140" s="117">
        <v>0</v>
      </c>
      <c r="H140" s="117">
        <v>2</v>
      </c>
      <c r="I140" s="117">
        <v>42300</v>
      </c>
      <c r="J140" s="117">
        <v>62</v>
      </c>
      <c r="K140" s="117">
        <v>1517400</v>
      </c>
      <c r="L140" s="117">
        <v>0</v>
      </c>
      <c r="M140" s="117">
        <v>0</v>
      </c>
      <c r="N140" s="117">
        <v>0</v>
      </c>
      <c r="O140" s="117">
        <v>0</v>
      </c>
      <c r="P140" s="117">
        <v>0</v>
      </c>
      <c r="Q140" s="117">
        <v>0</v>
      </c>
      <c r="R140" s="117">
        <v>0</v>
      </c>
      <c r="S140" s="117">
        <v>0</v>
      </c>
      <c r="T140" s="117">
        <v>0</v>
      </c>
      <c r="U140" s="117">
        <v>0</v>
      </c>
      <c r="V140" s="117">
        <v>0</v>
      </c>
      <c r="W140" s="117">
        <v>0</v>
      </c>
      <c r="X140" s="117">
        <v>0</v>
      </c>
      <c r="Y140" s="117">
        <v>0</v>
      </c>
      <c r="Z140" s="117">
        <v>0</v>
      </c>
      <c r="AA140" s="117">
        <v>0</v>
      </c>
      <c r="AB140" s="117">
        <v>0</v>
      </c>
      <c r="AC140" s="117">
        <v>0</v>
      </c>
      <c r="AD140" s="117">
        <v>0</v>
      </c>
      <c r="AE140" s="117">
        <v>0</v>
      </c>
      <c r="AF140" s="117">
        <v>0</v>
      </c>
      <c r="AG140" s="117">
        <v>0</v>
      </c>
      <c r="AH140" s="117">
        <v>11</v>
      </c>
      <c r="AI140" s="117">
        <v>769100</v>
      </c>
      <c r="AJ140" s="117">
        <v>0</v>
      </c>
      <c r="AK140" s="117">
        <v>0</v>
      </c>
      <c r="AL140" s="117">
        <v>0</v>
      </c>
      <c r="AM140" s="117">
        <v>0</v>
      </c>
      <c r="AN140" s="117">
        <v>1</v>
      </c>
      <c r="AO140" s="117">
        <v>0</v>
      </c>
      <c r="AP140" s="117">
        <v>0</v>
      </c>
      <c r="AQ140" s="117">
        <v>0</v>
      </c>
      <c r="AR140" s="117">
        <v>0</v>
      </c>
      <c r="AS140" s="117">
        <v>0</v>
      </c>
      <c r="AT140" s="117">
        <v>4</v>
      </c>
      <c r="AU140" s="117">
        <v>6000</v>
      </c>
    </row>
    <row r="141" spans="1:47" x14ac:dyDescent="0.25">
      <c r="A141" s="117">
        <v>540248</v>
      </c>
      <c r="B141" s="2" t="s">
        <v>294</v>
      </c>
      <c r="C141" s="2" t="s">
        <v>49</v>
      </c>
      <c r="D141" s="2" t="s">
        <v>115</v>
      </c>
      <c r="E141" s="117">
        <v>2</v>
      </c>
      <c r="F141" s="117">
        <v>0</v>
      </c>
      <c r="G141" s="117">
        <v>0</v>
      </c>
      <c r="H141" s="117">
        <v>10</v>
      </c>
      <c r="I141" s="117">
        <v>430600</v>
      </c>
      <c r="J141" s="117">
        <v>417</v>
      </c>
      <c r="K141" s="117">
        <v>16824500</v>
      </c>
      <c r="L141" s="117">
        <v>0</v>
      </c>
      <c r="M141" s="117">
        <v>0</v>
      </c>
      <c r="N141" s="117">
        <v>0</v>
      </c>
      <c r="O141" s="117">
        <v>0</v>
      </c>
      <c r="P141" s="117">
        <v>64</v>
      </c>
      <c r="Q141" s="117">
        <v>12666970</v>
      </c>
      <c r="R141" s="117">
        <v>0</v>
      </c>
      <c r="S141" s="117">
        <v>0</v>
      </c>
      <c r="T141" s="117">
        <v>0</v>
      </c>
      <c r="U141" s="117">
        <v>0</v>
      </c>
      <c r="V141" s="117">
        <v>0</v>
      </c>
      <c r="W141" s="117">
        <v>0</v>
      </c>
      <c r="X141" s="117">
        <v>0</v>
      </c>
      <c r="Y141" s="117">
        <v>0</v>
      </c>
      <c r="Z141" s="117">
        <v>0</v>
      </c>
      <c r="AA141" s="117">
        <v>0</v>
      </c>
      <c r="AB141" s="117">
        <v>0</v>
      </c>
      <c r="AC141" s="117">
        <v>0</v>
      </c>
      <c r="AD141" s="117">
        <v>0</v>
      </c>
      <c r="AE141" s="117">
        <v>0</v>
      </c>
      <c r="AF141" s="117">
        <v>0</v>
      </c>
      <c r="AG141" s="117">
        <v>0</v>
      </c>
      <c r="AH141" s="117">
        <v>2</v>
      </c>
      <c r="AI141" s="117">
        <v>55200</v>
      </c>
      <c r="AJ141" s="117">
        <v>0</v>
      </c>
      <c r="AK141" s="117">
        <v>0</v>
      </c>
      <c r="AL141" s="117">
        <v>0</v>
      </c>
      <c r="AM141" s="117">
        <v>0</v>
      </c>
      <c r="AN141" s="117">
        <v>2</v>
      </c>
      <c r="AO141" s="117">
        <v>48400</v>
      </c>
      <c r="AP141" s="117">
        <v>0</v>
      </c>
      <c r="AQ141" s="117">
        <v>0</v>
      </c>
      <c r="AR141" s="117">
        <v>0</v>
      </c>
      <c r="AS141" s="117">
        <v>0</v>
      </c>
      <c r="AT141" s="117">
        <v>34</v>
      </c>
      <c r="AU141" s="117">
        <v>5541600</v>
      </c>
    </row>
    <row r="142" spans="1:47" x14ac:dyDescent="0.25">
      <c r="A142" s="117">
        <v>540249</v>
      </c>
      <c r="B142" s="2" t="s">
        <v>295</v>
      </c>
      <c r="C142" s="2" t="s">
        <v>49</v>
      </c>
      <c r="D142" s="2" t="s">
        <v>115</v>
      </c>
      <c r="E142" s="117">
        <v>2</v>
      </c>
      <c r="F142" s="117">
        <v>0</v>
      </c>
      <c r="G142" s="117">
        <v>0</v>
      </c>
      <c r="H142" s="117">
        <v>17</v>
      </c>
      <c r="I142" s="117">
        <v>406100</v>
      </c>
      <c r="J142" s="117">
        <v>751</v>
      </c>
      <c r="K142" s="117">
        <v>37421700</v>
      </c>
      <c r="L142" s="117">
        <v>0</v>
      </c>
      <c r="M142" s="117">
        <v>0</v>
      </c>
      <c r="N142" s="117">
        <v>0</v>
      </c>
      <c r="O142" s="117">
        <v>0</v>
      </c>
      <c r="P142" s="117">
        <v>55</v>
      </c>
      <c r="Q142" s="117">
        <v>2856400</v>
      </c>
      <c r="R142" s="117">
        <v>0</v>
      </c>
      <c r="S142" s="117">
        <v>0</v>
      </c>
      <c r="T142" s="117">
        <v>0</v>
      </c>
      <c r="U142" s="117">
        <v>0</v>
      </c>
      <c r="V142" s="117">
        <v>3</v>
      </c>
      <c r="W142" s="117">
        <v>1055000</v>
      </c>
      <c r="X142" s="117">
        <v>0</v>
      </c>
      <c r="Y142" s="117">
        <v>0</v>
      </c>
      <c r="Z142" s="117">
        <v>0</v>
      </c>
      <c r="AA142" s="117">
        <v>0</v>
      </c>
      <c r="AB142" s="117">
        <v>2</v>
      </c>
      <c r="AC142" s="117">
        <v>62800</v>
      </c>
      <c r="AD142" s="117">
        <v>0</v>
      </c>
      <c r="AE142" s="117">
        <v>0</v>
      </c>
      <c r="AF142" s="117">
        <v>0</v>
      </c>
      <c r="AG142" s="117">
        <v>0</v>
      </c>
      <c r="AH142" s="117">
        <v>2</v>
      </c>
      <c r="AI142" s="117">
        <v>8100</v>
      </c>
      <c r="AJ142" s="117">
        <v>0</v>
      </c>
      <c r="AK142" s="117">
        <v>0</v>
      </c>
      <c r="AL142" s="117">
        <v>0</v>
      </c>
      <c r="AM142" s="117">
        <v>0</v>
      </c>
      <c r="AN142" s="117">
        <v>1</v>
      </c>
      <c r="AO142" s="117">
        <v>39100</v>
      </c>
      <c r="AP142" s="117">
        <v>0</v>
      </c>
      <c r="AQ142" s="117">
        <v>0</v>
      </c>
      <c r="AR142" s="117">
        <v>0</v>
      </c>
      <c r="AS142" s="117">
        <v>0</v>
      </c>
      <c r="AT142" s="117">
        <v>37</v>
      </c>
      <c r="AU142" s="117">
        <v>9090300</v>
      </c>
    </row>
    <row r="143" spans="1:47" x14ac:dyDescent="0.25">
      <c r="A143" s="117">
        <v>540250</v>
      </c>
      <c r="B143" s="2" t="s">
        <v>296</v>
      </c>
      <c r="C143" s="2" t="s">
        <v>49</v>
      </c>
      <c r="D143" s="2" t="s">
        <v>115</v>
      </c>
      <c r="E143" s="117">
        <v>2</v>
      </c>
      <c r="F143" s="117">
        <v>0</v>
      </c>
      <c r="G143" s="117">
        <v>0</v>
      </c>
      <c r="H143" s="117">
        <v>13</v>
      </c>
      <c r="I143" s="117">
        <v>355200</v>
      </c>
      <c r="J143" s="117">
        <v>1719</v>
      </c>
      <c r="K143" s="117">
        <v>125154600</v>
      </c>
      <c r="L143" s="117">
        <v>0</v>
      </c>
      <c r="M143" s="117">
        <v>0</v>
      </c>
      <c r="N143" s="117">
        <v>2</v>
      </c>
      <c r="O143" s="117">
        <v>85300</v>
      </c>
      <c r="P143" s="117">
        <v>341</v>
      </c>
      <c r="Q143" s="117">
        <v>36450500</v>
      </c>
      <c r="R143" s="117">
        <v>0</v>
      </c>
      <c r="S143" s="117">
        <v>0</v>
      </c>
      <c r="T143" s="117">
        <v>0</v>
      </c>
      <c r="U143" s="117">
        <v>0</v>
      </c>
      <c r="V143" s="117">
        <v>3</v>
      </c>
      <c r="W143" s="117">
        <v>2162700</v>
      </c>
      <c r="X143" s="117">
        <v>0</v>
      </c>
      <c r="Y143" s="117">
        <v>0</v>
      </c>
      <c r="Z143" s="117">
        <v>0</v>
      </c>
      <c r="AA143" s="117">
        <v>0</v>
      </c>
      <c r="AB143" s="117">
        <v>0</v>
      </c>
      <c r="AC143" s="117">
        <v>0</v>
      </c>
      <c r="AD143" s="117">
        <v>0</v>
      </c>
      <c r="AE143" s="117">
        <v>0</v>
      </c>
      <c r="AF143" s="117">
        <v>0</v>
      </c>
      <c r="AG143" s="117">
        <v>0</v>
      </c>
      <c r="AH143" s="117">
        <v>1</v>
      </c>
      <c r="AI143" s="117">
        <v>100</v>
      </c>
      <c r="AJ143" s="117">
        <v>0</v>
      </c>
      <c r="AK143" s="117">
        <v>0</v>
      </c>
      <c r="AL143" s="117">
        <v>0</v>
      </c>
      <c r="AM143" s="117">
        <v>0</v>
      </c>
      <c r="AN143" s="117">
        <v>4</v>
      </c>
      <c r="AO143" s="117">
        <v>272000</v>
      </c>
      <c r="AP143" s="117">
        <v>0</v>
      </c>
      <c r="AQ143" s="117">
        <v>0</v>
      </c>
      <c r="AR143" s="117">
        <v>2</v>
      </c>
      <c r="AS143" s="117">
        <v>102900</v>
      </c>
      <c r="AT143" s="117">
        <v>161</v>
      </c>
      <c r="AU143" s="117">
        <v>47047100</v>
      </c>
    </row>
    <row r="144" spans="1:47" x14ac:dyDescent="0.25">
      <c r="A144" s="117">
        <v>540251</v>
      </c>
      <c r="B144" s="2" t="s">
        <v>297</v>
      </c>
      <c r="C144" s="2" t="s">
        <v>49</v>
      </c>
      <c r="D144" s="2" t="s">
        <v>115</v>
      </c>
      <c r="E144" s="117">
        <v>2</v>
      </c>
      <c r="F144" s="117">
        <v>0</v>
      </c>
      <c r="G144" s="117">
        <v>0</v>
      </c>
      <c r="H144" s="117">
        <v>12</v>
      </c>
      <c r="I144" s="117">
        <v>173700</v>
      </c>
      <c r="J144" s="117">
        <v>5</v>
      </c>
      <c r="K144" s="117">
        <v>32200</v>
      </c>
      <c r="L144" s="117">
        <v>0</v>
      </c>
      <c r="M144" s="117">
        <v>0</v>
      </c>
      <c r="N144" s="117">
        <v>0</v>
      </c>
      <c r="O144" s="117">
        <v>0</v>
      </c>
      <c r="P144" s="117">
        <v>0</v>
      </c>
      <c r="Q144" s="117">
        <v>0</v>
      </c>
      <c r="R144" s="117">
        <v>0</v>
      </c>
      <c r="S144" s="117">
        <v>0</v>
      </c>
      <c r="T144" s="117">
        <v>0</v>
      </c>
      <c r="U144" s="117">
        <v>0</v>
      </c>
      <c r="V144" s="117">
        <v>0</v>
      </c>
      <c r="W144" s="117">
        <v>0</v>
      </c>
      <c r="X144" s="117">
        <v>0</v>
      </c>
      <c r="Y144" s="117">
        <v>0</v>
      </c>
      <c r="Z144" s="117">
        <v>0</v>
      </c>
      <c r="AA144" s="117">
        <v>0</v>
      </c>
      <c r="AB144" s="117">
        <v>0</v>
      </c>
      <c r="AC144" s="117">
        <v>0</v>
      </c>
      <c r="AD144" s="117">
        <v>1</v>
      </c>
      <c r="AE144" s="117">
        <v>5000</v>
      </c>
      <c r="AF144" s="117">
        <v>0</v>
      </c>
      <c r="AG144" s="117">
        <v>0</v>
      </c>
      <c r="AH144" s="117">
        <v>3</v>
      </c>
      <c r="AI144" s="117">
        <v>98900</v>
      </c>
      <c r="AJ144" s="117">
        <v>0</v>
      </c>
      <c r="AK144" s="117">
        <v>0</v>
      </c>
      <c r="AL144" s="117">
        <v>0</v>
      </c>
      <c r="AM144" s="117">
        <v>0</v>
      </c>
      <c r="AN144" s="117">
        <v>0</v>
      </c>
      <c r="AO144" s="117">
        <v>0</v>
      </c>
      <c r="AP144" s="117">
        <v>0</v>
      </c>
      <c r="AQ144" s="117">
        <v>0</v>
      </c>
      <c r="AR144" s="117">
        <v>1</v>
      </c>
      <c r="AS144" s="117">
        <v>22100</v>
      </c>
      <c r="AT144" s="117">
        <v>1</v>
      </c>
      <c r="AU144" s="117">
        <v>18900</v>
      </c>
    </row>
    <row r="145" spans="1:47" x14ac:dyDescent="0.25">
      <c r="A145" s="269"/>
      <c r="B145" s="269"/>
      <c r="C145" s="269" t="s">
        <v>49</v>
      </c>
      <c r="D145" s="269"/>
      <c r="E145" s="269"/>
      <c r="F145" s="270">
        <v>58</v>
      </c>
      <c r="G145" s="270">
        <v>2190200</v>
      </c>
      <c r="H145" s="270">
        <v>625</v>
      </c>
      <c r="I145" s="270">
        <v>26493700</v>
      </c>
      <c r="J145" s="270">
        <v>9454</v>
      </c>
      <c r="K145" s="270">
        <v>542645200</v>
      </c>
      <c r="L145" s="270">
        <v>3</v>
      </c>
      <c r="M145" s="270">
        <v>31700</v>
      </c>
      <c r="N145" s="270">
        <v>9</v>
      </c>
      <c r="O145" s="270">
        <v>442700</v>
      </c>
      <c r="P145" s="270">
        <v>631</v>
      </c>
      <c r="Q145" s="270">
        <v>76429480</v>
      </c>
      <c r="R145" s="270">
        <v>0</v>
      </c>
      <c r="S145" s="270">
        <v>0</v>
      </c>
      <c r="T145" s="270">
        <v>0</v>
      </c>
      <c r="U145" s="270">
        <v>0</v>
      </c>
      <c r="V145" s="270">
        <v>7</v>
      </c>
      <c r="W145" s="270">
        <v>3477600</v>
      </c>
      <c r="X145" s="270">
        <v>0</v>
      </c>
      <c r="Y145" s="270">
        <v>0</v>
      </c>
      <c r="Z145" s="270">
        <v>0</v>
      </c>
      <c r="AA145" s="270">
        <v>0</v>
      </c>
      <c r="AB145" s="270">
        <v>15</v>
      </c>
      <c r="AC145" s="270">
        <v>1758900</v>
      </c>
      <c r="AD145" s="270">
        <v>78</v>
      </c>
      <c r="AE145" s="270">
        <v>3558800</v>
      </c>
      <c r="AF145" s="270">
        <v>590</v>
      </c>
      <c r="AG145" s="270">
        <v>32200200</v>
      </c>
      <c r="AH145" s="270">
        <v>3055</v>
      </c>
      <c r="AI145" s="270">
        <v>169524400</v>
      </c>
      <c r="AJ145" s="270">
        <v>0</v>
      </c>
      <c r="AK145" s="270">
        <v>0</v>
      </c>
      <c r="AL145" s="270">
        <v>3</v>
      </c>
      <c r="AM145" s="270">
        <v>44900</v>
      </c>
      <c r="AN145" s="270">
        <v>43</v>
      </c>
      <c r="AO145" s="270">
        <v>2383700</v>
      </c>
      <c r="AP145" s="270">
        <v>4</v>
      </c>
      <c r="AQ145" s="270">
        <v>519400</v>
      </c>
      <c r="AR145" s="270">
        <v>62</v>
      </c>
      <c r="AS145" s="270">
        <v>3602800</v>
      </c>
      <c r="AT145" s="270">
        <v>752</v>
      </c>
      <c r="AU145" s="270">
        <v>184182000</v>
      </c>
    </row>
    <row r="146" spans="1:47" x14ac:dyDescent="0.25">
      <c r="A146" s="117">
        <v>540114</v>
      </c>
      <c r="B146" s="2" t="s">
        <v>50</v>
      </c>
      <c r="C146" s="2" t="s">
        <v>51</v>
      </c>
      <c r="D146" s="2" t="s">
        <v>5</v>
      </c>
      <c r="E146" s="117">
        <v>1</v>
      </c>
      <c r="F146" s="117">
        <v>147</v>
      </c>
      <c r="G146" s="117">
        <v>1076800</v>
      </c>
      <c r="H146" s="117">
        <v>1776</v>
      </c>
      <c r="I146" s="117">
        <v>12634400</v>
      </c>
      <c r="J146" s="117">
        <v>10612</v>
      </c>
      <c r="K146" s="117">
        <v>115146200</v>
      </c>
      <c r="L146" s="117">
        <v>5</v>
      </c>
      <c r="M146" s="117">
        <v>26200</v>
      </c>
      <c r="N146" s="117">
        <v>29</v>
      </c>
      <c r="O146" s="117">
        <v>637100</v>
      </c>
      <c r="P146" s="117">
        <v>239</v>
      </c>
      <c r="Q146" s="117">
        <v>18059300</v>
      </c>
      <c r="R146" s="117">
        <v>0</v>
      </c>
      <c r="S146" s="117">
        <v>0</v>
      </c>
      <c r="T146" s="117">
        <v>1</v>
      </c>
      <c r="U146" s="117">
        <v>300</v>
      </c>
      <c r="V146" s="117">
        <v>1</v>
      </c>
      <c r="W146" s="117">
        <v>900</v>
      </c>
      <c r="X146" s="117">
        <v>0</v>
      </c>
      <c r="Y146" s="117">
        <v>0</v>
      </c>
      <c r="Z146" s="117">
        <v>8</v>
      </c>
      <c r="AA146" s="117">
        <v>10200</v>
      </c>
      <c r="AB146" s="117">
        <v>5</v>
      </c>
      <c r="AC146" s="117">
        <v>965300</v>
      </c>
      <c r="AD146" s="117">
        <v>0</v>
      </c>
      <c r="AE146" s="117">
        <v>0</v>
      </c>
      <c r="AF146" s="117">
        <v>13</v>
      </c>
      <c r="AG146" s="117">
        <v>327000</v>
      </c>
      <c r="AH146" s="117">
        <v>28</v>
      </c>
      <c r="AI146" s="117">
        <v>337300</v>
      </c>
      <c r="AJ146" s="117">
        <v>2</v>
      </c>
      <c r="AK146" s="117">
        <v>1100</v>
      </c>
      <c r="AL146" s="117">
        <v>21</v>
      </c>
      <c r="AM146" s="117">
        <v>18100</v>
      </c>
      <c r="AN146" s="117">
        <v>36</v>
      </c>
      <c r="AO146" s="117">
        <v>86100</v>
      </c>
      <c r="AP146" s="117">
        <v>2</v>
      </c>
      <c r="AQ146" s="117">
        <v>1800</v>
      </c>
      <c r="AR146" s="117">
        <v>47</v>
      </c>
      <c r="AS146" s="117">
        <v>6258200</v>
      </c>
      <c r="AT146" s="117">
        <v>304</v>
      </c>
      <c r="AU146" s="117">
        <v>21701300</v>
      </c>
    </row>
    <row r="147" spans="1:47" x14ac:dyDescent="0.25">
      <c r="A147" s="117">
        <v>540115</v>
      </c>
      <c r="B147" s="2" t="s">
        <v>201</v>
      </c>
      <c r="C147" s="2" t="s">
        <v>51</v>
      </c>
      <c r="D147" s="2" t="s">
        <v>115</v>
      </c>
      <c r="E147" s="117">
        <v>1</v>
      </c>
      <c r="F147" s="117">
        <v>13</v>
      </c>
      <c r="G147" s="117">
        <v>41700</v>
      </c>
      <c r="H147" s="117">
        <v>103</v>
      </c>
      <c r="I147" s="117">
        <v>191000</v>
      </c>
      <c r="J147" s="117">
        <v>401</v>
      </c>
      <c r="K147" s="117">
        <v>1181400</v>
      </c>
      <c r="L147" s="117">
        <v>0</v>
      </c>
      <c r="M147" s="117">
        <v>0</v>
      </c>
      <c r="N147" s="117">
        <v>0</v>
      </c>
      <c r="O147" s="117">
        <v>0</v>
      </c>
      <c r="P147" s="117">
        <v>14</v>
      </c>
      <c r="Q147" s="117">
        <v>31900</v>
      </c>
      <c r="R147" s="117">
        <v>0</v>
      </c>
      <c r="S147" s="117">
        <v>0</v>
      </c>
      <c r="T147" s="117">
        <v>0</v>
      </c>
      <c r="U147" s="117">
        <v>0</v>
      </c>
      <c r="V147" s="117">
        <v>0</v>
      </c>
      <c r="W147" s="117">
        <v>0</v>
      </c>
      <c r="X147" s="117">
        <v>0</v>
      </c>
      <c r="Y147" s="117">
        <v>0</v>
      </c>
      <c r="Z147" s="117">
        <v>0</v>
      </c>
      <c r="AA147" s="117">
        <v>0</v>
      </c>
      <c r="AB147" s="117">
        <v>0</v>
      </c>
      <c r="AC147" s="117">
        <v>0</v>
      </c>
      <c r="AD147" s="117">
        <v>0</v>
      </c>
      <c r="AE147" s="117">
        <v>0</v>
      </c>
      <c r="AF147" s="117">
        <v>0</v>
      </c>
      <c r="AG147" s="117">
        <v>0</v>
      </c>
      <c r="AH147" s="117">
        <v>0</v>
      </c>
      <c r="AI147" s="117">
        <v>0</v>
      </c>
      <c r="AJ147" s="117">
        <v>0</v>
      </c>
      <c r="AK147" s="117">
        <v>0</v>
      </c>
      <c r="AL147" s="117">
        <v>0</v>
      </c>
      <c r="AM147" s="117">
        <v>0</v>
      </c>
      <c r="AN147" s="117">
        <v>1</v>
      </c>
      <c r="AO147" s="117">
        <v>22400</v>
      </c>
      <c r="AP147" s="117">
        <v>0</v>
      </c>
      <c r="AQ147" s="117">
        <v>0</v>
      </c>
      <c r="AR147" s="117">
        <v>1</v>
      </c>
      <c r="AS147" s="117">
        <v>400</v>
      </c>
      <c r="AT147" s="117">
        <v>13</v>
      </c>
      <c r="AU147" s="117">
        <v>105200</v>
      </c>
    </row>
    <row r="148" spans="1:47" x14ac:dyDescent="0.25">
      <c r="A148" s="117">
        <v>540116</v>
      </c>
      <c r="B148" s="2" t="s">
        <v>202</v>
      </c>
      <c r="C148" s="2" t="s">
        <v>51</v>
      </c>
      <c r="D148" s="2" t="s">
        <v>115</v>
      </c>
      <c r="E148" s="117">
        <v>1</v>
      </c>
      <c r="F148" s="117">
        <v>3</v>
      </c>
      <c r="G148" s="117">
        <v>800</v>
      </c>
      <c r="H148" s="117">
        <v>59</v>
      </c>
      <c r="I148" s="117">
        <v>129400</v>
      </c>
      <c r="J148" s="117">
        <v>325</v>
      </c>
      <c r="K148" s="117">
        <v>1769600</v>
      </c>
      <c r="L148" s="117">
        <v>0</v>
      </c>
      <c r="M148" s="117">
        <v>0</v>
      </c>
      <c r="N148" s="117">
        <v>1</v>
      </c>
      <c r="O148" s="117">
        <v>41200</v>
      </c>
      <c r="P148" s="117">
        <v>2</v>
      </c>
      <c r="Q148" s="117">
        <v>66200</v>
      </c>
      <c r="R148" s="117">
        <v>0</v>
      </c>
      <c r="S148" s="117">
        <v>0</v>
      </c>
      <c r="T148" s="117">
        <v>0</v>
      </c>
      <c r="U148" s="117">
        <v>0</v>
      </c>
      <c r="V148" s="117">
        <v>0</v>
      </c>
      <c r="W148" s="117">
        <v>0</v>
      </c>
      <c r="X148" s="117">
        <v>0</v>
      </c>
      <c r="Y148" s="117">
        <v>0</v>
      </c>
      <c r="Z148" s="117">
        <v>0</v>
      </c>
      <c r="AA148" s="117">
        <v>0</v>
      </c>
      <c r="AB148" s="117">
        <v>0</v>
      </c>
      <c r="AC148" s="117">
        <v>0</v>
      </c>
      <c r="AD148" s="117">
        <v>0</v>
      </c>
      <c r="AE148" s="117">
        <v>0</v>
      </c>
      <c r="AF148" s="117">
        <v>0</v>
      </c>
      <c r="AG148" s="117">
        <v>0</v>
      </c>
      <c r="AH148" s="117">
        <v>0</v>
      </c>
      <c r="AI148" s="117">
        <v>0</v>
      </c>
      <c r="AJ148" s="117">
        <v>0</v>
      </c>
      <c r="AK148" s="117">
        <v>0</v>
      </c>
      <c r="AL148" s="117">
        <v>0</v>
      </c>
      <c r="AM148" s="117">
        <v>0</v>
      </c>
      <c r="AN148" s="117">
        <v>2</v>
      </c>
      <c r="AO148" s="117">
        <v>44700</v>
      </c>
      <c r="AP148" s="117">
        <v>0</v>
      </c>
      <c r="AQ148" s="117">
        <v>0</v>
      </c>
      <c r="AR148" s="117">
        <v>0</v>
      </c>
      <c r="AS148" s="117">
        <v>0</v>
      </c>
      <c r="AT148" s="117">
        <v>10</v>
      </c>
      <c r="AU148" s="117">
        <v>86000</v>
      </c>
    </row>
    <row r="149" spans="1:47" x14ac:dyDescent="0.25">
      <c r="A149" s="117">
        <v>540117</v>
      </c>
      <c r="B149" s="2" t="s">
        <v>203</v>
      </c>
      <c r="C149" s="2" t="s">
        <v>51</v>
      </c>
      <c r="D149" s="2" t="s">
        <v>115</v>
      </c>
      <c r="E149" s="117">
        <v>1</v>
      </c>
      <c r="F149" s="117">
        <v>0</v>
      </c>
      <c r="G149" s="117">
        <v>0</v>
      </c>
      <c r="H149" s="117">
        <v>32</v>
      </c>
      <c r="I149" s="117">
        <v>243500</v>
      </c>
      <c r="J149" s="117">
        <v>576</v>
      </c>
      <c r="K149" s="117">
        <v>8753700</v>
      </c>
      <c r="L149" s="117">
        <v>0</v>
      </c>
      <c r="M149" s="117">
        <v>0</v>
      </c>
      <c r="N149" s="117">
        <v>0</v>
      </c>
      <c r="O149" s="117">
        <v>0</v>
      </c>
      <c r="P149" s="117">
        <v>12</v>
      </c>
      <c r="Q149" s="117">
        <v>2373400</v>
      </c>
      <c r="R149" s="117">
        <v>0</v>
      </c>
      <c r="S149" s="117">
        <v>0</v>
      </c>
      <c r="T149" s="117">
        <v>0</v>
      </c>
      <c r="U149" s="117">
        <v>0</v>
      </c>
      <c r="V149" s="117">
        <v>1</v>
      </c>
      <c r="W149" s="117">
        <v>53500</v>
      </c>
      <c r="X149" s="117">
        <v>0</v>
      </c>
      <c r="Y149" s="117">
        <v>0</v>
      </c>
      <c r="Z149" s="117">
        <v>0</v>
      </c>
      <c r="AA149" s="117">
        <v>0</v>
      </c>
      <c r="AB149" s="117">
        <v>0</v>
      </c>
      <c r="AC149" s="117">
        <v>0</v>
      </c>
      <c r="AD149" s="117">
        <v>0</v>
      </c>
      <c r="AE149" s="117">
        <v>0</v>
      </c>
      <c r="AF149" s="117">
        <v>0</v>
      </c>
      <c r="AG149" s="117">
        <v>0</v>
      </c>
      <c r="AH149" s="117">
        <v>0</v>
      </c>
      <c r="AI149" s="117">
        <v>0</v>
      </c>
      <c r="AJ149" s="117">
        <v>0</v>
      </c>
      <c r="AK149" s="117">
        <v>0</v>
      </c>
      <c r="AL149" s="117">
        <v>0</v>
      </c>
      <c r="AM149" s="117">
        <v>0</v>
      </c>
      <c r="AN149" s="117">
        <v>0</v>
      </c>
      <c r="AO149" s="117">
        <v>0</v>
      </c>
      <c r="AP149" s="117">
        <v>0</v>
      </c>
      <c r="AQ149" s="117">
        <v>0</v>
      </c>
      <c r="AR149" s="117">
        <v>2</v>
      </c>
      <c r="AS149" s="117">
        <v>2100</v>
      </c>
      <c r="AT149" s="117">
        <v>24</v>
      </c>
      <c r="AU149" s="117">
        <v>1849100</v>
      </c>
    </row>
    <row r="150" spans="1:47" x14ac:dyDescent="0.25">
      <c r="A150" s="117">
        <v>540118</v>
      </c>
      <c r="B150" s="2" t="s">
        <v>204</v>
      </c>
      <c r="C150" s="2" t="s">
        <v>51</v>
      </c>
      <c r="D150" s="2" t="s">
        <v>115</v>
      </c>
      <c r="E150" s="117">
        <v>1</v>
      </c>
      <c r="F150" s="117">
        <v>6</v>
      </c>
      <c r="G150" s="117">
        <v>5300</v>
      </c>
      <c r="H150" s="117">
        <v>200</v>
      </c>
      <c r="I150" s="117">
        <v>571400</v>
      </c>
      <c r="J150" s="117">
        <v>495</v>
      </c>
      <c r="K150" s="117">
        <v>2757900</v>
      </c>
      <c r="L150" s="117">
        <v>0</v>
      </c>
      <c r="M150" s="117">
        <v>0</v>
      </c>
      <c r="N150" s="117">
        <v>10</v>
      </c>
      <c r="O150" s="117">
        <v>138500</v>
      </c>
      <c r="P150" s="117">
        <v>36</v>
      </c>
      <c r="Q150" s="117">
        <v>497800</v>
      </c>
      <c r="R150" s="117">
        <v>0</v>
      </c>
      <c r="S150" s="117">
        <v>0</v>
      </c>
      <c r="T150" s="117">
        <v>0</v>
      </c>
      <c r="U150" s="117">
        <v>0</v>
      </c>
      <c r="V150" s="117">
        <v>0</v>
      </c>
      <c r="W150" s="117">
        <v>0</v>
      </c>
      <c r="X150" s="117">
        <v>0</v>
      </c>
      <c r="Y150" s="117">
        <v>0</v>
      </c>
      <c r="Z150" s="117">
        <v>1</v>
      </c>
      <c r="AA150" s="117">
        <v>1100</v>
      </c>
      <c r="AB150" s="117">
        <v>1</v>
      </c>
      <c r="AC150" s="117">
        <v>300</v>
      </c>
      <c r="AD150" s="117">
        <v>0</v>
      </c>
      <c r="AE150" s="117">
        <v>0</v>
      </c>
      <c r="AF150" s="117">
        <v>0</v>
      </c>
      <c r="AG150" s="117">
        <v>0</v>
      </c>
      <c r="AH150" s="117">
        <v>0</v>
      </c>
      <c r="AI150" s="117">
        <v>0</v>
      </c>
      <c r="AJ150" s="117">
        <v>0</v>
      </c>
      <c r="AK150" s="117">
        <v>0</v>
      </c>
      <c r="AL150" s="117">
        <v>1</v>
      </c>
      <c r="AM150" s="117">
        <v>300</v>
      </c>
      <c r="AN150" s="117">
        <v>7</v>
      </c>
      <c r="AO150" s="117">
        <v>84400</v>
      </c>
      <c r="AP150" s="117">
        <v>2</v>
      </c>
      <c r="AQ150" s="117">
        <v>2200</v>
      </c>
      <c r="AR150" s="117">
        <v>8</v>
      </c>
      <c r="AS150" s="117">
        <v>10400</v>
      </c>
      <c r="AT150" s="117">
        <v>59</v>
      </c>
      <c r="AU150" s="117">
        <v>12688400</v>
      </c>
    </row>
    <row r="151" spans="1:47" x14ac:dyDescent="0.25">
      <c r="A151" s="117">
        <v>540119</v>
      </c>
      <c r="B151" s="2" t="s">
        <v>205</v>
      </c>
      <c r="C151" s="2" t="s">
        <v>51</v>
      </c>
      <c r="D151" s="2" t="s">
        <v>115</v>
      </c>
      <c r="E151" s="117">
        <v>1</v>
      </c>
      <c r="F151" s="117">
        <v>14</v>
      </c>
      <c r="G151" s="117">
        <v>23800</v>
      </c>
      <c r="H151" s="117">
        <v>182</v>
      </c>
      <c r="I151" s="117">
        <v>527200</v>
      </c>
      <c r="J151" s="117">
        <v>313</v>
      </c>
      <c r="K151" s="117">
        <v>1922500</v>
      </c>
      <c r="L151" s="117">
        <v>0</v>
      </c>
      <c r="M151" s="117">
        <v>0</v>
      </c>
      <c r="N151" s="117">
        <v>0</v>
      </c>
      <c r="O151" s="117">
        <v>0</v>
      </c>
      <c r="P151" s="117">
        <v>18</v>
      </c>
      <c r="Q151" s="117">
        <v>1023600</v>
      </c>
      <c r="R151" s="117">
        <v>0</v>
      </c>
      <c r="S151" s="117">
        <v>0</v>
      </c>
      <c r="T151" s="117">
        <v>0</v>
      </c>
      <c r="U151" s="117">
        <v>0</v>
      </c>
      <c r="V151" s="117">
        <v>0</v>
      </c>
      <c r="W151" s="117">
        <v>0</v>
      </c>
      <c r="X151" s="117">
        <v>0</v>
      </c>
      <c r="Y151" s="117">
        <v>0</v>
      </c>
      <c r="Z151" s="117">
        <v>0</v>
      </c>
      <c r="AA151" s="117">
        <v>0</v>
      </c>
      <c r="AB151" s="117">
        <v>0</v>
      </c>
      <c r="AC151" s="117">
        <v>0</v>
      </c>
      <c r="AD151" s="117">
        <v>0</v>
      </c>
      <c r="AE151" s="117">
        <v>0</v>
      </c>
      <c r="AF151" s="117">
        <v>0</v>
      </c>
      <c r="AG151" s="117">
        <v>0</v>
      </c>
      <c r="AH151" s="117">
        <v>0</v>
      </c>
      <c r="AI151" s="117">
        <v>0</v>
      </c>
      <c r="AJ151" s="117">
        <v>0</v>
      </c>
      <c r="AK151" s="117">
        <v>0</v>
      </c>
      <c r="AL151" s="117">
        <v>0</v>
      </c>
      <c r="AM151" s="117">
        <v>0</v>
      </c>
      <c r="AN151" s="117">
        <v>0</v>
      </c>
      <c r="AO151" s="117">
        <v>0</v>
      </c>
      <c r="AP151" s="117">
        <v>0</v>
      </c>
      <c r="AQ151" s="117">
        <v>0</v>
      </c>
      <c r="AR151" s="117">
        <v>3</v>
      </c>
      <c r="AS151" s="117">
        <v>6400</v>
      </c>
      <c r="AT151" s="117">
        <v>16</v>
      </c>
      <c r="AU151" s="117">
        <v>454200</v>
      </c>
    </row>
    <row r="152" spans="1:47" x14ac:dyDescent="0.25">
      <c r="A152" s="117">
        <v>540120</v>
      </c>
      <c r="B152" s="2" t="s">
        <v>206</v>
      </c>
      <c r="C152" s="2" t="s">
        <v>51</v>
      </c>
      <c r="D152" s="2" t="s">
        <v>115</v>
      </c>
      <c r="E152" s="117">
        <v>1</v>
      </c>
      <c r="F152" s="117">
        <v>1</v>
      </c>
      <c r="G152" s="117">
        <v>8900</v>
      </c>
      <c r="H152" s="117">
        <v>43</v>
      </c>
      <c r="I152" s="117">
        <v>200700</v>
      </c>
      <c r="J152" s="117">
        <v>195</v>
      </c>
      <c r="K152" s="117">
        <v>1788000</v>
      </c>
      <c r="L152" s="117">
        <v>0</v>
      </c>
      <c r="M152" s="117">
        <v>0</v>
      </c>
      <c r="N152" s="117">
        <v>0</v>
      </c>
      <c r="O152" s="117">
        <v>0</v>
      </c>
      <c r="P152" s="117">
        <v>13</v>
      </c>
      <c r="Q152" s="117">
        <v>282200</v>
      </c>
      <c r="R152" s="117">
        <v>0</v>
      </c>
      <c r="S152" s="117">
        <v>0</v>
      </c>
      <c r="T152" s="117">
        <v>0</v>
      </c>
      <c r="U152" s="117">
        <v>0</v>
      </c>
      <c r="V152" s="117">
        <v>1</v>
      </c>
      <c r="W152" s="117">
        <v>5600</v>
      </c>
      <c r="X152" s="117">
        <v>0</v>
      </c>
      <c r="Y152" s="117">
        <v>0</v>
      </c>
      <c r="Z152" s="117">
        <v>0</v>
      </c>
      <c r="AA152" s="117">
        <v>0</v>
      </c>
      <c r="AB152" s="117">
        <v>0</v>
      </c>
      <c r="AC152" s="117">
        <v>0</v>
      </c>
      <c r="AD152" s="117">
        <v>0</v>
      </c>
      <c r="AE152" s="117">
        <v>0</v>
      </c>
      <c r="AF152" s="117">
        <v>0</v>
      </c>
      <c r="AG152" s="117">
        <v>0</v>
      </c>
      <c r="AH152" s="117">
        <v>0</v>
      </c>
      <c r="AI152" s="117">
        <v>0</v>
      </c>
      <c r="AJ152" s="117">
        <v>0</v>
      </c>
      <c r="AK152" s="117">
        <v>0</v>
      </c>
      <c r="AL152" s="117">
        <v>0</v>
      </c>
      <c r="AM152" s="117">
        <v>0</v>
      </c>
      <c r="AN152" s="117">
        <v>1</v>
      </c>
      <c r="AO152" s="117">
        <v>23800</v>
      </c>
      <c r="AP152" s="117">
        <v>0</v>
      </c>
      <c r="AQ152" s="117">
        <v>0</v>
      </c>
      <c r="AR152" s="117">
        <v>6</v>
      </c>
      <c r="AS152" s="117">
        <v>34400</v>
      </c>
      <c r="AT152" s="117">
        <v>24</v>
      </c>
      <c r="AU152" s="117">
        <v>358900</v>
      </c>
    </row>
    <row r="153" spans="1:47" x14ac:dyDescent="0.25">
      <c r="A153" s="117">
        <v>540121</v>
      </c>
      <c r="B153" s="2" t="s">
        <v>207</v>
      </c>
      <c r="C153" s="2" t="s">
        <v>51</v>
      </c>
      <c r="D153" s="2" t="s">
        <v>115</v>
      </c>
      <c r="E153" s="117">
        <v>1</v>
      </c>
      <c r="F153" s="117">
        <v>12</v>
      </c>
      <c r="G153" s="117">
        <v>29000</v>
      </c>
      <c r="H153" s="117">
        <v>110</v>
      </c>
      <c r="I153" s="117">
        <v>471000</v>
      </c>
      <c r="J153" s="117">
        <v>280</v>
      </c>
      <c r="K153" s="117">
        <v>2128500</v>
      </c>
      <c r="L153" s="117">
        <v>0</v>
      </c>
      <c r="M153" s="117">
        <v>0</v>
      </c>
      <c r="N153" s="117">
        <v>1</v>
      </c>
      <c r="O153" s="117">
        <v>3300</v>
      </c>
      <c r="P153" s="117">
        <v>34</v>
      </c>
      <c r="Q153" s="117">
        <v>1695300</v>
      </c>
      <c r="R153" s="117">
        <v>0</v>
      </c>
      <c r="S153" s="117">
        <v>0</v>
      </c>
      <c r="T153" s="117">
        <v>0</v>
      </c>
      <c r="U153" s="117">
        <v>0</v>
      </c>
      <c r="V153" s="117">
        <v>0</v>
      </c>
      <c r="W153" s="117">
        <v>0</v>
      </c>
      <c r="X153" s="117">
        <v>0</v>
      </c>
      <c r="Y153" s="117">
        <v>0</v>
      </c>
      <c r="Z153" s="117">
        <v>0</v>
      </c>
      <c r="AA153" s="117">
        <v>0</v>
      </c>
      <c r="AB153" s="117">
        <v>0</v>
      </c>
      <c r="AC153" s="117">
        <v>0</v>
      </c>
      <c r="AD153" s="117">
        <v>0</v>
      </c>
      <c r="AE153" s="117">
        <v>0</v>
      </c>
      <c r="AF153" s="117">
        <v>0</v>
      </c>
      <c r="AG153" s="117">
        <v>0</v>
      </c>
      <c r="AH153" s="117">
        <v>0</v>
      </c>
      <c r="AI153" s="117">
        <v>0</v>
      </c>
      <c r="AJ153" s="117">
        <v>0</v>
      </c>
      <c r="AK153" s="117">
        <v>0</v>
      </c>
      <c r="AL153" s="117">
        <v>0</v>
      </c>
      <c r="AM153" s="117">
        <v>0</v>
      </c>
      <c r="AN153" s="117">
        <v>2</v>
      </c>
      <c r="AO153" s="117">
        <v>95200</v>
      </c>
      <c r="AP153" s="117">
        <v>0</v>
      </c>
      <c r="AQ153" s="117">
        <v>0</v>
      </c>
      <c r="AR153" s="117">
        <v>13</v>
      </c>
      <c r="AS153" s="117">
        <v>157800</v>
      </c>
      <c r="AT153" s="117">
        <v>25</v>
      </c>
      <c r="AU153" s="117">
        <v>925000</v>
      </c>
    </row>
    <row r="154" spans="1:47" x14ac:dyDescent="0.25">
      <c r="A154" s="117">
        <v>540122</v>
      </c>
      <c r="B154" s="2" t="s">
        <v>208</v>
      </c>
      <c r="C154" s="2" t="s">
        <v>51</v>
      </c>
      <c r="D154" s="2" t="s">
        <v>115</v>
      </c>
      <c r="E154" s="117">
        <v>1</v>
      </c>
      <c r="F154" s="117">
        <v>6</v>
      </c>
      <c r="G154" s="117">
        <v>25500</v>
      </c>
      <c r="H154" s="117">
        <v>96</v>
      </c>
      <c r="I154" s="117">
        <v>425400</v>
      </c>
      <c r="J154" s="117">
        <v>506</v>
      </c>
      <c r="K154" s="117">
        <v>4202900</v>
      </c>
      <c r="L154" s="117">
        <v>0</v>
      </c>
      <c r="M154" s="117">
        <v>0</v>
      </c>
      <c r="N154" s="117">
        <v>2</v>
      </c>
      <c r="O154" s="117">
        <v>800</v>
      </c>
      <c r="P154" s="117">
        <v>29</v>
      </c>
      <c r="Q154" s="117">
        <v>564400</v>
      </c>
      <c r="R154" s="117">
        <v>0</v>
      </c>
      <c r="S154" s="117">
        <v>0</v>
      </c>
      <c r="T154" s="117">
        <v>0</v>
      </c>
      <c r="U154" s="117">
        <v>0</v>
      </c>
      <c r="V154" s="117">
        <v>1</v>
      </c>
      <c r="W154" s="117">
        <v>1000</v>
      </c>
      <c r="X154" s="117">
        <v>0</v>
      </c>
      <c r="Y154" s="117">
        <v>0</v>
      </c>
      <c r="Z154" s="117">
        <v>0</v>
      </c>
      <c r="AA154" s="117">
        <v>0</v>
      </c>
      <c r="AB154" s="117">
        <v>0</v>
      </c>
      <c r="AC154" s="117">
        <v>0</v>
      </c>
      <c r="AD154" s="117">
        <v>0</v>
      </c>
      <c r="AE154" s="117">
        <v>0</v>
      </c>
      <c r="AF154" s="117">
        <v>0</v>
      </c>
      <c r="AG154" s="117">
        <v>0</v>
      </c>
      <c r="AH154" s="117">
        <v>0</v>
      </c>
      <c r="AI154" s="117">
        <v>0</v>
      </c>
      <c r="AJ154" s="117">
        <v>0</v>
      </c>
      <c r="AK154" s="117">
        <v>0</v>
      </c>
      <c r="AL154" s="117">
        <v>0</v>
      </c>
      <c r="AM154" s="117">
        <v>0</v>
      </c>
      <c r="AN154" s="117">
        <v>7</v>
      </c>
      <c r="AO154" s="117">
        <v>32800</v>
      </c>
      <c r="AP154" s="117">
        <v>0</v>
      </c>
      <c r="AQ154" s="117">
        <v>0</v>
      </c>
      <c r="AR154" s="117">
        <v>1</v>
      </c>
      <c r="AS154" s="117">
        <v>300</v>
      </c>
      <c r="AT154" s="117">
        <v>23</v>
      </c>
      <c r="AU154" s="117">
        <v>936500</v>
      </c>
    </row>
    <row r="155" spans="1:47" x14ac:dyDescent="0.25">
      <c r="A155" s="117">
        <v>540123</v>
      </c>
      <c r="B155" s="2" t="s">
        <v>209</v>
      </c>
      <c r="C155" s="2" t="s">
        <v>51</v>
      </c>
      <c r="D155" s="2" t="s">
        <v>115</v>
      </c>
      <c r="E155" s="117">
        <v>1</v>
      </c>
      <c r="F155" s="117">
        <v>30</v>
      </c>
      <c r="G155" s="117">
        <v>101700</v>
      </c>
      <c r="H155" s="117">
        <v>643</v>
      </c>
      <c r="I155" s="117">
        <v>3537900</v>
      </c>
      <c r="J155" s="117">
        <v>1751</v>
      </c>
      <c r="K155" s="117">
        <v>18690800</v>
      </c>
      <c r="L155" s="117">
        <v>0</v>
      </c>
      <c r="M155" s="117">
        <v>0</v>
      </c>
      <c r="N155" s="117">
        <v>20</v>
      </c>
      <c r="O155" s="117">
        <v>211100</v>
      </c>
      <c r="P155" s="117">
        <v>148</v>
      </c>
      <c r="Q155" s="117">
        <v>12180100</v>
      </c>
      <c r="R155" s="117">
        <v>1</v>
      </c>
      <c r="S155" s="117">
        <v>2300</v>
      </c>
      <c r="T155" s="117">
        <v>1</v>
      </c>
      <c r="U155" s="117">
        <v>23800</v>
      </c>
      <c r="V155" s="117">
        <v>0</v>
      </c>
      <c r="W155" s="117">
        <v>0</v>
      </c>
      <c r="X155" s="117">
        <v>0</v>
      </c>
      <c r="Y155" s="117">
        <v>0</v>
      </c>
      <c r="Z155" s="117">
        <v>0</v>
      </c>
      <c r="AA155" s="117">
        <v>0</v>
      </c>
      <c r="AB155" s="117">
        <v>0</v>
      </c>
      <c r="AC155" s="117">
        <v>0</v>
      </c>
      <c r="AD155" s="117">
        <v>0</v>
      </c>
      <c r="AE155" s="117">
        <v>0</v>
      </c>
      <c r="AF155" s="117">
        <v>0</v>
      </c>
      <c r="AG155" s="117">
        <v>0</v>
      </c>
      <c r="AH155" s="117">
        <v>3</v>
      </c>
      <c r="AI155" s="117">
        <v>89300</v>
      </c>
      <c r="AJ155" s="117">
        <v>0</v>
      </c>
      <c r="AK155" s="117">
        <v>0</v>
      </c>
      <c r="AL155" s="117">
        <v>1</v>
      </c>
      <c r="AM155" s="117">
        <v>1800</v>
      </c>
      <c r="AN155" s="117">
        <v>4</v>
      </c>
      <c r="AO155" s="117">
        <v>153700</v>
      </c>
      <c r="AP155" s="117">
        <v>3</v>
      </c>
      <c r="AQ155" s="117">
        <v>37500</v>
      </c>
      <c r="AR155" s="117">
        <v>46</v>
      </c>
      <c r="AS155" s="117">
        <v>1541000</v>
      </c>
      <c r="AT155" s="117">
        <v>123</v>
      </c>
      <c r="AU155" s="117">
        <v>22122700</v>
      </c>
    </row>
    <row r="156" spans="1:47" x14ac:dyDescent="0.25">
      <c r="A156" s="117">
        <v>540291</v>
      </c>
      <c r="B156" s="2" t="s">
        <v>328</v>
      </c>
      <c r="C156" s="2" t="s">
        <v>51</v>
      </c>
      <c r="D156" s="2" t="s">
        <v>115</v>
      </c>
      <c r="E156" s="117">
        <v>1</v>
      </c>
      <c r="F156" s="117">
        <v>7</v>
      </c>
      <c r="G156" s="117">
        <v>4700</v>
      </c>
      <c r="H156" s="117">
        <v>37</v>
      </c>
      <c r="I156" s="117">
        <v>163900</v>
      </c>
      <c r="J156" s="117">
        <v>233</v>
      </c>
      <c r="K156" s="117">
        <v>1667300</v>
      </c>
      <c r="L156" s="117">
        <v>0</v>
      </c>
      <c r="M156" s="117">
        <v>0</v>
      </c>
      <c r="N156" s="117">
        <v>0</v>
      </c>
      <c r="O156" s="117">
        <v>0</v>
      </c>
      <c r="P156" s="117">
        <v>43</v>
      </c>
      <c r="Q156" s="117">
        <v>741800</v>
      </c>
      <c r="R156" s="117">
        <v>0</v>
      </c>
      <c r="S156" s="117">
        <v>0</v>
      </c>
      <c r="T156" s="117">
        <v>0</v>
      </c>
      <c r="U156" s="117">
        <v>0</v>
      </c>
      <c r="V156" s="117">
        <v>0</v>
      </c>
      <c r="W156" s="117">
        <v>0</v>
      </c>
      <c r="X156" s="117">
        <v>0</v>
      </c>
      <c r="Y156" s="117">
        <v>0</v>
      </c>
      <c r="Z156" s="117">
        <v>0</v>
      </c>
      <c r="AA156" s="117">
        <v>0</v>
      </c>
      <c r="AB156" s="117">
        <v>0</v>
      </c>
      <c r="AC156" s="117">
        <v>0</v>
      </c>
      <c r="AD156" s="117">
        <v>0</v>
      </c>
      <c r="AE156" s="117">
        <v>0</v>
      </c>
      <c r="AF156" s="117">
        <v>0</v>
      </c>
      <c r="AG156" s="117">
        <v>0</v>
      </c>
      <c r="AH156" s="117">
        <v>0</v>
      </c>
      <c r="AI156" s="117">
        <v>0</v>
      </c>
      <c r="AJ156" s="117">
        <v>0</v>
      </c>
      <c r="AK156" s="117">
        <v>0</v>
      </c>
      <c r="AL156" s="117">
        <v>0</v>
      </c>
      <c r="AM156" s="117">
        <v>0</v>
      </c>
      <c r="AN156" s="117">
        <v>3</v>
      </c>
      <c r="AO156" s="117">
        <v>9800</v>
      </c>
      <c r="AP156" s="117">
        <v>0</v>
      </c>
      <c r="AQ156" s="117">
        <v>0</v>
      </c>
      <c r="AR156" s="117">
        <v>0</v>
      </c>
      <c r="AS156" s="117">
        <v>0</v>
      </c>
      <c r="AT156" s="117">
        <v>15</v>
      </c>
      <c r="AU156" s="117">
        <v>216900</v>
      </c>
    </row>
    <row r="157" spans="1:47" x14ac:dyDescent="0.25">
      <c r="A157" s="269"/>
      <c r="B157" s="269"/>
      <c r="C157" s="269" t="s">
        <v>51</v>
      </c>
      <c r="D157" s="269"/>
      <c r="E157" s="269"/>
      <c r="F157" s="270">
        <v>239</v>
      </c>
      <c r="G157" s="270">
        <v>1318200</v>
      </c>
      <c r="H157" s="270">
        <v>3281</v>
      </c>
      <c r="I157" s="270">
        <v>19095800</v>
      </c>
      <c r="J157" s="270">
        <v>15687</v>
      </c>
      <c r="K157" s="270">
        <v>160008800</v>
      </c>
      <c r="L157" s="270">
        <v>5</v>
      </c>
      <c r="M157" s="270">
        <v>26200</v>
      </c>
      <c r="N157" s="270">
        <v>63</v>
      </c>
      <c r="O157" s="270">
        <v>1032000</v>
      </c>
      <c r="P157" s="270">
        <v>588</v>
      </c>
      <c r="Q157" s="270">
        <v>37516000</v>
      </c>
      <c r="R157" s="270">
        <v>1</v>
      </c>
      <c r="S157" s="270">
        <v>2300</v>
      </c>
      <c r="T157" s="270">
        <v>2</v>
      </c>
      <c r="U157" s="270">
        <v>24100</v>
      </c>
      <c r="V157" s="270">
        <v>4</v>
      </c>
      <c r="W157" s="270">
        <v>61000</v>
      </c>
      <c r="X157" s="270">
        <v>0</v>
      </c>
      <c r="Y157" s="270">
        <v>0</v>
      </c>
      <c r="Z157" s="270">
        <v>9</v>
      </c>
      <c r="AA157" s="270">
        <v>11300</v>
      </c>
      <c r="AB157" s="270">
        <v>6</v>
      </c>
      <c r="AC157" s="270">
        <v>965600</v>
      </c>
      <c r="AD157" s="270">
        <v>0</v>
      </c>
      <c r="AE157" s="270">
        <v>0</v>
      </c>
      <c r="AF157" s="270">
        <v>13</v>
      </c>
      <c r="AG157" s="270">
        <v>327000</v>
      </c>
      <c r="AH157" s="270">
        <v>31</v>
      </c>
      <c r="AI157" s="270">
        <v>426600</v>
      </c>
      <c r="AJ157" s="270">
        <v>2</v>
      </c>
      <c r="AK157" s="270">
        <v>1100</v>
      </c>
      <c r="AL157" s="270">
        <v>23</v>
      </c>
      <c r="AM157" s="270">
        <v>20200</v>
      </c>
      <c r="AN157" s="270">
        <v>63</v>
      </c>
      <c r="AO157" s="270">
        <v>552900</v>
      </c>
      <c r="AP157" s="270">
        <v>7</v>
      </c>
      <c r="AQ157" s="270">
        <v>41500</v>
      </c>
      <c r="AR157" s="270">
        <v>127</v>
      </c>
      <c r="AS157" s="270">
        <v>8011000</v>
      </c>
      <c r="AT157" s="270">
        <v>636</v>
      </c>
      <c r="AU157" s="270">
        <v>61444200</v>
      </c>
    </row>
    <row r="158" spans="1:47" x14ac:dyDescent="0.25">
      <c r="A158" s="117">
        <v>540124</v>
      </c>
      <c r="B158" s="2" t="s">
        <v>52</v>
      </c>
      <c r="C158" s="2" t="s">
        <v>53</v>
      </c>
      <c r="D158" s="2" t="s">
        <v>5</v>
      </c>
      <c r="E158" s="117">
        <v>1</v>
      </c>
      <c r="F158" s="117">
        <v>456</v>
      </c>
      <c r="G158" s="117">
        <v>14350300</v>
      </c>
      <c r="H158" s="117">
        <v>2533</v>
      </c>
      <c r="I158" s="117">
        <v>87456900</v>
      </c>
      <c r="J158" s="117">
        <v>21032</v>
      </c>
      <c r="K158" s="117">
        <v>1045651400</v>
      </c>
      <c r="L158" s="117">
        <v>22</v>
      </c>
      <c r="M158" s="117">
        <v>7050300</v>
      </c>
      <c r="N158" s="117">
        <v>72</v>
      </c>
      <c r="O158" s="117">
        <v>7787400</v>
      </c>
      <c r="P158" s="117">
        <v>1513</v>
      </c>
      <c r="Q158" s="117">
        <v>556338100</v>
      </c>
      <c r="R158" s="117">
        <v>0</v>
      </c>
      <c r="S158" s="117">
        <v>0</v>
      </c>
      <c r="T158" s="117">
        <v>0</v>
      </c>
      <c r="U158" s="117">
        <v>0</v>
      </c>
      <c r="V158" s="117">
        <v>0</v>
      </c>
      <c r="W158" s="117">
        <v>0</v>
      </c>
      <c r="X158" s="117">
        <v>1</v>
      </c>
      <c r="Y158" s="117">
        <v>63900</v>
      </c>
      <c r="Z158" s="117">
        <v>6</v>
      </c>
      <c r="AA158" s="117">
        <v>324100</v>
      </c>
      <c r="AB158" s="117">
        <v>57</v>
      </c>
      <c r="AC158" s="117">
        <v>17587700</v>
      </c>
      <c r="AD158" s="117">
        <v>36</v>
      </c>
      <c r="AE158" s="117">
        <v>1072800</v>
      </c>
      <c r="AF158" s="117">
        <v>145</v>
      </c>
      <c r="AG158" s="117">
        <v>6061800</v>
      </c>
      <c r="AH158" s="117">
        <v>862</v>
      </c>
      <c r="AI158" s="117">
        <v>43328600</v>
      </c>
      <c r="AJ158" s="117">
        <v>2</v>
      </c>
      <c r="AK158" s="117">
        <v>200</v>
      </c>
      <c r="AL158" s="117">
        <v>13</v>
      </c>
      <c r="AM158" s="117">
        <v>22100</v>
      </c>
      <c r="AN158" s="117">
        <v>39</v>
      </c>
      <c r="AO158" s="117">
        <v>273500</v>
      </c>
      <c r="AP158" s="117">
        <v>7</v>
      </c>
      <c r="AQ158" s="117">
        <v>346600</v>
      </c>
      <c r="AR158" s="117">
        <v>80</v>
      </c>
      <c r="AS158" s="117">
        <v>7968600</v>
      </c>
      <c r="AT158" s="117">
        <v>539</v>
      </c>
      <c r="AU158" s="117">
        <v>166255300</v>
      </c>
    </row>
    <row r="159" spans="1:47" x14ac:dyDescent="0.25">
      <c r="A159" s="117">
        <v>540125</v>
      </c>
      <c r="B159" s="2" t="s">
        <v>210</v>
      </c>
      <c r="C159" s="2" t="s">
        <v>53</v>
      </c>
      <c r="D159" s="2" t="s">
        <v>115</v>
      </c>
      <c r="E159" s="117">
        <v>1</v>
      </c>
      <c r="F159" s="117">
        <v>1</v>
      </c>
      <c r="G159" s="117">
        <v>26600</v>
      </c>
      <c r="H159" s="117">
        <v>5</v>
      </c>
      <c r="I159" s="117">
        <v>390300</v>
      </c>
      <c r="J159" s="117">
        <v>351</v>
      </c>
      <c r="K159" s="117">
        <v>6372900</v>
      </c>
      <c r="L159" s="117">
        <v>0</v>
      </c>
      <c r="M159" s="117">
        <v>0</v>
      </c>
      <c r="N159" s="117">
        <v>2</v>
      </c>
      <c r="O159" s="117">
        <v>35300</v>
      </c>
      <c r="P159" s="117">
        <v>14</v>
      </c>
      <c r="Q159" s="117">
        <v>361100</v>
      </c>
      <c r="R159" s="117">
        <v>0</v>
      </c>
      <c r="S159" s="117">
        <v>0</v>
      </c>
      <c r="T159" s="117">
        <v>0</v>
      </c>
      <c r="U159" s="117">
        <v>0</v>
      </c>
      <c r="V159" s="117">
        <v>0</v>
      </c>
      <c r="W159" s="117">
        <v>0</v>
      </c>
      <c r="X159" s="117">
        <v>0</v>
      </c>
      <c r="Y159" s="117">
        <v>0</v>
      </c>
      <c r="Z159" s="117">
        <v>0</v>
      </c>
      <c r="AA159" s="117">
        <v>0</v>
      </c>
      <c r="AB159" s="117">
        <v>0</v>
      </c>
      <c r="AC159" s="117">
        <v>0</v>
      </c>
      <c r="AD159" s="117">
        <v>0</v>
      </c>
      <c r="AE159" s="117">
        <v>0</v>
      </c>
      <c r="AF159" s="117">
        <v>0</v>
      </c>
      <c r="AG159" s="117">
        <v>0</v>
      </c>
      <c r="AH159" s="117">
        <v>0</v>
      </c>
      <c r="AI159" s="117">
        <v>0</v>
      </c>
      <c r="AJ159" s="117">
        <v>0</v>
      </c>
      <c r="AK159" s="117">
        <v>0</v>
      </c>
      <c r="AL159" s="117">
        <v>0</v>
      </c>
      <c r="AM159" s="117">
        <v>0</v>
      </c>
      <c r="AN159" s="117">
        <v>4</v>
      </c>
      <c r="AO159" s="117">
        <v>400</v>
      </c>
      <c r="AP159" s="117">
        <v>0</v>
      </c>
      <c r="AQ159" s="117">
        <v>0</v>
      </c>
      <c r="AR159" s="117">
        <v>0</v>
      </c>
      <c r="AS159" s="117">
        <v>0</v>
      </c>
      <c r="AT159" s="117">
        <v>19</v>
      </c>
      <c r="AU159" s="117">
        <v>366400</v>
      </c>
    </row>
    <row r="160" spans="1:47" x14ac:dyDescent="0.25">
      <c r="A160" s="117">
        <v>540126</v>
      </c>
      <c r="B160" s="2" t="s">
        <v>211</v>
      </c>
      <c r="C160" s="2" t="s">
        <v>53</v>
      </c>
      <c r="D160" s="2" t="s">
        <v>115</v>
      </c>
      <c r="E160" s="117">
        <v>1</v>
      </c>
      <c r="F160" s="117">
        <v>0</v>
      </c>
      <c r="G160" s="117">
        <v>0</v>
      </c>
      <c r="H160" s="117">
        <v>0</v>
      </c>
      <c r="I160" s="117">
        <v>0</v>
      </c>
      <c r="J160" s="117">
        <v>263</v>
      </c>
      <c r="K160" s="117">
        <v>1474400</v>
      </c>
      <c r="L160" s="117">
        <v>0</v>
      </c>
      <c r="M160" s="117">
        <v>0</v>
      </c>
      <c r="N160" s="117">
        <v>0</v>
      </c>
      <c r="O160" s="117">
        <v>0</v>
      </c>
      <c r="P160" s="117">
        <v>15</v>
      </c>
      <c r="Q160" s="117">
        <v>235600</v>
      </c>
      <c r="R160" s="117">
        <v>0</v>
      </c>
      <c r="S160" s="117">
        <v>0</v>
      </c>
      <c r="T160" s="117">
        <v>0</v>
      </c>
      <c r="U160" s="117">
        <v>0</v>
      </c>
      <c r="V160" s="117">
        <v>0</v>
      </c>
      <c r="W160" s="117">
        <v>0</v>
      </c>
      <c r="X160" s="117">
        <v>0</v>
      </c>
      <c r="Y160" s="117">
        <v>0</v>
      </c>
      <c r="Z160" s="117">
        <v>0</v>
      </c>
      <c r="AA160" s="117">
        <v>0</v>
      </c>
      <c r="AB160" s="117">
        <v>0</v>
      </c>
      <c r="AC160" s="117">
        <v>0</v>
      </c>
      <c r="AD160" s="117">
        <v>0</v>
      </c>
      <c r="AE160" s="117">
        <v>0</v>
      </c>
      <c r="AF160" s="117">
        <v>0</v>
      </c>
      <c r="AG160" s="117">
        <v>0</v>
      </c>
      <c r="AH160" s="117">
        <v>0</v>
      </c>
      <c r="AI160" s="117">
        <v>0</v>
      </c>
      <c r="AJ160" s="117">
        <v>0</v>
      </c>
      <c r="AK160" s="117">
        <v>0</v>
      </c>
      <c r="AL160" s="117">
        <v>0</v>
      </c>
      <c r="AM160" s="117">
        <v>0</v>
      </c>
      <c r="AN160" s="117">
        <v>9</v>
      </c>
      <c r="AO160" s="117">
        <v>6000</v>
      </c>
      <c r="AP160" s="117">
        <v>0</v>
      </c>
      <c r="AQ160" s="117">
        <v>0</v>
      </c>
      <c r="AR160" s="117">
        <v>0</v>
      </c>
      <c r="AS160" s="117">
        <v>0</v>
      </c>
      <c r="AT160" s="117">
        <v>10</v>
      </c>
      <c r="AU160" s="117">
        <v>954000</v>
      </c>
    </row>
    <row r="161" spans="1:47" x14ac:dyDescent="0.25">
      <c r="A161" s="117">
        <v>540127</v>
      </c>
      <c r="B161" s="2" t="s">
        <v>212</v>
      </c>
      <c r="C161" s="2" t="s">
        <v>53</v>
      </c>
      <c r="D161" s="2" t="s">
        <v>115</v>
      </c>
      <c r="E161" s="117">
        <v>1</v>
      </c>
      <c r="F161" s="117">
        <v>6</v>
      </c>
      <c r="G161" s="117">
        <v>20000</v>
      </c>
      <c r="H161" s="117">
        <v>9</v>
      </c>
      <c r="I161" s="117">
        <v>58900</v>
      </c>
      <c r="J161" s="117">
        <v>51</v>
      </c>
      <c r="K161" s="117">
        <v>833700</v>
      </c>
      <c r="L161" s="117">
        <v>0</v>
      </c>
      <c r="M161" s="117">
        <v>0</v>
      </c>
      <c r="N161" s="117">
        <v>0</v>
      </c>
      <c r="O161" s="117">
        <v>0</v>
      </c>
      <c r="P161" s="117">
        <v>0</v>
      </c>
      <c r="Q161" s="117">
        <v>0</v>
      </c>
      <c r="R161" s="117">
        <v>0</v>
      </c>
      <c r="S161" s="117">
        <v>0</v>
      </c>
      <c r="T161" s="117">
        <v>0</v>
      </c>
      <c r="U161" s="117">
        <v>0</v>
      </c>
      <c r="V161" s="117">
        <v>0</v>
      </c>
      <c r="W161" s="117">
        <v>0</v>
      </c>
      <c r="X161" s="117">
        <v>0</v>
      </c>
      <c r="Y161" s="117">
        <v>0</v>
      </c>
      <c r="Z161" s="117">
        <v>0</v>
      </c>
      <c r="AA161" s="117">
        <v>0</v>
      </c>
      <c r="AB161" s="117">
        <v>0</v>
      </c>
      <c r="AC161" s="117">
        <v>0</v>
      </c>
      <c r="AD161" s="117">
        <v>0</v>
      </c>
      <c r="AE161" s="117">
        <v>0</v>
      </c>
      <c r="AF161" s="117">
        <v>0</v>
      </c>
      <c r="AG161" s="117">
        <v>0</v>
      </c>
      <c r="AH161" s="117">
        <v>0</v>
      </c>
      <c r="AI161" s="117">
        <v>0</v>
      </c>
      <c r="AJ161" s="117">
        <v>0</v>
      </c>
      <c r="AK161" s="117">
        <v>0</v>
      </c>
      <c r="AL161" s="117">
        <v>0</v>
      </c>
      <c r="AM161" s="117">
        <v>0</v>
      </c>
      <c r="AN161" s="117">
        <v>1</v>
      </c>
      <c r="AO161" s="117">
        <v>100</v>
      </c>
      <c r="AP161" s="117">
        <v>1</v>
      </c>
      <c r="AQ161" s="117">
        <v>8100</v>
      </c>
      <c r="AR161" s="117">
        <v>0</v>
      </c>
      <c r="AS161" s="117">
        <v>0</v>
      </c>
      <c r="AT161" s="117">
        <v>9</v>
      </c>
      <c r="AU161" s="117">
        <v>170300</v>
      </c>
    </row>
    <row r="162" spans="1:47" x14ac:dyDescent="0.25">
      <c r="A162" s="117">
        <v>540128</v>
      </c>
      <c r="B162" s="2" t="s">
        <v>213</v>
      </c>
      <c r="C162" s="2" t="s">
        <v>53</v>
      </c>
      <c r="D162" s="2" t="s">
        <v>115</v>
      </c>
      <c r="E162" s="117">
        <v>1</v>
      </c>
      <c r="F162" s="117">
        <v>8</v>
      </c>
      <c r="G162" s="117">
        <v>51100</v>
      </c>
      <c r="H162" s="117">
        <v>71</v>
      </c>
      <c r="I162" s="117">
        <v>1942500</v>
      </c>
      <c r="J162" s="117">
        <v>2986</v>
      </c>
      <c r="K162" s="117">
        <v>160507700</v>
      </c>
      <c r="L162" s="117">
        <v>0</v>
      </c>
      <c r="M162" s="117">
        <v>0</v>
      </c>
      <c r="N162" s="117">
        <v>5</v>
      </c>
      <c r="O162" s="117">
        <v>10600</v>
      </c>
      <c r="P162" s="117">
        <v>518</v>
      </c>
      <c r="Q162" s="117">
        <v>112119100</v>
      </c>
      <c r="R162" s="117">
        <v>0</v>
      </c>
      <c r="S162" s="117">
        <v>0</v>
      </c>
      <c r="T162" s="117">
        <v>0</v>
      </c>
      <c r="U162" s="117">
        <v>0</v>
      </c>
      <c r="V162" s="117">
        <v>0</v>
      </c>
      <c r="W162" s="117">
        <v>0</v>
      </c>
      <c r="X162" s="117">
        <v>0</v>
      </c>
      <c r="Y162" s="117">
        <v>0</v>
      </c>
      <c r="Z162" s="117">
        <v>0</v>
      </c>
      <c r="AA162" s="117">
        <v>0</v>
      </c>
      <c r="AB162" s="117">
        <v>4</v>
      </c>
      <c r="AC162" s="117">
        <v>667500</v>
      </c>
      <c r="AD162" s="117">
        <v>0</v>
      </c>
      <c r="AE162" s="117">
        <v>0</v>
      </c>
      <c r="AF162" s="117">
        <v>0</v>
      </c>
      <c r="AG162" s="117">
        <v>0</v>
      </c>
      <c r="AH162" s="117">
        <v>1</v>
      </c>
      <c r="AI162" s="117">
        <v>17500</v>
      </c>
      <c r="AJ162" s="117">
        <v>0</v>
      </c>
      <c r="AK162" s="117">
        <v>0</v>
      </c>
      <c r="AL162" s="117">
        <v>0</v>
      </c>
      <c r="AM162" s="117">
        <v>0</v>
      </c>
      <c r="AN162" s="117">
        <v>8</v>
      </c>
      <c r="AO162" s="117">
        <v>680100</v>
      </c>
      <c r="AP162" s="117">
        <v>0</v>
      </c>
      <c r="AQ162" s="117">
        <v>0</v>
      </c>
      <c r="AR162" s="117">
        <v>2</v>
      </c>
      <c r="AS162" s="117">
        <v>485800</v>
      </c>
      <c r="AT162" s="117">
        <v>276</v>
      </c>
      <c r="AU162" s="117">
        <v>97315100</v>
      </c>
    </row>
    <row r="163" spans="1:47" x14ac:dyDescent="0.25">
      <c r="A163" s="117">
        <v>540172</v>
      </c>
      <c r="B163" s="2" t="s">
        <v>244</v>
      </c>
      <c r="C163" s="2" t="s">
        <v>53</v>
      </c>
      <c r="D163" s="2" t="s">
        <v>115</v>
      </c>
      <c r="E163" s="117">
        <v>1</v>
      </c>
      <c r="F163" s="117">
        <v>1</v>
      </c>
      <c r="G163" s="117">
        <v>51600</v>
      </c>
      <c r="H163" s="117">
        <v>11</v>
      </c>
      <c r="I163" s="117">
        <v>379000</v>
      </c>
      <c r="J163" s="117">
        <v>386</v>
      </c>
      <c r="K163" s="117">
        <v>24086400</v>
      </c>
      <c r="L163" s="117">
        <v>0</v>
      </c>
      <c r="M163" s="117">
        <v>0</v>
      </c>
      <c r="N163" s="117">
        <v>0</v>
      </c>
      <c r="O163" s="117">
        <v>0</v>
      </c>
      <c r="P163" s="117">
        <v>27</v>
      </c>
      <c r="Q163" s="117">
        <v>5687500</v>
      </c>
      <c r="R163" s="117">
        <v>0</v>
      </c>
      <c r="S163" s="117">
        <v>0</v>
      </c>
      <c r="T163" s="117">
        <v>0</v>
      </c>
      <c r="U163" s="117">
        <v>0</v>
      </c>
      <c r="V163" s="117">
        <v>0</v>
      </c>
      <c r="W163" s="117">
        <v>0</v>
      </c>
      <c r="X163" s="117">
        <v>0</v>
      </c>
      <c r="Y163" s="117">
        <v>0</v>
      </c>
      <c r="Z163" s="117">
        <v>0</v>
      </c>
      <c r="AA163" s="117">
        <v>0</v>
      </c>
      <c r="AB163" s="117">
        <v>1</v>
      </c>
      <c r="AC163" s="117">
        <v>49200</v>
      </c>
      <c r="AD163" s="117">
        <v>0</v>
      </c>
      <c r="AE163" s="117">
        <v>0</v>
      </c>
      <c r="AF163" s="117">
        <v>0</v>
      </c>
      <c r="AG163" s="117">
        <v>0</v>
      </c>
      <c r="AH163" s="117">
        <v>0</v>
      </c>
      <c r="AI163" s="117">
        <v>0</v>
      </c>
      <c r="AJ163" s="117">
        <v>0</v>
      </c>
      <c r="AK163" s="117">
        <v>0</v>
      </c>
      <c r="AL163" s="117">
        <v>0</v>
      </c>
      <c r="AM163" s="117">
        <v>0</v>
      </c>
      <c r="AN163" s="117">
        <v>3</v>
      </c>
      <c r="AO163" s="117">
        <v>2600</v>
      </c>
      <c r="AP163" s="117">
        <v>0</v>
      </c>
      <c r="AQ163" s="117">
        <v>0</v>
      </c>
      <c r="AR163" s="117">
        <v>2</v>
      </c>
      <c r="AS163" s="117">
        <v>600</v>
      </c>
      <c r="AT163" s="117">
        <v>59</v>
      </c>
      <c r="AU163" s="117">
        <v>5238400</v>
      </c>
    </row>
    <row r="164" spans="1:47" x14ac:dyDescent="0.25">
      <c r="A164" s="117">
        <v>540285</v>
      </c>
      <c r="B164" s="2" t="s">
        <v>324</v>
      </c>
      <c r="C164" s="2" t="s">
        <v>53</v>
      </c>
      <c r="D164" s="2" t="s">
        <v>115</v>
      </c>
      <c r="E164" s="117">
        <v>1</v>
      </c>
      <c r="F164" s="117">
        <v>160</v>
      </c>
      <c r="G164" s="117">
        <v>2084000</v>
      </c>
      <c r="H164" s="117">
        <v>1575</v>
      </c>
      <c r="I164" s="117">
        <v>30621600</v>
      </c>
      <c r="J164" s="117">
        <v>5351</v>
      </c>
      <c r="K164" s="117">
        <v>246885200</v>
      </c>
      <c r="L164" s="117">
        <v>7</v>
      </c>
      <c r="M164" s="117">
        <v>922700</v>
      </c>
      <c r="N164" s="117">
        <v>78</v>
      </c>
      <c r="O164" s="117">
        <v>39526400</v>
      </c>
      <c r="P164" s="117">
        <v>627</v>
      </c>
      <c r="Q164" s="117">
        <v>90196000</v>
      </c>
      <c r="R164" s="117">
        <v>0</v>
      </c>
      <c r="S164" s="117">
        <v>0</v>
      </c>
      <c r="T164" s="117">
        <v>0</v>
      </c>
      <c r="U164" s="117">
        <v>0</v>
      </c>
      <c r="V164" s="117">
        <v>1</v>
      </c>
      <c r="W164" s="117">
        <v>500</v>
      </c>
      <c r="X164" s="117">
        <v>0</v>
      </c>
      <c r="Y164" s="117">
        <v>0</v>
      </c>
      <c r="Z164" s="117">
        <v>1</v>
      </c>
      <c r="AA164" s="117">
        <v>218500</v>
      </c>
      <c r="AB164" s="117">
        <v>10</v>
      </c>
      <c r="AC164" s="117">
        <v>1560500</v>
      </c>
      <c r="AD164" s="117">
        <v>0</v>
      </c>
      <c r="AE164" s="117">
        <v>0</v>
      </c>
      <c r="AF164" s="117">
        <v>0</v>
      </c>
      <c r="AG164" s="117">
        <v>0</v>
      </c>
      <c r="AH164" s="117">
        <v>1</v>
      </c>
      <c r="AI164" s="117">
        <v>80500</v>
      </c>
      <c r="AJ164" s="117">
        <v>1</v>
      </c>
      <c r="AK164" s="117">
        <v>100</v>
      </c>
      <c r="AL164" s="117">
        <v>7</v>
      </c>
      <c r="AM164" s="117">
        <v>40500</v>
      </c>
      <c r="AN164" s="117">
        <v>20</v>
      </c>
      <c r="AO164" s="117">
        <v>2449900</v>
      </c>
      <c r="AP164" s="117">
        <v>21</v>
      </c>
      <c r="AQ164" s="117">
        <v>5554600</v>
      </c>
      <c r="AR164" s="117">
        <v>150</v>
      </c>
      <c r="AS164" s="117">
        <v>6301900</v>
      </c>
      <c r="AT164" s="117">
        <v>421</v>
      </c>
      <c r="AU164" s="117">
        <v>96143300</v>
      </c>
    </row>
    <row r="165" spans="1:47" x14ac:dyDescent="0.25">
      <c r="A165" s="269"/>
      <c r="B165" s="269"/>
      <c r="C165" s="269" t="s">
        <v>53</v>
      </c>
      <c r="D165" s="269"/>
      <c r="E165" s="269"/>
      <c r="F165" s="270">
        <v>632</v>
      </c>
      <c r="G165" s="270">
        <v>16583600</v>
      </c>
      <c r="H165" s="270">
        <v>4204</v>
      </c>
      <c r="I165" s="270">
        <v>120849200</v>
      </c>
      <c r="J165" s="270">
        <v>30420</v>
      </c>
      <c r="K165" s="270">
        <v>1485811700</v>
      </c>
      <c r="L165" s="270">
        <v>29</v>
      </c>
      <c r="M165" s="270">
        <v>7973000</v>
      </c>
      <c r="N165" s="270">
        <v>157</v>
      </c>
      <c r="O165" s="270">
        <v>47359700</v>
      </c>
      <c r="P165" s="270">
        <v>2714</v>
      </c>
      <c r="Q165" s="270">
        <v>764937400</v>
      </c>
      <c r="R165" s="270">
        <v>0</v>
      </c>
      <c r="S165" s="270">
        <v>0</v>
      </c>
      <c r="T165" s="270">
        <v>0</v>
      </c>
      <c r="U165" s="270">
        <v>0</v>
      </c>
      <c r="V165" s="270">
        <v>1</v>
      </c>
      <c r="W165" s="270">
        <v>500</v>
      </c>
      <c r="X165" s="270">
        <v>1</v>
      </c>
      <c r="Y165" s="270">
        <v>63900</v>
      </c>
      <c r="Z165" s="270">
        <v>7</v>
      </c>
      <c r="AA165" s="270">
        <v>542600</v>
      </c>
      <c r="AB165" s="270">
        <v>72</v>
      </c>
      <c r="AC165" s="270">
        <v>19864900</v>
      </c>
      <c r="AD165" s="270">
        <v>36</v>
      </c>
      <c r="AE165" s="270">
        <v>1072800</v>
      </c>
      <c r="AF165" s="270">
        <v>145</v>
      </c>
      <c r="AG165" s="270">
        <v>6061800</v>
      </c>
      <c r="AH165" s="270">
        <v>864</v>
      </c>
      <c r="AI165" s="270">
        <v>43426600</v>
      </c>
      <c r="AJ165" s="270">
        <v>3</v>
      </c>
      <c r="AK165" s="270">
        <v>300</v>
      </c>
      <c r="AL165" s="270">
        <v>20</v>
      </c>
      <c r="AM165" s="270">
        <v>62600</v>
      </c>
      <c r="AN165" s="270">
        <v>84</v>
      </c>
      <c r="AO165" s="270">
        <v>3412600</v>
      </c>
      <c r="AP165" s="270">
        <v>29</v>
      </c>
      <c r="AQ165" s="270">
        <v>5909300</v>
      </c>
      <c r="AR165" s="270">
        <v>234</v>
      </c>
      <c r="AS165" s="270">
        <v>14756900</v>
      </c>
      <c r="AT165" s="270">
        <v>1333</v>
      </c>
      <c r="AU165" s="270">
        <v>366442800</v>
      </c>
    </row>
    <row r="166" spans="1:47" x14ac:dyDescent="0.25">
      <c r="A166" s="117">
        <v>540129</v>
      </c>
      <c r="B166" s="2" t="s">
        <v>54</v>
      </c>
      <c r="C166" s="2" t="s">
        <v>55</v>
      </c>
      <c r="D166" s="2" t="s">
        <v>5</v>
      </c>
      <c r="E166" s="117">
        <v>8</v>
      </c>
      <c r="F166" s="117">
        <v>157</v>
      </c>
      <c r="G166" s="117">
        <v>11691400</v>
      </c>
      <c r="H166" s="117">
        <v>1220</v>
      </c>
      <c r="I166" s="117">
        <v>90569900</v>
      </c>
      <c r="J166" s="117">
        <v>10199</v>
      </c>
      <c r="K166" s="117">
        <v>815959100</v>
      </c>
      <c r="L166" s="117">
        <v>1</v>
      </c>
      <c r="M166" s="117">
        <v>45600</v>
      </c>
      <c r="N166" s="117">
        <v>7</v>
      </c>
      <c r="O166" s="117">
        <v>381100</v>
      </c>
      <c r="P166" s="117">
        <v>311</v>
      </c>
      <c r="Q166" s="117">
        <v>96661900</v>
      </c>
      <c r="R166" s="117">
        <v>0</v>
      </c>
      <c r="S166" s="117">
        <v>0</v>
      </c>
      <c r="T166" s="117">
        <v>0</v>
      </c>
      <c r="U166" s="117">
        <v>0</v>
      </c>
      <c r="V166" s="117">
        <v>1</v>
      </c>
      <c r="W166" s="117">
        <v>140400</v>
      </c>
      <c r="X166" s="117">
        <v>1</v>
      </c>
      <c r="Y166" s="117">
        <v>249800</v>
      </c>
      <c r="Z166" s="117">
        <v>4</v>
      </c>
      <c r="AA166" s="117">
        <v>615300</v>
      </c>
      <c r="AB166" s="117">
        <v>32</v>
      </c>
      <c r="AC166" s="117">
        <v>8487100</v>
      </c>
      <c r="AD166" s="117">
        <v>36</v>
      </c>
      <c r="AE166" s="117">
        <v>1899100</v>
      </c>
      <c r="AF166" s="117">
        <v>130</v>
      </c>
      <c r="AG166" s="117">
        <v>6191700</v>
      </c>
      <c r="AH166" s="117">
        <v>899</v>
      </c>
      <c r="AI166" s="117">
        <v>50229000</v>
      </c>
      <c r="AJ166" s="117">
        <v>3</v>
      </c>
      <c r="AK166" s="117">
        <v>18800</v>
      </c>
      <c r="AL166" s="117">
        <v>4</v>
      </c>
      <c r="AM166" s="117">
        <v>39000</v>
      </c>
      <c r="AN166" s="117">
        <v>33</v>
      </c>
      <c r="AO166" s="117">
        <v>581200</v>
      </c>
      <c r="AP166" s="117">
        <v>2</v>
      </c>
      <c r="AQ166" s="117">
        <v>132500</v>
      </c>
      <c r="AR166" s="117">
        <v>18</v>
      </c>
      <c r="AS166" s="117">
        <v>1077500</v>
      </c>
      <c r="AT166" s="117">
        <v>324</v>
      </c>
      <c r="AU166" s="117">
        <v>39788600</v>
      </c>
    </row>
    <row r="167" spans="1:47" x14ac:dyDescent="0.25">
      <c r="A167" s="117">
        <v>540130</v>
      </c>
      <c r="B167" s="2" t="s">
        <v>214</v>
      </c>
      <c r="C167" s="2" t="s">
        <v>55</v>
      </c>
      <c r="D167" s="2" t="s">
        <v>115</v>
      </c>
      <c r="E167" s="117">
        <v>8</v>
      </c>
      <c r="F167" s="117">
        <v>3</v>
      </c>
      <c r="G167" s="117">
        <v>283900</v>
      </c>
      <c r="H167" s="117">
        <v>57</v>
      </c>
      <c r="I167" s="117">
        <v>1897900</v>
      </c>
      <c r="J167" s="117">
        <v>1728</v>
      </c>
      <c r="K167" s="117">
        <v>115339500</v>
      </c>
      <c r="L167" s="117">
        <v>0</v>
      </c>
      <c r="M167" s="117">
        <v>0</v>
      </c>
      <c r="N167" s="117">
        <v>2</v>
      </c>
      <c r="O167" s="117">
        <v>100900</v>
      </c>
      <c r="P167" s="117">
        <v>133</v>
      </c>
      <c r="Q167" s="117">
        <v>22735100</v>
      </c>
      <c r="R167" s="117">
        <v>0</v>
      </c>
      <c r="S167" s="117">
        <v>0</v>
      </c>
      <c r="T167" s="117">
        <v>0</v>
      </c>
      <c r="U167" s="117">
        <v>0</v>
      </c>
      <c r="V167" s="117">
        <v>0</v>
      </c>
      <c r="W167" s="117">
        <v>0</v>
      </c>
      <c r="X167" s="117">
        <v>0</v>
      </c>
      <c r="Y167" s="117">
        <v>0</v>
      </c>
      <c r="Z167" s="117">
        <v>0</v>
      </c>
      <c r="AA167" s="117">
        <v>0</v>
      </c>
      <c r="AB167" s="117">
        <v>0</v>
      </c>
      <c r="AC167" s="117">
        <v>0</v>
      </c>
      <c r="AD167" s="117">
        <v>0</v>
      </c>
      <c r="AE167" s="117">
        <v>0</v>
      </c>
      <c r="AF167" s="117">
        <v>0</v>
      </c>
      <c r="AG167" s="117">
        <v>0</v>
      </c>
      <c r="AH167" s="117">
        <v>0</v>
      </c>
      <c r="AI167" s="117">
        <v>0</v>
      </c>
      <c r="AJ167" s="117">
        <v>0</v>
      </c>
      <c r="AK167" s="117">
        <v>0</v>
      </c>
      <c r="AL167" s="117">
        <v>0</v>
      </c>
      <c r="AM167" s="117">
        <v>0</v>
      </c>
      <c r="AN167" s="117">
        <v>10</v>
      </c>
      <c r="AO167" s="117">
        <v>715300</v>
      </c>
      <c r="AP167" s="117">
        <v>0</v>
      </c>
      <c r="AQ167" s="117">
        <v>0</v>
      </c>
      <c r="AR167" s="117">
        <v>8</v>
      </c>
      <c r="AS167" s="117">
        <v>437200</v>
      </c>
      <c r="AT167" s="117">
        <v>113</v>
      </c>
      <c r="AU167" s="117">
        <v>37461500</v>
      </c>
    </row>
    <row r="168" spans="1:47" x14ac:dyDescent="0.25">
      <c r="A168" s="117">
        <v>540131</v>
      </c>
      <c r="B168" s="2" t="s">
        <v>215</v>
      </c>
      <c r="C168" s="2" t="s">
        <v>55</v>
      </c>
      <c r="D168" s="2" t="s">
        <v>115</v>
      </c>
      <c r="E168" s="117">
        <v>8</v>
      </c>
      <c r="F168" s="117">
        <v>22</v>
      </c>
      <c r="G168" s="117">
        <v>259500</v>
      </c>
      <c r="H168" s="117">
        <v>87</v>
      </c>
      <c r="I168" s="117">
        <v>1359500</v>
      </c>
      <c r="J168" s="117">
        <v>343</v>
      </c>
      <c r="K168" s="117">
        <v>8500000</v>
      </c>
      <c r="L168" s="117">
        <v>0</v>
      </c>
      <c r="M168" s="117">
        <v>0</v>
      </c>
      <c r="N168" s="117">
        <v>1</v>
      </c>
      <c r="O168" s="117">
        <v>18900</v>
      </c>
      <c r="P168" s="117">
        <v>37</v>
      </c>
      <c r="Q168" s="117">
        <v>1402900</v>
      </c>
      <c r="R168" s="117">
        <v>0</v>
      </c>
      <c r="S168" s="117">
        <v>0</v>
      </c>
      <c r="T168" s="117">
        <v>0</v>
      </c>
      <c r="U168" s="117">
        <v>0</v>
      </c>
      <c r="V168" s="117">
        <v>0</v>
      </c>
      <c r="W168" s="117">
        <v>0</v>
      </c>
      <c r="X168" s="117">
        <v>0</v>
      </c>
      <c r="Y168" s="117">
        <v>0</v>
      </c>
      <c r="Z168" s="117">
        <v>0</v>
      </c>
      <c r="AA168" s="117">
        <v>0</v>
      </c>
      <c r="AB168" s="117">
        <v>0</v>
      </c>
      <c r="AC168" s="117">
        <v>0</v>
      </c>
      <c r="AD168" s="117">
        <v>0</v>
      </c>
      <c r="AE168" s="117">
        <v>0</v>
      </c>
      <c r="AF168" s="117">
        <v>0</v>
      </c>
      <c r="AG168" s="117">
        <v>0</v>
      </c>
      <c r="AH168" s="117">
        <v>0</v>
      </c>
      <c r="AI168" s="117">
        <v>0</v>
      </c>
      <c r="AJ168" s="117">
        <v>1</v>
      </c>
      <c r="AK168" s="117">
        <v>1100</v>
      </c>
      <c r="AL168" s="117">
        <v>2</v>
      </c>
      <c r="AM168" s="117">
        <v>4600</v>
      </c>
      <c r="AN168" s="117">
        <v>3</v>
      </c>
      <c r="AO168" s="117">
        <v>44000</v>
      </c>
      <c r="AP168" s="117">
        <v>2</v>
      </c>
      <c r="AQ168" s="117">
        <v>2900</v>
      </c>
      <c r="AR168" s="117">
        <v>12</v>
      </c>
      <c r="AS168" s="117">
        <v>48000</v>
      </c>
      <c r="AT168" s="117">
        <v>40</v>
      </c>
      <c r="AU168" s="117">
        <v>3606000</v>
      </c>
    </row>
    <row r="169" spans="1:47" x14ac:dyDescent="0.25">
      <c r="A169" s="117">
        <v>540155</v>
      </c>
      <c r="B169" s="2" t="s">
        <v>231</v>
      </c>
      <c r="C169" s="2" t="s">
        <v>55</v>
      </c>
      <c r="D169" s="2" t="s">
        <v>115</v>
      </c>
      <c r="E169" s="117">
        <v>8</v>
      </c>
      <c r="F169" s="117">
        <v>2</v>
      </c>
      <c r="G169" s="117">
        <v>59900</v>
      </c>
      <c r="H169" s="117">
        <v>36</v>
      </c>
      <c r="I169" s="117">
        <v>1698500</v>
      </c>
      <c r="J169" s="117">
        <v>342</v>
      </c>
      <c r="K169" s="117">
        <v>14112600</v>
      </c>
      <c r="L169" s="117">
        <v>0</v>
      </c>
      <c r="M169" s="117">
        <v>0</v>
      </c>
      <c r="N169" s="117">
        <v>1</v>
      </c>
      <c r="O169" s="117">
        <v>300</v>
      </c>
      <c r="P169" s="117">
        <v>28</v>
      </c>
      <c r="Q169" s="117">
        <v>2322900</v>
      </c>
      <c r="R169" s="117">
        <v>0</v>
      </c>
      <c r="S169" s="117">
        <v>0</v>
      </c>
      <c r="T169" s="117">
        <v>0</v>
      </c>
      <c r="U169" s="117">
        <v>0</v>
      </c>
      <c r="V169" s="117">
        <v>0</v>
      </c>
      <c r="W169" s="117">
        <v>0</v>
      </c>
      <c r="X169" s="117">
        <v>0</v>
      </c>
      <c r="Y169" s="117">
        <v>0</v>
      </c>
      <c r="Z169" s="117">
        <v>0</v>
      </c>
      <c r="AA169" s="117">
        <v>0</v>
      </c>
      <c r="AB169" s="117">
        <v>0</v>
      </c>
      <c r="AC169" s="117">
        <v>0</v>
      </c>
      <c r="AD169" s="117">
        <v>0</v>
      </c>
      <c r="AE169" s="117">
        <v>0</v>
      </c>
      <c r="AF169" s="117">
        <v>0</v>
      </c>
      <c r="AG169" s="117">
        <v>0</v>
      </c>
      <c r="AH169" s="117">
        <v>0</v>
      </c>
      <c r="AI169" s="117">
        <v>0</v>
      </c>
      <c r="AJ169" s="117">
        <v>0</v>
      </c>
      <c r="AK169" s="117">
        <v>0</v>
      </c>
      <c r="AL169" s="117">
        <v>1</v>
      </c>
      <c r="AM169" s="117">
        <v>5300</v>
      </c>
      <c r="AN169" s="117">
        <v>4</v>
      </c>
      <c r="AO169" s="117">
        <v>25500</v>
      </c>
      <c r="AP169" s="117">
        <v>0</v>
      </c>
      <c r="AQ169" s="117">
        <v>0</v>
      </c>
      <c r="AR169" s="117">
        <v>5</v>
      </c>
      <c r="AS169" s="117">
        <v>64700</v>
      </c>
      <c r="AT169" s="117">
        <v>26</v>
      </c>
      <c r="AU169" s="117">
        <v>2095000</v>
      </c>
    </row>
    <row r="170" spans="1:47" x14ac:dyDescent="0.25">
      <c r="A170" s="117">
        <v>545555</v>
      </c>
      <c r="B170" s="2" t="s">
        <v>336</v>
      </c>
      <c r="C170" s="2" t="s">
        <v>55</v>
      </c>
      <c r="D170" s="2" t="s">
        <v>115</v>
      </c>
      <c r="E170" s="117">
        <v>8</v>
      </c>
      <c r="F170" s="117">
        <v>1</v>
      </c>
      <c r="G170" s="117">
        <v>15100</v>
      </c>
      <c r="H170" s="117">
        <v>17</v>
      </c>
      <c r="I170" s="117">
        <v>833900</v>
      </c>
      <c r="J170" s="117">
        <v>569</v>
      </c>
      <c r="K170" s="117">
        <v>33621100</v>
      </c>
      <c r="L170" s="117">
        <v>0</v>
      </c>
      <c r="M170" s="117">
        <v>0</v>
      </c>
      <c r="N170" s="117">
        <v>0</v>
      </c>
      <c r="O170" s="117">
        <v>0</v>
      </c>
      <c r="P170" s="117">
        <v>3</v>
      </c>
      <c r="Q170" s="117">
        <v>717100</v>
      </c>
      <c r="R170" s="117">
        <v>0</v>
      </c>
      <c r="S170" s="117">
        <v>0</v>
      </c>
      <c r="T170" s="117">
        <v>0</v>
      </c>
      <c r="U170" s="117">
        <v>0</v>
      </c>
      <c r="V170" s="117">
        <v>0</v>
      </c>
      <c r="W170" s="117">
        <v>0</v>
      </c>
      <c r="X170" s="117">
        <v>0</v>
      </c>
      <c r="Y170" s="117">
        <v>0</v>
      </c>
      <c r="Z170" s="117">
        <v>0</v>
      </c>
      <c r="AA170" s="117">
        <v>0</v>
      </c>
      <c r="AB170" s="117">
        <v>0</v>
      </c>
      <c r="AC170" s="117">
        <v>0</v>
      </c>
      <c r="AD170" s="117">
        <v>0</v>
      </c>
      <c r="AE170" s="117">
        <v>0</v>
      </c>
      <c r="AF170" s="117">
        <v>0</v>
      </c>
      <c r="AG170" s="117">
        <v>0</v>
      </c>
      <c r="AH170" s="117">
        <v>1</v>
      </c>
      <c r="AI170" s="117">
        <v>20400</v>
      </c>
      <c r="AJ170" s="117">
        <v>0</v>
      </c>
      <c r="AK170" s="117">
        <v>0</v>
      </c>
      <c r="AL170" s="117">
        <v>2</v>
      </c>
      <c r="AM170" s="117">
        <v>30000</v>
      </c>
      <c r="AN170" s="117">
        <v>8</v>
      </c>
      <c r="AO170" s="117">
        <v>172100</v>
      </c>
      <c r="AP170" s="117">
        <v>0</v>
      </c>
      <c r="AQ170" s="117">
        <v>0</v>
      </c>
      <c r="AR170" s="117">
        <v>2</v>
      </c>
      <c r="AS170" s="117">
        <v>1800</v>
      </c>
      <c r="AT170" s="117">
        <v>13</v>
      </c>
      <c r="AU170" s="117">
        <v>532100</v>
      </c>
    </row>
    <row r="171" spans="1:47" x14ac:dyDescent="0.25">
      <c r="A171" s="117">
        <v>540091</v>
      </c>
      <c r="B171" s="2" t="s">
        <v>338</v>
      </c>
      <c r="C171" s="2" t="s">
        <v>55</v>
      </c>
      <c r="D171" s="2" t="s">
        <v>115</v>
      </c>
      <c r="E171" s="117">
        <v>8</v>
      </c>
      <c r="F171" s="117">
        <v>0</v>
      </c>
      <c r="G171" s="117">
        <v>0</v>
      </c>
      <c r="H171" s="117">
        <v>1</v>
      </c>
      <c r="I171" s="117">
        <v>700</v>
      </c>
      <c r="J171" s="117">
        <v>135</v>
      </c>
      <c r="K171" s="117">
        <v>3667300</v>
      </c>
      <c r="L171" s="117">
        <v>0</v>
      </c>
      <c r="M171" s="117">
        <v>0</v>
      </c>
      <c r="N171" s="117">
        <v>0</v>
      </c>
      <c r="O171" s="117">
        <v>0</v>
      </c>
      <c r="P171" s="117">
        <v>4</v>
      </c>
      <c r="Q171" s="117">
        <v>86300</v>
      </c>
      <c r="R171" s="117">
        <v>0</v>
      </c>
      <c r="S171" s="117">
        <v>0</v>
      </c>
      <c r="T171" s="117">
        <v>0</v>
      </c>
      <c r="U171" s="117">
        <v>0</v>
      </c>
      <c r="V171" s="117">
        <v>0</v>
      </c>
      <c r="W171" s="117">
        <v>0</v>
      </c>
      <c r="X171" s="117">
        <v>0</v>
      </c>
      <c r="Y171" s="117">
        <v>0</v>
      </c>
      <c r="Z171" s="117">
        <v>0</v>
      </c>
      <c r="AA171" s="117">
        <v>0</v>
      </c>
      <c r="AB171" s="117">
        <v>0</v>
      </c>
      <c r="AC171" s="117">
        <v>0</v>
      </c>
      <c r="AD171" s="117">
        <v>0</v>
      </c>
      <c r="AE171" s="117">
        <v>0</v>
      </c>
      <c r="AF171" s="117">
        <v>0</v>
      </c>
      <c r="AG171" s="117">
        <v>0</v>
      </c>
      <c r="AH171" s="117">
        <v>1</v>
      </c>
      <c r="AI171" s="117">
        <v>20400</v>
      </c>
      <c r="AJ171" s="117">
        <v>0</v>
      </c>
      <c r="AK171" s="117">
        <v>0</v>
      </c>
      <c r="AL171" s="117">
        <v>0</v>
      </c>
      <c r="AM171" s="117">
        <v>0</v>
      </c>
      <c r="AN171" s="117">
        <v>0</v>
      </c>
      <c r="AO171" s="117">
        <v>0</v>
      </c>
      <c r="AP171" s="117">
        <v>0</v>
      </c>
      <c r="AQ171" s="117">
        <v>0</v>
      </c>
      <c r="AR171" s="117">
        <v>0</v>
      </c>
      <c r="AS171" s="117">
        <v>0</v>
      </c>
      <c r="AT171" s="117">
        <v>29</v>
      </c>
      <c r="AU171" s="117">
        <v>1095800</v>
      </c>
    </row>
    <row r="172" spans="1:47" x14ac:dyDescent="0.25">
      <c r="A172" s="269"/>
      <c r="B172" s="269"/>
      <c r="C172" s="269" t="s">
        <v>55</v>
      </c>
      <c r="D172" s="269"/>
      <c r="E172" s="269"/>
      <c r="F172" s="270">
        <v>185</v>
      </c>
      <c r="G172" s="270">
        <v>12309800</v>
      </c>
      <c r="H172" s="270">
        <v>1418</v>
      </c>
      <c r="I172" s="270">
        <v>96360400</v>
      </c>
      <c r="J172" s="270">
        <v>13316</v>
      </c>
      <c r="K172" s="270">
        <v>991199600</v>
      </c>
      <c r="L172" s="270">
        <v>1</v>
      </c>
      <c r="M172" s="270">
        <v>45600</v>
      </c>
      <c r="N172" s="270">
        <v>11</v>
      </c>
      <c r="O172" s="270">
        <v>501200</v>
      </c>
      <c r="P172" s="270">
        <v>516</v>
      </c>
      <c r="Q172" s="270">
        <v>123926200</v>
      </c>
      <c r="R172" s="270">
        <v>0</v>
      </c>
      <c r="S172" s="270">
        <v>0</v>
      </c>
      <c r="T172" s="270">
        <v>0</v>
      </c>
      <c r="U172" s="270">
        <v>0</v>
      </c>
      <c r="V172" s="270">
        <v>1</v>
      </c>
      <c r="W172" s="270">
        <v>140400</v>
      </c>
      <c r="X172" s="270">
        <v>1</v>
      </c>
      <c r="Y172" s="270">
        <v>249800</v>
      </c>
      <c r="Z172" s="270">
        <v>4</v>
      </c>
      <c r="AA172" s="270">
        <v>615300</v>
      </c>
      <c r="AB172" s="270">
        <v>32</v>
      </c>
      <c r="AC172" s="270">
        <v>8487100</v>
      </c>
      <c r="AD172" s="270">
        <v>36</v>
      </c>
      <c r="AE172" s="270">
        <v>1899100</v>
      </c>
      <c r="AF172" s="270">
        <v>130</v>
      </c>
      <c r="AG172" s="270">
        <v>6191700</v>
      </c>
      <c r="AH172" s="270">
        <v>901</v>
      </c>
      <c r="AI172" s="270">
        <v>50269800</v>
      </c>
      <c r="AJ172" s="270">
        <v>4</v>
      </c>
      <c r="AK172" s="270">
        <v>19900</v>
      </c>
      <c r="AL172" s="270">
        <v>9</v>
      </c>
      <c r="AM172" s="270">
        <v>78900</v>
      </c>
      <c r="AN172" s="270">
        <v>58</v>
      </c>
      <c r="AO172" s="270">
        <v>1538100</v>
      </c>
      <c r="AP172" s="270">
        <v>4</v>
      </c>
      <c r="AQ172" s="270">
        <v>135400</v>
      </c>
      <c r="AR172" s="270">
        <v>45</v>
      </c>
      <c r="AS172" s="270">
        <v>1629200</v>
      </c>
      <c r="AT172" s="270">
        <v>545</v>
      </c>
      <c r="AU172" s="270">
        <v>84579000</v>
      </c>
    </row>
    <row r="173" spans="1:47" x14ac:dyDescent="0.25">
      <c r="A173" s="117">
        <v>540133</v>
      </c>
      <c r="B173" s="2" t="s">
        <v>56</v>
      </c>
      <c r="C173" s="2" t="s">
        <v>57</v>
      </c>
      <c r="D173" s="2" t="s">
        <v>5</v>
      </c>
      <c r="E173" s="117">
        <v>2</v>
      </c>
      <c r="F173" s="117">
        <v>292</v>
      </c>
      <c r="G173" s="117">
        <v>4944600</v>
      </c>
      <c r="H173" s="117">
        <v>1187</v>
      </c>
      <c r="I173" s="117">
        <v>22516800</v>
      </c>
      <c r="J173" s="117">
        <v>6970</v>
      </c>
      <c r="K173" s="117">
        <v>134534800</v>
      </c>
      <c r="L173" s="117">
        <v>2</v>
      </c>
      <c r="M173" s="117">
        <v>420900</v>
      </c>
      <c r="N173" s="117">
        <v>5</v>
      </c>
      <c r="O173" s="117">
        <v>428700</v>
      </c>
      <c r="P173" s="117">
        <v>177</v>
      </c>
      <c r="Q173" s="117">
        <v>7304800</v>
      </c>
      <c r="R173" s="117">
        <v>0</v>
      </c>
      <c r="S173" s="117">
        <v>0</v>
      </c>
      <c r="T173" s="117">
        <v>0</v>
      </c>
      <c r="U173" s="117">
        <v>0</v>
      </c>
      <c r="V173" s="117">
        <v>0</v>
      </c>
      <c r="W173" s="117">
        <v>0</v>
      </c>
      <c r="X173" s="117">
        <v>0</v>
      </c>
      <c r="Y173" s="117">
        <v>0</v>
      </c>
      <c r="Z173" s="117">
        <v>2</v>
      </c>
      <c r="AA173" s="117">
        <v>52200</v>
      </c>
      <c r="AB173" s="117">
        <v>4</v>
      </c>
      <c r="AC173" s="117">
        <v>195700</v>
      </c>
      <c r="AD173" s="117">
        <v>0</v>
      </c>
      <c r="AE173" s="117">
        <v>0</v>
      </c>
      <c r="AF173" s="117">
        <v>1</v>
      </c>
      <c r="AG173" s="117">
        <v>2000</v>
      </c>
      <c r="AH173" s="117">
        <v>1</v>
      </c>
      <c r="AI173" s="117">
        <v>1200</v>
      </c>
      <c r="AJ173" s="117">
        <v>0</v>
      </c>
      <c r="AK173" s="117">
        <v>0</v>
      </c>
      <c r="AL173" s="117">
        <v>2</v>
      </c>
      <c r="AM173" s="117">
        <v>24000</v>
      </c>
      <c r="AN173" s="117">
        <v>13</v>
      </c>
      <c r="AO173" s="117">
        <v>78900</v>
      </c>
      <c r="AP173" s="117">
        <v>20</v>
      </c>
      <c r="AQ173" s="117">
        <v>162500</v>
      </c>
      <c r="AR173" s="117">
        <v>110</v>
      </c>
      <c r="AS173" s="117">
        <v>1428200</v>
      </c>
      <c r="AT173" s="117">
        <v>800</v>
      </c>
      <c r="AU173" s="117">
        <v>31264200</v>
      </c>
    </row>
    <row r="174" spans="1:47" x14ac:dyDescent="0.25">
      <c r="A174" s="117">
        <v>540134</v>
      </c>
      <c r="B174" s="2" t="s">
        <v>217</v>
      </c>
      <c r="C174" s="2" t="s">
        <v>57</v>
      </c>
      <c r="D174" s="2" t="s">
        <v>115</v>
      </c>
      <c r="E174" s="117">
        <v>2</v>
      </c>
      <c r="F174" s="117">
        <v>2</v>
      </c>
      <c r="G174" s="117">
        <v>3000</v>
      </c>
      <c r="H174" s="117">
        <v>47</v>
      </c>
      <c r="I174" s="117">
        <v>272500</v>
      </c>
      <c r="J174" s="117">
        <v>278</v>
      </c>
      <c r="K174" s="117">
        <v>3038700</v>
      </c>
      <c r="L174" s="117">
        <v>0</v>
      </c>
      <c r="M174" s="117">
        <v>0</v>
      </c>
      <c r="N174" s="117">
        <v>0</v>
      </c>
      <c r="O174" s="117">
        <v>0</v>
      </c>
      <c r="P174" s="117">
        <v>7</v>
      </c>
      <c r="Q174" s="117">
        <v>120000</v>
      </c>
      <c r="R174" s="117">
        <v>0</v>
      </c>
      <c r="S174" s="117">
        <v>0</v>
      </c>
      <c r="T174" s="117">
        <v>0</v>
      </c>
      <c r="U174" s="117">
        <v>0</v>
      </c>
      <c r="V174" s="117">
        <v>0</v>
      </c>
      <c r="W174" s="117">
        <v>0</v>
      </c>
      <c r="X174" s="117">
        <v>0</v>
      </c>
      <c r="Y174" s="117">
        <v>0</v>
      </c>
      <c r="Z174" s="117">
        <v>0</v>
      </c>
      <c r="AA174" s="117">
        <v>0</v>
      </c>
      <c r="AB174" s="117">
        <v>0</v>
      </c>
      <c r="AC174" s="117">
        <v>0</v>
      </c>
      <c r="AD174" s="117">
        <v>0</v>
      </c>
      <c r="AE174" s="117">
        <v>0</v>
      </c>
      <c r="AF174" s="117">
        <v>0</v>
      </c>
      <c r="AG174" s="117">
        <v>0</v>
      </c>
      <c r="AH174" s="117">
        <v>0</v>
      </c>
      <c r="AI174" s="117">
        <v>0</v>
      </c>
      <c r="AJ174" s="117">
        <v>0</v>
      </c>
      <c r="AK174" s="117">
        <v>0</v>
      </c>
      <c r="AL174" s="117">
        <v>0</v>
      </c>
      <c r="AM174" s="117">
        <v>0</v>
      </c>
      <c r="AN174" s="117">
        <v>0</v>
      </c>
      <c r="AO174" s="117">
        <v>0</v>
      </c>
      <c r="AP174" s="117">
        <v>0</v>
      </c>
      <c r="AQ174" s="117">
        <v>0</v>
      </c>
      <c r="AR174" s="117">
        <v>11</v>
      </c>
      <c r="AS174" s="117">
        <v>8200</v>
      </c>
      <c r="AT174" s="117">
        <v>83</v>
      </c>
      <c r="AU174" s="117">
        <v>3687000</v>
      </c>
    </row>
    <row r="175" spans="1:47" x14ac:dyDescent="0.25">
      <c r="A175" s="117">
        <v>540135</v>
      </c>
      <c r="B175" s="2" t="s">
        <v>218</v>
      </c>
      <c r="C175" s="2" t="s">
        <v>57</v>
      </c>
      <c r="D175" s="2" t="s">
        <v>115</v>
      </c>
      <c r="E175" s="117">
        <v>2</v>
      </c>
      <c r="F175" s="117">
        <v>9</v>
      </c>
      <c r="G175" s="117">
        <v>38200</v>
      </c>
      <c r="H175" s="117">
        <v>86</v>
      </c>
      <c r="I175" s="117">
        <v>386500</v>
      </c>
      <c r="J175" s="117">
        <v>407</v>
      </c>
      <c r="K175" s="117">
        <v>3745200</v>
      </c>
      <c r="L175" s="117">
        <v>0</v>
      </c>
      <c r="M175" s="117">
        <v>0</v>
      </c>
      <c r="N175" s="117">
        <v>2</v>
      </c>
      <c r="O175" s="117">
        <v>227600</v>
      </c>
      <c r="P175" s="117">
        <v>131</v>
      </c>
      <c r="Q175" s="117">
        <v>4314400</v>
      </c>
      <c r="R175" s="117">
        <v>0</v>
      </c>
      <c r="S175" s="117">
        <v>0</v>
      </c>
      <c r="T175" s="117">
        <v>0</v>
      </c>
      <c r="U175" s="117">
        <v>0</v>
      </c>
      <c r="V175" s="117">
        <v>0</v>
      </c>
      <c r="W175" s="117">
        <v>0</v>
      </c>
      <c r="X175" s="117">
        <v>0</v>
      </c>
      <c r="Y175" s="117">
        <v>0</v>
      </c>
      <c r="Z175" s="117">
        <v>0</v>
      </c>
      <c r="AA175" s="117">
        <v>0</v>
      </c>
      <c r="AB175" s="117">
        <v>0</v>
      </c>
      <c r="AC175" s="117">
        <v>0</v>
      </c>
      <c r="AD175" s="117">
        <v>0</v>
      </c>
      <c r="AE175" s="117">
        <v>0</v>
      </c>
      <c r="AF175" s="117">
        <v>0</v>
      </c>
      <c r="AG175" s="117">
        <v>0</v>
      </c>
      <c r="AH175" s="117">
        <v>0</v>
      </c>
      <c r="AI175" s="117">
        <v>0</v>
      </c>
      <c r="AJ175" s="117">
        <v>0</v>
      </c>
      <c r="AK175" s="117">
        <v>0</v>
      </c>
      <c r="AL175" s="117">
        <v>0</v>
      </c>
      <c r="AM175" s="117">
        <v>0</v>
      </c>
      <c r="AN175" s="117">
        <v>8</v>
      </c>
      <c r="AO175" s="117">
        <v>101200</v>
      </c>
      <c r="AP175" s="117">
        <v>0</v>
      </c>
      <c r="AQ175" s="117">
        <v>0</v>
      </c>
      <c r="AR175" s="117">
        <v>2</v>
      </c>
      <c r="AS175" s="117">
        <v>2000</v>
      </c>
      <c r="AT175" s="117">
        <v>54</v>
      </c>
      <c r="AU175" s="117">
        <v>1528700</v>
      </c>
    </row>
    <row r="176" spans="1:47" x14ac:dyDescent="0.25">
      <c r="A176" s="117">
        <v>540136</v>
      </c>
      <c r="B176" s="2" t="s">
        <v>219</v>
      </c>
      <c r="C176" s="2" t="s">
        <v>57</v>
      </c>
      <c r="D176" s="2" t="s">
        <v>115</v>
      </c>
      <c r="E176" s="117">
        <v>2</v>
      </c>
      <c r="F176" s="117">
        <v>3</v>
      </c>
      <c r="G176" s="117">
        <v>4500</v>
      </c>
      <c r="H176" s="117">
        <v>50</v>
      </c>
      <c r="I176" s="117">
        <v>635300</v>
      </c>
      <c r="J176" s="117">
        <v>207</v>
      </c>
      <c r="K176" s="117">
        <v>2054500</v>
      </c>
      <c r="L176" s="117">
        <v>0</v>
      </c>
      <c r="M176" s="117">
        <v>0</v>
      </c>
      <c r="N176" s="117">
        <v>5</v>
      </c>
      <c r="O176" s="117">
        <v>53100</v>
      </c>
      <c r="P176" s="117">
        <v>32</v>
      </c>
      <c r="Q176" s="117">
        <v>1297000</v>
      </c>
      <c r="R176" s="117">
        <v>0</v>
      </c>
      <c r="S176" s="117">
        <v>0</v>
      </c>
      <c r="T176" s="117">
        <v>0</v>
      </c>
      <c r="U176" s="117">
        <v>0</v>
      </c>
      <c r="V176" s="117">
        <v>0</v>
      </c>
      <c r="W176" s="117">
        <v>0</v>
      </c>
      <c r="X176" s="117">
        <v>0</v>
      </c>
      <c r="Y176" s="117">
        <v>0</v>
      </c>
      <c r="Z176" s="117">
        <v>0</v>
      </c>
      <c r="AA176" s="117">
        <v>0</v>
      </c>
      <c r="AB176" s="117">
        <v>0</v>
      </c>
      <c r="AC176" s="117">
        <v>0</v>
      </c>
      <c r="AD176" s="117">
        <v>0</v>
      </c>
      <c r="AE176" s="117">
        <v>0</v>
      </c>
      <c r="AF176" s="117">
        <v>0</v>
      </c>
      <c r="AG176" s="117">
        <v>0</v>
      </c>
      <c r="AH176" s="117">
        <v>0</v>
      </c>
      <c r="AI176" s="117">
        <v>0</v>
      </c>
      <c r="AJ176" s="117">
        <v>0</v>
      </c>
      <c r="AK176" s="117">
        <v>0</v>
      </c>
      <c r="AL176" s="117">
        <v>0</v>
      </c>
      <c r="AM176" s="117">
        <v>0</v>
      </c>
      <c r="AN176" s="117">
        <v>0</v>
      </c>
      <c r="AO176" s="117">
        <v>0</v>
      </c>
      <c r="AP176" s="117">
        <v>0</v>
      </c>
      <c r="AQ176" s="117">
        <v>0</v>
      </c>
      <c r="AR176" s="117">
        <v>0</v>
      </c>
      <c r="AS176" s="117">
        <v>0</v>
      </c>
      <c r="AT176" s="117">
        <v>28</v>
      </c>
      <c r="AU176" s="117">
        <v>284000</v>
      </c>
    </row>
    <row r="177" spans="1:47" x14ac:dyDescent="0.25">
      <c r="A177" s="117">
        <v>540138</v>
      </c>
      <c r="B177" s="2" t="s">
        <v>221</v>
      </c>
      <c r="C177" s="2" t="s">
        <v>57</v>
      </c>
      <c r="D177" s="2" t="s">
        <v>115</v>
      </c>
      <c r="E177" s="117">
        <v>2</v>
      </c>
      <c r="F177" s="117">
        <v>110</v>
      </c>
      <c r="G177" s="117">
        <v>892700</v>
      </c>
      <c r="H177" s="117">
        <v>562</v>
      </c>
      <c r="I177" s="117">
        <v>5944600</v>
      </c>
      <c r="J177" s="117">
        <v>2277</v>
      </c>
      <c r="K177" s="117">
        <v>49228300</v>
      </c>
      <c r="L177" s="117">
        <v>3</v>
      </c>
      <c r="M177" s="117">
        <v>37200</v>
      </c>
      <c r="N177" s="117">
        <v>13</v>
      </c>
      <c r="O177" s="117">
        <v>1601600</v>
      </c>
      <c r="P177" s="117">
        <v>467</v>
      </c>
      <c r="Q177" s="117">
        <v>31339500</v>
      </c>
      <c r="R177" s="117">
        <v>0</v>
      </c>
      <c r="S177" s="117">
        <v>0</v>
      </c>
      <c r="T177" s="117">
        <v>0</v>
      </c>
      <c r="U177" s="117">
        <v>0</v>
      </c>
      <c r="V177" s="117">
        <v>7</v>
      </c>
      <c r="W177" s="117">
        <v>461100</v>
      </c>
      <c r="X177" s="117">
        <v>0</v>
      </c>
      <c r="Y177" s="117">
        <v>0</v>
      </c>
      <c r="Z177" s="117">
        <v>0</v>
      </c>
      <c r="AA177" s="117">
        <v>0</v>
      </c>
      <c r="AB177" s="117">
        <v>0</v>
      </c>
      <c r="AC177" s="117">
        <v>0</v>
      </c>
      <c r="AD177" s="117">
        <v>0</v>
      </c>
      <c r="AE177" s="117">
        <v>0</v>
      </c>
      <c r="AF177" s="117">
        <v>0</v>
      </c>
      <c r="AG177" s="117">
        <v>0</v>
      </c>
      <c r="AH177" s="117">
        <v>0</v>
      </c>
      <c r="AI177" s="117">
        <v>0</v>
      </c>
      <c r="AJ177" s="117">
        <v>0</v>
      </c>
      <c r="AK177" s="117">
        <v>0</v>
      </c>
      <c r="AL177" s="117">
        <v>1</v>
      </c>
      <c r="AM177" s="117">
        <v>200</v>
      </c>
      <c r="AN177" s="117">
        <v>8</v>
      </c>
      <c r="AO177" s="117">
        <v>238400</v>
      </c>
      <c r="AP177" s="117">
        <v>13</v>
      </c>
      <c r="AQ177" s="117">
        <v>148600</v>
      </c>
      <c r="AR177" s="117">
        <v>66</v>
      </c>
      <c r="AS177" s="117">
        <v>702700</v>
      </c>
      <c r="AT177" s="117">
        <v>439</v>
      </c>
      <c r="AU177" s="117">
        <v>42216600</v>
      </c>
    </row>
    <row r="178" spans="1:47" x14ac:dyDescent="0.25">
      <c r="A178" s="117">
        <v>545538</v>
      </c>
      <c r="B178" s="2" t="s">
        <v>334</v>
      </c>
      <c r="C178" s="2" t="s">
        <v>57</v>
      </c>
      <c r="D178" s="2" t="s">
        <v>115</v>
      </c>
      <c r="E178" s="117">
        <v>2</v>
      </c>
      <c r="F178" s="117">
        <v>2</v>
      </c>
      <c r="G178" s="117">
        <v>9700</v>
      </c>
      <c r="H178" s="117">
        <v>18</v>
      </c>
      <c r="I178" s="117">
        <v>117000</v>
      </c>
      <c r="J178" s="117">
        <v>190</v>
      </c>
      <c r="K178" s="117">
        <v>4188500</v>
      </c>
      <c r="L178" s="117">
        <v>1</v>
      </c>
      <c r="M178" s="117">
        <v>45800</v>
      </c>
      <c r="N178" s="117">
        <v>1</v>
      </c>
      <c r="O178" s="117">
        <v>3300</v>
      </c>
      <c r="P178" s="117">
        <v>47</v>
      </c>
      <c r="Q178" s="117">
        <v>4591300</v>
      </c>
      <c r="R178" s="117">
        <v>0</v>
      </c>
      <c r="S178" s="117">
        <v>0</v>
      </c>
      <c r="T178" s="117">
        <v>0</v>
      </c>
      <c r="U178" s="117">
        <v>0</v>
      </c>
      <c r="V178" s="117">
        <v>0</v>
      </c>
      <c r="W178" s="117">
        <v>0</v>
      </c>
      <c r="X178" s="117">
        <v>0</v>
      </c>
      <c r="Y178" s="117">
        <v>0</v>
      </c>
      <c r="Z178" s="117">
        <v>0</v>
      </c>
      <c r="AA178" s="117">
        <v>0</v>
      </c>
      <c r="AB178" s="117">
        <v>0</v>
      </c>
      <c r="AC178" s="117">
        <v>0</v>
      </c>
      <c r="AD178" s="117">
        <v>0</v>
      </c>
      <c r="AE178" s="117">
        <v>0</v>
      </c>
      <c r="AF178" s="117">
        <v>0</v>
      </c>
      <c r="AG178" s="117">
        <v>0</v>
      </c>
      <c r="AH178" s="117">
        <v>0</v>
      </c>
      <c r="AI178" s="117">
        <v>0</v>
      </c>
      <c r="AJ178" s="117">
        <v>0</v>
      </c>
      <c r="AK178" s="117">
        <v>0</v>
      </c>
      <c r="AL178" s="117">
        <v>0</v>
      </c>
      <c r="AM178" s="117">
        <v>0</v>
      </c>
      <c r="AN178" s="117">
        <v>0</v>
      </c>
      <c r="AO178" s="117">
        <v>0</v>
      </c>
      <c r="AP178" s="117">
        <v>1</v>
      </c>
      <c r="AQ178" s="117">
        <v>500</v>
      </c>
      <c r="AR178" s="117">
        <v>10</v>
      </c>
      <c r="AS178" s="117">
        <v>19200</v>
      </c>
      <c r="AT178" s="117">
        <v>84</v>
      </c>
      <c r="AU178" s="117">
        <v>2861000</v>
      </c>
    </row>
    <row r="179" spans="1:47" x14ac:dyDescent="0.25">
      <c r="A179" s="269"/>
      <c r="B179" s="269"/>
      <c r="C179" s="269" t="s">
        <v>57</v>
      </c>
      <c r="D179" s="269"/>
      <c r="E179" s="269"/>
      <c r="F179" s="270">
        <v>418</v>
      </c>
      <c r="G179" s="270">
        <v>5892700</v>
      </c>
      <c r="H179" s="270">
        <v>1950</v>
      </c>
      <c r="I179" s="270">
        <v>29872700</v>
      </c>
      <c r="J179" s="270">
        <v>10329</v>
      </c>
      <c r="K179" s="270">
        <v>196790000</v>
      </c>
      <c r="L179" s="270">
        <v>6</v>
      </c>
      <c r="M179" s="270">
        <v>503900</v>
      </c>
      <c r="N179" s="270">
        <v>26</v>
      </c>
      <c r="O179" s="270">
        <v>2314300</v>
      </c>
      <c r="P179" s="270">
        <v>861</v>
      </c>
      <c r="Q179" s="270">
        <v>48967000</v>
      </c>
      <c r="R179" s="270">
        <v>0</v>
      </c>
      <c r="S179" s="270">
        <v>0</v>
      </c>
      <c r="T179" s="270">
        <v>0</v>
      </c>
      <c r="U179" s="270">
        <v>0</v>
      </c>
      <c r="V179" s="270">
        <v>7</v>
      </c>
      <c r="W179" s="270">
        <v>461100</v>
      </c>
      <c r="X179" s="270">
        <v>0</v>
      </c>
      <c r="Y179" s="270">
        <v>0</v>
      </c>
      <c r="Z179" s="270">
        <v>2</v>
      </c>
      <c r="AA179" s="270">
        <v>52200</v>
      </c>
      <c r="AB179" s="270">
        <v>4</v>
      </c>
      <c r="AC179" s="270">
        <v>195700</v>
      </c>
      <c r="AD179" s="270">
        <v>0</v>
      </c>
      <c r="AE179" s="270">
        <v>0</v>
      </c>
      <c r="AF179" s="270">
        <v>1</v>
      </c>
      <c r="AG179" s="270">
        <v>2000</v>
      </c>
      <c r="AH179" s="270">
        <v>1</v>
      </c>
      <c r="AI179" s="270">
        <v>1200</v>
      </c>
      <c r="AJ179" s="270">
        <v>0</v>
      </c>
      <c r="AK179" s="270">
        <v>0</v>
      </c>
      <c r="AL179" s="270">
        <v>3</v>
      </c>
      <c r="AM179" s="270">
        <v>24200</v>
      </c>
      <c r="AN179" s="270">
        <v>29</v>
      </c>
      <c r="AO179" s="270">
        <v>418500</v>
      </c>
      <c r="AP179" s="270">
        <v>34</v>
      </c>
      <c r="AQ179" s="270">
        <v>311600</v>
      </c>
      <c r="AR179" s="270">
        <v>199</v>
      </c>
      <c r="AS179" s="270">
        <v>2160300</v>
      </c>
      <c r="AT179" s="270">
        <v>1488</v>
      </c>
      <c r="AU179" s="270">
        <v>81841500</v>
      </c>
    </row>
    <row r="180" spans="1:47" x14ac:dyDescent="0.25">
      <c r="A180" s="117">
        <v>540139</v>
      </c>
      <c r="B180" s="2" t="s">
        <v>58</v>
      </c>
      <c r="C180" s="2" t="s">
        <v>59</v>
      </c>
      <c r="D180" s="2" t="s">
        <v>5</v>
      </c>
      <c r="E180" s="117">
        <v>6</v>
      </c>
      <c r="F180" s="117">
        <v>287</v>
      </c>
      <c r="G180" s="117">
        <v>26640860</v>
      </c>
      <c r="H180" s="117">
        <v>3235</v>
      </c>
      <c r="I180" s="117">
        <v>331878556</v>
      </c>
      <c r="J180" s="117">
        <v>26175</v>
      </c>
      <c r="K180" s="117">
        <v>3532598577</v>
      </c>
      <c r="L180" s="117">
        <v>10</v>
      </c>
      <c r="M180" s="117">
        <v>1484514</v>
      </c>
      <c r="N180" s="117">
        <v>137</v>
      </c>
      <c r="O180" s="117">
        <v>82868700</v>
      </c>
      <c r="P180" s="117">
        <v>1398</v>
      </c>
      <c r="Q180" s="117">
        <v>688009400</v>
      </c>
      <c r="R180" s="117">
        <v>1</v>
      </c>
      <c r="S180" s="117">
        <v>2075500</v>
      </c>
      <c r="T180" s="117">
        <v>17</v>
      </c>
      <c r="U180" s="117">
        <v>42985860</v>
      </c>
      <c r="V180" s="117">
        <v>253</v>
      </c>
      <c r="W180" s="117">
        <v>290035600</v>
      </c>
      <c r="X180" s="117">
        <v>1</v>
      </c>
      <c r="Y180" s="117">
        <v>81900</v>
      </c>
      <c r="Z180" s="117">
        <v>4</v>
      </c>
      <c r="AA180" s="117">
        <v>460500</v>
      </c>
      <c r="AB180" s="117">
        <v>55</v>
      </c>
      <c r="AC180" s="117">
        <v>80298100</v>
      </c>
      <c r="AD180" s="117">
        <v>10</v>
      </c>
      <c r="AE180" s="117">
        <v>539700</v>
      </c>
      <c r="AF180" s="117">
        <v>208</v>
      </c>
      <c r="AG180" s="117">
        <v>8723800</v>
      </c>
      <c r="AH180" s="117">
        <v>943</v>
      </c>
      <c r="AI180" s="117">
        <v>61304000</v>
      </c>
      <c r="AJ180" s="117">
        <v>0</v>
      </c>
      <c r="AK180" s="117">
        <v>0</v>
      </c>
      <c r="AL180" s="117">
        <v>8</v>
      </c>
      <c r="AM180" s="117">
        <v>227900</v>
      </c>
      <c r="AN180" s="117">
        <v>77</v>
      </c>
      <c r="AO180" s="117">
        <v>8620200</v>
      </c>
      <c r="AP180" s="117">
        <v>6</v>
      </c>
      <c r="AQ180" s="117">
        <v>412300</v>
      </c>
      <c r="AR180" s="117">
        <v>121</v>
      </c>
      <c r="AS180" s="117">
        <v>69180300</v>
      </c>
      <c r="AT180" s="117">
        <v>1015</v>
      </c>
      <c r="AU180" s="117">
        <v>254829500</v>
      </c>
    </row>
    <row r="181" spans="1:47" x14ac:dyDescent="0.25">
      <c r="A181" s="117">
        <v>540140</v>
      </c>
      <c r="B181" s="2" t="s">
        <v>222</v>
      </c>
      <c r="C181" s="2" t="s">
        <v>59</v>
      </c>
      <c r="D181" s="2" t="s">
        <v>115</v>
      </c>
      <c r="E181" s="117">
        <v>6</v>
      </c>
      <c r="F181" s="117">
        <v>0</v>
      </c>
      <c r="G181" s="117">
        <v>0</v>
      </c>
      <c r="H181" s="117">
        <v>10</v>
      </c>
      <c r="I181" s="117">
        <v>222300</v>
      </c>
      <c r="J181" s="117">
        <v>96</v>
      </c>
      <c r="K181" s="117">
        <v>2839300</v>
      </c>
      <c r="L181" s="117">
        <v>0</v>
      </c>
      <c r="M181" s="117">
        <v>0</v>
      </c>
      <c r="N181" s="117">
        <v>0</v>
      </c>
      <c r="O181" s="117">
        <v>0</v>
      </c>
      <c r="P181" s="117">
        <v>13</v>
      </c>
      <c r="Q181" s="117">
        <v>1520900</v>
      </c>
      <c r="R181" s="117">
        <v>0</v>
      </c>
      <c r="S181" s="117">
        <v>0</v>
      </c>
      <c r="T181" s="117">
        <v>0</v>
      </c>
      <c r="U181" s="117">
        <v>0</v>
      </c>
      <c r="V181" s="117">
        <v>1</v>
      </c>
      <c r="W181" s="117">
        <v>259100</v>
      </c>
      <c r="X181" s="117">
        <v>0</v>
      </c>
      <c r="Y181" s="117">
        <v>0</v>
      </c>
      <c r="Z181" s="117">
        <v>0</v>
      </c>
      <c r="AA181" s="117">
        <v>0</v>
      </c>
      <c r="AB181" s="117">
        <v>0</v>
      </c>
      <c r="AC181" s="117">
        <v>0</v>
      </c>
      <c r="AD181" s="117">
        <v>0</v>
      </c>
      <c r="AE181" s="117">
        <v>0</v>
      </c>
      <c r="AF181" s="117">
        <v>0</v>
      </c>
      <c r="AG181" s="117">
        <v>0</v>
      </c>
      <c r="AH181" s="117">
        <v>0</v>
      </c>
      <c r="AI181" s="117">
        <v>0</v>
      </c>
      <c r="AJ181" s="117">
        <v>0</v>
      </c>
      <c r="AK181" s="117">
        <v>0</v>
      </c>
      <c r="AL181" s="117">
        <v>0</v>
      </c>
      <c r="AM181" s="117">
        <v>0</v>
      </c>
      <c r="AN181" s="117">
        <v>1</v>
      </c>
      <c r="AO181" s="117">
        <v>15700</v>
      </c>
      <c r="AP181" s="117">
        <v>0</v>
      </c>
      <c r="AQ181" s="117">
        <v>0</v>
      </c>
      <c r="AR181" s="117">
        <v>0</v>
      </c>
      <c r="AS181" s="117">
        <v>0</v>
      </c>
      <c r="AT181" s="117">
        <v>19</v>
      </c>
      <c r="AU181" s="117">
        <v>2075300</v>
      </c>
    </row>
    <row r="182" spans="1:47" x14ac:dyDescent="0.25">
      <c r="A182" s="117">
        <v>540141</v>
      </c>
      <c r="B182" s="2" t="s">
        <v>223</v>
      </c>
      <c r="C182" s="2" t="s">
        <v>59</v>
      </c>
      <c r="D182" s="2" t="s">
        <v>115</v>
      </c>
      <c r="E182" s="117">
        <v>6</v>
      </c>
      <c r="F182" s="117">
        <v>84</v>
      </c>
      <c r="G182" s="117">
        <v>5235100</v>
      </c>
      <c r="H182" s="117">
        <v>1035</v>
      </c>
      <c r="I182" s="117">
        <v>76880900</v>
      </c>
      <c r="J182" s="117">
        <v>7707</v>
      </c>
      <c r="K182" s="117">
        <v>1033919574</v>
      </c>
      <c r="L182" s="117">
        <v>3</v>
      </c>
      <c r="M182" s="117">
        <v>1766200</v>
      </c>
      <c r="N182" s="117">
        <v>35</v>
      </c>
      <c r="O182" s="117">
        <v>5717700</v>
      </c>
      <c r="P182" s="117">
        <v>742</v>
      </c>
      <c r="Q182" s="117">
        <v>340656521</v>
      </c>
      <c r="R182" s="117">
        <v>1</v>
      </c>
      <c r="S182" s="117">
        <v>441300</v>
      </c>
      <c r="T182" s="117">
        <v>43</v>
      </c>
      <c r="U182" s="117">
        <v>27430800</v>
      </c>
      <c r="V182" s="117">
        <v>295</v>
      </c>
      <c r="W182" s="117">
        <v>160240067</v>
      </c>
      <c r="X182" s="117">
        <v>0</v>
      </c>
      <c r="Y182" s="117">
        <v>0</v>
      </c>
      <c r="Z182" s="117">
        <v>0</v>
      </c>
      <c r="AA182" s="117">
        <v>0</v>
      </c>
      <c r="AB182" s="117">
        <v>9</v>
      </c>
      <c r="AC182" s="117">
        <v>3703600</v>
      </c>
      <c r="AD182" s="117">
        <v>0</v>
      </c>
      <c r="AE182" s="117">
        <v>0</v>
      </c>
      <c r="AF182" s="117">
        <v>0</v>
      </c>
      <c r="AG182" s="117">
        <v>0</v>
      </c>
      <c r="AH182" s="117">
        <v>2</v>
      </c>
      <c r="AI182" s="117">
        <v>900</v>
      </c>
      <c r="AJ182" s="117">
        <v>1</v>
      </c>
      <c r="AK182" s="117">
        <v>44000</v>
      </c>
      <c r="AL182" s="117">
        <v>3</v>
      </c>
      <c r="AM182" s="117">
        <v>75300</v>
      </c>
      <c r="AN182" s="117">
        <v>12</v>
      </c>
      <c r="AO182" s="117">
        <v>2116800</v>
      </c>
      <c r="AP182" s="117">
        <v>16</v>
      </c>
      <c r="AQ182" s="117">
        <v>2090900</v>
      </c>
      <c r="AR182" s="117">
        <v>149</v>
      </c>
      <c r="AS182" s="117">
        <v>16007400</v>
      </c>
      <c r="AT182" s="117">
        <v>863</v>
      </c>
      <c r="AU182" s="117">
        <v>1751341800</v>
      </c>
    </row>
    <row r="183" spans="1:47" x14ac:dyDescent="0.25">
      <c r="A183" s="117">
        <v>540272</v>
      </c>
      <c r="B183" s="2" t="s">
        <v>315</v>
      </c>
      <c r="C183" s="2" t="s">
        <v>59</v>
      </c>
      <c r="D183" s="2" t="s">
        <v>115</v>
      </c>
      <c r="E183" s="117">
        <v>6</v>
      </c>
      <c r="F183" s="117">
        <v>2</v>
      </c>
      <c r="G183" s="117">
        <v>21100</v>
      </c>
      <c r="H183" s="117">
        <v>20</v>
      </c>
      <c r="I183" s="117">
        <v>499200</v>
      </c>
      <c r="J183" s="117">
        <v>235</v>
      </c>
      <c r="K183" s="117">
        <v>11507800</v>
      </c>
      <c r="L183" s="117">
        <v>1</v>
      </c>
      <c r="M183" s="117">
        <v>1694800</v>
      </c>
      <c r="N183" s="117">
        <v>17</v>
      </c>
      <c r="O183" s="117">
        <v>49804200</v>
      </c>
      <c r="P183" s="117">
        <v>63</v>
      </c>
      <c r="Q183" s="117">
        <v>121254800</v>
      </c>
      <c r="R183" s="117">
        <v>0</v>
      </c>
      <c r="S183" s="117">
        <v>0</v>
      </c>
      <c r="T183" s="117">
        <v>1</v>
      </c>
      <c r="U183" s="117">
        <v>104000</v>
      </c>
      <c r="V183" s="117">
        <v>3</v>
      </c>
      <c r="W183" s="117">
        <v>32288100</v>
      </c>
      <c r="X183" s="117">
        <v>0</v>
      </c>
      <c r="Y183" s="117">
        <v>0</v>
      </c>
      <c r="Z183" s="117">
        <v>0</v>
      </c>
      <c r="AA183" s="117">
        <v>0</v>
      </c>
      <c r="AB183" s="117">
        <v>2</v>
      </c>
      <c r="AC183" s="117">
        <v>84000</v>
      </c>
      <c r="AD183" s="117">
        <v>0</v>
      </c>
      <c r="AE183" s="117">
        <v>0</v>
      </c>
      <c r="AF183" s="117">
        <v>0</v>
      </c>
      <c r="AG183" s="117">
        <v>0</v>
      </c>
      <c r="AH183" s="117">
        <v>0</v>
      </c>
      <c r="AI183" s="117">
        <v>0</v>
      </c>
      <c r="AJ183" s="117">
        <v>0</v>
      </c>
      <c r="AK183" s="117">
        <v>0</v>
      </c>
      <c r="AL183" s="117">
        <v>0</v>
      </c>
      <c r="AM183" s="117">
        <v>0</v>
      </c>
      <c r="AN183" s="117">
        <v>2</v>
      </c>
      <c r="AO183" s="117">
        <v>46700</v>
      </c>
      <c r="AP183" s="117">
        <v>0</v>
      </c>
      <c r="AQ183" s="117">
        <v>0</v>
      </c>
      <c r="AR183" s="117">
        <v>8</v>
      </c>
      <c r="AS183" s="117">
        <v>2692500</v>
      </c>
      <c r="AT183" s="117">
        <v>23</v>
      </c>
      <c r="AU183" s="117">
        <v>93253700</v>
      </c>
    </row>
    <row r="184" spans="1:47" x14ac:dyDescent="0.25">
      <c r="A184" s="117">
        <v>540273</v>
      </c>
      <c r="B184" s="2" t="s">
        <v>316</v>
      </c>
      <c r="C184" s="2" t="s">
        <v>59</v>
      </c>
      <c r="D184" s="2" t="s">
        <v>115</v>
      </c>
      <c r="E184" s="117">
        <v>6</v>
      </c>
      <c r="F184" s="117">
        <v>0</v>
      </c>
      <c r="G184" s="117">
        <v>0</v>
      </c>
      <c r="H184" s="117">
        <v>34</v>
      </c>
      <c r="I184" s="117">
        <v>2775600</v>
      </c>
      <c r="J184" s="117">
        <v>680</v>
      </c>
      <c r="K184" s="117">
        <v>73054000</v>
      </c>
      <c r="L184" s="117">
        <v>0</v>
      </c>
      <c r="M184" s="117">
        <v>0</v>
      </c>
      <c r="N184" s="117">
        <v>8</v>
      </c>
      <c r="O184" s="117">
        <v>366200</v>
      </c>
      <c r="P184" s="117">
        <v>125</v>
      </c>
      <c r="Q184" s="117">
        <v>31967960</v>
      </c>
      <c r="R184" s="117">
        <v>0</v>
      </c>
      <c r="S184" s="117">
        <v>0</v>
      </c>
      <c r="T184" s="117">
        <v>2</v>
      </c>
      <c r="U184" s="117">
        <v>243000</v>
      </c>
      <c r="V184" s="117">
        <v>30</v>
      </c>
      <c r="W184" s="117">
        <v>10777300</v>
      </c>
      <c r="X184" s="117">
        <v>0</v>
      </c>
      <c r="Y184" s="117">
        <v>0</v>
      </c>
      <c r="Z184" s="117">
        <v>0</v>
      </c>
      <c r="AA184" s="117">
        <v>0</v>
      </c>
      <c r="AB184" s="117">
        <v>3</v>
      </c>
      <c r="AC184" s="117">
        <v>693300</v>
      </c>
      <c r="AD184" s="117">
        <v>0</v>
      </c>
      <c r="AE184" s="117">
        <v>0</v>
      </c>
      <c r="AF184" s="117">
        <v>0</v>
      </c>
      <c r="AG184" s="117">
        <v>0</v>
      </c>
      <c r="AH184" s="117">
        <v>0</v>
      </c>
      <c r="AI184" s="117">
        <v>0</v>
      </c>
      <c r="AJ184" s="117">
        <v>0</v>
      </c>
      <c r="AK184" s="117">
        <v>0</v>
      </c>
      <c r="AL184" s="117">
        <v>0</v>
      </c>
      <c r="AM184" s="117">
        <v>0</v>
      </c>
      <c r="AN184" s="117">
        <v>0</v>
      </c>
      <c r="AO184" s="117">
        <v>0</v>
      </c>
      <c r="AP184" s="117">
        <v>0</v>
      </c>
      <c r="AQ184" s="117">
        <v>0</v>
      </c>
      <c r="AR184" s="117">
        <v>10</v>
      </c>
      <c r="AS184" s="117">
        <v>2343400</v>
      </c>
      <c r="AT184" s="117">
        <v>42</v>
      </c>
      <c r="AU184" s="117">
        <v>13276000</v>
      </c>
    </row>
    <row r="185" spans="1:47" x14ac:dyDescent="0.25">
      <c r="A185" s="117">
        <v>540274</v>
      </c>
      <c r="B185" s="2" t="s">
        <v>317</v>
      </c>
      <c r="C185" s="2" t="s">
        <v>59</v>
      </c>
      <c r="D185" s="2" t="s">
        <v>115</v>
      </c>
      <c r="E185" s="117">
        <v>6</v>
      </c>
      <c r="F185" s="117">
        <v>13</v>
      </c>
      <c r="G185" s="117">
        <v>261900</v>
      </c>
      <c r="H185" s="117">
        <v>175</v>
      </c>
      <c r="I185" s="117">
        <v>6593400</v>
      </c>
      <c r="J185" s="117">
        <v>1877</v>
      </c>
      <c r="K185" s="117">
        <v>161432724</v>
      </c>
      <c r="L185" s="117">
        <v>0</v>
      </c>
      <c r="M185" s="117">
        <v>0</v>
      </c>
      <c r="N185" s="117">
        <v>9</v>
      </c>
      <c r="O185" s="117">
        <v>619200</v>
      </c>
      <c r="P185" s="117">
        <v>202</v>
      </c>
      <c r="Q185" s="117">
        <v>45346400</v>
      </c>
      <c r="R185" s="117">
        <v>0</v>
      </c>
      <c r="S185" s="117">
        <v>0</v>
      </c>
      <c r="T185" s="117">
        <v>1</v>
      </c>
      <c r="U185" s="117">
        <v>454100</v>
      </c>
      <c r="V185" s="117">
        <v>16</v>
      </c>
      <c r="W185" s="117">
        <v>4128900</v>
      </c>
      <c r="X185" s="117">
        <v>0</v>
      </c>
      <c r="Y185" s="117">
        <v>0</v>
      </c>
      <c r="Z185" s="117">
        <v>0</v>
      </c>
      <c r="AA185" s="117">
        <v>0</v>
      </c>
      <c r="AB185" s="117">
        <v>0</v>
      </c>
      <c r="AC185" s="117">
        <v>0</v>
      </c>
      <c r="AD185" s="117">
        <v>0</v>
      </c>
      <c r="AE185" s="117">
        <v>0</v>
      </c>
      <c r="AF185" s="117">
        <v>1</v>
      </c>
      <c r="AG185" s="117">
        <v>38400</v>
      </c>
      <c r="AH185" s="117">
        <v>1</v>
      </c>
      <c r="AI185" s="117">
        <v>69300</v>
      </c>
      <c r="AJ185" s="117">
        <v>0</v>
      </c>
      <c r="AK185" s="117">
        <v>0</v>
      </c>
      <c r="AL185" s="117">
        <v>0</v>
      </c>
      <c r="AM185" s="117">
        <v>0</v>
      </c>
      <c r="AN185" s="117">
        <v>5</v>
      </c>
      <c r="AO185" s="117">
        <v>96600</v>
      </c>
      <c r="AP185" s="117">
        <v>0</v>
      </c>
      <c r="AQ185" s="117">
        <v>0</v>
      </c>
      <c r="AR185" s="117">
        <v>9</v>
      </c>
      <c r="AS185" s="117">
        <v>194800</v>
      </c>
      <c r="AT185" s="117">
        <v>89</v>
      </c>
      <c r="AU185" s="117">
        <v>29045900</v>
      </c>
    </row>
    <row r="186" spans="1:47" x14ac:dyDescent="0.25">
      <c r="A186" s="269"/>
      <c r="B186" s="269"/>
      <c r="C186" s="269" t="s">
        <v>59</v>
      </c>
      <c r="D186" s="269"/>
      <c r="E186" s="269"/>
      <c r="F186" s="270">
        <v>386</v>
      </c>
      <c r="G186" s="270">
        <v>32158960</v>
      </c>
      <c r="H186" s="270">
        <v>4509</v>
      </c>
      <c r="I186" s="270">
        <v>418849956</v>
      </c>
      <c r="J186" s="270">
        <v>36770</v>
      </c>
      <c r="K186" s="270">
        <v>4815351975</v>
      </c>
      <c r="L186" s="270">
        <v>14</v>
      </c>
      <c r="M186" s="270">
        <v>4945514</v>
      </c>
      <c r="N186" s="270">
        <v>206</v>
      </c>
      <c r="O186" s="270">
        <v>139376000</v>
      </c>
      <c r="P186" s="270">
        <v>2543</v>
      </c>
      <c r="Q186" s="270">
        <v>1228755981</v>
      </c>
      <c r="R186" s="270">
        <v>2</v>
      </c>
      <c r="S186" s="270">
        <v>2516800</v>
      </c>
      <c r="T186" s="270">
        <v>64</v>
      </c>
      <c r="U186" s="270">
        <v>71217760</v>
      </c>
      <c r="V186" s="270">
        <v>598</v>
      </c>
      <c r="W186" s="270">
        <v>497729067</v>
      </c>
      <c r="X186" s="270">
        <v>1</v>
      </c>
      <c r="Y186" s="270">
        <v>81900</v>
      </c>
      <c r="Z186" s="270">
        <v>4</v>
      </c>
      <c r="AA186" s="270">
        <v>460500</v>
      </c>
      <c r="AB186" s="270">
        <v>69</v>
      </c>
      <c r="AC186" s="270">
        <v>84779000</v>
      </c>
      <c r="AD186" s="270">
        <v>10</v>
      </c>
      <c r="AE186" s="270">
        <v>539700</v>
      </c>
      <c r="AF186" s="270">
        <v>209</v>
      </c>
      <c r="AG186" s="270">
        <v>8762200</v>
      </c>
      <c r="AH186" s="270">
        <v>946</v>
      </c>
      <c r="AI186" s="270">
        <v>61374200</v>
      </c>
      <c r="AJ186" s="270">
        <v>1</v>
      </c>
      <c r="AK186" s="270">
        <v>44000</v>
      </c>
      <c r="AL186" s="270">
        <v>11</v>
      </c>
      <c r="AM186" s="270">
        <v>303200</v>
      </c>
      <c r="AN186" s="270">
        <v>97</v>
      </c>
      <c r="AO186" s="270">
        <v>10896000</v>
      </c>
      <c r="AP186" s="270">
        <v>22</v>
      </c>
      <c r="AQ186" s="270">
        <v>2503200</v>
      </c>
      <c r="AR186" s="270">
        <v>297</v>
      </c>
      <c r="AS186" s="270">
        <v>90418400</v>
      </c>
      <c r="AT186" s="270">
        <v>2051</v>
      </c>
      <c r="AU186" s="270">
        <v>2143822200</v>
      </c>
    </row>
    <row r="187" spans="1:47" x14ac:dyDescent="0.25">
      <c r="A187" s="117">
        <v>540144</v>
      </c>
      <c r="B187" s="2" t="s">
        <v>60</v>
      </c>
      <c r="C187" s="2" t="s">
        <v>61</v>
      </c>
      <c r="D187" s="2" t="s">
        <v>5</v>
      </c>
      <c r="E187" s="117">
        <v>9</v>
      </c>
      <c r="F187" s="117">
        <v>132</v>
      </c>
      <c r="G187" s="117">
        <v>12846100</v>
      </c>
      <c r="H187" s="117">
        <v>1119</v>
      </c>
      <c r="I187" s="117">
        <v>110303700</v>
      </c>
      <c r="J187" s="117">
        <v>9237</v>
      </c>
      <c r="K187" s="117">
        <v>1022376355</v>
      </c>
      <c r="L187" s="117">
        <v>1</v>
      </c>
      <c r="M187" s="117">
        <v>154500</v>
      </c>
      <c r="N187" s="117">
        <v>9</v>
      </c>
      <c r="O187" s="117">
        <v>1402000</v>
      </c>
      <c r="P187" s="117">
        <v>149</v>
      </c>
      <c r="Q187" s="117">
        <v>35229800</v>
      </c>
      <c r="R187" s="117">
        <v>0</v>
      </c>
      <c r="S187" s="117">
        <v>0</v>
      </c>
      <c r="T187" s="117">
        <v>0</v>
      </c>
      <c r="U187" s="117">
        <v>0</v>
      </c>
      <c r="V187" s="117">
        <v>0</v>
      </c>
      <c r="W187" s="117">
        <v>0</v>
      </c>
      <c r="X187" s="117">
        <v>4</v>
      </c>
      <c r="Y187" s="117">
        <v>0</v>
      </c>
      <c r="Z187" s="117">
        <v>9</v>
      </c>
      <c r="AA187" s="117">
        <v>331300</v>
      </c>
      <c r="AB187" s="117">
        <v>43</v>
      </c>
      <c r="AC187" s="117">
        <v>4622100</v>
      </c>
      <c r="AD187" s="117">
        <v>4</v>
      </c>
      <c r="AE187" s="117">
        <v>272200</v>
      </c>
      <c r="AF187" s="117">
        <v>29</v>
      </c>
      <c r="AG187" s="117">
        <v>3093100</v>
      </c>
      <c r="AH187" s="117">
        <v>535</v>
      </c>
      <c r="AI187" s="117">
        <v>50376900</v>
      </c>
      <c r="AJ187" s="117">
        <v>5</v>
      </c>
      <c r="AK187" s="117">
        <v>50600</v>
      </c>
      <c r="AL187" s="117">
        <v>10</v>
      </c>
      <c r="AM187" s="117">
        <v>63400</v>
      </c>
      <c r="AN187" s="117">
        <v>19</v>
      </c>
      <c r="AO187" s="117">
        <v>587600</v>
      </c>
      <c r="AP187" s="117">
        <v>1</v>
      </c>
      <c r="AQ187" s="117">
        <v>340000</v>
      </c>
      <c r="AR187" s="117">
        <v>14</v>
      </c>
      <c r="AS187" s="117">
        <v>9534700</v>
      </c>
      <c r="AT187" s="117">
        <v>247</v>
      </c>
      <c r="AU187" s="117">
        <v>63595500</v>
      </c>
    </row>
    <row r="188" spans="1:47" x14ac:dyDescent="0.25">
      <c r="A188" s="117">
        <v>540005</v>
      </c>
      <c r="B188" s="2" t="s">
        <v>118</v>
      </c>
      <c r="C188" s="2" t="s">
        <v>61</v>
      </c>
      <c r="D188" s="2" t="s">
        <v>115</v>
      </c>
      <c r="E188" s="117">
        <v>9</v>
      </c>
      <c r="F188" s="117">
        <v>2</v>
      </c>
      <c r="G188" s="117">
        <v>212500</v>
      </c>
      <c r="H188" s="117">
        <v>30</v>
      </c>
      <c r="I188" s="117">
        <v>2152100</v>
      </c>
      <c r="J188" s="117">
        <v>207</v>
      </c>
      <c r="K188" s="117">
        <v>20148100</v>
      </c>
      <c r="L188" s="117">
        <v>1</v>
      </c>
      <c r="M188" s="117">
        <v>254000</v>
      </c>
      <c r="N188" s="117">
        <v>1</v>
      </c>
      <c r="O188" s="117">
        <v>86200</v>
      </c>
      <c r="P188" s="117">
        <v>53</v>
      </c>
      <c r="Q188" s="117">
        <v>9246100</v>
      </c>
      <c r="R188" s="117">
        <v>0</v>
      </c>
      <c r="S188" s="117">
        <v>0</v>
      </c>
      <c r="T188" s="117">
        <v>0</v>
      </c>
      <c r="U188" s="117">
        <v>0</v>
      </c>
      <c r="V188" s="117">
        <v>0</v>
      </c>
      <c r="W188" s="117">
        <v>0</v>
      </c>
      <c r="X188" s="117">
        <v>0</v>
      </c>
      <c r="Y188" s="117">
        <v>0</v>
      </c>
      <c r="Z188" s="117">
        <v>0</v>
      </c>
      <c r="AA188" s="117">
        <v>0</v>
      </c>
      <c r="AB188" s="117">
        <v>0</v>
      </c>
      <c r="AC188" s="117">
        <v>0</v>
      </c>
      <c r="AD188" s="117">
        <v>0</v>
      </c>
      <c r="AE188" s="117">
        <v>0</v>
      </c>
      <c r="AF188" s="117">
        <v>0</v>
      </c>
      <c r="AG188" s="117">
        <v>0</v>
      </c>
      <c r="AH188" s="117">
        <v>0</v>
      </c>
      <c r="AI188" s="117">
        <v>0</v>
      </c>
      <c r="AJ188" s="117">
        <v>0</v>
      </c>
      <c r="AK188" s="117">
        <v>0</v>
      </c>
      <c r="AL188" s="117">
        <v>0</v>
      </c>
      <c r="AM188" s="117">
        <v>0</v>
      </c>
      <c r="AN188" s="117">
        <v>2</v>
      </c>
      <c r="AO188" s="117">
        <v>25500</v>
      </c>
      <c r="AP188" s="117">
        <v>0</v>
      </c>
      <c r="AQ188" s="117">
        <v>0</v>
      </c>
      <c r="AR188" s="117">
        <v>0</v>
      </c>
      <c r="AS188" s="117">
        <v>0</v>
      </c>
      <c r="AT188" s="117">
        <v>25</v>
      </c>
      <c r="AU188" s="117">
        <v>3979900</v>
      </c>
    </row>
    <row r="189" spans="1:47" x14ac:dyDescent="0.25">
      <c r="A189" s="117">
        <v>540252</v>
      </c>
      <c r="B189" s="2" t="s">
        <v>298</v>
      </c>
      <c r="C189" s="2" t="s">
        <v>61</v>
      </c>
      <c r="D189" s="2" t="s">
        <v>115</v>
      </c>
      <c r="E189" s="117">
        <v>9</v>
      </c>
      <c r="F189" s="117">
        <v>0</v>
      </c>
      <c r="G189" s="117">
        <v>0</v>
      </c>
      <c r="H189" s="117">
        <v>0</v>
      </c>
      <c r="I189" s="117">
        <v>0</v>
      </c>
      <c r="J189" s="117">
        <v>198</v>
      </c>
      <c r="K189" s="117">
        <v>9321600</v>
      </c>
      <c r="L189" s="117">
        <v>0</v>
      </c>
      <c r="M189" s="117">
        <v>0</v>
      </c>
      <c r="N189" s="117">
        <v>0</v>
      </c>
      <c r="O189" s="117">
        <v>0</v>
      </c>
      <c r="P189" s="117">
        <v>12</v>
      </c>
      <c r="Q189" s="117">
        <v>1802100</v>
      </c>
      <c r="R189" s="117">
        <v>0</v>
      </c>
      <c r="S189" s="117">
        <v>0</v>
      </c>
      <c r="T189" s="117">
        <v>0</v>
      </c>
      <c r="U189" s="117">
        <v>0</v>
      </c>
      <c r="V189" s="117">
        <v>0</v>
      </c>
      <c r="W189" s="117">
        <v>0</v>
      </c>
      <c r="X189" s="117">
        <v>0</v>
      </c>
      <c r="Y189" s="117">
        <v>0</v>
      </c>
      <c r="Z189" s="117">
        <v>0</v>
      </c>
      <c r="AA189" s="117">
        <v>0</v>
      </c>
      <c r="AB189" s="117">
        <v>0</v>
      </c>
      <c r="AC189" s="117">
        <v>0</v>
      </c>
      <c r="AD189" s="117">
        <v>0</v>
      </c>
      <c r="AE189" s="117">
        <v>0</v>
      </c>
      <c r="AF189" s="117">
        <v>0</v>
      </c>
      <c r="AG189" s="117">
        <v>0</v>
      </c>
      <c r="AH189" s="117">
        <v>0</v>
      </c>
      <c r="AI189" s="117">
        <v>0</v>
      </c>
      <c r="AJ189" s="117">
        <v>0</v>
      </c>
      <c r="AK189" s="117">
        <v>0</v>
      </c>
      <c r="AL189" s="117">
        <v>1</v>
      </c>
      <c r="AM189" s="117">
        <v>1500</v>
      </c>
      <c r="AN189" s="117">
        <v>5</v>
      </c>
      <c r="AO189" s="117">
        <v>134000</v>
      </c>
      <c r="AP189" s="117">
        <v>0</v>
      </c>
      <c r="AQ189" s="117">
        <v>0</v>
      </c>
      <c r="AR189" s="117">
        <v>1</v>
      </c>
      <c r="AS189" s="117">
        <v>1000</v>
      </c>
      <c r="AT189" s="117">
        <v>30</v>
      </c>
      <c r="AU189" s="117">
        <v>2180100</v>
      </c>
    </row>
    <row r="190" spans="1:47" x14ac:dyDescent="0.25">
      <c r="A190" s="269"/>
      <c r="B190" s="269"/>
      <c r="C190" s="269" t="s">
        <v>61</v>
      </c>
      <c r="D190" s="269"/>
      <c r="E190" s="269"/>
      <c r="F190" s="270">
        <v>134</v>
      </c>
      <c r="G190" s="270">
        <v>13058600</v>
      </c>
      <c r="H190" s="270">
        <v>1149</v>
      </c>
      <c r="I190" s="270">
        <v>112455800</v>
      </c>
      <c r="J190" s="270">
        <v>9642</v>
      </c>
      <c r="K190" s="270">
        <v>1051846055</v>
      </c>
      <c r="L190" s="270">
        <v>2</v>
      </c>
      <c r="M190" s="270">
        <v>408500</v>
      </c>
      <c r="N190" s="270">
        <v>10</v>
      </c>
      <c r="O190" s="270">
        <v>1488200</v>
      </c>
      <c r="P190" s="270">
        <v>214</v>
      </c>
      <c r="Q190" s="270">
        <v>46278000</v>
      </c>
      <c r="R190" s="270">
        <v>0</v>
      </c>
      <c r="S190" s="270">
        <v>0</v>
      </c>
      <c r="T190" s="270">
        <v>0</v>
      </c>
      <c r="U190" s="270">
        <v>0</v>
      </c>
      <c r="V190" s="270">
        <v>0</v>
      </c>
      <c r="W190" s="270">
        <v>0</v>
      </c>
      <c r="X190" s="270">
        <v>4</v>
      </c>
      <c r="Y190" s="270">
        <v>0</v>
      </c>
      <c r="Z190" s="270">
        <v>9</v>
      </c>
      <c r="AA190" s="270">
        <v>331300</v>
      </c>
      <c r="AB190" s="270">
        <v>43</v>
      </c>
      <c r="AC190" s="270">
        <v>4622100</v>
      </c>
      <c r="AD190" s="270">
        <v>4</v>
      </c>
      <c r="AE190" s="270">
        <v>272200</v>
      </c>
      <c r="AF190" s="270">
        <v>29</v>
      </c>
      <c r="AG190" s="270">
        <v>3093100</v>
      </c>
      <c r="AH190" s="270">
        <v>535</v>
      </c>
      <c r="AI190" s="270">
        <v>50376900</v>
      </c>
      <c r="AJ190" s="270">
        <v>5</v>
      </c>
      <c r="AK190" s="270">
        <v>50600</v>
      </c>
      <c r="AL190" s="270">
        <v>11</v>
      </c>
      <c r="AM190" s="270">
        <v>64900</v>
      </c>
      <c r="AN190" s="270">
        <v>26</v>
      </c>
      <c r="AO190" s="270">
        <v>747100</v>
      </c>
      <c r="AP190" s="270">
        <v>1</v>
      </c>
      <c r="AQ190" s="270">
        <v>340000</v>
      </c>
      <c r="AR190" s="270">
        <v>15</v>
      </c>
      <c r="AS190" s="270">
        <v>9535700</v>
      </c>
      <c r="AT190" s="270">
        <v>302</v>
      </c>
      <c r="AU190" s="270">
        <v>69755500</v>
      </c>
    </row>
    <row r="191" spans="1:47" x14ac:dyDescent="0.25">
      <c r="A191" s="117">
        <v>540146</v>
      </c>
      <c r="B191" s="2" t="s">
        <v>62</v>
      </c>
      <c r="C191" s="2" t="s">
        <v>63</v>
      </c>
      <c r="D191" s="2" t="s">
        <v>5</v>
      </c>
      <c r="E191" s="117">
        <v>4</v>
      </c>
      <c r="F191" s="117">
        <v>129</v>
      </c>
      <c r="G191" s="117">
        <v>3959100</v>
      </c>
      <c r="H191" s="117">
        <v>884</v>
      </c>
      <c r="I191" s="117">
        <v>26854500</v>
      </c>
      <c r="J191" s="117">
        <v>12886</v>
      </c>
      <c r="K191" s="117">
        <v>571119100</v>
      </c>
      <c r="L191" s="117">
        <v>2</v>
      </c>
      <c r="M191" s="117">
        <v>443900</v>
      </c>
      <c r="N191" s="117">
        <v>18</v>
      </c>
      <c r="O191" s="117">
        <v>548100</v>
      </c>
      <c r="P191" s="117">
        <v>393</v>
      </c>
      <c r="Q191" s="117">
        <v>40139500</v>
      </c>
      <c r="R191" s="117">
        <v>0</v>
      </c>
      <c r="S191" s="117">
        <v>0</v>
      </c>
      <c r="T191" s="117">
        <v>0</v>
      </c>
      <c r="U191" s="117">
        <v>0</v>
      </c>
      <c r="V191" s="117">
        <v>0</v>
      </c>
      <c r="W191" s="117">
        <v>0</v>
      </c>
      <c r="X191" s="117">
        <v>2</v>
      </c>
      <c r="Y191" s="117">
        <v>116400</v>
      </c>
      <c r="Z191" s="117">
        <v>5</v>
      </c>
      <c r="AA191" s="117">
        <v>28000</v>
      </c>
      <c r="AB191" s="117">
        <v>33</v>
      </c>
      <c r="AC191" s="117">
        <v>10409000</v>
      </c>
      <c r="AD191" s="117">
        <v>13</v>
      </c>
      <c r="AE191" s="117">
        <v>379300</v>
      </c>
      <c r="AF191" s="117">
        <v>173</v>
      </c>
      <c r="AG191" s="117">
        <v>7806000</v>
      </c>
      <c r="AH191" s="117">
        <v>2126</v>
      </c>
      <c r="AI191" s="117">
        <v>109559600</v>
      </c>
      <c r="AJ191" s="117">
        <v>0</v>
      </c>
      <c r="AK191" s="117">
        <v>0</v>
      </c>
      <c r="AL191" s="117">
        <v>11</v>
      </c>
      <c r="AM191" s="117">
        <v>244400</v>
      </c>
      <c r="AN191" s="117">
        <v>26</v>
      </c>
      <c r="AO191" s="117">
        <v>1587700</v>
      </c>
      <c r="AP191" s="117">
        <v>0</v>
      </c>
      <c r="AQ191" s="117">
        <v>0</v>
      </c>
      <c r="AR191" s="117">
        <v>4</v>
      </c>
      <c r="AS191" s="117">
        <v>4300</v>
      </c>
      <c r="AT191" s="117">
        <v>38</v>
      </c>
      <c r="AU191" s="117">
        <v>802600</v>
      </c>
    </row>
    <row r="192" spans="1:47" x14ac:dyDescent="0.25">
      <c r="A192" s="117">
        <v>540147</v>
      </c>
      <c r="B192" s="2" t="s">
        <v>225</v>
      </c>
      <c r="C192" s="2" t="s">
        <v>63</v>
      </c>
      <c r="D192" s="2" t="s">
        <v>115</v>
      </c>
      <c r="E192" s="117">
        <v>4</v>
      </c>
      <c r="F192" s="117">
        <v>40</v>
      </c>
      <c r="G192" s="117">
        <v>152600</v>
      </c>
      <c r="H192" s="117">
        <v>266</v>
      </c>
      <c r="I192" s="117">
        <v>1731600</v>
      </c>
      <c r="J192" s="117">
        <v>1175</v>
      </c>
      <c r="K192" s="117">
        <v>21607800</v>
      </c>
      <c r="L192" s="117">
        <v>0</v>
      </c>
      <c r="M192" s="117">
        <v>0</v>
      </c>
      <c r="N192" s="117">
        <v>3</v>
      </c>
      <c r="O192" s="117">
        <v>27700</v>
      </c>
      <c r="P192" s="117">
        <v>122</v>
      </c>
      <c r="Q192" s="117">
        <v>5889400</v>
      </c>
      <c r="R192" s="117">
        <v>0</v>
      </c>
      <c r="S192" s="117">
        <v>0</v>
      </c>
      <c r="T192" s="117">
        <v>0</v>
      </c>
      <c r="U192" s="117">
        <v>0</v>
      </c>
      <c r="V192" s="117">
        <v>0</v>
      </c>
      <c r="W192" s="117">
        <v>0</v>
      </c>
      <c r="X192" s="117">
        <v>0</v>
      </c>
      <c r="Y192" s="117">
        <v>0</v>
      </c>
      <c r="Z192" s="117">
        <v>0</v>
      </c>
      <c r="AA192" s="117">
        <v>0</v>
      </c>
      <c r="AB192" s="117">
        <v>2</v>
      </c>
      <c r="AC192" s="117">
        <v>118600</v>
      </c>
      <c r="AD192" s="117">
        <v>0</v>
      </c>
      <c r="AE192" s="117">
        <v>0</v>
      </c>
      <c r="AF192" s="117">
        <v>0</v>
      </c>
      <c r="AG192" s="117">
        <v>0</v>
      </c>
      <c r="AH192" s="117">
        <v>2</v>
      </c>
      <c r="AI192" s="117">
        <v>119400</v>
      </c>
      <c r="AJ192" s="117">
        <v>0</v>
      </c>
      <c r="AK192" s="117">
        <v>0</v>
      </c>
      <c r="AL192" s="117">
        <v>0</v>
      </c>
      <c r="AM192" s="117">
        <v>0</v>
      </c>
      <c r="AN192" s="117">
        <v>4</v>
      </c>
      <c r="AO192" s="117">
        <v>179800</v>
      </c>
      <c r="AP192" s="117">
        <v>0</v>
      </c>
      <c r="AQ192" s="117">
        <v>0</v>
      </c>
      <c r="AR192" s="117">
        <v>0</v>
      </c>
      <c r="AS192" s="117">
        <v>0</v>
      </c>
      <c r="AT192" s="117">
        <v>12</v>
      </c>
      <c r="AU192" s="117">
        <v>149200</v>
      </c>
    </row>
    <row r="193" spans="1:47" x14ac:dyDescent="0.25">
      <c r="A193" s="117">
        <v>540148</v>
      </c>
      <c r="B193" s="2" t="s">
        <v>226</v>
      </c>
      <c r="C193" s="2" t="s">
        <v>63</v>
      </c>
      <c r="D193" s="2" t="s">
        <v>115</v>
      </c>
      <c r="E193" s="117">
        <v>4</v>
      </c>
      <c r="F193" s="117">
        <v>4</v>
      </c>
      <c r="G193" s="117">
        <v>119100</v>
      </c>
      <c r="H193" s="117">
        <v>79</v>
      </c>
      <c r="I193" s="117">
        <v>6172900</v>
      </c>
      <c r="J193" s="117">
        <v>1903</v>
      </c>
      <c r="K193" s="117">
        <v>148538700</v>
      </c>
      <c r="L193" s="117">
        <v>1</v>
      </c>
      <c r="M193" s="117">
        <v>3400500</v>
      </c>
      <c r="N193" s="117">
        <v>11</v>
      </c>
      <c r="O193" s="117">
        <v>1162000</v>
      </c>
      <c r="P193" s="117">
        <v>337</v>
      </c>
      <c r="Q193" s="117">
        <v>105971300</v>
      </c>
      <c r="R193" s="117">
        <v>0</v>
      </c>
      <c r="S193" s="117">
        <v>0</v>
      </c>
      <c r="T193" s="117">
        <v>0</v>
      </c>
      <c r="U193" s="117">
        <v>0</v>
      </c>
      <c r="V193" s="117">
        <v>0</v>
      </c>
      <c r="W193" s="117">
        <v>0</v>
      </c>
      <c r="X193" s="117">
        <v>0</v>
      </c>
      <c r="Y193" s="117">
        <v>0</v>
      </c>
      <c r="Z193" s="117">
        <v>0</v>
      </c>
      <c r="AA193" s="117">
        <v>0</v>
      </c>
      <c r="AB193" s="117">
        <v>0</v>
      </c>
      <c r="AC193" s="117">
        <v>0</v>
      </c>
      <c r="AD193" s="117">
        <v>0</v>
      </c>
      <c r="AE193" s="117">
        <v>0</v>
      </c>
      <c r="AF193" s="117">
        <v>0</v>
      </c>
      <c r="AG193" s="117">
        <v>0</v>
      </c>
      <c r="AH193" s="117">
        <v>5</v>
      </c>
      <c r="AI193" s="117">
        <v>363800</v>
      </c>
      <c r="AJ193" s="117">
        <v>0</v>
      </c>
      <c r="AK193" s="117">
        <v>0</v>
      </c>
      <c r="AL193" s="117">
        <v>0</v>
      </c>
      <c r="AM193" s="117">
        <v>0</v>
      </c>
      <c r="AN193" s="117">
        <v>4</v>
      </c>
      <c r="AO193" s="117">
        <v>141200</v>
      </c>
      <c r="AP193" s="117">
        <v>0</v>
      </c>
      <c r="AQ193" s="117">
        <v>0</v>
      </c>
      <c r="AR193" s="117">
        <v>0</v>
      </c>
      <c r="AS193" s="117">
        <v>0</v>
      </c>
      <c r="AT193" s="117">
        <v>3</v>
      </c>
      <c r="AU193" s="117">
        <v>96000</v>
      </c>
    </row>
    <row r="194" spans="1:47" x14ac:dyDescent="0.25">
      <c r="A194" s="269"/>
      <c r="B194" s="269"/>
      <c r="C194" s="269" t="s">
        <v>63</v>
      </c>
      <c r="D194" s="269"/>
      <c r="E194" s="269"/>
      <c r="F194" s="270">
        <v>173</v>
      </c>
      <c r="G194" s="270">
        <v>4230800</v>
      </c>
      <c r="H194" s="270">
        <v>1229</v>
      </c>
      <c r="I194" s="270">
        <v>34759000</v>
      </c>
      <c r="J194" s="270">
        <v>15964</v>
      </c>
      <c r="K194" s="270">
        <v>741265600</v>
      </c>
      <c r="L194" s="270">
        <v>3</v>
      </c>
      <c r="M194" s="270">
        <v>3844400</v>
      </c>
      <c r="N194" s="270">
        <v>32</v>
      </c>
      <c r="O194" s="270">
        <v>1737800</v>
      </c>
      <c r="P194" s="270">
        <v>852</v>
      </c>
      <c r="Q194" s="270">
        <v>152000200</v>
      </c>
      <c r="R194" s="270">
        <v>0</v>
      </c>
      <c r="S194" s="270">
        <v>0</v>
      </c>
      <c r="T194" s="270">
        <v>0</v>
      </c>
      <c r="U194" s="270">
        <v>0</v>
      </c>
      <c r="V194" s="270">
        <v>0</v>
      </c>
      <c r="W194" s="270">
        <v>0</v>
      </c>
      <c r="X194" s="270">
        <v>2</v>
      </c>
      <c r="Y194" s="270">
        <v>116400</v>
      </c>
      <c r="Z194" s="270">
        <v>5</v>
      </c>
      <c r="AA194" s="270">
        <v>28000</v>
      </c>
      <c r="AB194" s="270">
        <v>35</v>
      </c>
      <c r="AC194" s="270">
        <v>10527600</v>
      </c>
      <c r="AD194" s="270">
        <v>13</v>
      </c>
      <c r="AE194" s="270">
        <v>379300</v>
      </c>
      <c r="AF194" s="270">
        <v>173</v>
      </c>
      <c r="AG194" s="270">
        <v>7806000</v>
      </c>
      <c r="AH194" s="270">
        <v>2133</v>
      </c>
      <c r="AI194" s="270">
        <v>110042800</v>
      </c>
      <c r="AJ194" s="270">
        <v>0</v>
      </c>
      <c r="AK194" s="270">
        <v>0</v>
      </c>
      <c r="AL194" s="270">
        <v>11</v>
      </c>
      <c r="AM194" s="270">
        <v>244400</v>
      </c>
      <c r="AN194" s="270">
        <v>34</v>
      </c>
      <c r="AO194" s="270">
        <v>1908700</v>
      </c>
      <c r="AP194" s="270">
        <v>0</v>
      </c>
      <c r="AQ194" s="270">
        <v>0</v>
      </c>
      <c r="AR194" s="270">
        <v>4</v>
      </c>
      <c r="AS194" s="270">
        <v>4300</v>
      </c>
      <c r="AT194" s="270">
        <v>53</v>
      </c>
      <c r="AU194" s="270">
        <v>1047800</v>
      </c>
    </row>
    <row r="195" spans="1:47" x14ac:dyDescent="0.25">
      <c r="A195" s="117">
        <v>540149</v>
      </c>
      <c r="B195" s="2" t="s">
        <v>64</v>
      </c>
      <c r="C195" s="2" t="s">
        <v>65</v>
      </c>
      <c r="D195" s="2" t="s">
        <v>5</v>
      </c>
      <c r="E195" s="117">
        <v>10</v>
      </c>
      <c r="F195" s="117">
        <v>34</v>
      </c>
      <c r="G195" s="117">
        <v>1403400</v>
      </c>
      <c r="H195" s="117">
        <v>630</v>
      </c>
      <c r="I195" s="117">
        <v>30301800</v>
      </c>
      <c r="J195" s="117">
        <v>4580</v>
      </c>
      <c r="K195" s="117">
        <v>487694300</v>
      </c>
      <c r="L195" s="117">
        <v>2</v>
      </c>
      <c r="M195" s="117">
        <v>29000</v>
      </c>
      <c r="N195" s="117">
        <v>24</v>
      </c>
      <c r="O195" s="117">
        <v>43143240</v>
      </c>
      <c r="P195" s="117">
        <v>152</v>
      </c>
      <c r="Q195" s="117">
        <v>263923663</v>
      </c>
      <c r="R195" s="117">
        <v>0</v>
      </c>
      <c r="S195" s="117">
        <v>0</v>
      </c>
      <c r="T195" s="117">
        <v>0</v>
      </c>
      <c r="U195" s="117">
        <v>0</v>
      </c>
      <c r="V195" s="117">
        <v>2</v>
      </c>
      <c r="W195" s="117">
        <v>1970000</v>
      </c>
      <c r="X195" s="117">
        <v>0</v>
      </c>
      <c r="Y195" s="117">
        <v>0</v>
      </c>
      <c r="Z195" s="117">
        <v>1</v>
      </c>
      <c r="AA195" s="117">
        <v>13400</v>
      </c>
      <c r="AB195" s="117">
        <v>14</v>
      </c>
      <c r="AC195" s="117">
        <v>12106600</v>
      </c>
      <c r="AD195" s="117">
        <v>1</v>
      </c>
      <c r="AE195" s="117">
        <v>192500</v>
      </c>
      <c r="AF195" s="117">
        <v>44</v>
      </c>
      <c r="AG195" s="117">
        <v>4701100</v>
      </c>
      <c r="AH195" s="117">
        <v>498</v>
      </c>
      <c r="AI195" s="117">
        <v>53791300</v>
      </c>
      <c r="AJ195" s="117">
        <v>0</v>
      </c>
      <c r="AK195" s="117">
        <v>0</v>
      </c>
      <c r="AL195" s="117">
        <v>2</v>
      </c>
      <c r="AM195" s="117">
        <v>26900</v>
      </c>
      <c r="AN195" s="117">
        <v>13</v>
      </c>
      <c r="AO195" s="117">
        <v>717800</v>
      </c>
      <c r="AP195" s="117">
        <v>1</v>
      </c>
      <c r="AQ195" s="117">
        <v>13900</v>
      </c>
      <c r="AR195" s="117">
        <v>14</v>
      </c>
      <c r="AS195" s="117">
        <v>3255800</v>
      </c>
      <c r="AT195" s="117">
        <v>136</v>
      </c>
      <c r="AU195" s="117">
        <v>275525800</v>
      </c>
    </row>
    <row r="196" spans="1:47" x14ac:dyDescent="0.25">
      <c r="A196" s="117">
        <v>540080</v>
      </c>
      <c r="B196" s="2" t="s">
        <v>175</v>
      </c>
      <c r="C196" s="2" t="s">
        <v>65</v>
      </c>
      <c r="D196" s="2" t="s">
        <v>115</v>
      </c>
      <c r="E196" s="117">
        <v>10</v>
      </c>
      <c r="F196" s="117">
        <v>0</v>
      </c>
      <c r="G196" s="117">
        <v>0</v>
      </c>
      <c r="H196" s="117">
        <v>11</v>
      </c>
      <c r="I196" s="117">
        <v>787500</v>
      </c>
      <c r="J196" s="117">
        <v>234</v>
      </c>
      <c r="K196" s="117">
        <v>22789700</v>
      </c>
      <c r="L196" s="117">
        <v>0</v>
      </c>
      <c r="M196" s="117">
        <v>0</v>
      </c>
      <c r="N196" s="117">
        <v>1</v>
      </c>
      <c r="O196" s="117">
        <v>65700</v>
      </c>
      <c r="P196" s="117">
        <v>1</v>
      </c>
      <c r="Q196" s="117">
        <v>74100</v>
      </c>
      <c r="R196" s="117">
        <v>0</v>
      </c>
      <c r="S196" s="117">
        <v>0</v>
      </c>
      <c r="T196" s="117">
        <v>0</v>
      </c>
      <c r="U196" s="117">
        <v>0</v>
      </c>
      <c r="V196" s="117">
        <v>0</v>
      </c>
      <c r="W196" s="117">
        <v>0</v>
      </c>
      <c r="X196" s="117">
        <v>0</v>
      </c>
      <c r="Y196" s="117">
        <v>0</v>
      </c>
      <c r="Z196" s="117">
        <v>0</v>
      </c>
      <c r="AA196" s="117">
        <v>0</v>
      </c>
      <c r="AB196" s="117">
        <v>0</v>
      </c>
      <c r="AC196" s="117">
        <v>0</v>
      </c>
      <c r="AD196" s="117">
        <v>0</v>
      </c>
      <c r="AE196" s="117">
        <v>0</v>
      </c>
      <c r="AF196" s="117">
        <v>0</v>
      </c>
      <c r="AG196" s="117">
        <v>0</v>
      </c>
      <c r="AH196" s="117">
        <v>1</v>
      </c>
      <c r="AI196" s="117">
        <v>261700</v>
      </c>
      <c r="AJ196" s="117">
        <v>0</v>
      </c>
      <c r="AK196" s="117">
        <v>0</v>
      </c>
      <c r="AL196" s="117">
        <v>0</v>
      </c>
      <c r="AM196" s="117">
        <v>0</v>
      </c>
      <c r="AN196" s="117">
        <v>0</v>
      </c>
      <c r="AO196" s="117">
        <v>0</v>
      </c>
      <c r="AP196" s="117">
        <v>0</v>
      </c>
      <c r="AQ196" s="117">
        <v>0</v>
      </c>
      <c r="AR196" s="117">
        <v>2</v>
      </c>
      <c r="AS196" s="117">
        <v>64700</v>
      </c>
      <c r="AT196" s="117">
        <v>5</v>
      </c>
      <c r="AU196" s="117">
        <v>101600</v>
      </c>
    </row>
    <row r="197" spans="1:47" x14ac:dyDescent="0.25">
      <c r="A197" s="117">
        <v>540094</v>
      </c>
      <c r="B197" s="2" t="s">
        <v>185</v>
      </c>
      <c r="C197" s="2" t="s">
        <v>65</v>
      </c>
      <c r="D197" s="2" t="s">
        <v>115</v>
      </c>
      <c r="E197" s="117">
        <v>10</v>
      </c>
      <c r="F197" s="117">
        <v>0</v>
      </c>
      <c r="G197" s="117">
        <v>0</v>
      </c>
      <c r="H197" s="117">
        <v>0</v>
      </c>
      <c r="I197" s="117">
        <v>0</v>
      </c>
      <c r="J197" s="117">
        <v>183</v>
      </c>
      <c r="K197" s="117">
        <v>11622900</v>
      </c>
      <c r="L197" s="117">
        <v>0</v>
      </c>
      <c r="M197" s="117">
        <v>0</v>
      </c>
      <c r="N197" s="117">
        <v>0</v>
      </c>
      <c r="O197" s="117">
        <v>0</v>
      </c>
      <c r="P197" s="117">
        <v>9</v>
      </c>
      <c r="Q197" s="117">
        <v>1114300</v>
      </c>
      <c r="R197" s="117">
        <v>0</v>
      </c>
      <c r="S197" s="117">
        <v>0</v>
      </c>
      <c r="T197" s="117">
        <v>0</v>
      </c>
      <c r="U197" s="117">
        <v>0</v>
      </c>
      <c r="V197" s="117">
        <v>4</v>
      </c>
      <c r="W197" s="117">
        <v>510700</v>
      </c>
      <c r="X197" s="117">
        <v>0</v>
      </c>
      <c r="Y197" s="117">
        <v>0</v>
      </c>
      <c r="Z197" s="117">
        <v>0</v>
      </c>
      <c r="AA197" s="117">
        <v>0</v>
      </c>
      <c r="AB197" s="117">
        <v>0</v>
      </c>
      <c r="AC197" s="117">
        <v>0</v>
      </c>
      <c r="AD197" s="117">
        <v>0</v>
      </c>
      <c r="AE197" s="117">
        <v>0</v>
      </c>
      <c r="AF197" s="117">
        <v>0</v>
      </c>
      <c r="AG197" s="117">
        <v>0</v>
      </c>
      <c r="AH197" s="117">
        <v>3</v>
      </c>
      <c r="AI197" s="117">
        <v>294200</v>
      </c>
      <c r="AJ197" s="117">
        <v>0</v>
      </c>
      <c r="AK197" s="117">
        <v>0</v>
      </c>
      <c r="AL197" s="117">
        <v>0</v>
      </c>
      <c r="AM197" s="117">
        <v>0</v>
      </c>
      <c r="AN197" s="117">
        <v>2</v>
      </c>
      <c r="AO197" s="117">
        <v>38000</v>
      </c>
      <c r="AP197" s="117">
        <v>0</v>
      </c>
      <c r="AQ197" s="117">
        <v>0</v>
      </c>
      <c r="AR197" s="117">
        <v>1</v>
      </c>
      <c r="AS197" s="117">
        <v>1459700</v>
      </c>
      <c r="AT197" s="117">
        <v>30</v>
      </c>
      <c r="AU197" s="117">
        <v>12064000</v>
      </c>
    </row>
    <row r="198" spans="1:47" x14ac:dyDescent="0.25">
      <c r="A198" s="117">
        <v>540150</v>
      </c>
      <c r="B198" s="2" t="s">
        <v>227</v>
      </c>
      <c r="C198" s="2" t="s">
        <v>65</v>
      </c>
      <c r="D198" s="2" t="s">
        <v>115</v>
      </c>
      <c r="E198" s="117">
        <v>10</v>
      </c>
      <c r="F198" s="117">
        <v>2</v>
      </c>
      <c r="G198" s="117">
        <v>5000</v>
      </c>
      <c r="H198" s="117">
        <v>37</v>
      </c>
      <c r="I198" s="117">
        <v>1213700</v>
      </c>
      <c r="J198" s="117">
        <v>169</v>
      </c>
      <c r="K198" s="117">
        <v>7260400</v>
      </c>
      <c r="L198" s="117">
        <v>0</v>
      </c>
      <c r="M198" s="117">
        <v>0</v>
      </c>
      <c r="N198" s="117">
        <v>5</v>
      </c>
      <c r="O198" s="117">
        <v>93000</v>
      </c>
      <c r="P198" s="117">
        <v>33</v>
      </c>
      <c r="Q198" s="117">
        <v>3168200</v>
      </c>
      <c r="R198" s="117">
        <v>0</v>
      </c>
      <c r="S198" s="117">
        <v>0</v>
      </c>
      <c r="T198" s="117">
        <v>0</v>
      </c>
      <c r="U198" s="117">
        <v>0</v>
      </c>
      <c r="V198" s="117">
        <v>6</v>
      </c>
      <c r="W198" s="117">
        <v>1104400</v>
      </c>
      <c r="X198" s="117">
        <v>0</v>
      </c>
      <c r="Y198" s="117">
        <v>0</v>
      </c>
      <c r="Z198" s="117">
        <v>0</v>
      </c>
      <c r="AA198" s="117">
        <v>0</v>
      </c>
      <c r="AB198" s="117">
        <v>0</v>
      </c>
      <c r="AC198" s="117">
        <v>0</v>
      </c>
      <c r="AD198" s="117">
        <v>0</v>
      </c>
      <c r="AE198" s="117">
        <v>0</v>
      </c>
      <c r="AF198" s="117">
        <v>0</v>
      </c>
      <c r="AG198" s="117">
        <v>0</v>
      </c>
      <c r="AH198" s="117">
        <v>0</v>
      </c>
      <c r="AI198" s="117">
        <v>0</v>
      </c>
      <c r="AJ198" s="117">
        <v>0</v>
      </c>
      <c r="AK198" s="117">
        <v>0</v>
      </c>
      <c r="AL198" s="117">
        <v>0</v>
      </c>
      <c r="AM198" s="117">
        <v>0</v>
      </c>
      <c r="AN198" s="117">
        <v>1</v>
      </c>
      <c r="AO198" s="117">
        <v>500</v>
      </c>
      <c r="AP198" s="117">
        <v>0</v>
      </c>
      <c r="AQ198" s="117">
        <v>0</v>
      </c>
      <c r="AR198" s="117">
        <v>1</v>
      </c>
      <c r="AS198" s="117">
        <v>92800</v>
      </c>
      <c r="AT198" s="117">
        <v>16</v>
      </c>
      <c r="AU198" s="117">
        <v>1171700</v>
      </c>
    </row>
    <row r="199" spans="1:47" x14ac:dyDescent="0.25">
      <c r="A199" s="117">
        <v>540151</v>
      </c>
      <c r="B199" s="2" t="s">
        <v>228</v>
      </c>
      <c r="C199" s="2" t="s">
        <v>65</v>
      </c>
      <c r="D199" s="2" t="s">
        <v>115</v>
      </c>
      <c r="E199" s="117">
        <v>10</v>
      </c>
      <c r="F199" s="117">
        <v>0</v>
      </c>
      <c r="G199" s="117">
        <v>0</v>
      </c>
      <c r="H199" s="117">
        <v>19</v>
      </c>
      <c r="I199" s="117">
        <v>448900</v>
      </c>
      <c r="J199" s="117">
        <v>58</v>
      </c>
      <c r="K199" s="117">
        <v>1899600</v>
      </c>
      <c r="L199" s="117">
        <v>0</v>
      </c>
      <c r="M199" s="117">
        <v>0</v>
      </c>
      <c r="N199" s="117">
        <v>1</v>
      </c>
      <c r="O199" s="117">
        <v>13600</v>
      </c>
      <c r="P199" s="117">
        <v>1</v>
      </c>
      <c r="Q199" s="117">
        <v>66900</v>
      </c>
      <c r="R199" s="117">
        <v>0</v>
      </c>
      <c r="S199" s="117">
        <v>0</v>
      </c>
      <c r="T199" s="117">
        <v>0</v>
      </c>
      <c r="U199" s="117">
        <v>0</v>
      </c>
      <c r="V199" s="117">
        <v>0</v>
      </c>
      <c r="W199" s="117">
        <v>0</v>
      </c>
      <c r="X199" s="117">
        <v>0</v>
      </c>
      <c r="Y199" s="117">
        <v>0</v>
      </c>
      <c r="Z199" s="117">
        <v>0</v>
      </c>
      <c r="AA199" s="117">
        <v>0</v>
      </c>
      <c r="AB199" s="117">
        <v>0</v>
      </c>
      <c r="AC199" s="117">
        <v>0</v>
      </c>
      <c r="AD199" s="117">
        <v>0</v>
      </c>
      <c r="AE199" s="117">
        <v>0</v>
      </c>
      <c r="AF199" s="117">
        <v>0</v>
      </c>
      <c r="AG199" s="117">
        <v>0</v>
      </c>
      <c r="AH199" s="117">
        <v>0</v>
      </c>
      <c r="AI199" s="117">
        <v>0</v>
      </c>
      <c r="AJ199" s="117">
        <v>0</v>
      </c>
      <c r="AK199" s="117">
        <v>0</v>
      </c>
      <c r="AL199" s="117">
        <v>0</v>
      </c>
      <c r="AM199" s="117">
        <v>0</v>
      </c>
      <c r="AN199" s="117">
        <v>0</v>
      </c>
      <c r="AO199" s="117">
        <v>0</v>
      </c>
      <c r="AP199" s="117">
        <v>0</v>
      </c>
      <c r="AQ199" s="117">
        <v>0</v>
      </c>
      <c r="AR199" s="117">
        <v>0</v>
      </c>
      <c r="AS199" s="117">
        <v>0</v>
      </c>
      <c r="AT199" s="117">
        <v>0</v>
      </c>
      <c r="AU199" s="117">
        <v>0</v>
      </c>
    </row>
    <row r="200" spans="1:47" x14ac:dyDescent="0.25">
      <c r="A200" s="117">
        <v>540152</v>
      </c>
      <c r="B200" s="2" t="s">
        <v>229</v>
      </c>
      <c r="C200" s="2" t="s">
        <v>65</v>
      </c>
      <c r="D200" s="2" t="s">
        <v>115</v>
      </c>
      <c r="E200" s="117">
        <v>10</v>
      </c>
      <c r="F200" s="117">
        <v>128</v>
      </c>
      <c r="G200" s="117">
        <v>5662300</v>
      </c>
      <c r="H200" s="117">
        <v>1408</v>
      </c>
      <c r="I200" s="117">
        <v>65791200</v>
      </c>
      <c r="J200" s="117">
        <v>7875</v>
      </c>
      <c r="K200" s="117">
        <v>843322300</v>
      </c>
      <c r="L200" s="117">
        <v>3</v>
      </c>
      <c r="M200" s="117">
        <v>302400</v>
      </c>
      <c r="N200" s="117">
        <v>63</v>
      </c>
      <c r="O200" s="117">
        <v>7487700</v>
      </c>
      <c r="P200" s="117">
        <v>1081</v>
      </c>
      <c r="Q200" s="117">
        <v>219714870</v>
      </c>
      <c r="R200" s="117">
        <v>0</v>
      </c>
      <c r="S200" s="117">
        <v>0</v>
      </c>
      <c r="T200" s="117">
        <v>2</v>
      </c>
      <c r="U200" s="117">
        <v>221300</v>
      </c>
      <c r="V200" s="117">
        <v>61</v>
      </c>
      <c r="W200" s="117">
        <v>18251600</v>
      </c>
      <c r="X200" s="117">
        <v>0</v>
      </c>
      <c r="Y200" s="117">
        <v>0</v>
      </c>
      <c r="Z200" s="117">
        <v>2</v>
      </c>
      <c r="AA200" s="117">
        <v>243100</v>
      </c>
      <c r="AB200" s="117">
        <v>22</v>
      </c>
      <c r="AC200" s="117">
        <v>4080600</v>
      </c>
      <c r="AD200" s="117">
        <v>0</v>
      </c>
      <c r="AE200" s="117">
        <v>0</v>
      </c>
      <c r="AF200" s="117">
        <v>1</v>
      </c>
      <c r="AG200" s="117">
        <v>417100</v>
      </c>
      <c r="AH200" s="117">
        <v>2</v>
      </c>
      <c r="AI200" s="117">
        <v>184600</v>
      </c>
      <c r="AJ200" s="117">
        <v>0</v>
      </c>
      <c r="AK200" s="117">
        <v>0</v>
      </c>
      <c r="AL200" s="117">
        <v>1</v>
      </c>
      <c r="AM200" s="117">
        <v>500</v>
      </c>
      <c r="AN200" s="117">
        <v>24</v>
      </c>
      <c r="AO200" s="117">
        <v>1558600</v>
      </c>
      <c r="AP200" s="117">
        <v>15</v>
      </c>
      <c r="AQ200" s="117">
        <v>448500</v>
      </c>
      <c r="AR200" s="117">
        <v>137</v>
      </c>
      <c r="AS200" s="117">
        <v>5016300</v>
      </c>
      <c r="AT200" s="117">
        <v>620</v>
      </c>
      <c r="AU200" s="117">
        <v>353364500</v>
      </c>
    </row>
    <row r="201" spans="1:47" x14ac:dyDescent="0.25">
      <c r="A201" s="117">
        <v>540275</v>
      </c>
      <c r="B201" s="2" t="s">
        <v>318</v>
      </c>
      <c r="C201" s="2" t="s">
        <v>65</v>
      </c>
      <c r="D201" s="2" t="s">
        <v>115</v>
      </c>
      <c r="E201" s="117">
        <v>10</v>
      </c>
      <c r="F201" s="117">
        <v>13</v>
      </c>
      <c r="G201" s="117">
        <v>1449800</v>
      </c>
      <c r="H201" s="117">
        <v>274</v>
      </c>
      <c r="I201" s="117">
        <v>25922900</v>
      </c>
      <c r="J201" s="117">
        <v>1098</v>
      </c>
      <c r="K201" s="117">
        <v>137672200</v>
      </c>
      <c r="L201" s="117">
        <v>1</v>
      </c>
      <c r="M201" s="117">
        <v>64900</v>
      </c>
      <c r="N201" s="117">
        <v>9</v>
      </c>
      <c r="O201" s="117">
        <v>2170900</v>
      </c>
      <c r="P201" s="117">
        <v>25</v>
      </c>
      <c r="Q201" s="117">
        <v>6428400</v>
      </c>
      <c r="R201" s="117">
        <v>0</v>
      </c>
      <c r="S201" s="117">
        <v>0</v>
      </c>
      <c r="T201" s="117">
        <v>0</v>
      </c>
      <c r="U201" s="117">
        <v>0</v>
      </c>
      <c r="V201" s="117">
        <v>2</v>
      </c>
      <c r="W201" s="117">
        <v>2936100</v>
      </c>
      <c r="X201" s="117">
        <v>0</v>
      </c>
      <c r="Y201" s="117">
        <v>0</v>
      </c>
      <c r="Z201" s="117">
        <v>0</v>
      </c>
      <c r="AA201" s="117">
        <v>0</v>
      </c>
      <c r="AB201" s="117">
        <v>0</v>
      </c>
      <c r="AC201" s="117">
        <v>0</v>
      </c>
      <c r="AD201" s="117">
        <v>0</v>
      </c>
      <c r="AE201" s="117">
        <v>0</v>
      </c>
      <c r="AF201" s="117">
        <v>1</v>
      </c>
      <c r="AG201" s="117">
        <v>15500</v>
      </c>
      <c r="AH201" s="117">
        <v>1</v>
      </c>
      <c r="AI201" s="117">
        <v>100</v>
      </c>
      <c r="AJ201" s="117">
        <v>0</v>
      </c>
      <c r="AK201" s="117">
        <v>0</v>
      </c>
      <c r="AL201" s="117">
        <v>1</v>
      </c>
      <c r="AM201" s="117">
        <v>41000</v>
      </c>
      <c r="AN201" s="117">
        <v>1</v>
      </c>
      <c r="AO201" s="117">
        <v>52700</v>
      </c>
      <c r="AP201" s="117">
        <v>3</v>
      </c>
      <c r="AQ201" s="117">
        <v>86000</v>
      </c>
      <c r="AR201" s="117">
        <v>16</v>
      </c>
      <c r="AS201" s="117">
        <v>785500</v>
      </c>
      <c r="AT201" s="117">
        <v>41</v>
      </c>
      <c r="AU201" s="117">
        <v>2087800</v>
      </c>
    </row>
    <row r="202" spans="1:47" x14ac:dyDescent="0.25">
      <c r="A202" s="269"/>
      <c r="B202" s="269"/>
      <c r="C202" s="269" t="s">
        <v>65</v>
      </c>
      <c r="D202" s="269"/>
      <c r="E202" s="269"/>
      <c r="F202" s="270">
        <v>177</v>
      </c>
      <c r="G202" s="270">
        <v>8520500</v>
      </c>
      <c r="H202" s="270">
        <v>2379</v>
      </c>
      <c r="I202" s="270">
        <v>124466000</v>
      </c>
      <c r="J202" s="270">
        <v>14197</v>
      </c>
      <c r="K202" s="270">
        <v>1512261400</v>
      </c>
      <c r="L202" s="270">
        <v>6</v>
      </c>
      <c r="M202" s="270">
        <v>396300</v>
      </c>
      <c r="N202" s="270">
        <v>103</v>
      </c>
      <c r="O202" s="270">
        <v>52974140</v>
      </c>
      <c r="P202" s="270">
        <v>1302</v>
      </c>
      <c r="Q202" s="270">
        <v>494490433</v>
      </c>
      <c r="R202" s="270">
        <v>0</v>
      </c>
      <c r="S202" s="270">
        <v>0</v>
      </c>
      <c r="T202" s="270">
        <v>2</v>
      </c>
      <c r="U202" s="270">
        <v>221300</v>
      </c>
      <c r="V202" s="270">
        <v>75</v>
      </c>
      <c r="W202" s="270">
        <v>24772800</v>
      </c>
      <c r="X202" s="270">
        <v>0</v>
      </c>
      <c r="Y202" s="270">
        <v>0</v>
      </c>
      <c r="Z202" s="270">
        <v>3</v>
      </c>
      <c r="AA202" s="270">
        <v>256500</v>
      </c>
      <c r="AB202" s="270">
        <v>36</v>
      </c>
      <c r="AC202" s="270">
        <v>16187200</v>
      </c>
      <c r="AD202" s="270">
        <v>1</v>
      </c>
      <c r="AE202" s="270">
        <v>192500</v>
      </c>
      <c r="AF202" s="270">
        <v>46</v>
      </c>
      <c r="AG202" s="270">
        <v>5133700</v>
      </c>
      <c r="AH202" s="270">
        <v>505</v>
      </c>
      <c r="AI202" s="270">
        <v>54531900</v>
      </c>
      <c r="AJ202" s="270">
        <v>0</v>
      </c>
      <c r="AK202" s="270">
        <v>0</v>
      </c>
      <c r="AL202" s="270">
        <v>4</v>
      </c>
      <c r="AM202" s="270">
        <v>68400</v>
      </c>
      <c r="AN202" s="270">
        <v>41</v>
      </c>
      <c r="AO202" s="270">
        <v>2367600</v>
      </c>
      <c r="AP202" s="270">
        <v>19</v>
      </c>
      <c r="AQ202" s="270">
        <v>548400</v>
      </c>
      <c r="AR202" s="270">
        <v>171</v>
      </c>
      <c r="AS202" s="270">
        <v>10674800</v>
      </c>
      <c r="AT202" s="270">
        <v>848</v>
      </c>
      <c r="AU202" s="270">
        <v>644315400</v>
      </c>
    </row>
    <row r="203" spans="1:47" x14ac:dyDescent="0.25">
      <c r="A203" s="117">
        <v>540153</v>
      </c>
      <c r="B203" s="2" t="s">
        <v>66</v>
      </c>
      <c r="C203" s="2" t="s">
        <v>67</v>
      </c>
      <c r="D203" s="2" t="s">
        <v>5</v>
      </c>
      <c r="E203" s="117">
        <v>8</v>
      </c>
      <c r="F203" s="117">
        <v>224</v>
      </c>
      <c r="G203" s="117">
        <v>15195900</v>
      </c>
      <c r="H203" s="117">
        <v>1055</v>
      </c>
      <c r="I203" s="117">
        <v>68384300</v>
      </c>
      <c r="J203" s="117">
        <v>3865</v>
      </c>
      <c r="K203" s="117">
        <v>254089100</v>
      </c>
      <c r="L203" s="117">
        <v>2</v>
      </c>
      <c r="M203" s="117">
        <v>115000</v>
      </c>
      <c r="N203" s="117">
        <v>6</v>
      </c>
      <c r="O203" s="117">
        <v>303200</v>
      </c>
      <c r="P203" s="117">
        <v>72</v>
      </c>
      <c r="Q203" s="117">
        <v>17097800</v>
      </c>
      <c r="R203" s="117">
        <v>0</v>
      </c>
      <c r="S203" s="117">
        <v>0</v>
      </c>
      <c r="T203" s="117">
        <v>0</v>
      </c>
      <c r="U203" s="117">
        <v>0</v>
      </c>
      <c r="V203" s="117">
        <v>0</v>
      </c>
      <c r="W203" s="117">
        <v>0</v>
      </c>
      <c r="X203" s="117">
        <v>0</v>
      </c>
      <c r="Y203" s="117">
        <v>0</v>
      </c>
      <c r="Z203" s="117">
        <v>1</v>
      </c>
      <c r="AA203" s="117">
        <v>1300</v>
      </c>
      <c r="AB203" s="117">
        <v>3</v>
      </c>
      <c r="AC203" s="117">
        <v>494000</v>
      </c>
      <c r="AD203" s="117">
        <v>108</v>
      </c>
      <c r="AE203" s="117">
        <v>6577500</v>
      </c>
      <c r="AF203" s="117">
        <v>538</v>
      </c>
      <c r="AG203" s="117">
        <v>31817200</v>
      </c>
      <c r="AH203" s="117">
        <v>1388</v>
      </c>
      <c r="AI203" s="117">
        <v>94483000</v>
      </c>
      <c r="AJ203" s="117">
        <v>1</v>
      </c>
      <c r="AK203" s="117">
        <v>76200</v>
      </c>
      <c r="AL203" s="117">
        <v>0</v>
      </c>
      <c r="AM203" s="117">
        <v>0</v>
      </c>
      <c r="AN203" s="117">
        <v>10</v>
      </c>
      <c r="AO203" s="117">
        <v>281300</v>
      </c>
      <c r="AP203" s="117">
        <v>36</v>
      </c>
      <c r="AQ203" s="117">
        <v>10576000</v>
      </c>
      <c r="AR203" s="117">
        <v>154</v>
      </c>
      <c r="AS203" s="117">
        <v>44927700</v>
      </c>
      <c r="AT203" s="117">
        <v>372</v>
      </c>
      <c r="AU203" s="117">
        <v>74301600</v>
      </c>
    </row>
    <row r="204" spans="1:47" x14ac:dyDescent="0.25">
      <c r="A204" s="117">
        <v>540154</v>
      </c>
      <c r="B204" s="2" t="s">
        <v>230</v>
      </c>
      <c r="C204" s="2" t="s">
        <v>67</v>
      </c>
      <c r="D204" s="2" t="s">
        <v>115</v>
      </c>
      <c r="E204" s="117">
        <v>8</v>
      </c>
      <c r="F204" s="117">
        <v>0</v>
      </c>
      <c r="G204" s="117">
        <v>0</v>
      </c>
      <c r="H204" s="117">
        <v>28</v>
      </c>
      <c r="I204" s="117">
        <v>2452900</v>
      </c>
      <c r="J204" s="117">
        <v>374</v>
      </c>
      <c r="K204" s="117">
        <v>35930900</v>
      </c>
      <c r="L204" s="117">
        <v>0</v>
      </c>
      <c r="M204" s="117">
        <v>0</v>
      </c>
      <c r="N204" s="117">
        <v>3</v>
      </c>
      <c r="O204" s="117">
        <v>487800</v>
      </c>
      <c r="P204" s="117">
        <v>74</v>
      </c>
      <c r="Q204" s="117">
        <v>11451900</v>
      </c>
      <c r="R204" s="117">
        <v>0</v>
      </c>
      <c r="S204" s="117">
        <v>0</v>
      </c>
      <c r="T204" s="117">
        <v>0</v>
      </c>
      <c r="U204" s="117">
        <v>0</v>
      </c>
      <c r="V204" s="117">
        <v>0</v>
      </c>
      <c r="W204" s="117">
        <v>0</v>
      </c>
      <c r="X204" s="117">
        <v>0</v>
      </c>
      <c r="Y204" s="117">
        <v>0</v>
      </c>
      <c r="Z204" s="117">
        <v>0</v>
      </c>
      <c r="AA204" s="117">
        <v>0</v>
      </c>
      <c r="AB204" s="117">
        <v>0</v>
      </c>
      <c r="AC204" s="117">
        <v>0</v>
      </c>
      <c r="AD204" s="117">
        <v>0</v>
      </c>
      <c r="AE204" s="117">
        <v>0</v>
      </c>
      <c r="AF204" s="117">
        <v>1</v>
      </c>
      <c r="AG204" s="117">
        <v>600</v>
      </c>
      <c r="AH204" s="117">
        <v>1</v>
      </c>
      <c r="AI204" s="117">
        <v>6900</v>
      </c>
      <c r="AJ204" s="117">
        <v>0</v>
      </c>
      <c r="AK204" s="117">
        <v>0</v>
      </c>
      <c r="AL204" s="117">
        <v>0</v>
      </c>
      <c r="AM204" s="117">
        <v>0</v>
      </c>
      <c r="AN204" s="117">
        <v>1</v>
      </c>
      <c r="AO204" s="117">
        <v>7000</v>
      </c>
      <c r="AP204" s="117">
        <v>0</v>
      </c>
      <c r="AQ204" s="117">
        <v>0</v>
      </c>
      <c r="AR204" s="117">
        <v>0</v>
      </c>
      <c r="AS204" s="117">
        <v>0</v>
      </c>
      <c r="AT204" s="117">
        <v>42</v>
      </c>
      <c r="AU204" s="117">
        <v>14769800</v>
      </c>
    </row>
    <row r="205" spans="1:47" x14ac:dyDescent="0.25">
      <c r="A205" s="269"/>
      <c r="B205" s="269"/>
      <c r="C205" s="269" t="s">
        <v>67</v>
      </c>
      <c r="D205" s="269"/>
      <c r="E205" s="269"/>
      <c r="F205" s="270">
        <v>224</v>
      </c>
      <c r="G205" s="270">
        <v>15195900</v>
      </c>
      <c r="H205" s="270">
        <v>1083</v>
      </c>
      <c r="I205" s="270">
        <v>70837200</v>
      </c>
      <c r="J205" s="270">
        <v>4239</v>
      </c>
      <c r="K205" s="270">
        <v>290020000</v>
      </c>
      <c r="L205" s="270">
        <v>2</v>
      </c>
      <c r="M205" s="270">
        <v>115000</v>
      </c>
      <c r="N205" s="270">
        <v>9</v>
      </c>
      <c r="O205" s="270">
        <v>791000</v>
      </c>
      <c r="P205" s="270">
        <v>146</v>
      </c>
      <c r="Q205" s="270">
        <v>28549700</v>
      </c>
      <c r="R205" s="270">
        <v>0</v>
      </c>
      <c r="S205" s="270">
        <v>0</v>
      </c>
      <c r="T205" s="270">
        <v>0</v>
      </c>
      <c r="U205" s="270">
        <v>0</v>
      </c>
      <c r="V205" s="270">
        <v>0</v>
      </c>
      <c r="W205" s="270">
        <v>0</v>
      </c>
      <c r="X205" s="270">
        <v>0</v>
      </c>
      <c r="Y205" s="270">
        <v>0</v>
      </c>
      <c r="Z205" s="270">
        <v>1</v>
      </c>
      <c r="AA205" s="270">
        <v>1300</v>
      </c>
      <c r="AB205" s="270">
        <v>3</v>
      </c>
      <c r="AC205" s="270">
        <v>494000</v>
      </c>
      <c r="AD205" s="270">
        <v>108</v>
      </c>
      <c r="AE205" s="270">
        <v>6577500</v>
      </c>
      <c r="AF205" s="270">
        <v>539</v>
      </c>
      <c r="AG205" s="270">
        <v>31817800</v>
      </c>
      <c r="AH205" s="270">
        <v>1389</v>
      </c>
      <c r="AI205" s="270">
        <v>94489900</v>
      </c>
      <c r="AJ205" s="270">
        <v>1</v>
      </c>
      <c r="AK205" s="270">
        <v>76200</v>
      </c>
      <c r="AL205" s="270">
        <v>0</v>
      </c>
      <c r="AM205" s="270">
        <v>0</v>
      </c>
      <c r="AN205" s="270">
        <v>11</v>
      </c>
      <c r="AO205" s="270">
        <v>288300</v>
      </c>
      <c r="AP205" s="270">
        <v>36</v>
      </c>
      <c r="AQ205" s="270">
        <v>10576000</v>
      </c>
      <c r="AR205" s="270">
        <v>154</v>
      </c>
      <c r="AS205" s="270">
        <v>44927700</v>
      </c>
      <c r="AT205" s="270">
        <v>414</v>
      </c>
      <c r="AU205" s="270">
        <v>89071400</v>
      </c>
    </row>
    <row r="206" spans="1:47" x14ac:dyDescent="0.25">
      <c r="A206" s="117">
        <v>540160</v>
      </c>
      <c r="B206" s="2" t="s">
        <v>68</v>
      </c>
      <c r="C206" s="2" t="s">
        <v>69</v>
      </c>
      <c r="D206" s="2" t="s">
        <v>5</v>
      </c>
      <c r="E206" s="117">
        <v>6</v>
      </c>
      <c r="F206" s="117">
        <v>175</v>
      </c>
      <c r="G206" s="117">
        <v>6388900</v>
      </c>
      <c r="H206" s="117">
        <v>1019</v>
      </c>
      <c r="I206" s="117">
        <v>47660300</v>
      </c>
      <c r="J206" s="117">
        <v>18795</v>
      </c>
      <c r="K206" s="117">
        <v>949502900</v>
      </c>
      <c r="L206" s="117">
        <v>4</v>
      </c>
      <c r="M206" s="117">
        <v>1209400</v>
      </c>
      <c r="N206" s="117">
        <v>20</v>
      </c>
      <c r="O206" s="117">
        <v>1993400</v>
      </c>
      <c r="P206" s="117">
        <v>379</v>
      </c>
      <c r="Q206" s="117">
        <v>69062100</v>
      </c>
      <c r="R206" s="117">
        <v>0</v>
      </c>
      <c r="S206" s="117">
        <v>0</v>
      </c>
      <c r="T206" s="117">
        <v>0</v>
      </c>
      <c r="U206" s="117">
        <v>0</v>
      </c>
      <c r="V206" s="117">
        <v>0</v>
      </c>
      <c r="W206" s="117">
        <v>0</v>
      </c>
      <c r="X206" s="117">
        <v>0</v>
      </c>
      <c r="Y206" s="117">
        <v>0</v>
      </c>
      <c r="Z206" s="117">
        <v>0</v>
      </c>
      <c r="AA206" s="117">
        <v>0</v>
      </c>
      <c r="AB206" s="117">
        <v>9</v>
      </c>
      <c r="AC206" s="117">
        <v>7439400</v>
      </c>
      <c r="AD206" s="117">
        <v>66</v>
      </c>
      <c r="AE206" s="117">
        <v>4583300</v>
      </c>
      <c r="AF206" s="117">
        <v>255</v>
      </c>
      <c r="AG206" s="117">
        <v>15349600</v>
      </c>
      <c r="AH206" s="117">
        <v>2770</v>
      </c>
      <c r="AI206" s="117">
        <v>208337100</v>
      </c>
      <c r="AJ206" s="117">
        <v>0</v>
      </c>
      <c r="AK206" s="117">
        <v>0</v>
      </c>
      <c r="AL206" s="117">
        <v>4</v>
      </c>
      <c r="AM206" s="117">
        <v>137700</v>
      </c>
      <c r="AN206" s="117">
        <v>22</v>
      </c>
      <c r="AO206" s="117">
        <v>14081500</v>
      </c>
      <c r="AP206" s="117">
        <v>4</v>
      </c>
      <c r="AQ206" s="117">
        <v>68300</v>
      </c>
      <c r="AR206" s="117">
        <v>60</v>
      </c>
      <c r="AS206" s="117">
        <v>2611700</v>
      </c>
      <c r="AT206" s="117">
        <v>806</v>
      </c>
      <c r="AU206" s="117">
        <v>11834821700</v>
      </c>
    </row>
    <row r="207" spans="1:47" x14ac:dyDescent="0.25">
      <c r="A207" s="117">
        <v>540137</v>
      </c>
      <c r="B207" s="2" t="s">
        <v>220</v>
      </c>
      <c r="C207" s="2" t="s">
        <v>69</v>
      </c>
      <c r="D207" s="2" t="s">
        <v>115</v>
      </c>
      <c r="E207" s="117">
        <v>6</v>
      </c>
      <c r="F207" s="117">
        <v>4</v>
      </c>
      <c r="G207" s="117">
        <v>26700</v>
      </c>
      <c r="H207" s="117">
        <v>39</v>
      </c>
      <c r="I207" s="117">
        <v>789700</v>
      </c>
      <c r="J207" s="117">
        <v>160</v>
      </c>
      <c r="K207" s="117">
        <v>3521400</v>
      </c>
      <c r="L207" s="117">
        <v>0</v>
      </c>
      <c r="M207" s="117">
        <v>0</v>
      </c>
      <c r="N207" s="117">
        <v>3</v>
      </c>
      <c r="O207" s="117">
        <v>79800</v>
      </c>
      <c r="P207" s="117">
        <v>10</v>
      </c>
      <c r="Q207" s="117">
        <v>835300</v>
      </c>
      <c r="R207" s="117">
        <v>0</v>
      </c>
      <c r="S207" s="117">
        <v>0</v>
      </c>
      <c r="T207" s="117">
        <v>0</v>
      </c>
      <c r="U207" s="117">
        <v>0</v>
      </c>
      <c r="V207" s="117">
        <v>0</v>
      </c>
      <c r="W207" s="117">
        <v>0</v>
      </c>
      <c r="X207" s="117">
        <v>0</v>
      </c>
      <c r="Y207" s="117">
        <v>0</v>
      </c>
      <c r="Z207" s="117">
        <v>0</v>
      </c>
      <c r="AA207" s="117">
        <v>0</v>
      </c>
      <c r="AB207" s="117">
        <v>0</v>
      </c>
      <c r="AC207" s="117">
        <v>0</v>
      </c>
      <c r="AD207" s="117">
        <v>0</v>
      </c>
      <c r="AE207" s="117">
        <v>0</v>
      </c>
      <c r="AF207" s="117">
        <v>0</v>
      </c>
      <c r="AG207" s="117">
        <v>0</v>
      </c>
      <c r="AH207" s="117">
        <v>1</v>
      </c>
      <c r="AI207" s="117">
        <v>18100</v>
      </c>
      <c r="AJ207" s="117">
        <v>0</v>
      </c>
      <c r="AK207" s="117">
        <v>0</v>
      </c>
      <c r="AL207" s="117">
        <v>0</v>
      </c>
      <c r="AM207" s="117">
        <v>0</v>
      </c>
      <c r="AN207" s="117">
        <v>1</v>
      </c>
      <c r="AO207" s="117">
        <v>54000</v>
      </c>
      <c r="AP207" s="117">
        <v>0</v>
      </c>
      <c r="AQ207" s="117">
        <v>0</v>
      </c>
      <c r="AR207" s="117">
        <v>6</v>
      </c>
      <c r="AS207" s="117">
        <v>113100</v>
      </c>
      <c r="AT207" s="117">
        <v>15</v>
      </c>
      <c r="AU207" s="117">
        <v>912800</v>
      </c>
    </row>
    <row r="208" spans="1:47" x14ac:dyDescent="0.25">
      <c r="A208" s="117">
        <v>540161</v>
      </c>
      <c r="B208" s="2" t="s">
        <v>235</v>
      </c>
      <c r="C208" s="2" t="s">
        <v>69</v>
      </c>
      <c r="D208" s="2" t="s">
        <v>115</v>
      </c>
      <c r="E208" s="117">
        <v>6</v>
      </c>
      <c r="F208" s="117">
        <v>1</v>
      </c>
      <c r="G208" s="117">
        <v>2300</v>
      </c>
      <c r="H208" s="117">
        <v>6</v>
      </c>
      <c r="I208" s="117">
        <v>26200</v>
      </c>
      <c r="J208" s="117">
        <v>144</v>
      </c>
      <c r="K208" s="117">
        <v>3063500</v>
      </c>
      <c r="L208" s="117">
        <v>0</v>
      </c>
      <c r="M208" s="117">
        <v>0</v>
      </c>
      <c r="N208" s="117">
        <v>1</v>
      </c>
      <c r="O208" s="117">
        <v>100</v>
      </c>
      <c r="P208" s="117">
        <v>6</v>
      </c>
      <c r="Q208" s="117">
        <v>476600</v>
      </c>
      <c r="R208" s="117">
        <v>0</v>
      </c>
      <c r="S208" s="117">
        <v>0</v>
      </c>
      <c r="T208" s="117">
        <v>0</v>
      </c>
      <c r="U208" s="117">
        <v>0</v>
      </c>
      <c r="V208" s="117">
        <v>0</v>
      </c>
      <c r="W208" s="117">
        <v>0</v>
      </c>
      <c r="X208" s="117">
        <v>0</v>
      </c>
      <c r="Y208" s="117">
        <v>0</v>
      </c>
      <c r="Z208" s="117">
        <v>0</v>
      </c>
      <c r="AA208" s="117">
        <v>0</v>
      </c>
      <c r="AB208" s="117">
        <v>0</v>
      </c>
      <c r="AC208" s="117">
        <v>0</v>
      </c>
      <c r="AD208" s="117">
        <v>0</v>
      </c>
      <c r="AE208" s="117">
        <v>0</v>
      </c>
      <c r="AF208" s="117">
        <v>0</v>
      </c>
      <c r="AG208" s="117">
        <v>0</v>
      </c>
      <c r="AH208" s="117">
        <v>0</v>
      </c>
      <c r="AI208" s="117">
        <v>0</v>
      </c>
      <c r="AJ208" s="117">
        <v>0</v>
      </c>
      <c r="AK208" s="117">
        <v>0</v>
      </c>
      <c r="AL208" s="117">
        <v>0</v>
      </c>
      <c r="AM208" s="117">
        <v>0</v>
      </c>
      <c r="AN208" s="117">
        <v>4</v>
      </c>
      <c r="AO208" s="117">
        <v>26000</v>
      </c>
      <c r="AP208" s="117">
        <v>0</v>
      </c>
      <c r="AQ208" s="117">
        <v>0</v>
      </c>
      <c r="AR208" s="117">
        <v>2</v>
      </c>
      <c r="AS208" s="117">
        <v>5800</v>
      </c>
      <c r="AT208" s="117">
        <v>14</v>
      </c>
      <c r="AU208" s="117">
        <v>955600</v>
      </c>
    </row>
    <row r="209" spans="1:47" x14ac:dyDescent="0.25">
      <c r="A209" s="117">
        <v>540162</v>
      </c>
      <c r="B209" s="2" t="s">
        <v>236</v>
      </c>
      <c r="C209" s="2" t="s">
        <v>69</v>
      </c>
      <c r="D209" s="2" t="s">
        <v>115</v>
      </c>
      <c r="E209" s="117">
        <v>6</v>
      </c>
      <c r="F209" s="117">
        <v>0</v>
      </c>
      <c r="G209" s="117">
        <v>0</v>
      </c>
      <c r="H209" s="117">
        <v>0</v>
      </c>
      <c r="I209" s="117">
        <v>0</v>
      </c>
      <c r="J209" s="117">
        <v>35</v>
      </c>
      <c r="K209" s="117">
        <v>3003300</v>
      </c>
      <c r="L209" s="117">
        <v>0</v>
      </c>
      <c r="M209" s="117">
        <v>0</v>
      </c>
      <c r="N209" s="117">
        <v>0</v>
      </c>
      <c r="O209" s="117">
        <v>0</v>
      </c>
      <c r="P209" s="117">
        <v>19</v>
      </c>
      <c r="Q209" s="117">
        <v>2578400</v>
      </c>
      <c r="R209" s="117">
        <v>0</v>
      </c>
      <c r="S209" s="117">
        <v>0</v>
      </c>
      <c r="T209" s="117">
        <v>0</v>
      </c>
      <c r="U209" s="117">
        <v>0</v>
      </c>
      <c r="V209" s="117">
        <v>0</v>
      </c>
      <c r="W209" s="117">
        <v>0</v>
      </c>
      <c r="X209" s="117">
        <v>0</v>
      </c>
      <c r="Y209" s="117">
        <v>0</v>
      </c>
      <c r="Z209" s="117">
        <v>0</v>
      </c>
      <c r="AA209" s="117">
        <v>0</v>
      </c>
      <c r="AB209" s="117">
        <v>0</v>
      </c>
      <c r="AC209" s="117">
        <v>0</v>
      </c>
      <c r="AD209" s="117">
        <v>0</v>
      </c>
      <c r="AE209" s="117">
        <v>0</v>
      </c>
      <c r="AF209" s="117">
        <v>0</v>
      </c>
      <c r="AG209" s="117">
        <v>0</v>
      </c>
      <c r="AH209" s="117">
        <v>0</v>
      </c>
      <c r="AI209" s="117">
        <v>0</v>
      </c>
      <c r="AJ209" s="117">
        <v>0</v>
      </c>
      <c r="AK209" s="117">
        <v>0</v>
      </c>
      <c r="AL209" s="117">
        <v>0</v>
      </c>
      <c r="AM209" s="117">
        <v>0</v>
      </c>
      <c r="AN209" s="117">
        <v>0</v>
      </c>
      <c r="AO209" s="117">
        <v>0</v>
      </c>
      <c r="AP209" s="117">
        <v>0</v>
      </c>
      <c r="AQ209" s="117">
        <v>0</v>
      </c>
      <c r="AR209" s="117">
        <v>0</v>
      </c>
      <c r="AS209" s="117">
        <v>0</v>
      </c>
      <c r="AT209" s="117">
        <v>4</v>
      </c>
      <c r="AU209" s="117">
        <v>435300</v>
      </c>
    </row>
    <row r="210" spans="1:47" x14ac:dyDescent="0.25">
      <c r="A210" s="117">
        <v>540163</v>
      </c>
      <c r="B210" s="2" t="s">
        <v>237</v>
      </c>
      <c r="C210" s="2" t="s">
        <v>69</v>
      </c>
      <c r="D210" s="2" t="s">
        <v>115</v>
      </c>
      <c r="E210" s="117">
        <v>6</v>
      </c>
      <c r="F210" s="117">
        <v>8</v>
      </c>
      <c r="G210" s="117">
        <v>178700</v>
      </c>
      <c r="H210" s="117">
        <v>46</v>
      </c>
      <c r="I210" s="117">
        <v>929100</v>
      </c>
      <c r="J210" s="117">
        <v>260</v>
      </c>
      <c r="K210" s="117">
        <v>8615300</v>
      </c>
      <c r="L210" s="117">
        <v>0</v>
      </c>
      <c r="M210" s="117">
        <v>0</v>
      </c>
      <c r="N210" s="117">
        <v>0</v>
      </c>
      <c r="O210" s="117">
        <v>0</v>
      </c>
      <c r="P210" s="117">
        <v>14</v>
      </c>
      <c r="Q210" s="117">
        <v>1024100</v>
      </c>
      <c r="R210" s="117">
        <v>0</v>
      </c>
      <c r="S210" s="117">
        <v>0</v>
      </c>
      <c r="T210" s="117">
        <v>0</v>
      </c>
      <c r="U210" s="117">
        <v>0</v>
      </c>
      <c r="V210" s="117">
        <v>0</v>
      </c>
      <c r="W210" s="117">
        <v>0</v>
      </c>
      <c r="X210" s="117">
        <v>0</v>
      </c>
      <c r="Y210" s="117">
        <v>0</v>
      </c>
      <c r="Z210" s="117">
        <v>0</v>
      </c>
      <c r="AA210" s="117">
        <v>0</v>
      </c>
      <c r="AB210" s="117">
        <v>0</v>
      </c>
      <c r="AC210" s="117">
        <v>0</v>
      </c>
      <c r="AD210" s="117">
        <v>0</v>
      </c>
      <c r="AE210" s="117">
        <v>0</v>
      </c>
      <c r="AF210" s="117">
        <v>0</v>
      </c>
      <c r="AG210" s="117">
        <v>0</v>
      </c>
      <c r="AH210" s="117">
        <v>0</v>
      </c>
      <c r="AI210" s="117">
        <v>0</v>
      </c>
      <c r="AJ210" s="117">
        <v>0</v>
      </c>
      <c r="AK210" s="117">
        <v>0</v>
      </c>
      <c r="AL210" s="117">
        <v>0</v>
      </c>
      <c r="AM210" s="117">
        <v>0</v>
      </c>
      <c r="AN210" s="117">
        <v>1</v>
      </c>
      <c r="AO210" s="117">
        <v>36000</v>
      </c>
      <c r="AP210" s="117">
        <v>0</v>
      </c>
      <c r="AQ210" s="117">
        <v>0</v>
      </c>
      <c r="AR210" s="117">
        <v>1</v>
      </c>
      <c r="AS210" s="117">
        <v>18000</v>
      </c>
      <c r="AT210" s="117">
        <v>20</v>
      </c>
      <c r="AU210" s="117">
        <v>2794400</v>
      </c>
    </row>
    <row r="211" spans="1:47" x14ac:dyDescent="0.25">
      <c r="A211" s="117">
        <v>540254</v>
      </c>
      <c r="B211" s="2" t="s">
        <v>300</v>
      </c>
      <c r="C211" s="2" t="s">
        <v>69</v>
      </c>
      <c r="D211" s="2" t="s">
        <v>115</v>
      </c>
      <c r="E211" s="117">
        <v>6</v>
      </c>
      <c r="F211" s="117">
        <v>5</v>
      </c>
      <c r="G211" s="117">
        <v>347600</v>
      </c>
      <c r="H211" s="117">
        <v>60</v>
      </c>
      <c r="I211" s="117">
        <v>3944200</v>
      </c>
      <c r="J211" s="117">
        <v>1413</v>
      </c>
      <c r="K211" s="117">
        <v>110477800</v>
      </c>
      <c r="L211" s="117">
        <v>1</v>
      </c>
      <c r="M211" s="117">
        <v>183500</v>
      </c>
      <c r="N211" s="117">
        <v>6</v>
      </c>
      <c r="O211" s="117">
        <v>388600</v>
      </c>
      <c r="P211" s="117">
        <v>146</v>
      </c>
      <c r="Q211" s="117">
        <v>29754100</v>
      </c>
      <c r="R211" s="117">
        <v>0</v>
      </c>
      <c r="S211" s="117">
        <v>0</v>
      </c>
      <c r="T211" s="117">
        <v>1</v>
      </c>
      <c r="U211" s="117">
        <v>224200</v>
      </c>
      <c r="V211" s="117">
        <v>6</v>
      </c>
      <c r="W211" s="117">
        <v>1181600</v>
      </c>
      <c r="X211" s="117">
        <v>0</v>
      </c>
      <c r="Y211" s="117">
        <v>0</v>
      </c>
      <c r="Z211" s="117">
        <v>0</v>
      </c>
      <c r="AA211" s="117">
        <v>0</v>
      </c>
      <c r="AB211" s="117">
        <v>3</v>
      </c>
      <c r="AC211" s="117">
        <v>1003600</v>
      </c>
      <c r="AD211" s="117">
        <v>0</v>
      </c>
      <c r="AE211" s="117">
        <v>0</v>
      </c>
      <c r="AF211" s="117">
        <v>0</v>
      </c>
      <c r="AG211" s="117">
        <v>0</v>
      </c>
      <c r="AH211" s="117">
        <v>2</v>
      </c>
      <c r="AI211" s="117">
        <v>126500</v>
      </c>
      <c r="AJ211" s="117">
        <v>0</v>
      </c>
      <c r="AK211" s="117">
        <v>0</v>
      </c>
      <c r="AL211" s="117">
        <v>0</v>
      </c>
      <c r="AM211" s="117">
        <v>0</v>
      </c>
      <c r="AN211" s="117">
        <v>5</v>
      </c>
      <c r="AO211" s="117">
        <v>292800</v>
      </c>
      <c r="AP211" s="117">
        <v>0</v>
      </c>
      <c r="AQ211" s="117">
        <v>0</v>
      </c>
      <c r="AR211" s="117">
        <v>1</v>
      </c>
      <c r="AS211" s="117">
        <v>222400</v>
      </c>
      <c r="AT211" s="117">
        <v>98</v>
      </c>
      <c r="AU211" s="117">
        <v>63817800</v>
      </c>
    </row>
    <row r="212" spans="1:47" x14ac:dyDescent="0.25">
      <c r="A212" s="117">
        <v>540257</v>
      </c>
      <c r="B212" s="2" t="s">
        <v>302</v>
      </c>
      <c r="C212" s="2" t="s">
        <v>69</v>
      </c>
      <c r="D212" s="2" t="s">
        <v>115</v>
      </c>
      <c r="E212" s="117">
        <v>6</v>
      </c>
      <c r="F212" s="117">
        <v>1</v>
      </c>
      <c r="G212" s="117">
        <v>3300</v>
      </c>
      <c r="H212" s="117">
        <v>34</v>
      </c>
      <c r="I212" s="117">
        <v>1083100</v>
      </c>
      <c r="J212" s="117">
        <v>730</v>
      </c>
      <c r="K212" s="117">
        <v>28827700</v>
      </c>
      <c r="L212" s="117">
        <v>1</v>
      </c>
      <c r="M212" s="117">
        <v>8100</v>
      </c>
      <c r="N212" s="117">
        <v>4</v>
      </c>
      <c r="O212" s="117">
        <v>53000</v>
      </c>
      <c r="P212" s="117">
        <v>95</v>
      </c>
      <c r="Q212" s="117">
        <v>7147200</v>
      </c>
      <c r="R212" s="117">
        <v>0</v>
      </c>
      <c r="S212" s="117">
        <v>0</v>
      </c>
      <c r="T212" s="117">
        <v>0</v>
      </c>
      <c r="U212" s="117">
        <v>0</v>
      </c>
      <c r="V212" s="117">
        <v>0</v>
      </c>
      <c r="W212" s="117">
        <v>0</v>
      </c>
      <c r="X212" s="117">
        <v>0</v>
      </c>
      <c r="Y212" s="117">
        <v>0</v>
      </c>
      <c r="Z212" s="117">
        <v>0</v>
      </c>
      <c r="AA212" s="117">
        <v>0</v>
      </c>
      <c r="AB212" s="117">
        <v>0</v>
      </c>
      <c r="AC212" s="117">
        <v>0</v>
      </c>
      <c r="AD212" s="117">
        <v>1</v>
      </c>
      <c r="AE212" s="117">
        <v>17000</v>
      </c>
      <c r="AF212" s="117">
        <v>0</v>
      </c>
      <c r="AG212" s="117">
        <v>0</v>
      </c>
      <c r="AH212" s="117">
        <v>6</v>
      </c>
      <c r="AI212" s="117">
        <v>257600</v>
      </c>
      <c r="AJ212" s="117">
        <v>0</v>
      </c>
      <c r="AK212" s="117">
        <v>0</v>
      </c>
      <c r="AL212" s="117">
        <v>0</v>
      </c>
      <c r="AM212" s="117">
        <v>0</v>
      </c>
      <c r="AN212" s="117">
        <v>3</v>
      </c>
      <c r="AO212" s="117">
        <v>65200</v>
      </c>
      <c r="AP212" s="117">
        <v>0</v>
      </c>
      <c r="AQ212" s="117">
        <v>0</v>
      </c>
      <c r="AR212" s="117">
        <v>3</v>
      </c>
      <c r="AS212" s="117">
        <v>104100</v>
      </c>
      <c r="AT212" s="117">
        <v>44</v>
      </c>
      <c r="AU212" s="117">
        <v>22608100</v>
      </c>
    </row>
    <row r="213" spans="1:47" x14ac:dyDescent="0.25">
      <c r="A213" s="117">
        <v>540268</v>
      </c>
      <c r="B213" s="2" t="s">
        <v>311</v>
      </c>
      <c r="C213" s="2" t="s">
        <v>69</v>
      </c>
      <c r="D213" s="2" t="s">
        <v>115</v>
      </c>
      <c r="E213" s="117">
        <v>6</v>
      </c>
      <c r="F213" s="117">
        <v>9</v>
      </c>
      <c r="G213" s="117">
        <v>164400</v>
      </c>
      <c r="H213" s="117">
        <v>66</v>
      </c>
      <c r="I213" s="117">
        <v>956200</v>
      </c>
      <c r="J213" s="117">
        <v>196</v>
      </c>
      <c r="K213" s="117">
        <v>4244800</v>
      </c>
      <c r="L213" s="117">
        <v>0</v>
      </c>
      <c r="M213" s="117">
        <v>0</v>
      </c>
      <c r="N213" s="117">
        <v>0</v>
      </c>
      <c r="O213" s="117">
        <v>0</v>
      </c>
      <c r="P213" s="117">
        <v>8</v>
      </c>
      <c r="Q213" s="117">
        <v>661700</v>
      </c>
      <c r="R213" s="117">
        <v>0</v>
      </c>
      <c r="S213" s="117">
        <v>0</v>
      </c>
      <c r="T213" s="117">
        <v>0</v>
      </c>
      <c r="U213" s="117">
        <v>0</v>
      </c>
      <c r="V213" s="117">
        <v>0</v>
      </c>
      <c r="W213" s="117">
        <v>0</v>
      </c>
      <c r="X213" s="117">
        <v>0</v>
      </c>
      <c r="Y213" s="117">
        <v>0</v>
      </c>
      <c r="Z213" s="117">
        <v>0</v>
      </c>
      <c r="AA213" s="117">
        <v>0</v>
      </c>
      <c r="AB213" s="117">
        <v>0</v>
      </c>
      <c r="AC213" s="117">
        <v>0</v>
      </c>
      <c r="AD213" s="117">
        <v>0</v>
      </c>
      <c r="AE213" s="117">
        <v>0</v>
      </c>
      <c r="AF213" s="117">
        <v>0</v>
      </c>
      <c r="AG213" s="117">
        <v>0</v>
      </c>
      <c r="AH213" s="117">
        <v>3</v>
      </c>
      <c r="AI213" s="117">
        <v>40600</v>
      </c>
      <c r="AJ213" s="117">
        <v>0</v>
      </c>
      <c r="AK213" s="117">
        <v>0</v>
      </c>
      <c r="AL213" s="117">
        <v>0</v>
      </c>
      <c r="AM213" s="117">
        <v>0</v>
      </c>
      <c r="AN213" s="117">
        <v>1</v>
      </c>
      <c r="AO213" s="117">
        <v>24000</v>
      </c>
      <c r="AP213" s="117">
        <v>1</v>
      </c>
      <c r="AQ213" s="117">
        <v>7100</v>
      </c>
      <c r="AR213" s="117">
        <v>4</v>
      </c>
      <c r="AS213" s="117">
        <v>39700</v>
      </c>
      <c r="AT213" s="117">
        <v>14</v>
      </c>
      <c r="AU213" s="117">
        <v>716600</v>
      </c>
    </row>
    <row r="214" spans="1:47" x14ac:dyDescent="0.25">
      <c r="A214" s="117">
        <v>540269</v>
      </c>
      <c r="B214" s="2" t="s">
        <v>312</v>
      </c>
      <c r="C214" s="2" t="s">
        <v>69</v>
      </c>
      <c r="D214" s="2" t="s">
        <v>115</v>
      </c>
      <c r="E214" s="117">
        <v>6</v>
      </c>
      <c r="F214" s="117">
        <v>1</v>
      </c>
      <c r="G214" s="117">
        <v>19400</v>
      </c>
      <c r="H214" s="117">
        <v>3</v>
      </c>
      <c r="I214" s="117">
        <v>196800</v>
      </c>
      <c r="J214" s="117">
        <v>318</v>
      </c>
      <c r="K214" s="117">
        <v>19981200</v>
      </c>
      <c r="L214" s="117">
        <v>0</v>
      </c>
      <c r="M214" s="117">
        <v>0</v>
      </c>
      <c r="N214" s="117">
        <v>2</v>
      </c>
      <c r="O214" s="117">
        <v>327300</v>
      </c>
      <c r="P214" s="117">
        <v>43</v>
      </c>
      <c r="Q214" s="117">
        <v>5752000</v>
      </c>
      <c r="R214" s="117">
        <v>0</v>
      </c>
      <c r="S214" s="117">
        <v>0</v>
      </c>
      <c r="T214" s="117">
        <v>0</v>
      </c>
      <c r="U214" s="117">
        <v>0</v>
      </c>
      <c r="V214" s="117">
        <v>0</v>
      </c>
      <c r="W214" s="117">
        <v>0</v>
      </c>
      <c r="X214" s="117">
        <v>0</v>
      </c>
      <c r="Y214" s="117">
        <v>0</v>
      </c>
      <c r="Z214" s="117">
        <v>0</v>
      </c>
      <c r="AA214" s="117">
        <v>0</v>
      </c>
      <c r="AB214" s="117">
        <v>0</v>
      </c>
      <c r="AC214" s="117">
        <v>0</v>
      </c>
      <c r="AD214" s="117">
        <v>0</v>
      </c>
      <c r="AE214" s="117">
        <v>0</v>
      </c>
      <c r="AF214" s="117">
        <v>0</v>
      </c>
      <c r="AG214" s="117">
        <v>0</v>
      </c>
      <c r="AH214" s="117">
        <v>1</v>
      </c>
      <c r="AI214" s="117">
        <v>124600</v>
      </c>
      <c r="AJ214" s="117">
        <v>0</v>
      </c>
      <c r="AK214" s="117">
        <v>0</v>
      </c>
      <c r="AL214" s="117">
        <v>0</v>
      </c>
      <c r="AM214" s="117">
        <v>0</v>
      </c>
      <c r="AN214" s="117">
        <v>0</v>
      </c>
      <c r="AO214" s="117">
        <v>0</v>
      </c>
      <c r="AP214" s="117">
        <v>0</v>
      </c>
      <c r="AQ214" s="117">
        <v>0</v>
      </c>
      <c r="AR214" s="117">
        <v>0</v>
      </c>
      <c r="AS214" s="117">
        <v>0</v>
      </c>
      <c r="AT214" s="117">
        <v>17</v>
      </c>
      <c r="AU214" s="117">
        <v>1506800</v>
      </c>
    </row>
    <row r="215" spans="1:47" x14ac:dyDescent="0.25">
      <c r="A215" s="117">
        <v>540270</v>
      </c>
      <c r="B215" s="2" t="s">
        <v>313</v>
      </c>
      <c r="C215" s="2" t="s">
        <v>69</v>
      </c>
      <c r="D215" s="2" t="s">
        <v>115</v>
      </c>
      <c r="E215" s="117">
        <v>6</v>
      </c>
      <c r="F215" s="117">
        <v>4</v>
      </c>
      <c r="G215" s="117">
        <v>284600</v>
      </c>
      <c r="H215" s="117">
        <v>13</v>
      </c>
      <c r="I215" s="117">
        <v>336900</v>
      </c>
      <c r="J215" s="117">
        <v>310</v>
      </c>
      <c r="K215" s="117">
        <v>14027500</v>
      </c>
      <c r="L215" s="117">
        <v>2</v>
      </c>
      <c r="M215" s="117">
        <v>224200</v>
      </c>
      <c r="N215" s="117">
        <v>2</v>
      </c>
      <c r="O215" s="117">
        <v>21600</v>
      </c>
      <c r="P215" s="117">
        <v>50</v>
      </c>
      <c r="Q215" s="117">
        <v>3547100</v>
      </c>
      <c r="R215" s="117">
        <v>0</v>
      </c>
      <c r="S215" s="117">
        <v>0</v>
      </c>
      <c r="T215" s="117">
        <v>0</v>
      </c>
      <c r="U215" s="117">
        <v>0</v>
      </c>
      <c r="V215" s="117">
        <v>0</v>
      </c>
      <c r="W215" s="117">
        <v>0</v>
      </c>
      <c r="X215" s="117">
        <v>0</v>
      </c>
      <c r="Y215" s="117">
        <v>0</v>
      </c>
      <c r="Z215" s="117">
        <v>0</v>
      </c>
      <c r="AA215" s="117">
        <v>0</v>
      </c>
      <c r="AB215" s="117">
        <v>1</v>
      </c>
      <c r="AC215" s="117">
        <v>60900</v>
      </c>
      <c r="AD215" s="117">
        <v>0</v>
      </c>
      <c r="AE215" s="117">
        <v>0</v>
      </c>
      <c r="AF215" s="117">
        <v>0</v>
      </c>
      <c r="AG215" s="117">
        <v>0</v>
      </c>
      <c r="AH215" s="117">
        <v>2</v>
      </c>
      <c r="AI215" s="117">
        <v>140000</v>
      </c>
      <c r="AJ215" s="117">
        <v>0</v>
      </c>
      <c r="AK215" s="117">
        <v>0</v>
      </c>
      <c r="AL215" s="117">
        <v>0</v>
      </c>
      <c r="AM215" s="117">
        <v>0</v>
      </c>
      <c r="AN215" s="117">
        <v>0</v>
      </c>
      <c r="AO215" s="117">
        <v>0</v>
      </c>
      <c r="AP215" s="117">
        <v>0</v>
      </c>
      <c r="AQ215" s="117">
        <v>0</v>
      </c>
      <c r="AR215" s="117">
        <v>1</v>
      </c>
      <c r="AS215" s="117">
        <v>370200</v>
      </c>
      <c r="AT215" s="117">
        <v>21</v>
      </c>
      <c r="AU215" s="117">
        <v>2744800</v>
      </c>
    </row>
    <row r="216" spans="1:47" x14ac:dyDescent="0.25">
      <c r="A216" s="117">
        <v>540284</v>
      </c>
      <c r="B216" s="2" t="s">
        <v>323</v>
      </c>
      <c r="C216" s="2" t="s">
        <v>69</v>
      </c>
      <c r="D216" s="2" t="s">
        <v>115</v>
      </c>
      <c r="E216" s="117">
        <v>6</v>
      </c>
      <c r="F216" s="117">
        <v>0</v>
      </c>
      <c r="G216" s="117">
        <v>0</v>
      </c>
      <c r="H216" s="117">
        <v>0</v>
      </c>
      <c r="I216" s="117">
        <v>0</v>
      </c>
      <c r="J216" s="117">
        <v>69</v>
      </c>
      <c r="K216" s="117">
        <v>7306700</v>
      </c>
      <c r="L216" s="117">
        <v>0</v>
      </c>
      <c r="M216" s="117">
        <v>0</v>
      </c>
      <c r="N216" s="117">
        <v>0</v>
      </c>
      <c r="O216" s="117">
        <v>0</v>
      </c>
      <c r="P216" s="117">
        <v>5</v>
      </c>
      <c r="Q216" s="117">
        <v>514900</v>
      </c>
      <c r="R216" s="117">
        <v>0</v>
      </c>
      <c r="S216" s="117">
        <v>0</v>
      </c>
      <c r="T216" s="117">
        <v>0</v>
      </c>
      <c r="U216" s="117">
        <v>0</v>
      </c>
      <c r="V216" s="117">
        <v>0</v>
      </c>
      <c r="W216" s="117">
        <v>0</v>
      </c>
      <c r="X216" s="117">
        <v>0</v>
      </c>
      <c r="Y216" s="117">
        <v>0</v>
      </c>
      <c r="Z216" s="117">
        <v>0</v>
      </c>
      <c r="AA216" s="117">
        <v>0</v>
      </c>
      <c r="AB216" s="117">
        <v>0</v>
      </c>
      <c r="AC216" s="117">
        <v>0</v>
      </c>
      <c r="AD216" s="117">
        <v>0</v>
      </c>
      <c r="AE216" s="117">
        <v>0</v>
      </c>
      <c r="AF216" s="117">
        <v>0</v>
      </c>
      <c r="AG216" s="117">
        <v>0</v>
      </c>
      <c r="AH216" s="117">
        <v>4</v>
      </c>
      <c r="AI216" s="117">
        <v>336000</v>
      </c>
      <c r="AJ216" s="117">
        <v>0</v>
      </c>
      <c r="AK216" s="117">
        <v>0</v>
      </c>
      <c r="AL216" s="117">
        <v>0</v>
      </c>
      <c r="AM216" s="117">
        <v>0</v>
      </c>
      <c r="AN216" s="117">
        <v>0</v>
      </c>
      <c r="AO216" s="117">
        <v>0</v>
      </c>
      <c r="AP216" s="117">
        <v>0</v>
      </c>
      <c r="AQ216" s="117">
        <v>0</v>
      </c>
      <c r="AR216" s="117">
        <v>0</v>
      </c>
      <c r="AS216" s="117">
        <v>0</v>
      </c>
      <c r="AT216" s="117">
        <v>8</v>
      </c>
      <c r="AU216" s="117">
        <v>412900</v>
      </c>
    </row>
    <row r="217" spans="1:47" x14ac:dyDescent="0.25">
      <c r="A217" s="269"/>
      <c r="B217" s="269"/>
      <c r="C217" s="269" t="s">
        <v>69</v>
      </c>
      <c r="D217" s="269"/>
      <c r="E217" s="269"/>
      <c r="F217" s="270">
        <v>208</v>
      </c>
      <c r="G217" s="270">
        <v>7415900</v>
      </c>
      <c r="H217" s="270">
        <v>1286</v>
      </c>
      <c r="I217" s="270">
        <v>55922500</v>
      </c>
      <c r="J217" s="270">
        <v>22430</v>
      </c>
      <c r="K217" s="270">
        <v>1152572100</v>
      </c>
      <c r="L217" s="270">
        <v>8</v>
      </c>
      <c r="M217" s="270">
        <v>1625200</v>
      </c>
      <c r="N217" s="270">
        <v>38</v>
      </c>
      <c r="O217" s="270">
        <v>2863800</v>
      </c>
      <c r="P217" s="270">
        <v>775</v>
      </c>
      <c r="Q217" s="270">
        <v>121353500</v>
      </c>
      <c r="R217" s="270">
        <v>0</v>
      </c>
      <c r="S217" s="270">
        <v>0</v>
      </c>
      <c r="T217" s="270">
        <v>1</v>
      </c>
      <c r="U217" s="270">
        <v>224200</v>
      </c>
      <c r="V217" s="270">
        <v>6</v>
      </c>
      <c r="W217" s="270">
        <v>1181600</v>
      </c>
      <c r="X217" s="270">
        <v>0</v>
      </c>
      <c r="Y217" s="270">
        <v>0</v>
      </c>
      <c r="Z217" s="270">
        <v>0</v>
      </c>
      <c r="AA217" s="270">
        <v>0</v>
      </c>
      <c r="AB217" s="270">
        <v>13</v>
      </c>
      <c r="AC217" s="270">
        <v>8503900</v>
      </c>
      <c r="AD217" s="270">
        <v>67</v>
      </c>
      <c r="AE217" s="270">
        <v>4600300</v>
      </c>
      <c r="AF217" s="270">
        <v>255</v>
      </c>
      <c r="AG217" s="270">
        <v>15349600</v>
      </c>
      <c r="AH217" s="270">
        <v>2789</v>
      </c>
      <c r="AI217" s="270">
        <v>209380500</v>
      </c>
      <c r="AJ217" s="270">
        <v>0</v>
      </c>
      <c r="AK217" s="270">
        <v>0</v>
      </c>
      <c r="AL217" s="270">
        <v>4</v>
      </c>
      <c r="AM217" s="270">
        <v>137700</v>
      </c>
      <c r="AN217" s="270">
        <v>37</v>
      </c>
      <c r="AO217" s="270">
        <v>14579500</v>
      </c>
      <c r="AP217" s="270">
        <v>5</v>
      </c>
      <c r="AQ217" s="270">
        <v>75400</v>
      </c>
      <c r="AR217" s="270">
        <v>78</v>
      </c>
      <c r="AS217" s="270">
        <v>3485000</v>
      </c>
      <c r="AT217" s="270">
        <v>1061</v>
      </c>
      <c r="AU217" s="270">
        <v>11931726800</v>
      </c>
    </row>
    <row r="218" spans="1:47" x14ac:dyDescent="0.25">
      <c r="A218" s="117">
        <v>540164</v>
      </c>
      <c r="B218" s="2" t="s">
        <v>70</v>
      </c>
      <c r="C218" s="2" t="s">
        <v>71</v>
      </c>
      <c r="D218" s="2" t="s">
        <v>5</v>
      </c>
      <c r="E218" s="117">
        <v>3</v>
      </c>
      <c r="F218" s="117">
        <v>541</v>
      </c>
      <c r="G218" s="117">
        <v>37248500</v>
      </c>
      <c r="H218" s="117">
        <v>2240</v>
      </c>
      <c r="I218" s="117">
        <v>178515300</v>
      </c>
      <c r="J218" s="117">
        <v>15036</v>
      </c>
      <c r="K218" s="117">
        <v>1913559800</v>
      </c>
      <c r="L218" s="117">
        <v>1</v>
      </c>
      <c r="M218" s="117">
        <v>40500</v>
      </c>
      <c r="N218" s="117">
        <v>38</v>
      </c>
      <c r="O218" s="117">
        <v>4841800</v>
      </c>
      <c r="P218" s="117">
        <v>663</v>
      </c>
      <c r="Q218" s="117">
        <v>330134600</v>
      </c>
      <c r="R218" s="117">
        <v>0</v>
      </c>
      <c r="S218" s="117">
        <v>0</v>
      </c>
      <c r="T218" s="117">
        <v>0</v>
      </c>
      <c r="U218" s="117">
        <v>0</v>
      </c>
      <c r="V218" s="117">
        <v>0</v>
      </c>
      <c r="W218" s="117">
        <v>0</v>
      </c>
      <c r="X218" s="117">
        <v>0</v>
      </c>
      <c r="Y218" s="117">
        <v>0</v>
      </c>
      <c r="Z218" s="117">
        <v>1</v>
      </c>
      <c r="AA218" s="117">
        <v>448700</v>
      </c>
      <c r="AB218" s="117">
        <v>22</v>
      </c>
      <c r="AC218" s="117">
        <v>75456300</v>
      </c>
      <c r="AD218" s="117">
        <v>99</v>
      </c>
      <c r="AE218" s="117">
        <v>8320600</v>
      </c>
      <c r="AF218" s="117">
        <v>499</v>
      </c>
      <c r="AG218" s="117">
        <v>34371900</v>
      </c>
      <c r="AH218" s="117">
        <v>1675</v>
      </c>
      <c r="AI218" s="117">
        <v>128493000</v>
      </c>
      <c r="AJ218" s="117">
        <v>3</v>
      </c>
      <c r="AK218" s="117">
        <v>27700</v>
      </c>
      <c r="AL218" s="117">
        <v>21</v>
      </c>
      <c r="AM218" s="117">
        <v>732800</v>
      </c>
      <c r="AN218" s="117">
        <v>54</v>
      </c>
      <c r="AO218" s="117">
        <v>3325600</v>
      </c>
      <c r="AP218" s="117">
        <v>14</v>
      </c>
      <c r="AQ218" s="117">
        <v>383200</v>
      </c>
      <c r="AR218" s="117">
        <v>135</v>
      </c>
      <c r="AS218" s="117">
        <v>9770800</v>
      </c>
      <c r="AT218" s="117">
        <v>1019</v>
      </c>
      <c r="AU218" s="117">
        <v>106201700</v>
      </c>
    </row>
    <row r="219" spans="1:47" x14ac:dyDescent="0.25">
      <c r="A219" s="117">
        <v>540081</v>
      </c>
      <c r="B219" s="2" t="s">
        <v>176</v>
      </c>
      <c r="C219" s="2" t="s">
        <v>71</v>
      </c>
      <c r="D219" s="2" t="s">
        <v>115</v>
      </c>
      <c r="E219" s="117">
        <v>3</v>
      </c>
      <c r="F219" s="117">
        <v>3</v>
      </c>
      <c r="G219" s="117">
        <v>10700</v>
      </c>
      <c r="H219" s="117">
        <v>31</v>
      </c>
      <c r="I219" s="117">
        <v>1381700</v>
      </c>
      <c r="J219" s="117">
        <v>415</v>
      </c>
      <c r="K219" s="117">
        <v>28517100</v>
      </c>
      <c r="L219" s="117">
        <v>0</v>
      </c>
      <c r="M219" s="117">
        <v>0</v>
      </c>
      <c r="N219" s="117">
        <v>0</v>
      </c>
      <c r="O219" s="117">
        <v>0</v>
      </c>
      <c r="P219" s="117">
        <v>69</v>
      </c>
      <c r="Q219" s="117">
        <v>7422300</v>
      </c>
      <c r="R219" s="117">
        <v>0</v>
      </c>
      <c r="S219" s="117">
        <v>0</v>
      </c>
      <c r="T219" s="117">
        <v>0</v>
      </c>
      <c r="U219" s="117">
        <v>0</v>
      </c>
      <c r="V219" s="117">
        <v>0</v>
      </c>
      <c r="W219" s="117">
        <v>0</v>
      </c>
      <c r="X219" s="117">
        <v>0</v>
      </c>
      <c r="Y219" s="117">
        <v>0</v>
      </c>
      <c r="Z219" s="117">
        <v>0</v>
      </c>
      <c r="AA219" s="117">
        <v>0</v>
      </c>
      <c r="AB219" s="117">
        <v>4</v>
      </c>
      <c r="AC219" s="117">
        <v>2012400</v>
      </c>
      <c r="AD219" s="117">
        <v>0</v>
      </c>
      <c r="AE219" s="117">
        <v>0</v>
      </c>
      <c r="AF219" s="117">
        <v>1</v>
      </c>
      <c r="AG219" s="117">
        <v>268200</v>
      </c>
      <c r="AH219" s="117">
        <v>2</v>
      </c>
      <c r="AI219" s="117">
        <v>209500</v>
      </c>
      <c r="AJ219" s="117">
        <v>0</v>
      </c>
      <c r="AK219" s="117">
        <v>0</v>
      </c>
      <c r="AL219" s="117">
        <v>1</v>
      </c>
      <c r="AM219" s="117">
        <v>0</v>
      </c>
      <c r="AN219" s="117">
        <v>1</v>
      </c>
      <c r="AO219" s="117">
        <v>47700</v>
      </c>
      <c r="AP219" s="117">
        <v>0</v>
      </c>
      <c r="AQ219" s="117">
        <v>0</v>
      </c>
      <c r="AR219" s="117">
        <v>9</v>
      </c>
      <c r="AS219" s="117">
        <v>41700</v>
      </c>
      <c r="AT219" s="117">
        <v>12</v>
      </c>
      <c r="AU219" s="117">
        <v>107700</v>
      </c>
    </row>
    <row r="220" spans="1:47" x14ac:dyDescent="0.25">
      <c r="A220" s="117">
        <v>540165</v>
      </c>
      <c r="B220" s="2" t="s">
        <v>238</v>
      </c>
      <c r="C220" s="2" t="s">
        <v>71</v>
      </c>
      <c r="D220" s="2" t="s">
        <v>115</v>
      </c>
      <c r="E220" s="117">
        <v>3</v>
      </c>
      <c r="F220" s="117">
        <v>1</v>
      </c>
      <c r="G220" s="117">
        <v>1000</v>
      </c>
      <c r="H220" s="117">
        <v>28</v>
      </c>
      <c r="I220" s="117">
        <v>437600</v>
      </c>
      <c r="J220" s="117">
        <v>149</v>
      </c>
      <c r="K220" s="117">
        <v>2686800</v>
      </c>
      <c r="L220" s="117">
        <v>0</v>
      </c>
      <c r="M220" s="117">
        <v>0</v>
      </c>
      <c r="N220" s="117">
        <v>0</v>
      </c>
      <c r="O220" s="117">
        <v>0</v>
      </c>
      <c r="P220" s="117">
        <v>5</v>
      </c>
      <c r="Q220" s="117">
        <v>160900</v>
      </c>
      <c r="R220" s="117">
        <v>0</v>
      </c>
      <c r="S220" s="117">
        <v>0</v>
      </c>
      <c r="T220" s="117">
        <v>0</v>
      </c>
      <c r="U220" s="117">
        <v>0</v>
      </c>
      <c r="V220" s="117">
        <v>0</v>
      </c>
      <c r="W220" s="117">
        <v>0</v>
      </c>
      <c r="X220" s="117">
        <v>0</v>
      </c>
      <c r="Y220" s="117">
        <v>0</v>
      </c>
      <c r="Z220" s="117">
        <v>0</v>
      </c>
      <c r="AA220" s="117">
        <v>0</v>
      </c>
      <c r="AB220" s="117">
        <v>0</v>
      </c>
      <c r="AC220" s="117">
        <v>0</v>
      </c>
      <c r="AD220" s="117">
        <v>0</v>
      </c>
      <c r="AE220" s="117">
        <v>0</v>
      </c>
      <c r="AF220" s="117">
        <v>0</v>
      </c>
      <c r="AG220" s="117">
        <v>0</v>
      </c>
      <c r="AH220" s="117">
        <v>0</v>
      </c>
      <c r="AI220" s="117">
        <v>0</v>
      </c>
      <c r="AJ220" s="117">
        <v>0</v>
      </c>
      <c r="AK220" s="117">
        <v>0</v>
      </c>
      <c r="AL220" s="117">
        <v>0</v>
      </c>
      <c r="AM220" s="117">
        <v>0</v>
      </c>
      <c r="AN220" s="117">
        <v>1</v>
      </c>
      <c r="AO220" s="117">
        <v>0</v>
      </c>
      <c r="AP220" s="117">
        <v>1</v>
      </c>
      <c r="AQ220" s="117">
        <v>4700</v>
      </c>
      <c r="AR220" s="117">
        <v>4</v>
      </c>
      <c r="AS220" s="117">
        <v>18500</v>
      </c>
      <c r="AT220" s="117">
        <v>47</v>
      </c>
      <c r="AU220" s="117">
        <v>1296200</v>
      </c>
    </row>
    <row r="221" spans="1:47" x14ac:dyDescent="0.25">
      <c r="A221" s="117">
        <v>540166</v>
      </c>
      <c r="B221" s="2" t="s">
        <v>239</v>
      </c>
      <c r="C221" s="2" t="s">
        <v>71</v>
      </c>
      <c r="D221" s="2" t="s">
        <v>115</v>
      </c>
      <c r="E221" s="117">
        <v>3</v>
      </c>
      <c r="F221" s="117">
        <v>0</v>
      </c>
      <c r="G221" s="117">
        <v>0</v>
      </c>
      <c r="H221" s="117">
        <v>2</v>
      </c>
      <c r="I221" s="117">
        <v>209000</v>
      </c>
      <c r="J221" s="117">
        <v>323</v>
      </c>
      <c r="K221" s="117">
        <v>11591200</v>
      </c>
      <c r="L221" s="117">
        <v>0</v>
      </c>
      <c r="M221" s="117">
        <v>0</v>
      </c>
      <c r="N221" s="117">
        <v>0</v>
      </c>
      <c r="O221" s="117">
        <v>0</v>
      </c>
      <c r="P221" s="117">
        <v>10</v>
      </c>
      <c r="Q221" s="117">
        <v>547000</v>
      </c>
      <c r="R221" s="117">
        <v>0</v>
      </c>
      <c r="S221" s="117">
        <v>0</v>
      </c>
      <c r="T221" s="117">
        <v>0</v>
      </c>
      <c r="U221" s="117">
        <v>0</v>
      </c>
      <c r="V221" s="117">
        <v>0</v>
      </c>
      <c r="W221" s="117">
        <v>0</v>
      </c>
      <c r="X221" s="117">
        <v>0</v>
      </c>
      <c r="Y221" s="117">
        <v>0</v>
      </c>
      <c r="Z221" s="117">
        <v>0</v>
      </c>
      <c r="AA221" s="117">
        <v>0</v>
      </c>
      <c r="AB221" s="117">
        <v>3</v>
      </c>
      <c r="AC221" s="117">
        <v>1337100</v>
      </c>
      <c r="AD221" s="117">
        <v>1</v>
      </c>
      <c r="AE221" s="117">
        <v>50800</v>
      </c>
      <c r="AF221" s="117">
        <v>1</v>
      </c>
      <c r="AG221" s="117">
        <v>165200</v>
      </c>
      <c r="AH221" s="117">
        <v>10</v>
      </c>
      <c r="AI221" s="117">
        <v>603800</v>
      </c>
      <c r="AJ221" s="117">
        <v>0</v>
      </c>
      <c r="AK221" s="117">
        <v>0</v>
      </c>
      <c r="AL221" s="117">
        <v>0</v>
      </c>
      <c r="AM221" s="117">
        <v>0</v>
      </c>
      <c r="AN221" s="117">
        <v>0</v>
      </c>
      <c r="AO221" s="117">
        <v>0</v>
      </c>
      <c r="AP221" s="117">
        <v>0</v>
      </c>
      <c r="AQ221" s="117">
        <v>0</v>
      </c>
      <c r="AR221" s="117">
        <v>0</v>
      </c>
      <c r="AS221" s="117">
        <v>0</v>
      </c>
      <c r="AT221" s="117">
        <v>10</v>
      </c>
      <c r="AU221" s="117">
        <v>3419600</v>
      </c>
    </row>
    <row r="222" spans="1:47" x14ac:dyDescent="0.25">
      <c r="A222" s="117">
        <v>540167</v>
      </c>
      <c r="B222" s="2" t="s">
        <v>240</v>
      </c>
      <c r="C222" s="2" t="s">
        <v>71</v>
      </c>
      <c r="D222" s="2" t="s">
        <v>115</v>
      </c>
      <c r="E222" s="117">
        <v>3</v>
      </c>
      <c r="F222" s="117">
        <v>3</v>
      </c>
      <c r="G222" s="117">
        <v>61800</v>
      </c>
      <c r="H222" s="117">
        <v>25</v>
      </c>
      <c r="I222" s="117">
        <v>3027400</v>
      </c>
      <c r="J222" s="117">
        <v>2758</v>
      </c>
      <c r="K222" s="117">
        <v>318939800</v>
      </c>
      <c r="L222" s="117">
        <v>0</v>
      </c>
      <c r="M222" s="117">
        <v>0</v>
      </c>
      <c r="N222" s="117">
        <v>0</v>
      </c>
      <c r="O222" s="117">
        <v>0</v>
      </c>
      <c r="P222" s="117">
        <v>254</v>
      </c>
      <c r="Q222" s="117">
        <v>58883300</v>
      </c>
      <c r="R222" s="117">
        <v>0</v>
      </c>
      <c r="S222" s="117">
        <v>0</v>
      </c>
      <c r="T222" s="117">
        <v>0</v>
      </c>
      <c r="U222" s="117">
        <v>0</v>
      </c>
      <c r="V222" s="117">
        <v>0</v>
      </c>
      <c r="W222" s="117">
        <v>0</v>
      </c>
      <c r="X222" s="117">
        <v>0</v>
      </c>
      <c r="Y222" s="117">
        <v>0</v>
      </c>
      <c r="Z222" s="117">
        <v>0</v>
      </c>
      <c r="AA222" s="117">
        <v>0</v>
      </c>
      <c r="AB222" s="117">
        <v>1</v>
      </c>
      <c r="AC222" s="117">
        <v>84100</v>
      </c>
      <c r="AD222" s="117">
        <v>0</v>
      </c>
      <c r="AE222" s="117">
        <v>0</v>
      </c>
      <c r="AF222" s="117">
        <v>1</v>
      </c>
      <c r="AG222" s="117">
        <v>8500</v>
      </c>
      <c r="AH222" s="117">
        <v>12</v>
      </c>
      <c r="AI222" s="117">
        <v>578400</v>
      </c>
      <c r="AJ222" s="117">
        <v>0</v>
      </c>
      <c r="AK222" s="117">
        <v>0</v>
      </c>
      <c r="AL222" s="117">
        <v>0</v>
      </c>
      <c r="AM222" s="117">
        <v>0</v>
      </c>
      <c r="AN222" s="117">
        <v>11</v>
      </c>
      <c r="AO222" s="117">
        <v>3094500</v>
      </c>
      <c r="AP222" s="117">
        <v>1</v>
      </c>
      <c r="AQ222" s="117">
        <v>26800</v>
      </c>
      <c r="AR222" s="117">
        <v>9</v>
      </c>
      <c r="AS222" s="117">
        <v>72200</v>
      </c>
      <c r="AT222" s="117">
        <v>244</v>
      </c>
      <c r="AU222" s="117">
        <v>45764000</v>
      </c>
    </row>
    <row r="223" spans="1:47" x14ac:dyDescent="0.25">
      <c r="A223" s="117">
        <v>540168</v>
      </c>
      <c r="B223" s="2" t="s">
        <v>241</v>
      </c>
      <c r="C223" s="2" t="s">
        <v>71</v>
      </c>
      <c r="D223" s="2" t="s">
        <v>115</v>
      </c>
      <c r="E223" s="117">
        <v>3</v>
      </c>
      <c r="F223" s="117">
        <v>0</v>
      </c>
      <c r="G223" s="117">
        <v>0</v>
      </c>
      <c r="H223" s="117">
        <v>6</v>
      </c>
      <c r="I223" s="117">
        <v>386300</v>
      </c>
      <c r="J223" s="117">
        <v>301</v>
      </c>
      <c r="K223" s="117">
        <v>28059900</v>
      </c>
      <c r="L223" s="117">
        <v>0</v>
      </c>
      <c r="M223" s="117">
        <v>0</v>
      </c>
      <c r="N223" s="117">
        <v>0</v>
      </c>
      <c r="O223" s="117">
        <v>0</v>
      </c>
      <c r="P223" s="117">
        <v>33</v>
      </c>
      <c r="Q223" s="117">
        <v>6301700</v>
      </c>
      <c r="R223" s="117">
        <v>0</v>
      </c>
      <c r="S223" s="117">
        <v>0</v>
      </c>
      <c r="T223" s="117">
        <v>0</v>
      </c>
      <c r="U223" s="117">
        <v>0</v>
      </c>
      <c r="V223" s="117">
        <v>0</v>
      </c>
      <c r="W223" s="117">
        <v>0</v>
      </c>
      <c r="X223" s="117">
        <v>0</v>
      </c>
      <c r="Y223" s="117">
        <v>0</v>
      </c>
      <c r="Z223" s="117">
        <v>0</v>
      </c>
      <c r="AA223" s="117">
        <v>0</v>
      </c>
      <c r="AB223" s="117">
        <v>0</v>
      </c>
      <c r="AC223" s="117">
        <v>0</v>
      </c>
      <c r="AD223" s="117">
        <v>0</v>
      </c>
      <c r="AE223" s="117">
        <v>0</v>
      </c>
      <c r="AF223" s="117">
        <v>0</v>
      </c>
      <c r="AG223" s="117">
        <v>0</v>
      </c>
      <c r="AH223" s="117">
        <v>2</v>
      </c>
      <c r="AI223" s="117">
        <v>122800</v>
      </c>
      <c r="AJ223" s="117">
        <v>0</v>
      </c>
      <c r="AK223" s="117">
        <v>0</v>
      </c>
      <c r="AL223" s="117">
        <v>0</v>
      </c>
      <c r="AM223" s="117">
        <v>0</v>
      </c>
      <c r="AN223" s="117">
        <v>1</v>
      </c>
      <c r="AO223" s="117">
        <v>200</v>
      </c>
      <c r="AP223" s="117">
        <v>0</v>
      </c>
      <c r="AQ223" s="117">
        <v>0</v>
      </c>
      <c r="AR223" s="117">
        <v>0</v>
      </c>
      <c r="AS223" s="117">
        <v>0</v>
      </c>
      <c r="AT223" s="117">
        <v>26</v>
      </c>
      <c r="AU223" s="117">
        <v>14478700</v>
      </c>
    </row>
    <row r="224" spans="1:47" x14ac:dyDescent="0.25">
      <c r="A224" s="117">
        <v>540222</v>
      </c>
      <c r="B224" s="2" t="s">
        <v>276</v>
      </c>
      <c r="C224" s="2" t="s">
        <v>71</v>
      </c>
      <c r="D224" s="2" t="s">
        <v>115</v>
      </c>
      <c r="E224" s="117">
        <v>3</v>
      </c>
      <c r="F224" s="117">
        <v>4</v>
      </c>
      <c r="G224" s="117">
        <v>490400</v>
      </c>
      <c r="H224" s="117">
        <v>35</v>
      </c>
      <c r="I224" s="117">
        <v>6848000</v>
      </c>
      <c r="J224" s="117">
        <v>633</v>
      </c>
      <c r="K224" s="117">
        <v>78966200</v>
      </c>
      <c r="L224" s="117">
        <v>0</v>
      </c>
      <c r="M224" s="117">
        <v>0</v>
      </c>
      <c r="N224" s="117">
        <v>1</v>
      </c>
      <c r="O224" s="117">
        <v>27300</v>
      </c>
      <c r="P224" s="117">
        <v>55</v>
      </c>
      <c r="Q224" s="117">
        <v>9183400</v>
      </c>
      <c r="R224" s="117">
        <v>0</v>
      </c>
      <c r="S224" s="117">
        <v>0</v>
      </c>
      <c r="T224" s="117">
        <v>0</v>
      </c>
      <c r="U224" s="117">
        <v>0</v>
      </c>
      <c r="V224" s="117">
        <v>0</v>
      </c>
      <c r="W224" s="117">
        <v>0</v>
      </c>
      <c r="X224" s="117">
        <v>0</v>
      </c>
      <c r="Y224" s="117">
        <v>0</v>
      </c>
      <c r="Z224" s="117">
        <v>0</v>
      </c>
      <c r="AA224" s="117">
        <v>0</v>
      </c>
      <c r="AB224" s="117">
        <v>0</v>
      </c>
      <c r="AC224" s="117">
        <v>0</v>
      </c>
      <c r="AD224" s="117">
        <v>0</v>
      </c>
      <c r="AE224" s="117">
        <v>0</v>
      </c>
      <c r="AF224" s="117">
        <v>0</v>
      </c>
      <c r="AG224" s="117">
        <v>0</v>
      </c>
      <c r="AH224" s="117">
        <v>0</v>
      </c>
      <c r="AI224" s="117">
        <v>0</v>
      </c>
      <c r="AJ224" s="117">
        <v>0</v>
      </c>
      <c r="AK224" s="117">
        <v>0</v>
      </c>
      <c r="AL224" s="117">
        <v>0</v>
      </c>
      <c r="AM224" s="117">
        <v>0</v>
      </c>
      <c r="AN224" s="117">
        <v>0</v>
      </c>
      <c r="AO224" s="117">
        <v>0</v>
      </c>
      <c r="AP224" s="117">
        <v>0</v>
      </c>
      <c r="AQ224" s="117">
        <v>0</v>
      </c>
      <c r="AR224" s="117">
        <v>0</v>
      </c>
      <c r="AS224" s="117">
        <v>0</v>
      </c>
      <c r="AT224" s="117">
        <v>23</v>
      </c>
      <c r="AU224" s="117">
        <v>12862700</v>
      </c>
    </row>
    <row r="225" spans="1:47" x14ac:dyDescent="0.25">
      <c r="A225" s="117">
        <v>540271</v>
      </c>
      <c r="B225" s="2" t="s">
        <v>314</v>
      </c>
      <c r="C225" s="2" t="s">
        <v>71</v>
      </c>
      <c r="D225" s="2" t="s">
        <v>115</v>
      </c>
      <c r="E225" s="117">
        <v>3</v>
      </c>
      <c r="F225" s="117">
        <v>1</v>
      </c>
      <c r="G225" s="117">
        <v>4400</v>
      </c>
      <c r="H225" s="117">
        <v>9</v>
      </c>
      <c r="I225" s="117">
        <v>1084700</v>
      </c>
      <c r="J225" s="117">
        <v>683</v>
      </c>
      <c r="K225" s="117">
        <v>115133000</v>
      </c>
      <c r="L225" s="117">
        <v>0</v>
      </c>
      <c r="M225" s="117">
        <v>0</v>
      </c>
      <c r="N225" s="117">
        <v>1</v>
      </c>
      <c r="O225" s="117">
        <v>174900</v>
      </c>
      <c r="P225" s="117">
        <v>76</v>
      </c>
      <c r="Q225" s="117">
        <v>15476300</v>
      </c>
      <c r="R225" s="117">
        <v>0</v>
      </c>
      <c r="S225" s="117">
        <v>0</v>
      </c>
      <c r="T225" s="117">
        <v>0</v>
      </c>
      <c r="U225" s="117">
        <v>0</v>
      </c>
      <c r="V225" s="117">
        <v>0</v>
      </c>
      <c r="W225" s="117">
        <v>0</v>
      </c>
      <c r="X225" s="117">
        <v>0</v>
      </c>
      <c r="Y225" s="117">
        <v>0</v>
      </c>
      <c r="Z225" s="117">
        <v>0</v>
      </c>
      <c r="AA225" s="117">
        <v>0</v>
      </c>
      <c r="AB225" s="117">
        <v>0</v>
      </c>
      <c r="AC225" s="117">
        <v>0</v>
      </c>
      <c r="AD225" s="117">
        <v>0</v>
      </c>
      <c r="AE225" s="117">
        <v>0</v>
      </c>
      <c r="AF225" s="117">
        <v>0</v>
      </c>
      <c r="AG225" s="117">
        <v>0</v>
      </c>
      <c r="AH225" s="117">
        <v>9</v>
      </c>
      <c r="AI225" s="117">
        <v>176300</v>
      </c>
      <c r="AJ225" s="117">
        <v>0</v>
      </c>
      <c r="AK225" s="117">
        <v>0</v>
      </c>
      <c r="AL225" s="117">
        <v>0</v>
      </c>
      <c r="AM225" s="117">
        <v>0</v>
      </c>
      <c r="AN225" s="117">
        <v>2</v>
      </c>
      <c r="AO225" s="117">
        <v>93800</v>
      </c>
      <c r="AP225" s="117">
        <v>1</v>
      </c>
      <c r="AQ225" s="117">
        <v>505800</v>
      </c>
      <c r="AR225" s="117">
        <v>0</v>
      </c>
      <c r="AS225" s="117">
        <v>0</v>
      </c>
      <c r="AT225" s="117">
        <v>52</v>
      </c>
      <c r="AU225" s="117">
        <v>27532700</v>
      </c>
    </row>
    <row r="226" spans="1:47" x14ac:dyDescent="0.25">
      <c r="A226" s="269"/>
      <c r="B226" s="269"/>
      <c r="C226" s="269" t="s">
        <v>71</v>
      </c>
      <c r="D226" s="269"/>
      <c r="E226" s="269"/>
      <c r="F226" s="270">
        <v>553</v>
      </c>
      <c r="G226" s="270">
        <v>37816800</v>
      </c>
      <c r="H226" s="270">
        <v>2376</v>
      </c>
      <c r="I226" s="270">
        <v>191890000</v>
      </c>
      <c r="J226" s="270">
        <v>20298</v>
      </c>
      <c r="K226" s="270">
        <v>2497453800</v>
      </c>
      <c r="L226" s="270">
        <v>1</v>
      </c>
      <c r="M226" s="270">
        <v>40500</v>
      </c>
      <c r="N226" s="270">
        <v>40</v>
      </c>
      <c r="O226" s="270">
        <v>5044000</v>
      </c>
      <c r="P226" s="270">
        <v>1165</v>
      </c>
      <c r="Q226" s="270">
        <v>428109500</v>
      </c>
      <c r="R226" s="270">
        <v>0</v>
      </c>
      <c r="S226" s="270">
        <v>0</v>
      </c>
      <c r="T226" s="270">
        <v>0</v>
      </c>
      <c r="U226" s="270">
        <v>0</v>
      </c>
      <c r="V226" s="270">
        <v>0</v>
      </c>
      <c r="W226" s="270">
        <v>0</v>
      </c>
      <c r="X226" s="270">
        <v>0</v>
      </c>
      <c r="Y226" s="270">
        <v>0</v>
      </c>
      <c r="Z226" s="270">
        <v>1</v>
      </c>
      <c r="AA226" s="270">
        <v>448700</v>
      </c>
      <c r="AB226" s="270">
        <v>30</v>
      </c>
      <c r="AC226" s="270">
        <v>78889900</v>
      </c>
      <c r="AD226" s="270">
        <v>100</v>
      </c>
      <c r="AE226" s="270">
        <v>8371400</v>
      </c>
      <c r="AF226" s="270">
        <v>502</v>
      </c>
      <c r="AG226" s="270">
        <v>34813800</v>
      </c>
      <c r="AH226" s="270">
        <v>1710</v>
      </c>
      <c r="AI226" s="270">
        <v>130183800</v>
      </c>
      <c r="AJ226" s="270">
        <v>3</v>
      </c>
      <c r="AK226" s="270">
        <v>27700</v>
      </c>
      <c r="AL226" s="270">
        <v>22</v>
      </c>
      <c r="AM226" s="270">
        <v>732800</v>
      </c>
      <c r="AN226" s="270">
        <v>70</v>
      </c>
      <c r="AO226" s="270">
        <v>6561800</v>
      </c>
      <c r="AP226" s="270">
        <v>17</v>
      </c>
      <c r="AQ226" s="270">
        <v>920500</v>
      </c>
      <c r="AR226" s="270">
        <v>157</v>
      </c>
      <c r="AS226" s="270">
        <v>9903200</v>
      </c>
      <c r="AT226" s="270">
        <v>1433</v>
      </c>
      <c r="AU226" s="270">
        <v>211663300</v>
      </c>
    </row>
    <row r="227" spans="1:47" x14ac:dyDescent="0.25">
      <c r="A227" s="117">
        <v>540169</v>
      </c>
      <c r="B227" s="2" t="s">
        <v>72</v>
      </c>
      <c r="C227" s="2" t="s">
        <v>73</v>
      </c>
      <c r="D227" s="2" t="s">
        <v>5</v>
      </c>
      <c r="E227" s="117">
        <v>1</v>
      </c>
      <c r="F227" s="117">
        <v>199</v>
      </c>
      <c r="G227" s="117">
        <v>9838200</v>
      </c>
      <c r="H227" s="117">
        <v>1523</v>
      </c>
      <c r="I227" s="117">
        <v>57562000</v>
      </c>
      <c r="J227" s="117">
        <v>32087</v>
      </c>
      <c r="K227" s="117">
        <v>1706833700</v>
      </c>
      <c r="L227" s="117">
        <v>15</v>
      </c>
      <c r="M227" s="117">
        <v>1200500</v>
      </c>
      <c r="N227" s="117">
        <v>76</v>
      </c>
      <c r="O227" s="117">
        <v>10243900</v>
      </c>
      <c r="P227" s="117">
        <v>1563</v>
      </c>
      <c r="Q227" s="117">
        <v>480303400</v>
      </c>
      <c r="R227" s="117">
        <v>0</v>
      </c>
      <c r="S227" s="117">
        <v>0</v>
      </c>
      <c r="T227" s="117">
        <v>0</v>
      </c>
      <c r="U227" s="117">
        <v>0</v>
      </c>
      <c r="V227" s="117">
        <v>0</v>
      </c>
      <c r="W227" s="117">
        <v>0</v>
      </c>
      <c r="X227" s="117">
        <v>0</v>
      </c>
      <c r="Y227" s="117">
        <v>0</v>
      </c>
      <c r="Z227" s="117">
        <v>1</v>
      </c>
      <c r="AA227" s="117">
        <v>203400</v>
      </c>
      <c r="AB227" s="117">
        <v>84</v>
      </c>
      <c r="AC227" s="117">
        <v>26486500</v>
      </c>
      <c r="AD227" s="117">
        <v>100</v>
      </c>
      <c r="AE227" s="117">
        <v>2944600</v>
      </c>
      <c r="AF227" s="117">
        <v>383</v>
      </c>
      <c r="AG227" s="117">
        <v>12184400</v>
      </c>
      <c r="AH227" s="117">
        <v>2241</v>
      </c>
      <c r="AI227" s="117">
        <v>113677200</v>
      </c>
      <c r="AJ227" s="117">
        <v>2</v>
      </c>
      <c r="AK227" s="117">
        <v>1200</v>
      </c>
      <c r="AL227" s="117">
        <v>10</v>
      </c>
      <c r="AM227" s="117">
        <v>19800</v>
      </c>
      <c r="AN227" s="117">
        <v>61</v>
      </c>
      <c r="AO227" s="117">
        <v>4405300</v>
      </c>
      <c r="AP227" s="117">
        <v>25</v>
      </c>
      <c r="AQ227" s="117">
        <v>1597300</v>
      </c>
      <c r="AR227" s="117">
        <v>87</v>
      </c>
      <c r="AS227" s="117">
        <v>1801500</v>
      </c>
      <c r="AT227" s="117">
        <v>1279</v>
      </c>
      <c r="AU227" s="117">
        <v>323803900</v>
      </c>
    </row>
    <row r="228" spans="1:47" x14ac:dyDescent="0.25">
      <c r="A228" s="117">
        <v>540170</v>
      </c>
      <c r="B228" s="2" t="s">
        <v>242</v>
      </c>
      <c r="C228" s="2" t="s">
        <v>73</v>
      </c>
      <c r="D228" s="2" t="s">
        <v>115</v>
      </c>
      <c r="E228" s="117">
        <v>1</v>
      </c>
      <c r="F228" s="117">
        <v>22</v>
      </c>
      <c r="G228" s="117">
        <v>2091000</v>
      </c>
      <c r="H228" s="117">
        <v>314</v>
      </c>
      <c r="I228" s="117">
        <v>17364200</v>
      </c>
      <c r="J228" s="117">
        <v>9348</v>
      </c>
      <c r="K228" s="117">
        <v>578052500</v>
      </c>
      <c r="L228" s="117">
        <v>3</v>
      </c>
      <c r="M228" s="117">
        <v>592600</v>
      </c>
      <c r="N228" s="117">
        <v>42</v>
      </c>
      <c r="O228" s="117">
        <v>5392100</v>
      </c>
      <c r="P228" s="117">
        <v>1043</v>
      </c>
      <c r="Q228" s="117">
        <v>381149900</v>
      </c>
      <c r="R228" s="117">
        <v>0</v>
      </c>
      <c r="S228" s="117">
        <v>0</v>
      </c>
      <c r="T228" s="117">
        <v>0</v>
      </c>
      <c r="U228" s="117">
        <v>0</v>
      </c>
      <c r="V228" s="117">
        <v>0</v>
      </c>
      <c r="W228" s="117">
        <v>0</v>
      </c>
      <c r="X228" s="117">
        <v>0</v>
      </c>
      <c r="Y228" s="117">
        <v>0</v>
      </c>
      <c r="Z228" s="117">
        <v>0</v>
      </c>
      <c r="AA228" s="117">
        <v>0</v>
      </c>
      <c r="AB228" s="117">
        <v>22</v>
      </c>
      <c r="AC228" s="117">
        <v>4876200</v>
      </c>
      <c r="AD228" s="117">
        <v>0</v>
      </c>
      <c r="AE228" s="117">
        <v>0</v>
      </c>
      <c r="AF228" s="117">
        <v>1</v>
      </c>
      <c r="AG228" s="117">
        <v>2200</v>
      </c>
      <c r="AH228" s="117">
        <v>3</v>
      </c>
      <c r="AI228" s="117">
        <v>27300</v>
      </c>
      <c r="AJ228" s="117">
        <v>0</v>
      </c>
      <c r="AK228" s="117">
        <v>0</v>
      </c>
      <c r="AL228" s="117">
        <v>2</v>
      </c>
      <c r="AM228" s="117">
        <v>4600</v>
      </c>
      <c r="AN228" s="117">
        <v>32</v>
      </c>
      <c r="AO228" s="117">
        <v>2201200</v>
      </c>
      <c r="AP228" s="117">
        <v>0</v>
      </c>
      <c r="AQ228" s="117">
        <v>0</v>
      </c>
      <c r="AR228" s="117">
        <v>27</v>
      </c>
      <c r="AS228" s="117">
        <v>9498400</v>
      </c>
      <c r="AT228" s="117">
        <v>910</v>
      </c>
      <c r="AU228" s="117">
        <v>286564800</v>
      </c>
    </row>
    <row r="229" spans="1:47" x14ac:dyDescent="0.25">
      <c r="A229" s="117">
        <v>540171</v>
      </c>
      <c r="B229" s="2" t="s">
        <v>243</v>
      </c>
      <c r="C229" s="2" t="s">
        <v>73</v>
      </c>
      <c r="D229" s="2" t="s">
        <v>115</v>
      </c>
      <c r="E229" s="117">
        <v>1</v>
      </c>
      <c r="F229" s="117">
        <v>0</v>
      </c>
      <c r="G229" s="117">
        <v>0</v>
      </c>
      <c r="H229" s="117">
        <v>4</v>
      </c>
      <c r="I229" s="117">
        <v>14000</v>
      </c>
      <c r="J229" s="117">
        <v>414</v>
      </c>
      <c r="K229" s="117">
        <v>4053300</v>
      </c>
      <c r="L229" s="117">
        <v>0</v>
      </c>
      <c r="M229" s="117">
        <v>0</v>
      </c>
      <c r="N229" s="117">
        <v>0</v>
      </c>
      <c r="O229" s="117">
        <v>0</v>
      </c>
      <c r="P229" s="117">
        <v>9</v>
      </c>
      <c r="Q229" s="117">
        <v>209600</v>
      </c>
      <c r="R229" s="117">
        <v>0</v>
      </c>
      <c r="S229" s="117">
        <v>0</v>
      </c>
      <c r="T229" s="117">
        <v>0</v>
      </c>
      <c r="U229" s="117">
        <v>0</v>
      </c>
      <c r="V229" s="117">
        <v>0</v>
      </c>
      <c r="W229" s="117">
        <v>0</v>
      </c>
      <c r="X229" s="117">
        <v>0</v>
      </c>
      <c r="Y229" s="117">
        <v>0</v>
      </c>
      <c r="Z229" s="117">
        <v>0</v>
      </c>
      <c r="AA229" s="117">
        <v>0</v>
      </c>
      <c r="AB229" s="117">
        <v>0</v>
      </c>
      <c r="AC229" s="117">
        <v>0</v>
      </c>
      <c r="AD229" s="117">
        <v>0</v>
      </c>
      <c r="AE229" s="117">
        <v>0</v>
      </c>
      <c r="AF229" s="117">
        <v>0</v>
      </c>
      <c r="AG229" s="117">
        <v>0</v>
      </c>
      <c r="AH229" s="117">
        <v>3</v>
      </c>
      <c r="AI229" s="117">
        <v>14800</v>
      </c>
      <c r="AJ229" s="117">
        <v>0</v>
      </c>
      <c r="AK229" s="117">
        <v>0</v>
      </c>
      <c r="AL229" s="117">
        <v>0</v>
      </c>
      <c r="AM229" s="117">
        <v>0</v>
      </c>
      <c r="AN229" s="117">
        <v>1</v>
      </c>
      <c r="AO229" s="117">
        <v>2600</v>
      </c>
      <c r="AP229" s="117">
        <v>0</v>
      </c>
      <c r="AQ229" s="117">
        <v>0</v>
      </c>
      <c r="AR229" s="117">
        <v>0</v>
      </c>
      <c r="AS229" s="117">
        <v>0</v>
      </c>
      <c r="AT229" s="117">
        <v>51</v>
      </c>
      <c r="AU229" s="117">
        <v>1176000</v>
      </c>
    </row>
    <row r="230" spans="1:47" x14ac:dyDescent="0.25">
      <c r="A230" s="117">
        <v>540173</v>
      </c>
      <c r="B230" s="2" t="s">
        <v>245</v>
      </c>
      <c r="C230" s="2" t="s">
        <v>73</v>
      </c>
      <c r="D230" s="2" t="s">
        <v>115</v>
      </c>
      <c r="E230" s="117">
        <v>1</v>
      </c>
      <c r="F230" s="117">
        <v>0</v>
      </c>
      <c r="G230" s="117">
        <v>0</v>
      </c>
      <c r="H230" s="117">
        <v>0</v>
      </c>
      <c r="I230" s="117">
        <v>0</v>
      </c>
      <c r="J230" s="117">
        <v>93</v>
      </c>
      <c r="K230" s="117">
        <v>794400</v>
      </c>
      <c r="L230" s="117">
        <v>0</v>
      </c>
      <c r="M230" s="117">
        <v>0</v>
      </c>
      <c r="N230" s="117">
        <v>0</v>
      </c>
      <c r="O230" s="117">
        <v>0</v>
      </c>
      <c r="P230" s="117">
        <v>6</v>
      </c>
      <c r="Q230" s="117">
        <v>48700</v>
      </c>
      <c r="R230" s="117">
        <v>0</v>
      </c>
      <c r="S230" s="117">
        <v>0</v>
      </c>
      <c r="T230" s="117">
        <v>0</v>
      </c>
      <c r="U230" s="117">
        <v>0</v>
      </c>
      <c r="V230" s="117">
        <v>0</v>
      </c>
      <c r="W230" s="117">
        <v>0</v>
      </c>
      <c r="X230" s="117">
        <v>0</v>
      </c>
      <c r="Y230" s="117">
        <v>0</v>
      </c>
      <c r="Z230" s="117">
        <v>0</v>
      </c>
      <c r="AA230" s="117">
        <v>0</v>
      </c>
      <c r="AB230" s="117">
        <v>0</v>
      </c>
      <c r="AC230" s="117">
        <v>0</v>
      </c>
      <c r="AD230" s="117">
        <v>0</v>
      </c>
      <c r="AE230" s="117">
        <v>0</v>
      </c>
      <c r="AF230" s="117">
        <v>0</v>
      </c>
      <c r="AG230" s="117">
        <v>0</v>
      </c>
      <c r="AH230" s="117">
        <v>3</v>
      </c>
      <c r="AI230" s="117">
        <v>28600</v>
      </c>
      <c r="AJ230" s="117">
        <v>0</v>
      </c>
      <c r="AK230" s="117">
        <v>0</v>
      </c>
      <c r="AL230" s="117">
        <v>0</v>
      </c>
      <c r="AM230" s="117">
        <v>0</v>
      </c>
      <c r="AN230" s="117">
        <v>0</v>
      </c>
      <c r="AO230" s="117">
        <v>0</v>
      </c>
      <c r="AP230" s="117">
        <v>0</v>
      </c>
      <c r="AQ230" s="117">
        <v>0</v>
      </c>
      <c r="AR230" s="117">
        <v>0</v>
      </c>
      <c r="AS230" s="117">
        <v>0</v>
      </c>
      <c r="AT230" s="117">
        <v>9</v>
      </c>
      <c r="AU230" s="117">
        <v>211100</v>
      </c>
    </row>
    <row r="231" spans="1:47" x14ac:dyDescent="0.25">
      <c r="A231" s="117">
        <v>540174</v>
      </c>
      <c r="B231" s="2" t="s">
        <v>246</v>
      </c>
      <c r="C231" s="2" t="s">
        <v>73</v>
      </c>
      <c r="D231" s="2" t="s">
        <v>115</v>
      </c>
      <c r="E231" s="117">
        <v>1</v>
      </c>
      <c r="F231" s="117">
        <v>0</v>
      </c>
      <c r="G231" s="117">
        <v>0</v>
      </c>
      <c r="H231" s="117">
        <v>29</v>
      </c>
      <c r="I231" s="117">
        <v>582800</v>
      </c>
      <c r="J231" s="117">
        <v>709</v>
      </c>
      <c r="K231" s="117">
        <v>25414800</v>
      </c>
      <c r="L231" s="117">
        <v>0</v>
      </c>
      <c r="M231" s="117">
        <v>0</v>
      </c>
      <c r="N231" s="117">
        <v>5</v>
      </c>
      <c r="O231" s="117">
        <v>152100</v>
      </c>
      <c r="P231" s="117">
        <v>71</v>
      </c>
      <c r="Q231" s="117">
        <v>5875700</v>
      </c>
      <c r="R231" s="117">
        <v>0</v>
      </c>
      <c r="S231" s="117">
        <v>0</v>
      </c>
      <c r="T231" s="117">
        <v>0</v>
      </c>
      <c r="U231" s="117">
        <v>0</v>
      </c>
      <c r="V231" s="117">
        <v>0</v>
      </c>
      <c r="W231" s="117">
        <v>0</v>
      </c>
      <c r="X231" s="117">
        <v>0</v>
      </c>
      <c r="Y231" s="117">
        <v>0</v>
      </c>
      <c r="Z231" s="117">
        <v>1</v>
      </c>
      <c r="AA231" s="117">
        <v>7700</v>
      </c>
      <c r="AB231" s="117">
        <v>1</v>
      </c>
      <c r="AC231" s="117">
        <v>2360000</v>
      </c>
      <c r="AD231" s="117">
        <v>0</v>
      </c>
      <c r="AE231" s="117">
        <v>0</v>
      </c>
      <c r="AF231" s="117">
        <v>0</v>
      </c>
      <c r="AG231" s="117">
        <v>0</v>
      </c>
      <c r="AH231" s="117">
        <v>3</v>
      </c>
      <c r="AI231" s="117">
        <v>62300</v>
      </c>
      <c r="AJ231" s="117">
        <v>0</v>
      </c>
      <c r="AK231" s="117">
        <v>0</v>
      </c>
      <c r="AL231" s="117">
        <v>0</v>
      </c>
      <c r="AM231" s="117">
        <v>0</v>
      </c>
      <c r="AN231" s="117">
        <v>0</v>
      </c>
      <c r="AO231" s="117">
        <v>0</v>
      </c>
      <c r="AP231" s="117">
        <v>0</v>
      </c>
      <c r="AQ231" s="117">
        <v>0</v>
      </c>
      <c r="AR231" s="117">
        <v>1</v>
      </c>
      <c r="AS231" s="117">
        <v>4200</v>
      </c>
      <c r="AT231" s="117">
        <v>54</v>
      </c>
      <c r="AU231" s="117">
        <v>4463100</v>
      </c>
    </row>
    <row r="232" spans="1:47" x14ac:dyDescent="0.25">
      <c r="A232" s="117">
        <v>540286</v>
      </c>
      <c r="B232" s="2" t="s">
        <v>325</v>
      </c>
      <c r="C232" s="2" t="s">
        <v>73</v>
      </c>
      <c r="D232" s="2" t="s">
        <v>115</v>
      </c>
      <c r="E232" s="117">
        <v>1</v>
      </c>
      <c r="F232" s="117">
        <v>4</v>
      </c>
      <c r="G232" s="117">
        <v>136500</v>
      </c>
      <c r="H232" s="117">
        <v>49</v>
      </c>
      <c r="I232" s="117">
        <v>2025700</v>
      </c>
      <c r="J232" s="117">
        <v>765</v>
      </c>
      <c r="K232" s="117">
        <v>41685300</v>
      </c>
      <c r="L232" s="117">
        <v>0</v>
      </c>
      <c r="M232" s="117">
        <v>0</v>
      </c>
      <c r="N232" s="117">
        <v>1</v>
      </c>
      <c r="O232" s="117">
        <v>249600</v>
      </c>
      <c r="P232" s="117">
        <v>31</v>
      </c>
      <c r="Q232" s="117">
        <v>5147200</v>
      </c>
      <c r="R232" s="117">
        <v>0</v>
      </c>
      <c r="S232" s="117">
        <v>0</v>
      </c>
      <c r="T232" s="117">
        <v>0</v>
      </c>
      <c r="U232" s="117">
        <v>0</v>
      </c>
      <c r="V232" s="117">
        <v>0</v>
      </c>
      <c r="W232" s="117">
        <v>0</v>
      </c>
      <c r="X232" s="117">
        <v>0</v>
      </c>
      <c r="Y232" s="117">
        <v>0</v>
      </c>
      <c r="Z232" s="117">
        <v>1</v>
      </c>
      <c r="AA232" s="117">
        <v>7100</v>
      </c>
      <c r="AB232" s="117">
        <v>15</v>
      </c>
      <c r="AC232" s="117">
        <v>2007500</v>
      </c>
      <c r="AD232" s="117">
        <v>0</v>
      </c>
      <c r="AE232" s="117">
        <v>0</v>
      </c>
      <c r="AF232" s="117">
        <v>0</v>
      </c>
      <c r="AG232" s="117">
        <v>0</v>
      </c>
      <c r="AH232" s="117">
        <v>1</v>
      </c>
      <c r="AI232" s="117">
        <v>128400</v>
      </c>
      <c r="AJ232" s="117">
        <v>0</v>
      </c>
      <c r="AK232" s="117">
        <v>0</v>
      </c>
      <c r="AL232" s="117">
        <v>0</v>
      </c>
      <c r="AM232" s="117">
        <v>0</v>
      </c>
      <c r="AN232" s="117">
        <v>3</v>
      </c>
      <c r="AO232" s="117">
        <v>76800</v>
      </c>
      <c r="AP232" s="117">
        <v>0</v>
      </c>
      <c r="AQ232" s="117">
        <v>0</v>
      </c>
      <c r="AR232" s="117">
        <v>3</v>
      </c>
      <c r="AS232" s="117">
        <v>24000</v>
      </c>
      <c r="AT232" s="117">
        <v>32</v>
      </c>
      <c r="AU232" s="117">
        <v>5336500</v>
      </c>
    </row>
    <row r="233" spans="1:47" x14ac:dyDescent="0.25">
      <c r="A233" s="269"/>
      <c r="B233" s="269"/>
      <c r="C233" s="269" t="s">
        <v>73</v>
      </c>
      <c r="D233" s="269"/>
      <c r="E233" s="269"/>
      <c r="F233" s="270">
        <v>225</v>
      </c>
      <c r="G233" s="270">
        <v>12065700</v>
      </c>
      <c r="H233" s="270">
        <v>1919</v>
      </c>
      <c r="I233" s="270">
        <v>77548700</v>
      </c>
      <c r="J233" s="270">
        <v>43416</v>
      </c>
      <c r="K233" s="270">
        <v>2356834000</v>
      </c>
      <c r="L233" s="270">
        <v>18</v>
      </c>
      <c r="M233" s="270">
        <v>1793100</v>
      </c>
      <c r="N233" s="270">
        <v>124</v>
      </c>
      <c r="O233" s="270">
        <v>16037700</v>
      </c>
      <c r="P233" s="270">
        <v>2723</v>
      </c>
      <c r="Q233" s="270">
        <v>872734500</v>
      </c>
      <c r="R233" s="270">
        <v>0</v>
      </c>
      <c r="S233" s="270">
        <v>0</v>
      </c>
      <c r="T233" s="270">
        <v>0</v>
      </c>
      <c r="U233" s="270">
        <v>0</v>
      </c>
      <c r="V233" s="270">
        <v>0</v>
      </c>
      <c r="W233" s="270">
        <v>0</v>
      </c>
      <c r="X233" s="270">
        <v>0</v>
      </c>
      <c r="Y233" s="270">
        <v>0</v>
      </c>
      <c r="Z233" s="270">
        <v>3</v>
      </c>
      <c r="AA233" s="270">
        <v>218200</v>
      </c>
      <c r="AB233" s="270">
        <v>122</v>
      </c>
      <c r="AC233" s="270">
        <v>35730200</v>
      </c>
      <c r="AD233" s="270">
        <v>100</v>
      </c>
      <c r="AE233" s="270">
        <v>2944600</v>
      </c>
      <c r="AF233" s="270">
        <v>384</v>
      </c>
      <c r="AG233" s="270">
        <v>12186600</v>
      </c>
      <c r="AH233" s="270">
        <v>2254</v>
      </c>
      <c r="AI233" s="270">
        <v>113938600</v>
      </c>
      <c r="AJ233" s="270">
        <v>2</v>
      </c>
      <c r="AK233" s="270">
        <v>1200</v>
      </c>
      <c r="AL233" s="270">
        <v>12</v>
      </c>
      <c r="AM233" s="270">
        <v>24400</v>
      </c>
      <c r="AN233" s="270">
        <v>97</v>
      </c>
      <c r="AO233" s="270">
        <v>6685900</v>
      </c>
      <c r="AP233" s="270">
        <v>25</v>
      </c>
      <c r="AQ233" s="270">
        <v>1597300</v>
      </c>
      <c r="AR233" s="270">
        <v>118</v>
      </c>
      <c r="AS233" s="270">
        <v>11328100</v>
      </c>
      <c r="AT233" s="270">
        <v>2335</v>
      </c>
      <c r="AU233" s="270">
        <v>621555400</v>
      </c>
    </row>
    <row r="234" spans="1:47" x14ac:dyDescent="0.25">
      <c r="A234" s="117">
        <v>540183</v>
      </c>
      <c r="B234" s="2" t="s">
        <v>76</v>
      </c>
      <c r="C234" s="2" t="s">
        <v>77</v>
      </c>
      <c r="D234" s="2" t="s">
        <v>5</v>
      </c>
      <c r="E234" s="117">
        <v>5</v>
      </c>
      <c r="F234" s="117">
        <v>176</v>
      </c>
      <c r="G234" s="117">
        <v>7206500</v>
      </c>
      <c r="H234" s="117">
        <v>1098</v>
      </c>
      <c r="I234" s="117">
        <v>48602100</v>
      </c>
      <c r="J234" s="117">
        <v>3674</v>
      </c>
      <c r="K234" s="117">
        <v>176358800</v>
      </c>
      <c r="L234" s="117">
        <v>1</v>
      </c>
      <c r="M234" s="117">
        <v>586100</v>
      </c>
      <c r="N234" s="117">
        <v>15</v>
      </c>
      <c r="O234" s="117">
        <v>926200</v>
      </c>
      <c r="P234" s="117">
        <v>68</v>
      </c>
      <c r="Q234" s="117">
        <v>9042500</v>
      </c>
      <c r="R234" s="117">
        <v>0</v>
      </c>
      <c r="S234" s="117">
        <v>0</v>
      </c>
      <c r="T234" s="117">
        <v>0</v>
      </c>
      <c r="U234" s="117">
        <v>0</v>
      </c>
      <c r="V234" s="117">
        <v>0</v>
      </c>
      <c r="W234" s="117">
        <v>0</v>
      </c>
      <c r="X234" s="117">
        <v>0</v>
      </c>
      <c r="Y234" s="117">
        <v>0</v>
      </c>
      <c r="Z234" s="117">
        <v>1</v>
      </c>
      <c r="AA234" s="117">
        <v>123200</v>
      </c>
      <c r="AB234" s="117">
        <v>1</v>
      </c>
      <c r="AC234" s="117">
        <v>113400</v>
      </c>
      <c r="AD234" s="117">
        <v>96</v>
      </c>
      <c r="AE234" s="117">
        <v>5545000</v>
      </c>
      <c r="AF234" s="117">
        <v>674</v>
      </c>
      <c r="AG234" s="117">
        <v>38066400</v>
      </c>
      <c r="AH234" s="117">
        <v>2113</v>
      </c>
      <c r="AI234" s="117">
        <v>110878700</v>
      </c>
      <c r="AJ234" s="117">
        <v>0</v>
      </c>
      <c r="AK234" s="117">
        <v>0</v>
      </c>
      <c r="AL234" s="117">
        <v>1</v>
      </c>
      <c r="AM234" s="117">
        <v>58200</v>
      </c>
      <c r="AN234" s="117">
        <v>6</v>
      </c>
      <c r="AO234" s="117">
        <v>117100</v>
      </c>
      <c r="AP234" s="117">
        <v>13</v>
      </c>
      <c r="AQ234" s="117">
        <v>451600</v>
      </c>
      <c r="AR234" s="117">
        <v>105</v>
      </c>
      <c r="AS234" s="117">
        <v>4731700</v>
      </c>
      <c r="AT234" s="117">
        <v>380</v>
      </c>
      <c r="AU234" s="117">
        <v>21440900</v>
      </c>
    </row>
    <row r="235" spans="1:47" x14ac:dyDescent="0.25">
      <c r="A235" s="117">
        <v>540184</v>
      </c>
      <c r="B235" s="2" t="s">
        <v>253</v>
      </c>
      <c r="C235" s="2" t="s">
        <v>77</v>
      </c>
      <c r="D235" s="2" t="s">
        <v>115</v>
      </c>
      <c r="E235" s="117">
        <v>5</v>
      </c>
      <c r="F235" s="117">
        <v>0</v>
      </c>
      <c r="G235" s="117">
        <v>0</v>
      </c>
      <c r="H235" s="117">
        <v>2</v>
      </c>
      <c r="I235" s="117">
        <v>53500</v>
      </c>
      <c r="J235" s="117">
        <v>48</v>
      </c>
      <c r="K235" s="117">
        <v>1472300</v>
      </c>
      <c r="L235" s="117">
        <v>0</v>
      </c>
      <c r="M235" s="117">
        <v>0</v>
      </c>
      <c r="N235" s="117">
        <v>0</v>
      </c>
      <c r="O235" s="117">
        <v>0</v>
      </c>
      <c r="P235" s="117">
        <v>1</v>
      </c>
      <c r="Q235" s="117">
        <v>30900</v>
      </c>
      <c r="R235" s="117">
        <v>0</v>
      </c>
      <c r="S235" s="117">
        <v>0</v>
      </c>
      <c r="T235" s="117">
        <v>0</v>
      </c>
      <c r="U235" s="117">
        <v>0</v>
      </c>
      <c r="V235" s="117">
        <v>0</v>
      </c>
      <c r="W235" s="117">
        <v>0</v>
      </c>
      <c r="X235" s="117">
        <v>0</v>
      </c>
      <c r="Y235" s="117">
        <v>0</v>
      </c>
      <c r="Z235" s="117">
        <v>0</v>
      </c>
      <c r="AA235" s="117">
        <v>0</v>
      </c>
      <c r="AB235" s="117">
        <v>0</v>
      </c>
      <c r="AC235" s="117">
        <v>0</v>
      </c>
      <c r="AD235" s="117">
        <v>0</v>
      </c>
      <c r="AE235" s="117">
        <v>0</v>
      </c>
      <c r="AF235" s="117">
        <v>0</v>
      </c>
      <c r="AG235" s="117">
        <v>0</v>
      </c>
      <c r="AH235" s="117">
        <v>1</v>
      </c>
      <c r="AI235" s="117">
        <v>4400</v>
      </c>
      <c r="AJ235" s="117">
        <v>0</v>
      </c>
      <c r="AK235" s="117">
        <v>0</v>
      </c>
      <c r="AL235" s="117">
        <v>0</v>
      </c>
      <c r="AM235" s="117">
        <v>0</v>
      </c>
      <c r="AN235" s="117">
        <v>0</v>
      </c>
      <c r="AO235" s="117">
        <v>0</v>
      </c>
      <c r="AP235" s="117">
        <v>0</v>
      </c>
      <c r="AQ235" s="117">
        <v>0</v>
      </c>
      <c r="AR235" s="117">
        <v>0</v>
      </c>
      <c r="AS235" s="117">
        <v>0</v>
      </c>
      <c r="AT235" s="117">
        <v>12</v>
      </c>
      <c r="AU235" s="117">
        <v>668700</v>
      </c>
    </row>
    <row r="236" spans="1:47" x14ac:dyDescent="0.25">
      <c r="A236" s="117">
        <v>540185</v>
      </c>
      <c r="B236" s="2" t="s">
        <v>254</v>
      </c>
      <c r="C236" s="2" t="s">
        <v>77</v>
      </c>
      <c r="D236" s="2" t="s">
        <v>115</v>
      </c>
      <c r="E236" s="117">
        <v>5</v>
      </c>
      <c r="F236" s="117">
        <v>5</v>
      </c>
      <c r="G236" s="117">
        <v>184900</v>
      </c>
      <c r="H236" s="117">
        <v>131</v>
      </c>
      <c r="I236" s="117">
        <v>5370800</v>
      </c>
      <c r="J236" s="117">
        <v>715</v>
      </c>
      <c r="K236" s="117">
        <v>39071300</v>
      </c>
      <c r="L236" s="117">
        <v>0</v>
      </c>
      <c r="M236" s="117">
        <v>0</v>
      </c>
      <c r="N236" s="117">
        <v>5</v>
      </c>
      <c r="O236" s="117">
        <v>257200</v>
      </c>
      <c r="P236" s="117">
        <v>130</v>
      </c>
      <c r="Q236" s="117">
        <v>20363000</v>
      </c>
      <c r="R236" s="117">
        <v>0</v>
      </c>
      <c r="S236" s="117">
        <v>0</v>
      </c>
      <c r="T236" s="117">
        <v>0</v>
      </c>
      <c r="U236" s="117">
        <v>0</v>
      </c>
      <c r="V236" s="117">
        <v>0</v>
      </c>
      <c r="W236" s="117">
        <v>0</v>
      </c>
      <c r="X236" s="117">
        <v>0</v>
      </c>
      <c r="Y236" s="117">
        <v>0</v>
      </c>
      <c r="Z236" s="117">
        <v>0</v>
      </c>
      <c r="AA236" s="117">
        <v>0</v>
      </c>
      <c r="AB236" s="117">
        <v>7</v>
      </c>
      <c r="AC236" s="117">
        <v>316500</v>
      </c>
      <c r="AD236" s="117">
        <v>0</v>
      </c>
      <c r="AE236" s="117">
        <v>0</v>
      </c>
      <c r="AF236" s="117">
        <v>1</v>
      </c>
      <c r="AG236" s="117">
        <v>4100</v>
      </c>
      <c r="AH236" s="117">
        <v>2</v>
      </c>
      <c r="AI236" s="117">
        <v>1100</v>
      </c>
      <c r="AJ236" s="117">
        <v>0</v>
      </c>
      <c r="AK236" s="117">
        <v>0</v>
      </c>
      <c r="AL236" s="117">
        <v>0</v>
      </c>
      <c r="AM236" s="117">
        <v>0</v>
      </c>
      <c r="AN236" s="117">
        <v>2</v>
      </c>
      <c r="AO236" s="117">
        <v>301200</v>
      </c>
      <c r="AP236" s="117">
        <v>1</v>
      </c>
      <c r="AQ236" s="117">
        <v>5100</v>
      </c>
      <c r="AR236" s="117">
        <v>11</v>
      </c>
      <c r="AS236" s="117">
        <v>183200</v>
      </c>
      <c r="AT236" s="117">
        <v>70</v>
      </c>
      <c r="AU236" s="117">
        <v>8568900</v>
      </c>
    </row>
    <row r="237" spans="1:47" x14ac:dyDescent="0.25">
      <c r="A237" s="269"/>
      <c r="B237" s="269"/>
      <c r="C237" s="269" t="s">
        <v>77</v>
      </c>
      <c r="D237" s="269"/>
      <c r="E237" s="269"/>
      <c r="F237" s="270">
        <v>181</v>
      </c>
      <c r="G237" s="270">
        <v>7391400</v>
      </c>
      <c r="H237" s="270">
        <v>1231</v>
      </c>
      <c r="I237" s="270">
        <v>54026400</v>
      </c>
      <c r="J237" s="270">
        <v>4437</v>
      </c>
      <c r="K237" s="270">
        <v>216902400</v>
      </c>
      <c r="L237" s="270">
        <v>1</v>
      </c>
      <c r="M237" s="270">
        <v>586100</v>
      </c>
      <c r="N237" s="270">
        <v>20</v>
      </c>
      <c r="O237" s="270">
        <v>1183400</v>
      </c>
      <c r="P237" s="270">
        <v>199</v>
      </c>
      <c r="Q237" s="270">
        <v>29436400</v>
      </c>
      <c r="R237" s="270">
        <v>0</v>
      </c>
      <c r="S237" s="270">
        <v>0</v>
      </c>
      <c r="T237" s="270">
        <v>0</v>
      </c>
      <c r="U237" s="270">
        <v>0</v>
      </c>
      <c r="V237" s="270">
        <v>0</v>
      </c>
      <c r="W237" s="270">
        <v>0</v>
      </c>
      <c r="X237" s="270">
        <v>0</v>
      </c>
      <c r="Y237" s="270">
        <v>0</v>
      </c>
      <c r="Z237" s="270">
        <v>1</v>
      </c>
      <c r="AA237" s="270">
        <v>123200</v>
      </c>
      <c r="AB237" s="270">
        <v>8</v>
      </c>
      <c r="AC237" s="270">
        <v>429900</v>
      </c>
      <c r="AD237" s="270">
        <v>96</v>
      </c>
      <c r="AE237" s="270">
        <v>5545000</v>
      </c>
      <c r="AF237" s="270">
        <v>675</v>
      </c>
      <c r="AG237" s="270">
        <v>38070500</v>
      </c>
      <c r="AH237" s="270">
        <v>2116</v>
      </c>
      <c r="AI237" s="270">
        <v>110884200</v>
      </c>
      <c r="AJ237" s="270">
        <v>0</v>
      </c>
      <c r="AK237" s="270">
        <v>0</v>
      </c>
      <c r="AL237" s="270">
        <v>1</v>
      </c>
      <c r="AM237" s="270">
        <v>58200</v>
      </c>
      <c r="AN237" s="270">
        <v>8</v>
      </c>
      <c r="AO237" s="270">
        <v>418300</v>
      </c>
      <c r="AP237" s="270">
        <v>14</v>
      </c>
      <c r="AQ237" s="270">
        <v>456700</v>
      </c>
      <c r="AR237" s="270">
        <v>116</v>
      </c>
      <c r="AS237" s="270">
        <v>4914900</v>
      </c>
      <c r="AT237" s="270">
        <v>462</v>
      </c>
      <c r="AU237" s="270">
        <v>30678500</v>
      </c>
    </row>
    <row r="238" spans="1:47" x14ac:dyDescent="0.25">
      <c r="A238" s="117">
        <v>540186</v>
      </c>
      <c r="B238" s="2" t="s">
        <v>78</v>
      </c>
      <c r="C238" s="2" t="s">
        <v>79</v>
      </c>
      <c r="D238" s="2" t="s">
        <v>5</v>
      </c>
      <c r="E238" s="117">
        <v>1</v>
      </c>
      <c r="F238" s="117">
        <v>347</v>
      </c>
      <c r="G238" s="117">
        <v>15640500</v>
      </c>
      <c r="H238" s="117">
        <v>1054</v>
      </c>
      <c r="I238" s="117">
        <v>53128300</v>
      </c>
      <c r="J238" s="117">
        <v>6246</v>
      </c>
      <c r="K238" s="117">
        <v>341488300</v>
      </c>
      <c r="L238" s="117">
        <v>1</v>
      </c>
      <c r="M238" s="117">
        <v>85300</v>
      </c>
      <c r="N238" s="117">
        <v>3</v>
      </c>
      <c r="O238" s="117">
        <v>105600</v>
      </c>
      <c r="P238" s="117">
        <v>70</v>
      </c>
      <c r="Q238" s="117">
        <v>13668100</v>
      </c>
      <c r="R238" s="117">
        <v>0</v>
      </c>
      <c r="S238" s="117">
        <v>0</v>
      </c>
      <c r="T238" s="117">
        <v>0</v>
      </c>
      <c r="U238" s="117">
        <v>0</v>
      </c>
      <c r="V238" s="117">
        <v>2</v>
      </c>
      <c r="W238" s="117">
        <v>1637100</v>
      </c>
      <c r="X238" s="117">
        <v>1</v>
      </c>
      <c r="Y238" s="117">
        <v>6100</v>
      </c>
      <c r="Z238" s="117">
        <v>1</v>
      </c>
      <c r="AA238" s="117">
        <v>29600</v>
      </c>
      <c r="AB238" s="117">
        <v>0</v>
      </c>
      <c r="AC238" s="117">
        <v>0</v>
      </c>
      <c r="AD238" s="117">
        <v>37</v>
      </c>
      <c r="AE238" s="117">
        <v>1831900</v>
      </c>
      <c r="AF238" s="117">
        <v>133</v>
      </c>
      <c r="AG238" s="117">
        <v>8777600</v>
      </c>
      <c r="AH238" s="117">
        <v>669</v>
      </c>
      <c r="AI238" s="117">
        <v>47286900</v>
      </c>
      <c r="AJ238" s="117">
        <v>0</v>
      </c>
      <c r="AK238" s="117">
        <v>0</v>
      </c>
      <c r="AL238" s="117">
        <v>0</v>
      </c>
      <c r="AM238" s="117">
        <v>0</v>
      </c>
      <c r="AN238" s="117">
        <v>4</v>
      </c>
      <c r="AO238" s="117">
        <v>130500</v>
      </c>
      <c r="AP238" s="117">
        <v>7</v>
      </c>
      <c r="AQ238" s="117">
        <v>354500</v>
      </c>
      <c r="AR238" s="117">
        <v>23</v>
      </c>
      <c r="AS238" s="117">
        <v>25832700</v>
      </c>
      <c r="AT238" s="117">
        <v>200</v>
      </c>
      <c r="AU238" s="117">
        <v>12861400</v>
      </c>
    </row>
    <row r="239" spans="1:47" x14ac:dyDescent="0.25">
      <c r="A239" s="117">
        <v>540187</v>
      </c>
      <c r="B239" s="2" t="s">
        <v>255</v>
      </c>
      <c r="C239" s="2" t="s">
        <v>79</v>
      </c>
      <c r="D239" s="2" t="s">
        <v>115</v>
      </c>
      <c r="E239" s="117">
        <v>1</v>
      </c>
      <c r="F239" s="117">
        <v>31</v>
      </c>
      <c r="G239" s="117">
        <v>523900</v>
      </c>
      <c r="H239" s="117">
        <v>206</v>
      </c>
      <c r="I239" s="117">
        <v>5688100</v>
      </c>
      <c r="J239" s="117">
        <v>1357</v>
      </c>
      <c r="K239" s="117">
        <v>62601400</v>
      </c>
      <c r="L239" s="117">
        <v>0</v>
      </c>
      <c r="M239" s="117">
        <v>0</v>
      </c>
      <c r="N239" s="117">
        <v>2</v>
      </c>
      <c r="O239" s="117">
        <v>63400</v>
      </c>
      <c r="P239" s="117">
        <v>133</v>
      </c>
      <c r="Q239" s="117">
        <v>14569500</v>
      </c>
      <c r="R239" s="117">
        <v>0</v>
      </c>
      <c r="S239" s="117">
        <v>0</v>
      </c>
      <c r="T239" s="117">
        <v>0</v>
      </c>
      <c r="U239" s="117">
        <v>0</v>
      </c>
      <c r="V239" s="117">
        <v>1</v>
      </c>
      <c r="W239" s="117">
        <v>7387900</v>
      </c>
      <c r="X239" s="117">
        <v>0</v>
      </c>
      <c r="Y239" s="117">
        <v>0</v>
      </c>
      <c r="Z239" s="117">
        <v>0</v>
      </c>
      <c r="AA239" s="117">
        <v>0</v>
      </c>
      <c r="AB239" s="117">
        <v>1</v>
      </c>
      <c r="AC239" s="117">
        <v>391800</v>
      </c>
      <c r="AD239" s="117">
        <v>0</v>
      </c>
      <c r="AE239" s="117">
        <v>0</v>
      </c>
      <c r="AF239" s="117">
        <v>0</v>
      </c>
      <c r="AG239" s="117">
        <v>0</v>
      </c>
      <c r="AH239" s="117">
        <v>1</v>
      </c>
      <c r="AI239" s="117">
        <v>215200</v>
      </c>
      <c r="AJ239" s="117">
        <v>0</v>
      </c>
      <c r="AK239" s="117">
        <v>0</v>
      </c>
      <c r="AL239" s="117">
        <v>0</v>
      </c>
      <c r="AM239" s="117">
        <v>0</v>
      </c>
      <c r="AN239" s="117">
        <v>1</v>
      </c>
      <c r="AO239" s="117">
        <v>41800</v>
      </c>
      <c r="AP239" s="117">
        <v>5</v>
      </c>
      <c r="AQ239" s="117">
        <v>112800</v>
      </c>
      <c r="AR239" s="117">
        <v>33</v>
      </c>
      <c r="AS239" s="117">
        <v>344100</v>
      </c>
      <c r="AT239" s="117">
        <v>150</v>
      </c>
      <c r="AU239" s="117">
        <v>77040300</v>
      </c>
    </row>
    <row r="240" spans="1:47" x14ac:dyDescent="0.25">
      <c r="A240" s="269"/>
      <c r="B240" s="269"/>
      <c r="C240" s="269" t="s">
        <v>79</v>
      </c>
      <c r="D240" s="269"/>
      <c r="E240" s="269"/>
      <c r="F240" s="270">
        <v>378</v>
      </c>
      <c r="G240" s="270">
        <v>16164400</v>
      </c>
      <c r="H240" s="270">
        <v>1260</v>
      </c>
      <c r="I240" s="270">
        <v>58816400</v>
      </c>
      <c r="J240" s="270">
        <v>7603</v>
      </c>
      <c r="K240" s="270">
        <v>404089700</v>
      </c>
      <c r="L240" s="270">
        <v>1</v>
      </c>
      <c r="M240" s="270">
        <v>85300</v>
      </c>
      <c r="N240" s="270">
        <v>5</v>
      </c>
      <c r="O240" s="270">
        <v>169000</v>
      </c>
      <c r="P240" s="270">
        <v>203</v>
      </c>
      <c r="Q240" s="270">
        <v>28237600</v>
      </c>
      <c r="R240" s="270">
        <v>0</v>
      </c>
      <c r="S240" s="270">
        <v>0</v>
      </c>
      <c r="T240" s="270">
        <v>0</v>
      </c>
      <c r="U240" s="270">
        <v>0</v>
      </c>
      <c r="V240" s="270">
        <v>3</v>
      </c>
      <c r="W240" s="270">
        <v>9025000</v>
      </c>
      <c r="X240" s="270">
        <v>1</v>
      </c>
      <c r="Y240" s="270">
        <v>6100</v>
      </c>
      <c r="Z240" s="270">
        <v>1</v>
      </c>
      <c r="AA240" s="270">
        <v>29600</v>
      </c>
      <c r="AB240" s="270">
        <v>1</v>
      </c>
      <c r="AC240" s="270">
        <v>391800</v>
      </c>
      <c r="AD240" s="270">
        <v>37</v>
      </c>
      <c r="AE240" s="270">
        <v>1831900</v>
      </c>
      <c r="AF240" s="270">
        <v>133</v>
      </c>
      <c r="AG240" s="270">
        <v>8777600</v>
      </c>
      <c r="AH240" s="270">
        <v>670</v>
      </c>
      <c r="AI240" s="270">
        <v>47502100</v>
      </c>
      <c r="AJ240" s="270">
        <v>0</v>
      </c>
      <c r="AK240" s="270">
        <v>0</v>
      </c>
      <c r="AL240" s="270">
        <v>0</v>
      </c>
      <c r="AM240" s="270">
        <v>0</v>
      </c>
      <c r="AN240" s="270">
        <v>5</v>
      </c>
      <c r="AO240" s="270">
        <v>172300</v>
      </c>
      <c r="AP240" s="270">
        <v>12</v>
      </c>
      <c r="AQ240" s="270">
        <v>467300</v>
      </c>
      <c r="AR240" s="270">
        <v>56</v>
      </c>
      <c r="AS240" s="270">
        <v>26176800</v>
      </c>
      <c r="AT240" s="270">
        <v>350</v>
      </c>
      <c r="AU240" s="270">
        <v>89901700</v>
      </c>
    </row>
    <row r="241" spans="1:47" x14ac:dyDescent="0.25">
      <c r="A241" s="117">
        <v>540188</v>
      </c>
      <c r="B241" s="2" t="s">
        <v>80</v>
      </c>
      <c r="C241" s="2" t="s">
        <v>81</v>
      </c>
      <c r="D241" s="2" t="s">
        <v>5</v>
      </c>
      <c r="E241" s="117">
        <v>6</v>
      </c>
      <c r="F241" s="117">
        <v>48</v>
      </c>
      <c r="G241" s="117">
        <v>2870100</v>
      </c>
      <c r="H241" s="117">
        <v>491</v>
      </c>
      <c r="I241" s="117">
        <v>30486600</v>
      </c>
      <c r="J241" s="117">
        <v>4747</v>
      </c>
      <c r="K241" s="117">
        <v>438386700</v>
      </c>
      <c r="L241" s="117">
        <v>2</v>
      </c>
      <c r="M241" s="117">
        <v>197100</v>
      </c>
      <c r="N241" s="117">
        <v>13</v>
      </c>
      <c r="O241" s="117">
        <v>1402100</v>
      </c>
      <c r="P241" s="117">
        <v>106</v>
      </c>
      <c r="Q241" s="117">
        <v>20550000</v>
      </c>
      <c r="R241" s="117">
        <v>0</v>
      </c>
      <c r="S241" s="117">
        <v>0</v>
      </c>
      <c r="T241" s="117">
        <v>1</v>
      </c>
      <c r="U241" s="117">
        <v>2900</v>
      </c>
      <c r="V241" s="117">
        <v>6</v>
      </c>
      <c r="W241" s="117">
        <v>5415700</v>
      </c>
      <c r="X241" s="117">
        <v>0</v>
      </c>
      <c r="Y241" s="117">
        <v>0</v>
      </c>
      <c r="Z241" s="117">
        <v>0</v>
      </c>
      <c r="AA241" s="117">
        <v>0</v>
      </c>
      <c r="AB241" s="117">
        <v>12</v>
      </c>
      <c r="AC241" s="117">
        <v>2218500</v>
      </c>
      <c r="AD241" s="117">
        <v>45</v>
      </c>
      <c r="AE241" s="117">
        <v>1693000</v>
      </c>
      <c r="AF241" s="117">
        <v>318</v>
      </c>
      <c r="AG241" s="117">
        <v>22227900</v>
      </c>
      <c r="AH241" s="117">
        <v>1440</v>
      </c>
      <c r="AI241" s="117">
        <v>116767400</v>
      </c>
      <c r="AJ241" s="117">
        <v>0</v>
      </c>
      <c r="AK241" s="117">
        <v>0</v>
      </c>
      <c r="AL241" s="117">
        <v>1</v>
      </c>
      <c r="AM241" s="117">
        <v>33200</v>
      </c>
      <c r="AN241" s="117">
        <v>14</v>
      </c>
      <c r="AO241" s="117">
        <v>272400</v>
      </c>
      <c r="AP241" s="117">
        <v>1</v>
      </c>
      <c r="AQ241" s="117">
        <v>1100</v>
      </c>
      <c r="AR241" s="117">
        <v>19</v>
      </c>
      <c r="AS241" s="117">
        <v>979400</v>
      </c>
      <c r="AT241" s="117">
        <v>226</v>
      </c>
      <c r="AU241" s="117">
        <v>30798000</v>
      </c>
    </row>
    <row r="242" spans="1:47" x14ac:dyDescent="0.25">
      <c r="A242" s="117">
        <v>540189</v>
      </c>
      <c r="B242" s="2" t="s">
        <v>256</v>
      </c>
      <c r="C242" s="2" t="s">
        <v>81</v>
      </c>
      <c r="D242" s="2" t="s">
        <v>115</v>
      </c>
      <c r="E242" s="117">
        <v>6</v>
      </c>
      <c r="F242" s="117">
        <v>0</v>
      </c>
      <c r="G242" s="117">
        <v>0</v>
      </c>
      <c r="H242" s="117">
        <v>9</v>
      </c>
      <c r="I242" s="117">
        <v>225000</v>
      </c>
      <c r="J242" s="117">
        <v>158</v>
      </c>
      <c r="K242" s="117">
        <v>4892000</v>
      </c>
      <c r="L242" s="117">
        <v>0</v>
      </c>
      <c r="M242" s="117">
        <v>0</v>
      </c>
      <c r="N242" s="117">
        <v>0</v>
      </c>
      <c r="O242" s="117">
        <v>0</v>
      </c>
      <c r="P242" s="117">
        <v>13</v>
      </c>
      <c r="Q242" s="117">
        <v>339900</v>
      </c>
      <c r="R242" s="117">
        <v>0</v>
      </c>
      <c r="S242" s="117">
        <v>0</v>
      </c>
      <c r="T242" s="117">
        <v>0</v>
      </c>
      <c r="U242" s="117">
        <v>0</v>
      </c>
      <c r="V242" s="117">
        <v>0</v>
      </c>
      <c r="W242" s="117">
        <v>0</v>
      </c>
      <c r="X242" s="117">
        <v>0</v>
      </c>
      <c r="Y242" s="117">
        <v>0</v>
      </c>
      <c r="Z242" s="117">
        <v>0</v>
      </c>
      <c r="AA242" s="117">
        <v>0</v>
      </c>
      <c r="AB242" s="117">
        <v>0</v>
      </c>
      <c r="AC242" s="117">
        <v>0</v>
      </c>
      <c r="AD242" s="117">
        <v>0</v>
      </c>
      <c r="AE242" s="117">
        <v>0</v>
      </c>
      <c r="AF242" s="117">
        <v>0</v>
      </c>
      <c r="AG242" s="117">
        <v>0</v>
      </c>
      <c r="AH242" s="117">
        <v>0</v>
      </c>
      <c r="AI242" s="117">
        <v>0</v>
      </c>
      <c r="AJ242" s="117">
        <v>0</v>
      </c>
      <c r="AK242" s="117">
        <v>0</v>
      </c>
      <c r="AL242" s="117">
        <v>0</v>
      </c>
      <c r="AM242" s="117">
        <v>0</v>
      </c>
      <c r="AN242" s="117">
        <v>0</v>
      </c>
      <c r="AO242" s="117">
        <v>0</v>
      </c>
      <c r="AP242" s="117">
        <v>0</v>
      </c>
      <c r="AQ242" s="117">
        <v>0</v>
      </c>
      <c r="AR242" s="117">
        <v>0</v>
      </c>
      <c r="AS242" s="117">
        <v>0</v>
      </c>
      <c r="AT242" s="117">
        <v>8</v>
      </c>
      <c r="AU242" s="117">
        <v>884200</v>
      </c>
    </row>
    <row r="243" spans="1:47" x14ac:dyDescent="0.25">
      <c r="A243" s="117">
        <v>540190</v>
      </c>
      <c r="B243" s="2" t="s">
        <v>257</v>
      </c>
      <c r="C243" s="2" t="s">
        <v>81</v>
      </c>
      <c r="D243" s="2" t="s">
        <v>115</v>
      </c>
      <c r="E243" s="117">
        <v>6</v>
      </c>
      <c r="F243" s="117">
        <v>59</v>
      </c>
      <c r="G243" s="117">
        <v>632200</v>
      </c>
      <c r="H243" s="117">
        <v>600</v>
      </c>
      <c r="I243" s="117">
        <v>9518200</v>
      </c>
      <c r="J243" s="117">
        <v>2580</v>
      </c>
      <c r="K243" s="117">
        <v>81964600</v>
      </c>
      <c r="L243" s="117">
        <v>1</v>
      </c>
      <c r="M243" s="117">
        <v>520900</v>
      </c>
      <c r="N243" s="117">
        <v>17</v>
      </c>
      <c r="O243" s="117">
        <v>1117400</v>
      </c>
      <c r="P243" s="117">
        <v>188</v>
      </c>
      <c r="Q243" s="117">
        <v>18282400</v>
      </c>
      <c r="R243" s="117">
        <v>0</v>
      </c>
      <c r="S243" s="117">
        <v>0</v>
      </c>
      <c r="T243" s="117">
        <v>0</v>
      </c>
      <c r="U243" s="117">
        <v>0</v>
      </c>
      <c r="V243" s="117">
        <v>6</v>
      </c>
      <c r="W243" s="117">
        <v>5182500</v>
      </c>
      <c r="X243" s="117">
        <v>0</v>
      </c>
      <c r="Y243" s="117">
        <v>0</v>
      </c>
      <c r="Z243" s="117">
        <v>0</v>
      </c>
      <c r="AA243" s="117">
        <v>0</v>
      </c>
      <c r="AB243" s="117">
        <v>3</v>
      </c>
      <c r="AC243" s="117">
        <v>204500</v>
      </c>
      <c r="AD243" s="117">
        <v>1</v>
      </c>
      <c r="AE243" s="117">
        <v>33200</v>
      </c>
      <c r="AF243" s="117">
        <v>1</v>
      </c>
      <c r="AG243" s="117">
        <v>9600</v>
      </c>
      <c r="AH243" s="117">
        <v>20</v>
      </c>
      <c r="AI243" s="117">
        <v>1317000</v>
      </c>
      <c r="AJ243" s="117">
        <v>0</v>
      </c>
      <c r="AK243" s="117">
        <v>0</v>
      </c>
      <c r="AL243" s="117">
        <v>7</v>
      </c>
      <c r="AM243" s="117">
        <v>866300</v>
      </c>
      <c r="AN243" s="117">
        <v>11</v>
      </c>
      <c r="AO243" s="117">
        <v>135500</v>
      </c>
      <c r="AP243" s="117">
        <v>7</v>
      </c>
      <c r="AQ243" s="117">
        <v>22900</v>
      </c>
      <c r="AR243" s="117">
        <v>35</v>
      </c>
      <c r="AS243" s="117">
        <v>506100</v>
      </c>
      <c r="AT243" s="117">
        <v>195</v>
      </c>
      <c r="AU243" s="117">
        <v>21769400</v>
      </c>
    </row>
    <row r="244" spans="1:47" x14ac:dyDescent="0.25">
      <c r="A244" s="269"/>
      <c r="B244" s="269"/>
      <c r="C244" s="269" t="s">
        <v>81</v>
      </c>
      <c r="D244" s="269"/>
      <c r="E244" s="269"/>
      <c r="F244" s="270">
        <v>107</v>
      </c>
      <c r="G244" s="270">
        <v>3502300</v>
      </c>
      <c r="H244" s="270">
        <v>1100</v>
      </c>
      <c r="I244" s="270">
        <v>40229800</v>
      </c>
      <c r="J244" s="270">
        <v>7485</v>
      </c>
      <c r="K244" s="270">
        <v>525243300</v>
      </c>
      <c r="L244" s="270">
        <v>3</v>
      </c>
      <c r="M244" s="270">
        <v>718000</v>
      </c>
      <c r="N244" s="270">
        <v>30</v>
      </c>
      <c r="O244" s="270">
        <v>2519500</v>
      </c>
      <c r="P244" s="270">
        <v>307</v>
      </c>
      <c r="Q244" s="270">
        <v>39172300</v>
      </c>
      <c r="R244" s="270">
        <v>0</v>
      </c>
      <c r="S244" s="270">
        <v>0</v>
      </c>
      <c r="T244" s="270">
        <v>1</v>
      </c>
      <c r="U244" s="270">
        <v>2900</v>
      </c>
      <c r="V244" s="270">
        <v>12</v>
      </c>
      <c r="W244" s="270">
        <v>10598200</v>
      </c>
      <c r="X244" s="270">
        <v>0</v>
      </c>
      <c r="Y244" s="270">
        <v>0</v>
      </c>
      <c r="Z244" s="270">
        <v>0</v>
      </c>
      <c r="AA244" s="270">
        <v>0</v>
      </c>
      <c r="AB244" s="270">
        <v>15</v>
      </c>
      <c r="AC244" s="270">
        <v>2423000</v>
      </c>
      <c r="AD244" s="270">
        <v>46</v>
      </c>
      <c r="AE244" s="270">
        <v>1726200</v>
      </c>
      <c r="AF244" s="270">
        <v>319</v>
      </c>
      <c r="AG244" s="270">
        <v>22237500</v>
      </c>
      <c r="AH244" s="270">
        <v>1460</v>
      </c>
      <c r="AI244" s="270">
        <v>118084400</v>
      </c>
      <c r="AJ244" s="270">
        <v>0</v>
      </c>
      <c r="AK244" s="270">
        <v>0</v>
      </c>
      <c r="AL244" s="270">
        <v>8</v>
      </c>
      <c r="AM244" s="270">
        <v>899500</v>
      </c>
      <c r="AN244" s="270">
        <v>25</v>
      </c>
      <c r="AO244" s="270">
        <v>407900</v>
      </c>
      <c r="AP244" s="270">
        <v>8</v>
      </c>
      <c r="AQ244" s="270">
        <v>24000</v>
      </c>
      <c r="AR244" s="270">
        <v>54</v>
      </c>
      <c r="AS244" s="270">
        <v>1485500</v>
      </c>
      <c r="AT244" s="270">
        <v>429</v>
      </c>
      <c r="AU244" s="270">
        <v>53451600</v>
      </c>
    </row>
    <row r="245" spans="1:47" x14ac:dyDescent="0.25">
      <c r="A245" s="117">
        <v>540198</v>
      </c>
      <c r="B245" s="2" t="s">
        <v>82</v>
      </c>
      <c r="C245" s="2" t="s">
        <v>83</v>
      </c>
      <c r="D245" s="2" t="s">
        <v>5</v>
      </c>
      <c r="E245" s="117">
        <v>7</v>
      </c>
      <c r="F245" s="117">
        <v>70</v>
      </c>
      <c r="G245" s="117">
        <v>2573500</v>
      </c>
      <c r="H245" s="117">
        <v>706</v>
      </c>
      <c r="I245" s="117">
        <v>37038200</v>
      </c>
      <c r="J245" s="117">
        <v>8334</v>
      </c>
      <c r="K245" s="117">
        <v>500145100</v>
      </c>
      <c r="L245" s="117">
        <v>3</v>
      </c>
      <c r="M245" s="117">
        <v>1013800</v>
      </c>
      <c r="N245" s="117">
        <v>19</v>
      </c>
      <c r="O245" s="117">
        <v>2589100</v>
      </c>
      <c r="P245" s="117">
        <v>308</v>
      </c>
      <c r="Q245" s="117">
        <v>62775700</v>
      </c>
      <c r="R245" s="117">
        <v>0</v>
      </c>
      <c r="S245" s="117">
        <v>0</v>
      </c>
      <c r="T245" s="117">
        <v>0</v>
      </c>
      <c r="U245" s="117">
        <v>0</v>
      </c>
      <c r="V245" s="117">
        <v>0</v>
      </c>
      <c r="W245" s="117">
        <v>0</v>
      </c>
      <c r="X245" s="117">
        <v>0</v>
      </c>
      <c r="Y245" s="117">
        <v>0</v>
      </c>
      <c r="Z245" s="117">
        <v>1</v>
      </c>
      <c r="AA245" s="117">
        <v>4700</v>
      </c>
      <c r="AB245" s="117">
        <v>17</v>
      </c>
      <c r="AC245" s="117">
        <v>8334100</v>
      </c>
      <c r="AD245" s="117">
        <v>45</v>
      </c>
      <c r="AE245" s="117">
        <v>3472500</v>
      </c>
      <c r="AF245" s="117">
        <v>367</v>
      </c>
      <c r="AG245" s="117">
        <v>26466700</v>
      </c>
      <c r="AH245" s="117">
        <v>2459</v>
      </c>
      <c r="AI245" s="117">
        <v>191550000</v>
      </c>
      <c r="AJ245" s="117">
        <v>0</v>
      </c>
      <c r="AK245" s="117">
        <v>0</v>
      </c>
      <c r="AL245" s="117">
        <v>6</v>
      </c>
      <c r="AM245" s="117">
        <v>181700</v>
      </c>
      <c r="AN245" s="117">
        <v>31</v>
      </c>
      <c r="AO245" s="117">
        <v>528600</v>
      </c>
      <c r="AP245" s="117">
        <v>3</v>
      </c>
      <c r="AQ245" s="117">
        <v>23700</v>
      </c>
      <c r="AR245" s="117">
        <v>25</v>
      </c>
      <c r="AS245" s="117">
        <v>1372100</v>
      </c>
      <c r="AT245" s="117">
        <v>461</v>
      </c>
      <c r="AU245" s="117">
        <v>54319600</v>
      </c>
    </row>
    <row r="246" spans="1:47" x14ac:dyDescent="0.25">
      <c r="A246" s="117">
        <v>540199</v>
      </c>
      <c r="B246" s="2" t="s">
        <v>261</v>
      </c>
      <c r="C246" s="2" t="s">
        <v>83</v>
      </c>
      <c r="D246" s="2" t="s">
        <v>115</v>
      </c>
      <c r="E246" s="117">
        <v>7</v>
      </c>
      <c r="F246" s="117">
        <v>4</v>
      </c>
      <c r="G246" s="117">
        <v>150300</v>
      </c>
      <c r="H246" s="117">
        <v>27</v>
      </c>
      <c r="I246" s="117">
        <v>1519600</v>
      </c>
      <c r="J246" s="117">
        <v>1434</v>
      </c>
      <c r="K246" s="117">
        <v>136849400</v>
      </c>
      <c r="L246" s="117">
        <v>0</v>
      </c>
      <c r="M246" s="117">
        <v>0</v>
      </c>
      <c r="N246" s="117">
        <v>1</v>
      </c>
      <c r="O246" s="117">
        <v>54200</v>
      </c>
      <c r="P246" s="117">
        <v>209</v>
      </c>
      <c r="Q246" s="117">
        <v>34693000</v>
      </c>
      <c r="R246" s="117">
        <v>0</v>
      </c>
      <c r="S246" s="117">
        <v>0</v>
      </c>
      <c r="T246" s="117">
        <v>0</v>
      </c>
      <c r="U246" s="117">
        <v>0</v>
      </c>
      <c r="V246" s="117">
        <v>0</v>
      </c>
      <c r="W246" s="117">
        <v>0</v>
      </c>
      <c r="X246" s="117">
        <v>0</v>
      </c>
      <c r="Y246" s="117">
        <v>0</v>
      </c>
      <c r="Z246" s="117">
        <v>0</v>
      </c>
      <c r="AA246" s="117">
        <v>0</v>
      </c>
      <c r="AB246" s="117">
        <v>0</v>
      </c>
      <c r="AC246" s="117">
        <v>0</v>
      </c>
      <c r="AD246" s="117">
        <v>0</v>
      </c>
      <c r="AE246" s="117">
        <v>0</v>
      </c>
      <c r="AF246" s="117">
        <v>0</v>
      </c>
      <c r="AG246" s="117">
        <v>0</v>
      </c>
      <c r="AH246" s="117">
        <v>1</v>
      </c>
      <c r="AI246" s="117">
        <v>229900</v>
      </c>
      <c r="AJ246" s="117">
        <v>0</v>
      </c>
      <c r="AK246" s="117">
        <v>0</v>
      </c>
      <c r="AL246" s="117">
        <v>0</v>
      </c>
      <c r="AM246" s="117">
        <v>0</v>
      </c>
      <c r="AN246" s="117">
        <v>4</v>
      </c>
      <c r="AO246" s="117">
        <v>166300</v>
      </c>
      <c r="AP246" s="117">
        <v>0</v>
      </c>
      <c r="AQ246" s="117">
        <v>0</v>
      </c>
      <c r="AR246" s="117">
        <v>6</v>
      </c>
      <c r="AS246" s="117">
        <v>151400</v>
      </c>
      <c r="AT246" s="117">
        <v>229</v>
      </c>
      <c r="AU246" s="117">
        <v>61401300</v>
      </c>
    </row>
    <row r="247" spans="1:47" x14ac:dyDescent="0.25">
      <c r="A247" s="269"/>
      <c r="B247" s="269"/>
      <c r="C247" s="269" t="s">
        <v>83</v>
      </c>
      <c r="D247" s="269"/>
      <c r="E247" s="269"/>
      <c r="F247" s="270">
        <v>74</v>
      </c>
      <c r="G247" s="270">
        <v>2723800</v>
      </c>
      <c r="H247" s="270">
        <v>733</v>
      </c>
      <c r="I247" s="270">
        <v>38557800</v>
      </c>
      <c r="J247" s="270">
        <v>9768</v>
      </c>
      <c r="K247" s="270">
        <v>636994500</v>
      </c>
      <c r="L247" s="270">
        <v>3</v>
      </c>
      <c r="M247" s="270">
        <v>1013800</v>
      </c>
      <c r="N247" s="270">
        <v>20</v>
      </c>
      <c r="O247" s="270">
        <v>2643300</v>
      </c>
      <c r="P247" s="270">
        <v>517</v>
      </c>
      <c r="Q247" s="270">
        <v>97468700</v>
      </c>
      <c r="R247" s="270">
        <v>0</v>
      </c>
      <c r="S247" s="270">
        <v>0</v>
      </c>
      <c r="T247" s="270">
        <v>0</v>
      </c>
      <c r="U247" s="270">
        <v>0</v>
      </c>
      <c r="V247" s="270">
        <v>0</v>
      </c>
      <c r="W247" s="270">
        <v>0</v>
      </c>
      <c r="X247" s="270">
        <v>0</v>
      </c>
      <c r="Y247" s="270">
        <v>0</v>
      </c>
      <c r="Z247" s="270">
        <v>1</v>
      </c>
      <c r="AA247" s="270">
        <v>4700</v>
      </c>
      <c r="AB247" s="270">
        <v>17</v>
      </c>
      <c r="AC247" s="270">
        <v>8334100</v>
      </c>
      <c r="AD247" s="270">
        <v>45</v>
      </c>
      <c r="AE247" s="270">
        <v>3472500</v>
      </c>
      <c r="AF247" s="270">
        <v>367</v>
      </c>
      <c r="AG247" s="270">
        <v>26466700</v>
      </c>
      <c r="AH247" s="270">
        <v>2460</v>
      </c>
      <c r="AI247" s="270">
        <v>191779900</v>
      </c>
      <c r="AJ247" s="270">
        <v>0</v>
      </c>
      <c r="AK247" s="270">
        <v>0</v>
      </c>
      <c r="AL247" s="270">
        <v>6</v>
      </c>
      <c r="AM247" s="270">
        <v>181700</v>
      </c>
      <c r="AN247" s="270">
        <v>35</v>
      </c>
      <c r="AO247" s="270">
        <v>694900</v>
      </c>
      <c r="AP247" s="270">
        <v>3</v>
      </c>
      <c r="AQ247" s="270">
        <v>23700</v>
      </c>
      <c r="AR247" s="270">
        <v>31</v>
      </c>
      <c r="AS247" s="270">
        <v>1523500</v>
      </c>
      <c r="AT247" s="270">
        <v>690</v>
      </c>
      <c r="AU247" s="270">
        <v>115720900</v>
      </c>
    </row>
    <row r="248" spans="1:47" x14ac:dyDescent="0.25">
      <c r="A248" s="117">
        <v>540200</v>
      </c>
      <c r="B248" s="2" t="s">
        <v>84</v>
      </c>
      <c r="C248" s="2" t="s">
        <v>85</v>
      </c>
      <c r="D248" s="2" t="s">
        <v>5</v>
      </c>
      <c r="E248" s="117">
        <v>2</v>
      </c>
      <c r="F248" s="117">
        <v>560</v>
      </c>
      <c r="G248" s="117">
        <v>18859600</v>
      </c>
      <c r="H248" s="117">
        <v>2542</v>
      </c>
      <c r="I248" s="117">
        <v>96796700</v>
      </c>
      <c r="J248" s="117">
        <v>10243</v>
      </c>
      <c r="K248" s="117">
        <v>468241400</v>
      </c>
      <c r="L248" s="117">
        <v>7</v>
      </c>
      <c r="M248" s="117">
        <v>327300</v>
      </c>
      <c r="N248" s="117">
        <v>32</v>
      </c>
      <c r="O248" s="117">
        <v>3535900</v>
      </c>
      <c r="P248" s="117">
        <v>157</v>
      </c>
      <c r="Q248" s="117">
        <v>24997600</v>
      </c>
      <c r="R248" s="117">
        <v>0</v>
      </c>
      <c r="S248" s="117">
        <v>0</v>
      </c>
      <c r="T248" s="117">
        <v>0</v>
      </c>
      <c r="U248" s="117">
        <v>0</v>
      </c>
      <c r="V248" s="117">
        <v>0</v>
      </c>
      <c r="W248" s="117">
        <v>0</v>
      </c>
      <c r="X248" s="117">
        <v>0</v>
      </c>
      <c r="Y248" s="117">
        <v>0</v>
      </c>
      <c r="Z248" s="117">
        <v>2</v>
      </c>
      <c r="AA248" s="117">
        <v>719600</v>
      </c>
      <c r="AB248" s="117">
        <v>8</v>
      </c>
      <c r="AC248" s="117">
        <v>7987800</v>
      </c>
      <c r="AD248" s="117">
        <v>17</v>
      </c>
      <c r="AE248" s="117">
        <v>444400</v>
      </c>
      <c r="AF248" s="117">
        <v>74</v>
      </c>
      <c r="AG248" s="117">
        <v>2174600</v>
      </c>
      <c r="AH248" s="117">
        <v>233</v>
      </c>
      <c r="AI248" s="117">
        <v>6752400</v>
      </c>
      <c r="AJ248" s="117">
        <v>0</v>
      </c>
      <c r="AK248" s="117">
        <v>0</v>
      </c>
      <c r="AL248" s="117">
        <v>3</v>
      </c>
      <c r="AM248" s="117">
        <v>20700</v>
      </c>
      <c r="AN248" s="117">
        <v>20</v>
      </c>
      <c r="AO248" s="117">
        <v>678400</v>
      </c>
      <c r="AP248" s="117">
        <v>17</v>
      </c>
      <c r="AQ248" s="117">
        <v>145700</v>
      </c>
      <c r="AR248" s="117">
        <v>113</v>
      </c>
      <c r="AS248" s="117">
        <v>19301900</v>
      </c>
      <c r="AT248" s="117">
        <v>464</v>
      </c>
      <c r="AU248" s="117">
        <v>29910900</v>
      </c>
    </row>
    <row r="249" spans="1:47" x14ac:dyDescent="0.25">
      <c r="A249" s="117">
        <v>540018</v>
      </c>
      <c r="B249" s="2" t="s">
        <v>127</v>
      </c>
      <c r="C249" s="2" t="s">
        <v>85</v>
      </c>
      <c r="D249" s="2" t="s">
        <v>115</v>
      </c>
      <c r="E249" s="117">
        <v>2</v>
      </c>
      <c r="F249" s="117">
        <v>1</v>
      </c>
      <c r="G249" s="117">
        <v>13900</v>
      </c>
      <c r="H249" s="117">
        <v>2</v>
      </c>
      <c r="I249" s="117">
        <v>12600</v>
      </c>
      <c r="J249" s="117">
        <v>1514</v>
      </c>
      <c r="K249" s="117">
        <v>88037800</v>
      </c>
      <c r="L249" s="117">
        <v>0</v>
      </c>
      <c r="M249" s="117">
        <v>0</v>
      </c>
      <c r="N249" s="117">
        <v>0</v>
      </c>
      <c r="O249" s="117">
        <v>0</v>
      </c>
      <c r="P249" s="117">
        <v>75</v>
      </c>
      <c r="Q249" s="117">
        <v>4423700</v>
      </c>
      <c r="R249" s="117">
        <v>0</v>
      </c>
      <c r="S249" s="117">
        <v>0</v>
      </c>
      <c r="T249" s="117">
        <v>0</v>
      </c>
      <c r="U249" s="117">
        <v>0</v>
      </c>
      <c r="V249" s="117">
        <v>0</v>
      </c>
      <c r="W249" s="117">
        <v>0</v>
      </c>
      <c r="X249" s="117">
        <v>0</v>
      </c>
      <c r="Y249" s="117">
        <v>0</v>
      </c>
      <c r="Z249" s="117">
        <v>0</v>
      </c>
      <c r="AA249" s="117">
        <v>0</v>
      </c>
      <c r="AB249" s="117">
        <v>0</v>
      </c>
      <c r="AC249" s="117">
        <v>0</v>
      </c>
      <c r="AD249" s="117">
        <v>0</v>
      </c>
      <c r="AE249" s="117">
        <v>0</v>
      </c>
      <c r="AF249" s="117">
        <v>0</v>
      </c>
      <c r="AG249" s="117">
        <v>0</v>
      </c>
      <c r="AH249" s="117">
        <v>0</v>
      </c>
      <c r="AI249" s="117">
        <v>0</v>
      </c>
      <c r="AJ249" s="117">
        <v>0</v>
      </c>
      <c r="AK249" s="117">
        <v>0</v>
      </c>
      <c r="AL249" s="117">
        <v>0</v>
      </c>
      <c r="AM249" s="117">
        <v>0</v>
      </c>
      <c r="AN249" s="117">
        <v>1</v>
      </c>
      <c r="AO249" s="117">
        <v>600</v>
      </c>
      <c r="AP249" s="117">
        <v>0</v>
      </c>
      <c r="AQ249" s="117">
        <v>0</v>
      </c>
      <c r="AR249" s="117">
        <v>0</v>
      </c>
      <c r="AS249" s="117">
        <v>0</v>
      </c>
      <c r="AT249" s="117">
        <v>45</v>
      </c>
      <c r="AU249" s="117">
        <v>4344300</v>
      </c>
    </row>
    <row r="250" spans="1:47" x14ac:dyDescent="0.25">
      <c r="A250" s="117">
        <v>540202</v>
      </c>
      <c r="B250" s="2" t="s">
        <v>262</v>
      </c>
      <c r="C250" s="2" t="s">
        <v>85</v>
      </c>
      <c r="D250" s="2" t="s">
        <v>115</v>
      </c>
      <c r="E250" s="117">
        <v>2</v>
      </c>
      <c r="F250" s="117">
        <v>5</v>
      </c>
      <c r="G250" s="117">
        <v>151500</v>
      </c>
      <c r="H250" s="117">
        <v>18</v>
      </c>
      <c r="I250" s="117">
        <v>290300</v>
      </c>
      <c r="J250" s="117">
        <v>215</v>
      </c>
      <c r="K250" s="117">
        <v>5699400</v>
      </c>
      <c r="L250" s="117">
        <v>0</v>
      </c>
      <c r="M250" s="117">
        <v>0</v>
      </c>
      <c r="N250" s="117">
        <v>0</v>
      </c>
      <c r="O250" s="117">
        <v>0</v>
      </c>
      <c r="P250" s="117">
        <v>19</v>
      </c>
      <c r="Q250" s="117">
        <v>1107700</v>
      </c>
      <c r="R250" s="117">
        <v>0</v>
      </c>
      <c r="S250" s="117">
        <v>0</v>
      </c>
      <c r="T250" s="117">
        <v>0</v>
      </c>
      <c r="U250" s="117">
        <v>0</v>
      </c>
      <c r="V250" s="117">
        <v>0</v>
      </c>
      <c r="W250" s="117">
        <v>0</v>
      </c>
      <c r="X250" s="117">
        <v>0</v>
      </c>
      <c r="Y250" s="117">
        <v>0</v>
      </c>
      <c r="Z250" s="117">
        <v>0</v>
      </c>
      <c r="AA250" s="117">
        <v>0</v>
      </c>
      <c r="AB250" s="117">
        <v>0</v>
      </c>
      <c r="AC250" s="117">
        <v>0</v>
      </c>
      <c r="AD250" s="117">
        <v>0</v>
      </c>
      <c r="AE250" s="117">
        <v>0</v>
      </c>
      <c r="AF250" s="117">
        <v>1</v>
      </c>
      <c r="AG250" s="117">
        <v>39100</v>
      </c>
      <c r="AH250" s="117">
        <v>0</v>
      </c>
      <c r="AI250" s="117">
        <v>0</v>
      </c>
      <c r="AJ250" s="117">
        <v>0</v>
      </c>
      <c r="AK250" s="117">
        <v>0</v>
      </c>
      <c r="AL250" s="117">
        <v>1</v>
      </c>
      <c r="AM250" s="117">
        <v>15400</v>
      </c>
      <c r="AN250" s="117">
        <v>0</v>
      </c>
      <c r="AO250" s="117">
        <v>0</v>
      </c>
      <c r="AP250" s="117">
        <v>0</v>
      </c>
      <c r="AQ250" s="117">
        <v>0</v>
      </c>
      <c r="AR250" s="117">
        <v>1</v>
      </c>
      <c r="AS250" s="117">
        <v>1300</v>
      </c>
      <c r="AT250" s="117">
        <v>29</v>
      </c>
      <c r="AU250" s="117">
        <v>3472200</v>
      </c>
    </row>
    <row r="251" spans="1:47" x14ac:dyDescent="0.25">
      <c r="A251" s="117">
        <v>540221</v>
      </c>
      <c r="B251" s="2" t="s">
        <v>275</v>
      </c>
      <c r="C251" s="2" t="s">
        <v>85</v>
      </c>
      <c r="D251" s="2" t="s">
        <v>115</v>
      </c>
      <c r="E251" s="117">
        <v>2</v>
      </c>
      <c r="F251" s="117">
        <v>0</v>
      </c>
      <c r="G251" s="117">
        <v>0</v>
      </c>
      <c r="H251" s="117">
        <v>1</v>
      </c>
      <c r="I251" s="117">
        <v>41800</v>
      </c>
      <c r="J251" s="117">
        <v>1363</v>
      </c>
      <c r="K251" s="117">
        <v>64067800</v>
      </c>
      <c r="L251" s="117">
        <v>0</v>
      </c>
      <c r="M251" s="117">
        <v>0</v>
      </c>
      <c r="N251" s="117">
        <v>1</v>
      </c>
      <c r="O251" s="117">
        <v>24100</v>
      </c>
      <c r="P251" s="117">
        <v>264</v>
      </c>
      <c r="Q251" s="117">
        <v>23400000</v>
      </c>
      <c r="R251" s="117">
        <v>0</v>
      </c>
      <c r="S251" s="117">
        <v>0</v>
      </c>
      <c r="T251" s="117">
        <v>0</v>
      </c>
      <c r="U251" s="117">
        <v>0</v>
      </c>
      <c r="V251" s="117">
        <v>0</v>
      </c>
      <c r="W251" s="117">
        <v>0</v>
      </c>
      <c r="X251" s="117">
        <v>0</v>
      </c>
      <c r="Y251" s="117">
        <v>0</v>
      </c>
      <c r="Z251" s="117">
        <v>0</v>
      </c>
      <c r="AA251" s="117">
        <v>0</v>
      </c>
      <c r="AB251" s="117">
        <v>0</v>
      </c>
      <c r="AC251" s="117">
        <v>0</v>
      </c>
      <c r="AD251" s="117">
        <v>0</v>
      </c>
      <c r="AE251" s="117">
        <v>0</v>
      </c>
      <c r="AF251" s="117">
        <v>0</v>
      </c>
      <c r="AG251" s="117">
        <v>0</v>
      </c>
      <c r="AH251" s="117">
        <v>0</v>
      </c>
      <c r="AI251" s="117">
        <v>0</v>
      </c>
      <c r="AJ251" s="117">
        <v>0</v>
      </c>
      <c r="AK251" s="117">
        <v>0</v>
      </c>
      <c r="AL251" s="117">
        <v>0</v>
      </c>
      <c r="AM251" s="117">
        <v>0</v>
      </c>
      <c r="AN251" s="117">
        <v>24</v>
      </c>
      <c r="AO251" s="117">
        <v>1843300</v>
      </c>
      <c r="AP251" s="117">
        <v>0</v>
      </c>
      <c r="AQ251" s="117">
        <v>0</v>
      </c>
      <c r="AR251" s="117">
        <v>0</v>
      </c>
      <c r="AS251" s="117">
        <v>0</v>
      </c>
      <c r="AT251" s="117">
        <v>149</v>
      </c>
      <c r="AU251" s="117">
        <v>24672800</v>
      </c>
    </row>
    <row r="252" spans="1:47" x14ac:dyDescent="0.25">
      <c r="A252" s="117">
        <v>540231</v>
      </c>
      <c r="B252" s="2" t="s">
        <v>281</v>
      </c>
      <c r="C252" s="2" t="s">
        <v>85</v>
      </c>
      <c r="D252" s="2" t="s">
        <v>115</v>
      </c>
      <c r="E252" s="117">
        <v>2</v>
      </c>
      <c r="F252" s="117">
        <v>2</v>
      </c>
      <c r="G252" s="117">
        <v>158000</v>
      </c>
      <c r="H252" s="117">
        <v>86</v>
      </c>
      <c r="I252" s="117">
        <v>2211900</v>
      </c>
      <c r="J252" s="117">
        <v>397</v>
      </c>
      <c r="K252" s="117">
        <v>14719600</v>
      </c>
      <c r="L252" s="117">
        <v>0</v>
      </c>
      <c r="M252" s="117">
        <v>0</v>
      </c>
      <c r="N252" s="117">
        <v>1</v>
      </c>
      <c r="O252" s="117">
        <v>75600</v>
      </c>
      <c r="P252" s="117">
        <v>71</v>
      </c>
      <c r="Q252" s="117">
        <v>6211400</v>
      </c>
      <c r="R252" s="117">
        <v>0</v>
      </c>
      <c r="S252" s="117">
        <v>0</v>
      </c>
      <c r="T252" s="117">
        <v>0</v>
      </c>
      <c r="U252" s="117">
        <v>0</v>
      </c>
      <c r="V252" s="117">
        <v>0</v>
      </c>
      <c r="W252" s="117">
        <v>0</v>
      </c>
      <c r="X252" s="117">
        <v>0</v>
      </c>
      <c r="Y252" s="117">
        <v>0</v>
      </c>
      <c r="Z252" s="117">
        <v>0</v>
      </c>
      <c r="AA252" s="117">
        <v>0</v>
      </c>
      <c r="AB252" s="117">
        <v>0</v>
      </c>
      <c r="AC252" s="117">
        <v>0</v>
      </c>
      <c r="AD252" s="117">
        <v>0</v>
      </c>
      <c r="AE252" s="117">
        <v>0</v>
      </c>
      <c r="AF252" s="117">
        <v>0</v>
      </c>
      <c r="AG252" s="117">
        <v>0</v>
      </c>
      <c r="AH252" s="117">
        <v>0</v>
      </c>
      <c r="AI252" s="117">
        <v>0</v>
      </c>
      <c r="AJ252" s="117">
        <v>0</v>
      </c>
      <c r="AK252" s="117">
        <v>0</v>
      </c>
      <c r="AL252" s="117">
        <v>0</v>
      </c>
      <c r="AM252" s="117">
        <v>0</v>
      </c>
      <c r="AN252" s="117">
        <v>2</v>
      </c>
      <c r="AO252" s="117">
        <v>20300</v>
      </c>
      <c r="AP252" s="117">
        <v>0</v>
      </c>
      <c r="AQ252" s="117">
        <v>0</v>
      </c>
      <c r="AR252" s="117">
        <v>3</v>
      </c>
      <c r="AS252" s="117">
        <v>101800</v>
      </c>
      <c r="AT252" s="117">
        <v>64</v>
      </c>
      <c r="AU252" s="117">
        <v>13182500</v>
      </c>
    </row>
    <row r="253" spans="1:47" x14ac:dyDescent="0.25">
      <c r="A253" s="117">
        <v>540232</v>
      </c>
      <c r="B253" s="2" t="s">
        <v>282</v>
      </c>
      <c r="C253" s="2" t="s">
        <v>85</v>
      </c>
      <c r="D253" s="2" t="s">
        <v>115</v>
      </c>
      <c r="E253" s="117">
        <v>2</v>
      </c>
      <c r="F253" s="117">
        <v>5</v>
      </c>
      <c r="G253" s="117">
        <v>102800</v>
      </c>
      <c r="H253" s="117">
        <v>49</v>
      </c>
      <c r="I253" s="117">
        <v>1436400</v>
      </c>
      <c r="J253" s="117">
        <v>484</v>
      </c>
      <c r="K253" s="117">
        <v>27814700</v>
      </c>
      <c r="L253" s="117">
        <v>1</v>
      </c>
      <c r="M253" s="117">
        <v>325700</v>
      </c>
      <c r="N253" s="117">
        <v>1</v>
      </c>
      <c r="O253" s="117">
        <v>77200</v>
      </c>
      <c r="P253" s="117">
        <v>70</v>
      </c>
      <c r="Q253" s="117">
        <v>12050600</v>
      </c>
      <c r="R253" s="117">
        <v>0</v>
      </c>
      <c r="S253" s="117">
        <v>0</v>
      </c>
      <c r="T253" s="117">
        <v>0</v>
      </c>
      <c r="U253" s="117">
        <v>0</v>
      </c>
      <c r="V253" s="117">
        <v>0</v>
      </c>
      <c r="W253" s="117">
        <v>0</v>
      </c>
      <c r="X253" s="117">
        <v>0</v>
      </c>
      <c r="Y253" s="117">
        <v>0</v>
      </c>
      <c r="Z253" s="117">
        <v>0</v>
      </c>
      <c r="AA253" s="117">
        <v>0</v>
      </c>
      <c r="AB253" s="117">
        <v>12</v>
      </c>
      <c r="AC253" s="117">
        <v>1607500</v>
      </c>
      <c r="AD253" s="117">
        <v>0</v>
      </c>
      <c r="AE253" s="117">
        <v>0</v>
      </c>
      <c r="AF253" s="117">
        <v>0</v>
      </c>
      <c r="AG253" s="117">
        <v>0</v>
      </c>
      <c r="AH253" s="117">
        <v>0</v>
      </c>
      <c r="AI253" s="117">
        <v>0</v>
      </c>
      <c r="AJ253" s="117">
        <v>0</v>
      </c>
      <c r="AK253" s="117">
        <v>0</v>
      </c>
      <c r="AL253" s="117">
        <v>0</v>
      </c>
      <c r="AM253" s="117">
        <v>0</v>
      </c>
      <c r="AN253" s="117">
        <v>3</v>
      </c>
      <c r="AO253" s="117">
        <v>36100</v>
      </c>
      <c r="AP253" s="117">
        <v>1</v>
      </c>
      <c r="AQ253" s="117">
        <v>11400</v>
      </c>
      <c r="AR253" s="117">
        <v>5</v>
      </c>
      <c r="AS253" s="117">
        <v>19000</v>
      </c>
      <c r="AT253" s="117">
        <v>68</v>
      </c>
      <c r="AU253" s="117">
        <v>6950000</v>
      </c>
    </row>
    <row r="254" spans="1:47" x14ac:dyDescent="0.25">
      <c r="A254" s="269"/>
      <c r="B254" s="269"/>
      <c r="C254" s="269" t="s">
        <v>85</v>
      </c>
      <c r="D254" s="269"/>
      <c r="E254" s="269"/>
      <c r="F254" s="270">
        <v>573</v>
      </c>
      <c r="G254" s="270">
        <v>19285800</v>
      </c>
      <c r="H254" s="270">
        <v>2698</v>
      </c>
      <c r="I254" s="270">
        <v>100789700</v>
      </c>
      <c r="J254" s="270">
        <v>14216</v>
      </c>
      <c r="K254" s="270">
        <v>668580700</v>
      </c>
      <c r="L254" s="270">
        <v>8</v>
      </c>
      <c r="M254" s="270">
        <v>653000</v>
      </c>
      <c r="N254" s="270">
        <v>35</v>
      </c>
      <c r="O254" s="270">
        <v>3712800</v>
      </c>
      <c r="P254" s="270">
        <v>656</v>
      </c>
      <c r="Q254" s="270">
        <v>72191000</v>
      </c>
      <c r="R254" s="270">
        <v>0</v>
      </c>
      <c r="S254" s="270">
        <v>0</v>
      </c>
      <c r="T254" s="270">
        <v>0</v>
      </c>
      <c r="U254" s="270">
        <v>0</v>
      </c>
      <c r="V254" s="270">
        <v>0</v>
      </c>
      <c r="W254" s="270">
        <v>0</v>
      </c>
      <c r="X254" s="270">
        <v>0</v>
      </c>
      <c r="Y254" s="270">
        <v>0</v>
      </c>
      <c r="Z254" s="270">
        <v>2</v>
      </c>
      <c r="AA254" s="270">
        <v>719600</v>
      </c>
      <c r="AB254" s="270">
        <v>20</v>
      </c>
      <c r="AC254" s="270">
        <v>9595300</v>
      </c>
      <c r="AD254" s="270">
        <v>17</v>
      </c>
      <c r="AE254" s="270">
        <v>444400</v>
      </c>
      <c r="AF254" s="270">
        <v>75</v>
      </c>
      <c r="AG254" s="270">
        <v>2213700</v>
      </c>
      <c r="AH254" s="270">
        <v>233</v>
      </c>
      <c r="AI254" s="270">
        <v>6752400</v>
      </c>
      <c r="AJ254" s="270">
        <v>0</v>
      </c>
      <c r="AK254" s="270">
        <v>0</v>
      </c>
      <c r="AL254" s="270">
        <v>4</v>
      </c>
      <c r="AM254" s="270">
        <v>36100</v>
      </c>
      <c r="AN254" s="270">
        <v>50</v>
      </c>
      <c r="AO254" s="270">
        <v>2578700</v>
      </c>
      <c r="AP254" s="270">
        <v>18</v>
      </c>
      <c r="AQ254" s="270">
        <v>157100</v>
      </c>
      <c r="AR254" s="270">
        <v>122</v>
      </c>
      <c r="AS254" s="270">
        <v>19424000</v>
      </c>
      <c r="AT254" s="270">
        <v>819</v>
      </c>
      <c r="AU254" s="270">
        <v>82532700</v>
      </c>
    </row>
    <row r="255" spans="1:47" x14ac:dyDescent="0.25">
      <c r="A255" s="117">
        <v>540203</v>
      </c>
      <c r="B255" s="2" t="s">
        <v>86</v>
      </c>
      <c r="C255" s="2" t="s">
        <v>87</v>
      </c>
      <c r="D255" s="2" t="s">
        <v>5</v>
      </c>
      <c r="E255" s="117">
        <v>4</v>
      </c>
      <c r="F255" s="117">
        <v>205</v>
      </c>
      <c r="G255" s="117">
        <v>3823400</v>
      </c>
      <c r="H255" s="117">
        <v>845</v>
      </c>
      <c r="I255" s="117">
        <v>15570500</v>
      </c>
      <c r="J255" s="117">
        <v>4988</v>
      </c>
      <c r="K255" s="117">
        <v>118835500</v>
      </c>
      <c r="L255" s="117">
        <v>2</v>
      </c>
      <c r="M255" s="117">
        <v>165900</v>
      </c>
      <c r="N255" s="117">
        <v>10</v>
      </c>
      <c r="O255" s="117">
        <v>166900</v>
      </c>
      <c r="P255" s="117">
        <v>113</v>
      </c>
      <c r="Q255" s="117">
        <v>11477700</v>
      </c>
      <c r="R255" s="117">
        <v>0</v>
      </c>
      <c r="S255" s="117">
        <v>0</v>
      </c>
      <c r="T255" s="117">
        <v>0</v>
      </c>
      <c r="U255" s="117">
        <v>0</v>
      </c>
      <c r="V255" s="117">
        <v>2</v>
      </c>
      <c r="W255" s="117">
        <v>1397400</v>
      </c>
      <c r="X255" s="117">
        <v>0</v>
      </c>
      <c r="Y255" s="117">
        <v>0</v>
      </c>
      <c r="Z255" s="117">
        <v>1</v>
      </c>
      <c r="AA255" s="117">
        <v>510500</v>
      </c>
      <c r="AB255" s="117">
        <v>2</v>
      </c>
      <c r="AC255" s="117">
        <v>59200</v>
      </c>
      <c r="AD255" s="117">
        <v>12</v>
      </c>
      <c r="AE255" s="117">
        <v>359100</v>
      </c>
      <c r="AF255" s="117">
        <v>87</v>
      </c>
      <c r="AG255" s="117">
        <v>2832200</v>
      </c>
      <c r="AH255" s="117">
        <v>393</v>
      </c>
      <c r="AI255" s="117">
        <v>15872600</v>
      </c>
      <c r="AJ255" s="117">
        <v>0</v>
      </c>
      <c r="AK255" s="117">
        <v>0</v>
      </c>
      <c r="AL255" s="117">
        <v>0</v>
      </c>
      <c r="AM255" s="117">
        <v>0</v>
      </c>
      <c r="AN255" s="117">
        <v>2</v>
      </c>
      <c r="AO255" s="117">
        <v>85500</v>
      </c>
      <c r="AP255" s="117">
        <v>0</v>
      </c>
      <c r="AQ255" s="117">
        <v>0</v>
      </c>
      <c r="AR255" s="117">
        <v>14</v>
      </c>
      <c r="AS255" s="117">
        <v>159400</v>
      </c>
      <c r="AT255" s="117">
        <v>176</v>
      </c>
      <c r="AU255" s="117">
        <v>13163600</v>
      </c>
    </row>
    <row r="256" spans="1:47" x14ac:dyDescent="0.25">
      <c r="A256" s="117">
        <v>540204</v>
      </c>
      <c r="B256" s="2" t="s">
        <v>263</v>
      </c>
      <c r="C256" s="2" t="s">
        <v>87</v>
      </c>
      <c r="D256" s="2" t="s">
        <v>115</v>
      </c>
      <c r="E256" s="117">
        <v>4</v>
      </c>
      <c r="F256" s="117">
        <v>1</v>
      </c>
      <c r="G256" s="117">
        <v>900</v>
      </c>
      <c r="H256" s="117">
        <v>38</v>
      </c>
      <c r="I256" s="117">
        <v>364600</v>
      </c>
      <c r="J256" s="117">
        <v>419</v>
      </c>
      <c r="K256" s="117">
        <v>12382100</v>
      </c>
      <c r="L256" s="117">
        <v>0</v>
      </c>
      <c r="M256" s="117">
        <v>0</v>
      </c>
      <c r="N256" s="117">
        <v>2</v>
      </c>
      <c r="O256" s="117">
        <v>82400</v>
      </c>
      <c r="P256" s="117">
        <v>51</v>
      </c>
      <c r="Q256" s="117">
        <v>5609800</v>
      </c>
      <c r="R256" s="117">
        <v>0</v>
      </c>
      <c r="S256" s="117">
        <v>0</v>
      </c>
      <c r="T256" s="117">
        <v>0</v>
      </c>
      <c r="U256" s="117">
        <v>0</v>
      </c>
      <c r="V256" s="117">
        <v>4</v>
      </c>
      <c r="W256" s="117">
        <v>688200</v>
      </c>
      <c r="X256" s="117">
        <v>0</v>
      </c>
      <c r="Y256" s="117">
        <v>0</v>
      </c>
      <c r="Z256" s="117">
        <v>0</v>
      </c>
      <c r="AA256" s="117">
        <v>0</v>
      </c>
      <c r="AB256" s="117">
        <v>0</v>
      </c>
      <c r="AC256" s="117">
        <v>0</v>
      </c>
      <c r="AD256" s="117">
        <v>0</v>
      </c>
      <c r="AE256" s="117">
        <v>0</v>
      </c>
      <c r="AF256" s="117">
        <v>0</v>
      </c>
      <c r="AG256" s="117">
        <v>0</v>
      </c>
      <c r="AH256" s="117">
        <v>1</v>
      </c>
      <c r="AI256" s="117">
        <v>1500</v>
      </c>
      <c r="AJ256" s="117">
        <v>0</v>
      </c>
      <c r="AK256" s="117">
        <v>0</v>
      </c>
      <c r="AL256" s="117">
        <v>0</v>
      </c>
      <c r="AM256" s="117">
        <v>0</v>
      </c>
      <c r="AN256" s="117">
        <v>1</v>
      </c>
      <c r="AO256" s="117">
        <v>500</v>
      </c>
      <c r="AP256" s="117">
        <v>0</v>
      </c>
      <c r="AQ256" s="117">
        <v>0</v>
      </c>
      <c r="AR256" s="117">
        <v>2</v>
      </c>
      <c r="AS256" s="117">
        <v>5500</v>
      </c>
      <c r="AT256" s="117">
        <v>30</v>
      </c>
      <c r="AU256" s="117">
        <v>5643300</v>
      </c>
    </row>
    <row r="257" spans="1:47" x14ac:dyDescent="0.25">
      <c r="A257" s="117">
        <v>540205</v>
      </c>
      <c r="B257" s="2" t="s">
        <v>264</v>
      </c>
      <c r="C257" s="2" t="s">
        <v>87</v>
      </c>
      <c r="D257" s="2" t="s">
        <v>115</v>
      </c>
      <c r="E257" s="117">
        <v>4</v>
      </c>
      <c r="F257" s="117">
        <v>0</v>
      </c>
      <c r="G257" s="117">
        <v>0</v>
      </c>
      <c r="H257" s="117">
        <v>12</v>
      </c>
      <c r="I257" s="117">
        <v>54800</v>
      </c>
      <c r="J257" s="117">
        <v>139</v>
      </c>
      <c r="K257" s="117">
        <v>1968300</v>
      </c>
      <c r="L257" s="117">
        <v>0</v>
      </c>
      <c r="M257" s="117">
        <v>0</v>
      </c>
      <c r="N257" s="117">
        <v>0</v>
      </c>
      <c r="O257" s="117">
        <v>0</v>
      </c>
      <c r="P257" s="117">
        <v>6</v>
      </c>
      <c r="Q257" s="117">
        <v>199800</v>
      </c>
      <c r="R257" s="117">
        <v>0</v>
      </c>
      <c r="S257" s="117">
        <v>0</v>
      </c>
      <c r="T257" s="117">
        <v>0</v>
      </c>
      <c r="U257" s="117">
        <v>0</v>
      </c>
      <c r="V257" s="117">
        <v>0</v>
      </c>
      <c r="W257" s="117">
        <v>0</v>
      </c>
      <c r="X257" s="117">
        <v>0</v>
      </c>
      <c r="Y257" s="117">
        <v>0</v>
      </c>
      <c r="Z257" s="117">
        <v>0</v>
      </c>
      <c r="AA257" s="117">
        <v>0</v>
      </c>
      <c r="AB257" s="117">
        <v>0</v>
      </c>
      <c r="AC257" s="117">
        <v>0</v>
      </c>
      <c r="AD257" s="117">
        <v>0</v>
      </c>
      <c r="AE257" s="117">
        <v>0</v>
      </c>
      <c r="AF257" s="117">
        <v>0</v>
      </c>
      <c r="AG257" s="117">
        <v>0</v>
      </c>
      <c r="AH257" s="117">
        <v>2</v>
      </c>
      <c r="AI257" s="117">
        <v>129700</v>
      </c>
      <c r="AJ257" s="117">
        <v>0</v>
      </c>
      <c r="AK257" s="117">
        <v>0</v>
      </c>
      <c r="AL257" s="117">
        <v>0</v>
      </c>
      <c r="AM257" s="117">
        <v>0</v>
      </c>
      <c r="AN257" s="117">
        <v>0</v>
      </c>
      <c r="AO257" s="117">
        <v>0</v>
      </c>
      <c r="AP257" s="117">
        <v>0</v>
      </c>
      <c r="AQ257" s="117">
        <v>0</v>
      </c>
      <c r="AR257" s="117">
        <v>0</v>
      </c>
      <c r="AS257" s="117">
        <v>0</v>
      </c>
      <c r="AT257" s="117">
        <v>0</v>
      </c>
      <c r="AU257" s="117">
        <v>0</v>
      </c>
    </row>
    <row r="258" spans="1:47" x14ac:dyDescent="0.25">
      <c r="A258" s="117">
        <v>540206</v>
      </c>
      <c r="B258" s="2" t="s">
        <v>265</v>
      </c>
      <c r="C258" s="2" t="s">
        <v>87</v>
      </c>
      <c r="D258" s="2" t="s">
        <v>115</v>
      </c>
      <c r="E258" s="117">
        <v>4</v>
      </c>
      <c r="F258" s="117">
        <v>0</v>
      </c>
      <c r="G258" s="117">
        <v>0</v>
      </c>
      <c r="H258" s="117">
        <v>3</v>
      </c>
      <c r="I258" s="117">
        <v>51700</v>
      </c>
      <c r="J258" s="117">
        <v>408</v>
      </c>
      <c r="K258" s="117">
        <v>7546200</v>
      </c>
      <c r="L258" s="117">
        <v>0</v>
      </c>
      <c r="M258" s="117">
        <v>0</v>
      </c>
      <c r="N258" s="117">
        <v>4</v>
      </c>
      <c r="O258" s="117">
        <v>135200</v>
      </c>
      <c r="P258" s="117">
        <v>43</v>
      </c>
      <c r="Q258" s="117">
        <v>2561800</v>
      </c>
      <c r="R258" s="117">
        <v>0</v>
      </c>
      <c r="S258" s="117">
        <v>0</v>
      </c>
      <c r="T258" s="117">
        <v>0</v>
      </c>
      <c r="U258" s="117">
        <v>0</v>
      </c>
      <c r="V258" s="117">
        <v>1</v>
      </c>
      <c r="W258" s="117">
        <v>187600</v>
      </c>
      <c r="X258" s="117">
        <v>0</v>
      </c>
      <c r="Y258" s="117">
        <v>0</v>
      </c>
      <c r="Z258" s="117">
        <v>0</v>
      </c>
      <c r="AA258" s="117">
        <v>0</v>
      </c>
      <c r="AB258" s="117">
        <v>0</v>
      </c>
      <c r="AC258" s="117">
        <v>0</v>
      </c>
      <c r="AD258" s="117">
        <v>0</v>
      </c>
      <c r="AE258" s="117">
        <v>0</v>
      </c>
      <c r="AF258" s="117">
        <v>0</v>
      </c>
      <c r="AG258" s="117">
        <v>0</v>
      </c>
      <c r="AH258" s="117">
        <v>2</v>
      </c>
      <c r="AI258" s="117">
        <v>116900</v>
      </c>
      <c r="AJ258" s="117">
        <v>0</v>
      </c>
      <c r="AK258" s="117">
        <v>0</v>
      </c>
      <c r="AL258" s="117">
        <v>0</v>
      </c>
      <c r="AM258" s="117">
        <v>0</v>
      </c>
      <c r="AN258" s="117">
        <v>1</v>
      </c>
      <c r="AO258" s="117">
        <v>1100</v>
      </c>
      <c r="AP258" s="117">
        <v>0</v>
      </c>
      <c r="AQ258" s="117">
        <v>0</v>
      </c>
      <c r="AR258" s="117">
        <v>0</v>
      </c>
      <c r="AS258" s="117">
        <v>0</v>
      </c>
      <c r="AT258" s="117">
        <v>24</v>
      </c>
      <c r="AU258" s="117">
        <v>3672700</v>
      </c>
    </row>
    <row r="259" spans="1:47" x14ac:dyDescent="0.25">
      <c r="A259" s="269"/>
      <c r="B259" s="269"/>
      <c r="C259" s="269" t="s">
        <v>87</v>
      </c>
      <c r="D259" s="269"/>
      <c r="E259" s="269"/>
      <c r="F259" s="270">
        <v>206</v>
      </c>
      <c r="G259" s="270">
        <v>3824300</v>
      </c>
      <c r="H259" s="270">
        <v>898</v>
      </c>
      <c r="I259" s="270">
        <v>16041600</v>
      </c>
      <c r="J259" s="270">
        <v>5954</v>
      </c>
      <c r="K259" s="270">
        <v>140732100</v>
      </c>
      <c r="L259" s="270">
        <v>2</v>
      </c>
      <c r="M259" s="270">
        <v>165900</v>
      </c>
      <c r="N259" s="270">
        <v>16</v>
      </c>
      <c r="O259" s="270">
        <v>384500</v>
      </c>
      <c r="P259" s="270">
        <v>213</v>
      </c>
      <c r="Q259" s="270">
        <v>19849100</v>
      </c>
      <c r="R259" s="270">
        <v>0</v>
      </c>
      <c r="S259" s="270">
        <v>0</v>
      </c>
      <c r="T259" s="270">
        <v>0</v>
      </c>
      <c r="U259" s="270">
        <v>0</v>
      </c>
      <c r="V259" s="270">
        <v>7</v>
      </c>
      <c r="W259" s="270">
        <v>2273200</v>
      </c>
      <c r="X259" s="270">
        <v>0</v>
      </c>
      <c r="Y259" s="270">
        <v>0</v>
      </c>
      <c r="Z259" s="270">
        <v>1</v>
      </c>
      <c r="AA259" s="270">
        <v>510500</v>
      </c>
      <c r="AB259" s="270">
        <v>2</v>
      </c>
      <c r="AC259" s="270">
        <v>59200</v>
      </c>
      <c r="AD259" s="270">
        <v>12</v>
      </c>
      <c r="AE259" s="270">
        <v>359100</v>
      </c>
      <c r="AF259" s="270">
        <v>87</v>
      </c>
      <c r="AG259" s="270">
        <v>2832200</v>
      </c>
      <c r="AH259" s="270">
        <v>398</v>
      </c>
      <c r="AI259" s="270">
        <v>16120700</v>
      </c>
      <c r="AJ259" s="270">
        <v>0</v>
      </c>
      <c r="AK259" s="270">
        <v>0</v>
      </c>
      <c r="AL259" s="270">
        <v>0</v>
      </c>
      <c r="AM259" s="270">
        <v>0</v>
      </c>
      <c r="AN259" s="270">
        <v>4</v>
      </c>
      <c r="AO259" s="270">
        <v>87100</v>
      </c>
      <c r="AP259" s="270">
        <v>0</v>
      </c>
      <c r="AQ259" s="270">
        <v>0</v>
      </c>
      <c r="AR259" s="270">
        <v>16</v>
      </c>
      <c r="AS259" s="270">
        <v>164900</v>
      </c>
      <c r="AT259" s="270">
        <v>230</v>
      </c>
      <c r="AU259" s="270">
        <v>22479600</v>
      </c>
    </row>
    <row r="260" spans="1:47" x14ac:dyDescent="0.25">
      <c r="A260" s="117">
        <v>540207</v>
      </c>
      <c r="B260" s="2" t="s">
        <v>88</v>
      </c>
      <c r="C260" s="2" t="s">
        <v>89</v>
      </c>
      <c r="D260" s="2" t="s">
        <v>5</v>
      </c>
      <c r="E260" s="117">
        <v>10</v>
      </c>
      <c r="F260" s="117">
        <v>18</v>
      </c>
      <c r="G260" s="117">
        <v>416000</v>
      </c>
      <c r="H260" s="117">
        <v>678</v>
      </c>
      <c r="I260" s="117">
        <v>17249600</v>
      </c>
      <c r="J260" s="117">
        <v>3275</v>
      </c>
      <c r="K260" s="117">
        <v>120733900</v>
      </c>
      <c r="L260" s="117">
        <v>1</v>
      </c>
      <c r="M260" s="117">
        <v>36000</v>
      </c>
      <c r="N260" s="117">
        <v>38</v>
      </c>
      <c r="O260" s="117">
        <v>4011700</v>
      </c>
      <c r="P260" s="117">
        <v>134</v>
      </c>
      <c r="Q260" s="117">
        <v>20692300</v>
      </c>
      <c r="R260" s="117">
        <v>0</v>
      </c>
      <c r="S260" s="117">
        <v>0</v>
      </c>
      <c r="T260" s="117">
        <v>0</v>
      </c>
      <c r="U260" s="117">
        <v>0</v>
      </c>
      <c r="V260" s="117">
        <v>0</v>
      </c>
      <c r="W260" s="117">
        <v>0</v>
      </c>
      <c r="X260" s="117">
        <v>0</v>
      </c>
      <c r="Y260" s="117">
        <v>0</v>
      </c>
      <c r="Z260" s="117">
        <v>0</v>
      </c>
      <c r="AA260" s="117">
        <v>0</v>
      </c>
      <c r="AB260" s="117">
        <v>2</v>
      </c>
      <c r="AC260" s="117">
        <v>89400</v>
      </c>
      <c r="AD260" s="117">
        <v>33</v>
      </c>
      <c r="AE260" s="117">
        <v>1530800</v>
      </c>
      <c r="AF260" s="117">
        <v>673</v>
      </c>
      <c r="AG260" s="117">
        <v>26726100</v>
      </c>
      <c r="AH260" s="117">
        <v>2127</v>
      </c>
      <c r="AI260" s="117">
        <v>83663100</v>
      </c>
      <c r="AJ260" s="117">
        <v>0</v>
      </c>
      <c r="AK260" s="117">
        <v>0</v>
      </c>
      <c r="AL260" s="117">
        <v>6</v>
      </c>
      <c r="AM260" s="117">
        <v>45700</v>
      </c>
      <c r="AN260" s="117">
        <v>19</v>
      </c>
      <c r="AO260" s="117">
        <v>872200</v>
      </c>
      <c r="AP260" s="117">
        <v>1</v>
      </c>
      <c r="AQ260" s="117">
        <v>16200</v>
      </c>
      <c r="AR260" s="117">
        <v>58</v>
      </c>
      <c r="AS260" s="117">
        <v>3526500</v>
      </c>
      <c r="AT260" s="117">
        <v>247</v>
      </c>
      <c r="AU260" s="117">
        <v>24542500</v>
      </c>
    </row>
    <row r="261" spans="1:47" x14ac:dyDescent="0.25">
      <c r="A261" s="117">
        <v>540196</v>
      </c>
      <c r="B261" s="2" t="s">
        <v>259</v>
      </c>
      <c r="C261" s="2" t="s">
        <v>89</v>
      </c>
      <c r="D261" s="2" t="s">
        <v>115</v>
      </c>
      <c r="E261" s="117">
        <v>5</v>
      </c>
      <c r="F261" s="117">
        <v>0</v>
      </c>
      <c r="G261" s="117">
        <v>0</v>
      </c>
      <c r="H261" s="117">
        <v>25</v>
      </c>
      <c r="I261" s="117">
        <v>854800</v>
      </c>
      <c r="J261" s="117">
        <v>1114</v>
      </c>
      <c r="K261" s="117">
        <v>52893900</v>
      </c>
      <c r="L261" s="117">
        <v>0</v>
      </c>
      <c r="M261" s="117">
        <v>0</v>
      </c>
      <c r="N261" s="117">
        <v>0</v>
      </c>
      <c r="O261" s="117">
        <v>0</v>
      </c>
      <c r="P261" s="117">
        <v>66</v>
      </c>
      <c r="Q261" s="117">
        <v>4477800</v>
      </c>
      <c r="R261" s="117">
        <v>0</v>
      </c>
      <c r="S261" s="117">
        <v>0</v>
      </c>
      <c r="T261" s="117">
        <v>0</v>
      </c>
      <c r="U261" s="117">
        <v>0</v>
      </c>
      <c r="V261" s="117">
        <v>0</v>
      </c>
      <c r="W261" s="117">
        <v>0</v>
      </c>
      <c r="X261" s="117">
        <v>0</v>
      </c>
      <c r="Y261" s="117">
        <v>0</v>
      </c>
      <c r="Z261" s="117">
        <v>0</v>
      </c>
      <c r="AA261" s="117">
        <v>0</v>
      </c>
      <c r="AB261" s="117">
        <v>2</v>
      </c>
      <c r="AC261" s="117">
        <v>6700</v>
      </c>
      <c r="AD261" s="117">
        <v>0</v>
      </c>
      <c r="AE261" s="117">
        <v>0</v>
      </c>
      <c r="AF261" s="117">
        <v>0</v>
      </c>
      <c r="AG261" s="117">
        <v>0</v>
      </c>
      <c r="AH261" s="117">
        <v>0</v>
      </c>
      <c r="AI261" s="117">
        <v>0</v>
      </c>
      <c r="AJ261" s="117">
        <v>0</v>
      </c>
      <c r="AK261" s="117">
        <v>0</v>
      </c>
      <c r="AL261" s="117">
        <v>0</v>
      </c>
      <c r="AM261" s="117">
        <v>0</v>
      </c>
      <c r="AN261" s="117">
        <v>3</v>
      </c>
      <c r="AO261" s="117">
        <v>90700</v>
      </c>
      <c r="AP261" s="117">
        <v>0</v>
      </c>
      <c r="AQ261" s="117">
        <v>0</v>
      </c>
      <c r="AR261" s="117">
        <v>0</v>
      </c>
      <c r="AS261" s="117">
        <v>0</v>
      </c>
      <c r="AT261" s="117">
        <v>57</v>
      </c>
      <c r="AU261" s="117">
        <v>8877100</v>
      </c>
    </row>
    <row r="262" spans="1:47" x14ac:dyDescent="0.25">
      <c r="A262" s="117">
        <v>540208</v>
      </c>
      <c r="B262" s="2" t="s">
        <v>266</v>
      </c>
      <c r="C262" s="2" t="s">
        <v>89</v>
      </c>
      <c r="D262" s="2" t="s">
        <v>115</v>
      </c>
      <c r="E262" s="117">
        <v>10</v>
      </c>
      <c r="F262" s="117">
        <v>1</v>
      </c>
      <c r="G262" s="117">
        <v>2300</v>
      </c>
      <c r="H262" s="117">
        <v>31</v>
      </c>
      <c r="I262" s="117">
        <v>629200</v>
      </c>
      <c r="J262" s="117">
        <v>1565</v>
      </c>
      <c r="K262" s="117">
        <v>126793500</v>
      </c>
      <c r="L262" s="117">
        <v>0</v>
      </c>
      <c r="M262" s="117">
        <v>0</v>
      </c>
      <c r="N262" s="117">
        <v>0</v>
      </c>
      <c r="O262" s="117">
        <v>0</v>
      </c>
      <c r="P262" s="117">
        <v>142</v>
      </c>
      <c r="Q262" s="117">
        <v>44148825</v>
      </c>
      <c r="R262" s="117">
        <v>0</v>
      </c>
      <c r="S262" s="117">
        <v>0</v>
      </c>
      <c r="T262" s="117">
        <v>0</v>
      </c>
      <c r="U262" s="117">
        <v>0</v>
      </c>
      <c r="V262" s="117">
        <v>0</v>
      </c>
      <c r="W262" s="117">
        <v>0</v>
      </c>
      <c r="X262" s="117">
        <v>0</v>
      </c>
      <c r="Y262" s="117">
        <v>0</v>
      </c>
      <c r="Z262" s="117">
        <v>0</v>
      </c>
      <c r="AA262" s="117">
        <v>0</v>
      </c>
      <c r="AB262" s="117">
        <v>0</v>
      </c>
      <c r="AC262" s="117">
        <v>0</v>
      </c>
      <c r="AD262" s="117">
        <v>0</v>
      </c>
      <c r="AE262" s="117">
        <v>0</v>
      </c>
      <c r="AF262" s="117">
        <v>2</v>
      </c>
      <c r="AG262" s="117">
        <v>226700</v>
      </c>
      <c r="AH262" s="117">
        <v>4</v>
      </c>
      <c r="AI262" s="117">
        <v>180400</v>
      </c>
      <c r="AJ262" s="117">
        <v>0</v>
      </c>
      <c r="AK262" s="117">
        <v>0</v>
      </c>
      <c r="AL262" s="117">
        <v>0</v>
      </c>
      <c r="AM262" s="117">
        <v>0</v>
      </c>
      <c r="AN262" s="117">
        <v>2</v>
      </c>
      <c r="AO262" s="117">
        <v>422800</v>
      </c>
      <c r="AP262" s="117">
        <v>0</v>
      </c>
      <c r="AQ262" s="117">
        <v>0</v>
      </c>
      <c r="AR262" s="117">
        <v>4</v>
      </c>
      <c r="AS262" s="117">
        <v>508900</v>
      </c>
      <c r="AT262" s="117">
        <v>83</v>
      </c>
      <c r="AU262" s="117">
        <v>25536200</v>
      </c>
    </row>
    <row r="263" spans="1:47" x14ac:dyDescent="0.25">
      <c r="A263" s="117">
        <v>540210</v>
      </c>
      <c r="B263" s="2" t="s">
        <v>267</v>
      </c>
      <c r="C263" s="2" t="s">
        <v>89</v>
      </c>
      <c r="D263" s="2" t="s">
        <v>115</v>
      </c>
      <c r="E263" s="117">
        <v>10</v>
      </c>
      <c r="F263" s="117">
        <v>0</v>
      </c>
      <c r="G263" s="117">
        <v>0</v>
      </c>
      <c r="H263" s="117">
        <v>11</v>
      </c>
      <c r="I263" s="117">
        <v>84300</v>
      </c>
      <c r="J263" s="117">
        <v>184</v>
      </c>
      <c r="K263" s="117">
        <v>3333300</v>
      </c>
      <c r="L263" s="117">
        <v>0</v>
      </c>
      <c r="M263" s="117">
        <v>0</v>
      </c>
      <c r="N263" s="117">
        <v>0</v>
      </c>
      <c r="O263" s="117">
        <v>0</v>
      </c>
      <c r="P263" s="117">
        <v>3</v>
      </c>
      <c r="Q263" s="117">
        <v>188900</v>
      </c>
      <c r="R263" s="117">
        <v>0</v>
      </c>
      <c r="S263" s="117">
        <v>0</v>
      </c>
      <c r="T263" s="117">
        <v>0</v>
      </c>
      <c r="U263" s="117">
        <v>0</v>
      </c>
      <c r="V263" s="117">
        <v>0</v>
      </c>
      <c r="W263" s="117">
        <v>0</v>
      </c>
      <c r="X263" s="117">
        <v>0</v>
      </c>
      <c r="Y263" s="117">
        <v>0</v>
      </c>
      <c r="Z263" s="117">
        <v>0</v>
      </c>
      <c r="AA263" s="117">
        <v>0</v>
      </c>
      <c r="AB263" s="117">
        <v>0</v>
      </c>
      <c r="AC263" s="117">
        <v>0</v>
      </c>
      <c r="AD263" s="117">
        <v>0</v>
      </c>
      <c r="AE263" s="117">
        <v>0</v>
      </c>
      <c r="AF263" s="117">
        <v>0</v>
      </c>
      <c r="AG263" s="117">
        <v>0</v>
      </c>
      <c r="AH263" s="117">
        <v>3</v>
      </c>
      <c r="AI263" s="117">
        <v>181000</v>
      </c>
      <c r="AJ263" s="117">
        <v>0</v>
      </c>
      <c r="AK263" s="117">
        <v>0</v>
      </c>
      <c r="AL263" s="117">
        <v>0</v>
      </c>
      <c r="AM263" s="117">
        <v>0</v>
      </c>
      <c r="AN263" s="117">
        <v>1</v>
      </c>
      <c r="AO263" s="117">
        <v>68100</v>
      </c>
      <c r="AP263" s="117">
        <v>0</v>
      </c>
      <c r="AQ263" s="117">
        <v>0</v>
      </c>
      <c r="AR263" s="117">
        <v>1</v>
      </c>
      <c r="AS263" s="117">
        <v>16300</v>
      </c>
      <c r="AT263" s="117">
        <v>8</v>
      </c>
      <c r="AU263" s="117">
        <v>177000</v>
      </c>
    </row>
    <row r="264" spans="1:47" x14ac:dyDescent="0.25">
      <c r="A264" s="117">
        <v>540256</v>
      </c>
      <c r="B264" s="2" t="s">
        <v>301</v>
      </c>
      <c r="C264" s="2" t="s">
        <v>89</v>
      </c>
      <c r="D264" s="2" t="s">
        <v>115</v>
      </c>
      <c r="E264" s="117">
        <v>10</v>
      </c>
      <c r="F264" s="117">
        <v>1</v>
      </c>
      <c r="G264" s="117">
        <v>900</v>
      </c>
      <c r="H264" s="117">
        <v>43</v>
      </c>
      <c r="I264" s="117">
        <v>486900</v>
      </c>
      <c r="J264" s="117">
        <v>103</v>
      </c>
      <c r="K264" s="117">
        <v>2207100</v>
      </c>
      <c r="L264" s="117">
        <v>0</v>
      </c>
      <c r="M264" s="117">
        <v>0</v>
      </c>
      <c r="N264" s="117">
        <v>1</v>
      </c>
      <c r="O264" s="117">
        <v>5000</v>
      </c>
      <c r="P264" s="117">
        <v>10</v>
      </c>
      <c r="Q264" s="117">
        <v>348600</v>
      </c>
      <c r="R264" s="117">
        <v>0</v>
      </c>
      <c r="S264" s="117">
        <v>0</v>
      </c>
      <c r="T264" s="117">
        <v>0</v>
      </c>
      <c r="U264" s="117">
        <v>0</v>
      </c>
      <c r="V264" s="117">
        <v>0</v>
      </c>
      <c r="W264" s="117">
        <v>0</v>
      </c>
      <c r="X264" s="117">
        <v>0</v>
      </c>
      <c r="Y264" s="117">
        <v>0</v>
      </c>
      <c r="Z264" s="117">
        <v>0</v>
      </c>
      <c r="AA264" s="117">
        <v>0</v>
      </c>
      <c r="AB264" s="117">
        <v>0</v>
      </c>
      <c r="AC264" s="117">
        <v>0</v>
      </c>
      <c r="AD264" s="117">
        <v>0</v>
      </c>
      <c r="AE264" s="117">
        <v>0</v>
      </c>
      <c r="AF264" s="117">
        <v>0</v>
      </c>
      <c r="AG264" s="117">
        <v>0</v>
      </c>
      <c r="AH264" s="117">
        <v>3</v>
      </c>
      <c r="AI264" s="117">
        <v>47300</v>
      </c>
      <c r="AJ264" s="117">
        <v>0</v>
      </c>
      <c r="AK264" s="117">
        <v>0</v>
      </c>
      <c r="AL264" s="117">
        <v>2</v>
      </c>
      <c r="AM264" s="117">
        <v>29600</v>
      </c>
      <c r="AN264" s="117">
        <v>0</v>
      </c>
      <c r="AO264" s="117">
        <v>0</v>
      </c>
      <c r="AP264" s="117">
        <v>1</v>
      </c>
      <c r="AQ264" s="117">
        <v>17800</v>
      </c>
      <c r="AR264" s="117">
        <v>4</v>
      </c>
      <c r="AS264" s="117">
        <v>16400</v>
      </c>
      <c r="AT264" s="117">
        <v>15</v>
      </c>
      <c r="AU264" s="117">
        <v>434600</v>
      </c>
    </row>
    <row r="265" spans="1:47" x14ac:dyDescent="0.25">
      <c r="A265" s="117">
        <v>540258</v>
      </c>
      <c r="B265" s="2" t="s">
        <v>303</v>
      </c>
      <c r="C265" s="2" t="s">
        <v>89</v>
      </c>
      <c r="D265" s="2" t="s">
        <v>115</v>
      </c>
      <c r="E265" s="117">
        <v>10</v>
      </c>
      <c r="F265" s="117">
        <v>0</v>
      </c>
      <c r="G265" s="117">
        <v>0</v>
      </c>
      <c r="H265" s="117">
        <v>5</v>
      </c>
      <c r="I265" s="117">
        <v>62300</v>
      </c>
      <c r="J265" s="117">
        <v>73</v>
      </c>
      <c r="K265" s="117">
        <v>885400</v>
      </c>
      <c r="L265" s="117">
        <v>0</v>
      </c>
      <c r="M265" s="117">
        <v>0</v>
      </c>
      <c r="N265" s="117">
        <v>0</v>
      </c>
      <c r="O265" s="117">
        <v>0</v>
      </c>
      <c r="P265" s="117">
        <v>1</v>
      </c>
      <c r="Q265" s="117">
        <v>4400</v>
      </c>
      <c r="R265" s="117">
        <v>0</v>
      </c>
      <c r="S265" s="117">
        <v>0</v>
      </c>
      <c r="T265" s="117">
        <v>0</v>
      </c>
      <c r="U265" s="117">
        <v>0</v>
      </c>
      <c r="V265" s="117">
        <v>0</v>
      </c>
      <c r="W265" s="117">
        <v>0</v>
      </c>
      <c r="X265" s="117">
        <v>0</v>
      </c>
      <c r="Y265" s="117">
        <v>0</v>
      </c>
      <c r="Z265" s="117">
        <v>0</v>
      </c>
      <c r="AA265" s="117">
        <v>0</v>
      </c>
      <c r="AB265" s="117">
        <v>0</v>
      </c>
      <c r="AC265" s="117">
        <v>0</v>
      </c>
      <c r="AD265" s="117">
        <v>0</v>
      </c>
      <c r="AE265" s="117">
        <v>0</v>
      </c>
      <c r="AF265" s="117">
        <v>1</v>
      </c>
      <c r="AG265" s="117">
        <v>7500</v>
      </c>
      <c r="AH265" s="117">
        <v>1</v>
      </c>
      <c r="AI265" s="117">
        <v>76000</v>
      </c>
      <c r="AJ265" s="117">
        <v>0</v>
      </c>
      <c r="AK265" s="117">
        <v>0</v>
      </c>
      <c r="AL265" s="117">
        <v>0</v>
      </c>
      <c r="AM265" s="117">
        <v>0</v>
      </c>
      <c r="AN265" s="117">
        <v>2</v>
      </c>
      <c r="AO265" s="117">
        <v>5300</v>
      </c>
      <c r="AP265" s="117">
        <v>0</v>
      </c>
      <c r="AQ265" s="117">
        <v>0</v>
      </c>
      <c r="AR265" s="117">
        <v>1</v>
      </c>
      <c r="AS265" s="117">
        <v>1000</v>
      </c>
      <c r="AT265" s="117">
        <v>6</v>
      </c>
      <c r="AU265" s="117">
        <v>100200</v>
      </c>
    </row>
    <row r="266" spans="1:47" x14ac:dyDescent="0.25">
      <c r="A266" s="269"/>
      <c r="B266" s="269"/>
      <c r="C266" s="269" t="s">
        <v>89</v>
      </c>
      <c r="D266" s="269"/>
      <c r="E266" s="269"/>
      <c r="F266" s="270">
        <v>20</v>
      </c>
      <c r="G266" s="270">
        <v>419200</v>
      </c>
      <c r="H266" s="270">
        <v>793</v>
      </c>
      <c r="I266" s="270">
        <v>19367100</v>
      </c>
      <c r="J266" s="270">
        <v>6314</v>
      </c>
      <c r="K266" s="270">
        <v>306847100</v>
      </c>
      <c r="L266" s="270">
        <v>1</v>
      </c>
      <c r="M266" s="270">
        <v>36000</v>
      </c>
      <c r="N266" s="270">
        <v>39</v>
      </c>
      <c r="O266" s="270">
        <v>4016700</v>
      </c>
      <c r="P266" s="270">
        <v>356</v>
      </c>
      <c r="Q266" s="270">
        <v>69860825</v>
      </c>
      <c r="R266" s="270">
        <v>0</v>
      </c>
      <c r="S266" s="270">
        <v>0</v>
      </c>
      <c r="T266" s="270">
        <v>0</v>
      </c>
      <c r="U266" s="270">
        <v>0</v>
      </c>
      <c r="V266" s="270">
        <v>0</v>
      </c>
      <c r="W266" s="270">
        <v>0</v>
      </c>
      <c r="X266" s="270">
        <v>0</v>
      </c>
      <c r="Y266" s="270">
        <v>0</v>
      </c>
      <c r="Z266" s="270">
        <v>0</v>
      </c>
      <c r="AA266" s="270">
        <v>0</v>
      </c>
      <c r="AB266" s="270">
        <v>4</v>
      </c>
      <c r="AC266" s="270">
        <v>96100</v>
      </c>
      <c r="AD266" s="270">
        <v>33</v>
      </c>
      <c r="AE266" s="270">
        <v>1530800</v>
      </c>
      <c r="AF266" s="270">
        <v>676</v>
      </c>
      <c r="AG266" s="270">
        <v>26960300</v>
      </c>
      <c r="AH266" s="270">
        <v>2138</v>
      </c>
      <c r="AI266" s="270">
        <v>84147800</v>
      </c>
      <c r="AJ266" s="270">
        <v>0</v>
      </c>
      <c r="AK266" s="270">
        <v>0</v>
      </c>
      <c r="AL266" s="270">
        <v>8</v>
      </c>
      <c r="AM266" s="270">
        <v>75300</v>
      </c>
      <c r="AN266" s="270">
        <v>27</v>
      </c>
      <c r="AO266" s="270">
        <v>1459100</v>
      </c>
      <c r="AP266" s="270">
        <v>2</v>
      </c>
      <c r="AQ266" s="270">
        <v>34000</v>
      </c>
      <c r="AR266" s="270">
        <v>68</v>
      </c>
      <c r="AS266" s="270">
        <v>4069100</v>
      </c>
      <c r="AT266" s="270">
        <v>416</v>
      </c>
      <c r="AU266" s="270">
        <v>59667600</v>
      </c>
    </row>
    <row r="267" spans="1:47" x14ac:dyDescent="0.25">
      <c r="A267" s="117">
        <v>540211</v>
      </c>
      <c r="B267" s="2" t="s">
        <v>90</v>
      </c>
      <c r="C267" s="2" t="s">
        <v>91</v>
      </c>
      <c r="D267" s="2" t="s">
        <v>5</v>
      </c>
      <c r="E267" s="117">
        <v>5</v>
      </c>
      <c r="F267" s="117">
        <v>22</v>
      </c>
      <c r="G267" s="117">
        <v>606300</v>
      </c>
      <c r="H267" s="117">
        <v>355</v>
      </c>
      <c r="I267" s="117">
        <v>9984500</v>
      </c>
      <c r="J267" s="117">
        <v>2455</v>
      </c>
      <c r="K267" s="117">
        <v>71573600</v>
      </c>
      <c r="L267" s="117">
        <v>0</v>
      </c>
      <c r="M267" s="117">
        <v>0</v>
      </c>
      <c r="N267" s="117">
        <v>4</v>
      </c>
      <c r="O267" s="117">
        <v>416800</v>
      </c>
      <c r="P267" s="117">
        <v>29</v>
      </c>
      <c r="Q267" s="117">
        <v>1542600</v>
      </c>
      <c r="R267" s="117">
        <v>0</v>
      </c>
      <c r="S267" s="117">
        <v>0</v>
      </c>
      <c r="T267" s="117">
        <v>0</v>
      </c>
      <c r="U267" s="117">
        <v>0</v>
      </c>
      <c r="V267" s="117">
        <v>0</v>
      </c>
      <c r="W267" s="117">
        <v>0</v>
      </c>
      <c r="X267" s="117">
        <v>0</v>
      </c>
      <c r="Y267" s="117">
        <v>0</v>
      </c>
      <c r="Z267" s="117">
        <v>0</v>
      </c>
      <c r="AA267" s="117">
        <v>0</v>
      </c>
      <c r="AB267" s="117">
        <v>0</v>
      </c>
      <c r="AC267" s="117">
        <v>0</v>
      </c>
      <c r="AD267" s="117">
        <v>26</v>
      </c>
      <c r="AE267" s="117">
        <v>806300</v>
      </c>
      <c r="AF267" s="117">
        <v>322</v>
      </c>
      <c r="AG267" s="117">
        <v>12223600</v>
      </c>
      <c r="AH267" s="117">
        <v>821</v>
      </c>
      <c r="AI267" s="117">
        <v>33828200</v>
      </c>
      <c r="AJ267" s="117">
        <v>0</v>
      </c>
      <c r="AK267" s="117">
        <v>0</v>
      </c>
      <c r="AL267" s="117">
        <v>0</v>
      </c>
      <c r="AM267" s="117">
        <v>0</v>
      </c>
      <c r="AN267" s="117">
        <v>0</v>
      </c>
      <c r="AO267" s="117">
        <v>0</v>
      </c>
      <c r="AP267" s="117">
        <v>0</v>
      </c>
      <c r="AQ267" s="117">
        <v>0</v>
      </c>
      <c r="AR267" s="117">
        <v>5</v>
      </c>
      <c r="AS267" s="117">
        <v>157300</v>
      </c>
      <c r="AT267" s="117">
        <v>121</v>
      </c>
      <c r="AU267" s="117">
        <v>2584700</v>
      </c>
    </row>
    <row r="268" spans="1:47" x14ac:dyDescent="0.25">
      <c r="A268" s="117">
        <v>540212</v>
      </c>
      <c r="B268" s="2" t="s">
        <v>268</v>
      </c>
      <c r="C268" s="2" t="s">
        <v>91</v>
      </c>
      <c r="D268" s="2" t="s">
        <v>115</v>
      </c>
      <c r="E268" s="117">
        <v>5</v>
      </c>
      <c r="F268" s="117">
        <v>0</v>
      </c>
      <c r="G268" s="117">
        <v>0</v>
      </c>
      <c r="H268" s="117">
        <v>0</v>
      </c>
      <c r="I268" s="117">
        <v>0</v>
      </c>
      <c r="J268" s="117">
        <v>286</v>
      </c>
      <c r="K268" s="117">
        <v>12608700</v>
      </c>
      <c r="L268" s="117">
        <v>0</v>
      </c>
      <c r="M268" s="117">
        <v>0</v>
      </c>
      <c r="N268" s="117">
        <v>0</v>
      </c>
      <c r="O268" s="117">
        <v>0</v>
      </c>
      <c r="P268" s="117">
        <v>47</v>
      </c>
      <c r="Q268" s="117">
        <v>5285500</v>
      </c>
      <c r="R268" s="117">
        <v>0</v>
      </c>
      <c r="S268" s="117">
        <v>0</v>
      </c>
      <c r="T268" s="117">
        <v>0</v>
      </c>
      <c r="U268" s="117">
        <v>0</v>
      </c>
      <c r="V268" s="117">
        <v>2</v>
      </c>
      <c r="W268" s="117">
        <v>987800</v>
      </c>
      <c r="X268" s="117">
        <v>0</v>
      </c>
      <c r="Y268" s="117">
        <v>0</v>
      </c>
      <c r="Z268" s="117">
        <v>0</v>
      </c>
      <c r="AA268" s="117">
        <v>0</v>
      </c>
      <c r="AB268" s="117">
        <v>0</v>
      </c>
      <c r="AC268" s="117">
        <v>0</v>
      </c>
      <c r="AD268" s="117">
        <v>0</v>
      </c>
      <c r="AE268" s="117">
        <v>0</v>
      </c>
      <c r="AF268" s="117">
        <v>0</v>
      </c>
      <c r="AG268" s="117">
        <v>0</v>
      </c>
      <c r="AH268" s="117">
        <v>0</v>
      </c>
      <c r="AI268" s="117">
        <v>0</v>
      </c>
      <c r="AJ268" s="117">
        <v>0</v>
      </c>
      <c r="AK268" s="117">
        <v>0</v>
      </c>
      <c r="AL268" s="117">
        <v>0</v>
      </c>
      <c r="AM268" s="117">
        <v>0</v>
      </c>
      <c r="AN268" s="117">
        <v>1</v>
      </c>
      <c r="AO268" s="117">
        <v>39000</v>
      </c>
      <c r="AP268" s="117">
        <v>0</v>
      </c>
      <c r="AQ268" s="117">
        <v>0</v>
      </c>
      <c r="AR268" s="117">
        <v>0</v>
      </c>
      <c r="AS268" s="117">
        <v>0</v>
      </c>
      <c r="AT268" s="117">
        <v>27</v>
      </c>
      <c r="AU268" s="117">
        <v>2724100</v>
      </c>
    </row>
    <row r="269" spans="1:47" x14ac:dyDescent="0.25">
      <c r="A269" s="269"/>
      <c r="B269" s="269"/>
      <c r="C269" s="269" t="s">
        <v>91</v>
      </c>
      <c r="D269" s="269"/>
      <c r="E269" s="269"/>
      <c r="F269" s="270">
        <v>22</v>
      </c>
      <c r="G269" s="270">
        <v>606300</v>
      </c>
      <c r="H269" s="270">
        <v>355</v>
      </c>
      <c r="I269" s="270">
        <v>9984500</v>
      </c>
      <c r="J269" s="270">
        <v>2741</v>
      </c>
      <c r="K269" s="270">
        <v>84182300</v>
      </c>
      <c r="L269" s="270">
        <v>0</v>
      </c>
      <c r="M269" s="270">
        <v>0</v>
      </c>
      <c r="N269" s="270">
        <v>4</v>
      </c>
      <c r="O269" s="270">
        <v>416800</v>
      </c>
      <c r="P269" s="270">
        <v>76</v>
      </c>
      <c r="Q269" s="270">
        <v>6828100</v>
      </c>
      <c r="R269" s="270">
        <v>0</v>
      </c>
      <c r="S269" s="270">
        <v>0</v>
      </c>
      <c r="T269" s="270">
        <v>0</v>
      </c>
      <c r="U269" s="270">
        <v>0</v>
      </c>
      <c r="V269" s="270">
        <v>2</v>
      </c>
      <c r="W269" s="270">
        <v>987800</v>
      </c>
      <c r="X269" s="270">
        <v>0</v>
      </c>
      <c r="Y269" s="270">
        <v>0</v>
      </c>
      <c r="Z269" s="270">
        <v>0</v>
      </c>
      <c r="AA269" s="270">
        <v>0</v>
      </c>
      <c r="AB269" s="270">
        <v>0</v>
      </c>
      <c r="AC269" s="270">
        <v>0</v>
      </c>
      <c r="AD269" s="270">
        <v>26</v>
      </c>
      <c r="AE269" s="270">
        <v>806300</v>
      </c>
      <c r="AF269" s="270">
        <v>322</v>
      </c>
      <c r="AG269" s="270">
        <v>12223600</v>
      </c>
      <c r="AH269" s="270">
        <v>821</v>
      </c>
      <c r="AI269" s="270">
        <v>33828200</v>
      </c>
      <c r="AJ269" s="270">
        <v>0</v>
      </c>
      <c r="AK269" s="270">
        <v>0</v>
      </c>
      <c r="AL269" s="270">
        <v>0</v>
      </c>
      <c r="AM269" s="270">
        <v>0</v>
      </c>
      <c r="AN269" s="270">
        <v>1</v>
      </c>
      <c r="AO269" s="270">
        <v>39000</v>
      </c>
      <c r="AP269" s="270">
        <v>0</v>
      </c>
      <c r="AQ269" s="270">
        <v>0</v>
      </c>
      <c r="AR269" s="270">
        <v>5</v>
      </c>
      <c r="AS269" s="270">
        <v>157300</v>
      </c>
      <c r="AT269" s="270">
        <v>148</v>
      </c>
      <c r="AU269" s="270">
        <v>5308800</v>
      </c>
    </row>
    <row r="270" spans="1:47" x14ac:dyDescent="0.25">
      <c r="A270" s="117">
        <v>540213</v>
      </c>
      <c r="B270" s="2" t="s">
        <v>92</v>
      </c>
      <c r="C270" s="2" t="s">
        <v>93</v>
      </c>
      <c r="D270" s="2" t="s">
        <v>5</v>
      </c>
      <c r="E270" s="117">
        <v>5</v>
      </c>
      <c r="F270" s="117">
        <v>99</v>
      </c>
      <c r="G270" s="117">
        <v>5118200</v>
      </c>
      <c r="H270" s="117">
        <v>1542</v>
      </c>
      <c r="I270" s="117">
        <v>92800800</v>
      </c>
      <c r="J270" s="117">
        <v>16873</v>
      </c>
      <c r="K270" s="117">
        <v>1371795800</v>
      </c>
      <c r="L270" s="117">
        <v>0</v>
      </c>
      <c r="M270" s="117">
        <v>0</v>
      </c>
      <c r="N270" s="117">
        <v>41</v>
      </c>
      <c r="O270" s="117">
        <v>3481500</v>
      </c>
      <c r="P270" s="117">
        <v>895</v>
      </c>
      <c r="Q270" s="117">
        <v>172028700</v>
      </c>
      <c r="R270" s="117">
        <v>0</v>
      </c>
      <c r="S270" s="117">
        <v>0</v>
      </c>
      <c r="T270" s="117">
        <v>0</v>
      </c>
      <c r="U270" s="117">
        <v>0</v>
      </c>
      <c r="V270" s="117">
        <v>69</v>
      </c>
      <c r="W270" s="117">
        <v>33935800</v>
      </c>
      <c r="X270" s="117">
        <v>0</v>
      </c>
      <c r="Y270" s="117">
        <v>0</v>
      </c>
      <c r="Z270" s="117">
        <v>2</v>
      </c>
      <c r="AA270" s="117">
        <v>205100</v>
      </c>
      <c r="AB270" s="117">
        <v>17</v>
      </c>
      <c r="AC270" s="117">
        <v>7965000</v>
      </c>
      <c r="AD270" s="117">
        <v>45</v>
      </c>
      <c r="AE270" s="117">
        <v>2621600</v>
      </c>
      <c r="AF270" s="117">
        <v>451</v>
      </c>
      <c r="AG270" s="117">
        <v>25278200</v>
      </c>
      <c r="AH270" s="117">
        <v>2182</v>
      </c>
      <c r="AI270" s="117">
        <v>141839200</v>
      </c>
      <c r="AJ270" s="117">
        <v>0</v>
      </c>
      <c r="AK270" s="117">
        <v>0</v>
      </c>
      <c r="AL270" s="117">
        <v>6</v>
      </c>
      <c r="AM270" s="117">
        <v>139500</v>
      </c>
      <c r="AN270" s="117">
        <v>91</v>
      </c>
      <c r="AO270" s="117">
        <v>1236300</v>
      </c>
      <c r="AP270" s="117">
        <v>4</v>
      </c>
      <c r="AQ270" s="117">
        <v>189500</v>
      </c>
      <c r="AR270" s="117">
        <v>57</v>
      </c>
      <c r="AS270" s="117">
        <v>7671100</v>
      </c>
      <c r="AT270" s="117">
        <v>552</v>
      </c>
      <c r="AU270" s="117">
        <v>59110700</v>
      </c>
    </row>
    <row r="271" spans="1:47" x14ac:dyDescent="0.25">
      <c r="A271" s="117">
        <v>540042</v>
      </c>
      <c r="B271" s="2" t="s">
        <v>143</v>
      </c>
      <c r="C271" s="2" t="s">
        <v>93</v>
      </c>
      <c r="D271" s="2" t="s">
        <v>115</v>
      </c>
      <c r="E271" s="117">
        <v>5</v>
      </c>
      <c r="F271" s="117">
        <v>2</v>
      </c>
      <c r="G271" s="117">
        <v>256800</v>
      </c>
      <c r="H271" s="117">
        <v>56</v>
      </c>
      <c r="I271" s="117">
        <v>9515700</v>
      </c>
      <c r="J271" s="117">
        <v>279</v>
      </c>
      <c r="K271" s="117">
        <v>50653100</v>
      </c>
      <c r="L271" s="117">
        <v>0</v>
      </c>
      <c r="M271" s="117">
        <v>0</v>
      </c>
      <c r="N271" s="117">
        <v>0</v>
      </c>
      <c r="O271" s="117">
        <v>0</v>
      </c>
      <c r="P271" s="117">
        <v>3</v>
      </c>
      <c r="Q271" s="117">
        <v>63300</v>
      </c>
      <c r="R271" s="117">
        <v>0</v>
      </c>
      <c r="S271" s="117">
        <v>0</v>
      </c>
      <c r="T271" s="117">
        <v>0</v>
      </c>
      <c r="U271" s="117">
        <v>0</v>
      </c>
      <c r="V271" s="117">
        <v>0</v>
      </c>
      <c r="W271" s="117">
        <v>0</v>
      </c>
      <c r="X271" s="117">
        <v>0</v>
      </c>
      <c r="Y271" s="117">
        <v>0</v>
      </c>
      <c r="Z271" s="117">
        <v>0</v>
      </c>
      <c r="AA271" s="117">
        <v>0</v>
      </c>
      <c r="AB271" s="117">
        <v>0</v>
      </c>
      <c r="AC271" s="117">
        <v>0</v>
      </c>
      <c r="AD271" s="117">
        <v>0</v>
      </c>
      <c r="AE271" s="117">
        <v>0</v>
      </c>
      <c r="AF271" s="117">
        <v>0</v>
      </c>
      <c r="AG271" s="117">
        <v>0</v>
      </c>
      <c r="AH271" s="117">
        <v>0</v>
      </c>
      <c r="AI271" s="117">
        <v>0</v>
      </c>
      <c r="AJ271" s="117">
        <v>0</v>
      </c>
      <c r="AK271" s="117">
        <v>0</v>
      </c>
      <c r="AL271" s="117">
        <v>0</v>
      </c>
      <c r="AM271" s="117">
        <v>0</v>
      </c>
      <c r="AN271" s="117">
        <v>0</v>
      </c>
      <c r="AO271" s="117">
        <v>0</v>
      </c>
      <c r="AP271" s="117">
        <v>0</v>
      </c>
      <c r="AQ271" s="117">
        <v>0</v>
      </c>
      <c r="AR271" s="117">
        <v>3</v>
      </c>
      <c r="AS271" s="117">
        <v>21900</v>
      </c>
      <c r="AT271" s="117">
        <v>5</v>
      </c>
      <c r="AU271" s="117">
        <v>85500</v>
      </c>
    </row>
    <row r="272" spans="1:47" x14ac:dyDescent="0.25">
      <c r="A272" s="117">
        <v>540214</v>
      </c>
      <c r="B272" s="2" t="s">
        <v>269</v>
      </c>
      <c r="C272" s="2" t="s">
        <v>93</v>
      </c>
      <c r="D272" s="2" t="s">
        <v>115</v>
      </c>
      <c r="E272" s="117">
        <v>5</v>
      </c>
      <c r="F272" s="117">
        <v>6</v>
      </c>
      <c r="G272" s="117">
        <v>383900</v>
      </c>
      <c r="H272" s="117">
        <v>323</v>
      </c>
      <c r="I272" s="117">
        <v>13255400</v>
      </c>
      <c r="J272" s="117">
        <v>14282</v>
      </c>
      <c r="K272" s="117">
        <v>954401200</v>
      </c>
      <c r="L272" s="117">
        <v>2</v>
      </c>
      <c r="M272" s="117">
        <v>121900</v>
      </c>
      <c r="N272" s="117">
        <v>25</v>
      </c>
      <c r="O272" s="117">
        <v>8423500</v>
      </c>
      <c r="P272" s="117">
        <v>2239</v>
      </c>
      <c r="Q272" s="117">
        <v>305487300</v>
      </c>
      <c r="R272" s="117">
        <v>0</v>
      </c>
      <c r="S272" s="117">
        <v>0</v>
      </c>
      <c r="T272" s="117">
        <v>0</v>
      </c>
      <c r="U272" s="117">
        <v>0</v>
      </c>
      <c r="V272" s="117">
        <v>186</v>
      </c>
      <c r="W272" s="117">
        <v>31713300</v>
      </c>
      <c r="X272" s="117">
        <v>0</v>
      </c>
      <c r="Y272" s="117">
        <v>0</v>
      </c>
      <c r="Z272" s="117">
        <v>0</v>
      </c>
      <c r="AA272" s="117">
        <v>0</v>
      </c>
      <c r="AB272" s="117">
        <v>19</v>
      </c>
      <c r="AC272" s="117">
        <v>2236700</v>
      </c>
      <c r="AD272" s="117">
        <v>0</v>
      </c>
      <c r="AE272" s="117">
        <v>0</v>
      </c>
      <c r="AF272" s="117">
        <v>0</v>
      </c>
      <c r="AG272" s="117">
        <v>0</v>
      </c>
      <c r="AH272" s="117">
        <v>5</v>
      </c>
      <c r="AI272" s="117">
        <v>13900</v>
      </c>
      <c r="AJ272" s="117">
        <v>0</v>
      </c>
      <c r="AK272" s="117">
        <v>0</v>
      </c>
      <c r="AL272" s="117">
        <v>1</v>
      </c>
      <c r="AM272" s="117">
        <v>1500</v>
      </c>
      <c r="AN272" s="117">
        <v>27</v>
      </c>
      <c r="AO272" s="117">
        <v>2751500</v>
      </c>
      <c r="AP272" s="117">
        <v>0</v>
      </c>
      <c r="AQ272" s="117">
        <v>0</v>
      </c>
      <c r="AR272" s="117">
        <v>12</v>
      </c>
      <c r="AS272" s="117">
        <v>387600</v>
      </c>
      <c r="AT272" s="117">
        <v>1300</v>
      </c>
      <c r="AU272" s="117">
        <v>275021800</v>
      </c>
    </row>
    <row r="273" spans="1:47" x14ac:dyDescent="0.25">
      <c r="A273" s="117">
        <v>540215</v>
      </c>
      <c r="B273" s="2" t="s">
        <v>270</v>
      </c>
      <c r="C273" s="2" t="s">
        <v>93</v>
      </c>
      <c r="D273" s="2" t="s">
        <v>115</v>
      </c>
      <c r="E273" s="117">
        <v>5</v>
      </c>
      <c r="F273" s="117">
        <v>1</v>
      </c>
      <c r="G273" s="117">
        <v>11800</v>
      </c>
      <c r="H273" s="117">
        <v>62</v>
      </c>
      <c r="I273" s="117">
        <v>5789900</v>
      </c>
      <c r="J273" s="117">
        <v>4864</v>
      </c>
      <c r="K273" s="117">
        <v>566631200</v>
      </c>
      <c r="L273" s="117">
        <v>0</v>
      </c>
      <c r="M273" s="117">
        <v>0</v>
      </c>
      <c r="N273" s="117">
        <v>0</v>
      </c>
      <c r="O273" s="117">
        <v>0</v>
      </c>
      <c r="P273" s="117">
        <v>248</v>
      </c>
      <c r="Q273" s="117">
        <v>42525000</v>
      </c>
      <c r="R273" s="117">
        <v>0</v>
      </c>
      <c r="S273" s="117">
        <v>0</v>
      </c>
      <c r="T273" s="117">
        <v>0</v>
      </c>
      <c r="U273" s="117">
        <v>0</v>
      </c>
      <c r="V273" s="117">
        <v>57</v>
      </c>
      <c r="W273" s="117">
        <v>7915800</v>
      </c>
      <c r="X273" s="117">
        <v>0</v>
      </c>
      <c r="Y273" s="117">
        <v>0</v>
      </c>
      <c r="Z273" s="117">
        <v>0</v>
      </c>
      <c r="AA273" s="117">
        <v>0</v>
      </c>
      <c r="AB273" s="117">
        <v>0</v>
      </c>
      <c r="AC273" s="117">
        <v>0</v>
      </c>
      <c r="AD273" s="117">
        <v>0</v>
      </c>
      <c r="AE273" s="117">
        <v>0</v>
      </c>
      <c r="AF273" s="117">
        <v>0</v>
      </c>
      <c r="AG273" s="117">
        <v>0</v>
      </c>
      <c r="AH273" s="117">
        <v>0</v>
      </c>
      <c r="AI273" s="117">
        <v>0</v>
      </c>
      <c r="AJ273" s="117">
        <v>0</v>
      </c>
      <c r="AK273" s="117">
        <v>0</v>
      </c>
      <c r="AL273" s="117">
        <v>0</v>
      </c>
      <c r="AM273" s="117">
        <v>0</v>
      </c>
      <c r="AN273" s="117">
        <v>2</v>
      </c>
      <c r="AO273" s="117">
        <v>31400</v>
      </c>
      <c r="AP273" s="117">
        <v>0</v>
      </c>
      <c r="AQ273" s="117">
        <v>0</v>
      </c>
      <c r="AR273" s="117">
        <v>2</v>
      </c>
      <c r="AS273" s="117">
        <v>826800</v>
      </c>
      <c r="AT273" s="117">
        <v>175</v>
      </c>
      <c r="AU273" s="117">
        <v>30080600</v>
      </c>
    </row>
    <row r="274" spans="1:47" x14ac:dyDescent="0.25">
      <c r="A274" s="117">
        <v>540216</v>
      </c>
      <c r="B274" s="2" t="s">
        <v>271</v>
      </c>
      <c r="C274" s="2" t="s">
        <v>93</v>
      </c>
      <c r="D274" s="2" t="s">
        <v>115</v>
      </c>
      <c r="E274" s="117">
        <v>5</v>
      </c>
      <c r="F274" s="117">
        <v>0</v>
      </c>
      <c r="G274" s="117">
        <v>0</v>
      </c>
      <c r="H274" s="117">
        <v>8</v>
      </c>
      <c r="I274" s="117">
        <v>518400</v>
      </c>
      <c r="J274" s="117">
        <v>1461</v>
      </c>
      <c r="K274" s="117">
        <v>171653300</v>
      </c>
      <c r="L274" s="117">
        <v>0</v>
      </c>
      <c r="M274" s="117">
        <v>0</v>
      </c>
      <c r="N274" s="117">
        <v>0</v>
      </c>
      <c r="O274" s="117">
        <v>0</v>
      </c>
      <c r="P274" s="117">
        <v>59</v>
      </c>
      <c r="Q274" s="117">
        <v>6594500</v>
      </c>
      <c r="R274" s="117">
        <v>0</v>
      </c>
      <c r="S274" s="117">
        <v>0</v>
      </c>
      <c r="T274" s="117">
        <v>0</v>
      </c>
      <c r="U274" s="117">
        <v>0</v>
      </c>
      <c r="V274" s="117">
        <v>9</v>
      </c>
      <c r="W274" s="117">
        <v>1711800</v>
      </c>
      <c r="X274" s="117">
        <v>0</v>
      </c>
      <c r="Y274" s="117">
        <v>0</v>
      </c>
      <c r="Z274" s="117">
        <v>0</v>
      </c>
      <c r="AA274" s="117">
        <v>0</v>
      </c>
      <c r="AB274" s="117">
        <v>17</v>
      </c>
      <c r="AC274" s="117">
        <v>144700</v>
      </c>
      <c r="AD274" s="117">
        <v>0</v>
      </c>
      <c r="AE274" s="117">
        <v>0</v>
      </c>
      <c r="AF274" s="117">
        <v>0</v>
      </c>
      <c r="AG274" s="117">
        <v>0</v>
      </c>
      <c r="AH274" s="117">
        <v>0</v>
      </c>
      <c r="AI274" s="117">
        <v>0</v>
      </c>
      <c r="AJ274" s="117">
        <v>0</v>
      </c>
      <c r="AK274" s="117">
        <v>0</v>
      </c>
      <c r="AL274" s="117">
        <v>0</v>
      </c>
      <c r="AM274" s="117">
        <v>0</v>
      </c>
      <c r="AN274" s="117">
        <v>3</v>
      </c>
      <c r="AO274" s="117">
        <v>27200</v>
      </c>
      <c r="AP274" s="117">
        <v>0</v>
      </c>
      <c r="AQ274" s="117">
        <v>0</v>
      </c>
      <c r="AR274" s="117">
        <v>0</v>
      </c>
      <c r="AS274" s="117">
        <v>0</v>
      </c>
      <c r="AT274" s="117">
        <v>107</v>
      </c>
      <c r="AU274" s="117">
        <v>11081600</v>
      </c>
    </row>
    <row r="275" spans="1:47" x14ac:dyDescent="0.25">
      <c r="A275" s="269"/>
      <c r="B275" s="269"/>
      <c r="C275" s="269" t="s">
        <v>93</v>
      </c>
      <c r="D275" s="269"/>
      <c r="E275" s="269"/>
      <c r="F275" s="270">
        <v>108</v>
      </c>
      <c r="G275" s="270">
        <v>5770700</v>
      </c>
      <c r="H275" s="270">
        <v>1991</v>
      </c>
      <c r="I275" s="270">
        <v>121880200</v>
      </c>
      <c r="J275" s="270">
        <v>37759</v>
      </c>
      <c r="K275" s="270">
        <v>3115134600</v>
      </c>
      <c r="L275" s="270">
        <v>2</v>
      </c>
      <c r="M275" s="270">
        <v>121900</v>
      </c>
      <c r="N275" s="270">
        <v>66</v>
      </c>
      <c r="O275" s="270">
        <v>11905000</v>
      </c>
      <c r="P275" s="270">
        <v>3444</v>
      </c>
      <c r="Q275" s="270">
        <v>526698800</v>
      </c>
      <c r="R275" s="270">
        <v>0</v>
      </c>
      <c r="S275" s="270">
        <v>0</v>
      </c>
      <c r="T275" s="270">
        <v>0</v>
      </c>
      <c r="U275" s="270">
        <v>0</v>
      </c>
      <c r="V275" s="270">
        <v>321</v>
      </c>
      <c r="W275" s="270">
        <v>75276700</v>
      </c>
      <c r="X275" s="270">
        <v>0</v>
      </c>
      <c r="Y275" s="270">
        <v>0</v>
      </c>
      <c r="Z275" s="270">
        <v>2</v>
      </c>
      <c r="AA275" s="270">
        <v>205100</v>
      </c>
      <c r="AB275" s="270">
        <v>53</v>
      </c>
      <c r="AC275" s="270">
        <v>10346400</v>
      </c>
      <c r="AD275" s="270">
        <v>45</v>
      </c>
      <c r="AE275" s="270">
        <v>2621600</v>
      </c>
      <c r="AF275" s="270">
        <v>451</v>
      </c>
      <c r="AG275" s="270">
        <v>25278200</v>
      </c>
      <c r="AH275" s="270">
        <v>2187</v>
      </c>
      <c r="AI275" s="270">
        <v>141853100</v>
      </c>
      <c r="AJ275" s="270">
        <v>0</v>
      </c>
      <c r="AK275" s="270">
        <v>0</v>
      </c>
      <c r="AL275" s="270">
        <v>7</v>
      </c>
      <c r="AM275" s="270">
        <v>141000</v>
      </c>
      <c r="AN275" s="270">
        <v>123</v>
      </c>
      <c r="AO275" s="270">
        <v>4046400</v>
      </c>
      <c r="AP275" s="270">
        <v>4</v>
      </c>
      <c r="AQ275" s="270">
        <v>189500</v>
      </c>
      <c r="AR275" s="270">
        <v>74</v>
      </c>
      <c r="AS275" s="270">
        <v>8907400</v>
      </c>
      <c r="AT275" s="270">
        <v>2139</v>
      </c>
      <c r="AU275" s="270">
        <v>375380200</v>
      </c>
    </row>
    <row r="276" spans="1:47" x14ac:dyDescent="0.25">
      <c r="A276" s="117">
        <v>540224</v>
      </c>
      <c r="B276" s="2" t="s">
        <v>96</v>
      </c>
      <c r="C276" s="2" t="s">
        <v>97</v>
      </c>
      <c r="D276" s="2" t="s">
        <v>5</v>
      </c>
      <c r="E276" s="117">
        <v>5</v>
      </c>
      <c r="F276" s="117">
        <v>52</v>
      </c>
      <c r="G276" s="117">
        <v>2549000</v>
      </c>
      <c r="H276" s="117">
        <v>800</v>
      </c>
      <c r="I276" s="117">
        <v>27003700</v>
      </c>
      <c r="J276" s="117">
        <v>3492</v>
      </c>
      <c r="K276" s="117">
        <v>124079700</v>
      </c>
      <c r="L276" s="117">
        <v>1</v>
      </c>
      <c r="M276" s="117">
        <v>65900</v>
      </c>
      <c r="N276" s="117">
        <v>15</v>
      </c>
      <c r="O276" s="117">
        <v>1741300</v>
      </c>
      <c r="P276" s="117">
        <v>105</v>
      </c>
      <c r="Q276" s="117">
        <v>11423500</v>
      </c>
      <c r="R276" s="117">
        <v>0</v>
      </c>
      <c r="S276" s="117">
        <v>0</v>
      </c>
      <c r="T276" s="117">
        <v>0</v>
      </c>
      <c r="U276" s="117">
        <v>0</v>
      </c>
      <c r="V276" s="117">
        <v>1</v>
      </c>
      <c r="W276" s="117">
        <v>455100</v>
      </c>
      <c r="X276" s="117">
        <v>0</v>
      </c>
      <c r="Y276" s="117">
        <v>0</v>
      </c>
      <c r="Z276" s="117">
        <v>0</v>
      </c>
      <c r="AA276" s="117">
        <v>0</v>
      </c>
      <c r="AB276" s="117">
        <v>3</v>
      </c>
      <c r="AC276" s="117">
        <v>6673200</v>
      </c>
      <c r="AD276" s="117">
        <v>30</v>
      </c>
      <c r="AE276" s="117">
        <v>1655400</v>
      </c>
      <c r="AF276" s="117">
        <v>395</v>
      </c>
      <c r="AG276" s="117">
        <v>19518400</v>
      </c>
      <c r="AH276" s="117">
        <v>1606</v>
      </c>
      <c r="AI276" s="117">
        <v>83324800</v>
      </c>
      <c r="AJ276" s="117">
        <v>1</v>
      </c>
      <c r="AK276" s="117">
        <v>1100</v>
      </c>
      <c r="AL276" s="117">
        <v>5</v>
      </c>
      <c r="AM276" s="117">
        <v>26300</v>
      </c>
      <c r="AN276" s="117">
        <v>27</v>
      </c>
      <c r="AO276" s="117">
        <v>1070100</v>
      </c>
      <c r="AP276" s="117">
        <v>1</v>
      </c>
      <c r="AQ276" s="117">
        <v>36600</v>
      </c>
      <c r="AR276" s="117">
        <v>19</v>
      </c>
      <c r="AS276" s="117">
        <v>215300</v>
      </c>
      <c r="AT276" s="117">
        <v>195</v>
      </c>
      <c r="AU276" s="117">
        <v>8779800</v>
      </c>
    </row>
    <row r="277" spans="1:47" x14ac:dyDescent="0.25">
      <c r="A277" s="117">
        <v>540132</v>
      </c>
      <c r="B277" s="2" t="s">
        <v>216</v>
      </c>
      <c r="C277" s="2" t="s">
        <v>97</v>
      </c>
      <c r="D277" s="2" t="s">
        <v>115</v>
      </c>
      <c r="E277" s="117">
        <v>5</v>
      </c>
      <c r="F277" s="117">
        <v>0</v>
      </c>
      <c r="G277" s="117">
        <v>0</v>
      </c>
      <c r="H277" s="117">
        <v>36</v>
      </c>
      <c r="I277" s="117">
        <v>669100</v>
      </c>
      <c r="J277" s="117">
        <v>988</v>
      </c>
      <c r="K277" s="117">
        <v>51505600</v>
      </c>
      <c r="L277" s="117">
        <v>0</v>
      </c>
      <c r="M277" s="117">
        <v>0</v>
      </c>
      <c r="N277" s="117">
        <v>2</v>
      </c>
      <c r="O277" s="117">
        <v>226000</v>
      </c>
      <c r="P277" s="117">
        <v>129</v>
      </c>
      <c r="Q277" s="117">
        <v>12703200</v>
      </c>
      <c r="R277" s="117">
        <v>0</v>
      </c>
      <c r="S277" s="117">
        <v>0</v>
      </c>
      <c r="T277" s="117">
        <v>0</v>
      </c>
      <c r="U277" s="117">
        <v>0</v>
      </c>
      <c r="V277" s="117">
        <v>2</v>
      </c>
      <c r="W277" s="117">
        <v>283600</v>
      </c>
      <c r="X277" s="117">
        <v>0</v>
      </c>
      <c r="Y277" s="117">
        <v>0</v>
      </c>
      <c r="Z277" s="117">
        <v>0</v>
      </c>
      <c r="AA277" s="117">
        <v>0</v>
      </c>
      <c r="AB277" s="117">
        <v>0</v>
      </c>
      <c r="AC277" s="117">
        <v>0</v>
      </c>
      <c r="AD277" s="117">
        <v>0</v>
      </c>
      <c r="AE277" s="117">
        <v>0</v>
      </c>
      <c r="AF277" s="117">
        <v>1</v>
      </c>
      <c r="AG277" s="117">
        <v>2700</v>
      </c>
      <c r="AH277" s="117">
        <v>7</v>
      </c>
      <c r="AI277" s="117">
        <v>419700</v>
      </c>
      <c r="AJ277" s="117">
        <v>0</v>
      </c>
      <c r="AK277" s="117">
        <v>0</v>
      </c>
      <c r="AL277" s="117">
        <v>0</v>
      </c>
      <c r="AM277" s="117">
        <v>0</v>
      </c>
      <c r="AN277" s="117">
        <v>5</v>
      </c>
      <c r="AO277" s="117">
        <v>332300</v>
      </c>
      <c r="AP277" s="117">
        <v>0</v>
      </c>
      <c r="AQ277" s="117">
        <v>0</v>
      </c>
      <c r="AR277" s="117">
        <v>2</v>
      </c>
      <c r="AS277" s="117">
        <v>13300</v>
      </c>
      <c r="AT277" s="117">
        <v>79</v>
      </c>
      <c r="AU277" s="117">
        <v>6971200</v>
      </c>
    </row>
    <row r="278" spans="1:47" x14ac:dyDescent="0.25">
      <c r="A278" s="117">
        <v>540179</v>
      </c>
      <c r="B278" s="2" t="s">
        <v>250</v>
      </c>
      <c r="C278" s="2" t="s">
        <v>97</v>
      </c>
      <c r="D278" s="2" t="s">
        <v>115</v>
      </c>
      <c r="E278" s="117">
        <v>5</v>
      </c>
      <c r="F278" s="117">
        <v>1</v>
      </c>
      <c r="G278" s="117">
        <v>10700</v>
      </c>
      <c r="H278" s="117">
        <v>26</v>
      </c>
      <c r="I278" s="117">
        <v>172600</v>
      </c>
      <c r="J278" s="117">
        <v>223</v>
      </c>
      <c r="K278" s="117">
        <v>3719600</v>
      </c>
      <c r="L278" s="117">
        <v>0</v>
      </c>
      <c r="M278" s="117">
        <v>0</v>
      </c>
      <c r="N278" s="117">
        <v>0</v>
      </c>
      <c r="O278" s="117">
        <v>0</v>
      </c>
      <c r="P278" s="117">
        <v>9</v>
      </c>
      <c r="Q278" s="117">
        <v>147400</v>
      </c>
      <c r="R278" s="117">
        <v>0</v>
      </c>
      <c r="S278" s="117">
        <v>0</v>
      </c>
      <c r="T278" s="117">
        <v>0</v>
      </c>
      <c r="U278" s="117">
        <v>0</v>
      </c>
      <c r="V278" s="117">
        <v>0</v>
      </c>
      <c r="W278" s="117">
        <v>0</v>
      </c>
      <c r="X278" s="117">
        <v>0</v>
      </c>
      <c r="Y278" s="117">
        <v>0</v>
      </c>
      <c r="Z278" s="117">
        <v>0</v>
      </c>
      <c r="AA278" s="117">
        <v>0</v>
      </c>
      <c r="AB278" s="117">
        <v>0</v>
      </c>
      <c r="AC278" s="117">
        <v>0</v>
      </c>
      <c r="AD278" s="117">
        <v>0</v>
      </c>
      <c r="AE278" s="117">
        <v>0</v>
      </c>
      <c r="AF278" s="117">
        <v>2</v>
      </c>
      <c r="AG278" s="117">
        <v>29400</v>
      </c>
      <c r="AH278" s="117">
        <v>13</v>
      </c>
      <c r="AI278" s="117">
        <v>208800</v>
      </c>
      <c r="AJ278" s="117">
        <v>0</v>
      </c>
      <c r="AK278" s="117">
        <v>0</v>
      </c>
      <c r="AL278" s="117">
        <v>0</v>
      </c>
      <c r="AM278" s="117">
        <v>0</v>
      </c>
      <c r="AN278" s="117">
        <v>4</v>
      </c>
      <c r="AO278" s="117">
        <v>37900</v>
      </c>
      <c r="AP278" s="117">
        <v>0</v>
      </c>
      <c r="AQ278" s="117">
        <v>0</v>
      </c>
      <c r="AR278" s="117">
        <v>2</v>
      </c>
      <c r="AS278" s="117">
        <v>5300</v>
      </c>
      <c r="AT278" s="117">
        <v>13</v>
      </c>
      <c r="AU278" s="117">
        <v>381500</v>
      </c>
    </row>
    <row r="279" spans="1:47" x14ac:dyDescent="0.25">
      <c r="A279" s="117">
        <v>540180</v>
      </c>
      <c r="B279" s="2" t="s">
        <v>251</v>
      </c>
      <c r="C279" s="2" t="s">
        <v>97</v>
      </c>
      <c r="D279" s="2" t="s">
        <v>115</v>
      </c>
      <c r="E279" s="117">
        <v>5</v>
      </c>
      <c r="F279" s="117">
        <v>1</v>
      </c>
      <c r="G279" s="117">
        <v>500</v>
      </c>
      <c r="H279" s="117">
        <v>9</v>
      </c>
      <c r="I279" s="117">
        <v>122100</v>
      </c>
      <c r="J279" s="117">
        <v>226</v>
      </c>
      <c r="K279" s="117">
        <v>6084900</v>
      </c>
      <c r="L279" s="117">
        <v>1</v>
      </c>
      <c r="M279" s="117">
        <v>11000</v>
      </c>
      <c r="N279" s="117">
        <v>1</v>
      </c>
      <c r="O279" s="117">
        <v>7500</v>
      </c>
      <c r="P279" s="117">
        <v>41</v>
      </c>
      <c r="Q279" s="117">
        <v>4110700</v>
      </c>
      <c r="R279" s="117">
        <v>0</v>
      </c>
      <c r="S279" s="117">
        <v>0</v>
      </c>
      <c r="T279" s="117">
        <v>0</v>
      </c>
      <c r="U279" s="117">
        <v>0</v>
      </c>
      <c r="V279" s="117">
        <v>0</v>
      </c>
      <c r="W279" s="117">
        <v>0</v>
      </c>
      <c r="X279" s="117">
        <v>0</v>
      </c>
      <c r="Y279" s="117">
        <v>0</v>
      </c>
      <c r="Z279" s="117">
        <v>0</v>
      </c>
      <c r="AA279" s="117">
        <v>0</v>
      </c>
      <c r="AB279" s="117">
        <v>2</v>
      </c>
      <c r="AC279" s="117">
        <v>108500</v>
      </c>
      <c r="AD279" s="117">
        <v>0</v>
      </c>
      <c r="AE279" s="117">
        <v>0</v>
      </c>
      <c r="AF279" s="117">
        <v>5</v>
      </c>
      <c r="AG279" s="117">
        <v>91600</v>
      </c>
      <c r="AH279" s="117">
        <v>4</v>
      </c>
      <c r="AI279" s="117">
        <v>75500</v>
      </c>
      <c r="AJ279" s="117">
        <v>0</v>
      </c>
      <c r="AK279" s="117">
        <v>0</v>
      </c>
      <c r="AL279" s="117">
        <v>0</v>
      </c>
      <c r="AM279" s="117">
        <v>0</v>
      </c>
      <c r="AN279" s="117">
        <v>2</v>
      </c>
      <c r="AO279" s="117">
        <v>41400</v>
      </c>
      <c r="AP279" s="117">
        <v>0</v>
      </c>
      <c r="AQ279" s="117">
        <v>0</v>
      </c>
      <c r="AR279" s="117">
        <v>6</v>
      </c>
      <c r="AS279" s="117">
        <v>12600</v>
      </c>
      <c r="AT279" s="117">
        <v>29</v>
      </c>
      <c r="AU279" s="117">
        <v>12345800</v>
      </c>
    </row>
    <row r="280" spans="1:47" x14ac:dyDescent="0.25">
      <c r="A280" s="117">
        <v>540182</v>
      </c>
      <c r="B280" s="2" t="s">
        <v>252</v>
      </c>
      <c r="C280" s="2" t="s">
        <v>97</v>
      </c>
      <c r="D280" s="2" t="s">
        <v>115</v>
      </c>
      <c r="E280" s="117">
        <v>5</v>
      </c>
      <c r="F280" s="117">
        <v>7</v>
      </c>
      <c r="G280" s="117">
        <v>75700</v>
      </c>
      <c r="H280" s="117">
        <v>122</v>
      </c>
      <c r="I280" s="117">
        <v>1954600</v>
      </c>
      <c r="J280" s="117">
        <v>777</v>
      </c>
      <c r="K280" s="117">
        <v>25032400</v>
      </c>
      <c r="L280" s="117">
        <v>0</v>
      </c>
      <c r="M280" s="117">
        <v>0</v>
      </c>
      <c r="N280" s="117">
        <v>1</v>
      </c>
      <c r="O280" s="117">
        <v>6400</v>
      </c>
      <c r="P280" s="117">
        <v>64</v>
      </c>
      <c r="Q280" s="117">
        <v>3981500</v>
      </c>
      <c r="R280" s="117">
        <v>0</v>
      </c>
      <c r="S280" s="117">
        <v>0</v>
      </c>
      <c r="T280" s="117">
        <v>0</v>
      </c>
      <c r="U280" s="117">
        <v>0</v>
      </c>
      <c r="V280" s="117">
        <v>0</v>
      </c>
      <c r="W280" s="117">
        <v>0</v>
      </c>
      <c r="X280" s="117">
        <v>0</v>
      </c>
      <c r="Y280" s="117">
        <v>0</v>
      </c>
      <c r="Z280" s="117">
        <v>1</v>
      </c>
      <c r="AA280" s="117">
        <v>42800</v>
      </c>
      <c r="AB280" s="117">
        <v>5</v>
      </c>
      <c r="AC280" s="117">
        <v>3136400</v>
      </c>
      <c r="AD280" s="117">
        <v>0</v>
      </c>
      <c r="AE280" s="117">
        <v>0</v>
      </c>
      <c r="AF280" s="117">
        <v>2</v>
      </c>
      <c r="AG280" s="117">
        <v>118600</v>
      </c>
      <c r="AH280" s="117">
        <v>9</v>
      </c>
      <c r="AI280" s="117">
        <v>586700</v>
      </c>
      <c r="AJ280" s="117">
        <v>0</v>
      </c>
      <c r="AK280" s="117">
        <v>0</v>
      </c>
      <c r="AL280" s="117">
        <v>0</v>
      </c>
      <c r="AM280" s="117">
        <v>0</v>
      </c>
      <c r="AN280" s="117">
        <v>3</v>
      </c>
      <c r="AO280" s="117">
        <v>50100</v>
      </c>
      <c r="AP280" s="117">
        <v>2</v>
      </c>
      <c r="AQ280" s="117">
        <v>91700</v>
      </c>
      <c r="AR280" s="117">
        <v>4</v>
      </c>
      <c r="AS280" s="117">
        <v>122000</v>
      </c>
      <c r="AT280" s="117">
        <v>65</v>
      </c>
      <c r="AU280" s="117">
        <v>2256600</v>
      </c>
    </row>
    <row r="281" spans="1:47" x14ac:dyDescent="0.25">
      <c r="A281" s="117">
        <v>540262</v>
      </c>
      <c r="B281" s="2" t="s">
        <v>305</v>
      </c>
      <c r="C281" s="2" t="s">
        <v>97</v>
      </c>
      <c r="D281" s="2" t="s">
        <v>115</v>
      </c>
      <c r="E281" s="117">
        <v>5</v>
      </c>
      <c r="F281" s="117">
        <v>0</v>
      </c>
      <c r="G281" s="117">
        <v>0</v>
      </c>
      <c r="H281" s="117">
        <v>0</v>
      </c>
      <c r="I281" s="117">
        <v>0</v>
      </c>
      <c r="J281" s="117">
        <v>28</v>
      </c>
      <c r="K281" s="117">
        <v>444300</v>
      </c>
      <c r="L281" s="117">
        <v>0</v>
      </c>
      <c r="M281" s="117">
        <v>0</v>
      </c>
      <c r="N281" s="117">
        <v>0</v>
      </c>
      <c r="O281" s="117">
        <v>0</v>
      </c>
      <c r="P281" s="117">
        <v>0</v>
      </c>
      <c r="Q281" s="117">
        <v>0</v>
      </c>
      <c r="R281" s="117">
        <v>0</v>
      </c>
      <c r="S281" s="117">
        <v>0</v>
      </c>
      <c r="T281" s="117">
        <v>0</v>
      </c>
      <c r="U281" s="117">
        <v>0</v>
      </c>
      <c r="V281" s="117">
        <v>0</v>
      </c>
      <c r="W281" s="117">
        <v>0</v>
      </c>
      <c r="X281" s="117">
        <v>0</v>
      </c>
      <c r="Y281" s="117">
        <v>0</v>
      </c>
      <c r="Z281" s="117">
        <v>0</v>
      </c>
      <c r="AA281" s="117">
        <v>0</v>
      </c>
      <c r="AB281" s="117">
        <v>0</v>
      </c>
      <c r="AC281" s="117">
        <v>0</v>
      </c>
      <c r="AD281" s="117">
        <v>0</v>
      </c>
      <c r="AE281" s="117">
        <v>0</v>
      </c>
      <c r="AF281" s="117">
        <v>1</v>
      </c>
      <c r="AG281" s="117">
        <v>95100</v>
      </c>
      <c r="AH281" s="117">
        <v>4</v>
      </c>
      <c r="AI281" s="117">
        <v>103900</v>
      </c>
      <c r="AJ281" s="117">
        <v>0</v>
      </c>
      <c r="AK281" s="117">
        <v>0</v>
      </c>
      <c r="AL281" s="117">
        <v>0</v>
      </c>
      <c r="AM281" s="117">
        <v>0</v>
      </c>
      <c r="AN281" s="117">
        <v>1</v>
      </c>
      <c r="AO281" s="117">
        <v>12700</v>
      </c>
      <c r="AP281" s="117">
        <v>0</v>
      </c>
      <c r="AQ281" s="117">
        <v>0</v>
      </c>
      <c r="AR281" s="117">
        <v>3</v>
      </c>
      <c r="AS281" s="117">
        <v>35800</v>
      </c>
      <c r="AT281" s="117">
        <v>5</v>
      </c>
      <c r="AU281" s="117">
        <v>64900</v>
      </c>
    </row>
    <row r="282" spans="1:47" x14ac:dyDescent="0.25">
      <c r="A282" s="117">
        <v>540263</v>
      </c>
      <c r="B282" s="2" t="s">
        <v>306</v>
      </c>
      <c r="C282" s="2" t="s">
        <v>97</v>
      </c>
      <c r="D282" s="2" t="s">
        <v>115</v>
      </c>
      <c r="E282" s="117">
        <v>5</v>
      </c>
      <c r="F282" s="117">
        <v>0</v>
      </c>
      <c r="G282" s="117">
        <v>0</v>
      </c>
      <c r="H282" s="117">
        <v>1</v>
      </c>
      <c r="I282" s="117">
        <v>300</v>
      </c>
      <c r="J282" s="117">
        <v>76</v>
      </c>
      <c r="K282" s="117">
        <v>1484800</v>
      </c>
      <c r="L282" s="117">
        <v>0</v>
      </c>
      <c r="M282" s="117">
        <v>0</v>
      </c>
      <c r="N282" s="117">
        <v>0</v>
      </c>
      <c r="O282" s="117">
        <v>0</v>
      </c>
      <c r="P282" s="117">
        <v>4</v>
      </c>
      <c r="Q282" s="117">
        <v>15000</v>
      </c>
      <c r="R282" s="117">
        <v>0</v>
      </c>
      <c r="S282" s="117">
        <v>0</v>
      </c>
      <c r="T282" s="117">
        <v>0</v>
      </c>
      <c r="U282" s="117">
        <v>0</v>
      </c>
      <c r="V282" s="117">
        <v>0</v>
      </c>
      <c r="W282" s="117">
        <v>0</v>
      </c>
      <c r="X282" s="117">
        <v>0</v>
      </c>
      <c r="Y282" s="117">
        <v>0</v>
      </c>
      <c r="Z282" s="117">
        <v>0</v>
      </c>
      <c r="AA282" s="117">
        <v>0</v>
      </c>
      <c r="AB282" s="117">
        <v>0</v>
      </c>
      <c r="AC282" s="117">
        <v>0</v>
      </c>
      <c r="AD282" s="117">
        <v>0</v>
      </c>
      <c r="AE282" s="117">
        <v>0</v>
      </c>
      <c r="AF282" s="117">
        <v>0</v>
      </c>
      <c r="AG282" s="117">
        <v>0</v>
      </c>
      <c r="AH282" s="117">
        <v>3</v>
      </c>
      <c r="AI282" s="117">
        <v>6800</v>
      </c>
      <c r="AJ282" s="117">
        <v>0</v>
      </c>
      <c r="AK282" s="117">
        <v>0</v>
      </c>
      <c r="AL282" s="117">
        <v>0</v>
      </c>
      <c r="AM282" s="117">
        <v>0</v>
      </c>
      <c r="AN282" s="117">
        <v>0</v>
      </c>
      <c r="AO282" s="117">
        <v>0</v>
      </c>
      <c r="AP282" s="117">
        <v>0</v>
      </c>
      <c r="AQ282" s="117">
        <v>0</v>
      </c>
      <c r="AR282" s="117">
        <v>0</v>
      </c>
      <c r="AS282" s="117">
        <v>0</v>
      </c>
      <c r="AT282" s="117">
        <v>7</v>
      </c>
      <c r="AU282" s="117">
        <v>236300</v>
      </c>
    </row>
    <row r="283" spans="1:47" x14ac:dyDescent="0.25">
      <c r="A283" s="269"/>
      <c r="B283" s="269"/>
      <c r="C283" s="269" t="s">
        <v>97</v>
      </c>
      <c r="D283" s="269"/>
      <c r="E283" s="269"/>
      <c r="F283" s="270">
        <v>61</v>
      </c>
      <c r="G283" s="270">
        <v>2635900</v>
      </c>
      <c r="H283" s="270">
        <v>994</v>
      </c>
      <c r="I283" s="270">
        <v>29922400</v>
      </c>
      <c r="J283" s="270">
        <v>5810</v>
      </c>
      <c r="K283" s="270">
        <v>212351300</v>
      </c>
      <c r="L283" s="270">
        <v>2</v>
      </c>
      <c r="M283" s="270">
        <v>76900</v>
      </c>
      <c r="N283" s="270">
        <v>19</v>
      </c>
      <c r="O283" s="270">
        <v>1981200</v>
      </c>
      <c r="P283" s="270">
        <v>352</v>
      </c>
      <c r="Q283" s="270">
        <v>32381300</v>
      </c>
      <c r="R283" s="270">
        <v>0</v>
      </c>
      <c r="S283" s="270">
        <v>0</v>
      </c>
      <c r="T283" s="270">
        <v>0</v>
      </c>
      <c r="U283" s="270">
        <v>0</v>
      </c>
      <c r="V283" s="270">
        <v>3</v>
      </c>
      <c r="W283" s="270">
        <v>738700</v>
      </c>
      <c r="X283" s="270">
        <v>0</v>
      </c>
      <c r="Y283" s="270">
        <v>0</v>
      </c>
      <c r="Z283" s="270">
        <v>1</v>
      </c>
      <c r="AA283" s="270">
        <v>42800</v>
      </c>
      <c r="AB283" s="270">
        <v>10</v>
      </c>
      <c r="AC283" s="270">
        <v>9918100</v>
      </c>
      <c r="AD283" s="270">
        <v>30</v>
      </c>
      <c r="AE283" s="270">
        <v>1655400</v>
      </c>
      <c r="AF283" s="270">
        <v>406</v>
      </c>
      <c r="AG283" s="270">
        <v>19855800</v>
      </c>
      <c r="AH283" s="270">
        <v>1646</v>
      </c>
      <c r="AI283" s="270">
        <v>84726200</v>
      </c>
      <c r="AJ283" s="270">
        <v>1</v>
      </c>
      <c r="AK283" s="270">
        <v>1100</v>
      </c>
      <c r="AL283" s="270">
        <v>5</v>
      </c>
      <c r="AM283" s="270">
        <v>26300</v>
      </c>
      <c r="AN283" s="270">
        <v>42</v>
      </c>
      <c r="AO283" s="270">
        <v>1544500</v>
      </c>
      <c r="AP283" s="270">
        <v>3</v>
      </c>
      <c r="AQ283" s="270">
        <v>128300</v>
      </c>
      <c r="AR283" s="270">
        <v>36</v>
      </c>
      <c r="AS283" s="270">
        <v>404300</v>
      </c>
      <c r="AT283" s="270">
        <v>393</v>
      </c>
      <c r="AU283" s="270">
        <v>31036100</v>
      </c>
    </row>
    <row r="284" spans="1:47" x14ac:dyDescent="0.25">
      <c r="A284" s="117">
        <v>540225</v>
      </c>
      <c r="B284" s="2" t="s">
        <v>98</v>
      </c>
      <c r="C284" s="2" t="s">
        <v>99</v>
      </c>
      <c r="D284" s="2" t="s">
        <v>5</v>
      </c>
      <c r="E284" s="117">
        <v>5</v>
      </c>
      <c r="F284" s="117">
        <v>14</v>
      </c>
      <c r="G284" s="117">
        <v>795800</v>
      </c>
      <c r="H284" s="117">
        <v>402</v>
      </c>
      <c r="I284" s="117">
        <v>16368600</v>
      </c>
      <c r="J284" s="117">
        <v>1958</v>
      </c>
      <c r="K284" s="117">
        <v>104244300</v>
      </c>
      <c r="L284" s="117">
        <v>0</v>
      </c>
      <c r="M284" s="117">
        <v>0</v>
      </c>
      <c r="N284" s="117">
        <v>6</v>
      </c>
      <c r="O284" s="117">
        <v>715700</v>
      </c>
      <c r="P284" s="117">
        <v>28</v>
      </c>
      <c r="Q284" s="117">
        <v>3871300</v>
      </c>
      <c r="R284" s="117">
        <v>0</v>
      </c>
      <c r="S284" s="117">
        <v>0</v>
      </c>
      <c r="T284" s="117">
        <v>0</v>
      </c>
      <c r="U284" s="117">
        <v>0</v>
      </c>
      <c r="V284" s="117">
        <v>3</v>
      </c>
      <c r="W284" s="117">
        <v>104800</v>
      </c>
      <c r="X284" s="117">
        <v>0</v>
      </c>
      <c r="Y284" s="117">
        <v>0</v>
      </c>
      <c r="Z284" s="117">
        <v>0</v>
      </c>
      <c r="AA284" s="117">
        <v>0</v>
      </c>
      <c r="AB284" s="117">
        <v>4</v>
      </c>
      <c r="AC284" s="117">
        <v>40800</v>
      </c>
      <c r="AD284" s="117">
        <v>2</v>
      </c>
      <c r="AE284" s="117">
        <v>277100</v>
      </c>
      <c r="AF284" s="117">
        <v>143</v>
      </c>
      <c r="AG284" s="117">
        <v>3912100</v>
      </c>
      <c r="AH284" s="117">
        <v>581</v>
      </c>
      <c r="AI284" s="117">
        <v>19938300</v>
      </c>
      <c r="AJ284" s="117">
        <v>0</v>
      </c>
      <c r="AK284" s="117">
        <v>0</v>
      </c>
      <c r="AL284" s="117">
        <v>2</v>
      </c>
      <c r="AM284" s="117">
        <v>60200</v>
      </c>
      <c r="AN284" s="117">
        <v>48</v>
      </c>
      <c r="AO284" s="117">
        <v>1157100</v>
      </c>
      <c r="AP284" s="117">
        <v>0</v>
      </c>
      <c r="AQ284" s="117">
        <v>0</v>
      </c>
      <c r="AR284" s="117">
        <v>9</v>
      </c>
      <c r="AS284" s="117">
        <v>332700</v>
      </c>
      <c r="AT284" s="117">
        <v>90</v>
      </c>
      <c r="AU284" s="117">
        <v>2581800</v>
      </c>
    </row>
    <row r="285" spans="1:47" x14ac:dyDescent="0.25">
      <c r="A285" s="117">
        <v>540156</v>
      </c>
      <c r="B285" s="2" t="s">
        <v>232</v>
      </c>
      <c r="C285" s="2" t="s">
        <v>99</v>
      </c>
      <c r="D285" s="2" t="s">
        <v>115</v>
      </c>
      <c r="E285" s="117">
        <v>5</v>
      </c>
      <c r="F285" s="117">
        <v>2</v>
      </c>
      <c r="G285" s="117">
        <v>125500</v>
      </c>
      <c r="H285" s="117">
        <v>38</v>
      </c>
      <c r="I285" s="117">
        <v>1056700</v>
      </c>
      <c r="J285" s="117">
        <v>894</v>
      </c>
      <c r="K285" s="117">
        <v>62890700</v>
      </c>
      <c r="L285" s="117">
        <v>0</v>
      </c>
      <c r="M285" s="117">
        <v>0</v>
      </c>
      <c r="N285" s="117">
        <v>0</v>
      </c>
      <c r="O285" s="117">
        <v>0</v>
      </c>
      <c r="P285" s="117">
        <v>72</v>
      </c>
      <c r="Q285" s="117">
        <v>7967200</v>
      </c>
      <c r="R285" s="117">
        <v>0</v>
      </c>
      <c r="S285" s="117">
        <v>0</v>
      </c>
      <c r="T285" s="117">
        <v>0</v>
      </c>
      <c r="U285" s="117">
        <v>0</v>
      </c>
      <c r="V285" s="117">
        <v>5</v>
      </c>
      <c r="W285" s="117">
        <v>1411300</v>
      </c>
      <c r="X285" s="117">
        <v>0</v>
      </c>
      <c r="Y285" s="117">
        <v>0</v>
      </c>
      <c r="Z285" s="117">
        <v>0</v>
      </c>
      <c r="AA285" s="117">
        <v>0</v>
      </c>
      <c r="AB285" s="117">
        <v>0</v>
      </c>
      <c r="AC285" s="117">
        <v>0</v>
      </c>
      <c r="AD285" s="117">
        <v>0</v>
      </c>
      <c r="AE285" s="117">
        <v>0</v>
      </c>
      <c r="AF285" s="117">
        <v>0</v>
      </c>
      <c r="AG285" s="117">
        <v>0</v>
      </c>
      <c r="AH285" s="117">
        <v>0</v>
      </c>
      <c r="AI285" s="117">
        <v>0</v>
      </c>
      <c r="AJ285" s="117">
        <v>0</v>
      </c>
      <c r="AK285" s="117">
        <v>0</v>
      </c>
      <c r="AL285" s="117">
        <v>0</v>
      </c>
      <c r="AM285" s="117">
        <v>0</v>
      </c>
      <c r="AN285" s="117">
        <v>8</v>
      </c>
      <c r="AO285" s="117">
        <v>227300</v>
      </c>
      <c r="AP285" s="117">
        <v>0</v>
      </c>
      <c r="AQ285" s="117">
        <v>0</v>
      </c>
      <c r="AR285" s="117">
        <v>2</v>
      </c>
      <c r="AS285" s="117">
        <v>400</v>
      </c>
      <c r="AT285" s="117">
        <v>85</v>
      </c>
      <c r="AU285" s="117">
        <v>34392900</v>
      </c>
    </row>
    <row r="286" spans="1:47" x14ac:dyDescent="0.25">
      <c r="A286" s="117">
        <v>540253</v>
      </c>
      <c r="B286" s="2" t="s">
        <v>299</v>
      </c>
      <c r="C286" s="2" t="s">
        <v>99</v>
      </c>
      <c r="D286" s="2" t="s">
        <v>115</v>
      </c>
      <c r="E286" s="117">
        <v>5</v>
      </c>
      <c r="F286" s="117">
        <v>0</v>
      </c>
      <c r="G286" s="117">
        <v>0</v>
      </c>
      <c r="H286" s="117">
        <v>0</v>
      </c>
      <c r="I286" s="117">
        <v>0</v>
      </c>
      <c r="J286" s="117">
        <v>372</v>
      </c>
      <c r="K286" s="117">
        <v>25219200</v>
      </c>
      <c r="L286" s="117">
        <v>0</v>
      </c>
      <c r="M286" s="117">
        <v>0</v>
      </c>
      <c r="N286" s="117">
        <v>0</v>
      </c>
      <c r="O286" s="117">
        <v>0</v>
      </c>
      <c r="P286" s="117">
        <v>15</v>
      </c>
      <c r="Q286" s="117">
        <v>2933500</v>
      </c>
      <c r="R286" s="117">
        <v>0</v>
      </c>
      <c r="S286" s="117">
        <v>0</v>
      </c>
      <c r="T286" s="117">
        <v>0</v>
      </c>
      <c r="U286" s="117">
        <v>0</v>
      </c>
      <c r="V286" s="117">
        <v>9</v>
      </c>
      <c r="W286" s="117">
        <v>592600</v>
      </c>
      <c r="X286" s="117">
        <v>0</v>
      </c>
      <c r="Y286" s="117">
        <v>0</v>
      </c>
      <c r="Z286" s="117">
        <v>0</v>
      </c>
      <c r="AA286" s="117">
        <v>0</v>
      </c>
      <c r="AB286" s="117">
        <v>0</v>
      </c>
      <c r="AC286" s="117">
        <v>0</v>
      </c>
      <c r="AD286" s="117">
        <v>0</v>
      </c>
      <c r="AE286" s="117">
        <v>0</v>
      </c>
      <c r="AF286" s="117">
        <v>0</v>
      </c>
      <c r="AG286" s="117">
        <v>0</v>
      </c>
      <c r="AH286" s="117">
        <v>0</v>
      </c>
      <c r="AI286" s="117">
        <v>0</v>
      </c>
      <c r="AJ286" s="117">
        <v>0</v>
      </c>
      <c r="AK286" s="117">
        <v>0</v>
      </c>
      <c r="AL286" s="117">
        <v>0</v>
      </c>
      <c r="AM286" s="117">
        <v>0</v>
      </c>
      <c r="AN286" s="117">
        <v>0</v>
      </c>
      <c r="AO286" s="117">
        <v>0</v>
      </c>
      <c r="AP286" s="117">
        <v>0</v>
      </c>
      <c r="AQ286" s="117">
        <v>0</v>
      </c>
      <c r="AR286" s="117">
        <v>0</v>
      </c>
      <c r="AS286" s="117">
        <v>0</v>
      </c>
      <c r="AT286" s="117">
        <v>25</v>
      </c>
      <c r="AU286" s="117">
        <v>5047700</v>
      </c>
    </row>
    <row r="287" spans="1:47" x14ac:dyDescent="0.25">
      <c r="A287" s="269"/>
      <c r="B287" s="269"/>
      <c r="C287" s="269" t="s">
        <v>99</v>
      </c>
      <c r="D287" s="269"/>
      <c r="E287" s="269"/>
      <c r="F287" s="270">
        <v>16</v>
      </c>
      <c r="G287" s="270">
        <v>921300</v>
      </c>
      <c r="H287" s="270">
        <v>440</v>
      </c>
      <c r="I287" s="270">
        <v>17425300</v>
      </c>
      <c r="J287" s="270">
        <v>3224</v>
      </c>
      <c r="K287" s="270">
        <v>192354200</v>
      </c>
      <c r="L287" s="270">
        <v>0</v>
      </c>
      <c r="M287" s="270">
        <v>0</v>
      </c>
      <c r="N287" s="270">
        <v>6</v>
      </c>
      <c r="O287" s="270">
        <v>715700</v>
      </c>
      <c r="P287" s="270">
        <v>115</v>
      </c>
      <c r="Q287" s="270">
        <v>14772000</v>
      </c>
      <c r="R287" s="270">
        <v>0</v>
      </c>
      <c r="S287" s="270">
        <v>0</v>
      </c>
      <c r="T287" s="270">
        <v>0</v>
      </c>
      <c r="U287" s="270">
        <v>0</v>
      </c>
      <c r="V287" s="270">
        <v>17</v>
      </c>
      <c r="W287" s="270">
        <v>2108700</v>
      </c>
      <c r="X287" s="270">
        <v>0</v>
      </c>
      <c r="Y287" s="270">
        <v>0</v>
      </c>
      <c r="Z287" s="270">
        <v>0</v>
      </c>
      <c r="AA287" s="270">
        <v>0</v>
      </c>
      <c r="AB287" s="270">
        <v>4</v>
      </c>
      <c r="AC287" s="270">
        <v>40800</v>
      </c>
      <c r="AD287" s="270">
        <v>2</v>
      </c>
      <c r="AE287" s="270">
        <v>277100</v>
      </c>
      <c r="AF287" s="270">
        <v>143</v>
      </c>
      <c r="AG287" s="270">
        <v>3912100</v>
      </c>
      <c r="AH287" s="270">
        <v>581</v>
      </c>
      <c r="AI287" s="270">
        <v>19938300</v>
      </c>
      <c r="AJ287" s="270">
        <v>0</v>
      </c>
      <c r="AK287" s="270">
        <v>0</v>
      </c>
      <c r="AL287" s="270">
        <v>2</v>
      </c>
      <c r="AM287" s="270">
        <v>60200</v>
      </c>
      <c r="AN287" s="270">
        <v>56</v>
      </c>
      <c r="AO287" s="270">
        <v>1384400</v>
      </c>
      <c r="AP287" s="270">
        <v>0</v>
      </c>
      <c r="AQ287" s="270">
        <v>0</v>
      </c>
      <c r="AR287" s="270">
        <v>11</v>
      </c>
      <c r="AS287" s="270">
        <v>333100</v>
      </c>
      <c r="AT287" s="270">
        <v>200</v>
      </c>
      <c r="AU287" s="270">
        <v>42022400</v>
      </c>
    </row>
    <row r="288" spans="1:47" x14ac:dyDescent="0.25">
      <c r="A288" s="117">
        <v>540226</v>
      </c>
      <c r="B288" s="2" t="s">
        <v>100</v>
      </c>
      <c r="C288" s="2" t="s">
        <v>101</v>
      </c>
      <c r="D288" s="2" t="s">
        <v>5</v>
      </c>
      <c r="E288" s="117">
        <v>8</v>
      </c>
      <c r="F288" s="117">
        <v>227</v>
      </c>
      <c r="G288" s="117">
        <v>16281600</v>
      </c>
      <c r="H288" s="117">
        <v>1532</v>
      </c>
      <c r="I288" s="117">
        <v>107876200</v>
      </c>
      <c r="J288" s="117">
        <v>11807</v>
      </c>
      <c r="K288" s="117">
        <v>945228800</v>
      </c>
      <c r="L288" s="117">
        <v>3</v>
      </c>
      <c r="M288" s="117">
        <v>684800</v>
      </c>
      <c r="N288" s="117">
        <v>9</v>
      </c>
      <c r="O288" s="117">
        <v>1640800</v>
      </c>
      <c r="P288" s="117">
        <v>171</v>
      </c>
      <c r="Q288" s="117">
        <v>45305300</v>
      </c>
      <c r="R288" s="117">
        <v>0</v>
      </c>
      <c r="S288" s="117">
        <v>0</v>
      </c>
      <c r="T288" s="117">
        <v>0</v>
      </c>
      <c r="U288" s="117">
        <v>0</v>
      </c>
      <c r="V288" s="117">
        <v>0</v>
      </c>
      <c r="W288" s="117">
        <v>0</v>
      </c>
      <c r="X288" s="117">
        <v>0</v>
      </c>
      <c r="Y288" s="117">
        <v>0</v>
      </c>
      <c r="Z288" s="117">
        <v>1</v>
      </c>
      <c r="AA288" s="117">
        <v>348300</v>
      </c>
      <c r="AB288" s="117">
        <v>4</v>
      </c>
      <c r="AC288" s="117">
        <v>1793900</v>
      </c>
      <c r="AD288" s="117">
        <v>17</v>
      </c>
      <c r="AE288" s="117">
        <v>2599100</v>
      </c>
      <c r="AF288" s="117">
        <v>116</v>
      </c>
      <c r="AG288" s="117">
        <v>9047900</v>
      </c>
      <c r="AH288" s="117">
        <v>1438</v>
      </c>
      <c r="AI288" s="117">
        <v>133304700</v>
      </c>
      <c r="AJ288" s="117">
        <v>0</v>
      </c>
      <c r="AK288" s="117">
        <v>0</v>
      </c>
      <c r="AL288" s="117">
        <v>0</v>
      </c>
      <c r="AM288" s="117">
        <v>0</v>
      </c>
      <c r="AN288" s="117">
        <v>16</v>
      </c>
      <c r="AO288" s="117">
        <v>623900</v>
      </c>
      <c r="AP288" s="117">
        <v>4</v>
      </c>
      <c r="AQ288" s="117">
        <v>123100</v>
      </c>
      <c r="AR288" s="117">
        <v>31</v>
      </c>
      <c r="AS288" s="117">
        <v>1744500</v>
      </c>
      <c r="AT288" s="117">
        <v>305</v>
      </c>
      <c r="AU288" s="117">
        <v>113598900</v>
      </c>
    </row>
    <row r="289" spans="1:47" x14ac:dyDescent="0.25">
      <c r="A289" s="117">
        <v>540046</v>
      </c>
      <c r="B289" s="2" t="s">
        <v>147</v>
      </c>
      <c r="C289" s="2" t="s">
        <v>101</v>
      </c>
      <c r="D289" s="2" t="s">
        <v>115</v>
      </c>
      <c r="E289" s="117">
        <v>8</v>
      </c>
      <c r="F289" s="117">
        <v>0</v>
      </c>
      <c r="G289" s="117">
        <v>0</v>
      </c>
      <c r="H289" s="117">
        <v>0</v>
      </c>
      <c r="I289" s="117">
        <v>0</v>
      </c>
      <c r="J289" s="117">
        <v>105</v>
      </c>
      <c r="K289" s="117">
        <v>14193500</v>
      </c>
      <c r="L289" s="117">
        <v>0</v>
      </c>
      <c r="M289" s="117">
        <v>0</v>
      </c>
      <c r="N289" s="117">
        <v>1</v>
      </c>
      <c r="O289" s="117">
        <v>186200</v>
      </c>
      <c r="P289" s="117">
        <v>8</v>
      </c>
      <c r="Q289" s="117">
        <v>1242400</v>
      </c>
      <c r="R289" s="117">
        <v>0</v>
      </c>
      <c r="S289" s="117">
        <v>0</v>
      </c>
      <c r="T289" s="117">
        <v>0</v>
      </c>
      <c r="U289" s="117">
        <v>0</v>
      </c>
      <c r="V289" s="117">
        <v>0</v>
      </c>
      <c r="W289" s="117">
        <v>0</v>
      </c>
      <c r="X289" s="117">
        <v>0</v>
      </c>
      <c r="Y289" s="117">
        <v>0</v>
      </c>
      <c r="Z289" s="117">
        <v>0</v>
      </c>
      <c r="AA289" s="117">
        <v>0</v>
      </c>
      <c r="AB289" s="117">
        <v>1</v>
      </c>
      <c r="AC289" s="117">
        <v>567400</v>
      </c>
      <c r="AD289" s="117">
        <v>0</v>
      </c>
      <c r="AE289" s="117">
        <v>0</v>
      </c>
      <c r="AF289" s="117">
        <v>1</v>
      </c>
      <c r="AG289" s="117">
        <v>100</v>
      </c>
      <c r="AH289" s="117">
        <v>8</v>
      </c>
      <c r="AI289" s="117">
        <v>140400</v>
      </c>
      <c r="AJ289" s="117">
        <v>0</v>
      </c>
      <c r="AK289" s="117">
        <v>0</v>
      </c>
      <c r="AL289" s="117">
        <v>0</v>
      </c>
      <c r="AM289" s="117">
        <v>0</v>
      </c>
      <c r="AN289" s="117">
        <v>2</v>
      </c>
      <c r="AO289" s="117">
        <v>147000</v>
      </c>
      <c r="AP289" s="117">
        <v>0</v>
      </c>
      <c r="AQ289" s="117">
        <v>0</v>
      </c>
      <c r="AR289" s="117">
        <v>0</v>
      </c>
      <c r="AS289" s="117">
        <v>0</v>
      </c>
      <c r="AT289" s="117">
        <v>18</v>
      </c>
      <c r="AU289" s="117">
        <v>7016800</v>
      </c>
    </row>
    <row r="290" spans="1:47" x14ac:dyDescent="0.25">
      <c r="A290" s="117">
        <v>540276</v>
      </c>
      <c r="B290" s="2" t="s">
        <v>319</v>
      </c>
      <c r="C290" s="2" t="s">
        <v>101</v>
      </c>
      <c r="D290" s="2" t="s">
        <v>115</v>
      </c>
      <c r="E290" s="117">
        <v>8</v>
      </c>
      <c r="F290" s="117">
        <v>1</v>
      </c>
      <c r="G290" s="117">
        <v>126000</v>
      </c>
      <c r="H290" s="117">
        <v>21</v>
      </c>
      <c r="I290" s="117">
        <v>1600800</v>
      </c>
      <c r="J290" s="117">
        <v>655</v>
      </c>
      <c r="K290" s="117">
        <v>54954000</v>
      </c>
      <c r="L290" s="117">
        <v>0</v>
      </c>
      <c r="M290" s="117">
        <v>0</v>
      </c>
      <c r="N290" s="117">
        <v>2</v>
      </c>
      <c r="O290" s="117">
        <v>149700</v>
      </c>
      <c r="P290" s="117">
        <v>102</v>
      </c>
      <c r="Q290" s="117">
        <v>19080800</v>
      </c>
      <c r="R290" s="117">
        <v>0</v>
      </c>
      <c r="S290" s="117">
        <v>0</v>
      </c>
      <c r="T290" s="117">
        <v>0</v>
      </c>
      <c r="U290" s="117">
        <v>0</v>
      </c>
      <c r="V290" s="117">
        <v>7</v>
      </c>
      <c r="W290" s="117">
        <v>1936900</v>
      </c>
      <c r="X290" s="117">
        <v>0</v>
      </c>
      <c r="Y290" s="117">
        <v>0</v>
      </c>
      <c r="Z290" s="117">
        <v>0</v>
      </c>
      <c r="AA290" s="117">
        <v>0</v>
      </c>
      <c r="AB290" s="117">
        <v>0</v>
      </c>
      <c r="AC290" s="117">
        <v>0</v>
      </c>
      <c r="AD290" s="117">
        <v>0</v>
      </c>
      <c r="AE290" s="117">
        <v>0</v>
      </c>
      <c r="AF290" s="117">
        <v>0</v>
      </c>
      <c r="AG290" s="117">
        <v>0</v>
      </c>
      <c r="AH290" s="117">
        <v>0</v>
      </c>
      <c r="AI290" s="117">
        <v>0</v>
      </c>
      <c r="AJ290" s="117">
        <v>0</v>
      </c>
      <c r="AK290" s="117">
        <v>0</v>
      </c>
      <c r="AL290" s="117">
        <v>0</v>
      </c>
      <c r="AM290" s="117">
        <v>0</v>
      </c>
      <c r="AN290" s="117">
        <v>2</v>
      </c>
      <c r="AO290" s="117">
        <v>287000</v>
      </c>
      <c r="AP290" s="117">
        <v>1</v>
      </c>
      <c r="AQ290" s="117">
        <v>4500</v>
      </c>
      <c r="AR290" s="117">
        <v>1</v>
      </c>
      <c r="AS290" s="117">
        <v>1900</v>
      </c>
      <c r="AT290" s="117">
        <v>89</v>
      </c>
      <c r="AU290" s="117">
        <v>31407000</v>
      </c>
    </row>
    <row r="291" spans="1:47" x14ac:dyDescent="0.25">
      <c r="A291" s="269"/>
      <c r="B291" s="269"/>
      <c r="C291" s="269" t="s">
        <v>101</v>
      </c>
      <c r="D291" s="269"/>
      <c r="E291" s="269"/>
      <c r="F291" s="270">
        <v>228</v>
      </c>
      <c r="G291" s="270">
        <v>16407600</v>
      </c>
      <c r="H291" s="270">
        <v>1553</v>
      </c>
      <c r="I291" s="270">
        <v>109477000</v>
      </c>
      <c r="J291" s="270">
        <v>12567</v>
      </c>
      <c r="K291" s="270">
        <v>1014376300</v>
      </c>
      <c r="L291" s="270">
        <v>3</v>
      </c>
      <c r="M291" s="270">
        <v>684800</v>
      </c>
      <c r="N291" s="270">
        <v>12</v>
      </c>
      <c r="O291" s="270">
        <v>1976700</v>
      </c>
      <c r="P291" s="270">
        <v>281</v>
      </c>
      <c r="Q291" s="270">
        <v>65628500</v>
      </c>
      <c r="R291" s="270">
        <v>0</v>
      </c>
      <c r="S291" s="270">
        <v>0</v>
      </c>
      <c r="T291" s="270">
        <v>0</v>
      </c>
      <c r="U291" s="270">
        <v>0</v>
      </c>
      <c r="V291" s="270">
        <v>7</v>
      </c>
      <c r="W291" s="270">
        <v>1936900</v>
      </c>
      <c r="X291" s="270">
        <v>0</v>
      </c>
      <c r="Y291" s="270">
        <v>0</v>
      </c>
      <c r="Z291" s="270">
        <v>1</v>
      </c>
      <c r="AA291" s="270">
        <v>348300</v>
      </c>
      <c r="AB291" s="270">
        <v>5</v>
      </c>
      <c r="AC291" s="270">
        <v>2361300</v>
      </c>
      <c r="AD291" s="270">
        <v>17</v>
      </c>
      <c r="AE291" s="270">
        <v>2599100</v>
      </c>
      <c r="AF291" s="270">
        <v>117</v>
      </c>
      <c r="AG291" s="270">
        <v>9048000</v>
      </c>
      <c r="AH291" s="270">
        <v>1446</v>
      </c>
      <c r="AI291" s="270">
        <v>133445100</v>
      </c>
      <c r="AJ291" s="270">
        <v>0</v>
      </c>
      <c r="AK291" s="270">
        <v>0</v>
      </c>
      <c r="AL291" s="270">
        <v>0</v>
      </c>
      <c r="AM291" s="270">
        <v>0</v>
      </c>
      <c r="AN291" s="270">
        <v>20</v>
      </c>
      <c r="AO291" s="270">
        <v>1057900</v>
      </c>
      <c r="AP291" s="270">
        <v>5</v>
      </c>
      <c r="AQ291" s="270">
        <v>127600</v>
      </c>
      <c r="AR291" s="270">
        <v>32</v>
      </c>
      <c r="AS291" s="270">
        <v>1746400</v>
      </c>
      <c r="AT291" s="270">
        <v>412</v>
      </c>
      <c r="AU291" s="270">
        <v>152022700</v>
      </c>
    </row>
    <row r="292" spans="1:47" x14ac:dyDescent="0.25">
      <c r="A292" s="117">
        <v>540277</v>
      </c>
      <c r="B292" s="2" t="s">
        <v>102</v>
      </c>
      <c r="C292" s="2" t="s">
        <v>103</v>
      </c>
      <c r="D292" s="2" t="s">
        <v>5</v>
      </c>
      <c r="E292" s="117">
        <v>5</v>
      </c>
      <c r="F292" s="117">
        <v>1</v>
      </c>
      <c r="G292" s="117">
        <v>22900</v>
      </c>
      <c r="H292" s="117">
        <v>145</v>
      </c>
      <c r="I292" s="117">
        <v>3905400</v>
      </c>
      <c r="J292" s="117">
        <v>1631</v>
      </c>
      <c r="K292" s="117">
        <v>72608500</v>
      </c>
      <c r="L292" s="117">
        <v>0</v>
      </c>
      <c r="M292" s="117">
        <v>0</v>
      </c>
      <c r="N292" s="117">
        <v>2</v>
      </c>
      <c r="O292" s="117">
        <v>2789200</v>
      </c>
      <c r="P292" s="117">
        <v>26</v>
      </c>
      <c r="Q292" s="117">
        <v>5049900</v>
      </c>
      <c r="R292" s="117">
        <v>0</v>
      </c>
      <c r="S292" s="117">
        <v>0</v>
      </c>
      <c r="T292" s="117">
        <v>0</v>
      </c>
      <c r="U292" s="117">
        <v>0</v>
      </c>
      <c r="V292" s="117">
        <v>0</v>
      </c>
      <c r="W292" s="117">
        <v>0</v>
      </c>
      <c r="X292" s="117">
        <v>0</v>
      </c>
      <c r="Y292" s="117">
        <v>0</v>
      </c>
      <c r="Z292" s="117">
        <v>0</v>
      </c>
      <c r="AA292" s="117">
        <v>0</v>
      </c>
      <c r="AB292" s="117">
        <v>9</v>
      </c>
      <c r="AC292" s="117">
        <v>3866500</v>
      </c>
      <c r="AD292" s="117">
        <v>5</v>
      </c>
      <c r="AE292" s="117">
        <v>460100</v>
      </c>
      <c r="AF292" s="117">
        <v>448</v>
      </c>
      <c r="AG292" s="117">
        <v>16660400</v>
      </c>
      <c r="AH292" s="117">
        <v>1864</v>
      </c>
      <c r="AI292" s="117">
        <v>84131200</v>
      </c>
      <c r="AJ292" s="117">
        <v>0</v>
      </c>
      <c r="AK292" s="117">
        <v>0</v>
      </c>
      <c r="AL292" s="117">
        <v>1</v>
      </c>
      <c r="AM292" s="117">
        <v>26700</v>
      </c>
      <c r="AN292" s="117">
        <v>2</v>
      </c>
      <c r="AO292" s="117">
        <v>113900</v>
      </c>
      <c r="AP292" s="117">
        <v>0</v>
      </c>
      <c r="AQ292" s="117">
        <v>0</v>
      </c>
      <c r="AR292" s="117">
        <v>16</v>
      </c>
      <c r="AS292" s="117">
        <v>680400</v>
      </c>
      <c r="AT292" s="117">
        <v>132</v>
      </c>
      <c r="AU292" s="117">
        <v>8234100</v>
      </c>
    </row>
    <row r="293" spans="1:47" x14ac:dyDescent="0.25">
      <c r="A293" s="117">
        <v>540195</v>
      </c>
      <c r="B293" s="2" t="s">
        <v>258</v>
      </c>
      <c r="C293" s="2" t="s">
        <v>103</v>
      </c>
      <c r="D293" s="2" t="s">
        <v>115</v>
      </c>
      <c r="E293" s="117">
        <v>5</v>
      </c>
      <c r="F293" s="117">
        <v>0</v>
      </c>
      <c r="G293" s="117">
        <v>0</v>
      </c>
      <c r="H293" s="117">
        <v>4</v>
      </c>
      <c r="I293" s="117">
        <v>95200</v>
      </c>
      <c r="J293" s="117">
        <v>367</v>
      </c>
      <c r="K293" s="117">
        <v>21701900</v>
      </c>
      <c r="L293" s="117">
        <v>0</v>
      </c>
      <c r="M293" s="117">
        <v>0</v>
      </c>
      <c r="N293" s="117">
        <v>0</v>
      </c>
      <c r="O293" s="117">
        <v>0</v>
      </c>
      <c r="P293" s="117">
        <v>39</v>
      </c>
      <c r="Q293" s="117">
        <v>4072500</v>
      </c>
      <c r="R293" s="117">
        <v>0</v>
      </c>
      <c r="S293" s="117">
        <v>0</v>
      </c>
      <c r="T293" s="117">
        <v>0</v>
      </c>
      <c r="U293" s="117">
        <v>0</v>
      </c>
      <c r="V293" s="117">
        <v>0</v>
      </c>
      <c r="W293" s="117">
        <v>0</v>
      </c>
      <c r="X293" s="117">
        <v>0</v>
      </c>
      <c r="Y293" s="117">
        <v>0</v>
      </c>
      <c r="Z293" s="117">
        <v>0</v>
      </c>
      <c r="AA293" s="117">
        <v>0</v>
      </c>
      <c r="AB293" s="117">
        <v>0</v>
      </c>
      <c r="AC293" s="117">
        <v>0</v>
      </c>
      <c r="AD293" s="117">
        <v>0</v>
      </c>
      <c r="AE293" s="117">
        <v>0</v>
      </c>
      <c r="AF293" s="117">
        <v>0</v>
      </c>
      <c r="AG293" s="117">
        <v>0</v>
      </c>
      <c r="AH293" s="117">
        <v>0</v>
      </c>
      <c r="AI293" s="117">
        <v>0</v>
      </c>
      <c r="AJ293" s="117">
        <v>0</v>
      </c>
      <c r="AK293" s="117">
        <v>0</v>
      </c>
      <c r="AL293" s="117">
        <v>0</v>
      </c>
      <c r="AM293" s="117">
        <v>0</v>
      </c>
      <c r="AN293" s="117">
        <v>1</v>
      </c>
      <c r="AO293" s="117">
        <v>73600</v>
      </c>
      <c r="AP293" s="117">
        <v>0</v>
      </c>
      <c r="AQ293" s="117">
        <v>0</v>
      </c>
      <c r="AR293" s="117">
        <v>1</v>
      </c>
      <c r="AS293" s="117">
        <v>4400</v>
      </c>
      <c r="AT293" s="117">
        <v>43</v>
      </c>
      <c r="AU293" s="117">
        <v>4087300</v>
      </c>
    </row>
    <row r="294" spans="1:47" x14ac:dyDescent="0.25">
      <c r="A294" s="117">
        <v>540196</v>
      </c>
      <c r="B294" s="2" t="s">
        <v>259</v>
      </c>
      <c r="C294" s="2" t="s">
        <v>103</v>
      </c>
      <c r="D294" s="2" t="s">
        <v>115</v>
      </c>
      <c r="E294" s="117">
        <v>5</v>
      </c>
      <c r="F294" s="117">
        <v>0</v>
      </c>
      <c r="G294" s="117">
        <v>0</v>
      </c>
      <c r="H294" s="117">
        <v>14</v>
      </c>
      <c r="I294" s="117">
        <v>466300</v>
      </c>
      <c r="J294" s="117">
        <v>416</v>
      </c>
      <c r="K294" s="117">
        <v>25569200</v>
      </c>
      <c r="L294" s="117">
        <v>0</v>
      </c>
      <c r="M294" s="117">
        <v>0</v>
      </c>
      <c r="N294" s="117">
        <v>0</v>
      </c>
      <c r="O294" s="117">
        <v>0</v>
      </c>
      <c r="P294" s="117">
        <v>17</v>
      </c>
      <c r="Q294" s="117">
        <v>1542200</v>
      </c>
      <c r="R294" s="117">
        <v>0</v>
      </c>
      <c r="S294" s="117">
        <v>0</v>
      </c>
      <c r="T294" s="117">
        <v>0</v>
      </c>
      <c r="U294" s="117">
        <v>0</v>
      </c>
      <c r="V294" s="117">
        <v>0</v>
      </c>
      <c r="W294" s="117">
        <v>0</v>
      </c>
      <c r="X294" s="117">
        <v>0</v>
      </c>
      <c r="Y294" s="117">
        <v>0</v>
      </c>
      <c r="Z294" s="117">
        <v>0</v>
      </c>
      <c r="AA294" s="117">
        <v>0</v>
      </c>
      <c r="AB294" s="117">
        <v>1</v>
      </c>
      <c r="AC294" s="117">
        <v>314700</v>
      </c>
      <c r="AD294" s="117">
        <v>0</v>
      </c>
      <c r="AE294" s="117">
        <v>0</v>
      </c>
      <c r="AF294" s="117">
        <v>0</v>
      </c>
      <c r="AG294" s="117">
        <v>0</v>
      </c>
      <c r="AH294" s="117">
        <v>2</v>
      </c>
      <c r="AI294" s="117">
        <v>308600</v>
      </c>
      <c r="AJ294" s="117">
        <v>0</v>
      </c>
      <c r="AK294" s="117">
        <v>0</v>
      </c>
      <c r="AL294" s="117">
        <v>0</v>
      </c>
      <c r="AM294" s="117">
        <v>0</v>
      </c>
      <c r="AN294" s="117">
        <v>1</v>
      </c>
      <c r="AO294" s="117">
        <v>1900</v>
      </c>
      <c r="AP294" s="117">
        <v>0</v>
      </c>
      <c r="AQ294" s="117">
        <v>0</v>
      </c>
      <c r="AR294" s="117">
        <v>0</v>
      </c>
      <c r="AS294" s="117">
        <v>0</v>
      </c>
      <c r="AT294" s="117">
        <v>15</v>
      </c>
      <c r="AU294" s="117">
        <v>1669300</v>
      </c>
    </row>
    <row r="295" spans="1:47" x14ac:dyDescent="0.25">
      <c r="A295" s="117">
        <v>540197</v>
      </c>
      <c r="B295" s="2" t="s">
        <v>260</v>
      </c>
      <c r="C295" s="2" t="s">
        <v>103</v>
      </c>
      <c r="D295" s="2" t="s">
        <v>115</v>
      </c>
      <c r="E295" s="117">
        <v>5</v>
      </c>
      <c r="F295" s="117">
        <v>0</v>
      </c>
      <c r="G295" s="117">
        <v>0</v>
      </c>
      <c r="H295" s="117">
        <v>28</v>
      </c>
      <c r="I295" s="117">
        <v>282100</v>
      </c>
      <c r="J295" s="117">
        <v>598</v>
      </c>
      <c r="K295" s="117">
        <v>27727100</v>
      </c>
      <c r="L295" s="117">
        <v>0</v>
      </c>
      <c r="M295" s="117">
        <v>0</v>
      </c>
      <c r="N295" s="117">
        <v>2</v>
      </c>
      <c r="O295" s="117">
        <v>1151000</v>
      </c>
      <c r="P295" s="117">
        <v>70</v>
      </c>
      <c r="Q295" s="117">
        <v>6006000</v>
      </c>
      <c r="R295" s="117">
        <v>0</v>
      </c>
      <c r="S295" s="117">
        <v>0</v>
      </c>
      <c r="T295" s="117">
        <v>0</v>
      </c>
      <c r="U295" s="117">
        <v>0</v>
      </c>
      <c r="V295" s="117">
        <v>0</v>
      </c>
      <c r="W295" s="117">
        <v>0</v>
      </c>
      <c r="X295" s="117">
        <v>0</v>
      </c>
      <c r="Y295" s="117">
        <v>0</v>
      </c>
      <c r="Z295" s="117">
        <v>0</v>
      </c>
      <c r="AA295" s="117">
        <v>0</v>
      </c>
      <c r="AB295" s="117">
        <v>5</v>
      </c>
      <c r="AC295" s="117">
        <v>400200</v>
      </c>
      <c r="AD295" s="117">
        <v>0</v>
      </c>
      <c r="AE295" s="117">
        <v>0</v>
      </c>
      <c r="AF295" s="117">
        <v>0</v>
      </c>
      <c r="AG295" s="117">
        <v>0</v>
      </c>
      <c r="AH295" s="117">
        <v>0</v>
      </c>
      <c r="AI295" s="117">
        <v>0</v>
      </c>
      <c r="AJ295" s="117">
        <v>0</v>
      </c>
      <c r="AK295" s="117">
        <v>0</v>
      </c>
      <c r="AL295" s="117">
        <v>0</v>
      </c>
      <c r="AM295" s="117">
        <v>0</v>
      </c>
      <c r="AN295" s="117">
        <v>2</v>
      </c>
      <c r="AO295" s="117">
        <v>67400</v>
      </c>
      <c r="AP295" s="117">
        <v>0</v>
      </c>
      <c r="AQ295" s="117">
        <v>0</v>
      </c>
      <c r="AR295" s="117">
        <v>4</v>
      </c>
      <c r="AS295" s="117">
        <v>23500</v>
      </c>
      <c r="AT295" s="117">
        <v>84</v>
      </c>
      <c r="AU295" s="117">
        <v>7768500</v>
      </c>
    </row>
    <row r="296" spans="1:47" x14ac:dyDescent="0.25">
      <c r="A296" s="117">
        <v>540259</v>
      </c>
      <c r="B296" s="2" t="s">
        <v>304</v>
      </c>
      <c r="C296" s="2" t="s">
        <v>103</v>
      </c>
      <c r="D296" s="2" t="s">
        <v>115</v>
      </c>
      <c r="E296" s="117">
        <v>5</v>
      </c>
      <c r="F296" s="117">
        <v>0</v>
      </c>
      <c r="G296" s="117">
        <v>0</v>
      </c>
      <c r="H296" s="117">
        <v>7</v>
      </c>
      <c r="I296" s="117">
        <v>95100</v>
      </c>
      <c r="J296" s="117">
        <v>8</v>
      </c>
      <c r="K296" s="117">
        <v>269400</v>
      </c>
      <c r="L296" s="117">
        <v>0</v>
      </c>
      <c r="M296" s="117">
        <v>0</v>
      </c>
      <c r="N296" s="117">
        <v>0</v>
      </c>
      <c r="O296" s="117">
        <v>0</v>
      </c>
      <c r="P296" s="117">
        <v>0</v>
      </c>
      <c r="Q296" s="117">
        <v>0</v>
      </c>
      <c r="R296" s="117">
        <v>0</v>
      </c>
      <c r="S296" s="117">
        <v>0</v>
      </c>
      <c r="T296" s="117">
        <v>0</v>
      </c>
      <c r="U296" s="117">
        <v>0</v>
      </c>
      <c r="V296" s="117">
        <v>0</v>
      </c>
      <c r="W296" s="117">
        <v>0</v>
      </c>
      <c r="X296" s="117">
        <v>0</v>
      </c>
      <c r="Y296" s="117">
        <v>0</v>
      </c>
      <c r="Z296" s="117">
        <v>0</v>
      </c>
      <c r="AA296" s="117">
        <v>0</v>
      </c>
      <c r="AB296" s="117">
        <v>0</v>
      </c>
      <c r="AC296" s="117">
        <v>0</v>
      </c>
      <c r="AD296" s="117">
        <v>0</v>
      </c>
      <c r="AE296" s="117">
        <v>0</v>
      </c>
      <c r="AF296" s="117">
        <v>0</v>
      </c>
      <c r="AG296" s="117">
        <v>0</v>
      </c>
      <c r="AH296" s="117">
        <v>0</v>
      </c>
      <c r="AI296" s="117">
        <v>0</v>
      </c>
      <c r="AJ296" s="117">
        <v>0</v>
      </c>
      <c r="AK296" s="117">
        <v>0</v>
      </c>
      <c r="AL296" s="117">
        <v>0</v>
      </c>
      <c r="AM296" s="117">
        <v>0</v>
      </c>
      <c r="AN296" s="117">
        <v>0</v>
      </c>
      <c r="AO296" s="117">
        <v>0</v>
      </c>
      <c r="AP296" s="117">
        <v>0</v>
      </c>
      <c r="AQ296" s="117">
        <v>0</v>
      </c>
      <c r="AR296" s="117">
        <v>0</v>
      </c>
      <c r="AS296" s="117">
        <v>0</v>
      </c>
      <c r="AT296" s="117">
        <v>0</v>
      </c>
      <c r="AU296" s="117">
        <v>0</v>
      </c>
    </row>
    <row r="297" spans="1:47" x14ac:dyDescent="0.25">
      <c r="A297" s="269"/>
      <c r="B297" s="269"/>
      <c r="C297" s="269" t="s">
        <v>103</v>
      </c>
      <c r="D297" s="269"/>
      <c r="E297" s="269"/>
      <c r="F297" s="270">
        <v>1</v>
      </c>
      <c r="G297" s="270">
        <v>22900</v>
      </c>
      <c r="H297" s="270">
        <v>198</v>
      </c>
      <c r="I297" s="270">
        <v>4844100</v>
      </c>
      <c r="J297" s="270">
        <v>3020</v>
      </c>
      <c r="K297" s="270">
        <v>147876100</v>
      </c>
      <c r="L297" s="270">
        <v>0</v>
      </c>
      <c r="M297" s="270">
        <v>0</v>
      </c>
      <c r="N297" s="270">
        <v>4</v>
      </c>
      <c r="O297" s="270">
        <v>3940200</v>
      </c>
      <c r="P297" s="270">
        <v>152</v>
      </c>
      <c r="Q297" s="270">
        <v>16670600</v>
      </c>
      <c r="R297" s="270">
        <v>0</v>
      </c>
      <c r="S297" s="270">
        <v>0</v>
      </c>
      <c r="T297" s="270">
        <v>0</v>
      </c>
      <c r="U297" s="270">
        <v>0</v>
      </c>
      <c r="V297" s="270">
        <v>0</v>
      </c>
      <c r="W297" s="270">
        <v>0</v>
      </c>
      <c r="X297" s="270">
        <v>0</v>
      </c>
      <c r="Y297" s="270">
        <v>0</v>
      </c>
      <c r="Z297" s="270">
        <v>0</v>
      </c>
      <c r="AA297" s="270">
        <v>0</v>
      </c>
      <c r="AB297" s="270">
        <v>15</v>
      </c>
      <c r="AC297" s="270">
        <v>4581400</v>
      </c>
      <c r="AD297" s="270">
        <v>5</v>
      </c>
      <c r="AE297" s="270">
        <v>460100</v>
      </c>
      <c r="AF297" s="270">
        <v>448</v>
      </c>
      <c r="AG297" s="270">
        <v>16660400</v>
      </c>
      <c r="AH297" s="270">
        <v>1866</v>
      </c>
      <c r="AI297" s="270">
        <v>84439800</v>
      </c>
      <c r="AJ297" s="270">
        <v>0</v>
      </c>
      <c r="AK297" s="270">
        <v>0</v>
      </c>
      <c r="AL297" s="270">
        <v>1</v>
      </c>
      <c r="AM297" s="270">
        <v>26700</v>
      </c>
      <c r="AN297" s="270">
        <v>6</v>
      </c>
      <c r="AO297" s="270">
        <v>256800</v>
      </c>
      <c r="AP297" s="270">
        <v>0</v>
      </c>
      <c r="AQ297" s="270">
        <v>0</v>
      </c>
      <c r="AR297" s="270">
        <v>21</v>
      </c>
      <c r="AS297" s="270">
        <v>708300</v>
      </c>
      <c r="AT297" s="270">
        <v>274</v>
      </c>
      <c r="AU297" s="270">
        <v>21759200</v>
      </c>
    </row>
    <row r="298" spans="1:47" x14ac:dyDescent="0.25">
      <c r="A298" s="117">
        <v>540278</v>
      </c>
      <c r="B298" s="2" t="s">
        <v>104</v>
      </c>
      <c r="C298" s="2" t="s">
        <v>105</v>
      </c>
      <c r="D298" s="2" t="s">
        <v>5</v>
      </c>
      <c r="E298" s="117">
        <v>1</v>
      </c>
      <c r="F298" s="117">
        <v>62</v>
      </c>
      <c r="G298" s="117">
        <v>3113500</v>
      </c>
      <c r="H298" s="117">
        <v>454</v>
      </c>
      <c r="I298" s="117">
        <v>20940400</v>
      </c>
      <c r="J298" s="117">
        <v>5846</v>
      </c>
      <c r="K298" s="117">
        <v>331256000</v>
      </c>
      <c r="L298" s="117">
        <v>0</v>
      </c>
      <c r="M298" s="117">
        <v>0</v>
      </c>
      <c r="N298" s="117">
        <v>2</v>
      </c>
      <c r="O298" s="117">
        <v>10200</v>
      </c>
      <c r="P298" s="117">
        <v>101</v>
      </c>
      <c r="Q298" s="117">
        <v>12304500</v>
      </c>
      <c r="R298" s="117">
        <v>0</v>
      </c>
      <c r="S298" s="117">
        <v>0</v>
      </c>
      <c r="T298" s="117">
        <v>0</v>
      </c>
      <c r="U298" s="117">
        <v>0</v>
      </c>
      <c r="V298" s="117">
        <v>0</v>
      </c>
      <c r="W298" s="117">
        <v>0</v>
      </c>
      <c r="X298" s="117">
        <v>0</v>
      </c>
      <c r="Y298" s="117">
        <v>0</v>
      </c>
      <c r="Z298" s="117">
        <v>0</v>
      </c>
      <c r="AA298" s="117">
        <v>0</v>
      </c>
      <c r="AB298" s="117">
        <v>7</v>
      </c>
      <c r="AC298" s="117">
        <v>2302400</v>
      </c>
      <c r="AD298" s="117">
        <v>79</v>
      </c>
      <c r="AE298" s="117">
        <v>3749500</v>
      </c>
      <c r="AF298" s="117">
        <v>383</v>
      </c>
      <c r="AG298" s="117">
        <v>17914200</v>
      </c>
      <c r="AH298" s="117">
        <v>2755</v>
      </c>
      <c r="AI298" s="117">
        <v>158217800</v>
      </c>
      <c r="AJ298" s="117">
        <v>0</v>
      </c>
      <c r="AK298" s="117">
        <v>0</v>
      </c>
      <c r="AL298" s="117">
        <v>0</v>
      </c>
      <c r="AM298" s="117">
        <v>0</v>
      </c>
      <c r="AN298" s="117">
        <v>8</v>
      </c>
      <c r="AO298" s="117">
        <v>148000</v>
      </c>
      <c r="AP298" s="117">
        <v>3</v>
      </c>
      <c r="AQ298" s="117">
        <v>60600</v>
      </c>
      <c r="AR298" s="117">
        <v>34</v>
      </c>
      <c r="AS298" s="117">
        <v>2119800</v>
      </c>
      <c r="AT298" s="117">
        <v>330</v>
      </c>
      <c r="AU298" s="117">
        <v>42777800</v>
      </c>
    </row>
    <row r="299" spans="1:47" x14ac:dyDescent="0.25">
      <c r="A299" s="117">
        <v>540041</v>
      </c>
      <c r="B299" s="2" t="s">
        <v>142</v>
      </c>
      <c r="C299" s="2" t="s">
        <v>105</v>
      </c>
      <c r="D299" s="2" t="s">
        <v>115</v>
      </c>
      <c r="E299" s="117">
        <v>1</v>
      </c>
      <c r="F299" s="117">
        <v>1</v>
      </c>
      <c r="G299" s="117">
        <v>2400</v>
      </c>
      <c r="H299" s="117">
        <v>20</v>
      </c>
      <c r="I299" s="117">
        <v>430500</v>
      </c>
      <c r="J299" s="117">
        <v>58</v>
      </c>
      <c r="K299" s="117">
        <v>3113000</v>
      </c>
      <c r="L299" s="117">
        <v>0</v>
      </c>
      <c r="M299" s="117">
        <v>0</v>
      </c>
      <c r="N299" s="117">
        <v>1</v>
      </c>
      <c r="O299" s="117">
        <v>5000</v>
      </c>
      <c r="P299" s="117">
        <v>20</v>
      </c>
      <c r="Q299" s="117">
        <v>1130600</v>
      </c>
      <c r="R299" s="117">
        <v>0</v>
      </c>
      <c r="S299" s="117">
        <v>0</v>
      </c>
      <c r="T299" s="117">
        <v>0</v>
      </c>
      <c r="U299" s="117">
        <v>0</v>
      </c>
      <c r="V299" s="117">
        <v>0</v>
      </c>
      <c r="W299" s="117">
        <v>0</v>
      </c>
      <c r="X299" s="117">
        <v>0</v>
      </c>
      <c r="Y299" s="117">
        <v>0</v>
      </c>
      <c r="Z299" s="117">
        <v>0</v>
      </c>
      <c r="AA299" s="117">
        <v>0</v>
      </c>
      <c r="AB299" s="117">
        <v>0</v>
      </c>
      <c r="AC299" s="117">
        <v>0</v>
      </c>
      <c r="AD299" s="117">
        <v>0</v>
      </c>
      <c r="AE299" s="117">
        <v>0</v>
      </c>
      <c r="AF299" s="117">
        <v>0</v>
      </c>
      <c r="AG299" s="117">
        <v>0</v>
      </c>
      <c r="AH299" s="117">
        <v>0</v>
      </c>
      <c r="AI299" s="117">
        <v>0</v>
      </c>
      <c r="AJ299" s="117">
        <v>0</v>
      </c>
      <c r="AK299" s="117">
        <v>0</v>
      </c>
      <c r="AL299" s="117">
        <v>0</v>
      </c>
      <c r="AM299" s="117">
        <v>0</v>
      </c>
      <c r="AN299" s="117">
        <v>1</v>
      </c>
      <c r="AO299" s="117">
        <v>12100</v>
      </c>
      <c r="AP299" s="117">
        <v>2</v>
      </c>
      <c r="AQ299" s="117">
        <v>8000</v>
      </c>
      <c r="AR299" s="117">
        <v>3</v>
      </c>
      <c r="AS299" s="117">
        <v>7600</v>
      </c>
      <c r="AT299" s="117">
        <v>9</v>
      </c>
      <c r="AU299" s="117">
        <v>215700</v>
      </c>
    </row>
    <row r="300" spans="1:47" x14ac:dyDescent="0.25">
      <c r="A300" s="117">
        <v>540143</v>
      </c>
      <c r="B300" s="2" t="s">
        <v>224</v>
      </c>
      <c r="C300" s="2" t="s">
        <v>105</v>
      </c>
      <c r="D300" s="2" t="s">
        <v>115</v>
      </c>
      <c r="E300" s="117">
        <v>1</v>
      </c>
      <c r="F300" s="117">
        <v>0</v>
      </c>
      <c r="G300" s="117">
        <v>0</v>
      </c>
      <c r="H300" s="117">
        <v>1</v>
      </c>
      <c r="I300" s="117">
        <v>55400</v>
      </c>
      <c r="J300" s="117">
        <v>195</v>
      </c>
      <c r="K300" s="117">
        <v>10515100</v>
      </c>
      <c r="L300" s="117">
        <v>0</v>
      </c>
      <c r="M300" s="117">
        <v>0</v>
      </c>
      <c r="N300" s="117">
        <v>0</v>
      </c>
      <c r="O300" s="117">
        <v>0</v>
      </c>
      <c r="P300" s="117">
        <v>27</v>
      </c>
      <c r="Q300" s="117">
        <v>3301900</v>
      </c>
      <c r="R300" s="117">
        <v>0</v>
      </c>
      <c r="S300" s="117">
        <v>0</v>
      </c>
      <c r="T300" s="117">
        <v>0</v>
      </c>
      <c r="U300" s="117">
        <v>0</v>
      </c>
      <c r="V300" s="117">
        <v>0</v>
      </c>
      <c r="W300" s="117">
        <v>0</v>
      </c>
      <c r="X300" s="117">
        <v>0</v>
      </c>
      <c r="Y300" s="117">
        <v>0</v>
      </c>
      <c r="Z300" s="117">
        <v>0</v>
      </c>
      <c r="AA300" s="117">
        <v>0</v>
      </c>
      <c r="AB300" s="117">
        <v>0</v>
      </c>
      <c r="AC300" s="117">
        <v>0</v>
      </c>
      <c r="AD300" s="117">
        <v>0</v>
      </c>
      <c r="AE300" s="117">
        <v>0</v>
      </c>
      <c r="AF300" s="117">
        <v>0</v>
      </c>
      <c r="AG300" s="117">
        <v>0</v>
      </c>
      <c r="AH300" s="117">
        <v>1</v>
      </c>
      <c r="AI300" s="117">
        <v>37900</v>
      </c>
      <c r="AJ300" s="117">
        <v>0</v>
      </c>
      <c r="AK300" s="117">
        <v>0</v>
      </c>
      <c r="AL300" s="117">
        <v>0</v>
      </c>
      <c r="AM300" s="117">
        <v>0</v>
      </c>
      <c r="AN300" s="117">
        <v>1</v>
      </c>
      <c r="AO300" s="117">
        <v>46900</v>
      </c>
      <c r="AP300" s="117">
        <v>0</v>
      </c>
      <c r="AQ300" s="117">
        <v>0</v>
      </c>
      <c r="AR300" s="117">
        <v>2</v>
      </c>
      <c r="AS300" s="117">
        <v>51100</v>
      </c>
      <c r="AT300" s="117">
        <v>27</v>
      </c>
      <c r="AU300" s="117">
        <v>3101400</v>
      </c>
    </row>
    <row r="301" spans="1:47" x14ac:dyDescent="0.25">
      <c r="A301" s="117">
        <v>540290</v>
      </c>
      <c r="B301" s="2" t="s">
        <v>327</v>
      </c>
      <c r="C301" s="2" t="s">
        <v>105</v>
      </c>
      <c r="D301" s="2" t="s">
        <v>115</v>
      </c>
      <c r="E301" s="117">
        <v>1</v>
      </c>
      <c r="F301" s="117">
        <v>0</v>
      </c>
      <c r="G301" s="117">
        <v>0</v>
      </c>
      <c r="H301" s="117">
        <v>2</v>
      </c>
      <c r="I301" s="117">
        <v>51500</v>
      </c>
      <c r="J301" s="117">
        <v>372</v>
      </c>
      <c r="K301" s="117">
        <v>19315900</v>
      </c>
      <c r="L301" s="117">
        <v>0</v>
      </c>
      <c r="M301" s="117">
        <v>0</v>
      </c>
      <c r="N301" s="117">
        <v>2</v>
      </c>
      <c r="O301" s="117">
        <v>329900</v>
      </c>
      <c r="P301" s="117">
        <v>49</v>
      </c>
      <c r="Q301" s="117">
        <v>5815500</v>
      </c>
      <c r="R301" s="117">
        <v>0</v>
      </c>
      <c r="S301" s="117">
        <v>0</v>
      </c>
      <c r="T301" s="117">
        <v>0</v>
      </c>
      <c r="U301" s="117">
        <v>0</v>
      </c>
      <c r="V301" s="117">
        <v>0</v>
      </c>
      <c r="W301" s="117">
        <v>0</v>
      </c>
      <c r="X301" s="117">
        <v>0</v>
      </c>
      <c r="Y301" s="117">
        <v>0</v>
      </c>
      <c r="Z301" s="117">
        <v>0</v>
      </c>
      <c r="AA301" s="117">
        <v>0</v>
      </c>
      <c r="AB301" s="117">
        <v>1</v>
      </c>
      <c r="AC301" s="117">
        <v>42000</v>
      </c>
      <c r="AD301" s="117">
        <v>0</v>
      </c>
      <c r="AE301" s="117">
        <v>0</v>
      </c>
      <c r="AF301" s="117">
        <v>0</v>
      </c>
      <c r="AG301" s="117">
        <v>0</v>
      </c>
      <c r="AH301" s="117">
        <v>9</v>
      </c>
      <c r="AI301" s="117">
        <v>76100</v>
      </c>
      <c r="AJ301" s="117">
        <v>0</v>
      </c>
      <c r="AK301" s="117">
        <v>0</v>
      </c>
      <c r="AL301" s="117">
        <v>0</v>
      </c>
      <c r="AM301" s="117">
        <v>0</v>
      </c>
      <c r="AN301" s="117">
        <v>1</v>
      </c>
      <c r="AO301" s="117">
        <v>55000</v>
      </c>
      <c r="AP301" s="117">
        <v>0</v>
      </c>
      <c r="AQ301" s="117">
        <v>0</v>
      </c>
      <c r="AR301" s="117">
        <v>0</v>
      </c>
      <c r="AS301" s="117">
        <v>0</v>
      </c>
      <c r="AT301" s="117">
        <v>61</v>
      </c>
      <c r="AU301" s="117">
        <v>13934700</v>
      </c>
    </row>
    <row r="302" spans="1:47" x14ac:dyDescent="0.25">
      <c r="A302" s="269"/>
      <c r="B302" s="269"/>
      <c r="C302" s="269" t="s">
        <v>105</v>
      </c>
      <c r="D302" s="269"/>
      <c r="E302" s="269"/>
      <c r="F302" s="270">
        <v>63</v>
      </c>
      <c r="G302" s="270">
        <v>3115900</v>
      </c>
      <c r="H302" s="270">
        <v>477</v>
      </c>
      <c r="I302" s="270">
        <v>21477800</v>
      </c>
      <c r="J302" s="270">
        <v>6471</v>
      </c>
      <c r="K302" s="270">
        <v>364200000</v>
      </c>
      <c r="L302" s="270">
        <v>0</v>
      </c>
      <c r="M302" s="270">
        <v>0</v>
      </c>
      <c r="N302" s="270">
        <v>5</v>
      </c>
      <c r="O302" s="270">
        <v>345100</v>
      </c>
      <c r="P302" s="270">
        <v>197</v>
      </c>
      <c r="Q302" s="270">
        <v>22552500</v>
      </c>
      <c r="R302" s="270">
        <v>0</v>
      </c>
      <c r="S302" s="270">
        <v>0</v>
      </c>
      <c r="T302" s="270">
        <v>0</v>
      </c>
      <c r="U302" s="270">
        <v>0</v>
      </c>
      <c r="V302" s="270">
        <v>0</v>
      </c>
      <c r="W302" s="270">
        <v>0</v>
      </c>
      <c r="X302" s="270">
        <v>0</v>
      </c>
      <c r="Y302" s="270">
        <v>0</v>
      </c>
      <c r="Z302" s="270">
        <v>0</v>
      </c>
      <c r="AA302" s="270">
        <v>0</v>
      </c>
      <c r="AB302" s="270">
        <v>8</v>
      </c>
      <c r="AC302" s="270">
        <v>2344400</v>
      </c>
      <c r="AD302" s="270">
        <v>79</v>
      </c>
      <c r="AE302" s="270">
        <v>3749500</v>
      </c>
      <c r="AF302" s="270">
        <v>383</v>
      </c>
      <c r="AG302" s="270">
        <v>17914200</v>
      </c>
      <c r="AH302" s="270">
        <v>2765</v>
      </c>
      <c r="AI302" s="270">
        <v>158331800</v>
      </c>
      <c r="AJ302" s="270">
        <v>0</v>
      </c>
      <c r="AK302" s="270">
        <v>0</v>
      </c>
      <c r="AL302" s="270">
        <v>0</v>
      </c>
      <c r="AM302" s="270">
        <v>0</v>
      </c>
      <c r="AN302" s="270">
        <v>11</v>
      </c>
      <c r="AO302" s="270">
        <v>262000</v>
      </c>
      <c r="AP302" s="270">
        <v>5</v>
      </c>
      <c r="AQ302" s="270">
        <v>68600</v>
      </c>
      <c r="AR302" s="270">
        <v>39</v>
      </c>
      <c r="AS302" s="270">
        <v>2178500</v>
      </c>
      <c r="AT302" s="270">
        <v>427</v>
      </c>
      <c r="AU302" s="270">
        <v>60029600</v>
      </c>
    </row>
    <row r="303" spans="1:47" x14ac:dyDescent="0.25">
      <c r="A303" s="117">
        <v>540282</v>
      </c>
      <c r="B303" s="2" t="s">
        <v>106</v>
      </c>
      <c r="C303" s="2" t="s">
        <v>107</v>
      </c>
      <c r="D303" s="2" t="s">
        <v>5</v>
      </c>
      <c r="E303" s="117">
        <v>9</v>
      </c>
      <c r="F303" s="117">
        <v>105</v>
      </c>
      <c r="G303" s="117">
        <v>12667600</v>
      </c>
      <c r="H303" s="117">
        <v>1076</v>
      </c>
      <c r="I303" s="117">
        <v>141634100</v>
      </c>
      <c r="J303" s="117">
        <v>37439</v>
      </c>
      <c r="K303" s="117">
        <v>5358612800</v>
      </c>
      <c r="L303" s="117">
        <v>1</v>
      </c>
      <c r="M303" s="117">
        <v>44700</v>
      </c>
      <c r="N303" s="117">
        <v>16</v>
      </c>
      <c r="O303" s="117">
        <v>9266400</v>
      </c>
      <c r="P303" s="117">
        <v>1073</v>
      </c>
      <c r="Q303" s="117">
        <v>791212200</v>
      </c>
      <c r="R303" s="117">
        <v>0</v>
      </c>
      <c r="S303" s="117">
        <v>0</v>
      </c>
      <c r="T303" s="117">
        <v>0</v>
      </c>
      <c r="U303" s="117">
        <v>0</v>
      </c>
      <c r="V303" s="117">
        <v>59</v>
      </c>
      <c r="W303" s="117">
        <v>95010300</v>
      </c>
      <c r="X303" s="117">
        <v>0</v>
      </c>
      <c r="Y303" s="117">
        <v>0</v>
      </c>
      <c r="Z303" s="117">
        <v>0</v>
      </c>
      <c r="AA303" s="117">
        <v>0</v>
      </c>
      <c r="AB303" s="117">
        <v>34</v>
      </c>
      <c r="AC303" s="117">
        <v>71812400</v>
      </c>
      <c r="AD303" s="117">
        <v>4</v>
      </c>
      <c r="AE303" s="117">
        <v>689900</v>
      </c>
      <c r="AF303" s="117">
        <v>63</v>
      </c>
      <c r="AG303" s="117">
        <v>2619400</v>
      </c>
      <c r="AH303" s="117">
        <v>2020</v>
      </c>
      <c r="AI303" s="117">
        <v>213472100</v>
      </c>
      <c r="AJ303" s="117">
        <v>0</v>
      </c>
      <c r="AK303" s="117">
        <v>0</v>
      </c>
      <c r="AL303" s="117">
        <v>0</v>
      </c>
      <c r="AM303" s="117">
        <v>0</v>
      </c>
      <c r="AN303" s="117">
        <v>43</v>
      </c>
      <c r="AO303" s="117">
        <v>684700</v>
      </c>
      <c r="AP303" s="117">
        <v>1</v>
      </c>
      <c r="AQ303" s="117">
        <v>30000</v>
      </c>
      <c r="AR303" s="117">
        <v>11</v>
      </c>
      <c r="AS303" s="117">
        <v>9844000</v>
      </c>
      <c r="AT303" s="117">
        <v>625</v>
      </c>
      <c r="AU303" s="117">
        <v>974955400</v>
      </c>
    </row>
    <row r="304" spans="1:47" x14ac:dyDescent="0.25">
      <c r="A304" s="117">
        <v>540006</v>
      </c>
      <c r="B304" s="2" t="s">
        <v>119</v>
      </c>
      <c r="C304" s="2" t="s">
        <v>107</v>
      </c>
      <c r="D304" s="2" t="s">
        <v>115</v>
      </c>
      <c r="E304" s="117">
        <v>9</v>
      </c>
      <c r="F304" s="117">
        <v>8</v>
      </c>
      <c r="G304" s="117">
        <v>188300</v>
      </c>
      <c r="H304" s="117">
        <v>25</v>
      </c>
      <c r="I304" s="117">
        <v>2461700</v>
      </c>
      <c r="J304" s="117">
        <v>6205</v>
      </c>
      <c r="K304" s="117">
        <v>662702900</v>
      </c>
      <c r="L304" s="117">
        <v>0</v>
      </c>
      <c r="M304" s="117">
        <v>0</v>
      </c>
      <c r="N304" s="117">
        <v>3</v>
      </c>
      <c r="O304" s="117">
        <v>1052600</v>
      </c>
      <c r="P304" s="117">
        <v>642</v>
      </c>
      <c r="Q304" s="117">
        <v>339817300</v>
      </c>
      <c r="R304" s="117">
        <v>0</v>
      </c>
      <c r="S304" s="117">
        <v>0</v>
      </c>
      <c r="T304" s="117">
        <v>0</v>
      </c>
      <c r="U304" s="117">
        <v>0</v>
      </c>
      <c r="V304" s="117">
        <v>79</v>
      </c>
      <c r="W304" s="117">
        <v>76646100</v>
      </c>
      <c r="X304" s="117">
        <v>0</v>
      </c>
      <c r="Y304" s="117">
        <v>0</v>
      </c>
      <c r="Z304" s="117">
        <v>0</v>
      </c>
      <c r="AA304" s="117">
        <v>0</v>
      </c>
      <c r="AB304" s="117">
        <v>3</v>
      </c>
      <c r="AC304" s="117">
        <v>1363700</v>
      </c>
      <c r="AD304" s="117">
        <v>0</v>
      </c>
      <c r="AE304" s="117">
        <v>0</v>
      </c>
      <c r="AF304" s="117">
        <v>0</v>
      </c>
      <c r="AG304" s="117">
        <v>0</v>
      </c>
      <c r="AH304" s="117">
        <v>12</v>
      </c>
      <c r="AI304" s="117">
        <v>1357800</v>
      </c>
      <c r="AJ304" s="117">
        <v>0</v>
      </c>
      <c r="AK304" s="117">
        <v>0</v>
      </c>
      <c r="AL304" s="117">
        <v>0</v>
      </c>
      <c r="AM304" s="117">
        <v>0</v>
      </c>
      <c r="AN304" s="117">
        <v>20</v>
      </c>
      <c r="AO304" s="117">
        <v>1115800</v>
      </c>
      <c r="AP304" s="117">
        <v>0</v>
      </c>
      <c r="AQ304" s="117">
        <v>0</v>
      </c>
      <c r="AR304" s="117">
        <v>3</v>
      </c>
      <c r="AS304" s="117">
        <v>1945800</v>
      </c>
      <c r="AT304" s="117">
        <v>307</v>
      </c>
      <c r="AU304" s="117">
        <v>215130700</v>
      </c>
    </row>
    <row r="305" spans="1:47" x14ac:dyDescent="0.25">
      <c r="A305" s="117">
        <v>545550</v>
      </c>
      <c r="B305" s="2" t="s">
        <v>339</v>
      </c>
      <c r="C305" s="2" t="s">
        <v>107</v>
      </c>
      <c r="D305" s="2" t="s">
        <v>115</v>
      </c>
      <c r="E305" s="117">
        <v>9</v>
      </c>
      <c r="F305" s="117">
        <v>1</v>
      </c>
      <c r="G305" s="117">
        <v>146600</v>
      </c>
      <c r="H305" s="117">
        <v>3</v>
      </c>
      <c r="I305" s="117">
        <v>403400</v>
      </c>
      <c r="J305" s="117">
        <v>138</v>
      </c>
      <c r="K305" s="117">
        <v>12610500</v>
      </c>
      <c r="L305" s="117">
        <v>0</v>
      </c>
      <c r="M305" s="117">
        <v>0</v>
      </c>
      <c r="N305" s="117">
        <v>0</v>
      </c>
      <c r="O305" s="117">
        <v>0</v>
      </c>
      <c r="P305" s="117">
        <v>18</v>
      </c>
      <c r="Q305" s="117">
        <v>3826300</v>
      </c>
      <c r="R305" s="117">
        <v>0</v>
      </c>
      <c r="S305" s="117">
        <v>0</v>
      </c>
      <c r="T305" s="117">
        <v>0</v>
      </c>
      <c r="U305" s="117">
        <v>0</v>
      </c>
      <c r="V305" s="117">
        <v>0</v>
      </c>
      <c r="W305" s="117">
        <v>0</v>
      </c>
      <c r="X305" s="117">
        <v>0</v>
      </c>
      <c r="Y305" s="117">
        <v>0</v>
      </c>
      <c r="Z305" s="117">
        <v>0</v>
      </c>
      <c r="AA305" s="117">
        <v>0</v>
      </c>
      <c r="AB305" s="117">
        <v>0</v>
      </c>
      <c r="AC305" s="117">
        <v>0</v>
      </c>
      <c r="AD305" s="117">
        <v>0</v>
      </c>
      <c r="AE305" s="117">
        <v>0</v>
      </c>
      <c r="AF305" s="117">
        <v>0</v>
      </c>
      <c r="AG305" s="117">
        <v>0</v>
      </c>
      <c r="AH305" s="117">
        <v>1</v>
      </c>
      <c r="AI305" s="117">
        <v>13100</v>
      </c>
      <c r="AJ305" s="117">
        <v>0</v>
      </c>
      <c r="AK305" s="117">
        <v>0</v>
      </c>
      <c r="AL305" s="117">
        <v>0</v>
      </c>
      <c r="AM305" s="117">
        <v>0</v>
      </c>
      <c r="AN305" s="117">
        <v>1</v>
      </c>
      <c r="AO305" s="117">
        <v>19100</v>
      </c>
      <c r="AP305" s="117">
        <v>0</v>
      </c>
      <c r="AQ305" s="117">
        <v>0</v>
      </c>
      <c r="AR305" s="117">
        <v>0</v>
      </c>
      <c r="AS305" s="117">
        <v>0</v>
      </c>
      <c r="AT305" s="117">
        <v>17</v>
      </c>
      <c r="AU305" s="117">
        <v>5728900</v>
      </c>
    </row>
    <row r="306" spans="1:47" x14ac:dyDescent="0.25">
      <c r="A306" s="269"/>
      <c r="B306" s="269"/>
      <c r="C306" s="269" t="s">
        <v>107</v>
      </c>
      <c r="D306" s="269"/>
      <c r="E306" s="269"/>
      <c r="F306" s="270">
        <v>114</v>
      </c>
      <c r="G306" s="270">
        <v>13002500</v>
      </c>
      <c r="H306" s="270">
        <v>1104</v>
      </c>
      <c r="I306" s="270">
        <v>144499200</v>
      </c>
      <c r="J306" s="270">
        <v>43782</v>
      </c>
      <c r="K306" s="270">
        <v>6033926200</v>
      </c>
      <c r="L306" s="270">
        <v>1</v>
      </c>
      <c r="M306" s="270">
        <v>44700</v>
      </c>
      <c r="N306" s="270">
        <v>19</v>
      </c>
      <c r="O306" s="270">
        <v>10319000</v>
      </c>
      <c r="P306" s="270">
        <v>1733</v>
      </c>
      <c r="Q306" s="270">
        <v>1134855800</v>
      </c>
      <c r="R306" s="270">
        <v>0</v>
      </c>
      <c r="S306" s="270">
        <v>0</v>
      </c>
      <c r="T306" s="270">
        <v>0</v>
      </c>
      <c r="U306" s="270">
        <v>0</v>
      </c>
      <c r="V306" s="270">
        <v>138</v>
      </c>
      <c r="W306" s="270">
        <v>171656400</v>
      </c>
      <c r="X306" s="270">
        <v>0</v>
      </c>
      <c r="Y306" s="270">
        <v>0</v>
      </c>
      <c r="Z306" s="270">
        <v>0</v>
      </c>
      <c r="AA306" s="270">
        <v>0</v>
      </c>
      <c r="AB306" s="270">
        <v>37</v>
      </c>
      <c r="AC306" s="270">
        <v>73176100</v>
      </c>
      <c r="AD306" s="270">
        <v>4</v>
      </c>
      <c r="AE306" s="270">
        <v>689900</v>
      </c>
      <c r="AF306" s="270">
        <v>63</v>
      </c>
      <c r="AG306" s="270">
        <v>2619400</v>
      </c>
      <c r="AH306" s="270">
        <v>2033</v>
      </c>
      <c r="AI306" s="270">
        <v>214843000</v>
      </c>
      <c r="AJ306" s="270">
        <v>0</v>
      </c>
      <c r="AK306" s="270">
        <v>0</v>
      </c>
      <c r="AL306" s="270">
        <v>0</v>
      </c>
      <c r="AM306" s="270">
        <v>0</v>
      </c>
      <c r="AN306" s="270">
        <v>64</v>
      </c>
      <c r="AO306" s="270">
        <v>1819600</v>
      </c>
      <c r="AP306" s="270">
        <v>1</v>
      </c>
      <c r="AQ306" s="270">
        <v>30000</v>
      </c>
      <c r="AR306" s="270">
        <v>14</v>
      </c>
      <c r="AS306" s="270">
        <v>11789800</v>
      </c>
      <c r="AT306" s="270">
        <v>949</v>
      </c>
      <c r="AU306" s="270">
        <v>1195815000</v>
      </c>
    </row>
    <row r="307" spans="1:47" x14ac:dyDescent="0.25">
      <c r="A307" s="117">
        <v>540283</v>
      </c>
      <c r="B307" s="2" t="s">
        <v>108</v>
      </c>
      <c r="C307" s="2" t="s">
        <v>109</v>
      </c>
      <c r="D307" s="2" t="s">
        <v>5</v>
      </c>
      <c r="E307" s="117">
        <v>4</v>
      </c>
      <c r="F307" s="117">
        <v>208</v>
      </c>
      <c r="G307" s="117">
        <v>11809600</v>
      </c>
      <c r="H307" s="117">
        <v>1171</v>
      </c>
      <c r="I307" s="117">
        <v>64577200</v>
      </c>
      <c r="J307" s="117">
        <v>6870</v>
      </c>
      <c r="K307" s="117">
        <v>359496800</v>
      </c>
      <c r="L307" s="117">
        <v>1</v>
      </c>
      <c r="M307" s="117">
        <v>41700</v>
      </c>
      <c r="N307" s="117">
        <v>1</v>
      </c>
      <c r="O307" s="117">
        <v>163400</v>
      </c>
      <c r="P307" s="117">
        <v>144</v>
      </c>
      <c r="Q307" s="117">
        <v>29820000</v>
      </c>
      <c r="R307" s="117">
        <v>0</v>
      </c>
      <c r="S307" s="117">
        <v>0</v>
      </c>
      <c r="T307" s="117">
        <v>0</v>
      </c>
      <c r="U307" s="117">
        <v>0</v>
      </c>
      <c r="V307" s="117">
        <v>0</v>
      </c>
      <c r="W307" s="117">
        <v>0</v>
      </c>
      <c r="X307" s="117">
        <v>0</v>
      </c>
      <c r="Y307" s="117">
        <v>0</v>
      </c>
      <c r="Z307" s="117">
        <v>0</v>
      </c>
      <c r="AA307" s="117">
        <v>0</v>
      </c>
      <c r="AB307" s="117">
        <v>2</v>
      </c>
      <c r="AC307" s="117">
        <v>973100</v>
      </c>
      <c r="AD307" s="117">
        <v>44</v>
      </c>
      <c r="AE307" s="117">
        <v>1154300</v>
      </c>
      <c r="AF307" s="117">
        <v>297</v>
      </c>
      <c r="AG307" s="117">
        <v>10333500</v>
      </c>
      <c r="AH307" s="117">
        <v>1486</v>
      </c>
      <c r="AI307" s="117">
        <v>68099900</v>
      </c>
      <c r="AJ307" s="117">
        <v>1</v>
      </c>
      <c r="AK307" s="117">
        <v>9500</v>
      </c>
      <c r="AL307" s="117">
        <v>2</v>
      </c>
      <c r="AM307" s="117">
        <v>255300</v>
      </c>
      <c r="AN307" s="117">
        <v>39</v>
      </c>
      <c r="AO307" s="117">
        <v>1963200</v>
      </c>
      <c r="AP307" s="117">
        <v>24</v>
      </c>
      <c r="AQ307" s="117">
        <v>2043800</v>
      </c>
      <c r="AR307" s="117">
        <v>131</v>
      </c>
      <c r="AS307" s="117">
        <v>68112500</v>
      </c>
      <c r="AT307" s="117">
        <v>466</v>
      </c>
      <c r="AU307" s="117">
        <v>93406800</v>
      </c>
    </row>
    <row r="308" spans="1:47" x14ac:dyDescent="0.25">
      <c r="A308" s="117">
        <v>540158</v>
      </c>
      <c r="B308" s="2" t="s">
        <v>233</v>
      </c>
      <c r="C308" s="2" t="s">
        <v>109</v>
      </c>
      <c r="D308" s="2" t="s">
        <v>115</v>
      </c>
      <c r="E308" s="117">
        <v>4</v>
      </c>
      <c r="F308" s="117">
        <v>0</v>
      </c>
      <c r="G308" s="117">
        <v>0</v>
      </c>
      <c r="H308" s="117">
        <v>21</v>
      </c>
      <c r="I308" s="117">
        <v>534000</v>
      </c>
      <c r="J308" s="117">
        <v>163</v>
      </c>
      <c r="K308" s="117">
        <v>4836600</v>
      </c>
      <c r="L308" s="117">
        <v>0</v>
      </c>
      <c r="M308" s="117">
        <v>0</v>
      </c>
      <c r="N308" s="117">
        <v>5</v>
      </c>
      <c r="O308" s="117">
        <v>89000</v>
      </c>
      <c r="P308" s="117">
        <v>15</v>
      </c>
      <c r="Q308" s="117">
        <v>774200</v>
      </c>
      <c r="R308" s="117">
        <v>0</v>
      </c>
      <c r="S308" s="117">
        <v>0</v>
      </c>
      <c r="T308" s="117">
        <v>0</v>
      </c>
      <c r="U308" s="117">
        <v>0</v>
      </c>
      <c r="V308" s="117">
        <v>0</v>
      </c>
      <c r="W308" s="117">
        <v>0</v>
      </c>
      <c r="X308" s="117">
        <v>0</v>
      </c>
      <c r="Y308" s="117">
        <v>0</v>
      </c>
      <c r="Z308" s="117">
        <v>0</v>
      </c>
      <c r="AA308" s="117">
        <v>0</v>
      </c>
      <c r="AB308" s="117">
        <v>0</v>
      </c>
      <c r="AC308" s="117">
        <v>0</v>
      </c>
      <c r="AD308" s="117">
        <v>0</v>
      </c>
      <c r="AE308" s="117">
        <v>0</v>
      </c>
      <c r="AF308" s="117">
        <v>0</v>
      </c>
      <c r="AG308" s="117">
        <v>0</v>
      </c>
      <c r="AH308" s="117">
        <v>0</v>
      </c>
      <c r="AI308" s="117">
        <v>0</v>
      </c>
      <c r="AJ308" s="117">
        <v>0</v>
      </c>
      <c r="AK308" s="117">
        <v>0</v>
      </c>
      <c r="AL308" s="117">
        <v>0</v>
      </c>
      <c r="AM308" s="117">
        <v>0</v>
      </c>
      <c r="AN308" s="117">
        <v>0</v>
      </c>
      <c r="AO308" s="117">
        <v>0</v>
      </c>
      <c r="AP308" s="117">
        <v>0</v>
      </c>
      <c r="AQ308" s="117">
        <v>0</v>
      </c>
      <c r="AR308" s="117">
        <v>2</v>
      </c>
      <c r="AS308" s="117">
        <v>21300</v>
      </c>
      <c r="AT308" s="117">
        <v>17</v>
      </c>
      <c r="AU308" s="117">
        <v>835400</v>
      </c>
    </row>
    <row r="309" spans="1:47" x14ac:dyDescent="0.25">
      <c r="A309" s="117">
        <v>540159</v>
      </c>
      <c r="B309" s="2" t="s">
        <v>234</v>
      </c>
      <c r="C309" s="2" t="s">
        <v>109</v>
      </c>
      <c r="D309" s="2" t="s">
        <v>115</v>
      </c>
      <c r="E309" s="117">
        <v>4</v>
      </c>
      <c r="F309" s="117">
        <v>17</v>
      </c>
      <c r="G309" s="117">
        <v>250900</v>
      </c>
      <c r="H309" s="117">
        <v>66</v>
      </c>
      <c r="I309" s="117">
        <v>1031700</v>
      </c>
      <c r="J309" s="117">
        <v>463</v>
      </c>
      <c r="K309" s="117">
        <v>19511300</v>
      </c>
      <c r="L309" s="117">
        <v>0</v>
      </c>
      <c r="M309" s="117">
        <v>0</v>
      </c>
      <c r="N309" s="117">
        <v>0</v>
      </c>
      <c r="O309" s="117">
        <v>0</v>
      </c>
      <c r="P309" s="117">
        <v>92</v>
      </c>
      <c r="Q309" s="117">
        <v>15268400</v>
      </c>
      <c r="R309" s="117">
        <v>0</v>
      </c>
      <c r="S309" s="117">
        <v>0</v>
      </c>
      <c r="T309" s="117">
        <v>0</v>
      </c>
      <c r="U309" s="117">
        <v>0</v>
      </c>
      <c r="V309" s="117">
        <v>1</v>
      </c>
      <c r="W309" s="117">
        <v>16300</v>
      </c>
      <c r="X309" s="117">
        <v>0</v>
      </c>
      <c r="Y309" s="117">
        <v>0</v>
      </c>
      <c r="Z309" s="117">
        <v>0</v>
      </c>
      <c r="AA309" s="117">
        <v>0</v>
      </c>
      <c r="AB309" s="117">
        <v>0</v>
      </c>
      <c r="AC309" s="117">
        <v>0</v>
      </c>
      <c r="AD309" s="117">
        <v>0</v>
      </c>
      <c r="AE309" s="117">
        <v>0</v>
      </c>
      <c r="AF309" s="117">
        <v>1</v>
      </c>
      <c r="AG309" s="117">
        <v>13200</v>
      </c>
      <c r="AH309" s="117">
        <v>7</v>
      </c>
      <c r="AI309" s="117">
        <v>168700</v>
      </c>
      <c r="AJ309" s="117">
        <v>0</v>
      </c>
      <c r="AK309" s="117">
        <v>0</v>
      </c>
      <c r="AL309" s="117">
        <v>0</v>
      </c>
      <c r="AM309" s="117">
        <v>0</v>
      </c>
      <c r="AN309" s="117">
        <v>2</v>
      </c>
      <c r="AO309" s="117">
        <v>369500</v>
      </c>
      <c r="AP309" s="117">
        <v>2</v>
      </c>
      <c r="AQ309" s="117">
        <v>19200</v>
      </c>
      <c r="AR309" s="117">
        <v>8</v>
      </c>
      <c r="AS309" s="117">
        <v>4648200</v>
      </c>
      <c r="AT309" s="117">
        <v>46</v>
      </c>
      <c r="AU309" s="117">
        <v>13705600</v>
      </c>
    </row>
    <row r="310" spans="1:47" x14ac:dyDescent="0.25">
      <c r="A310" s="117">
        <v>540288</v>
      </c>
      <c r="B310" s="2" t="s">
        <v>340</v>
      </c>
      <c r="C310" s="2" t="s">
        <v>109</v>
      </c>
      <c r="D310" s="2" t="s">
        <v>115</v>
      </c>
      <c r="E310" s="117">
        <v>4</v>
      </c>
      <c r="F310" s="117">
        <v>0</v>
      </c>
      <c r="G310" s="117">
        <v>0</v>
      </c>
      <c r="H310" s="117">
        <v>0</v>
      </c>
      <c r="I310" s="117">
        <v>0</v>
      </c>
      <c r="J310" s="117">
        <v>131</v>
      </c>
      <c r="K310" s="117">
        <v>5120000</v>
      </c>
      <c r="L310" s="117">
        <v>0</v>
      </c>
      <c r="M310" s="117">
        <v>0</v>
      </c>
      <c r="N310" s="117">
        <v>0</v>
      </c>
      <c r="O310" s="117">
        <v>0</v>
      </c>
      <c r="P310" s="117">
        <v>19</v>
      </c>
      <c r="Q310" s="117">
        <v>789400</v>
      </c>
      <c r="R310" s="117">
        <v>0</v>
      </c>
      <c r="S310" s="117">
        <v>0</v>
      </c>
      <c r="T310" s="117">
        <v>0</v>
      </c>
      <c r="U310" s="117">
        <v>0</v>
      </c>
      <c r="V310" s="117">
        <v>0</v>
      </c>
      <c r="W310" s="117">
        <v>0</v>
      </c>
      <c r="X310" s="117">
        <v>0</v>
      </c>
      <c r="Y310" s="117">
        <v>0</v>
      </c>
      <c r="Z310" s="117">
        <v>0</v>
      </c>
      <c r="AA310" s="117">
        <v>0</v>
      </c>
      <c r="AB310" s="117">
        <v>0</v>
      </c>
      <c r="AC310" s="117">
        <v>0</v>
      </c>
      <c r="AD310" s="117">
        <v>0</v>
      </c>
      <c r="AE310" s="117">
        <v>0</v>
      </c>
      <c r="AF310" s="117">
        <v>0</v>
      </c>
      <c r="AG310" s="117">
        <v>0</v>
      </c>
      <c r="AH310" s="117">
        <v>7</v>
      </c>
      <c r="AI310" s="117">
        <v>278600</v>
      </c>
      <c r="AJ310" s="117">
        <v>0</v>
      </c>
      <c r="AK310" s="117">
        <v>0</v>
      </c>
      <c r="AL310" s="117">
        <v>0</v>
      </c>
      <c r="AM310" s="117">
        <v>0</v>
      </c>
      <c r="AN310" s="117">
        <v>1</v>
      </c>
      <c r="AO310" s="117">
        <v>26000</v>
      </c>
      <c r="AP310" s="117">
        <v>0</v>
      </c>
      <c r="AQ310" s="117">
        <v>0</v>
      </c>
      <c r="AR310" s="117">
        <v>0</v>
      </c>
      <c r="AS310" s="117">
        <v>0</v>
      </c>
      <c r="AT310" s="117">
        <v>15</v>
      </c>
      <c r="AU310" s="117">
        <v>1982500</v>
      </c>
    </row>
    <row r="311" spans="1:47" x14ac:dyDescent="0.25">
      <c r="A311" s="269"/>
      <c r="B311" s="269"/>
      <c r="C311" s="269" t="s">
        <v>109</v>
      </c>
      <c r="D311" s="269"/>
      <c r="E311" s="269"/>
      <c r="F311" s="270">
        <v>225</v>
      </c>
      <c r="G311" s="270">
        <v>12060500</v>
      </c>
      <c r="H311" s="270">
        <v>1258</v>
      </c>
      <c r="I311" s="270">
        <v>66142900</v>
      </c>
      <c r="J311" s="270">
        <v>7627</v>
      </c>
      <c r="K311" s="270">
        <v>388964700</v>
      </c>
      <c r="L311" s="270">
        <v>1</v>
      </c>
      <c r="M311" s="270">
        <v>41700</v>
      </c>
      <c r="N311" s="270">
        <v>6</v>
      </c>
      <c r="O311" s="270">
        <v>252400</v>
      </c>
      <c r="P311" s="270">
        <v>270</v>
      </c>
      <c r="Q311" s="270">
        <v>46652000</v>
      </c>
      <c r="R311" s="270">
        <v>0</v>
      </c>
      <c r="S311" s="270">
        <v>0</v>
      </c>
      <c r="T311" s="270">
        <v>0</v>
      </c>
      <c r="U311" s="270">
        <v>0</v>
      </c>
      <c r="V311" s="270">
        <v>1</v>
      </c>
      <c r="W311" s="270">
        <v>16300</v>
      </c>
      <c r="X311" s="270">
        <v>0</v>
      </c>
      <c r="Y311" s="270">
        <v>0</v>
      </c>
      <c r="Z311" s="270">
        <v>0</v>
      </c>
      <c r="AA311" s="270">
        <v>0</v>
      </c>
      <c r="AB311" s="270">
        <v>2</v>
      </c>
      <c r="AC311" s="270">
        <v>973100</v>
      </c>
      <c r="AD311" s="270">
        <v>44</v>
      </c>
      <c r="AE311" s="270">
        <v>1154300</v>
      </c>
      <c r="AF311" s="270">
        <v>298</v>
      </c>
      <c r="AG311" s="270">
        <v>10346700</v>
      </c>
      <c r="AH311" s="270">
        <v>1500</v>
      </c>
      <c r="AI311" s="270">
        <v>68547200</v>
      </c>
      <c r="AJ311" s="270">
        <v>1</v>
      </c>
      <c r="AK311" s="270">
        <v>9500</v>
      </c>
      <c r="AL311" s="270">
        <v>2</v>
      </c>
      <c r="AM311" s="270">
        <v>255300</v>
      </c>
      <c r="AN311" s="270">
        <v>42</v>
      </c>
      <c r="AO311" s="270">
        <v>2358700</v>
      </c>
      <c r="AP311" s="270">
        <v>26</v>
      </c>
      <c r="AQ311" s="270">
        <v>2063000</v>
      </c>
      <c r="AR311" s="270">
        <v>141</v>
      </c>
      <c r="AS311" s="270">
        <v>72782000</v>
      </c>
      <c r="AT311" s="270">
        <v>544</v>
      </c>
      <c r="AU311" s="270">
        <v>109930300</v>
      </c>
    </row>
    <row r="312" spans="1:47" x14ac:dyDescent="0.25">
      <c r="A312" s="117">
        <v>545536</v>
      </c>
      <c r="B312" s="2" t="s">
        <v>110</v>
      </c>
      <c r="C312" s="2" t="s">
        <v>111</v>
      </c>
      <c r="D312" s="2" t="s">
        <v>5</v>
      </c>
      <c r="E312" s="117">
        <v>2</v>
      </c>
      <c r="F312" s="117">
        <v>223</v>
      </c>
      <c r="G312" s="117">
        <v>5614100</v>
      </c>
      <c r="H312" s="117">
        <v>917</v>
      </c>
      <c r="I312" s="117">
        <v>18756600</v>
      </c>
      <c r="J312" s="117">
        <v>10409</v>
      </c>
      <c r="K312" s="117">
        <v>335426000</v>
      </c>
      <c r="L312" s="117">
        <v>2</v>
      </c>
      <c r="M312" s="117">
        <v>149300</v>
      </c>
      <c r="N312" s="117">
        <v>30</v>
      </c>
      <c r="O312" s="117">
        <v>3195200</v>
      </c>
      <c r="P312" s="117">
        <v>325</v>
      </c>
      <c r="Q312" s="117">
        <v>116352200</v>
      </c>
      <c r="R312" s="117">
        <v>0</v>
      </c>
      <c r="S312" s="117">
        <v>0</v>
      </c>
      <c r="T312" s="117">
        <v>0</v>
      </c>
      <c r="U312" s="117">
        <v>0</v>
      </c>
      <c r="V312" s="117">
        <v>0</v>
      </c>
      <c r="W312" s="117">
        <v>0</v>
      </c>
      <c r="X312" s="117">
        <v>1</v>
      </c>
      <c r="Y312" s="117">
        <v>68100</v>
      </c>
      <c r="Z312" s="117">
        <v>6</v>
      </c>
      <c r="AA312" s="117">
        <v>1676900</v>
      </c>
      <c r="AB312" s="117">
        <v>50</v>
      </c>
      <c r="AC312" s="117">
        <v>12446300</v>
      </c>
      <c r="AD312" s="117">
        <v>0</v>
      </c>
      <c r="AE312" s="117">
        <v>0</v>
      </c>
      <c r="AF312" s="117">
        <v>2</v>
      </c>
      <c r="AG312" s="117">
        <v>121900</v>
      </c>
      <c r="AH312" s="117">
        <v>3</v>
      </c>
      <c r="AI312" s="117">
        <v>27700</v>
      </c>
      <c r="AJ312" s="117">
        <v>0</v>
      </c>
      <c r="AK312" s="117">
        <v>0</v>
      </c>
      <c r="AL312" s="117">
        <v>0</v>
      </c>
      <c r="AM312" s="117">
        <v>0</v>
      </c>
      <c r="AN312" s="117">
        <v>3</v>
      </c>
      <c r="AO312" s="117">
        <v>7400</v>
      </c>
      <c r="AP312" s="117">
        <v>12</v>
      </c>
      <c r="AQ312" s="117">
        <v>175500</v>
      </c>
      <c r="AR312" s="117">
        <v>41</v>
      </c>
      <c r="AS312" s="117">
        <v>3667500</v>
      </c>
      <c r="AT312" s="117">
        <v>486</v>
      </c>
      <c r="AU312" s="117">
        <v>54316600</v>
      </c>
    </row>
    <row r="313" spans="1:47" x14ac:dyDescent="0.25">
      <c r="A313" s="117">
        <v>540092</v>
      </c>
      <c r="B313" s="2" t="s">
        <v>183</v>
      </c>
      <c r="C313" s="2" t="s">
        <v>111</v>
      </c>
      <c r="D313" s="2" t="s">
        <v>115</v>
      </c>
      <c r="E313" s="117">
        <v>2</v>
      </c>
      <c r="F313" s="117">
        <v>0</v>
      </c>
      <c r="G313" s="117">
        <v>0</v>
      </c>
      <c r="H313" s="117">
        <v>0</v>
      </c>
      <c r="I313" s="117">
        <v>0</v>
      </c>
      <c r="J313" s="117">
        <v>314</v>
      </c>
      <c r="K313" s="117">
        <v>18570800</v>
      </c>
      <c r="L313" s="117">
        <v>0</v>
      </c>
      <c r="M313" s="117">
        <v>0</v>
      </c>
      <c r="N313" s="117">
        <v>0</v>
      </c>
      <c r="O313" s="117">
        <v>0</v>
      </c>
      <c r="P313" s="117">
        <v>137</v>
      </c>
      <c r="Q313" s="117">
        <v>10571800</v>
      </c>
      <c r="R313" s="117">
        <v>0</v>
      </c>
      <c r="S313" s="117">
        <v>0</v>
      </c>
      <c r="T313" s="117">
        <v>0</v>
      </c>
      <c r="U313" s="117">
        <v>0</v>
      </c>
      <c r="V313" s="117">
        <v>0</v>
      </c>
      <c r="W313" s="117">
        <v>0</v>
      </c>
      <c r="X313" s="117">
        <v>0</v>
      </c>
      <c r="Y313" s="117">
        <v>0</v>
      </c>
      <c r="Z313" s="117">
        <v>0</v>
      </c>
      <c r="AA313" s="117">
        <v>0</v>
      </c>
      <c r="AB313" s="117">
        <v>0</v>
      </c>
      <c r="AC313" s="117">
        <v>0</v>
      </c>
      <c r="AD313" s="117">
        <v>0</v>
      </c>
      <c r="AE313" s="117">
        <v>0</v>
      </c>
      <c r="AF313" s="117">
        <v>0</v>
      </c>
      <c r="AG313" s="117">
        <v>0</v>
      </c>
      <c r="AH313" s="117">
        <v>0</v>
      </c>
      <c r="AI313" s="117">
        <v>0</v>
      </c>
      <c r="AJ313" s="117">
        <v>0</v>
      </c>
      <c r="AK313" s="117">
        <v>0</v>
      </c>
      <c r="AL313" s="117">
        <v>0</v>
      </c>
      <c r="AM313" s="117">
        <v>0</v>
      </c>
      <c r="AN313" s="117">
        <v>0</v>
      </c>
      <c r="AO313" s="117">
        <v>0</v>
      </c>
      <c r="AP313" s="117">
        <v>0</v>
      </c>
      <c r="AQ313" s="117">
        <v>0</v>
      </c>
      <c r="AR313" s="117">
        <v>0</v>
      </c>
      <c r="AS313" s="117">
        <v>0</v>
      </c>
      <c r="AT313" s="117">
        <v>28</v>
      </c>
      <c r="AU313" s="117">
        <v>10601300</v>
      </c>
    </row>
    <row r="314" spans="1:47" x14ac:dyDescent="0.25">
      <c r="A314" s="117">
        <v>540095</v>
      </c>
      <c r="B314" s="2" t="s">
        <v>186</v>
      </c>
      <c r="C314" s="2" t="s">
        <v>111</v>
      </c>
      <c r="D314" s="2" t="s">
        <v>115</v>
      </c>
      <c r="E314" s="117">
        <v>2</v>
      </c>
      <c r="F314" s="117">
        <v>0</v>
      </c>
      <c r="G314" s="117">
        <v>0</v>
      </c>
      <c r="H314" s="117">
        <v>0</v>
      </c>
      <c r="I314" s="117">
        <v>0</v>
      </c>
      <c r="J314" s="117">
        <v>169</v>
      </c>
      <c r="K314" s="117">
        <v>10887000</v>
      </c>
      <c r="L314" s="117">
        <v>0</v>
      </c>
      <c r="M314" s="117">
        <v>0</v>
      </c>
      <c r="N314" s="117">
        <v>0</v>
      </c>
      <c r="O314" s="117">
        <v>0</v>
      </c>
      <c r="P314" s="117">
        <v>0</v>
      </c>
      <c r="Q314" s="117">
        <v>0</v>
      </c>
      <c r="R314" s="117">
        <v>0</v>
      </c>
      <c r="S314" s="117">
        <v>0</v>
      </c>
      <c r="T314" s="117">
        <v>0</v>
      </c>
      <c r="U314" s="117">
        <v>0</v>
      </c>
      <c r="V314" s="117">
        <v>0</v>
      </c>
      <c r="W314" s="117">
        <v>0</v>
      </c>
      <c r="X314" s="117">
        <v>0</v>
      </c>
      <c r="Y314" s="117">
        <v>0</v>
      </c>
      <c r="Z314" s="117">
        <v>0</v>
      </c>
      <c r="AA314" s="117">
        <v>0</v>
      </c>
      <c r="AB314" s="117">
        <v>0</v>
      </c>
      <c r="AC314" s="117">
        <v>0</v>
      </c>
      <c r="AD314" s="117">
        <v>0</v>
      </c>
      <c r="AE314" s="117">
        <v>0</v>
      </c>
      <c r="AF314" s="117">
        <v>0</v>
      </c>
      <c r="AG314" s="117">
        <v>0</v>
      </c>
      <c r="AH314" s="117">
        <v>0</v>
      </c>
      <c r="AI314" s="117">
        <v>0</v>
      </c>
      <c r="AJ314" s="117">
        <v>0</v>
      </c>
      <c r="AK314" s="117">
        <v>0</v>
      </c>
      <c r="AL314" s="117">
        <v>0</v>
      </c>
      <c r="AM314" s="117">
        <v>0</v>
      </c>
      <c r="AN314" s="117">
        <v>1</v>
      </c>
      <c r="AO314" s="117">
        <v>36500</v>
      </c>
      <c r="AP314" s="117">
        <v>0</v>
      </c>
      <c r="AQ314" s="117">
        <v>0</v>
      </c>
      <c r="AR314" s="117">
        <v>0</v>
      </c>
      <c r="AS314" s="117">
        <v>0</v>
      </c>
      <c r="AT314" s="117">
        <v>3</v>
      </c>
      <c r="AU314" s="117">
        <v>42300</v>
      </c>
    </row>
    <row r="315" spans="1:47" x14ac:dyDescent="0.25">
      <c r="A315" s="117">
        <v>545535</v>
      </c>
      <c r="B315" s="2" t="s">
        <v>332</v>
      </c>
      <c r="C315" s="2" t="s">
        <v>111</v>
      </c>
      <c r="D315" s="2" t="s">
        <v>115</v>
      </c>
      <c r="E315" s="117">
        <v>2</v>
      </c>
      <c r="F315" s="117">
        <v>20</v>
      </c>
      <c r="G315" s="117">
        <v>451200</v>
      </c>
      <c r="H315" s="117">
        <v>165</v>
      </c>
      <c r="I315" s="117">
        <v>3550200</v>
      </c>
      <c r="J315" s="117">
        <v>655</v>
      </c>
      <c r="K315" s="117">
        <v>27326600</v>
      </c>
      <c r="L315" s="117">
        <v>0</v>
      </c>
      <c r="M315" s="117">
        <v>0</v>
      </c>
      <c r="N315" s="117">
        <v>1</v>
      </c>
      <c r="O315" s="117">
        <v>23700</v>
      </c>
      <c r="P315" s="117">
        <v>209</v>
      </c>
      <c r="Q315" s="117">
        <v>36500500</v>
      </c>
      <c r="R315" s="117">
        <v>0</v>
      </c>
      <c r="S315" s="117">
        <v>0</v>
      </c>
      <c r="T315" s="117">
        <v>0</v>
      </c>
      <c r="U315" s="117">
        <v>0</v>
      </c>
      <c r="V315" s="117">
        <v>0</v>
      </c>
      <c r="W315" s="117">
        <v>0</v>
      </c>
      <c r="X315" s="117">
        <v>0</v>
      </c>
      <c r="Y315" s="117">
        <v>0</v>
      </c>
      <c r="Z315" s="117">
        <v>0</v>
      </c>
      <c r="AA315" s="117">
        <v>0</v>
      </c>
      <c r="AB315" s="117">
        <v>0</v>
      </c>
      <c r="AC315" s="117">
        <v>0</v>
      </c>
      <c r="AD315" s="117">
        <v>0</v>
      </c>
      <c r="AE315" s="117">
        <v>0</v>
      </c>
      <c r="AF315" s="117">
        <v>0</v>
      </c>
      <c r="AG315" s="117">
        <v>0</v>
      </c>
      <c r="AH315" s="117">
        <v>0</v>
      </c>
      <c r="AI315" s="117">
        <v>0</v>
      </c>
      <c r="AJ315" s="117">
        <v>0</v>
      </c>
      <c r="AK315" s="117">
        <v>0</v>
      </c>
      <c r="AL315" s="117">
        <v>0</v>
      </c>
      <c r="AM315" s="117">
        <v>0</v>
      </c>
      <c r="AN315" s="117">
        <v>0</v>
      </c>
      <c r="AO315" s="117">
        <v>0</v>
      </c>
      <c r="AP315" s="117">
        <v>0</v>
      </c>
      <c r="AQ315" s="117">
        <v>0</v>
      </c>
      <c r="AR315" s="117">
        <v>8</v>
      </c>
      <c r="AS315" s="117">
        <v>227300</v>
      </c>
      <c r="AT315" s="117">
        <v>106</v>
      </c>
      <c r="AU315" s="117">
        <v>20371700</v>
      </c>
    </row>
    <row r="316" spans="1:47" x14ac:dyDescent="0.25">
      <c r="A316" s="117">
        <v>545537</v>
      </c>
      <c r="B316" s="2" t="s">
        <v>333</v>
      </c>
      <c r="C316" s="2" t="s">
        <v>111</v>
      </c>
      <c r="D316" s="2" t="s">
        <v>115</v>
      </c>
      <c r="E316" s="117">
        <v>2</v>
      </c>
      <c r="F316" s="117">
        <v>1</v>
      </c>
      <c r="G316" s="117">
        <v>31300</v>
      </c>
      <c r="H316" s="117">
        <v>8</v>
      </c>
      <c r="I316" s="117">
        <v>182800</v>
      </c>
      <c r="J316" s="117">
        <v>210</v>
      </c>
      <c r="K316" s="117">
        <v>13214400</v>
      </c>
      <c r="L316" s="117">
        <v>0</v>
      </c>
      <c r="M316" s="117">
        <v>0</v>
      </c>
      <c r="N316" s="117">
        <v>2</v>
      </c>
      <c r="O316" s="117">
        <v>42200</v>
      </c>
      <c r="P316" s="117">
        <v>17</v>
      </c>
      <c r="Q316" s="117">
        <v>1589200</v>
      </c>
      <c r="R316" s="117">
        <v>0</v>
      </c>
      <c r="S316" s="117">
        <v>0</v>
      </c>
      <c r="T316" s="117">
        <v>0</v>
      </c>
      <c r="U316" s="117">
        <v>0</v>
      </c>
      <c r="V316" s="117">
        <v>0</v>
      </c>
      <c r="W316" s="117">
        <v>0</v>
      </c>
      <c r="X316" s="117">
        <v>0</v>
      </c>
      <c r="Y316" s="117">
        <v>0</v>
      </c>
      <c r="Z316" s="117">
        <v>1</v>
      </c>
      <c r="AA316" s="117">
        <v>43000</v>
      </c>
      <c r="AB316" s="117">
        <v>0</v>
      </c>
      <c r="AC316" s="117">
        <v>0</v>
      </c>
      <c r="AD316" s="117">
        <v>0</v>
      </c>
      <c r="AE316" s="117">
        <v>0</v>
      </c>
      <c r="AF316" s="117">
        <v>0</v>
      </c>
      <c r="AG316" s="117">
        <v>0</v>
      </c>
      <c r="AH316" s="117">
        <v>0</v>
      </c>
      <c r="AI316" s="117">
        <v>0</v>
      </c>
      <c r="AJ316" s="117">
        <v>0</v>
      </c>
      <c r="AK316" s="117">
        <v>0</v>
      </c>
      <c r="AL316" s="117">
        <v>0</v>
      </c>
      <c r="AM316" s="117">
        <v>0</v>
      </c>
      <c r="AN316" s="117">
        <v>0</v>
      </c>
      <c r="AO316" s="117">
        <v>0</v>
      </c>
      <c r="AP316" s="117">
        <v>0</v>
      </c>
      <c r="AQ316" s="117">
        <v>0</v>
      </c>
      <c r="AR316" s="117">
        <v>5</v>
      </c>
      <c r="AS316" s="117">
        <v>111100</v>
      </c>
      <c r="AT316" s="117">
        <v>16</v>
      </c>
      <c r="AU316" s="117">
        <v>1218200</v>
      </c>
    </row>
    <row r="317" spans="1:47" x14ac:dyDescent="0.25">
      <c r="A317" s="117">
        <v>545539</v>
      </c>
      <c r="B317" s="2" t="s">
        <v>335</v>
      </c>
      <c r="C317" s="2" t="s">
        <v>111</v>
      </c>
      <c r="D317" s="2" t="s">
        <v>115</v>
      </c>
      <c r="E317" s="117">
        <v>2</v>
      </c>
      <c r="F317" s="117">
        <v>0</v>
      </c>
      <c r="G317" s="117">
        <v>0</v>
      </c>
      <c r="H317" s="117">
        <v>19</v>
      </c>
      <c r="I317" s="117">
        <v>353600</v>
      </c>
      <c r="J317" s="117">
        <v>212</v>
      </c>
      <c r="K317" s="117">
        <v>7776900</v>
      </c>
      <c r="L317" s="117">
        <v>0</v>
      </c>
      <c r="M317" s="117">
        <v>0</v>
      </c>
      <c r="N317" s="117">
        <v>0</v>
      </c>
      <c r="O317" s="117">
        <v>0</v>
      </c>
      <c r="P317" s="117">
        <v>29</v>
      </c>
      <c r="Q317" s="117">
        <v>1449900</v>
      </c>
      <c r="R317" s="117">
        <v>0</v>
      </c>
      <c r="S317" s="117">
        <v>0</v>
      </c>
      <c r="T317" s="117">
        <v>0</v>
      </c>
      <c r="U317" s="117">
        <v>0</v>
      </c>
      <c r="V317" s="117">
        <v>0</v>
      </c>
      <c r="W317" s="117">
        <v>0</v>
      </c>
      <c r="X317" s="117">
        <v>0</v>
      </c>
      <c r="Y317" s="117">
        <v>0</v>
      </c>
      <c r="Z317" s="117">
        <v>0</v>
      </c>
      <c r="AA317" s="117">
        <v>0</v>
      </c>
      <c r="AB317" s="117">
        <v>0</v>
      </c>
      <c r="AC317" s="117">
        <v>0</v>
      </c>
      <c r="AD317" s="117">
        <v>0</v>
      </c>
      <c r="AE317" s="117">
        <v>0</v>
      </c>
      <c r="AF317" s="117">
        <v>0</v>
      </c>
      <c r="AG317" s="117">
        <v>0</v>
      </c>
      <c r="AH317" s="117">
        <v>0</v>
      </c>
      <c r="AI317" s="117">
        <v>0</v>
      </c>
      <c r="AJ317" s="117">
        <v>0</v>
      </c>
      <c r="AK317" s="117">
        <v>0</v>
      </c>
      <c r="AL317" s="117">
        <v>0</v>
      </c>
      <c r="AM317" s="117">
        <v>0</v>
      </c>
      <c r="AN317" s="117">
        <v>0</v>
      </c>
      <c r="AO317" s="117">
        <v>0</v>
      </c>
      <c r="AP317" s="117">
        <v>0</v>
      </c>
      <c r="AQ317" s="117">
        <v>0</v>
      </c>
      <c r="AR317" s="117">
        <v>0</v>
      </c>
      <c r="AS317" s="117">
        <v>0</v>
      </c>
      <c r="AT317" s="117">
        <v>10</v>
      </c>
      <c r="AU317" s="117">
        <v>602200</v>
      </c>
    </row>
    <row r="318" spans="1:47" x14ac:dyDescent="0.25">
      <c r="A318" s="269"/>
      <c r="B318" s="269"/>
      <c r="C318" s="269" t="s">
        <v>111</v>
      </c>
      <c r="D318" s="269"/>
      <c r="E318" s="269"/>
      <c r="F318" s="270">
        <v>244</v>
      </c>
      <c r="G318" s="270">
        <v>6096600</v>
      </c>
      <c r="H318" s="270">
        <v>1109</v>
      </c>
      <c r="I318" s="270">
        <v>22843200</v>
      </c>
      <c r="J318" s="270">
        <v>11969</v>
      </c>
      <c r="K318" s="270">
        <v>413201700</v>
      </c>
      <c r="L318" s="270">
        <v>2</v>
      </c>
      <c r="M318" s="270">
        <v>149300</v>
      </c>
      <c r="N318" s="270">
        <v>33</v>
      </c>
      <c r="O318" s="270">
        <v>3261100</v>
      </c>
      <c r="P318" s="270">
        <v>717</v>
      </c>
      <c r="Q318" s="270">
        <v>166463600</v>
      </c>
      <c r="R318" s="270">
        <v>0</v>
      </c>
      <c r="S318" s="270">
        <v>0</v>
      </c>
      <c r="T318" s="270">
        <v>0</v>
      </c>
      <c r="U318" s="270">
        <v>0</v>
      </c>
      <c r="V318" s="270">
        <v>0</v>
      </c>
      <c r="W318" s="270">
        <v>0</v>
      </c>
      <c r="X318" s="270">
        <v>1</v>
      </c>
      <c r="Y318" s="270">
        <v>68100</v>
      </c>
      <c r="Z318" s="270">
        <v>7</v>
      </c>
      <c r="AA318" s="270">
        <v>1719900</v>
      </c>
      <c r="AB318" s="270">
        <v>50</v>
      </c>
      <c r="AC318" s="270">
        <v>12446300</v>
      </c>
      <c r="AD318" s="270">
        <v>0</v>
      </c>
      <c r="AE318" s="270">
        <v>0</v>
      </c>
      <c r="AF318" s="270">
        <v>2</v>
      </c>
      <c r="AG318" s="270">
        <v>121900</v>
      </c>
      <c r="AH318" s="270">
        <v>3</v>
      </c>
      <c r="AI318" s="270">
        <v>27700</v>
      </c>
      <c r="AJ318" s="270">
        <v>0</v>
      </c>
      <c r="AK318" s="270">
        <v>0</v>
      </c>
      <c r="AL318" s="270">
        <v>0</v>
      </c>
      <c r="AM318" s="270">
        <v>0</v>
      </c>
      <c r="AN318" s="270">
        <v>4</v>
      </c>
      <c r="AO318" s="270">
        <v>43900</v>
      </c>
      <c r="AP318" s="270">
        <v>12</v>
      </c>
      <c r="AQ318" s="270">
        <v>175500</v>
      </c>
      <c r="AR318" s="270">
        <v>54</v>
      </c>
      <c r="AS318" s="270">
        <v>4005900</v>
      </c>
      <c r="AT318" s="270">
        <v>649</v>
      </c>
      <c r="AU318" s="270">
        <v>87152300</v>
      </c>
    </row>
    <row r="319" spans="1:47" x14ac:dyDescent="0.25">
      <c r="A319" s="117">
        <v>540191</v>
      </c>
      <c r="B319" s="2" t="s">
        <v>112</v>
      </c>
      <c r="C319" s="2" t="s">
        <v>113</v>
      </c>
      <c r="D319" s="2" t="s">
        <v>5</v>
      </c>
      <c r="E319" s="117">
        <v>7</v>
      </c>
      <c r="F319" s="117">
        <v>92</v>
      </c>
      <c r="G319" s="117">
        <v>6478600</v>
      </c>
      <c r="H319" s="117">
        <v>524</v>
      </c>
      <c r="I319" s="117">
        <v>34272300</v>
      </c>
      <c r="J319" s="117">
        <v>3687</v>
      </c>
      <c r="K319" s="117">
        <v>410594700</v>
      </c>
      <c r="L319" s="117">
        <v>1</v>
      </c>
      <c r="M319" s="117">
        <v>1500</v>
      </c>
      <c r="N319" s="117">
        <v>3</v>
      </c>
      <c r="O319" s="117">
        <v>52100</v>
      </c>
      <c r="P319" s="117">
        <v>71</v>
      </c>
      <c r="Q319" s="117">
        <v>12259900</v>
      </c>
      <c r="R319" s="117">
        <v>0</v>
      </c>
      <c r="S319" s="117">
        <v>0</v>
      </c>
      <c r="T319" s="117">
        <v>0</v>
      </c>
      <c r="U319" s="117">
        <v>0</v>
      </c>
      <c r="V319" s="117">
        <v>1</v>
      </c>
      <c r="W319" s="117">
        <v>116800</v>
      </c>
      <c r="X319" s="117">
        <v>0</v>
      </c>
      <c r="Y319" s="117">
        <v>0</v>
      </c>
      <c r="Z319" s="117">
        <v>2</v>
      </c>
      <c r="AA319" s="117">
        <v>486600</v>
      </c>
      <c r="AB319" s="117">
        <v>4</v>
      </c>
      <c r="AC319" s="117">
        <v>172000</v>
      </c>
      <c r="AD319" s="117">
        <v>23</v>
      </c>
      <c r="AE319" s="117">
        <v>1600500</v>
      </c>
      <c r="AF319" s="117">
        <v>115</v>
      </c>
      <c r="AG319" s="117">
        <v>7156700</v>
      </c>
      <c r="AH319" s="117">
        <v>277</v>
      </c>
      <c r="AI319" s="117">
        <v>18963000</v>
      </c>
      <c r="AJ319" s="117">
        <v>0</v>
      </c>
      <c r="AK319" s="117">
        <v>0</v>
      </c>
      <c r="AL319" s="117">
        <v>0</v>
      </c>
      <c r="AM319" s="117">
        <v>0</v>
      </c>
      <c r="AN319" s="117">
        <v>3</v>
      </c>
      <c r="AO319" s="117">
        <v>135900</v>
      </c>
      <c r="AP319" s="117">
        <v>3</v>
      </c>
      <c r="AQ319" s="117">
        <v>246300</v>
      </c>
      <c r="AR319" s="117">
        <v>22</v>
      </c>
      <c r="AS319" s="117">
        <v>1069800</v>
      </c>
      <c r="AT319" s="117">
        <v>191</v>
      </c>
      <c r="AU319" s="117">
        <v>43853300</v>
      </c>
    </row>
    <row r="320" spans="1:47" x14ac:dyDescent="0.25">
      <c r="A320" s="117">
        <v>540193</v>
      </c>
      <c r="B320" s="2" t="s">
        <v>342</v>
      </c>
      <c r="C320" s="2" t="s">
        <v>113</v>
      </c>
      <c r="D320" s="2" t="s">
        <v>115</v>
      </c>
      <c r="E320" s="117">
        <v>7</v>
      </c>
      <c r="F320" s="117">
        <v>5</v>
      </c>
      <c r="G320" s="117">
        <v>78600</v>
      </c>
      <c r="H320" s="117">
        <v>21</v>
      </c>
      <c r="I320" s="117">
        <v>506900</v>
      </c>
      <c r="J320" s="117">
        <v>148</v>
      </c>
      <c r="K320" s="117">
        <v>5571800</v>
      </c>
      <c r="L320" s="117">
        <v>0</v>
      </c>
      <c r="M320" s="117">
        <v>0</v>
      </c>
      <c r="N320" s="117">
        <v>0</v>
      </c>
      <c r="O320" s="117">
        <v>0</v>
      </c>
      <c r="P320" s="117">
        <v>5</v>
      </c>
      <c r="Q320" s="117">
        <v>170400</v>
      </c>
      <c r="R320" s="117">
        <v>0</v>
      </c>
      <c r="S320" s="117">
        <v>0</v>
      </c>
      <c r="T320" s="117">
        <v>0</v>
      </c>
      <c r="U320" s="117">
        <v>0</v>
      </c>
      <c r="V320" s="117">
        <v>0</v>
      </c>
      <c r="W320" s="117">
        <v>0</v>
      </c>
      <c r="X320" s="117">
        <v>0</v>
      </c>
      <c r="Y320" s="117">
        <v>0</v>
      </c>
      <c r="Z320" s="117">
        <v>0</v>
      </c>
      <c r="AA320" s="117">
        <v>0</v>
      </c>
      <c r="AB320" s="117">
        <v>0</v>
      </c>
      <c r="AC320" s="117">
        <v>0</v>
      </c>
      <c r="AD320" s="117">
        <v>0</v>
      </c>
      <c r="AE320" s="117">
        <v>0</v>
      </c>
      <c r="AF320" s="117">
        <v>0</v>
      </c>
      <c r="AG320" s="117">
        <v>0</v>
      </c>
      <c r="AH320" s="117">
        <v>0</v>
      </c>
      <c r="AI320" s="117">
        <v>0</v>
      </c>
      <c r="AJ320" s="117">
        <v>0</v>
      </c>
      <c r="AK320" s="117">
        <v>0</v>
      </c>
      <c r="AL320" s="117">
        <v>0</v>
      </c>
      <c r="AM320" s="117">
        <v>0</v>
      </c>
      <c r="AN320" s="117">
        <v>3</v>
      </c>
      <c r="AO320" s="117">
        <v>47900</v>
      </c>
      <c r="AP320" s="117">
        <v>1</v>
      </c>
      <c r="AQ320" s="117">
        <v>2300</v>
      </c>
      <c r="AR320" s="117">
        <v>0</v>
      </c>
      <c r="AS320" s="117">
        <v>0</v>
      </c>
      <c r="AT320" s="117">
        <v>10</v>
      </c>
      <c r="AU320" s="117">
        <v>256700</v>
      </c>
    </row>
    <row r="321" spans="1:47" x14ac:dyDescent="0.25">
      <c r="A321" s="117">
        <v>540192</v>
      </c>
      <c r="B321" s="2" t="s">
        <v>343</v>
      </c>
      <c r="C321" s="2" t="s">
        <v>113</v>
      </c>
      <c r="D321" s="2" t="s">
        <v>115</v>
      </c>
      <c r="E321" s="117">
        <v>7</v>
      </c>
      <c r="F321" s="117">
        <v>0</v>
      </c>
      <c r="G321" s="117">
        <v>0</v>
      </c>
      <c r="H321" s="117">
        <v>6</v>
      </c>
      <c r="I321" s="117">
        <v>161200</v>
      </c>
      <c r="J321" s="117">
        <v>122</v>
      </c>
      <c r="K321" s="117">
        <v>5442100</v>
      </c>
      <c r="L321" s="117">
        <v>0</v>
      </c>
      <c r="M321" s="117">
        <v>0</v>
      </c>
      <c r="N321" s="117">
        <v>0</v>
      </c>
      <c r="O321" s="117">
        <v>0</v>
      </c>
      <c r="P321" s="117">
        <v>3</v>
      </c>
      <c r="Q321" s="117">
        <v>119900</v>
      </c>
      <c r="R321" s="117">
        <v>0</v>
      </c>
      <c r="S321" s="117">
        <v>0</v>
      </c>
      <c r="T321" s="117">
        <v>0</v>
      </c>
      <c r="U321" s="117">
        <v>0</v>
      </c>
      <c r="V321" s="117">
        <v>0</v>
      </c>
      <c r="W321" s="117">
        <v>0</v>
      </c>
      <c r="X321" s="117">
        <v>0</v>
      </c>
      <c r="Y321" s="117">
        <v>0</v>
      </c>
      <c r="Z321" s="117">
        <v>0</v>
      </c>
      <c r="AA321" s="117">
        <v>0</v>
      </c>
      <c r="AB321" s="117">
        <v>0</v>
      </c>
      <c r="AC321" s="117">
        <v>0</v>
      </c>
      <c r="AD321" s="117">
        <v>0</v>
      </c>
      <c r="AE321" s="117">
        <v>0</v>
      </c>
      <c r="AF321" s="117">
        <v>0</v>
      </c>
      <c r="AG321" s="117">
        <v>0</v>
      </c>
      <c r="AH321" s="117">
        <v>0</v>
      </c>
      <c r="AI321" s="117">
        <v>0</v>
      </c>
      <c r="AJ321" s="117">
        <v>0</v>
      </c>
      <c r="AK321" s="117">
        <v>0</v>
      </c>
      <c r="AL321" s="117">
        <v>0</v>
      </c>
      <c r="AM321" s="117">
        <v>0</v>
      </c>
      <c r="AN321" s="117">
        <v>0</v>
      </c>
      <c r="AO321" s="117">
        <v>0</v>
      </c>
      <c r="AP321" s="117">
        <v>0</v>
      </c>
      <c r="AQ321" s="117">
        <v>0</v>
      </c>
      <c r="AR321" s="117">
        <v>0</v>
      </c>
      <c r="AS321" s="117">
        <v>0</v>
      </c>
      <c r="AT321" s="117">
        <v>11</v>
      </c>
      <c r="AU321" s="117">
        <v>665400</v>
      </c>
    </row>
    <row r="322" spans="1:47" x14ac:dyDescent="0.25">
      <c r="A322" s="117">
        <v>540194</v>
      </c>
      <c r="B322" s="2" t="s">
        <v>344</v>
      </c>
      <c r="C322" s="2" t="s">
        <v>113</v>
      </c>
      <c r="D322" s="2" t="s">
        <v>115</v>
      </c>
      <c r="E322" s="117">
        <v>7</v>
      </c>
      <c r="F322" s="117">
        <v>5</v>
      </c>
      <c r="G322" s="117">
        <v>197800</v>
      </c>
      <c r="H322" s="117">
        <v>36</v>
      </c>
      <c r="I322" s="117">
        <v>1556100</v>
      </c>
      <c r="J322" s="117">
        <v>422</v>
      </c>
      <c r="K322" s="117">
        <v>21264400</v>
      </c>
      <c r="L322" s="117">
        <v>0</v>
      </c>
      <c r="M322" s="117">
        <v>0</v>
      </c>
      <c r="N322" s="117">
        <v>2</v>
      </c>
      <c r="O322" s="117">
        <v>70500</v>
      </c>
      <c r="P322" s="117">
        <v>13</v>
      </c>
      <c r="Q322" s="117">
        <v>645000</v>
      </c>
      <c r="R322" s="117">
        <v>0</v>
      </c>
      <c r="S322" s="117">
        <v>0</v>
      </c>
      <c r="T322" s="117">
        <v>0</v>
      </c>
      <c r="U322" s="117">
        <v>0</v>
      </c>
      <c r="V322" s="117">
        <v>2</v>
      </c>
      <c r="W322" s="117">
        <v>1125900</v>
      </c>
      <c r="X322" s="117">
        <v>0</v>
      </c>
      <c r="Y322" s="117">
        <v>0</v>
      </c>
      <c r="Z322" s="117">
        <v>0</v>
      </c>
      <c r="AA322" s="117">
        <v>0</v>
      </c>
      <c r="AB322" s="117">
        <v>0</v>
      </c>
      <c r="AC322" s="117">
        <v>0</v>
      </c>
      <c r="AD322" s="117">
        <v>0</v>
      </c>
      <c r="AE322" s="117">
        <v>0</v>
      </c>
      <c r="AF322" s="117">
        <v>0</v>
      </c>
      <c r="AG322" s="117">
        <v>0</v>
      </c>
      <c r="AH322" s="117">
        <v>0</v>
      </c>
      <c r="AI322" s="117">
        <v>0</v>
      </c>
      <c r="AJ322" s="117">
        <v>0</v>
      </c>
      <c r="AK322" s="117">
        <v>0</v>
      </c>
      <c r="AL322" s="117">
        <v>0</v>
      </c>
      <c r="AM322" s="117">
        <v>0</v>
      </c>
      <c r="AN322" s="117">
        <v>1</v>
      </c>
      <c r="AO322" s="117">
        <v>20300</v>
      </c>
      <c r="AP322" s="117">
        <v>0</v>
      </c>
      <c r="AQ322" s="117">
        <v>0</v>
      </c>
      <c r="AR322" s="117">
        <v>2</v>
      </c>
      <c r="AS322" s="117">
        <v>13700</v>
      </c>
      <c r="AT322" s="117">
        <v>36</v>
      </c>
      <c r="AU322" s="117">
        <v>7245100</v>
      </c>
    </row>
    <row r="323" spans="1:47" x14ac:dyDescent="0.25">
      <c r="A323" s="117">
        <v>540261</v>
      </c>
      <c r="B323" s="2" t="s">
        <v>345</v>
      </c>
      <c r="C323" s="2" t="s">
        <v>113</v>
      </c>
      <c r="D323" s="2" t="s">
        <v>115</v>
      </c>
      <c r="E323" s="117">
        <v>7</v>
      </c>
      <c r="F323" s="117">
        <v>1</v>
      </c>
      <c r="G323" s="117">
        <v>200</v>
      </c>
      <c r="H323" s="117">
        <v>20</v>
      </c>
      <c r="I323" s="117">
        <v>572900</v>
      </c>
      <c r="J323" s="117">
        <v>388</v>
      </c>
      <c r="K323" s="117">
        <v>20952000</v>
      </c>
      <c r="L323" s="117">
        <v>1</v>
      </c>
      <c r="M323" s="117">
        <v>8000</v>
      </c>
      <c r="N323" s="117">
        <v>2</v>
      </c>
      <c r="O323" s="117">
        <v>15100</v>
      </c>
      <c r="P323" s="117">
        <v>54</v>
      </c>
      <c r="Q323" s="117">
        <v>6420000</v>
      </c>
      <c r="R323" s="117">
        <v>0</v>
      </c>
      <c r="S323" s="117">
        <v>0</v>
      </c>
      <c r="T323" s="117">
        <v>0</v>
      </c>
      <c r="U323" s="117">
        <v>0</v>
      </c>
      <c r="V323" s="117">
        <v>0</v>
      </c>
      <c r="W323" s="117">
        <v>0</v>
      </c>
      <c r="X323" s="117">
        <v>0</v>
      </c>
      <c r="Y323" s="117">
        <v>0</v>
      </c>
      <c r="Z323" s="117">
        <v>0</v>
      </c>
      <c r="AA323" s="117">
        <v>0</v>
      </c>
      <c r="AB323" s="117">
        <v>2</v>
      </c>
      <c r="AC323" s="117">
        <v>333900</v>
      </c>
      <c r="AD323" s="117">
        <v>0</v>
      </c>
      <c r="AE323" s="117">
        <v>0</v>
      </c>
      <c r="AF323" s="117">
        <v>0</v>
      </c>
      <c r="AG323" s="117">
        <v>0</v>
      </c>
      <c r="AH323" s="117">
        <v>0</v>
      </c>
      <c r="AI323" s="117">
        <v>0</v>
      </c>
      <c r="AJ323" s="117">
        <v>0</v>
      </c>
      <c r="AK323" s="117">
        <v>0</v>
      </c>
      <c r="AL323" s="117">
        <v>0</v>
      </c>
      <c r="AM323" s="117">
        <v>0</v>
      </c>
      <c r="AN323" s="117">
        <v>3</v>
      </c>
      <c r="AO323" s="117">
        <v>40900</v>
      </c>
      <c r="AP323" s="117">
        <v>0</v>
      </c>
      <c r="AQ323" s="117">
        <v>0</v>
      </c>
      <c r="AR323" s="117">
        <v>4</v>
      </c>
      <c r="AS323" s="117">
        <v>201700</v>
      </c>
      <c r="AT323" s="117">
        <v>29</v>
      </c>
      <c r="AU323" s="117">
        <v>4180200</v>
      </c>
    </row>
    <row r="324" spans="1:47" x14ac:dyDescent="0.25">
      <c r="A324" s="117">
        <v>540260</v>
      </c>
      <c r="B324" s="2" t="s">
        <v>346</v>
      </c>
      <c r="C324" s="2" t="s">
        <v>113</v>
      </c>
      <c r="D324" s="2" t="s">
        <v>115</v>
      </c>
      <c r="E324" s="117">
        <v>7</v>
      </c>
      <c r="F324" s="117">
        <v>2</v>
      </c>
      <c r="G324" s="117">
        <v>42600</v>
      </c>
      <c r="H324" s="117">
        <v>11</v>
      </c>
      <c r="I324" s="117">
        <v>235100</v>
      </c>
      <c r="J324" s="117">
        <v>911</v>
      </c>
      <c r="K324" s="117">
        <v>42901500</v>
      </c>
      <c r="L324" s="117">
        <v>0</v>
      </c>
      <c r="M324" s="117">
        <v>0</v>
      </c>
      <c r="N324" s="117">
        <v>0</v>
      </c>
      <c r="O324" s="117">
        <v>0</v>
      </c>
      <c r="P324" s="117">
        <v>86</v>
      </c>
      <c r="Q324" s="117">
        <v>6162900</v>
      </c>
      <c r="R324" s="117">
        <v>0</v>
      </c>
      <c r="S324" s="117">
        <v>0</v>
      </c>
      <c r="T324" s="117">
        <v>0</v>
      </c>
      <c r="U324" s="117">
        <v>0</v>
      </c>
      <c r="V324" s="117">
        <v>0</v>
      </c>
      <c r="W324" s="117">
        <v>0</v>
      </c>
      <c r="X324" s="117">
        <v>0</v>
      </c>
      <c r="Y324" s="117">
        <v>0</v>
      </c>
      <c r="Z324" s="117">
        <v>0</v>
      </c>
      <c r="AA324" s="117">
        <v>0</v>
      </c>
      <c r="AB324" s="117">
        <v>0</v>
      </c>
      <c r="AC324" s="117">
        <v>0</v>
      </c>
      <c r="AD324" s="117">
        <v>0</v>
      </c>
      <c r="AE324" s="117">
        <v>0</v>
      </c>
      <c r="AF324" s="117">
        <v>0</v>
      </c>
      <c r="AG324" s="117">
        <v>0</v>
      </c>
      <c r="AH324" s="117">
        <v>0</v>
      </c>
      <c r="AI324" s="117">
        <v>0</v>
      </c>
      <c r="AJ324" s="117">
        <v>0</v>
      </c>
      <c r="AK324" s="117">
        <v>0</v>
      </c>
      <c r="AL324" s="117">
        <v>0</v>
      </c>
      <c r="AM324" s="117">
        <v>0</v>
      </c>
      <c r="AN324" s="117">
        <v>4</v>
      </c>
      <c r="AO324" s="117">
        <v>163800</v>
      </c>
      <c r="AP324" s="117">
        <v>0</v>
      </c>
      <c r="AQ324" s="117">
        <v>0</v>
      </c>
      <c r="AR324" s="117">
        <v>0</v>
      </c>
      <c r="AS324" s="117">
        <v>0</v>
      </c>
      <c r="AT324" s="117">
        <v>20</v>
      </c>
      <c r="AU324" s="117">
        <v>1567700</v>
      </c>
    </row>
    <row r="325" spans="1:47" x14ac:dyDescent="0.25">
      <c r="A325" s="269"/>
      <c r="B325" s="269"/>
      <c r="C325" s="269" t="s">
        <v>113</v>
      </c>
      <c r="D325" s="269"/>
      <c r="E325" s="269"/>
      <c r="F325" s="270">
        <v>105</v>
      </c>
      <c r="G325" s="270">
        <v>6797800</v>
      </c>
      <c r="H325" s="270">
        <v>618</v>
      </c>
      <c r="I325" s="270">
        <v>37304500</v>
      </c>
      <c r="J325" s="270">
        <v>5678</v>
      </c>
      <c r="K325" s="270">
        <v>506726500</v>
      </c>
      <c r="L325" s="270">
        <v>2</v>
      </c>
      <c r="M325" s="270">
        <v>9500</v>
      </c>
      <c r="N325" s="270">
        <v>7</v>
      </c>
      <c r="O325" s="270">
        <v>137700</v>
      </c>
      <c r="P325" s="270">
        <v>232</v>
      </c>
      <c r="Q325" s="270">
        <v>25778100</v>
      </c>
      <c r="R325" s="270">
        <v>0</v>
      </c>
      <c r="S325" s="270">
        <v>0</v>
      </c>
      <c r="T325" s="270">
        <v>0</v>
      </c>
      <c r="U325" s="270">
        <v>0</v>
      </c>
      <c r="V325" s="270">
        <v>3</v>
      </c>
      <c r="W325" s="270">
        <v>1242700</v>
      </c>
      <c r="X325" s="270">
        <v>0</v>
      </c>
      <c r="Y325" s="270">
        <v>0</v>
      </c>
      <c r="Z325" s="270">
        <v>2</v>
      </c>
      <c r="AA325" s="270">
        <v>486600</v>
      </c>
      <c r="AB325" s="270">
        <v>6</v>
      </c>
      <c r="AC325" s="270">
        <v>505900</v>
      </c>
      <c r="AD325" s="270">
        <v>23</v>
      </c>
      <c r="AE325" s="270">
        <v>1600500</v>
      </c>
      <c r="AF325" s="270">
        <v>115</v>
      </c>
      <c r="AG325" s="270">
        <v>7156700</v>
      </c>
      <c r="AH325" s="270">
        <v>277</v>
      </c>
      <c r="AI325" s="270">
        <v>18963000</v>
      </c>
      <c r="AJ325" s="270">
        <v>0</v>
      </c>
      <c r="AK325" s="270">
        <v>0</v>
      </c>
      <c r="AL325" s="270">
        <v>0</v>
      </c>
      <c r="AM325" s="270">
        <v>0</v>
      </c>
      <c r="AN325" s="270">
        <v>14</v>
      </c>
      <c r="AO325" s="270">
        <v>408800</v>
      </c>
      <c r="AP325" s="270">
        <v>4</v>
      </c>
      <c r="AQ325" s="270">
        <v>248600</v>
      </c>
      <c r="AR325" s="270">
        <v>28</v>
      </c>
      <c r="AS325" s="270">
        <v>1285200</v>
      </c>
      <c r="AT325" s="270">
        <v>297</v>
      </c>
      <c r="AU325" s="270">
        <v>57768400</v>
      </c>
    </row>
    <row r="326" spans="1:47" x14ac:dyDescent="0.25">
      <c r="A326" s="117">
        <v>540027</v>
      </c>
      <c r="B326" s="2" t="s">
        <v>132</v>
      </c>
      <c r="C326" s="2" t="s">
        <v>21</v>
      </c>
      <c r="D326" s="2" t="s">
        <v>115</v>
      </c>
      <c r="E326" s="117">
        <v>4</v>
      </c>
      <c r="F326" s="117">
        <v>7</v>
      </c>
      <c r="G326" s="117">
        <v>14300</v>
      </c>
      <c r="H326" s="117">
        <v>67</v>
      </c>
      <c r="I326" s="117">
        <v>2118900</v>
      </c>
      <c r="J326" s="117">
        <v>766</v>
      </c>
      <c r="K326" s="117">
        <v>28297800</v>
      </c>
      <c r="L326" s="117">
        <v>0</v>
      </c>
      <c r="M326" s="117">
        <v>0</v>
      </c>
      <c r="N326" s="117">
        <v>0</v>
      </c>
      <c r="O326" s="117">
        <v>0</v>
      </c>
      <c r="P326" s="117">
        <v>52</v>
      </c>
      <c r="Q326" s="117">
        <v>5700600</v>
      </c>
      <c r="R326" s="117">
        <v>0</v>
      </c>
      <c r="S326" s="117">
        <v>0</v>
      </c>
      <c r="T326" s="117">
        <v>0</v>
      </c>
      <c r="U326" s="117">
        <v>0</v>
      </c>
      <c r="V326" s="117">
        <v>0</v>
      </c>
      <c r="W326" s="117">
        <v>0</v>
      </c>
      <c r="X326" s="117">
        <v>0</v>
      </c>
      <c r="Y326" s="117">
        <v>0</v>
      </c>
      <c r="Z326" s="117">
        <v>0</v>
      </c>
      <c r="AA326" s="117">
        <v>0</v>
      </c>
      <c r="AB326" s="117">
        <v>0</v>
      </c>
      <c r="AC326" s="117">
        <v>0</v>
      </c>
      <c r="AD326" s="117">
        <v>0</v>
      </c>
      <c r="AE326" s="117">
        <v>0</v>
      </c>
      <c r="AF326" s="117">
        <v>0</v>
      </c>
      <c r="AG326" s="117">
        <v>0</v>
      </c>
      <c r="AH326" s="117">
        <v>3</v>
      </c>
      <c r="AI326" s="117">
        <v>168500</v>
      </c>
      <c r="AJ326" s="117">
        <v>0</v>
      </c>
      <c r="AK326" s="117">
        <v>0</v>
      </c>
      <c r="AL326" s="117">
        <v>0</v>
      </c>
      <c r="AM326" s="117">
        <v>0</v>
      </c>
      <c r="AN326" s="117">
        <v>2</v>
      </c>
      <c r="AO326" s="117">
        <v>41700</v>
      </c>
      <c r="AP326" s="117">
        <v>1</v>
      </c>
      <c r="AQ326" s="117">
        <v>700</v>
      </c>
      <c r="AR326" s="117">
        <v>11</v>
      </c>
      <c r="AS326" s="117">
        <v>1172600</v>
      </c>
      <c r="AT326" s="117">
        <v>93</v>
      </c>
      <c r="AU326" s="117">
        <v>7311200</v>
      </c>
    </row>
    <row r="327" spans="1:47" x14ac:dyDescent="0.25">
      <c r="A327" s="117">
        <v>540028</v>
      </c>
      <c r="B327" s="2" t="s">
        <v>133</v>
      </c>
      <c r="C327" s="2" t="s">
        <v>21</v>
      </c>
      <c r="D327" s="2" t="s">
        <v>115</v>
      </c>
      <c r="E327" s="117">
        <v>4</v>
      </c>
      <c r="F327" s="117">
        <v>0</v>
      </c>
      <c r="G327" s="117">
        <v>0</v>
      </c>
      <c r="H327" s="117">
        <v>1</v>
      </c>
      <c r="I327" s="117">
        <v>1500</v>
      </c>
      <c r="J327" s="117">
        <v>167</v>
      </c>
      <c r="K327" s="117">
        <v>5187600</v>
      </c>
      <c r="L327" s="117">
        <v>0</v>
      </c>
      <c r="M327" s="117">
        <v>0</v>
      </c>
      <c r="N327" s="117">
        <v>0</v>
      </c>
      <c r="O327" s="117">
        <v>0</v>
      </c>
      <c r="P327" s="117">
        <v>26</v>
      </c>
      <c r="Q327" s="117">
        <v>1387300</v>
      </c>
      <c r="R327" s="117">
        <v>0</v>
      </c>
      <c r="S327" s="117">
        <v>0</v>
      </c>
      <c r="T327" s="117">
        <v>0</v>
      </c>
      <c r="U327" s="117">
        <v>0</v>
      </c>
      <c r="V327" s="117">
        <v>0</v>
      </c>
      <c r="W327" s="117">
        <v>0</v>
      </c>
      <c r="X327" s="117">
        <v>0</v>
      </c>
      <c r="Y327" s="117">
        <v>0</v>
      </c>
      <c r="Z327" s="117">
        <v>0</v>
      </c>
      <c r="AA327" s="117">
        <v>0</v>
      </c>
      <c r="AB327" s="117">
        <v>0</v>
      </c>
      <c r="AC327" s="117">
        <v>0</v>
      </c>
      <c r="AD327" s="117">
        <v>0</v>
      </c>
      <c r="AE327" s="117">
        <v>0</v>
      </c>
      <c r="AF327" s="117">
        <v>0</v>
      </c>
      <c r="AG327" s="117">
        <v>0</v>
      </c>
      <c r="AH327" s="117">
        <v>0</v>
      </c>
      <c r="AI327" s="117">
        <v>0</v>
      </c>
      <c r="AJ327" s="117">
        <v>0</v>
      </c>
      <c r="AK327" s="117">
        <v>0</v>
      </c>
      <c r="AL327" s="117">
        <v>0</v>
      </c>
      <c r="AM327" s="117">
        <v>0</v>
      </c>
      <c r="AN327" s="117">
        <v>1</v>
      </c>
      <c r="AO327" s="117">
        <v>31500</v>
      </c>
      <c r="AP327" s="117">
        <v>0</v>
      </c>
      <c r="AQ327" s="117">
        <v>0</v>
      </c>
      <c r="AR327" s="117">
        <v>0</v>
      </c>
      <c r="AS327" s="117">
        <v>0</v>
      </c>
      <c r="AT327" s="117">
        <v>24</v>
      </c>
      <c r="AU327" s="117">
        <v>2540800</v>
      </c>
    </row>
    <row r="328" spans="1:47" x14ac:dyDescent="0.25">
      <c r="A328" s="117">
        <v>540029</v>
      </c>
      <c r="B328" s="2" t="s">
        <v>134</v>
      </c>
      <c r="C328" s="2" t="s">
        <v>21</v>
      </c>
      <c r="D328" s="2" t="s">
        <v>115</v>
      </c>
      <c r="E328" s="117">
        <v>4</v>
      </c>
      <c r="F328" s="117">
        <v>2</v>
      </c>
      <c r="G328" s="117">
        <v>65900</v>
      </c>
      <c r="H328" s="117">
        <v>5</v>
      </c>
      <c r="I328" s="117">
        <v>99000</v>
      </c>
      <c r="J328" s="117">
        <v>253</v>
      </c>
      <c r="K328" s="117">
        <v>12876900</v>
      </c>
      <c r="L328" s="117">
        <v>0</v>
      </c>
      <c r="M328" s="117">
        <v>0</v>
      </c>
      <c r="N328" s="117">
        <v>0</v>
      </c>
      <c r="O328" s="117">
        <v>0</v>
      </c>
      <c r="P328" s="117">
        <v>114</v>
      </c>
      <c r="Q328" s="117">
        <v>7434600</v>
      </c>
      <c r="R328" s="117">
        <v>0</v>
      </c>
      <c r="S328" s="117">
        <v>0</v>
      </c>
      <c r="T328" s="117">
        <v>0</v>
      </c>
      <c r="U328" s="117">
        <v>0</v>
      </c>
      <c r="V328" s="117">
        <v>0</v>
      </c>
      <c r="W328" s="117">
        <v>0</v>
      </c>
      <c r="X328" s="117">
        <v>0</v>
      </c>
      <c r="Y328" s="117">
        <v>0</v>
      </c>
      <c r="Z328" s="117">
        <v>0</v>
      </c>
      <c r="AA328" s="117">
        <v>0</v>
      </c>
      <c r="AB328" s="117">
        <v>0</v>
      </c>
      <c r="AC328" s="117">
        <v>0</v>
      </c>
      <c r="AD328" s="117">
        <v>0</v>
      </c>
      <c r="AE328" s="117">
        <v>0</v>
      </c>
      <c r="AF328" s="117">
        <v>0</v>
      </c>
      <c r="AG328" s="117">
        <v>0</v>
      </c>
      <c r="AH328" s="117">
        <v>0</v>
      </c>
      <c r="AI328" s="117">
        <v>0</v>
      </c>
      <c r="AJ328" s="117">
        <v>0</v>
      </c>
      <c r="AK328" s="117">
        <v>0</v>
      </c>
      <c r="AL328" s="117">
        <v>0</v>
      </c>
      <c r="AM328" s="117">
        <v>0</v>
      </c>
      <c r="AN328" s="117">
        <v>4</v>
      </c>
      <c r="AO328" s="117">
        <v>340300</v>
      </c>
      <c r="AP328" s="117">
        <v>1</v>
      </c>
      <c r="AQ328" s="117">
        <v>8700</v>
      </c>
      <c r="AR328" s="117">
        <v>7</v>
      </c>
      <c r="AS328" s="117">
        <v>132300</v>
      </c>
      <c r="AT328" s="117">
        <v>163</v>
      </c>
      <c r="AU328" s="117">
        <v>39938200</v>
      </c>
    </row>
    <row r="329" spans="1:47" x14ac:dyDescent="0.25">
      <c r="A329" s="117">
        <v>540031</v>
      </c>
      <c r="B329" s="2" t="s">
        <v>136</v>
      </c>
      <c r="C329" s="2" t="s">
        <v>21</v>
      </c>
      <c r="D329" s="2" t="s">
        <v>115</v>
      </c>
      <c r="E329" s="117">
        <v>4</v>
      </c>
      <c r="F329" s="117">
        <v>9</v>
      </c>
      <c r="G329" s="117">
        <v>553900</v>
      </c>
      <c r="H329" s="117">
        <v>152</v>
      </c>
      <c r="I329" s="117">
        <v>5958200</v>
      </c>
      <c r="J329" s="117">
        <v>4648</v>
      </c>
      <c r="K329" s="117">
        <v>252813000</v>
      </c>
      <c r="L329" s="117">
        <v>1</v>
      </c>
      <c r="M329" s="117">
        <v>31000</v>
      </c>
      <c r="N329" s="117">
        <v>11</v>
      </c>
      <c r="O329" s="117">
        <v>1561000</v>
      </c>
      <c r="P329" s="117">
        <v>385</v>
      </c>
      <c r="Q329" s="117">
        <v>54650800</v>
      </c>
      <c r="R329" s="117">
        <v>0</v>
      </c>
      <c r="S329" s="117">
        <v>0</v>
      </c>
      <c r="T329" s="117">
        <v>0</v>
      </c>
      <c r="U329" s="117">
        <v>0</v>
      </c>
      <c r="V329" s="117">
        <v>0</v>
      </c>
      <c r="W329" s="117">
        <v>0</v>
      </c>
      <c r="X329" s="117">
        <v>0</v>
      </c>
      <c r="Y329" s="117">
        <v>0</v>
      </c>
      <c r="Z329" s="117">
        <v>0</v>
      </c>
      <c r="AA329" s="117">
        <v>0</v>
      </c>
      <c r="AB329" s="117">
        <v>2</v>
      </c>
      <c r="AC329" s="117">
        <v>654300</v>
      </c>
      <c r="AD329" s="117">
        <v>0</v>
      </c>
      <c r="AE329" s="117">
        <v>0</v>
      </c>
      <c r="AF329" s="117">
        <v>1</v>
      </c>
      <c r="AG329" s="117">
        <v>14800</v>
      </c>
      <c r="AH329" s="117">
        <v>7</v>
      </c>
      <c r="AI329" s="117">
        <v>1098000</v>
      </c>
      <c r="AJ329" s="117">
        <v>0</v>
      </c>
      <c r="AK329" s="117">
        <v>0</v>
      </c>
      <c r="AL329" s="117">
        <v>1</v>
      </c>
      <c r="AM329" s="117">
        <v>33600</v>
      </c>
      <c r="AN329" s="117">
        <v>13</v>
      </c>
      <c r="AO329" s="117">
        <v>780900</v>
      </c>
      <c r="AP329" s="117">
        <v>0</v>
      </c>
      <c r="AQ329" s="117">
        <v>0</v>
      </c>
      <c r="AR329" s="117">
        <v>10</v>
      </c>
      <c r="AS329" s="117">
        <v>1085500</v>
      </c>
      <c r="AT329" s="117">
        <v>212</v>
      </c>
      <c r="AU329" s="117">
        <v>30901300</v>
      </c>
    </row>
    <row r="330" spans="1:47" x14ac:dyDescent="0.25">
      <c r="A330" s="117">
        <v>540032</v>
      </c>
      <c r="B330" s="2" t="s">
        <v>137</v>
      </c>
      <c r="C330" s="2" t="s">
        <v>21</v>
      </c>
      <c r="D330" s="2" t="s">
        <v>115</v>
      </c>
      <c r="E330" s="117">
        <v>4</v>
      </c>
      <c r="F330" s="117">
        <v>2</v>
      </c>
      <c r="G330" s="117">
        <v>1100</v>
      </c>
      <c r="H330" s="117">
        <v>5</v>
      </c>
      <c r="I330" s="117">
        <v>48100</v>
      </c>
      <c r="J330" s="117">
        <v>110</v>
      </c>
      <c r="K330" s="117">
        <v>2804600</v>
      </c>
      <c r="L330" s="117">
        <v>0</v>
      </c>
      <c r="M330" s="117">
        <v>0</v>
      </c>
      <c r="N330" s="117">
        <v>0</v>
      </c>
      <c r="O330" s="117">
        <v>0</v>
      </c>
      <c r="P330" s="117">
        <v>7</v>
      </c>
      <c r="Q330" s="117">
        <v>319100</v>
      </c>
      <c r="R330" s="117">
        <v>0</v>
      </c>
      <c r="S330" s="117">
        <v>0</v>
      </c>
      <c r="T330" s="117">
        <v>0</v>
      </c>
      <c r="U330" s="117">
        <v>0</v>
      </c>
      <c r="V330" s="117">
        <v>0</v>
      </c>
      <c r="W330" s="117">
        <v>0</v>
      </c>
      <c r="X330" s="117">
        <v>0</v>
      </c>
      <c r="Y330" s="117">
        <v>0</v>
      </c>
      <c r="Z330" s="117">
        <v>0</v>
      </c>
      <c r="AA330" s="117">
        <v>0</v>
      </c>
      <c r="AB330" s="117">
        <v>0</v>
      </c>
      <c r="AC330" s="117">
        <v>0</v>
      </c>
      <c r="AD330" s="117">
        <v>0</v>
      </c>
      <c r="AE330" s="117">
        <v>0</v>
      </c>
      <c r="AF330" s="117">
        <v>0</v>
      </c>
      <c r="AG330" s="117">
        <v>0</v>
      </c>
      <c r="AH330" s="117">
        <v>0</v>
      </c>
      <c r="AI330" s="117">
        <v>0</v>
      </c>
      <c r="AJ330" s="117">
        <v>0</v>
      </c>
      <c r="AK330" s="117">
        <v>0</v>
      </c>
      <c r="AL330" s="117">
        <v>0</v>
      </c>
      <c r="AM330" s="117">
        <v>0</v>
      </c>
      <c r="AN330" s="117">
        <v>0</v>
      </c>
      <c r="AO330" s="117">
        <v>0</v>
      </c>
      <c r="AP330" s="117">
        <v>0</v>
      </c>
      <c r="AQ330" s="117">
        <v>0</v>
      </c>
      <c r="AR330" s="117">
        <v>0</v>
      </c>
      <c r="AS330" s="117">
        <v>0</v>
      </c>
      <c r="AT330" s="117">
        <v>15</v>
      </c>
      <c r="AU330" s="117">
        <v>748900</v>
      </c>
    </row>
    <row r="331" spans="1:47" x14ac:dyDescent="0.25">
      <c r="A331" s="117">
        <v>540050</v>
      </c>
      <c r="B331" s="2" t="s">
        <v>150</v>
      </c>
      <c r="C331" s="2" t="s">
        <v>21</v>
      </c>
      <c r="D331" s="2" t="s">
        <v>115</v>
      </c>
      <c r="E331" s="117">
        <v>4</v>
      </c>
      <c r="F331" s="117">
        <v>9</v>
      </c>
      <c r="G331" s="117">
        <v>83000</v>
      </c>
      <c r="H331" s="117">
        <v>16</v>
      </c>
      <c r="I331" s="117">
        <v>136300</v>
      </c>
      <c r="J331" s="117">
        <v>6</v>
      </c>
      <c r="K331" s="117">
        <v>7800</v>
      </c>
      <c r="L331" s="117">
        <v>0</v>
      </c>
      <c r="M331" s="117">
        <v>0</v>
      </c>
      <c r="N331" s="117">
        <v>0</v>
      </c>
      <c r="O331" s="117">
        <v>0</v>
      </c>
      <c r="P331" s="117">
        <v>0</v>
      </c>
      <c r="Q331" s="117">
        <v>0</v>
      </c>
      <c r="R331" s="117">
        <v>0</v>
      </c>
      <c r="S331" s="117">
        <v>0</v>
      </c>
      <c r="T331" s="117">
        <v>0</v>
      </c>
      <c r="U331" s="117">
        <v>0</v>
      </c>
      <c r="V331" s="117">
        <v>0</v>
      </c>
      <c r="W331" s="117">
        <v>0</v>
      </c>
      <c r="X331" s="117">
        <v>0</v>
      </c>
      <c r="Y331" s="117">
        <v>0</v>
      </c>
      <c r="Z331" s="117">
        <v>0</v>
      </c>
      <c r="AA331" s="117">
        <v>0</v>
      </c>
      <c r="AB331" s="117">
        <v>0</v>
      </c>
      <c r="AC331" s="117">
        <v>0</v>
      </c>
      <c r="AD331" s="117">
        <v>0</v>
      </c>
      <c r="AE331" s="117">
        <v>0</v>
      </c>
      <c r="AF331" s="117">
        <v>0</v>
      </c>
      <c r="AG331" s="117">
        <v>0</v>
      </c>
      <c r="AH331" s="117">
        <v>0</v>
      </c>
      <c r="AI331" s="117">
        <v>0</v>
      </c>
      <c r="AJ331" s="117">
        <v>0</v>
      </c>
      <c r="AK331" s="117">
        <v>0</v>
      </c>
      <c r="AL331" s="117">
        <v>0</v>
      </c>
      <c r="AM331" s="117">
        <v>0</v>
      </c>
      <c r="AN331" s="117">
        <v>0</v>
      </c>
      <c r="AO331" s="117">
        <v>0</v>
      </c>
      <c r="AP331" s="117">
        <v>7</v>
      </c>
      <c r="AQ331" s="117">
        <v>52100</v>
      </c>
      <c r="AR331" s="117">
        <v>27</v>
      </c>
      <c r="AS331" s="117">
        <v>463800</v>
      </c>
      <c r="AT331" s="117">
        <v>5</v>
      </c>
      <c r="AU331" s="117">
        <v>76400</v>
      </c>
    </row>
    <row r="332" spans="1:47" x14ac:dyDescent="0.25">
      <c r="A332" s="117">
        <v>540293</v>
      </c>
      <c r="B332" s="2" t="s">
        <v>330</v>
      </c>
      <c r="C332" s="2" t="s">
        <v>21</v>
      </c>
      <c r="D332" s="2" t="s">
        <v>115</v>
      </c>
      <c r="E332" s="117">
        <v>4</v>
      </c>
      <c r="F332" s="117">
        <v>1</v>
      </c>
      <c r="G332" s="117">
        <v>128500</v>
      </c>
      <c r="H332" s="117">
        <v>41</v>
      </c>
      <c r="I332" s="117">
        <v>1882800</v>
      </c>
      <c r="J332" s="117">
        <v>2058</v>
      </c>
      <c r="K332" s="117">
        <v>134845100</v>
      </c>
      <c r="L332" s="117">
        <v>0</v>
      </c>
      <c r="M332" s="117">
        <v>0</v>
      </c>
      <c r="N332" s="117">
        <v>3</v>
      </c>
      <c r="O332" s="117">
        <v>303600</v>
      </c>
      <c r="P332" s="117">
        <v>146</v>
      </c>
      <c r="Q332" s="117">
        <v>52966500</v>
      </c>
      <c r="R332" s="117">
        <v>0</v>
      </c>
      <c r="S332" s="117">
        <v>0</v>
      </c>
      <c r="T332" s="117">
        <v>0</v>
      </c>
      <c r="U332" s="117">
        <v>0</v>
      </c>
      <c r="V332" s="117">
        <v>0</v>
      </c>
      <c r="W332" s="117">
        <v>0</v>
      </c>
      <c r="X332" s="117">
        <v>0</v>
      </c>
      <c r="Y332" s="117">
        <v>0</v>
      </c>
      <c r="Z332" s="117">
        <v>0</v>
      </c>
      <c r="AA332" s="117">
        <v>0</v>
      </c>
      <c r="AB332" s="117">
        <v>1</v>
      </c>
      <c r="AC332" s="117">
        <v>317900</v>
      </c>
      <c r="AD332" s="117">
        <v>0</v>
      </c>
      <c r="AE332" s="117">
        <v>0</v>
      </c>
      <c r="AF332" s="117">
        <v>0</v>
      </c>
      <c r="AG332" s="117">
        <v>0</v>
      </c>
      <c r="AH332" s="117">
        <v>11</v>
      </c>
      <c r="AI332" s="117">
        <v>410500</v>
      </c>
      <c r="AJ332" s="117">
        <v>0</v>
      </c>
      <c r="AK332" s="117">
        <v>0</v>
      </c>
      <c r="AL332" s="117">
        <v>1</v>
      </c>
      <c r="AM332" s="117">
        <v>12400</v>
      </c>
      <c r="AN332" s="117">
        <v>9</v>
      </c>
      <c r="AO332" s="117">
        <v>366200</v>
      </c>
      <c r="AP332" s="117">
        <v>0</v>
      </c>
      <c r="AQ332" s="117">
        <v>0</v>
      </c>
      <c r="AR332" s="117">
        <v>1</v>
      </c>
      <c r="AS332" s="117">
        <v>800</v>
      </c>
      <c r="AT332" s="117">
        <v>92</v>
      </c>
      <c r="AU332" s="117">
        <v>33288400</v>
      </c>
    </row>
    <row r="333" spans="1:47" x14ac:dyDescent="0.25">
      <c r="A333" s="117">
        <v>540294</v>
      </c>
      <c r="B333" s="2" t="s">
        <v>331</v>
      </c>
      <c r="C333" s="2" t="s">
        <v>21</v>
      </c>
      <c r="D333" s="2" t="s">
        <v>115</v>
      </c>
      <c r="E333" s="117">
        <v>4</v>
      </c>
      <c r="F333" s="117">
        <v>8</v>
      </c>
      <c r="G333" s="117">
        <v>125800</v>
      </c>
      <c r="H333" s="117">
        <v>58</v>
      </c>
      <c r="I333" s="117">
        <v>1044100</v>
      </c>
      <c r="J333" s="117">
        <v>294</v>
      </c>
      <c r="K333" s="117">
        <v>8254000</v>
      </c>
      <c r="L333" s="117">
        <v>0</v>
      </c>
      <c r="M333" s="117">
        <v>0</v>
      </c>
      <c r="N333" s="117">
        <v>0</v>
      </c>
      <c r="O333" s="117">
        <v>0</v>
      </c>
      <c r="P333" s="117">
        <v>20</v>
      </c>
      <c r="Q333" s="117">
        <v>1409000</v>
      </c>
      <c r="R333" s="117">
        <v>0</v>
      </c>
      <c r="S333" s="117">
        <v>0</v>
      </c>
      <c r="T333" s="117">
        <v>0</v>
      </c>
      <c r="U333" s="117">
        <v>0</v>
      </c>
      <c r="V333" s="117">
        <v>0</v>
      </c>
      <c r="W333" s="117">
        <v>0</v>
      </c>
      <c r="X333" s="117">
        <v>0</v>
      </c>
      <c r="Y333" s="117">
        <v>0</v>
      </c>
      <c r="Z333" s="117">
        <v>0</v>
      </c>
      <c r="AA333" s="117">
        <v>0</v>
      </c>
      <c r="AB333" s="117">
        <v>0</v>
      </c>
      <c r="AC333" s="117">
        <v>0</v>
      </c>
      <c r="AD333" s="117">
        <v>0</v>
      </c>
      <c r="AE333" s="117">
        <v>0</v>
      </c>
      <c r="AF333" s="117">
        <v>0</v>
      </c>
      <c r="AG333" s="117">
        <v>0</v>
      </c>
      <c r="AH333" s="117">
        <v>0</v>
      </c>
      <c r="AI333" s="117">
        <v>0</v>
      </c>
      <c r="AJ333" s="117">
        <v>0</v>
      </c>
      <c r="AK333" s="117">
        <v>0</v>
      </c>
      <c r="AL333" s="117">
        <v>0</v>
      </c>
      <c r="AM333" s="117">
        <v>0</v>
      </c>
      <c r="AN333" s="117">
        <v>2</v>
      </c>
      <c r="AO333" s="117">
        <v>38500</v>
      </c>
      <c r="AP333" s="117">
        <v>0</v>
      </c>
      <c r="AQ333" s="117">
        <v>0</v>
      </c>
      <c r="AR333" s="117">
        <v>4</v>
      </c>
      <c r="AS333" s="117">
        <v>86200</v>
      </c>
      <c r="AT333" s="117">
        <v>38</v>
      </c>
      <c r="AU333" s="117">
        <v>4753400</v>
      </c>
    </row>
    <row r="334" spans="1:47" x14ac:dyDescent="0.25">
      <c r="A334" s="117">
        <v>540033</v>
      </c>
      <c r="B334" s="2" t="s">
        <v>138</v>
      </c>
      <c r="C334" s="2" t="s">
        <v>21</v>
      </c>
      <c r="D334" s="2" t="s">
        <v>115</v>
      </c>
      <c r="E334" s="117">
        <v>4</v>
      </c>
      <c r="F334" s="117">
        <v>0</v>
      </c>
      <c r="G334" s="117">
        <v>0</v>
      </c>
      <c r="H334" s="117">
        <v>12</v>
      </c>
      <c r="I334" s="117">
        <v>165000</v>
      </c>
      <c r="J334" s="117">
        <v>375</v>
      </c>
      <c r="K334" s="117">
        <v>12999200</v>
      </c>
      <c r="L334" s="117">
        <v>0</v>
      </c>
      <c r="M334" s="117">
        <v>0</v>
      </c>
      <c r="N334" s="117">
        <v>0</v>
      </c>
      <c r="O334" s="117">
        <v>0</v>
      </c>
      <c r="P334" s="117">
        <v>83</v>
      </c>
      <c r="Q334" s="117">
        <v>8759600</v>
      </c>
      <c r="R334" s="117">
        <v>0</v>
      </c>
      <c r="S334" s="117">
        <v>0</v>
      </c>
      <c r="T334" s="117">
        <v>0</v>
      </c>
      <c r="U334" s="117">
        <v>0</v>
      </c>
      <c r="V334" s="117">
        <v>0</v>
      </c>
      <c r="W334" s="117">
        <v>0</v>
      </c>
      <c r="X334" s="117">
        <v>0</v>
      </c>
      <c r="Y334" s="117">
        <v>0</v>
      </c>
      <c r="Z334" s="117">
        <v>0</v>
      </c>
      <c r="AA334" s="117">
        <v>0</v>
      </c>
      <c r="AB334" s="117">
        <v>7</v>
      </c>
      <c r="AC334" s="117">
        <v>229900</v>
      </c>
      <c r="AD334" s="117">
        <v>0</v>
      </c>
      <c r="AE334" s="117">
        <v>0</v>
      </c>
      <c r="AF334" s="117">
        <v>0</v>
      </c>
      <c r="AG334" s="117">
        <v>0</v>
      </c>
      <c r="AH334" s="117">
        <v>0</v>
      </c>
      <c r="AI334" s="117">
        <v>0</v>
      </c>
      <c r="AJ334" s="117">
        <v>0</v>
      </c>
      <c r="AK334" s="117">
        <v>0</v>
      </c>
      <c r="AL334" s="117">
        <v>0</v>
      </c>
      <c r="AM334" s="117">
        <v>0</v>
      </c>
      <c r="AN334" s="117">
        <v>2</v>
      </c>
      <c r="AO334" s="117">
        <v>13400</v>
      </c>
      <c r="AP334" s="117">
        <v>0</v>
      </c>
      <c r="AQ334" s="117">
        <v>0</v>
      </c>
      <c r="AR334" s="117">
        <v>0</v>
      </c>
      <c r="AS334" s="117">
        <v>0</v>
      </c>
      <c r="AT334" s="117">
        <v>29</v>
      </c>
      <c r="AU334" s="117">
        <v>2735500</v>
      </c>
    </row>
    <row r="335" spans="1:47" x14ac:dyDescent="0.25">
      <c r="A335" s="117">
        <v>540280</v>
      </c>
      <c r="B335" s="2" t="s">
        <v>321</v>
      </c>
      <c r="C335" s="2" t="s">
        <v>21</v>
      </c>
      <c r="D335" s="2" t="s">
        <v>115</v>
      </c>
      <c r="E335" s="117">
        <v>4</v>
      </c>
      <c r="F335" s="117">
        <v>4</v>
      </c>
      <c r="G335" s="117">
        <v>102900</v>
      </c>
      <c r="H335" s="117">
        <v>65</v>
      </c>
      <c r="I335" s="117">
        <v>1200900</v>
      </c>
      <c r="J335" s="117">
        <v>637</v>
      </c>
      <c r="K335" s="117">
        <v>20928100</v>
      </c>
      <c r="L335" s="117">
        <v>0</v>
      </c>
      <c r="M335" s="117">
        <v>0</v>
      </c>
      <c r="N335" s="117">
        <v>1</v>
      </c>
      <c r="O335" s="117">
        <v>242100</v>
      </c>
      <c r="P335" s="117">
        <v>56</v>
      </c>
      <c r="Q335" s="117">
        <v>18819300</v>
      </c>
      <c r="R335" s="117">
        <v>0</v>
      </c>
      <c r="S335" s="117">
        <v>0</v>
      </c>
      <c r="T335" s="117">
        <v>0</v>
      </c>
      <c r="U335" s="117">
        <v>0</v>
      </c>
      <c r="V335" s="117">
        <v>0</v>
      </c>
      <c r="W335" s="117">
        <v>0</v>
      </c>
      <c r="X335" s="117">
        <v>0</v>
      </c>
      <c r="Y335" s="117">
        <v>0</v>
      </c>
      <c r="Z335" s="117">
        <v>0</v>
      </c>
      <c r="AA335" s="117">
        <v>0</v>
      </c>
      <c r="AB335" s="117">
        <v>1</v>
      </c>
      <c r="AC335" s="117">
        <v>315700</v>
      </c>
      <c r="AD335" s="117">
        <v>0</v>
      </c>
      <c r="AE335" s="117">
        <v>0</v>
      </c>
      <c r="AF335" s="117">
        <v>0</v>
      </c>
      <c r="AG335" s="117">
        <v>0</v>
      </c>
      <c r="AH335" s="117">
        <v>0</v>
      </c>
      <c r="AI335" s="117">
        <v>0</v>
      </c>
      <c r="AJ335" s="117">
        <v>0</v>
      </c>
      <c r="AK335" s="117">
        <v>0</v>
      </c>
      <c r="AL335" s="117">
        <v>0</v>
      </c>
      <c r="AM335" s="117">
        <v>0</v>
      </c>
      <c r="AN335" s="117">
        <v>4</v>
      </c>
      <c r="AO335" s="117">
        <v>14600</v>
      </c>
      <c r="AP335" s="117">
        <v>0</v>
      </c>
      <c r="AQ335" s="117">
        <v>0</v>
      </c>
      <c r="AR335" s="117">
        <v>9</v>
      </c>
      <c r="AS335" s="117">
        <v>442400</v>
      </c>
      <c r="AT335" s="117">
        <v>116</v>
      </c>
      <c r="AU335" s="117">
        <v>22456900</v>
      </c>
    </row>
    <row r="336" spans="1:47" x14ac:dyDescent="0.25">
      <c r="A336" s="117">
        <v>540026</v>
      </c>
      <c r="B336" s="2" t="s">
        <v>20</v>
      </c>
      <c r="C336" s="2" t="s">
        <v>21</v>
      </c>
      <c r="D336" s="2" t="s">
        <v>5</v>
      </c>
      <c r="E336" s="117">
        <v>4</v>
      </c>
      <c r="F336" s="117">
        <v>200</v>
      </c>
      <c r="G336" s="117">
        <v>6256800</v>
      </c>
      <c r="H336" s="117">
        <v>1410</v>
      </c>
      <c r="I336" s="117">
        <v>38649000</v>
      </c>
      <c r="J336" s="117">
        <v>17797</v>
      </c>
      <c r="K336" s="117">
        <v>696726500</v>
      </c>
      <c r="L336" s="117">
        <v>5</v>
      </c>
      <c r="M336" s="117">
        <v>400300</v>
      </c>
      <c r="N336" s="117">
        <v>26</v>
      </c>
      <c r="O336" s="117">
        <v>865400</v>
      </c>
      <c r="P336" s="117">
        <v>391</v>
      </c>
      <c r="Q336" s="117">
        <v>46561600</v>
      </c>
      <c r="R336" s="117">
        <v>0</v>
      </c>
      <c r="S336" s="117">
        <v>0</v>
      </c>
      <c r="T336" s="117">
        <v>0</v>
      </c>
      <c r="U336" s="117">
        <v>0</v>
      </c>
      <c r="V336" s="117">
        <v>1</v>
      </c>
      <c r="W336" s="117">
        <v>10000</v>
      </c>
      <c r="X336" s="117">
        <v>1</v>
      </c>
      <c r="Y336" s="117">
        <v>4900</v>
      </c>
      <c r="Z336" s="117">
        <v>1</v>
      </c>
      <c r="AA336" s="117">
        <v>87800</v>
      </c>
      <c r="AB336" s="117">
        <v>25</v>
      </c>
      <c r="AC336" s="117">
        <v>5855700</v>
      </c>
      <c r="AD336" s="117">
        <v>30</v>
      </c>
      <c r="AE336" s="117">
        <v>1298600</v>
      </c>
      <c r="AF336" s="117">
        <v>112</v>
      </c>
      <c r="AG336" s="117">
        <v>4193500</v>
      </c>
      <c r="AH336" s="117">
        <v>1281</v>
      </c>
      <c r="AI336" s="117">
        <v>56451000</v>
      </c>
      <c r="AJ336" s="117">
        <v>1</v>
      </c>
      <c r="AK336" s="117">
        <v>900</v>
      </c>
      <c r="AL336" s="117">
        <v>11</v>
      </c>
      <c r="AM336" s="117">
        <v>52900</v>
      </c>
      <c r="AN336" s="117">
        <v>75</v>
      </c>
      <c r="AO336" s="117">
        <v>1382600</v>
      </c>
      <c r="AP336" s="117">
        <v>21</v>
      </c>
      <c r="AQ336" s="117">
        <v>441000</v>
      </c>
      <c r="AR336" s="117">
        <v>94</v>
      </c>
      <c r="AS336" s="117">
        <v>12527500</v>
      </c>
      <c r="AT336" s="117">
        <v>878</v>
      </c>
      <c r="AU336" s="117">
        <v>83257200</v>
      </c>
    </row>
    <row r="337" spans="1:47" x14ac:dyDescent="0.25">
      <c r="A337" s="269"/>
      <c r="B337" s="269"/>
      <c r="C337" s="269" t="s">
        <v>21</v>
      </c>
      <c r="D337" s="269"/>
      <c r="E337" s="269"/>
      <c r="F337" s="270">
        <v>242</v>
      </c>
      <c r="G337" s="270">
        <v>7332200</v>
      </c>
      <c r="H337" s="270">
        <v>1832</v>
      </c>
      <c r="I337" s="270">
        <v>51303800</v>
      </c>
      <c r="J337" s="270">
        <v>27111</v>
      </c>
      <c r="K337" s="270">
        <v>1175740600</v>
      </c>
      <c r="L337" s="270">
        <v>6</v>
      </c>
      <c r="M337" s="270">
        <v>431300</v>
      </c>
      <c r="N337" s="270">
        <v>41</v>
      </c>
      <c r="O337" s="270">
        <v>2972100</v>
      </c>
      <c r="P337" s="270">
        <v>1280</v>
      </c>
      <c r="Q337" s="270">
        <v>198008400</v>
      </c>
      <c r="R337" s="270">
        <v>0</v>
      </c>
      <c r="S337" s="270">
        <v>0</v>
      </c>
      <c r="T337" s="270">
        <v>0</v>
      </c>
      <c r="U337" s="270">
        <v>0</v>
      </c>
      <c r="V337" s="270">
        <v>1</v>
      </c>
      <c r="W337" s="270">
        <v>10000</v>
      </c>
      <c r="X337" s="270">
        <v>1</v>
      </c>
      <c r="Y337" s="270">
        <v>4900</v>
      </c>
      <c r="Z337" s="270">
        <v>1</v>
      </c>
      <c r="AA337" s="270">
        <v>87800</v>
      </c>
      <c r="AB337" s="270">
        <v>36</v>
      </c>
      <c r="AC337" s="270">
        <v>7373500</v>
      </c>
      <c r="AD337" s="270">
        <v>30</v>
      </c>
      <c r="AE337" s="270">
        <v>1298600</v>
      </c>
      <c r="AF337" s="270">
        <v>113</v>
      </c>
      <c r="AG337" s="270">
        <v>4208300</v>
      </c>
      <c r="AH337" s="270">
        <v>1302</v>
      </c>
      <c r="AI337" s="270">
        <v>58128000</v>
      </c>
      <c r="AJ337" s="270">
        <v>1</v>
      </c>
      <c r="AK337" s="270">
        <v>900</v>
      </c>
      <c r="AL337" s="270">
        <v>13</v>
      </c>
      <c r="AM337" s="270">
        <v>98900</v>
      </c>
      <c r="AN337" s="270">
        <v>112</v>
      </c>
      <c r="AO337" s="270">
        <v>3009700</v>
      </c>
      <c r="AP337" s="270">
        <v>30</v>
      </c>
      <c r="AQ337" s="270">
        <v>502500</v>
      </c>
      <c r="AR337" s="270">
        <v>163</v>
      </c>
      <c r="AS337" s="270">
        <v>15911100</v>
      </c>
      <c r="AT337" s="270">
        <v>1665</v>
      </c>
      <c r="AU337" s="270">
        <v>228008200</v>
      </c>
    </row>
    <row r="338" spans="1:47" x14ac:dyDescent="0.25">
      <c r="A338" s="117">
        <v>540176</v>
      </c>
      <c r="B338" s="2" t="s">
        <v>247</v>
      </c>
      <c r="C338" s="2" t="s">
        <v>75</v>
      </c>
      <c r="D338" s="2" t="s">
        <v>115</v>
      </c>
      <c r="E338" s="117">
        <v>7</v>
      </c>
      <c r="F338" s="117">
        <v>0</v>
      </c>
      <c r="G338" s="117">
        <v>0</v>
      </c>
      <c r="H338" s="117">
        <v>3</v>
      </c>
      <c r="I338" s="117">
        <v>28700</v>
      </c>
      <c r="J338" s="117">
        <v>199</v>
      </c>
      <c r="K338" s="117">
        <v>4328700</v>
      </c>
      <c r="L338" s="117">
        <v>0</v>
      </c>
      <c r="M338" s="117">
        <v>0</v>
      </c>
      <c r="N338" s="117">
        <v>0</v>
      </c>
      <c r="O338" s="117">
        <v>0</v>
      </c>
      <c r="P338" s="117">
        <v>2</v>
      </c>
      <c r="Q338" s="117">
        <v>62400</v>
      </c>
      <c r="R338" s="117">
        <v>0</v>
      </c>
      <c r="S338" s="117">
        <v>0</v>
      </c>
      <c r="T338" s="117">
        <v>0</v>
      </c>
      <c r="U338" s="117">
        <v>0</v>
      </c>
      <c r="V338" s="117">
        <v>0</v>
      </c>
      <c r="W338" s="117">
        <v>0</v>
      </c>
      <c r="X338" s="117">
        <v>0</v>
      </c>
      <c r="Y338" s="117">
        <v>0</v>
      </c>
      <c r="Z338" s="117">
        <v>0</v>
      </c>
      <c r="AA338" s="117">
        <v>0</v>
      </c>
      <c r="AB338" s="117">
        <v>0</v>
      </c>
      <c r="AC338" s="117">
        <v>0</v>
      </c>
      <c r="AD338" s="117">
        <v>0</v>
      </c>
      <c r="AE338" s="117">
        <v>0</v>
      </c>
      <c r="AF338" s="117">
        <v>0</v>
      </c>
      <c r="AG338" s="117">
        <v>0</v>
      </c>
      <c r="AH338" s="117">
        <v>2</v>
      </c>
      <c r="AI338" s="117">
        <v>19100</v>
      </c>
      <c r="AJ338" s="117">
        <v>0</v>
      </c>
      <c r="AK338" s="117">
        <v>0</v>
      </c>
      <c r="AL338" s="117">
        <v>0</v>
      </c>
      <c r="AM338" s="117">
        <v>0</v>
      </c>
      <c r="AN338" s="117">
        <v>0</v>
      </c>
      <c r="AO338" s="117">
        <v>0</v>
      </c>
      <c r="AP338" s="117">
        <v>0</v>
      </c>
      <c r="AQ338" s="117">
        <v>0</v>
      </c>
      <c r="AR338" s="117">
        <v>0</v>
      </c>
      <c r="AS338" s="117">
        <v>0</v>
      </c>
      <c r="AT338" s="117">
        <v>12</v>
      </c>
      <c r="AU338" s="117">
        <v>208300</v>
      </c>
    </row>
    <row r="339" spans="1:47" x14ac:dyDescent="0.25">
      <c r="A339" s="117">
        <v>540178</v>
      </c>
      <c r="B339" s="2" t="s">
        <v>249</v>
      </c>
      <c r="C339" s="2" t="s">
        <v>75</v>
      </c>
      <c r="D339" s="2" t="s">
        <v>115</v>
      </c>
      <c r="E339" s="117">
        <v>7</v>
      </c>
      <c r="F339" s="117">
        <v>0</v>
      </c>
      <c r="G339" s="117">
        <v>0</v>
      </c>
      <c r="H339" s="117">
        <v>2</v>
      </c>
      <c r="I339" s="117">
        <v>68600</v>
      </c>
      <c r="J339" s="117">
        <v>51</v>
      </c>
      <c r="K339" s="117">
        <v>1862200</v>
      </c>
      <c r="L339" s="117">
        <v>0</v>
      </c>
      <c r="M339" s="117">
        <v>0</v>
      </c>
      <c r="N339" s="117">
        <v>0</v>
      </c>
      <c r="O339" s="117">
        <v>0</v>
      </c>
      <c r="P339" s="117">
        <v>12</v>
      </c>
      <c r="Q339" s="117">
        <v>635000</v>
      </c>
      <c r="R339" s="117">
        <v>0</v>
      </c>
      <c r="S339" s="117">
        <v>0</v>
      </c>
      <c r="T339" s="117">
        <v>0</v>
      </c>
      <c r="U339" s="117">
        <v>0</v>
      </c>
      <c r="V339" s="117">
        <v>0</v>
      </c>
      <c r="W339" s="117">
        <v>0</v>
      </c>
      <c r="X339" s="117">
        <v>0</v>
      </c>
      <c r="Y339" s="117">
        <v>0</v>
      </c>
      <c r="Z339" s="117">
        <v>0</v>
      </c>
      <c r="AA339" s="117">
        <v>0</v>
      </c>
      <c r="AB339" s="117">
        <v>0</v>
      </c>
      <c r="AC339" s="117">
        <v>0</v>
      </c>
      <c r="AD339" s="117">
        <v>0</v>
      </c>
      <c r="AE339" s="117">
        <v>0</v>
      </c>
      <c r="AF339" s="117">
        <v>0</v>
      </c>
      <c r="AG339" s="117">
        <v>0</v>
      </c>
      <c r="AH339" s="117">
        <v>5</v>
      </c>
      <c r="AI339" s="117">
        <v>16400</v>
      </c>
      <c r="AJ339" s="117">
        <v>0</v>
      </c>
      <c r="AK339" s="117">
        <v>0</v>
      </c>
      <c r="AL339" s="117">
        <v>0</v>
      </c>
      <c r="AM339" s="117">
        <v>0</v>
      </c>
      <c r="AN339" s="117">
        <v>0</v>
      </c>
      <c r="AO339" s="117">
        <v>0</v>
      </c>
      <c r="AP339" s="117">
        <v>0</v>
      </c>
      <c r="AQ339" s="117">
        <v>0</v>
      </c>
      <c r="AR339" s="117">
        <v>0</v>
      </c>
      <c r="AS339" s="117">
        <v>0</v>
      </c>
      <c r="AT339" s="117">
        <v>7</v>
      </c>
      <c r="AU339" s="117">
        <v>1137700</v>
      </c>
    </row>
    <row r="340" spans="1:47" x14ac:dyDescent="0.25">
      <c r="A340" s="117">
        <v>540264</v>
      </c>
      <c r="B340" s="2" t="s">
        <v>307</v>
      </c>
      <c r="C340" s="2" t="s">
        <v>75</v>
      </c>
      <c r="D340" s="2" t="s">
        <v>115</v>
      </c>
      <c r="E340" s="117">
        <v>7</v>
      </c>
      <c r="F340" s="117">
        <v>0</v>
      </c>
      <c r="G340" s="117">
        <v>0</v>
      </c>
      <c r="H340" s="117">
        <v>5</v>
      </c>
      <c r="I340" s="117">
        <v>63400</v>
      </c>
      <c r="J340" s="117">
        <v>112</v>
      </c>
      <c r="K340" s="117">
        <v>4779900</v>
      </c>
      <c r="L340" s="117">
        <v>0</v>
      </c>
      <c r="M340" s="117">
        <v>0</v>
      </c>
      <c r="N340" s="117">
        <v>0</v>
      </c>
      <c r="O340" s="117">
        <v>0</v>
      </c>
      <c r="P340" s="117">
        <v>5</v>
      </c>
      <c r="Q340" s="117">
        <v>332300</v>
      </c>
      <c r="R340" s="117">
        <v>0</v>
      </c>
      <c r="S340" s="117">
        <v>0</v>
      </c>
      <c r="T340" s="117">
        <v>0</v>
      </c>
      <c r="U340" s="117">
        <v>0</v>
      </c>
      <c r="V340" s="117">
        <v>1</v>
      </c>
      <c r="W340" s="117">
        <v>96700</v>
      </c>
      <c r="X340" s="117">
        <v>0</v>
      </c>
      <c r="Y340" s="117">
        <v>0</v>
      </c>
      <c r="Z340" s="117">
        <v>0</v>
      </c>
      <c r="AA340" s="117">
        <v>0</v>
      </c>
      <c r="AB340" s="117">
        <v>0</v>
      </c>
      <c r="AC340" s="117">
        <v>0</v>
      </c>
      <c r="AD340" s="117">
        <v>0</v>
      </c>
      <c r="AE340" s="117">
        <v>0</v>
      </c>
      <c r="AF340" s="117">
        <v>0</v>
      </c>
      <c r="AG340" s="117">
        <v>0</v>
      </c>
      <c r="AH340" s="117">
        <v>2</v>
      </c>
      <c r="AI340" s="117">
        <v>126800</v>
      </c>
      <c r="AJ340" s="117">
        <v>0</v>
      </c>
      <c r="AK340" s="117">
        <v>0</v>
      </c>
      <c r="AL340" s="117">
        <v>0</v>
      </c>
      <c r="AM340" s="117">
        <v>0</v>
      </c>
      <c r="AN340" s="117">
        <v>0</v>
      </c>
      <c r="AO340" s="117">
        <v>0</v>
      </c>
      <c r="AP340" s="117">
        <v>0</v>
      </c>
      <c r="AQ340" s="117">
        <v>0</v>
      </c>
      <c r="AR340" s="117">
        <v>0</v>
      </c>
      <c r="AS340" s="117">
        <v>0</v>
      </c>
      <c r="AT340" s="117">
        <v>8</v>
      </c>
      <c r="AU340" s="117">
        <v>295300</v>
      </c>
    </row>
    <row r="341" spans="1:47" x14ac:dyDescent="0.25">
      <c r="A341" s="117">
        <v>540265</v>
      </c>
      <c r="B341" s="2" t="s">
        <v>308</v>
      </c>
      <c r="C341" s="2" t="s">
        <v>75</v>
      </c>
      <c r="D341" s="2" t="s">
        <v>115</v>
      </c>
      <c r="E341" s="117">
        <v>7</v>
      </c>
      <c r="F341" s="117">
        <v>0</v>
      </c>
      <c r="G341" s="117">
        <v>0</v>
      </c>
      <c r="H341" s="117">
        <v>2</v>
      </c>
      <c r="I341" s="117">
        <v>157200</v>
      </c>
      <c r="J341" s="117">
        <v>33</v>
      </c>
      <c r="K341" s="117">
        <v>2151100</v>
      </c>
      <c r="L341" s="117">
        <v>0</v>
      </c>
      <c r="M341" s="117">
        <v>0</v>
      </c>
      <c r="N341" s="117">
        <v>0</v>
      </c>
      <c r="O341" s="117">
        <v>0</v>
      </c>
      <c r="P341" s="117">
        <v>2</v>
      </c>
      <c r="Q341" s="117">
        <v>138800</v>
      </c>
      <c r="R341" s="117">
        <v>0</v>
      </c>
      <c r="S341" s="117">
        <v>0</v>
      </c>
      <c r="T341" s="117">
        <v>0</v>
      </c>
      <c r="U341" s="117">
        <v>0</v>
      </c>
      <c r="V341" s="117">
        <v>0</v>
      </c>
      <c r="W341" s="117">
        <v>0</v>
      </c>
      <c r="X341" s="117">
        <v>0</v>
      </c>
      <c r="Y341" s="117">
        <v>0</v>
      </c>
      <c r="Z341" s="117">
        <v>0</v>
      </c>
      <c r="AA341" s="117">
        <v>0</v>
      </c>
      <c r="AB341" s="117">
        <v>0</v>
      </c>
      <c r="AC341" s="117">
        <v>0</v>
      </c>
      <c r="AD341" s="117">
        <v>0</v>
      </c>
      <c r="AE341" s="117">
        <v>0</v>
      </c>
      <c r="AF341" s="117">
        <v>0</v>
      </c>
      <c r="AG341" s="117">
        <v>0</v>
      </c>
      <c r="AH341" s="117">
        <v>3</v>
      </c>
      <c r="AI341" s="117">
        <v>201000</v>
      </c>
      <c r="AJ341" s="117">
        <v>0</v>
      </c>
      <c r="AK341" s="117">
        <v>0</v>
      </c>
      <c r="AL341" s="117">
        <v>0</v>
      </c>
      <c r="AM341" s="117">
        <v>0</v>
      </c>
      <c r="AN341" s="117">
        <v>0</v>
      </c>
      <c r="AO341" s="117">
        <v>0</v>
      </c>
      <c r="AP341" s="117">
        <v>0</v>
      </c>
      <c r="AQ341" s="117">
        <v>0</v>
      </c>
      <c r="AR341" s="117">
        <v>0</v>
      </c>
      <c r="AS341" s="117">
        <v>0</v>
      </c>
      <c r="AT341" s="117">
        <v>6</v>
      </c>
      <c r="AU341" s="117">
        <v>66200</v>
      </c>
    </row>
    <row r="342" spans="1:47" x14ac:dyDescent="0.25">
      <c r="A342" s="117">
        <v>540266</v>
      </c>
      <c r="B342" s="2" t="s">
        <v>309</v>
      </c>
      <c r="C342" s="2" t="s">
        <v>75</v>
      </c>
      <c r="D342" s="2" t="s">
        <v>115</v>
      </c>
      <c r="E342" s="117">
        <v>7</v>
      </c>
      <c r="F342" s="117">
        <v>0</v>
      </c>
      <c r="G342" s="117">
        <v>0</v>
      </c>
      <c r="H342" s="117">
        <v>0</v>
      </c>
      <c r="I342" s="117">
        <v>0</v>
      </c>
      <c r="J342" s="117">
        <v>359</v>
      </c>
      <c r="K342" s="117">
        <v>14972700</v>
      </c>
      <c r="L342" s="117">
        <v>0</v>
      </c>
      <c r="M342" s="117">
        <v>0</v>
      </c>
      <c r="N342" s="117">
        <v>0</v>
      </c>
      <c r="O342" s="117">
        <v>0</v>
      </c>
      <c r="P342" s="117">
        <v>19</v>
      </c>
      <c r="Q342" s="117">
        <v>2027300</v>
      </c>
      <c r="R342" s="117">
        <v>0</v>
      </c>
      <c r="S342" s="117">
        <v>0</v>
      </c>
      <c r="T342" s="117">
        <v>0</v>
      </c>
      <c r="U342" s="117">
        <v>0</v>
      </c>
      <c r="V342" s="117">
        <v>1</v>
      </c>
      <c r="W342" s="117">
        <v>128200</v>
      </c>
      <c r="X342" s="117">
        <v>0</v>
      </c>
      <c r="Y342" s="117">
        <v>0</v>
      </c>
      <c r="Z342" s="117">
        <v>0</v>
      </c>
      <c r="AA342" s="117">
        <v>0</v>
      </c>
      <c r="AB342" s="117">
        <v>0</v>
      </c>
      <c r="AC342" s="117">
        <v>0</v>
      </c>
      <c r="AD342" s="117">
        <v>0</v>
      </c>
      <c r="AE342" s="117">
        <v>0</v>
      </c>
      <c r="AF342" s="117">
        <v>0</v>
      </c>
      <c r="AG342" s="117">
        <v>0</v>
      </c>
      <c r="AH342" s="117">
        <v>2</v>
      </c>
      <c r="AI342" s="117">
        <v>11700</v>
      </c>
      <c r="AJ342" s="117">
        <v>0</v>
      </c>
      <c r="AK342" s="117">
        <v>0</v>
      </c>
      <c r="AL342" s="117">
        <v>0</v>
      </c>
      <c r="AM342" s="117">
        <v>0</v>
      </c>
      <c r="AN342" s="117">
        <v>0</v>
      </c>
      <c r="AO342" s="117">
        <v>0</v>
      </c>
      <c r="AP342" s="117">
        <v>0</v>
      </c>
      <c r="AQ342" s="117">
        <v>0</v>
      </c>
      <c r="AR342" s="117">
        <v>0</v>
      </c>
      <c r="AS342" s="117">
        <v>0</v>
      </c>
      <c r="AT342" s="117">
        <v>29</v>
      </c>
      <c r="AU342" s="117">
        <v>3431300</v>
      </c>
    </row>
    <row r="343" spans="1:47" x14ac:dyDescent="0.25">
      <c r="A343" s="117">
        <v>540267</v>
      </c>
      <c r="B343" s="2" t="s">
        <v>310</v>
      </c>
      <c r="C343" s="2" t="s">
        <v>75</v>
      </c>
      <c r="D343" s="2" t="s">
        <v>115</v>
      </c>
      <c r="E343" s="117">
        <v>7</v>
      </c>
      <c r="F343" s="117">
        <v>0</v>
      </c>
      <c r="G343" s="117">
        <v>0</v>
      </c>
      <c r="H343" s="117">
        <v>0</v>
      </c>
      <c r="I343" s="117">
        <v>0</v>
      </c>
      <c r="J343" s="117">
        <v>248</v>
      </c>
      <c r="K343" s="117">
        <v>17464300</v>
      </c>
      <c r="L343" s="117">
        <v>0</v>
      </c>
      <c r="M343" s="117">
        <v>0</v>
      </c>
      <c r="N343" s="117">
        <v>0</v>
      </c>
      <c r="O343" s="117">
        <v>0</v>
      </c>
      <c r="P343" s="117">
        <v>30</v>
      </c>
      <c r="Q343" s="117">
        <v>2254500</v>
      </c>
      <c r="R343" s="117">
        <v>0</v>
      </c>
      <c r="S343" s="117">
        <v>0</v>
      </c>
      <c r="T343" s="117">
        <v>0</v>
      </c>
      <c r="U343" s="117">
        <v>0</v>
      </c>
      <c r="V343" s="117">
        <v>2</v>
      </c>
      <c r="W343" s="117">
        <v>222700</v>
      </c>
      <c r="X343" s="117">
        <v>0</v>
      </c>
      <c r="Y343" s="117">
        <v>0</v>
      </c>
      <c r="Z343" s="117">
        <v>0</v>
      </c>
      <c r="AA343" s="117">
        <v>0</v>
      </c>
      <c r="AB343" s="117">
        <v>0</v>
      </c>
      <c r="AC343" s="117">
        <v>0</v>
      </c>
      <c r="AD343" s="117">
        <v>0</v>
      </c>
      <c r="AE343" s="117">
        <v>0</v>
      </c>
      <c r="AF343" s="117">
        <v>0</v>
      </c>
      <c r="AG343" s="117">
        <v>0</v>
      </c>
      <c r="AH343" s="117">
        <v>0</v>
      </c>
      <c r="AI343" s="117">
        <v>0</v>
      </c>
      <c r="AJ343" s="117">
        <v>0</v>
      </c>
      <c r="AK343" s="117">
        <v>0</v>
      </c>
      <c r="AL343" s="117">
        <v>0</v>
      </c>
      <c r="AM343" s="117">
        <v>0</v>
      </c>
      <c r="AN343" s="117">
        <v>0</v>
      </c>
      <c r="AO343" s="117">
        <v>0</v>
      </c>
      <c r="AP343" s="117">
        <v>0</v>
      </c>
      <c r="AQ343" s="117">
        <v>0</v>
      </c>
      <c r="AR343" s="117">
        <v>0</v>
      </c>
      <c r="AS343" s="117">
        <v>0</v>
      </c>
      <c r="AT343" s="117">
        <v>39</v>
      </c>
      <c r="AU343" s="117">
        <v>3329800</v>
      </c>
    </row>
    <row r="344" spans="1:47" x14ac:dyDescent="0.25">
      <c r="A344" s="117">
        <v>540177</v>
      </c>
      <c r="B344" s="2" t="s">
        <v>248</v>
      </c>
      <c r="C344" s="2" t="s">
        <v>75</v>
      </c>
      <c r="D344" s="2" t="s">
        <v>115</v>
      </c>
      <c r="E344" s="117">
        <v>7</v>
      </c>
      <c r="F344" s="117">
        <v>4</v>
      </c>
      <c r="G344" s="117">
        <v>204300</v>
      </c>
      <c r="H344" s="117">
        <v>112</v>
      </c>
      <c r="I344" s="117">
        <v>7260200</v>
      </c>
      <c r="J344" s="117">
        <v>2474</v>
      </c>
      <c r="K344" s="117">
        <v>214097200</v>
      </c>
      <c r="L344" s="117">
        <v>0</v>
      </c>
      <c r="M344" s="117">
        <v>0</v>
      </c>
      <c r="N344" s="117">
        <v>2</v>
      </c>
      <c r="O344" s="117">
        <v>29500</v>
      </c>
      <c r="P344" s="117">
        <v>413</v>
      </c>
      <c r="Q344" s="117">
        <v>85777600</v>
      </c>
      <c r="R344" s="117">
        <v>0</v>
      </c>
      <c r="S344" s="117">
        <v>0</v>
      </c>
      <c r="T344" s="117">
        <v>1</v>
      </c>
      <c r="U344" s="117">
        <v>297400</v>
      </c>
      <c r="V344" s="117">
        <v>56</v>
      </c>
      <c r="W344" s="117">
        <v>11785800</v>
      </c>
      <c r="X344" s="117">
        <v>0</v>
      </c>
      <c r="Y344" s="117">
        <v>0</v>
      </c>
      <c r="Z344" s="117">
        <v>0</v>
      </c>
      <c r="AA344" s="117">
        <v>0</v>
      </c>
      <c r="AB344" s="117">
        <v>13</v>
      </c>
      <c r="AC344" s="117">
        <v>1423500</v>
      </c>
      <c r="AD344" s="117">
        <v>0</v>
      </c>
      <c r="AE344" s="117">
        <v>0</v>
      </c>
      <c r="AF344" s="117">
        <v>0</v>
      </c>
      <c r="AG344" s="117">
        <v>0</v>
      </c>
      <c r="AH344" s="117">
        <v>0</v>
      </c>
      <c r="AI344" s="117">
        <v>0</v>
      </c>
      <c r="AJ344" s="117">
        <v>0</v>
      </c>
      <c r="AK344" s="117">
        <v>0</v>
      </c>
      <c r="AL344" s="117">
        <v>0</v>
      </c>
      <c r="AM344" s="117">
        <v>0</v>
      </c>
      <c r="AN344" s="117">
        <v>0</v>
      </c>
      <c r="AO344" s="117">
        <v>0</v>
      </c>
      <c r="AP344" s="117">
        <v>0</v>
      </c>
      <c r="AQ344" s="117">
        <v>0</v>
      </c>
      <c r="AR344" s="117">
        <v>11</v>
      </c>
      <c r="AS344" s="117">
        <v>2197500</v>
      </c>
      <c r="AT344" s="117">
        <v>296</v>
      </c>
      <c r="AU344" s="117">
        <v>90838200</v>
      </c>
    </row>
    <row r="345" spans="1:47" x14ac:dyDescent="0.25">
      <c r="A345" s="117">
        <v>540175</v>
      </c>
      <c r="B345" s="2" t="s">
        <v>74</v>
      </c>
      <c r="C345" s="2" t="s">
        <v>75</v>
      </c>
      <c r="D345" s="2" t="s">
        <v>5</v>
      </c>
      <c r="E345" s="117">
        <v>7</v>
      </c>
      <c r="F345" s="117">
        <v>219</v>
      </c>
      <c r="G345" s="117">
        <v>10456400</v>
      </c>
      <c r="H345" s="117">
        <v>1424</v>
      </c>
      <c r="I345" s="117">
        <v>75246600</v>
      </c>
      <c r="J345" s="117">
        <v>10038</v>
      </c>
      <c r="K345" s="117">
        <v>617313700</v>
      </c>
      <c r="L345" s="117">
        <v>4</v>
      </c>
      <c r="M345" s="117">
        <v>382000</v>
      </c>
      <c r="N345" s="117">
        <v>30</v>
      </c>
      <c r="O345" s="117">
        <v>5642000</v>
      </c>
      <c r="P345" s="117">
        <v>314</v>
      </c>
      <c r="Q345" s="117">
        <v>95219200</v>
      </c>
      <c r="R345" s="117">
        <v>0</v>
      </c>
      <c r="S345" s="117">
        <v>0</v>
      </c>
      <c r="T345" s="117">
        <v>0</v>
      </c>
      <c r="U345" s="117">
        <v>0</v>
      </c>
      <c r="V345" s="117">
        <v>24</v>
      </c>
      <c r="W345" s="117">
        <v>9925700</v>
      </c>
      <c r="X345" s="117">
        <v>0</v>
      </c>
      <c r="Y345" s="117">
        <v>0</v>
      </c>
      <c r="Z345" s="117">
        <v>8</v>
      </c>
      <c r="AA345" s="117">
        <v>523300</v>
      </c>
      <c r="AB345" s="117">
        <v>20</v>
      </c>
      <c r="AC345" s="117">
        <v>11519400</v>
      </c>
      <c r="AD345" s="117">
        <v>57</v>
      </c>
      <c r="AE345" s="117">
        <v>3355100</v>
      </c>
      <c r="AF345" s="117">
        <v>292</v>
      </c>
      <c r="AG345" s="117">
        <v>18599900</v>
      </c>
      <c r="AH345" s="117">
        <v>1207</v>
      </c>
      <c r="AI345" s="117">
        <v>76371800</v>
      </c>
      <c r="AJ345" s="117">
        <v>0</v>
      </c>
      <c r="AK345" s="117">
        <v>0</v>
      </c>
      <c r="AL345" s="117">
        <v>0</v>
      </c>
      <c r="AM345" s="117">
        <v>0</v>
      </c>
      <c r="AN345" s="117">
        <v>0</v>
      </c>
      <c r="AO345" s="117">
        <v>0</v>
      </c>
      <c r="AP345" s="117">
        <v>21</v>
      </c>
      <c r="AQ345" s="117">
        <v>2206100</v>
      </c>
      <c r="AR345" s="117">
        <v>111</v>
      </c>
      <c r="AS345" s="117">
        <v>29771700</v>
      </c>
      <c r="AT345" s="117">
        <v>607</v>
      </c>
      <c r="AU345" s="117">
        <v>121983000</v>
      </c>
    </row>
    <row r="346" spans="1:47" x14ac:dyDescent="0.25">
      <c r="A346" s="269"/>
      <c r="B346" s="269"/>
      <c r="C346" s="269" t="s">
        <v>75</v>
      </c>
      <c r="D346" s="269"/>
      <c r="E346" s="269"/>
      <c r="F346" s="270">
        <v>223</v>
      </c>
      <c r="G346" s="270">
        <v>10660700</v>
      </c>
      <c r="H346" s="270">
        <v>1548</v>
      </c>
      <c r="I346" s="270">
        <v>82824700</v>
      </c>
      <c r="J346" s="270">
        <v>13514</v>
      </c>
      <c r="K346" s="270">
        <v>876969800</v>
      </c>
      <c r="L346" s="270">
        <v>4</v>
      </c>
      <c r="M346" s="270">
        <v>382000</v>
      </c>
      <c r="N346" s="270">
        <v>32</v>
      </c>
      <c r="O346" s="270">
        <v>5671500</v>
      </c>
      <c r="P346" s="270">
        <v>797</v>
      </c>
      <c r="Q346" s="270">
        <v>186447100</v>
      </c>
      <c r="R346" s="270">
        <v>0</v>
      </c>
      <c r="S346" s="270">
        <v>0</v>
      </c>
      <c r="T346" s="270">
        <v>1</v>
      </c>
      <c r="U346" s="270">
        <v>297400</v>
      </c>
      <c r="V346" s="270">
        <v>84</v>
      </c>
      <c r="W346" s="270">
        <v>22159100</v>
      </c>
      <c r="X346" s="270">
        <v>0</v>
      </c>
      <c r="Y346" s="270">
        <v>0</v>
      </c>
      <c r="Z346" s="270">
        <v>8</v>
      </c>
      <c r="AA346" s="270">
        <v>523300</v>
      </c>
      <c r="AB346" s="270">
        <v>33</v>
      </c>
      <c r="AC346" s="270">
        <v>12942900</v>
      </c>
      <c r="AD346" s="270">
        <v>57</v>
      </c>
      <c r="AE346" s="270">
        <v>3355100</v>
      </c>
      <c r="AF346" s="270">
        <v>292</v>
      </c>
      <c r="AG346" s="270">
        <v>18599900</v>
      </c>
      <c r="AH346" s="270">
        <v>1221</v>
      </c>
      <c r="AI346" s="270">
        <v>76746800</v>
      </c>
      <c r="AJ346" s="270">
        <v>0</v>
      </c>
      <c r="AK346" s="270">
        <v>0</v>
      </c>
      <c r="AL346" s="270">
        <v>0</v>
      </c>
      <c r="AM346" s="270">
        <v>0</v>
      </c>
      <c r="AN346" s="270">
        <v>0</v>
      </c>
      <c r="AO346" s="270">
        <v>0</v>
      </c>
      <c r="AP346" s="270">
        <v>21</v>
      </c>
      <c r="AQ346" s="270">
        <v>2206100</v>
      </c>
      <c r="AR346" s="270">
        <v>122</v>
      </c>
      <c r="AS346" s="270">
        <v>31969200</v>
      </c>
      <c r="AT346" s="270">
        <v>1004</v>
      </c>
      <c r="AU346" s="270">
        <v>221289800</v>
      </c>
    </row>
    <row r="347" spans="1:47" x14ac:dyDescent="0.25">
      <c r="A347" s="117">
        <v>540219</v>
      </c>
      <c r="B347" s="2" t="s">
        <v>273</v>
      </c>
      <c r="C347" s="2" t="s">
        <v>95</v>
      </c>
      <c r="D347" s="2" t="s">
        <v>115</v>
      </c>
      <c r="E347" s="117">
        <v>1</v>
      </c>
      <c r="F347" s="117">
        <v>0</v>
      </c>
      <c r="G347" s="117">
        <v>0</v>
      </c>
      <c r="H347" s="117">
        <v>24</v>
      </c>
      <c r="I347" s="117">
        <v>331300</v>
      </c>
      <c r="J347" s="117">
        <v>566</v>
      </c>
      <c r="K347" s="117">
        <v>15839200</v>
      </c>
      <c r="L347" s="117">
        <v>0</v>
      </c>
      <c r="M347" s="117">
        <v>0</v>
      </c>
      <c r="N347" s="117">
        <v>1</v>
      </c>
      <c r="O347" s="117">
        <v>117400</v>
      </c>
      <c r="P347" s="117">
        <v>133</v>
      </c>
      <c r="Q347" s="117">
        <v>11745700</v>
      </c>
      <c r="R347" s="117">
        <v>0</v>
      </c>
      <c r="S347" s="117">
        <v>0</v>
      </c>
      <c r="T347" s="117">
        <v>0</v>
      </c>
      <c r="U347" s="117">
        <v>0</v>
      </c>
      <c r="V347" s="117">
        <v>0</v>
      </c>
      <c r="W347" s="117">
        <v>0</v>
      </c>
      <c r="X347" s="117">
        <v>0</v>
      </c>
      <c r="Y347" s="117">
        <v>0</v>
      </c>
      <c r="Z347" s="117">
        <v>0</v>
      </c>
      <c r="AA347" s="117">
        <v>0</v>
      </c>
      <c r="AB347" s="117">
        <v>0</v>
      </c>
      <c r="AC347" s="117">
        <v>0</v>
      </c>
      <c r="AD347" s="117">
        <v>0</v>
      </c>
      <c r="AE347" s="117">
        <v>0</v>
      </c>
      <c r="AF347" s="117">
        <v>0</v>
      </c>
      <c r="AG347" s="117">
        <v>0</v>
      </c>
      <c r="AH347" s="117">
        <v>1</v>
      </c>
      <c r="AI347" s="117">
        <v>42700</v>
      </c>
      <c r="AJ347" s="117">
        <v>0</v>
      </c>
      <c r="AK347" s="117">
        <v>0</v>
      </c>
      <c r="AL347" s="117">
        <v>0</v>
      </c>
      <c r="AM347" s="117">
        <v>0</v>
      </c>
      <c r="AN347" s="117">
        <v>1</v>
      </c>
      <c r="AO347" s="117">
        <v>1400</v>
      </c>
      <c r="AP347" s="117">
        <v>0</v>
      </c>
      <c r="AQ347" s="117">
        <v>0</v>
      </c>
      <c r="AR347" s="117">
        <v>2</v>
      </c>
      <c r="AS347" s="117">
        <v>6300</v>
      </c>
      <c r="AT347" s="117">
        <v>34</v>
      </c>
      <c r="AU347" s="117">
        <v>9806800</v>
      </c>
    </row>
    <row r="348" spans="1:47" x14ac:dyDescent="0.25">
      <c r="A348" s="117">
        <v>540220</v>
      </c>
      <c r="B348" s="2" t="s">
        <v>274</v>
      </c>
      <c r="C348" s="2" t="s">
        <v>95</v>
      </c>
      <c r="D348" s="2" t="s">
        <v>115</v>
      </c>
      <c r="E348" s="117">
        <v>1</v>
      </c>
      <c r="F348" s="117">
        <v>4</v>
      </c>
      <c r="G348" s="117">
        <v>28900</v>
      </c>
      <c r="H348" s="117">
        <v>45</v>
      </c>
      <c r="I348" s="117">
        <v>936800</v>
      </c>
      <c r="J348" s="117">
        <v>471</v>
      </c>
      <c r="K348" s="117">
        <v>9810100</v>
      </c>
      <c r="L348" s="117">
        <v>0</v>
      </c>
      <c r="M348" s="117">
        <v>0</v>
      </c>
      <c r="N348" s="117">
        <v>1</v>
      </c>
      <c r="O348" s="117">
        <v>200</v>
      </c>
      <c r="P348" s="117">
        <v>82</v>
      </c>
      <c r="Q348" s="117">
        <v>5156300</v>
      </c>
      <c r="R348" s="117">
        <v>0</v>
      </c>
      <c r="S348" s="117">
        <v>0</v>
      </c>
      <c r="T348" s="117">
        <v>0</v>
      </c>
      <c r="U348" s="117">
        <v>0</v>
      </c>
      <c r="V348" s="117">
        <v>1</v>
      </c>
      <c r="W348" s="117">
        <v>514200</v>
      </c>
      <c r="X348" s="117">
        <v>0</v>
      </c>
      <c r="Y348" s="117">
        <v>0</v>
      </c>
      <c r="Z348" s="117">
        <v>0</v>
      </c>
      <c r="AA348" s="117">
        <v>0</v>
      </c>
      <c r="AB348" s="117">
        <v>0</v>
      </c>
      <c r="AC348" s="117">
        <v>0</v>
      </c>
      <c r="AD348" s="117">
        <v>0</v>
      </c>
      <c r="AE348" s="117">
        <v>0</v>
      </c>
      <c r="AF348" s="117">
        <v>0</v>
      </c>
      <c r="AG348" s="117">
        <v>0</v>
      </c>
      <c r="AH348" s="117">
        <v>1</v>
      </c>
      <c r="AI348" s="117">
        <v>8200</v>
      </c>
      <c r="AJ348" s="117">
        <v>0</v>
      </c>
      <c r="AK348" s="117">
        <v>0</v>
      </c>
      <c r="AL348" s="117">
        <v>0</v>
      </c>
      <c r="AM348" s="117">
        <v>0</v>
      </c>
      <c r="AN348" s="117">
        <v>6</v>
      </c>
      <c r="AO348" s="117">
        <v>1022700</v>
      </c>
      <c r="AP348" s="117">
        <v>0</v>
      </c>
      <c r="AQ348" s="117">
        <v>0</v>
      </c>
      <c r="AR348" s="117">
        <v>1</v>
      </c>
      <c r="AS348" s="117">
        <v>8500</v>
      </c>
      <c r="AT348" s="117">
        <v>50</v>
      </c>
      <c r="AU348" s="117">
        <v>28031200</v>
      </c>
    </row>
    <row r="349" spans="1:47" x14ac:dyDescent="0.25">
      <c r="A349" s="117">
        <v>540218</v>
      </c>
      <c r="B349" s="2" t="s">
        <v>272</v>
      </c>
      <c r="C349" s="2" t="s">
        <v>95</v>
      </c>
      <c r="D349" s="2" t="s">
        <v>115</v>
      </c>
      <c r="E349" s="117">
        <v>1</v>
      </c>
      <c r="F349" s="117">
        <v>10</v>
      </c>
      <c r="G349" s="117">
        <v>79500</v>
      </c>
      <c r="H349" s="117">
        <v>152</v>
      </c>
      <c r="I349" s="117">
        <v>1433000</v>
      </c>
      <c r="J349" s="117">
        <v>998</v>
      </c>
      <c r="K349" s="117">
        <v>18605400</v>
      </c>
      <c r="L349" s="117">
        <v>0</v>
      </c>
      <c r="M349" s="117">
        <v>0</v>
      </c>
      <c r="N349" s="117">
        <v>1</v>
      </c>
      <c r="O349" s="117">
        <v>1600</v>
      </c>
      <c r="P349" s="117">
        <v>83</v>
      </c>
      <c r="Q349" s="117">
        <v>3849500</v>
      </c>
      <c r="R349" s="117">
        <v>0</v>
      </c>
      <c r="S349" s="117">
        <v>0</v>
      </c>
      <c r="T349" s="117">
        <v>0</v>
      </c>
      <c r="U349" s="117">
        <v>0</v>
      </c>
      <c r="V349" s="117">
        <v>0</v>
      </c>
      <c r="W349" s="117">
        <v>0</v>
      </c>
      <c r="X349" s="117">
        <v>0</v>
      </c>
      <c r="Y349" s="117">
        <v>0</v>
      </c>
      <c r="Z349" s="117">
        <v>0</v>
      </c>
      <c r="AA349" s="117">
        <v>0</v>
      </c>
      <c r="AB349" s="117">
        <v>0</v>
      </c>
      <c r="AC349" s="117">
        <v>0</v>
      </c>
      <c r="AD349" s="117">
        <v>0</v>
      </c>
      <c r="AE349" s="117">
        <v>0</v>
      </c>
      <c r="AF349" s="117">
        <v>0</v>
      </c>
      <c r="AG349" s="117">
        <v>0</v>
      </c>
      <c r="AH349" s="117">
        <v>0</v>
      </c>
      <c r="AI349" s="117">
        <v>0</v>
      </c>
      <c r="AJ349" s="117">
        <v>0</v>
      </c>
      <c r="AK349" s="117">
        <v>0</v>
      </c>
      <c r="AL349" s="117">
        <v>0</v>
      </c>
      <c r="AM349" s="117">
        <v>0</v>
      </c>
      <c r="AN349" s="117">
        <v>0</v>
      </c>
      <c r="AO349" s="117">
        <v>0</v>
      </c>
      <c r="AP349" s="117">
        <v>1</v>
      </c>
      <c r="AQ349" s="117">
        <v>700</v>
      </c>
      <c r="AR349" s="117">
        <v>50</v>
      </c>
      <c r="AS349" s="117">
        <v>126300</v>
      </c>
      <c r="AT349" s="117">
        <v>157</v>
      </c>
      <c r="AU349" s="117">
        <v>7886900</v>
      </c>
    </row>
    <row r="350" spans="1:47" x14ac:dyDescent="0.25">
      <c r="A350" s="117">
        <v>540217</v>
      </c>
      <c r="B350" s="2" t="s">
        <v>94</v>
      </c>
      <c r="C350" s="2" t="s">
        <v>95</v>
      </c>
      <c r="D350" s="2" t="s">
        <v>5</v>
      </c>
      <c r="E350" s="117">
        <v>1</v>
      </c>
      <c r="F350" s="117">
        <v>86</v>
      </c>
      <c r="G350" s="117">
        <v>1003500</v>
      </c>
      <c r="H350" s="117">
        <v>841</v>
      </c>
      <c r="I350" s="117">
        <v>12354000</v>
      </c>
      <c r="J350" s="117">
        <v>10070</v>
      </c>
      <c r="K350" s="117">
        <v>193478700</v>
      </c>
      <c r="L350" s="117">
        <v>1</v>
      </c>
      <c r="M350" s="117">
        <v>10900</v>
      </c>
      <c r="N350" s="117">
        <v>9</v>
      </c>
      <c r="O350" s="117">
        <v>1083500</v>
      </c>
      <c r="P350" s="117">
        <v>239</v>
      </c>
      <c r="Q350" s="117">
        <v>13644000</v>
      </c>
      <c r="R350" s="117">
        <v>0</v>
      </c>
      <c r="S350" s="117">
        <v>0</v>
      </c>
      <c r="T350" s="117">
        <v>0</v>
      </c>
      <c r="U350" s="117">
        <v>0</v>
      </c>
      <c r="V350" s="117">
        <v>0</v>
      </c>
      <c r="W350" s="117">
        <v>0</v>
      </c>
      <c r="X350" s="117">
        <v>0</v>
      </c>
      <c r="Y350" s="117">
        <v>0</v>
      </c>
      <c r="Z350" s="117">
        <v>0</v>
      </c>
      <c r="AA350" s="117">
        <v>0</v>
      </c>
      <c r="AB350" s="117">
        <v>7</v>
      </c>
      <c r="AC350" s="117">
        <v>176200</v>
      </c>
      <c r="AD350" s="117">
        <v>3</v>
      </c>
      <c r="AE350" s="117">
        <v>33100</v>
      </c>
      <c r="AF350" s="117">
        <v>15</v>
      </c>
      <c r="AG350" s="117">
        <v>228500</v>
      </c>
      <c r="AH350" s="117">
        <v>87</v>
      </c>
      <c r="AI350" s="117">
        <v>1496200</v>
      </c>
      <c r="AJ350" s="117">
        <v>0</v>
      </c>
      <c r="AK350" s="117">
        <v>0</v>
      </c>
      <c r="AL350" s="117">
        <v>2</v>
      </c>
      <c r="AM350" s="117">
        <v>5600</v>
      </c>
      <c r="AN350" s="117">
        <v>12</v>
      </c>
      <c r="AO350" s="117">
        <v>24800</v>
      </c>
      <c r="AP350" s="117">
        <v>8</v>
      </c>
      <c r="AQ350" s="117">
        <v>77800</v>
      </c>
      <c r="AR350" s="117">
        <v>86</v>
      </c>
      <c r="AS350" s="117">
        <v>299200</v>
      </c>
      <c r="AT350" s="117">
        <v>1036</v>
      </c>
      <c r="AU350" s="117">
        <v>54899300</v>
      </c>
    </row>
    <row r="351" spans="1:47" x14ac:dyDescent="0.25">
      <c r="A351" s="269"/>
      <c r="B351" s="269"/>
      <c r="C351" s="269" t="s">
        <v>95</v>
      </c>
      <c r="D351" s="269"/>
      <c r="E351" s="269"/>
      <c r="F351" s="270">
        <v>100</v>
      </c>
      <c r="G351" s="270">
        <v>1111900</v>
      </c>
      <c r="H351" s="270">
        <v>1062</v>
      </c>
      <c r="I351" s="270">
        <v>15055100</v>
      </c>
      <c r="J351" s="270">
        <v>12105</v>
      </c>
      <c r="K351" s="270">
        <v>237733400</v>
      </c>
      <c r="L351" s="270">
        <v>1</v>
      </c>
      <c r="M351" s="270">
        <v>10900</v>
      </c>
      <c r="N351" s="270">
        <v>12</v>
      </c>
      <c r="O351" s="270">
        <v>1202700</v>
      </c>
      <c r="P351" s="270">
        <v>537</v>
      </c>
      <c r="Q351" s="270">
        <v>34395500</v>
      </c>
      <c r="R351" s="270">
        <v>0</v>
      </c>
      <c r="S351" s="270">
        <v>0</v>
      </c>
      <c r="T351" s="270">
        <v>0</v>
      </c>
      <c r="U351" s="270">
        <v>0</v>
      </c>
      <c r="V351" s="270">
        <v>1</v>
      </c>
      <c r="W351" s="270">
        <v>514200</v>
      </c>
      <c r="X351" s="270">
        <v>0</v>
      </c>
      <c r="Y351" s="270">
        <v>0</v>
      </c>
      <c r="Z351" s="270">
        <v>0</v>
      </c>
      <c r="AA351" s="270">
        <v>0</v>
      </c>
      <c r="AB351" s="270">
        <v>7</v>
      </c>
      <c r="AC351" s="270">
        <v>176200</v>
      </c>
      <c r="AD351" s="270">
        <v>3</v>
      </c>
      <c r="AE351" s="270">
        <v>33100</v>
      </c>
      <c r="AF351" s="270">
        <v>15</v>
      </c>
      <c r="AG351" s="270">
        <v>228500</v>
      </c>
      <c r="AH351" s="270">
        <v>89</v>
      </c>
      <c r="AI351" s="270">
        <v>1547100</v>
      </c>
      <c r="AJ351" s="270">
        <v>0</v>
      </c>
      <c r="AK351" s="270">
        <v>0</v>
      </c>
      <c r="AL351" s="270">
        <v>2</v>
      </c>
      <c r="AM351" s="270">
        <v>5600</v>
      </c>
      <c r="AN351" s="270">
        <v>19</v>
      </c>
      <c r="AO351" s="270">
        <v>1048900</v>
      </c>
      <c r="AP351" s="270">
        <v>9</v>
      </c>
      <c r="AQ351" s="270">
        <v>78500</v>
      </c>
      <c r="AR351" s="270">
        <v>139</v>
      </c>
      <c r="AS351" s="270">
        <v>440300</v>
      </c>
      <c r="AT351" s="270">
        <v>1277</v>
      </c>
      <c r="AU351" s="270">
        <v>100624200</v>
      </c>
    </row>
  </sheetData>
  <hyperlinks>
    <hyperlink ref="AX2" r:id="rId1"/>
  </hyperlinks>
  <pageMargins left="0.7" right="0.7" top="0.75" bottom="0.75" header="0.3" footer="0.3"/>
  <pageSetup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1"/>
  <sheetViews>
    <sheetView workbookViewId="0">
      <selection sqref="A1:T351"/>
    </sheetView>
  </sheetViews>
  <sheetFormatPr defaultColWidth="23.140625" defaultRowHeight="15" x14ac:dyDescent="0.25"/>
  <sheetData>
    <row r="1" spans="1:20" ht="72.75" customHeight="1" x14ac:dyDescent="0.25">
      <c r="A1" s="276" t="s">
        <v>0</v>
      </c>
      <c r="B1" s="276" t="s">
        <v>1</v>
      </c>
      <c r="C1" s="276" t="s">
        <v>2</v>
      </c>
      <c r="D1" s="276" t="s">
        <v>512</v>
      </c>
      <c r="E1" s="276" t="s">
        <v>403</v>
      </c>
      <c r="F1" s="276" t="s">
        <v>2234</v>
      </c>
      <c r="G1" s="276" t="s">
        <v>2235</v>
      </c>
      <c r="H1" s="276" t="s">
        <v>2236</v>
      </c>
      <c r="I1" s="276" t="s">
        <v>2237</v>
      </c>
      <c r="J1" s="276" t="s">
        <v>2238</v>
      </c>
      <c r="K1" s="276" t="s">
        <v>2239</v>
      </c>
      <c r="L1" s="276" t="s">
        <v>2240</v>
      </c>
      <c r="M1" s="276" t="s">
        <v>2241</v>
      </c>
      <c r="N1" s="276" t="s">
        <v>2242</v>
      </c>
      <c r="O1" s="276" t="s">
        <v>2243</v>
      </c>
      <c r="P1" s="276" t="s">
        <v>2244</v>
      </c>
      <c r="Q1" s="276" t="s">
        <v>2245</v>
      </c>
      <c r="R1" s="16"/>
      <c r="S1" s="394" t="s">
        <v>1325</v>
      </c>
      <c r="T1" s="16" t="s">
        <v>5650</v>
      </c>
    </row>
    <row r="2" spans="1:20" x14ac:dyDescent="0.25">
      <c r="A2" s="117">
        <v>540001</v>
      </c>
      <c r="B2" s="2" t="s">
        <v>3</v>
      </c>
      <c r="C2" s="2" t="s">
        <v>4</v>
      </c>
      <c r="D2" s="2" t="s">
        <v>5</v>
      </c>
      <c r="E2" s="117">
        <v>7</v>
      </c>
      <c r="F2" s="117">
        <v>0</v>
      </c>
      <c r="G2" s="117">
        <v>0</v>
      </c>
      <c r="H2" s="117">
        <v>106</v>
      </c>
      <c r="I2" s="117">
        <v>5076200</v>
      </c>
      <c r="J2" s="117">
        <v>5</v>
      </c>
      <c r="K2" s="117">
        <v>0</v>
      </c>
      <c r="L2" s="117">
        <v>946</v>
      </c>
      <c r="M2" s="117">
        <v>46701500</v>
      </c>
      <c r="N2" s="117">
        <v>407</v>
      </c>
      <c r="O2" s="117">
        <v>0</v>
      </c>
      <c r="P2" s="117">
        <v>8030</v>
      </c>
      <c r="Q2" s="117">
        <v>455128200</v>
      </c>
      <c r="S2" s="394" t="s">
        <v>1326</v>
      </c>
      <c r="T2" s="254" t="s">
        <v>5651</v>
      </c>
    </row>
    <row r="3" spans="1:20" x14ac:dyDescent="0.25">
      <c r="A3" s="117">
        <v>540002</v>
      </c>
      <c r="B3" s="2" t="s">
        <v>114</v>
      </c>
      <c r="C3" s="2" t="s">
        <v>4</v>
      </c>
      <c r="D3" s="2" t="s">
        <v>115</v>
      </c>
      <c r="E3" s="117">
        <v>7</v>
      </c>
      <c r="F3" s="117">
        <v>0</v>
      </c>
      <c r="G3" s="117">
        <v>0</v>
      </c>
      <c r="H3" s="117">
        <v>2</v>
      </c>
      <c r="I3" s="117">
        <v>34200</v>
      </c>
      <c r="J3" s="117">
        <v>0</v>
      </c>
      <c r="K3" s="117">
        <v>0</v>
      </c>
      <c r="L3" s="117">
        <v>20</v>
      </c>
      <c r="M3" s="117">
        <v>314300</v>
      </c>
      <c r="N3" s="117">
        <v>106</v>
      </c>
      <c r="O3" s="117">
        <v>0</v>
      </c>
      <c r="P3" s="117">
        <v>1308</v>
      </c>
      <c r="Q3" s="117">
        <v>57781500</v>
      </c>
    </row>
    <row r="4" spans="1:20" x14ac:dyDescent="0.25">
      <c r="A4" s="117">
        <v>540003</v>
      </c>
      <c r="B4" s="2" t="s">
        <v>116</v>
      </c>
      <c r="C4" s="2" t="s">
        <v>4</v>
      </c>
      <c r="D4" s="2" t="s">
        <v>115</v>
      </c>
      <c r="E4" s="117">
        <v>7</v>
      </c>
      <c r="F4" s="117">
        <v>0</v>
      </c>
      <c r="G4" s="117">
        <v>0</v>
      </c>
      <c r="H4" s="117">
        <v>0</v>
      </c>
      <c r="I4" s="117">
        <v>0</v>
      </c>
      <c r="J4" s="117">
        <v>0</v>
      </c>
      <c r="K4" s="117">
        <v>0</v>
      </c>
      <c r="L4" s="117">
        <v>5</v>
      </c>
      <c r="M4" s="117">
        <v>101000</v>
      </c>
      <c r="N4" s="117">
        <v>18</v>
      </c>
      <c r="O4" s="117">
        <v>0</v>
      </c>
      <c r="P4" s="117">
        <v>272</v>
      </c>
      <c r="Q4" s="117">
        <v>7306300</v>
      </c>
    </row>
    <row r="5" spans="1:20" x14ac:dyDescent="0.25">
      <c r="A5" s="117">
        <v>540004</v>
      </c>
      <c r="B5" s="2" t="s">
        <v>117</v>
      </c>
      <c r="C5" s="2" t="s">
        <v>4</v>
      </c>
      <c r="D5" s="2" t="s">
        <v>115</v>
      </c>
      <c r="E5" s="117">
        <v>7</v>
      </c>
      <c r="F5" s="117">
        <v>0</v>
      </c>
      <c r="G5" s="117">
        <v>0</v>
      </c>
      <c r="H5" s="117">
        <v>19</v>
      </c>
      <c r="I5" s="117">
        <v>878700</v>
      </c>
      <c r="J5" s="117">
        <v>1</v>
      </c>
      <c r="K5" s="117">
        <v>0</v>
      </c>
      <c r="L5" s="117">
        <v>87</v>
      </c>
      <c r="M5" s="117">
        <v>3773600</v>
      </c>
      <c r="N5" s="117">
        <v>244</v>
      </c>
      <c r="O5" s="117">
        <v>0</v>
      </c>
      <c r="P5" s="117">
        <v>1096</v>
      </c>
      <c r="Q5" s="117">
        <v>110577100</v>
      </c>
    </row>
    <row r="6" spans="1:20" x14ac:dyDescent="0.25">
      <c r="A6" s="269"/>
      <c r="B6" s="269"/>
      <c r="C6" s="269" t="s">
        <v>4</v>
      </c>
      <c r="D6" s="269"/>
      <c r="E6" s="269"/>
      <c r="F6" s="270">
        <v>0</v>
      </c>
      <c r="G6" s="270">
        <v>0</v>
      </c>
      <c r="H6" s="270">
        <v>127</v>
      </c>
      <c r="I6" s="270">
        <v>5989100</v>
      </c>
      <c r="J6" s="270">
        <v>6</v>
      </c>
      <c r="K6" s="270">
        <v>0</v>
      </c>
      <c r="L6" s="270">
        <v>1058</v>
      </c>
      <c r="M6" s="270">
        <v>50890400</v>
      </c>
      <c r="N6" s="270">
        <v>775</v>
      </c>
      <c r="O6" s="270">
        <v>0</v>
      </c>
      <c r="P6" s="270">
        <v>10706</v>
      </c>
      <c r="Q6" s="270">
        <v>630793100</v>
      </c>
    </row>
    <row r="7" spans="1:20" x14ac:dyDescent="0.25">
      <c r="A7" s="117">
        <v>540007</v>
      </c>
      <c r="B7" s="2" t="s">
        <v>6</v>
      </c>
      <c r="C7" s="2" t="s">
        <v>7</v>
      </c>
      <c r="D7" s="2" t="s">
        <v>5</v>
      </c>
      <c r="E7" s="117">
        <v>3</v>
      </c>
      <c r="F7" s="117">
        <v>0</v>
      </c>
      <c r="G7" s="117">
        <v>0</v>
      </c>
      <c r="H7" s="117">
        <v>333</v>
      </c>
      <c r="I7" s="117">
        <v>10870700</v>
      </c>
      <c r="J7" s="117">
        <v>1</v>
      </c>
      <c r="K7" s="117">
        <v>0</v>
      </c>
      <c r="L7" s="117">
        <v>943</v>
      </c>
      <c r="M7" s="117">
        <v>32844200</v>
      </c>
      <c r="N7" s="117">
        <v>3576</v>
      </c>
      <c r="O7" s="117">
        <v>0</v>
      </c>
      <c r="P7" s="117">
        <v>5810</v>
      </c>
      <c r="Q7" s="117">
        <v>226604200</v>
      </c>
    </row>
    <row r="8" spans="1:20" x14ac:dyDescent="0.25">
      <c r="A8" s="117">
        <v>540008</v>
      </c>
      <c r="B8" s="2" t="s">
        <v>120</v>
      </c>
      <c r="C8" s="2" t="s">
        <v>7</v>
      </c>
      <c r="D8" s="2" t="s">
        <v>115</v>
      </c>
      <c r="E8" s="117">
        <v>3</v>
      </c>
      <c r="F8" s="117">
        <v>0</v>
      </c>
      <c r="G8" s="117">
        <v>0</v>
      </c>
      <c r="H8" s="117">
        <v>9</v>
      </c>
      <c r="I8" s="117">
        <v>497800</v>
      </c>
      <c r="J8" s="117">
        <v>0</v>
      </c>
      <c r="K8" s="117">
        <v>0</v>
      </c>
      <c r="L8" s="117">
        <v>80</v>
      </c>
      <c r="M8" s="117">
        <v>2617600</v>
      </c>
      <c r="N8" s="117">
        <v>283</v>
      </c>
      <c r="O8" s="117">
        <v>0</v>
      </c>
      <c r="P8" s="117">
        <v>1329</v>
      </c>
      <c r="Q8" s="117">
        <v>107396200</v>
      </c>
    </row>
    <row r="9" spans="1:20" x14ac:dyDescent="0.25">
      <c r="A9" s="117">
        <v>540229</v>
      </c>
      <c r="B9" s="2" t="s">
        <v>279</v>
      </c>
      <c r="C9" s="2" t="s">
        <v>7</v>
      </c>
      <c r="D9" s="2" t="s">
        <v>115</v>
      </c>
      <c r="E9" s="117">
        <v>3</v>
      </c>
      <c r="F9" s="117">
        <v>0</v>
      </c>
      <c r="G9" s="117">
        <v>0</v>
      </c>
      <c r="H9" s="117">
        <v>0</v>
      </c>
      <c r="I9" s="117">
        <v>0</v>
      </c>
      <c r="J9" s="117">
        <v>0</v>
      </c>
      <c r="K9" s="117">
        <v>0</v>
      </c>
      <c r="L9" s="117">
        <v>11</v>
      </c>
      <c r="M9" s="117">
        <v>217200</v>
      </c>
      <c r="N9" s="117">
        <v>172</v>
      </c>
      <c r="O9" s="117">
        <v>0</v>
      </c>
      <c r="P9" s="117">
        <v>178</v>
      </c>
      <c r="Q9" s="117">
        <v>7921500</v>
      </c>
    </row>
    <row r="10" spans="1:20" x14ac:dyDescent="0.25">
      <c r="A10" s="117">
        <v>540230</v>
      </c>
      <c r="B10" s="2" t="s">
        <v>280</v>
      </c>
      <c r="C10" s="2" t="s">
        <v>7</v>
      </c>
      <c r="D10" s="2" t="s">
        <v>115</v>
      </c>
      <c r="E10" s="117">
        <v>3</v>
      </c>
      <c r="F10" s="117">
        <v>0</v>
      </c>
      <c r="G10" s="117">
        <v>0</v>
      </c>
      <c r="H10" s="117">
        <v>7</v>
      </c>
      <c r="I10" s="117">
        <v>1359100</v>
      </c>
      <c r="J10" s="117">
        <v>0</v>
      </c>
      <c r="K10" s="117">
        <v>0</v>
      </c>
      <c r="L10" s="117">
        <v>20</v>
      </c>
      <c r="M10" s="117">
        <v>659000</v>
      </c>
      <c r="N10" s="117">
        <v>133</v>
      </c>
      <c r="O10" s="117">
        <v>0</v>
      </c>
      <c r="P10" s="117">
        <v>151</v>
      </c>
      <c r="Q10" s="117">
        <v>8790300</v>
      </c>
    </row>
    <row r="11" spans="1:20" x14ac:dyDescent="0.25">
      <c r="A11" s="117">
        <v>540238</v>
      </c>
      <c r="B11" s="2" t="s">
        <v>286</v>
      </c>
      <c r="C11" s="2" t="s">
        <v>7</v>
      </c>
      <c r="D11" s="2" t="s">
        <v>115</v>
      </c>
      <c r="E11" s="117">
        <v>3</v>
      </c>
      <c r="F11" s="117">
        <v>0</v>
      </c>
      <c r="G11" s="117">
        <v>0</v>
      </c>
      <c r="H11" s="117">
        <v>0</v>
      </c>
      <c r="I11" s="117">
        <v>0</v>
      </c>
      <c r="J11" s="117">
        <v>0</v>
      </c>
      <c r="K11" s="117">
        <v>0</v>
      </c>
      <c r="L11" s="117">
        <v>10</v>
      </c>
      <c r="M11" s="117">
        <v>215100</v>
      </c>
      <c r="N11" s="117">
        <v>81</v>
      </c>
      <c r="O11" s="117">
        <v>0</v>
      </c>
      <c r="P11" s="117">
        <v>4</v>
      </c>
      <c r="Q11" s="117">
        <v>50500</v>
      </c>
    </row>
    <row r="12" spans="1:20" x14ac:dyDescent="0.25">
      <c r="A12" s="269"/>
      <c r="B12" s="269"/>
      <c r="C12" s="269" t="s">
        <v>7</v>
      </c>
      <c r="D12" s="269"/>
      <c r="E12" s="269"/>
      <c r="F12" s="270">
        <v>0</v>
      </c>
      <c r="G12" s="270">
        <v>0</v>
      </c>
      <c r="H12" s="270">
        <v>349</v>
      </c>
      <c r="I12" s="270">
        <v>12727600</v>
      </c>
      <c r="J12" s="270">
        <v>1</v>
      </c>
      <c r="K12" s="270">
        <v>0</v>
      </c>
      <c r="L12" s="270">
        <v>1064</v>
      </c>
      <c r="M12" s="270">
        <v>36553100</v>
      </c>
      <c r="N12" s="270">
        <v>4245</v>
      </c>
      <c r="O12" s="270">
        <v>0</v>
      </c>
      <c r="P12" s="270">
        <v>7472</v>
      </c>
      <c r="Q12" s="270">
        <v>350762700</v>
      </c>
    </row>
    <row r="13" spans="1:20" x14ac:dyDescent="0.25">
      <c r="A13" s="117">
        <v>540009</v>
      </c>
      <c r="B13" s="2" t="s">
        <v>8</v>
      </c>
      <c r="C13" s="2" t="s">
        <v>9</v>
      </c>
      <c r="D13" s="2" t="s">
        <v>5</v>
      </c>
      <c r="E13" s="117">
        <v>7</v>
      </c>
      <c r="F13" s="117">
        <v>0</v>
      </c>
      <c r="G13" s="117">
        <v>0</v>
      </c>
      <c r="H13" s="117">
        <v>509</v>
      </c>
      <c r="I13" s="117">
        <v>23406500</v>
      </c>
      <c r="J13" s="117">
        <v>18</v>
      </c>
      <c r="K13" s="117">
        <v>0</v>
      </c>
      <c r="L13" s="117">
        <v>2776</v>
      </c>
      <c r="M13" s="117">
        <v>134150600</v>
      </c>
      <c r="N13" s="117">
        <v>693</v>
      </c>
      <c r="O13" s="117">
        <v>0</v>
      </c>
      <c r="P13" s="117">
        <v>8406</v>
      </c>
      <c r="Q13" s="117">
        <v>525549500</v>
      </c>
    </row>
    <row r="14" spans="1:20" x14ac:dyDescent="0.25">
      <c r="A14" s="117">
        <v>540010</v>
      </c>
      <c r="B14" s="2" t="s">
        <v>121</v>
      </c>
      <c r="C14" s="2" t="s">
        <v>9</v>
      </c>
      <c r="D14" s="2" t="s">
        <v>115</v>
      </c>
      <c r="E14" s="117">
        <v>7</v>
      </c>
      <c r="F14" s="117">
        <v>0</v>
      </c>
      <c r="G14" s="117">
        <v>0</v>
      </c>
      <c r="H14" s="117">
        <v>9</v>
      </c>
      <c r="I14" s="117">
        <v>289300</v>
      </c>
      <c r="J14" s="117">
        <v>0</v>
      </c>
      <c r="K14" s="117">
        <v>0</v>
      </c>
      <c r="L14" s="117">
        <v>93</v>
      </c>
      <c r="M14" s="117">
        <v>1547100</v>
      </c>
      <c r="N14" s="117">
        <v>18</v>
      </c>
      <c r="O14" s="117">
        <v>0</v>
      </c>
      <c r="P14" s="117">
        <v>518</v>
      </c>
      <c r="Q14" s="117">
        <v>15017200</v>
      </c>
    </row>
    <row r="15" spans="1:20" x14ac:dyDescent="0.25">
      <c r="A15" s="117">
        <v>540235</v>
      </c>
      <c r="B15" s="2" t="s">
        <v>283</v>
      </c>
      <c r="C15" s="2" t="s">
        <v>9</v>
      </c>
      <c r="D15" s="2" t="s">
        <v>115</v>
      </c>
      <c r="E15" s="117">
        <v>7</v>
      </c>
      <c r="F15" s="117">
        <v>0</v>
      </c>
      <c r="G15" s="117">
        <v>0</v>
      </c>
      <c r="H15" s="117">
        <v>0</v>
      </c>
      <c r="I15" s="117">
        <v>0</v>
      </c>
      <c r="J15" s="117">
        <v>0</v>
      </c>
      <c r="K15" s="117">
        <v>0</v>
      </c>
      <c r="L15" s="117">
        <v>32</v>
      </c>
      <c r="M15" s="117">
        <v>1331700</v>
      </c>
      <c r="N15" s="117">
        <v>0</v>
      </c>
      <c r="O15" s="117">
        <v>0</v>
      </c>
      <c r="P15" s="117">
        <v>218</v>
      </c>
      <c r="Q15" s="117">
        <v>15538600</v>
      </c>
    </row>
    <row r="16" spans="1:20" x14ac:dyDescent="0.25">
      <c r="A16" s="117">
        <v>540236</v>
      </c>
      <c r="B16" s="2" t="s">
        <v>284</v>
      </c>
      <c r="C16" s="2" t="s">
        <v>9</v>
      </c>
      <c r="D16" s="2" t="s">
        <v>115</v>
      </c>
      <c r="E16" s="117">
        <v>7</v>
      </c>
      <c r="F16" s="117">
        <v>0</v>
      </c>
      <c r="G16" s="117">
        <v>0</v>
      </c>
      <c r="H16" s="117">
        <v>16</v>
      </c>
      <c r="I16" s="117">
        <v>537100</v>
      </c>
      <c r="J16" s="117">
        <v>3</v>
      </c>
      <c r="K16" s="117">
        <v>0</v>
      </c>
      <c r="L16" s="117">
        <v>163</v>
      </c>
      <c r="M16" s="117">
        <v>4715200</v>
      </c>
      <c r="N16" s="117">
        <v>29</v>
      </c>
      <c r="O16" s="117">
        <v>0</v>
      </c>
      <c r="P16" s="117">
        <v>546</v>
      </c>
      <c r="Q16" s="117">
        <v>31919100</v>
      </c>
    </row>
    <row r="17" spans="1:17" x14ac:dyDescent="0.25">
      <c r="A17" s="117">
        <v>540237</v>
      </c>
      <c r="B17" s="2" t="s">
        <v>285</v>
      </c>
      <c r="C17" s="2" t="s">
        <v>9</v>
      </c>
      <c r="D17" s="2" t="s">
        <v>115</v>
      </c>
      <c r="E17" s="117">
        <v>7</v>
      </c>
      <c r="F17" s="117">
        <v>0</v>
      </c>
      <c r="G17" s="117">
        <v>0</v>
      </c>
      <c r="H17" s="117">
        <v>40</v>
      </c>
      <c r="I17" s="117">
        <v>485900</v>
      </c>
      <c r="J17" s="117">
        <v>6</v>
      </c>
      <c r="K17" s="117">
        <v>0</v>
      </c>
      <c r="L17" s="117">
        <v>132</v>
      </c>
      <c r="M17" s="117">
        <v>2522400</v>
      </c>
      <c r="N17" s="117">
        <v>34</v>
      </c>
      <c r="O17" s="117">
        <v>0</v>
      </c>
      <c r="P17" s="117">
        <v>584</v>
      </c>
      <c r="Q17" s="117">
        <v>38345100</v>
      </c>
    </row>
    <row r="18" spans="1:17" x14ac:dyDescent="0.25">
      <c r="A18" s="269"/>
      <c r="B18" s="269"/>
      <c r="C18" s="269" t="s">
        <v>9</v>
      </c>
      <c r="D18" s="269"/>
      <c r="E18" s="269"/>
      <c r="F18" s="270">
        <v>0</v>
      </c>
      <c r="G18" s="270">
        <v>0</v>
      </c>
      <c r="H18" s="270">
        <v>574</v>
      </c>
      <c r="I18" s="270">
        <v>24718800</v>
      </c>
      <c r="J18" s="270">
        <v>27</v>
      </c>
      <c r="K18" s="270">
        <v>0</v>
      </c>
      <c r="L18" s="270">
        <v>3196</v>
      </c>
      <c r="M18" s="270">
        <v>144267000</v>
      </c>
      <c r="N18" s="270">
        <v>774</v>
      </c>
      <c r="O18" s="270">
        <v>0</v>
      </c>
      <c r="P18" s="270">
        <v>10272</v>
      </c>
      <c r="Q18" s="270">
        <v>626369500</v>
      </c>
    </row>
    <row r="19" spans="1:17" x14ac:dyDescent="0.25">
      <c r="A19" s="117">
        <v>540011</v>
      </c>
      <c r="B19" s="2" t="s">
        <v>10</v>
      </c>
      <c r="C19" s="2" t="s">
        <v>11</v>
      </c>
      <c r="D19" s="2" t="s">
        <v>5</v>
      </c>
      <c r="E19" s="117">
        <v>11</v>
      </c>
      <c r="F19" s="117">
        <v>0</v>
      </c>
      <c r="G19" s="117">
        <v>0</v>
      </c>
      <c r="H19" s="117">
        <v>34</v>
      </c>
      <c r="I19" s="117">
        <v>1316900</v>
      </c>
      <c r="J19" s="117">
        <v>1</v>
      </c>
      <c r="K19" s="117">
        <v>0</v>
      </c>
      <c r="L19" s="117">
        <v>526</v>
      </c>
      <c r="M19" s="117">
        <v>16620800</v>
      </c>
      <c r="N19" s="117">
        <v>152</v>
      </c>
      <c r="O19" s="117">
        <v>0</v>
      </c>
      <c r="P19" s="117">
        <v>7240</v>
      </c>
      <c r="Q19" s="117">
        <v>382766200</v>
      </c>
    </row>
    <row r="20" spans="1:17" x14ac:dyDescent="0.25">
      <c r="A20" s="117">
        <v>540012</v>
      </c>
      <c r="B20" s="2" t="s">
        <v>122</v>
      </c>
      <c r="C20" s="2" t="s">
        <v>11</v>
      </c>
      <c r="D20" s="2" t="s">
        <v>115</v>
      </c>
      <c r="E20" s="117">
        <v>11</v>
      </c>
      <c r="F20" s="117">
        <v>0</v>
      </c>
      <c r="G20" s="117">
        <v>0</v>
      </c>
      <c r="H20" s="117">
        <v>0</v>
      </c>
      <c r="I20" s="117">
        <v>0</v>
      </c>
      <c r="J20" s="117">
        <v>0</v>
      </c>
      <c r="K20" s="117">
        <v>0</v>
      </c>
      <c r="L20" s="117">
        <v>2</v>
      </c>
      <c r="M20" s="117">
        <v>72800</v>
      </c>
      <c r="N20" s="117">
        <v>5</v>
      </c>
      <c r="O20" s="117">
        <v>0</v>
      </c>
      <c r="P20" s="117">
        <v>218</v>
      </c>
      <c r="Q20" s="117">
        <v>17994500</v>
      </c>
    </row>
    <row r="21" spans="1:17" x14ac:dyDescent="0.25">
      <c r="A21" s="117">
        <v>540013</v>
      </c>
      <c r="B21" s="2" t="s">
        <v>123</v>
      </c>
      <c r="C21" s="2" t="s">
        <v>11</v>
      </c>
      <c r="D21" s="2" t="s">
        <v>115</v>
      </c>
      <c r="E21" s="117">
        <v>11</v>
      </c>
      <c r="F21" s="117">
        <v>0</v>
      </c>
      <c r="G21" s="117">
        <v>0</v>
      </c>
      <c r="H21" s="117">
        <v>15</v>
      </c>
      <c r="I21" s="117">
        <v>218800</v>
      </c>
      <c r="J21" s="117">
        <v>0</v>
      </c>
      <c r="K21" s="117">
        <v>0</v>
      </c>
      <c r="L21" s="117">
        <v>205</v>
      </c>
      <c r="M21" s="117">
        <v>5510300</v>
      </c>
      <c r="N21" s="117">
        <v>67</v>
      </c>
      <c r="O21" s="117">
        <v>0</v>
      </c>
      <c r="P21" s="117">
        <v>1446</v>
      </c>
      <c r="Q21" s="117">
        <v>121588300</v>
      </c>
    </row>
    <row r="22" spans="1:17" x14ac:dyDescent="0.25">
      <c r="A22" s="117">
        <v>540014</v>
      </c>
      <c r="B22" s="2" t="s">
        <v>124</v>
      </c>
      <c r="C22" s="2" t="s">
        <v>11</v>
      </c>
      <c r="D22" s="2" t="s">
        <v>115</v>
      </c>
      <c r="E22" s="117">
        <v>11</v>
      </c>
      <c r="F22" s="117">
        <v>0</v>
      </c>
      <c r="G22" s="117">
        <v>0</v>
      </c>
      <c r="H22" s="117">
        <v>16</v>
      </c>
      <c r="I22" s="117">
        <v>494200</v>
      </c>
      <c r="J22" s="117">
        <v>0</v>
      </c>
      <c r="K22" s="117">
        <v>0</v>
      </c>
      <c r="L22" s="117">
        <v>138</v>
      </c>
      <c r="M22" s="117">
        <v>12125500</v>
      </c>
      <c r="N22" s="117">
        <v>44</v>
      </c>
      <c r="O22" s="117">
        <v>0</v>
      </c>
      <c r="P22" s="117">
        <v>1824</v>
      </c>
      <c r="Q22" s="117">
        <v>254766700</v>
      </c>
    </row>
    <row r="23" spans="1:17" x14ac:dyDescent="0.25">
      <c r="A23" s="117">
        <v>540015</v>
      </c>
      <c r="B23" s="2" t="s">
        <v>125</v>
      </c>
      <c r="C23" s="2" t="s">
        <v>11</v>
      </c>
      <c r="D23" s="2" t="s">
        <v>115</v>
      </c>
      <c r="E23" s="117">
        <v>11</v>
      </c>
      <c r="F23" s="117">
        <v>0</v>
      </c>
      <c r="G23" s="117">
        <v>0</v>
      </c>
      <c r="H23" s="117">
        <v>3</v>
      </c>
      <c r="I23" s="117">
        <v>178900</v>
      </c>
      <c r="J23" s="117">
        <v>2</v>
      </c>
      <c r="K23" s="117">
        <v>0</v>
      </c>
      <c r="L23" s="117">
        <v>57</v>
      </c>
      <c r="M23" s="117">
        <v>1243100</v>
      </c>
      <c r="N23" s="117">
        <v>793</v>
      </c>
      <c r="O23" s="117">
        <v>0</v>
      </c>
      <c r="P23" s="117">
        <v>716</v>
      </c>
      <c r="Q23" s="117">
        <v>43246300</v>
      </c>
    </row>
    <row r="24" spans="1:17" x14ac:dyDescent="0.25">
      <c r="A24" s="117">
        <v>540093</v>
      </c>
      <c r="B24" s="2" t="s">
        <v>184</v>
      </c>
      <c r="C24" s="2" t="s">
        <v>11</v>
      </c>
      <c r="D24" s="2" t="s">
        <v>115</v>
      </c>
      <c r="E24" s="117">
        <v>11</v>
      </c>
      <c r="F24" s="117">
        <v>0</v>
      </c>
      <c r="G24" s="117">
        <v>0</v>
      </c>
      <c r="H24" s="117">
        <v>0</v>
      </c>
      <c r="I24" s="117">
        <v>0</v>
      </c>
      <c r="J24" s="117">
        <v>0</v>
      </c>
      <c r="K24" s="117">
        <v>0</v>
      </c>
      <c r="L24" s="117">
        <v>52</v>
      </c>
      <c r="M24" s="117">
        <v>916900</v>
      </c>
      <c r="N24" s="117">
        <v>7</v>
      </c>
      <c r="O24" s="117">
        <v>0</v>
      </c>
      <c r="P24" s="117">
        <v>313</v>
      </c>
      <c r="Q24" s="117">
        <v>10987900</v>
      </c>
    </row>
    <row r="25" spans="1:17" x14ac:dyDescent="0.25">
      <c r="A25" s="117">
        <v>540084</v>
      </c>
      <c r="B25" s="2" t="s">
        <v>341</v>
      </c>
      <c r="C25" s="2" t="s">
        <v>11</v>
      </c>
      <c r="D25" s="2" t="s">
        <v>115</v>
      </c>
      <c r="E25" s="117">
        <v>11</v>
      </c>
      <c r="F25" s="117">
        <v>0</v>
      </c>
      <c r="G25" s="117">
        <v>0</v>
      </c>
      <c r="H25" s="117">
        <v>0</v>
      </c>
      <c r="I25" s="117">
        <v>0</v>
      </c>
      <c r="J25" s="117">
        <v>0</v>
      </c>
      <c r="K25" s="117">
        <v>0</v>
      </c>
      <c r="L25" s="117">
        <v>4</v>
      </c>
      <c r="M25" s="117">
        <v>50900</v>
      </c>
      <c r="N25" s="117">
        <v>0</v>
      </c>
      <c r="O25" s="117">
        <v>0</v>
      </c>
      <c r="P25" s="117">
        <v>217</v>
      </c>
      <c r="Q25" s="117">
        <v>8043300</v>
      </c>
    </row>
    <row r="26" spans="1:17" x14ac:dyDescent="0.25">
      <c r="A26" s="269"/>
      <c r="B26" s="269"/>
      <c r="C26" s="269" t="s">
        <v>11</v>
      </c>
      <c r="D26" s="269"/>
      <c r="E26" s="269"/>
      <c r="F26" s="270">
        <v>0</v>
      </c>
      <c r="G26" s="270">
        <v>0</v>
      </c>
      <c r="H26" s="270">
        <v>68</v>
      </c>
      <c r="I26" s="270">
        <v>2208800</v>
      </c>
      <c r="J26" s="270">
        <v>3</v>
      </c>
      <c r="K26" s="270">
        <v>0</v>
      </c>
      <c r="L26" s="270">
        <v>984</v>
      </c>
      <c r="M26" s="270">
        <v>36540300</v>
      </c>
      <c r="N26" s="270">
        <v>1068</v>
      </c>
      <c r="O26" s="270">
        <v>0</v>
      </c>
      <c r="P26" s="270">
        <v>11974</v>
      </c>
      <c r="Q26" s="270">
        <v>839393200</v>
      </c>
    </row>
    <row r="27" spans="1:17" x14ac:dyDescent="0.25">
      <c r="A27" s="117">
        <v>540016</v>
      </c>
      <c r="B27" s="2" t="s">
        <v>12</v>
      </c>
      <c r="C27" s="2" t="s">
        <v>13</v>
      </c>
      <c r="D27" s="2" t="s">
        <v>5</v>
      </c>
      <c r="E27" s="117">
        <v>2</v>
      </c>
      <c r="F27" s="117">
        <v>0</v>
      </c>
      <c r="G27" s="117">
        <v>0</v>
      </c>
      <c r="H27" s="117">
        <v>514</v>
      </c>
      <c r="I27" s="117">
        <v>26366600</v>
      </c>
      <c r="J27" s="117">
        <v>11</v>
      </c>
      <c r="K27" s="117">
        <v>0</v>
      </c>
      <c r="L27" s="117">
        <v>2366</v>
      </c>
      <c r="M27" s="117">
        <v>173614600</v>
      </c>
      <c r="N27" s="117">
        <v>1797</v>
      </c>
      <c r="O27" s="117">
        <v>0</v>
      </c>
      <c r="P27" s="117">
        <v>15823</v>
      </c>
      <c r="Q27" s="117">
        <v>1603273000</v>
      </c>
    </row>
    <row r="28" spans="1:17" x14ac:dyDescent="0.25">
      <c r="A28" s="117">
        <v>540017</v>
      </c>
      <c r="B28" s="2" t="s">
        <v>126</v>
      </c>
      <c r="C28" s="2" t="s">
        <v>13</v>
      </c>
      <c r="D28" s="2" t="s">
        <v>115</v>
      </c>
      <c r="E28" s="117">
        <v>2</v>
      </c>
      <c r="F28" s="117">
        <v>0</v>
      </c>
      <c r="G28" s="117">
        <v>0</v>
      </c>
      <c r="H28" s="117">
        <v>16</v>
      </c>
      <c r="I28" s="117">
        <v>4254700</v>
      </c>
      <c r="J28" s="117">
        <v>0</v>
      </c>
      <c r="K28" s="117">
        <v>0</v>
      </c>
      <c r="L28" s="117">
        <v>66</v>
      </c>
      <c r="M28" s="117">
        <v>10439200</v>
      </c>
      <c r="N28" s="117">
        <v>41</v>
      </c>
      <c r="O28" s="117">
        <v>0</v>
      </c>
      <c r="P28" s="117">
        <v>1441</v>
      </c>
      <c r="Q28" s="117">
        <v>249592600</v>
      </c>
    </row>
    <row r="29" spans="1:17" x14ac:dyDescent="0.25">
      <c r="A29" s="117">
        <v>540018</v>
      </c>
      <c r="B29" s="2" t="s">
        <v>127</v>
      </c>
      <c r="C29" s="2" t="s">
        <v>13</v>
      </c>
      <c r="D29" s="2" t="s">
        <v>115</v>
      </c>
      <c r="E29" s="117">
        <v>2</v>
      </c>
      <c r="F29" s="117">
        <v>0</v>
      </c>
      <c r="G29" s="117">
        <v>0</v>
      </c>
      <c r="H29" s="117">
        <v>157</v>
      </c>
      <c r="I29" s="117">
        <v>9305900</v>
      </c>
      <c r="J29" s="117">
        <v>2</v>
      </c>
      <c r="K29" s="117">
        <v>0</v>
      </c>
      <c r="L29" s="117">
        <v>1097</v>
      </c>
      <c r="M29" s="117">
        <v>86259200</v>
      </c>
      <c r="N29" s="117">
        <v>545</v>
      </c>
      <c r="O29" s="117">
        <v>0</v>
      </c>
      <c r="P29" s="117">
        <v>18918</v>
      </c>
      <c r="Q29" s="117">
        <v>2328986200</v>
      </c>
    </row>
    <row r="30" spans="1:17" x14ac:dyDescent="0.25">
      <c r="A30" s="117">
        <v>540019</v>
      </c>
      <c r="B30" s="2" t="s">
        <v>128</v>
      </c>
      <c r="C30" s="2" t="s">
        <v>13</v>
      </c>
      <c r="D30" s="2" t="s">
        <v>115</v>
      </c>
      <c r="E30" s="117">
        <v>2</v>
      </c>
      <c r="F30" s="117">
        <v>0</v>
      </c>
      <c r="G30" s="117">
        <v>0</v>
      </c>
      <c r="H30" s="117">
        <v>1</v>
      </c>
      <c r="I30" s="117">
        <v>27000</v>
      </c>
      <c r="J30" s="117">
        <v>0</v>
      </c>
      <c r="K30" s="117">
        <v>0</v>
      </c>
      <c r="L30" s="117">
        <v>24</v>
      </c>
      <c r="M30" s="117">
        <v>2203100</v>
      </c>
      <c r="N30" s="117">
        <v>415</v>
      </c>
      <c r="O30" s="117">
        <v>0</v>
      </c>
      <c r="P30" s="117">
        <v>683</v>
      </c>
      <c r="Q30" s="117">
        <v>86198600</v>
      </c>
    </row>
    <row r="31" spans="1:17" x14ac:dyDescent="0.25">
      <c r="A31" s="269"/>
      <c r="B31" s="269"/>
      <c r="C31" s="269" t="s">
        <v>13</v>
      </c>
      <c r="D31" s="269"/>
      <c r="E31" s="269"/>
      <c r="F31" s="270">
        <v>0</v>
      </c>
      <c r="G31" s="270">
        <v>0</v>
      </c>
      <c r="H31" s="270">
        <v>688</v>
      </c>
      <c r="I31" s="270">
        <v>39954200</v>
      </c>
      <c r="J31" s="270">
        <v>13</v>
      </c>
      <c r="K31" s="270">
        <v>0</v>
      </c>
      <c r="L31" s="270">
        <v>3553</v>
      </c>
      <c r="M31" s="270">
        <v>272516100</v>
      </c>
      <c r="N31" s="270">
        <v>2798</v>
      </c>
      <c r="O31" s="270">
        <v>0</v>
      </c>
      <c r="P31" s="270">
        <v>36865</v>
      </c>
      <c r="Q31" s="270">
        <v>4268050400</v>
      </c>
    </row>
    <row r="32" spans="1:17" x14ac:dyDescent="0.25">
      <c r="A32" s="117">
        <v>540020</v>
      </c>
      <c r="B32" s="2" t="s">
        <v>14</v>
      </c>
      <c r="C32" s="2" t="s">
        <v>15</v>
      </c>
      <c r="D32" s="2" t="s">
        <v>5</v>
      </c>
      <c r="E32" s="117">
        <v>5</v>
      </c>
      <c r="F32" s="117">
        <v>0</v>
      </c>
      <c r="G32" s="117">
        <v>0</v>
      </c>
      <c r="H32" s="117">
        <v>91</v>
      </c>
      <c r="I32" s="117">
        <v>2640320</v>
      </c>
      <c r="J32" s="117">
        <v>15</v>
      </c>
      <c r="K32" s="117">
        <v>0</v>
      </c>
      <c r="L32" s="117">
        <v>1073</v>
      </c>
      <c r="M32" s="117">
        <v>33907976</v>
      </c>
      <c r="N32" s="117">
        <v>458</v>
      </c>
      <c r="O32" s="117">
        <v>0</v>
      </c>
      <c r="P32" s="117">
        <v>4164</v>
      </c>
      <c r="Q32" s="117">
        <v>146776632</v>
      </c>
    </row>
    <row r="33" spans="1:17" x14ac:dyDescent="0.25">
      <c r="A33" s="117">
        <v>540021</v>
      </c>
      <c r="B33" s="2" t="s">
        <v>129</v>
      </c>
      <c r="C33" s="2" t="s">
        <v>15</v>
      </c>
      <c r="D33" s="2" t="s">
        <v>115</v>
      </c>
      <c r="E33" s="117">
        <v>5</v>
      </c>
      <c r="F33" s="117">
        <v>0</v>
      </c>
      <c r="G33" s="117">
        <v>0</v>
      </c>
      <c r="H33" s="117">
        <v>0</v>
      </c>
      <c r="I33" s="117">
        <v>0</v>
      </c>
      <c r="J33" s="117">
        <v>0</v>
      </c>
      <c r="K33" s="117">
        <v>0</v>
      </c>
      <c r="L33" s="117">
        <v>22</v>
      </c>
      <c r="M33" s="117">
        <v>742300</v>
      </c>
      <c r="N33" s="117">
        <v>130</v>
      </c>
      <c r="O33" s="117">
        <v>0</v>
      </c>
      <c r="P33" s="117">
        <v>296</v>
      </c>
      <c r="Q33" s="117">
        <v>12090400</v>
      </c>
    </row>
    <row r="34" spans="1:17" x14ac:dyDescent="0.25">
      <c r="A34" s="269"/>
      <c r="B34" s="269"/>
      <c r="C34" s="269" t="s">
        <v>15</v>
      </c>
      <c r="D34" s="269"/>
      <c r="E34" s="269"/>
      <c r="F34" s="270">
        <v>0</v>
      </c>
      <c r="G34" s="270">
        <v>0</v>
      </c>
      <c r="H34" s="270">
        <v>91</v>
      </c>
      <c r="I34" s="270">
        <v>2640320</v>
      </c>
      <c r="J34" s="270">
        <v>15</v>
      </c>
      <c r="K34" s="270">
        <v>0</v>
      </c>
      <c r="L34" s="270">
        <v>1095</v>
      </c>
      <c r="M34" s="270">
        <v>34650276</v>
      </c>
      <c r="N34" s="270">
        <v>588</v>
      </c>
      <c r="O34" s="270">
        <v>0</v>
      </c>
      <c r="P34" s="270">
        <v>4460</v>
      </c>
      <c r="Q34" s="270">
        <v>158867032</v>
      </c>
    </row>
    <row r="35" spans="1:17" x14ac:dyDescent="0.25">
      <c r="A35" s="117">
        <v>540022</v>
      </c>
      <c r="B35" s="2" t="s">
        <v>16</v>
      </c>
      <c r="C35" s="2" t="s">
        <v>17</v>
      </c>
      <c r="D35" s="2" t="s">
        <v>5</v>
      </c>
      <c r="E35" s="117">
        <v>3</v>
      </c>
      <c r="F35" s="117">
        <v>0</v>
      </c>
      <c r="G35" s="117">
        <v>0</v>
      </c>
      <c r="H35" s="117">
        <v>199</v>
      </c>
      <c r="I35" s="117">
        <v>4759500</v>
      </c>
      <c r="J35" s="117">
        <v>33</v>
      </c>
      <c r="K35" s="117">
        <v>0</v>
      </c>
      <c r="L35" s="117">
        <v>1294</v>
      </c>
      <c r="M35" s="117">
        <v>34729000</v>
      </c>
      <c r="N35" s="117">
        <v>913</v>
      </c>
      <c r="O35" s="117">
        <v>0</v>
      </c>
      <c r="P35" s="117">
        <v>4528</v>
      </c>
      <c r="Q35" s="117">
        <v>119948100</v>
      </c>
    </row>
    <row r="36" spans="1:17" x14ac:dyDescent="0.25">
      <c r="A36" s="117">
        <v>540023</v>
      </c>
      <c r="B36" s="2" t="s">
        <v>130</v>
      </c>
      <c r="C36" s="2" t="s">
        <v>17</v>
      </c>
      <c r="D36" s="2" t="s">
        <v>115</v>
      </c>
      <c r="E36" s="117">
        <v>3</v>
      </c>
      <c r="F36" s="117">
        <v>0</v>
      </c>
      <c r="G36" s="117">
        <v>0</v>
      </c>
      <c r="H36" s="117">
        <v>2</v>
      </c>
      <c r="I36" s="117">
        <v>54100</v>
      </c>
      <c r="J36" s="117">
        <v>3</v>
      </c>
      <c r="K36" s="117">
        <v>0</v>
      </c>
      <c r="L36" s="117">
        <v>77</v>
      </c>
      <c r="M36" s="117">
        <v>2247800</v>
      </c>
      <c r="N36" s="117">
        <v>54</v>
      </c>
      <c r="O36" s="117">
        <v>0</v>
      </c>
      <c r="P36" s="117">
        <v>216</v>
      </c>
      <c r="Q36" s="117">
        <v>10353200</v>
      </c>
    </row>
    <row r="37" spans="1:17" x14ac:dyDescent="0.25">
      <c r="A37" s="269"/>
      <c r="B37" s="269"/>
      <c r="C37" s="269" t="s">
        <v>17</v>
      </c>
      <c r="D37" s="269"/>
      <c r="E37" s="269"/>
      <c r="F37" s="270">
        <v>0</v>
      </c>
      <c r="G37" s="270">
        <v>0</v>
      </c>
      <c r="H37" s="270">
        <v>201</v>
      </c>
      <c r="I37" s="270">
        <v>4813600</v>
      </c>
      <c r="J37" s="270">
        <v>36</v>
      </c>
      <c r="K37" s="270">
        <v>0</v>
      </c>
      <c r="L37" s="270">
        <v>1371</v>
      </c>
      <c r="M37" s="270">
        <v>36976800</v>
      </c>
      <c r="N37" s="270">
        <v>967</v>
      </c>
      <c r="O37" s="270">
        <v>0</v>
      </c>
      <c r="P37" s="270">
        <v>4744</v>
      </c>
      <c r="Q37" s="270">
        <v>130301300</v>
      </c>
    </row>
    <row r="38" spans="1:17" x14ac:dyDescent="0.25">
      <c r="A38" s="117">
        <v>540024</v>
      </c>
      <c r="B38" s="2" t="s">
        <v>18</v>
      </c>
      <c r="C38" s="2" t="s">
        <v>19</v>
      </c>
      <c r="D38" s="2" t="s">
        <v>5</v>
      </c>
      <c r="E38" s="117">
        <v>6</v>
      </c>
      <c r="F38" s="117">
        <v>0</v>
      </c>
      <c r="G38" s="117">
        <v>0</v>
      </c>
      <c r="H38" s="117">
        <v>99</v>
      </c>
      <c r="I38" s="117">
        <v>4251400</v>
      </c>
      <c r="J38" s="117">
        <v>5</v>
      </c>
      <c r="K38" s="117">
        <v>0</v>
      </c>
      <c r="L38" s="117">
        <v>1102</v>
      </c>
      <c r="M38" s="117">
        <v>54503400</v>
      </c>
      <c r="N38" s="117">
        <v>726</v>
      </c>
      <c r="O38" s="117">
        <v>0</v>
      </c>
      <c r="P38" s="117">
        <v>4017</v>
      </c>
      <c r="Q38" s="117">
        <v>216181100</v>
      </c>
    </row>
    <row r="39" spans="1:17" x14ac:dyDescent="0.25">
      <c r="A39" s="117">
        <v>540025</v>
      </c>
      <c r="B39" s="2" t="s">
        <v>131</v>
      </c>
      <c r="C39" s="2" t="s">
        <v>19</v>
      </c>
      <c r="D39" s="2" t="s">
        <v>115</v>
      </c>
      <c r="E39" s="117">
        <v>6</v>
      </c>
      <c r="F39" s="117">
        <v>0</v>
      </c>
      <c r="G39" s="117">
        <v>0</v>
      </c>
      <c r="H39" s="117">
        <v>3</v>
      </c>
      <c r="I39" s="117">
        <v>30000</v>
      </c>
      <c r="J39" s="117">
        <v>0</v>
      </c>
      <c r="K39" s="117">
        <v>0</v>
      </c>
      <c r="L39" s="117">
        <v>57</v>
      </c>
      <c r="M39" s="117">
        <v>763500</v>
      </c>
      <c r="N39" s="117">
        <v>17</v>
      </c>
      <c r="O39" s="117">
        <v>0</v>
      </c>
      <c r="P39" s="117">
        <v>540</v>
      </c>
      <c r="Q39" s="117">
        <v>31311800</v>
      </c>
    </row>
    <row r="40" spans="1:17" x14ac:dyDescent="0.25">
      <c r="A40" s="269"/>
      <c r="B40" s="269"/>
      <c r="C40" s="269" t="s">
        <v>19</v>
      </c>
      <c r="D40" s="269"/>
      <c r="E40" s="269"/>
      <c r="F40" s="270">
        <v>0</v>
      </c>
      <c r="G40" s="270">
        <v>0</v>
      </c>
      <c r="H40" s="270">
        <v>102</v>
      </c>
      <c r="I40" s="270">
        <v>4281400</v>
      </c>
      <c r="J40" s="270">
        <v>5</v>
      </c>
      <c r="K40" s="270">
        <v>0</v>
      </c>
      <c r="L40" s="270">
        <v>1159</v>
      </c>
      <c r="M40" s="270">
        <v>55266900</v>
      </c>
      <c r="N40" s="270">
        <v>743</v>
      </c>
      <c r="O40" s="270">
        <v>0</v>
      </c>
      <c r="P40" s="270">
        <v>4557</v>
      </c>
      <c r="Q40" s="270">
        <v>247492900</v>
      </c>
    </row>
    <row r="41" spans="1:17" x14ac:dyDescent="0.25">
      <c r="A41" s="117">
        <v>540035</v>
      </c>
      <c r="B41" s="2" t="s">
        <v>22</v>
      </c>
      <c r="C41" s="2" t="s">
        <v>23</v>
      </c>
      <c r="D41" s="2" t="s">
        <v>5</v>
      </c>
      <c r="E41" s="117">
        <v>7</v>
      </c>
      <c r="F41" s="117">
        <v>0</v>
      </c>
      <c r="G41" s="117">
        <v>0</v>
      </c>
      <c r="H41" s="117">
        <v>112</v>
      </c>
      <c r="I41" s="117">
        <v>3283500</v>
      </c>
      <c r="J41" s="117">
        <v>0</v>
      </c>
      <c r="K41" s="117">
        <v>0</v>
      </c>
      <c r="L41" s="117">
        <v>993</v>
      </c>
      <c r="M41" s="117">
        <v>31340300</v>
      </c>
      <c r="N41" s="117">
        <v>352</v>
      </c>
      <c r="O41" s="117">
        <v>0</v>
      </c>
      <c r="P41" s="117">
        <v>3536</v>
      </c>
      <c r="Q41" s="117">
        <v>130721100</v>
      </c>
    </row>
    <row r="42" spans="1:17" x14ac:dyDescent="0.25">
      <c r="A42" s="117">
        <v>540036</v>
      </c>
      <c r="B42" s="2" t="s">
        <v>139</v>
      </c>
      <c r="C42" s="2" t="s">
        <v>23</v>
      </c>
      <c r="D42" s="2" t="s">
        <v>115</v>
      </c>
      <c r="E42" s="117">
        <v>7</v>
      </c>
      <c r="F42" s="117">
        <v>0</v>
      </c>
      <c r="G42" s="117">
        <v>0</v>
      </c>
      <c r="H42" s="117">
        <v>4</v>
      </c>
      <c r="I42" s="117">
        <v>144900</v>
      </c>
      <c r="J42" s="117">
        <v>2</v>
      </c>
      <c r="K42" s="117">
        <v>0</v>
      </c>
      <c r="L42" s="117">
        <v>71</v>
      </c>
      <c r="M42" s="117">
        <v>1468800</v>
      </c>
      <c r="N42" s="117">
        <v>125</v>
      </c>
      <c r="O42" s="117">
        <v>0</v>
      </c>
      <c r="P42" s="117">
        <v>496</v>
      </c>
      <c r="Q42" s="117">
        <v>44130700</v>
      </c>
    </row>
    <row r="43" spans="1:17" x14ac:dyDescent="0.25">
      <c r="A43" s="117">
        <v>540037</v>
      </c>
      <c r="B43" s="2" t="s">
        <v>140</v>
      </c>
      <c r="C43" s="2" t="s">
        <v>23</v>
      </c>
      <c r="D43" s="2" t="s">
        <v>115</v>
      </c>
      <c r="E43" s="117">
        <v>7</v>
      </c>
      <c r="F43" s="117">
        <v>0</v>
      </c>
      <c r="G43" s="117">
        <v>0</v>
      </c>
      <c r="H43" s="117">
        <v>0</v>
      </c>
      <c r="I43" s="117">
        <v>0</v>
      </c>
      <c r="J43" s="117">
        <v>0</v>
      </c>
      <c r="K43" s="117">
        <v>0</v>
      </c>
      <c r="L43" s="117">
        <v>4</v>
      </c>
      <c r="M43" s="117">
        <v>13300</v>
      </c>
      <c r="N43" s="117">
        <v>18</v>
      </c>
      <c r="O43" s="117">
        <v>0</v>
      </c>
      <c r="P43" s="117">
        <v>96</v>
      </c>
      <c r="Q43" s="117">
        <v>4005600</v>
      </c>
    </row>
    <row r="44" spans="1:17" x14ac:dyDescent="0.25">
      <c r="A44" s="269"/>
      <c r="B44" s="269"/>
      <c r="C44" s="269" t="s">
        <v>23</v>
      </c>
      <c r="D44" s="269"/>
      <c r="E44" s="269"/>
      <c r="F44" s="270">
        <v>0</v>
      </c>
      <c r="G44" s="270">
        <v>0</v>
      </c>
      <c r="H44" s="270">
        <v>116</v>
      </c>
      <c r="I44" s="270">
        <v>3428400</v>
      </c>
      <c r="J44" s="270">
        <v>2</v>
      </c>
      <c r="K44" s="270">
        <v>0</v>
      </c>
      <c r="L44" s="270">
        <v>1068</v>
      </c>
      <c r="M44" s="270">
        <v>32822400</v>
      </c>
      <c r="N44" s="270">
        <v>495</v>
      </c>
      <c r="O44" s="270">
        <v>0</v>
      </c>
      <c r="P44" s="270">
        <v>4128</v>
      </c>
      <c r="Q44" s="270">
        <v>178857400</v>
      </c>
    </row>
    <row r="45" spans="1:17" x14ac:dyDescent="0.25">
      <c r="A45" s="117">
        <v>540038</v>
      </c>
      <c r="B45" s="2" t="s">
        <v>24</v>
      </c>
      <c r="C45" s="2" t="s">
        <v>25</v>
      </c>
      <c r="D45" s="2" t="s">
        <v>5</v>
      </c>
      <c r="E45" s="117">
        <v>8</v>
      </c>
      <c r="F45" s="117">
        <v>0</v>
      </c>
      <c r="G45" s="117">
        <v>0</v>
      </c>
      <c r="H45" s="117">
        <v>209</v>
      </c>
      <c r="I45" s="117">
        <v>10394400</v>
      </c>
      <c r="J45" s="117">
        <v>1</v>
      </c>
      <c r="K45" s="117">
        <v>0</v>
      </c>
      <c r="L45" s="117">
        <v>1122</v>
      </c>
      <c r="M45" s="117">
        <v>59358200</v>
      </c>
      <c r="N45" s="117">
        <v>270</v>
      </c>
      <c r="O45" s="117">
        <v>0</v>
      </c>
      <c r="P45" s="117">
        <v>7447</v>
      </c>
      <c r="Q45" s="117">
        <v>410996900</v>
      </c>
    </row>
    <row r="46" spans="1:17" x14ac:dyDescent="0.25">
      <c r="A46" s="117">
        <v>540039</v>
      </c>
      <c r="B46" s="2" t="s">
        <v>141</v>
      </c>
      <c r="C46" s="2" t="s">
        <v>25</v>
      </c>
      <c r="D46" s="2" t="s">
        <v>115</v>
      </c>
      <c r="E46" s="117">
        <v>8</v>
      </c>
      <c r="F46" s="117">
        <v>0</v>
      </c>
      <c r="G46" s="117">
        <v>0</v>
      </c>
      <c r="H46" s="117">
        <v>8</v>
      </c>
      <c r="I46" s="117">
        <v>411900</v>
      </c>
      <c r="J46" s="117">
        <v>3</v>
      </c>
      <c r="K46" s="117">
        <v>0</v>
      </c>
      <c r="L46" s="117">
        <v>23</v>
      </c>
      <c r="M46" s="117">
        <v>2017200</v>
      </c>
      <c r="N46" s="117">
        <v>19</v>
      </c>
      <c r="O46" s="117">
        <v>0</v>
      </c>
      <c r="P46" s="117">
        <v>1431</v>
      </c>
      <c r="Q46" s="117">
        <v>130225400</v>
      </c>
    </row>
    <row r="47" spans="1:17" x14ac:dyDescent="0.25">
      <c r="A47" s="117">
        <v>540240</v>
      </c>
      <c r="B47" s="2" t="s">
        <v>287</v>
      </c>
      <c r="C47" s="2" t="s">
        <v>25</v>
      </c>
      <c r="D47" s="2" t="s">
        <v>115</v>
      </c>
      <c r="E47" s="117">
        <v>8</v>
      </c>
      <c r="F47" s="117">
        <v>0</v>
      </c>
      <c r="G47" s="117">
        <v>0</v>
      </c>
      <c r="H47" s="117">
        <v>8</v>
      </c>
      <c r="I47" s="117">
        <v>46300</v>
      </c>
      <c r="J47" s="117">
        <v>0</v>
      </c>
      <c r="K47" s="117">
        <v>0</v>
      </c>
      <c r="L47" s="117">
        <v>34</v>
      </c>
      <c r="M47" s="117">
        <v>73700</v>
      </c>
      <c r="N47" s="117">
        <v>21</v>
      </c>
      <c r="O47" s="117">
        <v>0</v>
      </c>
      <c r="P47" s="117">
        <v>420</v>
      </c>
      <c r="Q47" s="117">
        <v>5183100</v>
      </c>
    </row>
    <row r="48" spans="1:17" x14ac:dyDescent="0.25">
      <c r="A48" s="269"/>
      <c r="B48" s="269"/>
      <c r="C48" s="269" t="s">
        <v>25</v>
      </c>
      <c r="D48" s="269"/>
      <c r="E48" s="269"/>
      <c r="F48" s="270">
        <v>0</v>
      </c>
      <c r="G48" s="270">
        <v>0</v>
      </c>
      <c r="H48" s="270">
        <v>225</v>
      </c>
      <c r="I48" s="270">
        <v>10852600</v>
      </c>
      <c r="J48" s="270">
        <v>4</v>
      </c>
      <c r="K48" s="270">
        <v>0</v>
      </c>
      <c r="L48" s="270">
        <v>1179</v>
      </c>
      <c r="M48" s="270">
        <v>61449100</v>
      </c>
      <c r="N48" s="270">
        <v>310</v>
      </c>
      <c r="O48" s="270">
        <v>0</v>
      </c>
      <c r="P48" s="270">
        <v>9298</v>
      </c>
      <c r="Q48" s="270">
        <v>546405400</v>
      </c>
    </row>
    <row r="49" spans="1:17" x14ac:dyDescent="0.25">
      <c r="A49" s="117">
        <v>540040</v>
      </c>
      <c r="B49" s="2" t="s">
        <v>26</v>
      </c>
      <c r="C49" s="2" t="s">
        <v>27</v>
      </c>
      <c r="D49" s="2" t="s">
        <v>5</v>
      </c>
      <c r="E49" s="117">
        <v>4</v>
      </c>
      <c r="F49" s="117">
        <v>0</v>
      </c>
      <c r="G49" s="117">
        <v>0</v>
      </c>
      <c r="H49" s="117">
        <v>353</v>
      </c>
      <c r="I49" s="117">
        <v>30976400</v>
      </c>
      <c r="J49" s="117">
        <v>6</v>
      </c>
      <c r="K49" s="117">
        <v>21035300</v>
      </c>
      <c r="L49" s="117">
        <v>1728</v>
      </c>
      <c r="M49" s="117">
        <v>201585500</v>
      </c>
      <c r="N49" s="117">
        <v>1100</v>
      </c>
      <c r="O49" s="117">
        <v>129866200</v>
      </c>
      <c r="P49" s="117">
        <v>14391</v>
      </c>
      <c r="Q49" s="117">
        <v>1341458900</v>
      </c>
    </row>
    <row r="50" spans="1:17" x14ac:dyDescent="0.25">
      <c r="A50" s="117">
        <v>540041</v>
      </c>
      <c r="B50" s="2" t="s">
        <v>142</v>
      </c>
      <c r="C50" s="2" t="s">
        <v>27</v>
      </c>
      <c r="D50" s="2" t="s">
        <v>115</v>
      </c>
      <c r="E50" s="117">
        <v>4</v>
      </c>
      <c r="F50" s="117">
        <v>0</v>
      </c>
      <c r="G50" s="117">
        <v>0</v>
      </c>
      <c r="H50" s="117">
        <v>0</v>
      </c>
      <c r="I50" s="117">
        <v>0</v>
      </c>
      <c r="J50" s="117">
        <v>0</v>
      </c>
      <c r="K50" s="117">
        <v>0</v>
      </c>
      <c r="L50" s="117">
        <v>0</v>
      </c>
      <c r="M50" s="117">
        <v>0</v>
      </c>
      <c r="N50" s="117">
        <v>143</v>
      </c>
      <c r="O50" s="117">
        <v>6970600</v>
      </c>
      <c r="P50" s="117">
        <v>396</v>
      </c>
      <c r="Q50" s="117">
        <v>22763400</v>
      </c>
    </row>
    <row r="51" spans="1:17" x14ac:dyDescent="0.25">
      <c r="A51" s="117">
        <v>540043</v>
      </c>
      <c r="B51" s="2" t="s">
        <v>144</v>
      </c>
      <c r="C51" s="2" t="s">
        <v>27</v>
      </c>
      <c r="D51" s="2" t="s">
        <v>115</v>
      </c>
      <c r="E51" s="117">
        <v>4</v>
      </c>
      <c r="F51" s="117">
        <v>0</v>
      </c>
      <c r="G51" s="117">
        <v>0</v>
      </c>
      <c r="H51" s="117">
        <v>11</v>
      </c>
      <c r="I51" s="117">
        <v>152900</v>
      </c>
      <c r="J51" s="117">
        <v>0</v>
      </c>
      <c r="K51" s="117">
        <v>0</v>
      </c>
      <c r="L51" s="117">
        <v>125</v>
      </c>
      <c r="M51" s="117">
        <v>2498900</v>
      </c>
      <c r="N51" s="117">
        <v>71</v>
      </c>
      <c r="O51" s="117">
        <v>5474600</v>
      </c>
      <c r="P51" s="117">
        <v>1165</v>
      </c>
      <c r="Q51" s="117">
        <v>53751800</v>
      </c>
    </row>
    <row r="52" spans="1:17" x14ac:dyDescent="0.25">
      <c r="A52" s="117">
        <v>540044</v>
      </c>
      <c r="B52" s="2" t="s">
        <v>145</v>
      </c>
      <c r="C52" s="2" t="s">
        <v>27</v>
      </c>
      <c r="D52" s="2" t="s">
        <v>115</v>
      </c>
      <c r="E52" s="117">
        <v>4</v>
      </c>
      <c r="F52" s="117">
        <v>0</v>
      </c>
      <c r="G52" s="117">
        <v>0</v>
      </c>
      <c r="H52" s="117">
        <v>0</v>
      </c>
      <c r="I52" s="117">
        <v>0</v>
      </c>
      <c r="J52" s="117">
        <v>0</v>
      </c>
      <c r="K52" s="117">
        <v>0</v>
      </c>
      <c r="L52" s="117">
        <v>3</v>
      </c>
      <c r="M52" s="117">
        <v>71700</v>
      </c>
      <c r="N52" s="117">
        <v>26</v>
      </c>
      <c r="O52" s="117">
        <v>1749400</v>
      </c>
      <c r="P52" s="117">
        <v>620</v>
      </c>
      <c r="Q52" s="117">
        <v>26903700</v>
      </c>
    </row>
    <row r="53" spans="1:17" x14ac:dyDescent="0.25">
      <c r="A53" s="117">
        <v>540045</v>
      </c>
      <c r="B53" s="2" t="s">
        <v>146</v>
      </c>
      <c r="C53" s="2" t="s">
        <v>27</v>
      </c>
      <c r="D53" s="2" t="s">
        <v>115</v>
      </c>
      <c r="E53" s="117">
        <v>4</v>
      </c>
      <c r="F53" s="117">
        <v>0</v>
      </c>
      <c r="G53" s="117">
        <v>0</v>
      </c>
      <c r="H53" s="117">
        <v>14</v>
      </c>
      <c r="I53" s="117">
        <v>381900</v>
      </c>
      <c r="J53" s="117">
        <v>0</v>
      </c>
      <c r="K53" s="117">
        <v>0</v>
      </c>
      <c r="L53" s="117">
        <v>61</v>
      </c>
      <c r="M53" s="117">
        <v>3517300</v>
      </c>
      <c r="N53" s="117">
        <v>450</v>
      </c>
      <c r="O53" s="117">
        <v>29394900</v>
      </c>
      <c r="P53" s="117">
        <v>968</v>
      </c>
      <c r="Q53" s="117">
        <v>61018500</v>
      </c>
    </row>
    <row r="54" spans="1:17" x14ac:dyDescent="0.25">
      <c r="A54" s="117">
        <v>540228</v>
      </c>
      <c r="B54" s="2" t="s">
        <v>278</v>
      </c>
      <c r="C54" s="2" t="s">
        <v>27</v>
      </c>
      <c r="D54" s="2" t="s">
        <v>115</v>
      </c>
      <c r="E54" s="117">
        <v>4</v>
      </c>
      <c r="F54" s="117">
        <v>0</v>
      </c>
      <c r="G54" s="117">
        <v>0</v>
      </c>
      <c r="H54" s="117">
        <v>3</v>
      </c>
      <c r="I54" s="117">
        <v>118100</v>
      </c>
      <c r="J54" s="117">
        <v>0</v>
      </c>
      <c r="K54" s="117">
        <v>0</v>
      </c>
      <c r="L54" s="117">
        <v>18</v>
      </c>
      <c r="M54" s="117">
        <v>252300</v>
      </c>
      <c r="N54" s="117">
        <v>348</v>
      </c>
      <c r="O54" s="117">
        <v>12627500</v>
      </c>
      <c r="P54" s="117">
        <v>419</v>
      </c>
      <c r="Q54" s="117">
        <v>17483200</v>
      </c>
    </row>
    <row r="55" spans="1:17" x14ac:dyDescent="0.25">
      <c r="A55" s="117">
        <v>540243</v>
      </c>
      <c r="B55" s="2" t="s">
        <v>290</v>
      </c>
      <c r="C55" s="2" t="s">
        <v>27</v>
      </c>
      <c r="D55" s="2" t="s">
        <v>115</v>
      </c>
      <c r="E55" s="117">
        <v>4</v>
      </c>
      <c r="F55" s="117">
        <v>0</v>
      </c>
      <c r="G55" s="117">
        <v>0</v>
      </c>
      <c r="H55" s="117">
        <v>1</v>
      </c>
      <c r="I55" s="117">
        <v>1600</v>
      </c>
      <c r="J55" s="117">
        <v>0</v>
      </c>
      <c r="K55" s="117">
        <v>0</v>
      </c>
      <c r="L55" s="117">
        <v>6</v>
      </c>
      <c r="M55" s="117">
        <v>145100</v>
      </c>
      <c r="N55" s="117">
        <v>3</v>
      </c>
      <c r="O55" s="117">
        <v>152100</v>
      </c>
      <c r="P55" s="117">
        <v>188</v>
      </c>
      <c r="Q55" s="117">
        <v>5687000</v>
      </c>
    </row>
    <row r="56" spans="1:17" x14ac:dyDescent="0.25">
      <c r="A56" s="117">
        <v>540244</v>
      </c>
      <c r="B56" s="2" t="s">
        <v>291</v>
      </c>
      <c r="C56" s="2" t="s">
        <v>27</v>
      </c>
      <c r="D56" s="2" t="s">
        <v>115</v>
      </c>
      <c r="E56" s="117">
        <v>4</v>
      </c>
      <c r="F56" s="117">
        <v>0</v>
      </c>
      <c r="G56" s="117">
        <v>0</v>
      </c>
      <c r="H56" s="117">
        <v>2</v>
      </c>
      <c r="I56" s="117">
        <v>18500</v>
      </c>
      <c r="J56" s="117">
        <v>0</v>
      </c>
      <c r="K56" s="117">
        <v>0</v>
      </c>
      <c r="L56" s="117">
        <v>16</v>
      </c>
      <c r="M56" s="117">
        <v>187500</v>
      </c>
      <c r="N56" s="117">
        <v>0</v>
      </c>
      <c r="O56" s="117">
        <v>0</v>
      </c>
      <c r="P56" s="117">
        <v>292</v>
      </c>
      <c r="Q56" s="117">
        <v>5647200</v>
      </c>
    </row>
    <row r="57" spans="1:17" x14ac:dyDescent="0.25">
      <c r="A57" s="117">
        <v>540281</v>
      </c>
      <c r="B57" s="2" t="s">
        <v>322</v>
      </c>
      <c r="C57" s="2" t="s">
        <v>27</v>
      </c>
      <c r="D57" s="2" t="s">
        <v>115</v>
      </c>
      <c r="E57" s="117">
        <v>4</v>
      </c>
      <c r="F57" s="117">
        <v>0</v>
      </c>
      <c r="G57" s="117">
        <v>0</v>
      </c>
      <c r="H57" s="117">
        <v>0</v>
      </c>
      <c r="I57" s="117">
        <v>0</v>
      </c>
      <c r="J57" s="117">
        <v>0</v>
      </c>
      <c r="K57" s="117">
        <v>0</v>
      </c>
      <c r="L57" s="117">
        <v>21</v>
      </c>
      <c r="M57" s="117">
        <v>3031500</v>
      </c>
      <c r="N57" s="117">
        <v>0</v>
      </c>
      <c r="O57" s="117">
        <v>0</v>
      </c>
      <c r="P57" s="117">
        <v>2282</v>
      </c>
      <c r="Q57" s="117">
        <v>381179700</v>
      </c>
    </row>
    <row r="58" spans="1:17" x14ac:dyDescent="0.25">
      <c r="A58" s="269"/>
      <c r="B58" s="269"/>
      <c r="C58" s="269" t="s">
        <v>27</v>
      </c>
      <c r="D58" s="269"/>
      <c r="E58" s="269"/>
      <c r="F58" s="270">
        <v>0</v>
      </c>
      <c r="G58" s="270">
        <v>0</v>
      </c>
      <c r="H58" s="270">
        <v>384</v>
      </c>
      <c r="I58" s="270">
        <v>31649400</v>
      </c>
      <c r="J58" s="270">
        <v>6</v>
      </c>
      <c r="K58" s="270">
        <v>21035300</v>
      </c>
      <c r="L58" s="270">
        <v>1978</v>
      </c>
      <c r="M58" s="270">
        <v>211289800</v>
      </c>
      <c r="N58" s="270">
        <v>2141</v>
      </c>
      <c r="O58" s="270">
        <v>186235300</v>
      </c>
      <c r="P58" s="270">
        <v>20721</v>
      </c>
      <c r="Q58" s="270">
        <v>1915893400</v>
      </c>
    </row>
    <row r="59" spans="1:17" x14ac:dyDescent="0.25">
      <c r="A59" s="117">
        <v>540047</v>
      </c>
      <c r="B59" s="2" t="s">
        <v>28</v>
      </c>
      <c r="C59" s="2" t="s">
        <v>29</v>
      </c>
      <c r="D59" s="2" t="s">
        <v>5</v>
      </c>
      <c r="E59" s="117">
        <v>11</v>
      </c>
      <c r="F59" s="117">
        <v>0</v>
      </c>
      <c r="G59" s="117">
        <v>0</v>
      </c>
      <c r="H59" s="117">
        <v>43</v>
      </c>
      <c r="I59" s="117">
        <v>938400</v>
      </c>
      <c r="J59" s="117">
        <v>2</v>
      </c>
      <c r="K59" s="117">
        <v>28200</v>
      </c>
      <c r="L59" s="117">
        <v>467</v>
      </c>
      <c r="M59" s="117">
        <v>19317300</v>
      </c>
      <c r="N59" s="117">
        <v>198</v>
      </c>
      <c r="O59" s="117">
        <v>29262800</v>
      </c>
      <c r="P59" s="117">
        <v>6941</v>
      </c>
      <c r="Q59" s="117">
        <v>408185300</v>
      </c>
    </row>
    <row r="60" spans="1:17" x14ac:dyDescent="0.25">
      <c r="A60" s="117">
        <v>540014</v>
      </c>
      <c r="B60" s="2" t="s">
        <v>124</v>
      </c>
      <c r="C60" s="2" t="s">
        <v>29</v>
      </c>
      <c r="D60" s="2" t="s">
        <v>115</v>
      </c>
      <c r="E60" s="117">
        <v>11</v>
      </c>
      <c r="F60" s="117">
        <v>0</v>
      </c>
      <c r="G60" s="117">
        <v>0</v>
      </c>
      <c r="H60" s="117">
        <v>58</v>
      </c>
      <c r="I60" s="117">
        <v>1414300</v>
      </c>
      <c r="J60" s="117">
        <v>1</v>
      </c>
      <c r="K60" s="117">
        <v>339000</v>
      </c>
      <c r="L60" s="117">
        <v>813</v>
      </c>
      <c r="M60" s="117">
        <v>35901427</v>
      </c>
      <c r="N60" s="117">
        <v>117</v>
      </c>
      <c r="O60" s="117">
        <v>17615300</v>
      </c>
      <c r="P60" s="117">
        <v>8607</v>
      </c>
      <c r="Q60" s="117">
        <v>630824551</v>
      </c>
    </row>
    <row r="61" spans="1:17" x14ac:dyDescent="0.25">
      <c r="A61" s="117">
        <v>540048</v>
      </c>
      <c r="B61" s="2" t="s">
        <v>148</v>
      </c>
      <c r="C61" s="2" t="s">
        <v>29</v>
      </c>
      <c r="D61" s="2" t="s">
        <v>115</v>
      </c>
      <c r="E61" s="117">
        <v>11</v>
      </c>
      <c r="F61" s="117">
        <v>0</v>
      </c>
      <c r="G61" s="117">
        <v>0</v>
      </c>
      <c r="H61" s="117">
        <v>5</v>
      </c>
      <c r="I61" s="117">
        <v>5400</v>
      </c>
      <c r="J61" s="117">
        <v>0</v>
      </c>
      <c r="K61" s="117">
        <v>0</v>
      </c>
      <c r="L61" s="117">
        <v>124</v>
      </c>
      <c r="M61" s="117">
        <v>1734600</v>
      </c>
      <c r="N61" s="117">
        <v>15</v>
      </c>
      <c r="O61" s="117">
        <v>2452400</v>
      </c>
      <c r="P61" s="117">
        <v>1566</v>
      </c>
      <c r="Q61" s="117">
        <v>79986800</v>
      </c>
    </row>
    <row r="62" spans="1:17" x14ac:dyDescent="0.25">
      <c r="A62" s="117">
        <v>540049</v>
      </c>
      <c r="B62" s="2" t="s">
        <v>149</v>
      </c>
      <c r="C62" s="2" t="s">
        <v>29</v>
      </c>
      <c r="D62" s="2" t="s">
        <v>115</v>
      </c>
      <c r="E62" s="117">
        <v>11</v>
      </c>
      <c r="F62" s="117">
        <v>0</v>
      </c>
      <c r="G62" s="117">
        <v>0</v>
      </c>
      <c r="H62" s="117">
        <v>5</v>
      </c>
      <c r="I62" s="117">
        <v>106800</v>
      </c>
      <c r="J62" s="117">
        <v>0</v>
      </c>
      <c r="K62" s="117">
        <v>0</v>
      </c>
      <c r="L62" s="117">
        <v>107</v>
      </c>
      <c r="M62" s="117">
        <v>1474500</v>
      </c>
      <c r="N62" s="117">
        <v>172</v>
      </c>
      <c r="O62" s="117">
        <v>8756600</v>
      </c>
      <c r="P62" s="117">
        <v>342</v>
      </c>
      <c r="Q62" s="117">
        <v>30095500</v>
      </c>
    </row>
    <row r="63" spans="1:17" x14ac:dyDescent="0.25">
      <c r="A63" s="269"/>
      <c r="B63" s="269"/>
      <c r="C63" s="269" t="s">
        <v>29</v>
      </c>
      <c r="D63" s="269"/>
      <c r="E63" s="269"/>
      <c r="F63" s="270">
        <v>0</v>
      </c>
      <c r="G63" s="270">
        <v>0</v>
      </c>
      <c r="H63" s="270">
        <v>111</v>
      </c>
      <c r="I63" s="270">
        <v>2464900</v>
      </c>
      <c r="J63" s="270">
        <v>3</v>
      </c>
      <c r="K63" s="270">
        <v>367200</v>
      </c>
      <c r="L63" s="270">
        <v>1511</v>
      </c>
      <c r="M63" s="270">
        <v>58427827</v>
      </c>
      <c r="N63" s="270">
        <v>502</v>
      </c>
      <c r="O63" s="270">
        <v>58087100</v>
      </c>
      <c r="P63" s="270">
        <v>17456</v>
      </c>
      <c r="Q63" s="270">
        <v>1149092151</v>
      </c>
    </row>
    <row r="64" spans="1:17" x14ac:dyDescent="0.25">
      <c r="A64" s="117">
        <v>540051</v>
      </c>
      <c r="B64" s="2" t="s">
        <v>30</v>
      </c>
      <c r="C64" s="2" t="s">
        <v>31</v>
      </c>
      <c r="D64" s="2" t="s">
        <v>5</v>
      </c>
      <c r="E64" s="117">
        <v>8</v>
      </c>
      <c r="F64" s="117">
        <v>1</v>
      </c>
      <c r="G64" s="117">
        <v>0</v>
      </c>
      <c r="H64" s="117">
        <v>276</v>
      </c>
      <c r="I64" s="117">
        <v>18051100</v>
      </c>
      <c r="J64" s="117">
        <v>12</v>
      </c>
      <c r="K64" s="117">
        <v>0</v>
      </c>
      <c r="L64" s="117">
        <v>1610</v>
      </c>
      <c r="M64" s="117">
        <v>107494400</v>
      </c>
      <c r="N64" s="117">
        <v>537</v>
      </c>
      <c r="O64" s="117">
        <v>0</v>
      </c>
      <c r="P64" s="117">
        <v>8180</v>
      </c>
      <c r="Q64" s="117">
        <v>609127600</v>
      </c>
    </row>
    <row r="65" spans="1:17" x14ac:dyDescent="0.25">
      <c r="A65" s="117">
        <v>540052</v>
      </c>
      <c r="B65" s="2" t="s">
        <v>151</v>
      </c>
      <c r="C65" s="2" t="s">
        <v>31</v>
      </c>
      <c r="D65" s="2" t="s">
        <v>115</v>
      </c>
      <c r="E65" s="117">
        <v>8</v>
      </c>
      <c r="F65" s="117">
        <v>0</v>
      </c>
      <c r="G65" s="117">
        <v>0</v>
      </c>
      <c r="H65" s="117">
        <v>3</v>
      </c>
      <c r="I65" s="117">
        <v>258200</v>
      </c>
      <c r="J65" s="117">
        <v>0</v>
      </c>
      <c r="K65" s="117">
        <v>0</v>
      </c>
      <c r="L65" s="117">
        <v>18</v>
      </c>
      <c r="M65" s="117">
        <v>975300</v>
      </c>
      <c r="N65" s="117">
        <v>81</v>
      </c>
      <c r="O65" s="117">
        <v>0</v>
      </c>
      <c r="P65" s="117">
        <v>1239</v>
      </c>
      <c r="Q65" s="117">
        <v>134541100</v>
      </c>
    </row>
    <row r="66" spans="1:17" x14ac:dyDescent="0.25">
      <c r="A66" s="117">
        <v>540245</v>
      </c>
      <c r="B66" s="2" t="s">
        <v>292</v>
      </c>
      <c r="C66" s="2" t="s">
        <v>31</v>
      </c>
      <c r="D66" s="2" t="s">
        <v>115</v>
      </c>
      <c r="E66" s="117">
        <v>8</v>
      </c>
      <c r="F66" s="117">
        <v>0</v>
      </c>
      <c r="G66" s="117">
        <v>0</v>
      </c>
      <c r="H66" s="117">
        <v>0</v>
      </c>
      <c r="I66" s="117">
        <v>0</v>
      </c>
      <c r="J66" s="117">
        <v>1</v>
      </c>
      <c r="K66" s="117">
        <v>0</v>
      </c>
      <c r="L66" s="117">
        <v>0</v>
      </c>
      <c r="M66" s="117">
        <v>0</v>
      </c>
      <c r="N66" s="117">
        <v>1</v>
      </c>
      <c r="O66" s="117">
        <v>0</v>
      </c>
      <c r="P66" s="117">
        <v>299</v>
      </c>
      <c r="Q66" s="117">
        <v>17032700</v>
      </c>
    </row>
    <row r="67" spans="1:17" x14ac:dyDescent="0.25">
      <c r="A67" s="269"/>
      <c r="B67" s="269"/>
      <c r="C67" s="269" t="s">
        <v>31</v>
      </c>
      <c r="D67" s="269"/>
      <c r="E67" s="269"/>
      <c r="F67" s="270">
        <v>1</v>
      </c>
      <c r="G67" s="270">
        <v>0</v>
      </c>
      <c r="H67" s="270">
        <v>279</v>
      </c>
      <c r="I67" s="270">
        <v>18309300</v>
      </c>
      <c r="J67" s="270">
        <v>13</v>
      </c>
      <c r="K67" s="270">
        <v>0</v>
      </c>
      <c r="L67" s="270">
        <v>1628</v>
      </c>
      <c r="M67" s="270">
        <v>108469700</v>
      </c>
      <c r="N67" s="270">
        <v>619</v>
      </c>
      <c r="O67" s="270">
        <v>0</v>
      </c>
      <c r="P67" s="270">
        <v>9718</v>
      </c>
      <c r="Q67" s="270">
        <v>760701400</v>
      </c>
    </row>
    <row r="68" spans="1:17" x14ac:dyDescent="0.25">
      <c r="A68" s="117">
        <v>540053</v>
      </c>
      <c r="B68" s="2" t="s">
        <v>32</v>
      </c>
      <c r="C68" s="2" t="s">
        <v>33</v>
      </c>
      <c r="D68" s="2" t="s">
        <v>5</v>
      </c>
      <c r="E68" s="117">
        <v>6</v>
      </c>
      <c r="F68" s="117">
        <v>0</v>
      </c>
      <c r="G68" s="117">
        <v>0</v>
      </c>
      <c r="H68" s="117">
        <v>330</v>
      </c>
      <c r="I68" s="117">
        <v>13209700</v>
      </c>
      <c r="J68" s="117">
        <v>4</v>
      </c>
      <c r="K68" s="117">
        <v>0</v>
      </c>
      <c r="L68" s="117">
        <v>3203</v>
      </c>
      <c r="M68" s="117">
        <v>145527800</v>
      </c>
      <c r="N68" s="117">
        <v>2035</v>
      </c>
      <c r="O68" s="117">
        <v>0</v>
      </c>
      <c r="P68" s="117">
        <v>20136</v>
      </c>
      <c r="Q68" s="117">
        <v>1302424100</v>
      </c>
    </row>
    <row r="69" spans="1:17" x14ac:dyDescent="0.25">
      <c r="A69" s="117">
        <v>540054</v>
      </c>
      <c r="B69" s="2" t="s">
        <v>152</v>
      </c>
      <c r="C69" s="2" t="s">
        <v>33</v>
      </c>
      <c r="D69" s="2" t="s">
        <v>115</v>
      </c>
      <c r="E69" s="117">
        <v>6</v>
      </c>
      <c r="F69" s="117">
        <v>0</v>
      </c>
      <c r="G69" s="117">
        <v>0</v>
      </c>
      <c r="H69" s="117">
        <v>2</v>
      </c>
      <c r="I69" s="117">
        <v>54600</v>
      </c>
      <c r="J69" s="117">
        <v>1</v>
      </c>
      <c r="K69" s="117">
        <v>0</v>
      </c>
      <c r="L69" s="117">
        <v>41</v>
      </c>
      <c r="M69" s="117">
        <v>1366300</v>
      </c>
      <c r="N69" s="117">
        <v>55</v>
      </c>
      <c r="O69" s="117">
        <v>0</v>
      </c>
      <c r="P69" s="117">
        <v>476</v>
      </c>
      <c r="Q69" s="117">
        <v>23221200</v>
      </c>
    </row>
    <row r="70" spans="1:17" x14ac:dyDescent="0.25">
      <c r="A70" s="117">
        <v>540055</v>
      </c>
      <c r="B70" s="2" t="s">
        <v>153</v>
      </c>
      <c r="C70" s="2" t="s">
        <v>33</v>
      </c>
      <c r="D70" s="2" t="s">
        <v>115</v>
      </c>
      <c r="E70" s="117">
        <v>6</v>
      </c>
      <c r="F70" s="117">
        <v>0</v>
      </c>
      <c r="G70" s="117">
        <v>0</v>
      </c>
      <c r="H70" s="117">
        <v>14</v>
      </c>
      <c r="I70" s="117">
        <v>1782700</v>
      </c>
      <c r="J70" s="117">
        <v>0</v>
      </c>
      <c r="K70" s="117">
        <v>0</v>
      </c>
      <c r="L70" s="117">
        <v>220</v>
      </c>
      <c r="M70" s="117">
        <v>98839000</v>
      </c>
      <c r="N70" s="117">
        <v>188</v>
      </c>
      <c r="O70" s="117">
        <v>0</v>
      </c>
      <c r="P70" s="117">
        <v>4276</v>
      </c>
      <c r="Q70" s="117">
        <v>1402166122</v>
      </c>
    </row>
    <row r="71" spans="1:17" x14ac:dyDescent="0.25">
      <c r="A71" s="117">
        <v>540056</v>
      </c>
      <c r="B71" s="2" t="s">
        <v>154</v>
      </c>
      <c r="C71" s="2" t="s">
        <v>33</v>
      </c>
      <c r="D71" s="2" t="s">
        <v>115</v>
      </c>
      <c r="E71" s="117">
        <v>6</v>
      </c>
      <c r="F71" s="117">
        <v>0</v>
      </c>
      <c r="G71" s="117">
        <v>0</v>
      </c>
      <c r="H71" s="117">
        <v>94</v>
      </c>
      <c r="I71" s="117">
        <v>2433500</v>
      </c>
      <c r="J71" s="117">
        <v>23</v>
      </c>
      <c r="K71" s="117">
        <v>0</v>
      </c>
      <c r="L71" s="117">
        <v>902</v>
      </c>
      <c r="M71" s="117">
        <v>174499000</v>
      </c>
      <c r="N71" s="117">
        <v>450</v>
      </c>
      <c r="O71" s="117">
        <v>0</v>
      </c>
      <c r="P71" s="117">
        <v>9193</v>
      </c>
      <c r="Q71" s="117">
        <v>1042180750</v>
      </c>
    </row>
    <row r="72" spans="1:17" x14ac:dyDescent="0.25">
      <c r="A72" s="117">
        <v>540057</v>
      </c>
      <c r="B72" s="2" t="s">
        <v>155</v>
      </c>
      <c r="C72" s="2" t="s">
        <v>33</v>
      </c>
      <c r="D72" s="2" t="s">
        <v>115</v>
      </c>
      <c r="E72" s="117">
        <v>6</v>
      </c>
      <c r="F72" s="117">
        <v>0</v>
      </c>
      <c r="G72" s="117">
        <v>0</v>
      </c>
      <c r="H72" s="117">
        <v>1</v>
      </c>
      <c r="I72" s="117">
        <v>100</v>
      </c>
      <c r="J72" s="117">
        <v>0</v>
      </c>
      <c r="K72" s="117">
        <v>0</v>
      </c>
      <c r="L72" s="117">
        <v>27</v>
      </c>
      <c r="M72" s="117">
        <v>376400</v>
      </c>
      <c r="N72" s="117">
        <v>102</v>
      </c>
      <c r="O72" s="117">
        <v>0</v>
      </c>
      <c r="P72" s="117">
        <v>233</v>
      </c>
      <c r="Q72" s="117">
        <v>11293200</v>
      </c>
    </row>
    <row r="73" spans="1:17" x14ac:dyDescent="0.25">
      <c r="A73" s="117">
        <v>540058</v>
      </c>
      <c r="B73" s="2" t="s">
        <v>156</v>
      </c>
      <c r="C73" s="2" t="s">
        <v>33</v>
      </c>
      <c r="D73" s="2" t="s">
        <v>115</v>
      </c>
      <c r="E73" s="117">
        <v>6</v>
      </c>
      <c r="F73" s="117">
        <v>0</v>
      </c>
      <c r="G73" s="117">
        <v>0</v>
      </c>
      <c r="H73" s="117">
        <v>0</v>
      </c>
      <c r="I73" s="117">
        <v>0</v>
      </c>
      <c r="J73" s="117">
        <v>1</v>
      </c>
      <c r="K73" s="117">
        <v>0</v>
      </c>
      <c r="L73" s="117">
        <v>34</v>
      </c>
      <c r="M73" s="117">
        <v>462500</v>
      </c>
      <c r="N73" s="117">
        <v>55</v>
      </c>
      <c r="O73" s="117">
        <v>0</v>
      </c>
      <c r="P73" s="117">
        <v>738</v>
      </c>
      <c r="Q73" s="117">
        <v>35427200</v>
      </c>
    </row>
    <row r="74" spans="1:17" x14ac:dyDescent="0.25">
      <c r="A74" s="117">
        <v>540059</v>
      </c>
      <c r="B74" s="2" t="s">
        <v>157</v>
      </c>
      <c r="C74" s="2" t="s">
        <v>33</v>
      </c>
      <c r="D74" s="2" t="s">
        <v>115</v>
      </c>
      <c r="E74" s="117">
        <v>6</v>
      </c>
      <c r="F74" s="117">
        <v>0</v>
      </c>
      <c r="G74" s="117">
        <v>0</v>
      </c>
      <c r="H74" s="117">
        <v>7</v>
      </c>
      <c r="I74" s="117">
        <v>172300</v>
      </c>
      <c r="J74" s="117">
        <v>0</v>
      </c>
      <c r="K74" s="117">
        <v>0</v>
      </c>
      <c r="L74" s="117">
        <v>42</v>
      </c>
      <c r="M74" s="117">
        <v>1603300</v>
      </c>
      <c r="N74" s="117">
        <v>64</v>
      </c>
      <c r="O74" s="117">
        <v>0</v>
      </c>
      <c r="P74" s="117">
        <v>1049</v>
      </c>
      <c r="Q74" s="117">
        <v>82630600</v>
      </c>
    </row>
    <row r="75" spans="1:17" x14ac:dyDescent="0.25">
      <c r="A75" s="117">
        <v>540060</v>
      </c>
      <c r="B75" s="2" t="s">
        <v>158</v>
      </c>
      <c r="C75" s="2" t="s">
        <v>33</v>
      </c>
      <c r="D75" s="2" t="s">
        <v>115</v>
      </c>
      <c r="E75" s="117">
        <v>6</v>
      </c>
      <c r="F75" s="117">
        <v>0</v>
      </c>
      <c r="G75" s="117">
        <v>0</v>
      </c>
      <c r="H75" s="117">
        <v>8</v>
      </c>
      <c r="I75" s="117">
        <v>276800</v>
      </c>
      <c r="J75" s="117">
        <v>1</v>
      </c>
      <c r="K75" s="117">
        <v>0</v>
      </c>
      <c r="L75" s="117">
        <v>89</v>
      </c>
      <c r="M75" s="117">
        <v>3825800</v>
      </c>
      <c r="N75" s="117">
        <v>108</v>
      </c>
      <c r="O75" s="117">
        <v>0</v>
      </c>
      <c r="P75" s="117">
        <v>1378</v>
      </c>
      <c r="Q75" s="117">
        <v>101083100</v>
      </c>
    </row>
    <row r="76" spans="1:17" x14ac:dyDescent="0.25">
      <c r="A76" s="117">
        <v>540061</v>
      </c>
      <c r="B76" s="2" t="s">
        <v>159</v>
      </c>
      <c r="C76" s="2" t="s">
        <v>33</v>
      </c>
      <c r="D76" s="2" t="s">
        <v>115</v>
      </c>
      <c r="E76" s="117">
        <v>6</v>
      </c>
      <c r="F76" s="117">
        <v>0</v>
      </c>
      <c r="G76" s="117">
        <v>0</v>
      </c>
      <c r="H76" s="117">
        <v>9</v>
      </c>
      <c r="I76" s="117">
        <v>123500</v>
      </c>
      <c r="J76" s="117">
        <v>1</v>
      </c>
      <c r="K76" s="117">
        <v>0</v>
      </c>
      <c r="L76" s="117">
        <v>88</v>
      </c>
      <c r="M76" s="117">
        <v>2963300</v>
      </c>
      <c r="N76" s="117">
        <v>29</v>
      </c>
      <c r="O76" s="117">
        <v>0</v>
      </c>
      <c r="P76" s="117">
        <v>1136</v>
      </c>
      <c r="Q76" s="117">
        <v>76486800</v>
      </c>
    </row>
    <row r="77" spans="1:17" x14ac:dyDescent="0.25">
      <c r="A77" s="117">
        <v>540062</v>
      </c>
      <c r="B77" s="2" t="s">
        <v>160</v>
      </c>
      <c r="C77" s="2" t="s">
        <v>33</v>
      </c>
      <c r="D77" s="2" t="s">
        <v>115</v>
      </c>
      <c r="E77" s="117">
        <v>6</v>
      </c>
      <c r="F77" s="117">
        <v>0</v>
      </c>
      <c r="G77" s="117">
        <v>0</v>
      </c>
      <c r="H77" s="117">
        <v>0</v>
      </c>
      <c r="I77" s="117">
        <v>0</v>
      </c>
      <c r="J77" s="117">
        <v>0</v>
      </c>
      <c r="K77" s="117">
        <v>0</v>
      </c>
      <c r="L77" s="117">
        <v>7</v>
      </c>
      <c r="M77" s="117">
        <v>141000</v>
      </c>
      <c r="N77" s="117">
        <v>1</v>
      </c>
      <c r="O77" s="117">
        <v>0</v>
      </c>
      <c r="P77" s="117">
        <v>360</v>
      </c>
      <c r="Q77" s="117">
        <v>25811100</v>
      </c>
    </row>
    <row r="78" spans="1:17" x14ac:dyDescent="0.25">
      <c r="A78" s="117">
        <v>540242</v>
      </c>
      <c r="B78" s="2" t="s">
        <v>289</v>
      </c>
      <c r="C78" s="2" t="s">
        <v>33</v>
      </c>
      <c r="D78" s="2" t="s">
        <v>115</v>
      </c>
      <c r="E78" s="117">
        <v>6</v>
      </c>
      <c r="F78" s="117">
        <v>0</v>
      </c>
      <c r="G78" s="117">
        <v>0</v>
      </c>
      <c r="H78" s="117">
        <v>14</v>
      </c>
      <c r="I78" s="117">
        <v>318500</v>
      </c>
      <c r="J78" s="117">
        <v>0</v>
      </c>
      <c r="K78" s="117">
        <v>0</v>
      </c>
      <c r="L78" s="117">
        <v>157</v>
      </c>
      <c r="M78" s="117">
        <v>20548700</v>
      </c>
      <c r="N78" s="117">
        <v>228</v>
      </c>
      <c r="O78" s="117">
        <v>0</v>
      </c>
      <c r="P78" s="117">
        <v>709</v>
      </c>
      <c r="Q78" s="117">
        <v>36352700</v>
      </c>
    </row>
    <row r="79" spans="1:17" x14ac:dyDescent="0.25">
      <c r="A79" s="269"/>
      <c r="B79" s="269"/>
      <c r="C79" s="269" t="s">
        <v>33</v>
      </c>
      <c r="D79" s="269"/>
      <c r="E79" s="269"/>
      <c r="F79" s="270">
        <v>0</v>
      </c>
      <c r="G79" s="270">
        <v>0</v>
      </c>
      <c r="H79" s="270">
        <v>479</v>
      </c>
      <c r="I79" s="270">
        <v>18371700</v>
      </c>
      <c r="J79" s="270">
        <v>31</v>
      </c>
      <c r="K79" s="270">
        <v>0</v>
      </c>
      <c r="L79" s="270">
        <v>4810</v>
      </c>
      <c r="M79" s="270">
        <v>450153100</v>
      </c>
      <c r="N79" s="270">
        <v>3315</v>
      </c>
      <c r="O79" s="270">
        <v>0</v>
      </c>
      <c r="P79" s="270">
        <v>39684</v>
      </c>
      <c r="Q79" s="270">
        <v>4139076872</v>
      </c>
    </row>
    <row r="80" spans="1:17" x14ac:dyDescent="0.25">
      <c r="A80" s="117">
        <v>540063</v>
      </c>
      <c r="B80" s="2" t="s">
        <v>34</v>
      </c>
      <c r="C80" s="2" t="s">
        <v>35</v>
      </c>
      <c r="D80" s="2" t="s">
        <v>5</v>
      </c>
      <c r="E80" s="117">
        <v>5</v>
      </c>
      <c r="F80" s="117">
        <v>0</v>
      </c>
      <c r="G80" s="117">
        <v>0</v>
      </c>
      <c r="H80" s="117">
        <v>131</v>
      </c>
      <c r="I80" s="117">
        <v>6757800</v>
      </c>
      <c r="J80" s="117">
        <v>10</v>
      </c>
      <c r="K80" s="117">
        <v>0</v>
      </c>
      <c r="L80" s="117">
        <v>1747</v>
      </c>
      <c r="M80" s="117">
        <v>94954200</v>
      </c>
      <c r="N80" s="117">
        <v>846</v>
      </c>
      <c r="O80" s="117">
        <v>0</v>
      </c>
      <c r="P80" s="117">
        <v>10169</v>
      </c>
      <c r="Q80" s="117">
        <v>721726600</v>
      </c>
    </row>
    <row r="81" spans="1:17" x14ac:dyDescent="0.25">
      <c r="A81" s="117">
        <v>540064</v>
      </c>
      <c r="B81" s="2" t="s">
        <v>161</v>
      </c>
      <c r="C81" s="2" t="s">
        <v>35</v>
      </c>
      <c r="D81" s="2" t="s">
        <v>115</v>
      </c>
      <c r="E81" s="117">
        <v>5</v>
      </c>
      <c r="F81" s="117">
        <v>0</v>
      </c>
      <c r="G81" s="117">
        <v>0</v>
      </c>
      <c r="H81" s="117">
        <v>14</v>
      </c>
      <c r="I81" s="117">
        <v>507100</v>
      </c>
      <c r="J81" s="117">
        <v>0</v>
      </c>
      <c r="K81" s="117">
        <v>0</v>
      </c>
      <c r="L81" s="117">
        <v>151</v>
      </c>
      <c r="M81" s="117">
        <v>9169700</v>
      </c>
      <c r="N81" s="117">
        <v>17</v>
      </c>
      <c r="O81" s="117">
        <v>0</v>
      </c>
      <c r="P81" s="117">
        <v>1632</v>
      </c>
      <c r="Q81" s="117">
        <v>182383600</v>
      </c>
    </row>
    <row r="82" spans="1:17" x14ac:dyDescent="0.25">
      <c r="A82" s="117">
        <v>540241</v>
      </c>
      <c r="B82" s="2" t="s">
        <v>288</v>
      </c>
      <c r="C82" s="2" t="s">
        <v>35</v>
      </c>
      <c r="D82" s="2" t="s">
        <v>115</v>
      </c>
      <c r="E82" s="117">
        <v>5</v>
      </c>
      <c r="F82" s="117">
        <v>0</v>
      </c>
      <c r="G82" s="117">
        <v>0</v>
      </c>
      <c r="H82" s="117">
        <v>0</v>
      </c>
      <c r="I82" s="117">
        <v>0</v>
      </c>
      <c r="J82" s="117">
        <v>0</v>
      </c>
      <c r="K82" s="117">
        <v>0</v>
      </c>
      <c r="L82" s="117">
        <v>7</v>
      </c>
      <c r="M82" s="117">
        <v>847000</v>
      </c>
      <c r="N82" s="117">
        <v>135</v>
      </c>
      <c r="O82" s="117">
        <v>0</v>
      </c>
      <c r="P82" s="117">
        <v>1578</v>
      </c>
      <c r="Q82" s="117">
        <v>177130500</v>
      </c>
    </row>
    <row r="83" spans="1:17" x14ac:dyDescent="0.25">
      <c r="A83" s="269"/>
      <c r="B83" s="269"/>
      <c r="C83" s="269" t="s">
        <v>35</v>
      </c>
      <c r="D83" s="269"/>
      <c r="E83" s="269"/>
      <c r="F83" s="270">
        <v>0</v>
      </c>
      <c r="G83" s="270">
        <v>0</v>
      </c>
      <c r="H83" s="270">
        <v>145</v>
      </c>
      <c r="I83" s="270">
        <v>7264900</v>
      </c>
      <c r="J83" s="270">
        <v>10</v>
      </c>
      <c r="K83" s="270">
        <v>0</v>
      </c>
      <c r="L83" s="270">
        <v>1905</v>
      </c>
      <c r="M83" s="270">
        <v>104970900</v>
      </c>
      <c r="N83" s="270">
        <v>998</v>
      </c>
      <c r="O83" s="270">
        <v>0</v>
      </c>
      <c r="P83" s="270">
        <v>13379</v>
      </c>
      <c r="Q83" s="270">
        <v>1081240700</v>
      </c>
    </row>
    <row r="84" spans="1:17" x14ac:dyDescent="0.25">
      <c r="A84" s="117">
        <v>540065</v>
      </c>
      <c r="B84" s="2" t="s">
        <v>36</v>
      </c>
      <c r="C84" s="2" t="s">
        <v>37</v>
      </c>
      <c r="D84" s="2" t="s">
        <v>5</v>
      </c>
      <c r="E84" s="117">
        <v>9</v>
      </c>
      <c r="F84" s="117">
        <v>1</v>
      </c>
      <c r="G84" s="117">
        <v>175400</v>
      </c>
      <c r="H84" s="117">
        <v>91</v>
      </c>
      <c r="I84" s="117">
        <v>9658300</v>
      </c>
      <c r="J84" s="117">
        <v>12</v>
      </c>
      <c r="K84" s="117">
        <v>1948200</v>
      </c>
      <c r="L84" s="117">
        <v>706</v>
      </c>
      <c r="M84" s="117">
        <v>74398700</v>
      </c>
      <c r="N84" s="117">
        <v>517</v>
      </c>
      <c r="O84" s="117">
        <v>169725800</v>
      </c>
      <c r="P84" s="117">
        <v>20116</v>
      </c>
      <c r="Q84" s="117">
        <v>3942409600</v>
      </c>
    </row>
    <row r="85" spans="1:17" x14ac:dyDescent="0.25">
      <c r="A85" s="117">
        <v>540030</v>
      </c>
      <c r="B85" s="2" t="s">
        <v>135</v>
      </c>
      <c r="C85" s="2" t="s">
        <v>37</v>
      </c>
      <c r="D85" s="2" t="s">
        <v>115</v>
      </c>
      <c r="E85" s="117">
        <v>9</v>
      </c>
      <c r="F85" s="117">
        <v>0</v>
      </c>
      <c r="G85" s="117">
        <v>0</v>
      </c>
      <c r="H85" s="117">
        <v>0</v>
      </c>
      <c r="I85" s="117">
        <v>0</v>
      </c>
      <c r="J85" s="117">
        <v>0</v>
      </c>
      <c r="K85" s="117">
        <v>0</v>
      </c>
      <c r="L85" s="117">
        <v>14</v>
      </c>
      <c r="M85" s="117">
        <v>1751200</v>
      </c>
      <c r="N85" s="117">
        <v>3</v>
      </c>
      <c r="O85" s="117">
        <v>451000</v>
      </c>
      <c r="P85" s="117">
        <v>570</v>
      </c>
      <c r="Q85" s="117">
        <v>91203100</v>
      </c>
    </row>
    <row r="86" spans="1:17" x14ac:dyDescent="0.25">
      <c r="A86" s="117">
        <v>540066</v>
      </c>
      <c r="B86" s="2" t="s">
        <v>162</v>
      </c>
      <c r="C86" s="2" t="s">
        <v>37</v>
      </c>
      <c r="D86" s="2" t="s">
        <v>115</v>
      </c>
      <c r="E86" s="117">
        <v>9</v>
      </c>
      <c r="F86" s="117">
        <v>0</v>
      </c>
      <c r="G86" s="117">
        <v>0</v>
      </c>
      <c r="H86" s="117">
        <v>0</v>
      </c>
      <c r="I86" s="117">
        <v>0</v>
      </c>
      <c r="J86" s="117">
        <v>0</v>
      </c>
      <c r="K86" s="117">
        <v>0</v>
      </c>
      <c r="L86" s="117">
        <v>10</v>
      </c>
      <c r="M86" s="117">
        <v>890100</v>
      </c>
      <c r="N86" s="117">
        <v>27</v>
      </c>
      <c r="O86" s="117">
        <v>4529100</v>
      </c>
      <c r="P86" s="117">
        <v>2638</v>
      </c>
      <c r="Q86" s="117">
        <v>686159400</v>
      </c>
    </row>
    <row r="87" spans="1:17" x14ac:dyDescent="0.25">
      <c r="A87" s="117">
        <v>540067</v>
      </c>
      <c r="B87" s="2" t="s">
        <v>163</v>
      </c>
      <c r="C87" s="2" t="s">
        <v>37</v>
      </c>
      <c r="D87" s="2" t="s">
        <v>115</v>
      </c>
      <c r="E87" s="117">
        <v>9</v>
      </c>
      <c r="F87" s="117">
        <v>0</v>
      </c>
      <c r="G87" s="117">
        <v>0</v>
      </c>
      <c r="H87" s="117">
        <v>8</v>
      </c>
      <c r="I87" s="117">
        <v>1428500</v>
      </c>
      <c r="J87" s="117">
        <v>0</v>
      </c>
      <c r="K87" s="117">
        <v>0</v>
      </c>
      <c r="L87" s="117">
        <v>55</v>
      </c>
      <c r="M87" s="117">
        <v>13907900</v>
      </c>
      <c r="N87" s="117">
        <v>31</v>
      </c>
      <c r="O87" s="117">
        <v>209808100</v>
      </c>
      <c r="P87" s="117">
        <v>232</v>
      </c>
      <c r="Q87" s="117">
        <v>60572300</v>
      </c>
    </row>
    <row r="88" spans="1:17" x14ac:dyDescent="0.25">
      <c r="A88" s="117">
        <v>540068</v>
      </c>
      <c r="B88" s="2" t="s">
        <v>164</v>
      </c>
      <c r="C88" s="2" t="s">
        <v>37</v>
      </c>
      <c r="D88" s="2" t="s">
        <v>115</v>
      </c>
      <c r="E88" s="117">
        <v>9</v>
      </c>
      <c r="F88" s="117">
        <v>0</v>
      </c>
      <c r="G88" s="117">
        <v>0</v>
      </c>
      <c r="H88" s="117">
        <v>0</v>
      </c>
      <c r="I88" s="117">
        <v>0</v>
      </c>
      <c r="J88" s="117">
        <v>0</v>
      </c>
      <c r="K88" s="117">
        <v>0</v>
      </c>
      <c r="L88" s="117">
        <v>8</v>
      </c>
      <c r="M88" s="117">
        <v>2342700</v>
      </c>
      <c r="N88" s="117">
        <v>80</v>
      </c>
      <c r="O88" s="117">
        <v>9215700</v>
      </c>
      <c r="P88" s="117">
        <v>2377</v>
      </c>
      <c r="Q88" s="117">
        <v>496650400</v>
      </c>
    </row>
    <row r="89" spans="1:17" x14ac:dyDescent="0.25">
      <c r="A89" s="117">
        <v>540069</v>
      </c>
      <c r="B89" s="2" t="s">
        <v>165</v>
      </c>
      <c r="C89" s="2" t="s">
        <v>37</v>
      </c>
      <c r="D89" s="2" t="s">
        <v>115</v>
      </c>
      <c r="E89" s="117">
        <v>9</v>
      </c>
      <c r="F89" s="117">
        <v>0</v>
      </c>
      <c r="G89" s="117">
        <v>0</v>
      </c>
      <c r="H89" s="117">
        <v>0</v>
      </c>
      <c r="I89" s="117">
        <v>0</v>
      </c>
      <c r="J89" s="117">
        <v>2</v>
      </c>
      <c r="K89" s="117">
        <v>529300</v>
      </c>
      <c r="L89" s="117">
        <v>10</v>
      </c>
      <c r="M89" s="117">
        <v>16275100</v>
      </c>
      <c r="N89" s="117">
        <v>64</v>
      </c>
      <c r="O89" s="117">
        <v>27706600</v>
      </c>
      <c r="P89" s="117">
        <v>418</v>
      </c>
      <c r="Q89" s="117">
        <v>123296700</v>
      </c>
    </row>
    <row r="90" spans="1:17" x14ac:dyDescent="0.25">
      <c r="A90" s="269"/>
      <c r="B90" s="269"/>
      <c r="C90" s="269" t="s">
        <v>37</v>
      </c>
      <c r="D90" s="269"/>
      <c r="E90" s="269"/>
      <c r="F90" s="270">
        <v>1</v>
      </c>
      <c r="G90" s="270">
        <v>175400</v>
      </c>
      <c r="H90" s="270">
        <v>99</v>
      </c>
      <c r="I90" s="270">
        <v>11086800</v>
      </c>
      <c r="J90" s="270">
        <v>14</v>
      </c>
      <c r="K90" s="270">
        <v>2477500</v>
      </c>
      <c r="L90" s="270">
        <v>803</v>
      </c>
      <c r="M90" s="270">
        <v>109565700</v>
      </c>
      <c r="N90" s="270">
        <v>722</v>
      </c>
      <c r="O90" s="270">
        <v>421436300</v>
      </c>
      <c r="P90" s="270">
        <v>26351</v>
      </c>
      <c r="Q90" s="270">
        <v>5400291500</v>
      </c>
    </row>
    <row r="91" spans="1:17" x14ac:dyDescent="0.25">
      <c r="A91" s="117">
        <v>540070</v>
      </c>
      <c r="B91" s="2" t="s">
        <v>38</v>
      </c>
      <c r="C91" s="2" t="s">
        <v>39</v>
      </c>
      <c r="D91" s="2" t="s">
        <v>5</v>
      </c>
      <c r="E91" s="117">
        <v>3</v>
      </c>
      <c r="F91" s="117">
        <v>0</v>
      </c>
      <c r="G91" s="117">
        <v>0</v>
      </c>
      <c r="H91" s="117">
        <v>1538</v>
      </c>
      <c r="I91" s="117">
        <v>77658700</v>
      </c>
      <c r="J91" s="117">
        <v>80</v>
      </c>
      <c r="K91" s="117">
        <v>0</v>
      </c>
      <c r="L91" s="117">
        <v>7327</v>
      </c>
      <c r="M91" s="117">
        <v>419948865</v>
      </c>
      <c r="N91" s="117">
        <v>9086</v>
      </c>
      <c r="O91" s="117">
        <v>0</v>
      </c>
      <c r="P91" s="117">
        <v>30695</v>
      </c>
      <c r="Q91" s="117">
        <v>2621806726</v>
      </c>
    </row>
    <row r="92" spans="1:17" x14ac:dyDescent="0.25">
      <c r="A92" s="117">
        <v>540029</v>
      </c>
      <c r="B92" s="2" t="s">
        <v>134</v>
      </c>
      <c r="C92" s="2" t="s">
        <v>39</v>
      </c>
      <c r="D92" s="2" t="s">
        <v>115</v>
      </c>
      <c r="E92" s="117">
        <v>3</v>
      </c>
      <c r="F92" s="117">
        <v>0</v>
      </c>
      <c r="G92" s="117">
        <v>0</v>
      </c>
      <c r="H92" s="117">
        <v>4</v>
      </c>
      <c r="I92" s="117">
        <v>107900</v>
      </c>
      <c r="J92" s="117">
        <v>0</v>
      </c>
      <c r="K92" s="117">
        <v>0</v>
      </c>
      <c r="L92" s="117">
        <v>11</v>
      </c>
      <c r="M92" s="117">
        <v>351900</v>
      </c>
      <c r="N92" s="117">
        <v>62</v>
      </c>
      <c r="O92" s="117">
        <v>0</v>
      </c>
      <c r="P92" s="117">
        <v>249</v>
      </c>
      <c r="Q92" s="117">
        <v>14877332</v>
      </c>
    </row>
    <row r="93" spans="1:17" x14ac:dyDescent="0.25">
      <c r="A93" s="117">
        <v>540071</v>
      </c>
      <c r="B93" s="2" t="s">
        <v>166</v>
      </c>
      <c r="C93" s="2" t="s">
        <v>39</v>
      </c>
      <c r="D93" s="2" t="s">
        <v>115</v>
      </c>
      <c r="E93" s="117">
        <v>3</v>
      </c>
      <c r="F93" s="117">
        <v>0</v>
      </c>
      <c r="G93" s="117">
        <v>0</v>
      </c>
      <c r="H93" s="117">
        <v>5</v>
      </c>
      <c r="I93" s="117">
        <v>200600</v>
      </c>
      <c r="J93" s="117">
        <v>0</v>
      </c>
      <c r="K93" s="117">
        <v>0</v>
      </c>
      <c r="L93" s="117">
        <v>18</v>
      </c>
      <c r="M93" s="117">
        <v>831300</v>
      </c>
      <c r="N93" s="117">
        <v>112</v>
      </c>
      <c r="O93" s="117">
        <v>0</v>
      </c>
      <c r="P93" s="117">
        <v>463</v>
      </c>
      <c r="Q93" s="117">
        <v>35876665</v>
      </c>
    </row>
    <row r="94" spans="1:17" x14ac:dyDescent="0.25">
      <c r="A94" s="117">
        <v>540072</v>
      </c>
      <c r="B94" s="2" t="s">
        <v>167</v>
      </c>
      <c r="C94" s="2" t="s">
        <v>39</v>
      </c>
      <c r="D94" s="2" t="s">
        <v>115</v>
      </c>
      <c r="E94" s="117">
        <v>3</v>
      </c>
      <c r="F94" s="117">
        <v>0</v>
      </c>
      <c r="G94" s="117">
        <v>0</v>
      </c>
      <c r="H94" s="117">
        <v>0</v>
      </c>
      <c r="I94" s="117">
        <v>0</v>
      </c>
      <c r="J94" s="117">
        <v>0</v>
      </c>
      <c r="K94" s="117">
        <v>0</v>
      </c>
      <c r="L94" s="117">
        <v>14</v>
      </c>
      <c r="M94" s="117">
        <v>395100</v>
      </c>
      <c r="N94" s="117">
        <v>86</v>
      </c>
      <c r="O94" s="117">
        <v>0</v>
      </c>
      <c r="P94" s="117">
        <v>354</v>
      </c>
      <c r="Q94" s="117">
        <v>16625239</v>
      </c>
    </row>
    <row r="95" spans="1:17" x14ac:dyDescent="0.25">
      <c r="A95" s="117">
        <v>540073</v>
      </c>
      <c r="B95" s="2" t="s">
        <v>168</v>
      </c>
      <c r="C95" s="2" t="s">
        <v>39</v>
      </c>
      <c r="D95" s="2" t="s">
        <v>115</v>
      </c>
      <c r="E95" s="117">
        <v>3</v>
      </c>
      <c r="F95" s="117">
        <v>0</v>
      </c>
      <c r="G95" s="117">
        <v>0</v>
      </c>
      <c r="H95" s="117">
        <v>932</v>
      </c>
      <c r="I95" s="117">
        <v>79810564</v>
      </c>
      <c r="J95" s="117">
        <v>26</v>
      </c>
      <c r="K95" s="117">
        <v>0</v>
      </c>
      <c r="L95" s="117">
        <v>4558</v>
      </c>
      <c r="M95" s="117">
        <v>460577375</v>
      </c>
      <c r="N95" s="117">
        <v>1927</v>
      </c>
      <c r="O95" s="117">
        <v>0</v>
      </c>
      <c r="P95" s="117">
        <v>19748</v>
      </c>
      <c r="Q95" s="117">
        <v>3791694109</v>
      </c>
    </row>
    <row r="96" spans="1:17" x14ac:dyDescent="0.25">
      <c r="A96" s="117">
        <v>540074</v>
      </c>
      <c r="B96" s="2" t="s">
        <v>169</v>
      </c>
      <c r="C96" s="2" t="s">
        <v>39</v>
      </c>
      <c r="D96" s="2" t="s">
        <v>115</v>
      </c>
      <c r="E96" s="117">
        <v>3</v>
      </c>
      <c r="F96" s="117">
        <v>0</v>
      </c>
      <c r="G96" s="117">
        <v>0</v>
      </c>
      <c r="H96" s="117">
        <v>0</v>
      </c>
      <c r="I96" s="117">
        <v>0</v>
      </c>
      <c r="J96" s="117">
        <v>0</v>
      </c>
      <c r="K96" s="117">
        <v>0</v>
      </c>
      <c r="L96" s="117">
        <v>2</v>
      </c>
      <c r="M96" s="117">
        <v>78200</v>
      </c>
      <c r="N96" s="117">
        <v>206</v>
      </c>
      <c r="O96" s="117">
        <v>0</v>
      </c>
      <c r="P96" s="117">
        <v>508</v>
      </c>
      <c r="Q96" s="117">
        <v>28952800</v>
      </c>
    </row>
    <row r="97" spans="1:17" x14ac:dyDescent="0.25">
      <c r="A97" s="117">
        <v>540075</v>
      </c>
      <c r="B97" s="2" t="s">
        <v>170</v>
      </c>
      <c r="C97" s="2" t="s">
        <v>39</v>
      </c>
      <c r="D97" s="2" t="s">
        <v>115</v>
      </c>
      <c r="E97" s="117">
        <v>3</v>
      </c>
      <c r="F97" s="117">
        <v>0</v>
      </c>
      <c r="G97" s="117">
        <v>0</v>
      </c>
      <c r="H97" s="117">
        <v>14</v>
      </c>
      <c r="I97" s="117">
        <v>930200</v>
      </c>
      <c r="J97" s="117">
        <v>13</v>
      </c>
      <c r="K97" s="117">
        <v>0</v>
      </c>
      <c r="L97" s="117">
        <v>115</v>
      </c>
      <c r="M97" s="117">
        <v>4981700</v>
      </c>
      <c r="N97" s="117">
        <v>273</v>
      </c>
      <c r="O97" s="117">
        <v>0</v>
      </c>
      <c r="P97" s="117">
        <v>208</v>
      </c>
      <c r="Q97" s="117">
        <v>10114400</v>
      </c>
    </row>
    <row r="98" spans="1:17" x14ac:dyDescent="0.25">
      <c r="A98" s="117">
        <v>540076</v>
      </c>
      <c r="B98" s="2" t="s">
        <v>171</v>
      </c>
      <c r="C98" s="2" t="s">
        <v>39</v>
      </c>
      <c r="D98" s="2" t="s">
        <v>115</v>
      </c>
      <c r="E98" s="117">
        <v>3</v>
      </c>
      <c r="F98" s="117">
        <v>0</v>
      </c>
      <c r="G98" s="117">
        <v>0</v>
      </c>
      <c r="H98" s="117">
        <v>57</v>
      </c>
      <c r="I98" s="117">
        <v>2114100</v>
      </c>
      <c r="J98" s="117">
        <v>3</v>
      </c>
      <c r="K98" s="117">
        <v>0</v>
      </c>
      <c r="L98" s="117">
        <v>340</v>
      </c>
      <c r="M98" s="117">
        <v>18227170</v>
      </c>
      <c r="N98" s="117">
        <v>1055</v>
      </c>
      <c r="O98" s="117">
        <v>0</v>
      </c>
      <c r="P98" s="117">
        <v>2144</v>
      </c>
      <c r="Q98" s="117">
        <v>221232399</v>
      </c>
    </row>
    <row r="99" spans="1:17" x14ac:dyDescent="0.25">
      <c r="A99" s="117">
        <v>540077</v>
      </c>
      <c r="B99" s="2" t="s">
        <v>172</v>
      </c>
      <c r="C99" s="2" t="s">
        <v>39</v>
      </c>
      <c r="D99" s="2" t="s">
        <v>115</v>
      </c>
      <c r="E99" s="117">
        <v>3</v>
      </c>
      <c r="F99" s="117">
        <v>0</v>
      </c>
      <c r="G99" s="117">
        <v>0</v>
      </c>
      <c r="H99" s="117">
        <v>1</v>
      </c>
      <c r="I99" s="117">
        <v>2200</v>
      </c>
      <c r="J99" s="117">
        <v>0</v>
      </c>
      <c r="K99" s="117">
        <v>0</v>
      </c>
      <c r="L99" s="117">
        <v>18</v>
      </c>
      <c r="M99" s="117">
        <v>508300</v>
      </c>
      <c r="N99" s="117">
        <v>62</v>
      </c>
      <c r="O99" s="117">
        <v>0</v>
      </c>
      <c r="P99" s="117">
        <v>350</v>
      </c>
      <c r="Q99" s="117">
        <v>23911792</v>
      </c>
    </row>
    <row r="100" spans="1:17" x14ac:dyDescent="0.25">
      <c r="A100" s="117">
        <v>540078</v>
      </c>
      <c r="B100" s="2" t="s">
        <v>173</v>
      </c>
      <c r="C100" s="2" t="s">
        <v>39</v>
      </c>
      <c r="D100" s="2" t="s">
        <v>115</v>
      </c>
      <c r="E100" s="117">
        <v>3</v>
      </c>
      <c r="F100" s="117">
        <v>0</v>
      </c>
      <c r="G100" s="117">
        <v>0</v>
      </c>
      <c r="H100" s="117">
        <v>1</v>
      </c>
      <c r="I100" s="117">
        <v>31200</v>
      </c>
      <c r="J100" s="117">
        <v>0</v>
      </c>
      <c r="K100" s="117">
        <v>0</v>
      </c>
      <c r="L100" s="117">
        <v>9</v>
      </c>
      <c r="M100" s="117">
        <v>94700</v>
      </c>
      <c r="N100" s="117">
        <v>96</v>
      </c>
      <c r="O100" s="117">
        <v>0</v>
      </c>
      <c r="P100" s="117">
        <v>271</v>
      </c>
      <c r="Q100" s="117">
        <v>22829651</v>
      </c>
    </row>
    <row r="101" spans="1:17" x14ac:dyDescent="0.25">
      <c r="A101" s="117">
        <v>540079</v>
      </c>
      <c r="B101" s="2" t="s">
        <v>174</v>
      </c>
      <c r="C101" s="2" t="s">
        <v>39</v>
      </c>
      <c r="D101" s="2" t="s">
        <v>115</v>
      </c>
      <c r="E101" s="117">
        <v>3</v>
      </c>
      <c r="F101" s="117">
        <v>0</v>
      </c>
      <c r="G101" s="117">
        <v>0</v>
      </c>
      <c r="H101" s="117">
        <v>8</v>
      </c>
      <c r="I101" s="117">
        <v>308200</v>
      </c>
      <c r="J101" s="117">
        <v>0</v>
      </c>
      <c r="K101" s="117">
        <v>0</v>
      </c>
      <c r="L101" s="117">
        <v>41</v>
      </c>
      <c r="M101" s="117">
        <v>1445000</v>
      </c>
      <c r="N101" s="117">
        <v>41</v>
      </c>
      <c r="O101" s="117">
        <v>0</v>
      </c>
      <c r="P101" s="117">
        <v>695</v>
      </c>
      <c r="Q101" s="117">
        <v>50212632</v>
      </c>
    </row>
    <row r="102" spans="1:17" x14ac:dyDescent="0.25">
      <c r="A102" s="117">
        <v>540081</v>
      </c>
      <c r="B102" s="2" t="s">
        <v>176</v>
      </c>
      <c r="C102" s="2" t="s">
        <v>39</v>
      </c>
      <c r="D102" s="2" t="s">
        <v>115</v>
      </c>
      <c r="E102" s="117">
        <v>3</v>
      </c>
      <c r="F102" s="117">
        <v>0</v>
      </c>
      <c r="G102" s="117">
        <v>0</v>
      </c>
      <c r="H102" s="117">
        <v>37</v>
      </c>
      <c r="I102" s="117">
        <v>3195600</v>
      </c>
      <c r="J102" s="117">
        <v>1</v>
      </c>
      <c r="K102" s="117">
        <v>0</v>
      </c>
      <c r="L102" s="117">
        <v>207</v>
      </c>
      <c r="M102" s="117">
        <v>19589156</v>
      </c>
      <c r="N102" s="117">
        <v>492</v>
      </c>
      <c r="O102" s="117">
        <v>0</v>
      </c>
      <c r="P102" s="117">
        <v>1909</v>
      </c>
      <c r="Q102" s="117">
        <v>271214272</v>
      </c>
    </row>
    <row r="103" spans="1:17" x14ac:dyDescent="0.25">
      <c r="A103" s="117">
        <v>540082</v>
      </c>
      <c r="B103" s="2" t="s">
        <v>177</v>
      </c>
      <c r="C103" s="2" t="s">
        <v>39</v>
      </c>
      <c r="D103" s="2" t="s">
        <v>115</v>
      </c>
      <c r="E103" s="117">
        <v>3</v>
      </c>
      <c r="F103" s="117">
        <v>0</v>
      </c>
      <c r="G103" s="117">
        <v>0</v>
      </c>
      <c r="H103" s="117">
        <v>0</v>
      </c>
      <c r="I103" s="117">
        <v>0</v>
      </c>
      <c r="J103" s="117">
        <v>0</v>
      </c>
      <c r="K103" s="117">
        <v>0</v>
      </c>
      <c r="L103" s="117">
        <v>9</v>
      </c>
      <c r="M103" s="117">
        <v>340098</v>
      </c>
      <c r="N103" s="117">
        <v>54</v>
      </c>
      <c r="O103" s="117">
        <v>0</v>
      </c>
      <c r="P103" s="117">
        <v>248</v>
      </c>
      <c r="Q103" s="117">
        <v>17260808</v>
      </c>
    </row>
    <row r="104" spans="1:17" x14ac:dyDescent="0.25">
      <c r="A104" s="117">
        <v>540083</v>
      </c>
      <c r="B104" s="2" t="s">
        <v>178</v>
      </c>
      <c r="C104" s="2" t="s">
        <v>39</v>
      </c>
      <c r="D104" s="2" t="s">
        <v>115</v>
      </c>
      <c r="E104" s="117">
        <v>3</v>
      </c>
      <c r="F104" s="117">
        <v>0</v>
      </c>
      <c r="G104" s="117">
        <v>0</v>
      </c>
      <c r="H104" s="117">
        <v>54</v>
      </c>
      <c r="I104" s="117">
        <v>4056800</v>
      </c>
      <c r="J104" s="117">
        <v>1</v>
      </c>
      <c r="K104" s="117">
        <v>0</v>
      </c>
      <c r="L104" s="117">
        <v>301</v>
      </c>
      <c r="M104" s="117">
        <v>29052300</v>
      </c>
      <c r="N104" s="117">
        <v>187</v>
      </c>
      <c r="O104" s="117">
        <v>0</v>
      </c>
      <c r="P104" s="117">
        <v>4914</v>
      </c>
      <c r="Q104" s="117">
        <v>528950486</v>
      </c>
    </row>
    <row r="105" spans="1:17" x14ac:dyDescent="0.25">
      <c r="A105" s="117">
        <v>540223</v>
      </c>
      <c r="B105" s="2" t="s">
        <v>277</v>
      </c>
      <c r="C105" s="2" t="s">
        <v>39</v>
      </c>
      <c r="D105" s="2" t="s">
        <v>115</v>
      </c>
      <c r="E105" s="117">
        <v>3</v>
      </c>
      <c r="F105" s="117">
        <v>0</v>
      </c>
      <c r="G105" s="117">
        <v>0</v>
      </c>
      <c r="H105" s="117">
        <v>190</v>
      </c>
      <c r="I105" s="117">
        <v>25833637</v>
      </c>
      <c r="J105" s="117">
        <v>9</v>
      </c>
      <c r="K105" s="117">
        <v>0</v>
      </c>
      <c r="L105" s="117">
        <v>936</v>
      </c>
      <c r="M105" s="117">
        <v>113146788</v>
      </c>
      <c r="N105" s="117">
        <v>353</v>
      </c>
      <c r="O105" s="117">
        <v>0</v>
      </c>
      <c r="P105" s="117">
        <v>5096</v>
      </c>
      <c r="Q105" s="117">
        <v>915660770</v>
      </c>
    </row>
    <row r="106" spans="1:17" x14ac:dyDescent="0.25">
      <c r="A106" s="117">
        <v>540279</v>
      </c>
      <c r="B106" s="2" t="s">
        <v>320</v>
      </c>
      <c r="C106" s="2" t="s">
        <v>39</v>
      </c>
      <c r="D106" s="2" t="s">
        <v>115</v>
      </c>
      <c r="E106" s="117">
        <v>3</v>
      </c>
      <c r="F106" s="117">
        <v>0</v>
      </c>
      <c r="G106" s="117">
        <v>0</v>
      </c>
      <c r="H106" s="117">
        <v>3</v>
      </c>
      <c r="I106" s="117">
        <v>6400</v>
      </c>
      <c r="J106" s="117">
        <v>0</v>
      </c>
      <c r="K106" s="117">
        <v>0</v>
      </c>
      <c r="L106" s="117">
        <v>16</v>
      </c>
      <c r="M106" s="117">
        <v>185700</v>
      </c>
      <c r="N106" s="117">
        <v>25</v>
      </c>
      <c r="O106" s="117">
        <v>0</v>
      </c>
      <c r="P106" s="117">
        <v>172</v>
      </c>
      <c r="Q106" s="117">
        <v>3739200</v>
      </c>
    </row>
    <row r="107" spans="1:17" x14ac:dyDescent="0.25">
      <c r="A107" s="117">
        <v>540033</v>
      </c>
      <c r="B107" s="2" t="s">
        <v>138</v>
      </c>
      <c r="C107" s="2" t="s">
        <v>39</v>
      </c>
      <c r="D107" s="2" t="s">
        <v>115</v>
      </c>
      <c r="E107" s="117">
        <v>3</v>
      </c>
      <c r="F107" s="117">
        <v>0</v>
      </c>
      <c r="G107" s="117">
        <v>0</v>
      </c>
      <c r="H107" s="117">
        <v>0</v>
      </c>
      <c r="I107" s="117">
        <v>0</v>
      </c>
      <c r="J107" s="117">
        <v>0</v>
      </c>
      <c r="K107" s="117">
        <v>0</v>
      </c>
      <c r="L107" s="117">
        <v>0</v>
      </c>
      <c r="M107" s="117">
        <v>0</v>
      </c>
      <c r="N107" s="117">
        <v>0</v>
      </c>
      <c r="O107" s="117">
        <v>0</v>
      </c>
      <c r="P107" s="117">
        <v>1</v>
      </c>
      <c r="Q107" s="117">
        <v>35000</v>
      </c>
    </row>
    <row r="108" spans="1:17" x14ac:dyDescent="0.25">
      <c r="A108" s="269"/>
      <c r="B108" s="269"/>
      <c r="C108" s="269" t="s">
        <v>39</v>
      </c>
      <c r="D108" s="269"/>
      <c r="E108" s="269"/>
      <c r="F108" s="270">
        <v>0</v>
      </c>
      <c r="G108" s="270">
        <v>0</v>
      </c>
      <c r="H108" s="270">
        <v>2844</v>
      </c>
      <c r="I108" s="270">
        <v>194256101</v>
      </c>
      <c r="J108" s="270">
        <v>133</v>
      </c>
      <c r="K108" s="270">
        <v>0</v>
      </c>
      <c r="L108" s="270">
        <v>13922</v>
      </c>
      <c r="M108" s="270">
        <v>1069753652</v>
      </c>
      <c r="N108" s="270">
        <v>14117</v>
      </c>
      <c r="O108" s="270">
        <v>0</v>
      </c>
      <c r="P108" s="270">
        <v>68025</v>
      </c>
      <c r="Q108" s="270">
        <v>8574994281</v>
      </c>
    </row>
    <row r="109" spans="1:17" x14ac:dyDescent="0.25">
      <c r="A109" s="117">
        <v>540085</v>
      </c>
      <c r="B109" s="2" t="s">
        <v>40</v>
      </c>
      <c r="C109" s="2" t="s">
        <v>41</v>
      </c>
      <c r="D109" s="2" t="s">
        <v>5</v>
      </c>
      <c r="E109" s="117">
        <v>7</v>
      </c>
      <c r="F109" s="117">
        <v>0</v>
      </c>
      <c r="G109" s="117">
        <v>0</v>
      </c>
      <c r="H109" s="117">
        <v>189</v>
      </c>
      <c r="I109" s="117">
        <v>8822000</v>
      </c>
      <c r="J109" s="117">
        <v>3</v>
      </c>
      <c r="K109" s="117">
        <v>0</v>
      </c>
      <c r="L109" s="117">
        <v>1568</v>
      </c>
      <c r="M109" s="117">
        <v>81644400</v>
      </c>
      <c r="N109" s="117">
        <v>717</v>
      </c>
      <c r="O109" s="117">
        <v>0</v>
      </c>
      <c r="P109" s="117">
        <v>7257</v>
      </c>
      <c r="Q109" s="117">
        <v>449254900</v>
      </c>
    </row>
    <row r="110" spans="1:17" x14ac:dyDescent="0.25">
      <c r="A110" s="117">
        <v>540086</v>
      </c>
      <c r="B110" s="2" t="s">
        <v>179</v>
      </c>
      <c r="C110" s="2" t="s">
        <v>41</v>
      </c>
      <c r="D110" s="2" t="s">
        <v>115</v>
      </c>
      <c r="E110" s="117">
        <v>7</v>
      </c>
      <c r="F110" s="117">
        <v>0</v>
      </c>
      <c r="G110" s="117">
        <v>0</v>
      </c>
      <c r="H110" s="117">
        <v>0</v>
      </c>
      <c r="I110" s="117">
        <v>0</v>
      </c>
      <c r="J110" s="117">
        <v>1</v>
      </c>
      <c r="K110" s="117">
        <v>0</v>
      </c>
      <c r="L110" s="117">
        <v>7</v>
      </c>
      <c r="M110" s="117">
        <v>164400</v>
      </c>
      <c r="N110" s="117">
        <v>35</v>
      </c>
      <c r="O110" s="117">
        <v>0</v>
      </c>
      <c r="P110" s="117">
        <v>211</v>
      </c>
      <c r="Q110" s="117">
        <v>12242700</v>
      </c>
    </row>
    <row r="111" spans="1:17" x14ac:dyDescent="0.25">
      <c r="A111" s="117">
        <v>540087</v>
      </c>
      <c r="B111" s="2" t="s">
        <v>180</v>
      </c>
      <c r="C111" s="2" t="s">
        <v>41</v>
      </c>
      <c r="D111" s="2" t="s">
        <v>115</v>
      </c>
      <c r="E111" s="117">
        <v>7</v>
      </c>
      <c r="F111" s="117">
        <v>0</v>
      </c>
      <c r="G111" s="117">
        <v>0</v>
      </c>
      <c r="H111" s="117">
        <v>3</v>
      </c>
      <c r="I111" s="117">
        <v>29000</v>
      </c>
      <c r="J111" s="117">
        <v>0</v>
      </c>
      <c r="K111" s="117">
        <v>0</v>
      </c>
      <c r="L111" s="117">
        <v>186</v>
      </c>
      <c r="M111" s="117">
        <v>4007400</v>
      </c>
      <c r="N111" s="117">
        <v>333</v>
      </c>
      <c r="O111" s="117">
        <v>0</v>
      </c>
      <c r="P111" s="117">
        <v>1972</v>
      </c>
      <c r="Q111" s="117">
        <v>113301300</v>
      </c>
    </row>
    <row r="112" spans="1:17" x14ac:dyDescent="0.25">
      <c r="A112" s="269"/>
      <c r="B112" s="269"/>
      <c r="C112" s="269" t="s">
        <v>41</v>
      </c>
      <c r="D112" s="269"/>
      <c r="E112" s="269"/>
      <c r="F112" s="270">
        <v>0</v>
      </c>
      <c r="G112" s="270">
        <v>0</v>
      </c>
      <c r="H112" s="270">
        <v>192</v>
      </c>
      <c r="I112" s="270">
        <v>8851000</v>
      </c>
      <c r="J112" s="270">
        <v>4</v>
      </c>
      <c r="K112" s="270">
        <v>0</v>
      </c>
      <c r="L112" s="270">
        <v>1761</v>
      </c>
      <c r="M112" s="270">
        <v>85816200</v>
      </c>
      <c r="N112" s="270">
        <v>1085</v>
      </c>
      <c r="O112" s="270">
        <v>0</v>
      </c>
      <c r="P112" s="270">
        <v>9440</v>
      </c>
      <c r="Q112" s="270">
        <v>574798900</v>
      </c>
    </row>
    <row r="113" spans="1:17" x14ac:dyDescent="0.25">
      <c r="A113" s="117">
        <v>540088</v>
      </c>
      <c r="B113" s="2" t="s">
        <v>42</v>
      </c>
      <c r="C113" s="2" t="s">
        <v>43</v>
      </c>
      <c r="D113" s="2" t="s">
        <v>5</v>
      </c>
      <c r="E113" s="117">
        <v>2</v>
      </c>
      <c r="F113" s="117">
        <v>0</v>
      </c>
      <c r="G113" s="117">
        <v>0</v>
      </c>
      <c r="H113" s="117">
        <v>181</v>
      </c>
      <c r="I113" s="117">
        <v>7472900</v>
      </c>
      <c r="J113" s="117">
        <v>8</v>
      </c>
      <c r="K113" s="117">
        <v>0</v>
      </c>
      <c r="L113" s="117">
        <v>1143</v>
      </c>
      <c r="M113" s="117">
        <v>45607900</v>
      </c>
      <c r="N113" s="117">
        <v>3479</v>
      </c>
      <c r="O113" s="117">
        <v>0</v>
      </c>
      <c r="P113" s="117">
        <v>7267</v>
      </c>
      <c r="Q113" s="117">
        <v>273501700</v>
      </c>
    </row>
    <row r="114" spans="1:17" x14ac:dyDescent="0.25">
      <c r="A114" s="117">
        <v>540089</v>
      </c>
      <c r="B114" s="2" t="s">
        <v>181</v>
      </c>
      <c r="C114" s="2" t="s">
        <v>43</v>
      </c>
      <c r="D114" s="2" t="s">
        <v>115</v>
      </c>
      <c r="E114" s="117">
        <v>2</v>
      </c>
      <c r="F114" s="117">
        <v>0</v>
      </c>
      <c r="G114" s="117">
        <v>0</v>
      </c>
      <c r="H114" s="117">
        <v>0</v>
      </c>
      <c r="I114" s="117">
        <v>0</v>
      </c>
      <c r="J114" s="117">
        <v>0</v>
      </c>
      <c r="K114" s="117">
        <v>0</v>
      </c>
      <c r="L114" s="117">
        <v>0</v>
      </c>
      <c r="M114" s="117">
        <v>0</v>
      </c>
      <c r="N114" s="117">
        <v>145</v>
      </c>
      <c r="O114" s="117">
        <v>0</v>
      </c>
      <c r="P114" s="117">
        <v>488</v>
      </c>
      <c r="Q114" s="117">
        <v>29734300</v>
      </c>
    </row>
    <row r="115" spans="1:17" x14ac:dyDescent="0.25">
      <c r="A115" s="117">
        <v>540090</v>
      </c>
      <c r="B115" s="2" t="s">
        <v>182</v>
      </c>
      <c r="C115" s="2" t="s">
        <v>43</v>
      </c>
      <c r="D115" s="2" t="s">
        <v>115</v>
      </c>
      <c r="E115" s="117">
        <v>2</v>
      </c>
      <c r="F115" s="117">
        <v>0</v>
      </c>
      <c r="G115" s="117">
        <v>0</v>
      </c>
      <c r="H115" s="117">
        <v>0</v>
      </c>
      <c r="I115" s="117">
        <v>0</v>
      </c>
      <c r="J115" s="117">
        <v>0</v>
      </c>
      <c r="K115" s="117">
        <v>0</v>
      </c>
      <c r="L115" s="117">
        <v>0</v>
      </c>
      <c r="M115" s="117">
        <v>0</v>
      </c>
      <c r="N115" s="117">
        <v>67</v>
      </c>
      <c r="O115" s="117">
        <v>0</v>
      </c>
      <c r="P115" s="117">
        <v>269</v>
      </c>
      <c r="Q115" s="117">
        <v>12055400</v>
      </c>
    </row>
    <row r="116" spans="1:17" x14ac:dyDescent="0.25">
      <c r="A116" s="269"/>
      <c r="B116" s="269"/>
      <c r="C116" s="269" t="s">
        <v>43</v>
      </c>
      <c r="D116" s="269"/>
      <c r="E116" s="269"/>
      <c r="F116" s="270">
        <v>0</v>
      </c>
      <c r="G116" s="270">
        <v>0</v>
      </c>
      <c r="H116" s="270">
        <v>181</v>
      </c>
      <c r="I116" s="270">
        <v>7472900</v>
      </c>
      <c r="J116" s="270">
        <v>8</v>
      </c>
      <c r="K116" s="270">
        <v>0</v>
      </c>
      <c r="L116" s="270">
        <v>1143</v>
      </c>
      <c r="M116" s="270">
        <v>45607900</v>
      </c>
      <c r="N116" s="270">
        <v>3691</v>
      </c>
      <c r="O116" s="270">
        <v>0</v>
      </c>
      <c r="P116" s="270">
        <v>8024</v>
      </c>
      <c r="Q116" s="270">
        <v>315291400</v>
      </c>
    </row>
    <row r="117" spans="1:17" x14ac:dyDescent="0.25">
      <c r="A117" s="117">
        <v>540097</v>
      </c>
      <c r="B117" s="2" t="s">
        <v>44</v>
      </c>
      <c r="C117" s="2" t="s">
        <v>45</v>
      </c>
      <c r="D117" s="2" t="s">
        <v>5</v>
      </c>
      <c r="E117" s="117">
        <v>6</v>
      </c>
      <c r="F117" s="117">
        <v>0</v>
      </c>
      <c r="G117" s="117">
        <v>0</v>
      </c>
      <c r="H117" s="117">
        <v>229</v>
      </c>
      <c r="I117" s="117">
        <v>13960400</v>
      </c>
      <c r="J117" s="117">
        <v>15</v>
      </c>
      <c r="K117" s="117">
        <v>0</v>
      </c>
      <c r="L117" s="117">
        <v>2331</v>
      </c>
      <c r="M117" s="117">
        <v>159573600</v>
      </c>
      <c r="N117" s="117">
        <v>1156</v>
      </c>
      <c r="O117" s="117">
        <v>0</v>
      </c>
      <c r="P117" s="117">
        <v>13580</v>
      </c>
      <c r="Q117" s="117">
        <v>1231222100</v>
      </c>
    </row>
    <row r="118" spans="1:17" x14ac:dyDescent="0.25">
      <c r="A118" s="117">
        <v>540098</v>
      </c>
      <c r="B118" s="2" t="s">
        <v>187</v>
      </c>
      <c r="C118" s="2" t="s">
        <v>45</v>
      </c>
      <c r="D118" s="2" t="s">
        <v>115</v>
      </c>
      <c r="E118" s="117">
        <v>6</v>
      </c>
      <c r="F118" s="117">
        <v>0</v>
      </c>
      <c r="G118" s="117">
        <v>0</v>
      </c>
      <c r="H118" s="117">
        <v>6</v>
      </c>
      <c r="I118" s="117">
        <v>165800</v>
      </c>
      <c r="J118" s="117">
        <v>2</v>
      </c>
      <c r="K118" s="117">
        <v>0</v>
      </c>
      <c r="L118" s="117">
        <v>31</v>
      </c>
      <c r="M118" s="117">
        <v>1105600</v>
      </c>
      <c r="N118" s="117">
        <v>27</v>
      </c>
      <c r="O118" s="117">
        <v>0</v>
      </c>
      <c r="P118" s="117">
        <v>666</v>
      </c>
      <c r="Q118" s="117">
        <v>58347500</v>
      </c>
    </row>
    <row r="119" spans="1:17" x14ac:dyDescent="0.25">
      <c r="A119" s="117">
        <v>540099</v>
      </c>
      <c r="B119" s="2" t="s">
        <v>188</v>
      </c>
      <c r="C119" s="2" t="s">
        <v>45</v>
      </c>
      <c r="D119" s="2" t="s">
        <v>115</v>
      </c>
      <c r="E119" s="117">
        <v>6</v>
      </c>
      <c r="F119" s="117">
        <v>0</v>
      </c>
      <c r="G119" s="117">
        <v>0</v>
      </c>
      <c r="H119" s="117">
        <v>60</v>
      </c>
      <c r="I119" s="117">
        <v>1993100</v>
      </c>
      <c r="J119" s="117">
        <v>0</v>
      </c>
      <c r="K119" s="117">
        <v>0</v>
      </c>
      <c r="L119" s="117">
        <v>1121</v>
      </c>
      <c r="M119" s="117">
        <v>273669600</v>
      </c>
      <c r="N119" s="117">
        <v>49</v>
      </c>
      <c r="O119" s="117">
        <v>0</v>
      </c>
      <c r="P119" s="117">
        <v>9928</v>
      </c>
      <c r="Q119" s="117">
        <v>1178159200</v>
      </c>
    </row>
    <row r="120" spans="1:17" x14ac:dyDescent="0.25">
      <c r="A120" s="117">
        <v>540100</v>
      </c>
      <c r="B120" s="2" t="s">
        <v>189</v>
      </c>
      <c r="C120" s="2" t="s">
        <v>45</v>
      </c>
      <c r="D120" s="2" t="s">
        <v>115</v>
      </c>
      <c r="E120" s="117">
        <v>6</v>
      </c>
      <c r="F120" s="117">
        <v>0</v>
      </c>
      <c r="G120" s="117">
        <v>0</v>
      </c>
      <c r="H120" s="117">
        <v>0</v>
      </c>
      <c r="I120" s="117">
        <v>0</v>
      </c>
      <c r="J120" s="117">
        <v>0</v>
      </c>
      <c r="K120" s="117">
        <v>0</v>
      </c>
      <c r="L120" s="117">
        <v>8</v>
      </c>
      <c r="M120" s="117">
        <v>189000</v>
      </c>
      <c r="N120" s="117">
        <v>34</v>
      </c>
      <c r="O120" s="117">
        <v>0</v>
      </c>
      <c r="P120" s="117">
        <v>229</v>
      </c>
      <c r="Q120" s="117">
        <v>12846900</v>
      </c>
    </row>
    <row r="121" spans="1:17" x14ac:dyDescent="0.25">
      <c r="A121" s="117">
        <v>540101</v>
      </c>
      <c r="B121" s="2" t="s">
        <v>190</v>
      </c>
      <c r="C121" s="2" t="s">
        <v>45</v>
      </c>
      <c r="D121" s="2" t="s">
        <v>115</v>
      </c>
      <c r="E121" s="117">
        <v>6</v>
      </c>
      <c r="F121" s="117">
        <v>0</v>
      </c>
      <c r="G121" s="117">
        <v>0</v>
      </c>
      <c r="H121" s="117">
        <v>1</v>
      </c>
      <c r="I121" s="117">
        <v>91400</v>
      </c>
      <c r="J121" s="117">
        <v>0</v>
      </c>
      <c r="K121" s="117">
        <v>0</v>
      </c>
      <c r="L121" s="117">
        <v>50</v>
      </c>
      <c r="M121" s="117">
        <v>2886500</v>
      </c>
      <c r="N121" s="117">
        <v>51</v>
      </c>
      <c r="O121" s="117">
        <v>0</v>
      </c>
      <c r="P121" s="117">
        <v>192</v>
      </c>
      <c r="Q121" s="117">
        <v>10322000</v>
      </c>
    </row>
    <row r="122" spans="1:17" x14ac:dyDescent="0.25">
      <c r="A122" s="117">
        <v>540102</v>
      </c>
      <c r="B122" s="2" t="s">
        <v>191</v>
      </c>
      <c r="C122" s="2" t="s">
        <v>45</v>
      </c>
      <c r="D122" s="2" t="s">
        <v>115</v>
      </c>
      <c r="E122" s="117">
        <v>6</v>
      </c>
      <c r="F122" s="117">
        <v>0</v>
      </c>
      <c r="G122" s="117">
        <v>0</v>
      </c>
      <c r="H122" s="117">
        <v>2</v>
      </c>
      <c r="I122" s="117">
        <v>64200</v>
      </c>
      <c r="J122" s="117">
        <v>0</v>
      </c>
      <c r="K122" s="117">
        <v>0</v>
      </c>
      <c r="L122" s="117">
        <v>16</v>
      </c>
      <c r="M122" s="117">
        <v>795100</v>
      </c>
      <c r="N122" s="117">
        <v>36</v>
      </c>
      <c r="O122" s="117">
        <v>0</v>
      </c>
      <c r="P122" s="117">
        <v>313</v>
      </c>
      <c r="Q122" s="117">
        <v>15627700</v>
      </c>
    </row>
    <row r="123" spans="1:17" x14ac:dyDescent="0.25">
      <c r="A123" s="117">
        <v>540103</v>
      </c>
      <c r="B123" s="2" t="s">
        <v>192</v>
      </c>
      <c r="C123" s="2" t="s">
        <v>45</v>
      </c>
      <c r="D123" s="2" t="s">
        <v>115</v>
      </c>
      <c r="E123" s="117">
        <v>6</v>
      </c>
      <c r="F123" s="117">
        <v>0</v>
      </c>
      <c r="G123" s="117">
        <v>0</v>
      </c>
      <c r="H123" s="117">
        <v>11</v>
      </c>
      <c r="I123" s="117">
        <v>72700</v>
      </c>
      <c r="J123" s="117">
        <v>1</v>
      </c>
      <c r="K123" s="117">
        <v>0</v>
      </c>
      <c r="L123" s="117">
        <v>132</v>
      </c>
      <c r="M123" s="117">
        <v>2915500</v>
      </c>
      <c r="N123" s="117">
        <v>209</v>
      </c>
      <c r="O123" s="117">
        <v>0</v>
      </c>
      <c r="P123" s="117">
        <v>946</v>
      </c>
      <c r="Q123" s="117">
        <v>52482400</v>
      </c>
    </row>
    <row r="124" spans="1:17" x14ac:dyDescent="0.25">
      <c r="A124" s="117">
        <v>540104</v>
      </c>
      <c r="B124" s="2" t="s">
        <v>193</v>
      </c>
      <c r="C124" s="2" t="s">
        <v>45</v>
      </c>
      <c r="D124" s="2" t="s">
        <v>115</v>
      </c>
      <c r="E124" s="117">
        <v>6</v>
      </c>
      <c r="F124" s="117">
        <v>0</v>
      </c>
      <c r="G124" s="117">
        <v>0</v>
      </c>
      <c r="H124" s="117">
        <v>1</v>
      </c>
      <c r="I124" s="117">
        <v>18100</v>
      </c>
      <c r="J124" s="117">
        <v>1</v>
      </c>
      <c r="K124" s="117">
        <v>0</v>
      </c>
      <c r="L124" s="117">
        <v>45</v>
      </c>
      <c r="M124" s="117">
        <v>2134300</v>
      </c>
      <c r="N124" s="117">
        <v>19</v>
      </c>
      <c r="O124" s="117">
        <v>0</v>
      </c>
      <c r="P124" s="117">
        <v>500</v>
      </c>
      <c r="Q124" s="117">
        <v>34956200</v>
      </c>
    </row>
    <row r="125" spans="1:17" x14ac:dyDescent="0.25">
      <c r="A125" s="117">
        <v>540105</v>
      </c>
      <c r="B125" s="2" t="s">
        <v>194</v>
      </c>
      <c r="C125" s="2" t="s">
        <v>45</v>
      </c>
      <c r="D125" s="2" t="s">
        <v>115</v>
      </c>
      <c r="E125" s="117">
        <v>6</v>
      </c>
      <c r="F125" s="117">
        <v>0</v>
      </c>
      <c r="G125" s="117">
        <v>0</v>
      </c>
      <c r="H125" s="117">
        <v>2</v>
      </c>
      <c r="I125" s="117">
        <v>44200</v>
      </c>
      <c r="J125" s="117">
        <v>0</v>
      </c>
      <c r="K125" s="117">
        <v>0</v>
      </c>
      <c r="L125" s="117">
        <v>29</v>
      </c>
      <c r="M125" s="117">
        <v>886200</v>
      </c>
      <c r="N125" s="117">
        <v>23</v>
      </c>
      <c r="O125" s="117">
        <v>0</v>
      </c>
      <c r="P125" s="117">
        <v>509</v>
      </c>
      <c r="Q125" s="117">
        <v>35089700</v>
      </c>
    </row>
    <row r="126" spans="1:17" x14ac:dyDescent="0.25">
      <c r="A126" s="117">
        <v>540106</v>
      </c>
      <c r="B126" s="2" t="s">
        <v>195</v>
      </c>
      <c r="C126" s="2" t="s">
        <v>45</v>
      </c>
      <c r="D126" s="2" t="s">
        <v>115</v>
      </c>
      <c r="E126" s="117">
        <v>6</v>
      </c>
      <c r="F126" s="117">
        <v>0</v>
      </c>
      <c r="G126" s="117">
        <v>0</v>
      </c>
      <c r="H126" s="117">
        <v>1</v>
      </c>
      <c r="I126" s="117">
        <v>12000</v>
      </c>
      <c r="J126" s="117">
        <v>0</v>
      </c>
      <c r="K126" s="117">
        <v>0</v>
      </c>
      <c r="L126" s="117">
        <v>42</v>
      </c>
      <c r="M126" s="117">
        <v>660400</v>
      </c>
      <c r="N126" s="117">
        <v>24</v>
      </c>
      <c r="O126" s="117">
        <v>0</v>
      </c>
      <c r="P126" s="117">
        <v>107</v>
      </c>
      <c r="Q126" s="117">
        <v>2943400</v>
      </c>
    </row>
    <row r="127" spans="1:17" x14ac:dyDescent="0.25">
      <c r="A127" s="117">
        <v>540292</v>
      </c>
      <c r="B127" s="2" t="s">
        <v>329</v>
      </c>
      <c r="C127" s="2" t="s">
        <v>45</v>
      </c>
      <c r="D127" s="2" t="s">
        <v>115</v>
      </c>
      <c r="E127" s="117">
        <v>6</v>
      </c>
      <c r="F127" s="117">
        <v>0</v>
      </c>
      <c r="G127" s="117">
        <v>0</v>
      </c>
      <c r="H127" s="117">
        <v>0</v>
      </c>
      <c r="I127" s="117">
        <v>0</v>
      </c>
      <c r="J127" s="117">
        <v>11</v>
      </c>
      <c r="K127" s="117">
        <v>0</v>
      </c>
      <c r="L127" s="117">
        <v>121</v>
      </c>
      <c r="M127" s="117">
        <v>9701400</v>
      </c>
      <c r="N127" s="117">
        <v>45</v>
      </c>
      <c r="O127" s="117">
        <v>0</v>
      </c>
      <c r="P127" s="117">
        <v>1780</v>
      </c>
      <c r="Q127" s="117">
        <v>226596200</v>
      </c>
    </row>
    <row r="128" spans="1:17" x14ac:dyDescent="0.25">
      <c r="A128" s="117">
        <v>545556</v>
      </c>
      <c r="B128" s="2" t="s">
        <v>337</v>
      </c>
      <c r="C128" s="2" t="s">
        <v>45</v>
      </c>
      <c r="D128" s="2" t="s">
        <v>115</v>
      </c>
      <c r="E128" s="117">
        <v>6</v>
      </c>
      <c r="F128" s="117">
        <v>0</v>
      </c>
      <c r="G128" s="117">
        <v>0</v>
      </c>
      <c r="H128" s="117">
        <v>0</v>
      </c>
      <c r="I128" s="117">
        <v>0</v>
      </c>
      <c r="J128" s="117">
        <v>0</v>
      </c>
      <c r="K128" s="117">
        <v>0</v>
      </c>
      <c r="L128" s="117">
        <v>33</v>
      </c>
      <c r="M128" s="117">
        <v>3854600</v>
      </c>
      <c r="N128" s="117">
        <v>2</v>
      </c>
      <c r="O128" s="117">
        <v>0</v>
      </c>
      <c r="P128" s="117">
        <v>451</v>
      </c>
      <c r="Q128" s="117">
        <v>123080400</v>
      </c>
    </row>
    <row r="129" spans="1:17" x14ac:dyDescent="0.25">
      <c r="A129" s="269"/>
      <c r="B129" s="269"/>
      <c r="C129" s="269" t="s">
        <v>45</v>
      </c>
      <c r="D129" s="269"/>
      <c r="E129" s="269"/>
      <c r="F129" s="270">
        <v>0</v>
      </c>
      <c r="G129" s="270">
        <v>0</v>
      </c>
      <c r="H129" s="270">
        <v>313</v>
      </c>
      <c r="I129" s="270">
        <v>16421900</v>
      </c>
      <c r="J129" s="270">
        <v>30</v>
      </c>
      <c r="K129" s="270">
        <v>0</v>
      </c>
      <c r="L129" s="270">
        <v>3959</v>
      </c>
      <c r="M129" s="270">
        <v>458371800</v>
      </c>
      <c r="N129" s="270">
        <v>1675</v>
      </c>
      <c r="O129" s="270">
        <v>0</v>
      </c>
      <c r="P129" s="270">
        <v>29201</v>
      </c>
      <c r="Q129" s="270">
        <v>2981673700</v>
      </c>
    </row>
    <row r="130" spans="1:17" x14ac:dyDescent="0.25">
      <c r="A130" s="117">
        <v>540107</v>
      </c>
      <c r="B130" s="2" t="s">
        <v>46</v>
      </c>
      <c r="C130" s="2" t="s">
        <v>47</v>
      </c>
      <c r="D130" s="2" t="s">
        <v>5</v>
      </c>
      <c r="E130" s="117">
        <v>10</v>
      </c>
      <c r="F130" s="117">
        <v>0</v>
      </c>
      <c r="G130" s="117">
        <v>0</v>
      </c>
      <c r="H130" s="117">
        <v>98</v>
      </c>
      <c r="I130" s="117">
        <v>5486900</v>
      </c>
      <c r="J130" s="117">
        <v>5</v>
      </c>
      <c r="K130" s="117">
        <v>0</v>
      </c>
      <c r="L130" s="117">
        <v>2418</v>
      </c>
      <c r="M130" s="117">
        <v>159500800</v>
      </c>
      <c r="N130" s="117">
        <v>590</v>
      </c>
      <c r="O130" s="117">
        <v>0</v>
      </c>
      <c r="P130" s="117">
        <v>9693</v>
      </c>
      <c r="Q130" s="117">
        <v>741675000</v>
      </c>
    </row>
    <row r="131" spans="1:17" x14ac:dyDescent="0.25">
      <c r="A131" s="117">
        <v>540108</v>
      </c>
      <c r="B131" s="2" t="s">
        <v>196</v>
      </c>
      <c r="C131" s="2" t="s">
        <v>47</v>
      </c>
      <c r="D131" s="2" t="s">
        <v>115</v>
      </c>
      <c r="E131" s="117">
        <v>10</v>
      </c>
      <c r="F131" s="117">
        <v>0</v>
      </c>
      <c r="G131" s="117">
        <v>0</v>
      </c>
      <c r="H131" s="117">
        <v>4</v>
      </c>
      <c r="I131" s="117">
        <v>49600</v>
      </c>
      <c r="J131" s="117">
        <v>0</v>
      </c>
      <c r="K131" s="117">
        <v>0</v>
      </c>
      <c r="L131" s="117">
        <v>91</v>
      </c>
      <c r="M131" s="117">
        <v>1690100</v>
      </c>
      <c r="N131" s="117">
        <v>323</v>
      </c>
      <c r="O131" s="117">
        <v>0</v>
      </c>
      <c r="P131" s="117">
        <v>379</v>
      </c>
      <c r="Q131" s="117">
        <v>10891400</v>
      </c>
    </row>
    <row r="132" spans="1:17" x14ac:dyDescent="0.25">
      <c r="A132" s="117">
        <v>540109</v>
      </c>
      <c r="B132" s="2" t="s">
        <v>197</v>
      </c>
      <c r="C132" s="2" t="s">
        <v>47</v>
      </c>
      <c r="D132" s="2" t="s">
        <v>115</v>
      </c>
      <c r="E132" s="117">
        <v>10</v>
      </c>
      <c r="F132" s="117">
        <v>0</v>
      </c>
      <c r="G132" s="117">
        <v>0</v>
      </c>
      <c r="H132" s="117">
        <v>1</v>
      </c>
      <c r="I132" s="117">
        <v>2300</v>
      </c>
      <c r="J132" s="117">
        <v>0</v>
      </c>
      <c r="K132" s="117">
        <v>0</v>
      </c>
      <c r="L132" s="117">
        <v>11</v>
      </c>
      <c r="M132" s="117">
        <v>463800</v>
      </c>
      <c r="N132" s="117">
        <v>31</v>
      </c>
      <c r="O132" s="117">
        <v>0</v>
      </c>
      <c r="P132" s="117">
        <v>783</v>
      </c>
      <c r="Q132" s="117">
        <v>109328400</v>
      </c>
    </row>
    <row r="133" spans="1:17" x14ac:dyDescent="0.25">
      <c r="A133" s="117">
        <v>540110</v>
      </c>
      <c r="B133" s="2" t="s">
        <v>198</v>
      </c>
      <c r="C133" s="2" t="s">
        <v>47</v>
      </c>
      <c r="D133" s="2" t="s">
        <v>115</v>
      </c>
      <c r="E133" s="117">
        <v>10</v>
      </c>
      <c r="F133" s="117">
        <v>0</v>
      </c>
      <c r="G133" s="117">
        <v>0</v>
      </c>
      <c r="H133" s="117">
        <v>2</v>
      </c>
      <c r="I133" s="117">
        <v>1400</v>
      </c>
      <c r="J133" s="117">
        <v>0</v>
      </c>
      <c r="K133" s="117">
        <v>0</v>
      </c>
      <c r="L133" s="117">
        <v>80</v>
      </c>
      <c r="M133" s="117">
        <v>1358300</v>
      </c>
      <c r="N133" s="117">
        <v>131</v>
      </c>
      <c r="O133" s="117">
        <v>0</v>
      </c>
      <c r="P133" s="117">
        <v>796</v>
      </c>
      <c r="Q133" s="117">
        <v>39597800</v>
      </c>
    </row>
    <row r="134" spans="1:17" x14ac:dyDescent="0.25">
      <c r="A134" s="117">
        <v>540111</v>
      </c>
      <c r="B134" s="2" t="s">
        <v>199</v>
      </c>
      <c r="C134" s="2" t="s">
        <v>47</v>
      </c>
      <c r="D134" s="2" t="s">
        <v>115</v>
      </c>
      <c r="E134" s="117">
        <v>10</v>
      </c>
      <c r="F134" s="117">
        <v>0</v>
      </c>
      <c r="G134" s="117">
        <v>0</v>
      </c>
      <c r="H134" s="117">
        <v>0</v>
      </c>
      <c r="I134" s="117">
        <v>0</v>
      </c>
      <c r="J134" s="117">
        <v>0</v>
      </c>
      <c r="K134" s="117">
        <v>0</v>
      </c>
      <c r="L134" s="117">
        <v>28</v>
      </c>
      <c r="M134" s="117">
        <v>1578500</v>
      </c>
      <c r="N134" s="117">
        <v>308</v>
      </c>
      <c r="O134" s="117">
        <v>0</v>
      </c>
      <c r="P134" s="117">
        <v>4530</v>
      </c>
      <c r="Q134" s="117">
        <v>296781800</v>
      </c>
    </row>
    <row r="135" spans="1:17" x14ac:dyDescent="0.25">
      <c r="A135" s="117">
        <v>540287</v>
      </c>
      <c r="B135" s="2" t="s">
        <v>326</v>
      </c>
      <c r="C135" s="2" t="s">
        <v>47</v>
      </c>
      <c r="D135" s="2" t="s">
        <v>115</v>
      </c>
      <c r="E135" s="117">
        <v>10</v>
      </c>
      <c r="F135" s="117">
        <v>0</v>
      </c>
      <c r="G135" s="117">
        <v>0</v>
      </c>
      <c r="H135" s="117">
        <v>6</v>
      </c>
      <c r="I135" s="117">
        <v>65300</v>
      </c>
      <c r="J135" s="117">
        <v>0</v>
      </c>
      <c r="K135" s="117">
        <v>0</v>
      </c>
      <c r="L135" s="117">
        <v>231</v>
      </c>
      <c r="M135" s="117">
        <v>4780900</v>
      </c>
      <c r="N135" s="117">
        <v>69</v>
      </c>
      <c r="O135" s="117">
        <v>0</v>
      </c>
      <c r="P135" s="117">
        <v>647</v>
      </c>
      <c r="Q135" s="117">
        <v>13068300</v>
      </c>
    </row>
    <row r="136" spans="1:17" x14ac:dyDescent="0.25">
      <c r="A136" s="117">
        <v>540152</v>
      </c>
      <c r="B136" s="2" t="s">
        <v>229</v>
      </c>
      <c r="C136" s="2" t="s">
        <v>47</v>
      </c>
      <c r="D136" s="2" t="s">
        <v>115</v>
      </c>
      <c r="E136" s="117">
        <v>10</v>
      </c>
      <c r="F136" s="117">
        <v>0</v>
      </c>
      <c r="G136" s="117">
        <v>0</v>
      </c>
      <c r="H136" s="117">
        <v>2</v>
      </c>
      <c r="I136" s="117">
        <v>127500</v>
      </c>
      <c r="J136" s="117">
        <v>0</v>
      </c>
      <c r="K136" s="117">
        <v>0</v>
      </c>
      <c r="L136" s="117">
        <v>16</v>
      </c>
      <c r="M136" s="117">
        <v>1347600</v>
      </c>
      <c r="N136" s="117">
        <v>7</v>
      </c>
      <c r="O136" s="117">
        <v>0</v>
      </c>
      <c r="P136" s="117">
        <v>123</v>
      </c>
      <c r="Q136" s="117">
        <v>12020100</v>
      </c>
    </row>
    <row r="137" spans="1:17" x14ac:dyDescent="0.25">
      <c r="A137" s="269"/>
      <c r="B137" s="269"/>
      <c r="C137" s="269" t="s">
        <v>47</v>
      </c>
      <c r="D137" s="269"/>
      <c r="E137" s="269"/>
      <c r="F137" s="270">
        <v>0</v>
      </c>
      <c r="G137" s="270">
        <v>0</v>
      </c>
      <c r="H137" s="270">
        <v>113</v>
      </c>
      <c r="I137" s="270">
        <v>5733000</v>
      </c>
      <c r="J137" s="270">
        <v>5</v>
      </c>
      <c r="K137" s="270">
        <v>0</v>
      </c>
      <c r="L137" s="270">
        <v>2875</v>
      </c>
      <c r="M137" s="270">
        <v>170720000</v>
      </c>
      <c r="N137" s="270">
        <v>1459</v>
      </c>
      <c r="O137" s="270">
        <v>0</v>
      </c>
      <c r="P137" s="270">
        <v>16951</v>
      </c>
      <c r="Q137" s="270">
        <v>1223362800</v>
      </c>
    </row>
    <row r="138" spans="1:17" x14ac:dyDescent="0.25">
      <c r="A138" s="117">
        <v>540112</v>
      </c>
      <c r="B138" s="2" t="s">
        <v>48</v>
      </c>
      <c r="C138" s="2" t="s">
        <v>49</v>
      </c>
      <c r="D138" s="2" t="s">
        <v>5</v>
      </c>
      <c r="E138" s="117">
        <v>2</v>
      </c>
      <c r="F138" s="117">
        <v>0</v>
      </c>
      <c r="G138" s="117">
        <v>0</v>
      </c>
      <c r="H138" s="117">
        <v>142</v>
      </c>
      <c r="I138" s="117">
        <v>6295100</v>
      </c>
      <c r="J138" s="117">
        <v>12</v>
      </c>
      <c r="K138" s="117">
        <v>0</v>
      </c>
      <c r="L138" s="117">
        <v>1226</v>
      </c>
      <c r="M138" s="117">
        <v>60978400</v>
      </c>
      <c r="N138" s="117">
        <v>1273</v>
      </c>
      <c r="O138" s="117">
        <v>0</v>
      </c>
      <c r="P138" s="117">
        <v>10197</v>
      </c>
      <c r="Q138" s="117">
        <v>678840210</v>
      </c>
    </row>
    <row r="139" spans="1:17" x14ac:dyDescent="0.25">
      <c r="A139" s="117">
        <v>540113</v>
      </c>
      <c r="B139" s="2" t="s">
        <v>200</v>
      </c>
      <c r="C139" s="2" t="s">
        <v>49</v>
      </c>
      <c r="D139" s="2" t="s">
        <v>115</v>
      </c>
      <c r="E139" s="117">
        <v>2</v>
      </c>
      <c r="F139" s="117">
        <v>0</v>
      </c>
      <c r="G139" s="117">
        <v>0</v>
      </c>
      <c r="H139" s="117">
        <v>0</v>
      </c>
      <c r="I139" s="117">
        <v>0</v>
      </c>
      <c r="J139" s="117">
        <v>2</v>
      </c>
      <c r="K139" s="117">
        <v>0</v>
      </c>
      <c r="L139" s="117">
        <v>4</v>
      </c>
      <c r="M139" s="117">
        <v>187700</v>
      </c>
      <c r="N139" s="117">
        <v>29</v>
      </c>
      <c r="O139" s="117">
        <v>0</v>
      </c>
      <c r="P139" s="117">
        <v>74</v>
      </c>
      <c r="Q139" s="117">
        <v>2361500</v>
      </c>
    </row>
    <row r="140" spans="1:17" x14ac:dyDescent="0.25">
      <c r="A140" s="117">
        <v>540247</v>
      </c>
      <c r="B140" s="2" t="s">
        <v>293</v>
      </c>
      <c r="C140" s="2" t="s">
        <v>49</v>
      </c>
      <c r="D140" s="2" t="s">
        <v>115</v>
      </c>
      <c r="E140" s="117">
        <v>2</v>
      </c>
      <c r="F140" s="117">
        <v>0</v>
      </c>
      <c r="G140" s="117">
        <v>0</v>
      </c>
      <c r="H140" s="117">
        <v>0</v>
      </c>
      <c r="I140" s="117">
        <v>0</v>
      </c>
      <c r="J140" s="117">
        <v>0</v>
      </c>
      <c r="K140" s="117">
        <v>0</v>
      </c>
      <c r="L140" s="117">
        <v>2</v>
      </c>
      <c r="M140" s="117">
        <v>42300</v>
      </c>
      <c r="N140" s="117">
        <v>359</v>
      </c>
      <c r="O140" s="117">
        <v>0</v>
      </c>
      <c r="P140" s="117">
        <v>78</v>
      </c>
      <c r="Q140" s="117">
        <v>2292500</v>
      </c>
    </row>
    <row r="141" spans="1:17" x14ac:dyDescent="0.25">
      <c r="A141" s="117">
        <v>540248</v>
      </c>
      <c r="B141" s="2" t="s">
        <v>294</v>
      </c>
      <c r="C141" s="2" t="s">
        <v>49</v>
      </c>
      <c r="D141" s="2" t="s">
        <v>115</v>
      </c>
      <c r="E141" s="117">
        <v>2</v>
      </c>
      <c r="F141" s="117">
        <v>0</v>
      </c>
      <c r="G141" s="117">
        <v>0</v>
      </c>
      <c r="H141" s="117">
        <v>0</v>
      </c>
      <c r="I141" s="117">
        <v>0</v>
      </c>
      <c r="J141" s="117">
        <v>0</v>
      </c>
      <c r="K141" s="117">
        <v>0</v>
      </c>
      <c r="L141" s="117">
        <v>10</v>
      </c>
      <c r="M141" s="117">
        <v>430600</v>
      </c>
      <c r="N141" s="117">
        <v>118</v>
      </c>
      <c r="O141" s="117">
        <v>0</v>
      </c>
      <c r="P141" s="117">
        <v>519</v>
      </c>
      <c r="Q141" s="117">
        <v>35136670</v>
      </c>
    </row>
    <row r="142" spans="1:17" x14ac:dyDescent="0.25">
      <c r="A142" s="117">
        <v>540249</v>
      </c>
      <c r="B142" s="2" t="s">
        <v>295</v>
      </c>
      <c r="C142" s="2" t="s">
        <v>49</v>
      </c>
      <c r="D142" s="2" t="s">
        <v>115</v>
      </c>
      <c r="E142" s="117">
        <v>2</v>
      </c>
      <c r="F142" s="117">
        <v>0</v>
      </c>
      <c r="G142" s="117">
        <v>0</v>
      </c>
      <c r="H142" s="117">
        <v>0</v>
      </c>
      <c r="I142" s="117">
        <v>0</v>
      </c>
      <c r="J142" s="117">
        <v>0</v>
      </c>
      <c r="K142" s="117">
        <v>0</v>
      </c>
      <c r="L142" s="117">
        <v>17</v>
      </c>
      <c r="M142" s="117">
        <v>406100</v>
      </c>
      <c r="N142" s="117">
        <v>62</v>
      </c>
      <c r="O142" s="117">
        <v>0</v>
      </c>
      <c r="P142" s="117">
        <v>851</v>
      </c>
      <c r="Q142" s="117">
        <v>50533400</v>
      </c>
    </row>
    <row r="143" spans="1:17" x14ac:dyDescent="0.25">
      <c r="A143" s="117">
        <v>540250</v>
      </c>
      <c r="B143" s="2" t="s">
        <v>296</v>
      </c>
      <c r="C143" s="2" t="s">
        <v>49</v>
      </c>
      <c r="D143" s="2" t="s">
        <v>115</v>
      </c>
      <c r="E143" s="117">
        <v>2</v>
      </c>
      <c r="F143" s="117">
        <v>0</v>
      </c>
      <c r="G143" s="117">
        <v>0</v>
      </c>
      <c r="H143" s="117">
        <v>0</v>
      </c>
      <c r="I143" s="117">
        <v>0</v>
      </c>
      <c r="J143" s="117">
        <v>1</v>
      </c>
      <c r="K143" s="117">
        <v>0</v>
      </c>
      <c r="L143" s="117">
        <v>17</v>
      </c>
      <c r="M143" s="117">
        <v>543400</v>
      </c>
      <c r="N143" s="117">
        <v>95</v>
      </c>
      <c r="O143" s="117">
        <v>0</v>
      </c>
      <c r="P143" s="117">
        <v>2229</v>
      </c>
      <c r="Q143" s="117">
        <v>211087000</v>
      </c>
    </row>
    <row r="144" spans="1:17" x14ac:dyDescent="0.25">
      <c r="A144" s="117">
        <v>540251</v>
      </c>
      <c r="B144" s="2" t="s">
        <v>297</v>
      </c>
      <c r="C144" s="2" t="s">
        <v>49</v>
      </c>
      <c r="D144" s="2" t="s">
        <v>115</v>
      </c>
      <c r="E144" s="117">
        <v>2</v>
      </c>
      <c r="F144" s="117">
        <v>0</v>
      </c>
      <c r="G144" s="117">
        <v>0</v>
      </c>
      <c r="H144" s="117">
        <v>1</v>
      </c>
      <c r="I144" s="117">
        <v>5000</v>
      </c>
      <c r="J144" s="117">
        <v>0</v>
      </c>
      <c r="K144" s="117">
        <v>0</v>
      </c>
      <c r="L144" s="117">
        <v>13</v>
      </c>
      <c r="M144" s="117">
        <v>195800</v>
      </c>
      <c r="N144" s="117">
        <v>178</v>
      </c>
      <c r="O144" s="117">
        <v>0</v>
      </c>
      <c r="P144" s="117">
        <v>9</v>
      </c>
      <c r="Q144" s="117">
        <v>150000</v>
      </c>
    </row>
    <row r="145" spans="1:17" x14ac:dyDescent="0.25">
      <c r="A145" s="269"/>
      <c r="B145" s="269"/>
      <c r="C145" s="269" t="s">
        <v>49</v>
      </c>
      <c r="D145" s="269"/>
      <c r="E145" s="269"/>
      <c r="F145" s="270">
        <v>0</v>
      </c>
      <c r="G145" s="270">
        <v>0</v>
      </c>
      <c r="H145" s="270">
        <v>143</v>
      </c>
      <c r="I145" s="270">
        <v>6300100</v>
      </c>
      <c r="J145" s="270">
        <v>15</v>
      </c>
      <c r="K145" s="270">
        <v>0</v>
      </c>
      <c r="L145" s="270">
        <v>1289</v>
      </c>
      <c r="M145" s="270">
        <v>62784300</v>
      </c>
      <c r="N145" s="270">
        <v>2114</v>
      </c>
      <c r="O145" s="270">
        <v>0</v>
      </c>
      <c r="P145" s="270">
        <v>13957</v>
      </c>
      <c r="Q145" s="270">
        <v>980401280</v>
      </c>
    </row>
    <row r="146" spans="1:17" x14ac:dyDescent="0.25">
      <c r="A146" s="117">
        <v>540114</v>
      </c>
      <c r="B146" s="2" t="s">
        <v>50</v>
      </c>
      <c r="C146" s="2" t="s">
        <v>51</v>
      </c>
      <c r="D146" s="2" t="s">
        <v>5</v>
      </c>
      <c r="E146" s="117">
        <v>1</v>
      </c>
      <c r="F146" s="117">
        <v>0</v>
      </c>
      <c r="G146" s="117">
        <v>0</v>
      </c>
      <c r="H146" s="117">
        <v>156</v>
      </c>
      <c r="I146" s="117">
        <v>1105900</v>
      </c>
      <c r="J146" s="117">
        <v>0</v>
      </c>
      <c r="K146" s="117">
        <v>0</v>
      </c>
      <c r="L146" s="117">
        <v>1895</v>
      </c>
      <c r="M146" s="117">
        <v>19885300</v>
      </c>
      <c r="N146" s="117">
        <v>2482</v>
      </c>
      <c r="O146" s="117">
        <v>77737300</v>
      </c>
      <c r="P146" s="117">
        <v>8898</v>
      </c>
      <c r="Q146" s="117">
        <v>78559100</v>
      </c>
    </row>
    <row r="147" spans="1:17" x14ac:dyDescent="0.25">
      <c r="A147" s="117">
        <v>540115</v>
      </c>
      <c r="B147" s="2" t="s">
        <v>201</v>
      </c>
      <c r="C147" s="2" t="s">
        <v>51</v>
      </c>
      <c r="D147" s="2" t="s">
        <v>115</v>
      </c>
      <c r="E147" s="117">
        <v>1</v>
      </c>
      <c r="F147" s="117">
        <v>0</v>
      </c>
      <c r="G147" s="117">
        <v>0</v>
      </c>
      <c r="H147" s="117">
        <v>13</v>
      </c>
      <c r="I147" s="117">
        <v>41700</v>
      </c>
      <c r="J147" s="117">
        <v>0</v>
      </c>
      <c r="K147" s="117">
        <v>0</v>
      </c>
      <c r="L147" s="117">
        <v>104</v>
      </c>
      <c r="M147" s="117">
        <v>191400</v>
      </c>
      <c r="N147" s="117">
        <v>52</v>
      </c>
      <c r="O147" s="117">
        <v>719000</v>
      </c>
      <c r="P147" s="117">
        <v>378</v>
      </c>
      <c r="Q147" s="117">
        <v>621900</v>
      </c>
    </row>
    <row r="148" spans="1:17" x14ac:dyDescent="0.25">
      <c r="A148" s="117">
        <v>540116</v>
      </c>
      <c r="B148" s="2" t="s">
        <v>202</v>
      </c>
      <c r="C148" s="2" t="s">
        <v>51</v>
      </c>
      <c r="D148" s="2" t="s">
        <v>115</v>
      </c>
      <c r="E148" s="117">
        <v>1</v>
      </c>
      <c r="F148" s="117">
        <v>0</v>
      </c>
      <c r="G148" s="117">
        <v>0</v>
      </c>
      <c r="H148" s="117">
        <v>3</v>
      </c>
      <c r="I148" s="117">
        <v>800</v>
      </c>
      <c r="J148" s="117">
        <v>0</v>
      </c>
      <c r="K148" s="117">
        <v>0</v>
      </c>
      <c r="L148" s="117">
        <v>60</v>
      </c>
      <c r="M148" s="117">
        <v>170600</v>
      </c>
      <c r="N148" s="117">
        <v>62</v>
      </c>
      <c r="O148" s="117">
        <v>847300</v>
      </c>
      <c r="P148" s="117">
        <v>277</v>
      </c>
      <c r="Q148" s="117">
        <v>1119200</v>
      </c>
    </row>
    <row r="149" spans="1:17" x14ac:dyDescent="0.25">
      <c r="A149" s="117">
        <v>540117</v>
      </c>
      <c r="B149" s="2" t="s">
        <v>203</v>
      </c>
      <c r="C149" s="2" t="s">
        <v>51</v>
      </c>
      <c r="D149" s="2" t="s">
        <v>115</v>
      </c>
      <c r="E149" s="117">
        <v>1</v>
      </c>
      <c r="F149" s="117">
        <v>0</v>
      </c>
      <c r="G149" s="117">
        <v>0</v>
      </c>
      <c r="H149" s="117">
        <v>0</v>
      </c>
      <c r="I149" s="117">
        <v>0</v>
      </c>
      <c r="J149" s="117">
        <v>0</v>
      </c>
      <c r="K149" s="117">
        <v>0</v>
      </c>
      <c r="L149" s="117">
        <v>34</v>
      </c>
      <c r="M149" s="117">
        <v>245600</v>
      </c>
      <c r="N149" s="117">
        <v>281</v>
      </c>
      <c r="O149" s="117">
        <v>7108300</v>
      </c>
      <c r="P149" s="117">
        <v>335</v>
      </c>
      <c r="Q149" s="117">
        <v>5921400</v>
      </c>
    </row>
    <row r="150" spans="1:17" x14ac:dyDescent="0.25">
      <c r="A150" s="117">
        <v>540118</v>
      </c>
      <c r="B150" s="2" t="s">
        <v>204</v>
      </c>
      <c r="C150" s="2" t="s">
        <v>51</v>
      </c>
      <c r="D150" s="2" t="s">
        <v>115</v>
      </c>
      <c r="E150" s="117">
        <v>1</v>
      </c>
      <c r="F150" s="117">
        <v>0</v>
      </c>
      <c r="G150" s="117">
        <v>0</v>
      </c>
      <c r="H150" s="117">
        <v>8</v>
      </c>
      <c r="I150" s="117">
        <v>7500</v>
      </c>
      <c r="J150" s="117">
        <v>5</v>
      </c>
      <c r="K150" s="117">
        <v>127500</v>
      </c>
      <c r="L150" s="117">
        <v>215</v>
      </c>
      <c r="M150" s="117">
        <v>594200</v>
      </c>
      <c r="N150" s="117">
        <v>70</v>
      </c>
      <c r="O150" s="117">
        <v>13322500</v>
      </c>
      <c r="P150" s="117">
        <v>536</v>
      </c>
      <c r="Q150" s="117">
        <v>2706300</v>
      </c>
    </row>
    <row r="151" spans="1:17" x14ac:dyDescent="0.25">
      <c r="A151" s="117">
        <v>540119</v>
      </c>
      <c r="B151" s="2" t="s">
        <v>205</v>
      </c>
      <c r="C151" s="2" t="s">
        <v>51</v>
      </c>
      <c r="D151" s="2" t="s">
        <v>115</v>
      </c>
      <c r="E151" s="117">
        <v>1</v>
      </c>
      <c r="F151" s="117">
        <v>0</v>
      </c>
      <c r="G151" s="117">
        <v>0</v>
      </c>
      <c r="H151" s="117">
        <v>14</v>
      </c>
      <c r="I151" s="117">
        <v>23800</v>
      </c>
      <c r="J151" s="117">
        <v>0</v>
      </c>
      <c r="K151" s="117">
        <v>0</v>
      </c>
      <c r="L151" s="117">
        <v>185</v>
      </c>
      <c r="M151" s="117">
        <v>533600</v>
      </c>
      <c r="N151" s="117">
        <v>95</v>
      </c>
      <c r="O151" s="117">
        <v>2440900</v>
      </c>
      <c r="P151" s="117">
        <v>256</v>
      </c>
      <c r="Q151" s="117">
        <v>959400</v>
      </c>
    </row>
    <row r="152" spans="1:17" x14ac:dyDescent="0.25">
      <c r="A152" s="117">
        <v>540120</v>
      </c>
      <c r="B152" s="2" t="s">
        <v>206</v>
      </c>
      <c r="C152" s="2" t="s">
        <v>51</v>
      </c>
      <c r="D152" s="2" t="s">
        <v>115</v>
      </c>
      <c r="E152" s="117">
        <v>1</v>
      </c>
      <c r="F152" s="117">
        <v>0</v>
      </c>
      <c r="G152" s="117">
        <v>0</v>
      </c>
      <c r="H152" s="117">
        <v>1</v>
      </c>
      <c r="I152" s="117">
        <v>8900</v>
      </c>
      <c r="J152" s="117">
        <v>0</v>
      </c>
      <c r="K152" s="117">
        <v>0</v>
      </c>
      <c r="L152" s="117">
        <v>49</v>
      </c>
      <c r="M152" s="117">
        <v>235100</v>
      </c>
      <c r="N152" s="117">
        <v>51</v>
      </c>
      <c r="O152" s="117">
        <v>991100</v>
      </c>
      <c r="P152" s="117">
        <v>184</v>
      </c>
      <c r="Q152" s="117">
        <v>1467400</v>
      </c>
    </row>
    <row r="153" spans="1:17" x14ac:dyDescent="0.25">
      <c r="A153" s="117">
        <v>540121</v>
      </c>
      <c r="B153" s="2" t="s">
        <v>207</v>
      </c>
      <c r="C153" s="2" t="s">
        <v>51</v>
      </c>
      <c r="D153" s="2" t="s">
        <v>115</v>
      </c>
      <c r="E153" s="117">
        <v>1</v>
      </c>
      <c r="F153" s="117">
        <v>0</v>
      </c>
      <c r="G153" s="117">
        <v>0</v>
      </c>
      <c r="H153" s="117">
        <v>12</v>
      </c>
      <c r="I153" s="117">
        <v>29000</v>
      </c>
      <c r="J153" s="117">
        <v>0</v>
      </c>
      <c r="K153" s="117">
        <v>0</v>
      </c>
      <c r="L153" s="117">
        <v>124</v>
      </c>
      <c r="M153" s="117">
        <v>632100</v>
      </c>
      <c r="N153" s="117">
        <v>140</v>
      </c>
      <c r="O153" s="117">
        <v>3696700</v>
      </c>
      <c r="P153" s="117">
        <v>212</v>
      </c>
      <c r="Q153" s="117">
        <v>1147300</v>
      </c>
    </row>
    <row r="154" spans="1:17" x14ac:dyDescent="0.25">
      <c r="A154" s="117">
        <v>540122</v>
      </c>
      <c r="B154" s="2" t="s">
        <v>208</v>
      </c>
      <c r="C154" s="2" t="s">
        <v>51</v>
      </c>
      <c r="D154" s="2" t="s">
        <v>115</v>
      </c>
      <c r="E154" s="117">
        <v>1</v>
      </c>
      <c r="F154" s="117">
        <v>0</v>
      </c>
      <c r="G154" s="117">
        <v>0</v>
      </c>
      <c r="H154" s="117">
        <v>6</v>
      </c>
      <c r="I154" s="117">
        <v>25500</v>
      </c>
      <c r="J154" s="117">
        <v>0</v>
      </c>
      <c r="K154" s="117">
        <v>0</v>
      </c>
      <c r="L154" s="117">
        <v>99</v>
      </c>
      <c r="M154" s="117">
        <v>426500</v>
      </c>
      <c r="N154" s="117">
        <v>167</v>
      </c>
      <c r="O154" s="117">
        <v>2475900</v>
      </c>
      <c r="P154" s="117">
        <v>466</v>
      </c>
      <c r="Q154" s="117">
        <v>3261700</v>
      </c>
    </row>
    <row r="155" spans="1:17" x14ac:dyDescent="0.25">
      <c r="A155" s="117">
        <v>540123</v>
      </c>
      <c r="B155" s="2" t="s">
        <v>209</v>
      </c>
      <c r="C155" s="2" t="s">
        <v>51</v>
      </c>
      <c r="D155" s="2" t="s">
        <v>115</v>
      </c>
      <c r="E155" s="117">
        <v>1</v>
      </c>
      <c r="F155" s="117">
        <v>0</v>
      </c>
      <c r="G155" s="117">
        <v>0</v>
      </c>
      <c r="H155" s="117">
        <v>34</v>
      </c>
      <c r="I155" s="117">
        <v>141500</v>
      </c>
      <c r="J155" s="117">
        <v>1</v>
      </c>
      <c r="K155" s="117">
        <v>69200</v>
      </c>
      <c r="L155" s="117">
        <v>710</v>
      </c>
      <c r="M155" s="117">
        <v>5246400</v>
      </c>
      <c r="N155" s="117">
        <v>380</v>
      </c>
      <c r="O155" s="117">
        <v>29796200</v>
      </c>
      <c r="P155" s="117">
        <v>1670</v>
      </c>
      <c r="Q155" s="117">
        <v>23440400</v>
      </c>
    </row>
    <row r="156" spans="1:17" x14ac:dyDescent="0.25">
      <c r="A156" s="117">
        <v>540291</v>
      </c>
      <c r="B156" s="2" t="s">
        <v>328</v>
      </c>
      <c r="C156" s="2" t="s">
        <v>51</v>
      </c>
      <c r="D156" s="2" t="s">
        <v>115</v>
      </c>
      <c r="E156" s="117">
        <v>1</v>
      </c>
      <c r="F156" s="117">
        <v>0</v>
      </c>
      <c r="G156" s="117">
        <v>0</v>
      </c>
      <c r="H156" s="117">
        <v>7</v>
      </c>
      <c r="I156" s="117">
        <v>4700</v>
      </c>
      <c r="J156" s="117">
        <v>0</v>
      </c>
      <c r="K156" s="117">
        <v>0</v>
      </c>
      <c r="L156" s="117">
        <v>37</v>
      </c>
      <c r="M156" s="117">
        <v>163900</v>
      </c>
      <c r="N156" s="117">
        <v>55</v>
      </c>
      <c r="O156" s="117">
        <v>619100</v>
      </c>
      <c r="P156" s="117">
        <v>247</v>
      </c>
      <c r="Q156" s="117">
        <v>2016700</v>
      </c>
    </row>
    <row r="157" spans="1:17" x14ac:dyDescent="0.25">
      <c r="A157" s="269"/>
      <c r="B157" s="269"/>
      <c r="C157" s="269" t="s">
        <v>51</v>
      </c>
      <c r="D157" s="269"/>
      <c r="E157" s="269"/>
      <c r="F157" s="270">
        <v>0</v>
      </c>
      <c r="G157" s="270">
        <v>0</v>
      </c>
      <c r="H157" s="270">
        <v>254</v>
      </c>
      <c r="I157" s="270">
        <v>1389300</v>
      </c>
      <c r="J157" s="270">
        <v>6</v>
      </c>
      <c r="K157" s="270">
        <v>196700</v>
      </c>
      <c r="L157" s="270">
        <v>3512</v>
      </c>
      <c r="M157" s="270">
        <v>28324700</v>
      </c>
      <c r="N157" s="270">
        <v>3835</v>
      </c>
      <c r="O157" s="270">
        <v>139754300</v>
      </c>
      <c r="P157" s="270">
        <v>13459</v>
      </c>
      <c r="Q157" s="270">
        <v>121220800</v>
      </c>
    </row>
    <row r="158" spans="1:17" x14ac:dyDescent="0.25">
      <c r="A158" s="117">
        <v>540124</v>
      </c>
      <c r="B158" s="2" t="s">
        <v>52</v>
      </c>
      <c r="C158" s="2" t="s">
        <v>53</v>
      </c>
      <c r="D158" s="2" t="s">
        <v>5</v>
      </c>
      <c r="E158" s="117">
        <v>1</v>
      </c>
      <c r="F158" s="117">
        <v>0</v>
      </c>
      <c r="G158" s="117">
        <v>0</v>
      </c>
      <c r="H158" s="117">
        <v>524</v>
      </c>
      <c r="I158" s="117">
        <v>22884100</v>
      </c>
      <c r="J158" s="117">
        <v>6</v>
      </c>
      <c r="K158" s="117">
        <v>209300</v>
      </c>
      <c r="L158" s="117">
        <v>2843</v>
      </c>
      <c r="M158" s="117">
        <v>109411600</v>
      </c>
      <c r="N158" s="117">
        <v>2082</v>
      </c>
      <c r="O158" s="117">
        <v>363928700</v>
      </c>
      <c r="P158" s="117">
        <v>22062</v>
      </c>
      <c r="Q158" s="117">
        <v>1465505900</v>
      </c>
    </row>
    <row r="159" spans="1:17" x14ac:dyDescent="0.25">
      <c r="A159" s="117">
        <v>540125</v>
      </c>
      <c r="B159" s="2" t="s">
        <v>210</v>
      </c>
      <c r="C159" s="2" t="s">
        <v>53</v>
      </c>
      <c r="D159" s="2" t="s">
        <v>115</v>
      </c>
      <c r="E159" s="117">
        <v>1</v>
      </c>
      <c r="F159" s="117">
        <v>0</v>
      </c>
      <c r="G159" s="117">
        <v>0</v>
      </c>
      <c r="H159" s="117">
        <v>1</v>
      </c>
      <c r="I159" s="117">
        <v>26600</v>
      </c>
      <c r="J159" s="117">
        <v>0</v>
      </c>
      <c r="K159" s="117">
        <v>0</v>
      </c>
      <c r="L159" s="117">
        <v>7</v>
      </c>
      <c r="M159" s="117">
        <v>425600</v>
      </c>
      <c r="N159" s="117">
        <v>42</v>
      </c>
      <c r="O159" s="117">
        <v>1296800</v>
      </c>
      <c r="P159" s="117">
        <v>357</v>
      </c>
      <c r="Q159" s="117">
        <v>5804000</v>
      </c>
    </row>
    <row r="160" spans="1:17" x14ac:dyDescent="0.25">
      <c r="A160" s="117">
        <v>540126</v>
      </c>
      <c r="B160" s="2" t="s">
        <v>211</v>
      </c>
      <c r="C160" s="2" t="s">
        <v>53</v>
      </c>
      <c r="D160" s="2" t="s">
        <v>115</v>
      </c>
      <c r="E160" s="117">
        <v>1</v>
      </c>
      <c r="F160" s="117">
        <v>0</v>
      </c>
      <c r="G160" s="117">
        <v>0</v>
      </c>
      <c r="H160" s="117">
        <v>0</v>
      </c>
      <c r="I160" s="117">
        <v>0</v>
      </c>
      <c r="J160" s="117">
        <v>0</v>
      </c>
      <c r="K160" s="117">
        <v>0</v>
      </c>
      <c r="L160" s="117">
        <v>0</v>
      </c>
      <c r="M160" s="117">
        <v>0</v>
      </c>
      <c r="N160" s="117">
        <v>59</v>
      </c>
      <c r="O160" s="117">
        <v>1389800</v>
      </c>
      <c r="P160" s="117">
        <v>244</v>
      </c>
      <c r="Q160" s="117">
        <v>1280200</v>
      </c>
    </row>
    <row r="161" spans="1:17" x14ac:dyDescent="0.25">
      <c r="A161" s="117">
        <v>540127</v>
      </c>
      <c r="B161" s="2" t="s">
        <v>212</v>
      </c>
      <c r="C161" s="2" t="s">
        <v>53</v>
      </c>
      <c r="D161" s="2" t="s">
        <v>115</v>
      </c>
      <c r="E161" s="117">
        <v>1</v>
      </c>
      <c r="F161" s="117">
        <v>0</v>
      </c>
      <c r="G161" s="117">
        <v>0</v>
      </c>
      <c r="H161" s="117">
        <v>7</v>
      </c>
      <c r="I161" s="117">
        <v>28100</v>
      </c>
      <c r="J161" s="117">
        <v>0</v>
      </c>
      <c r="K161" s="117">
        <v>0</v>
      </c>
      <c r="L161" s="117">
        <v>9</v>
      </c>
      <c r="M161" s="117">
        <v>58900</v>
      </c>
      <c r="N161" s="117">
        <v>26</v>
      </c>
      <c r="O161" s="117">
        <v>387900</v>
      </c>
      <c r="P161" s="117">
        <v>42</v>
      </c>
      <c r="Q161" s="117">
        <v>616200</v>
      </c>
    </row>
    <row r="162" spans="1:17" x14ac:dyDescent="0.25">
      <c r="A162" s="117">
        <v>540128</v>
      </c>
      <c r="B162" s="2" t="s">
        <v>213</v>
      </c>
      <c r="C162" s="2" t="s">
        <v>53</v>
      </c>
      <c r="D162" s="2" t="s">
        <v>115</v>
      </c>
      <c r="E162" s="117">
        <v>1</v>
      </c>
      <c r="F162" s="117">
        <v>0</v>
      </c>
      <c r="G162" s="117">
        <v>0</v>
      </c>
      <c r="H162" s="117">
        <v>8</v>
      </c>
      <c r="I162" s="117">
        <v>51100</v>
      </c>
      <c r="J162" s="117">
        <v>0</v>
      </c>
      <c r="K162" s="117">
        <v>0</v>
      </c>
      <c r="L162" s="117">
        <v>78</v>
      </c>
      <c r="M162" s="117">
        <v>2438900</v>
      </c>
      <c r="N162" s="117">
        <v>222</v>
      </c>
      <c r="O162" s="117">
        <v>92797000</v>
      </c>
      <c r="P162" s="117">
        <v>3589</v>
      </c>
      <c r="Q162" s="117">
        <v>278510000</v>
      </c>
    </row>
    <row r="163" spans="1:17" x14ac:dyDescent="0.25">
      <c r="A163" s="117">
        <v>540172</v>
      </c>
      <c r="B163" s="2" t="s">
        <v>244</v>
      </c>
      <c r="C163" s="2" t="s">
        <v>53</v>
      </c>
      <c r="D163" s="2" t="s">
        <v>115</v>
      </c>
      <c r="E163" s="117">
        <v>1</v>
      </c>
      <c r="F163" s="117">
        <v>0</v>
      </c>
      <c r="G163" s="117">
        <v>0</v>
      </c>
      <c r="H163" s="117">
        <v>1</v>
      </c>
      <c r="I163" s="117">
        <v>51600</v>
      </c>
      <c r="J163" s="117">
        <v>0</v>
      </c>
      <c r="K163" s="117">
        <v>0</v>
      </c>
      <c r="L163" s="117">
        <v>13</v>
      </c>
      <c r="M163" s="117">
        <v>379600</v>
      </c>
      <c r="N163" s="117">
        <v>0</v>
      </c>
      <c r="O163" s="117">
        <v>0</v>
      </c>
      <c r="P163" s="117">
        <v>476</v>
      </c>
      <c r="Q163" s="117">
        <v>35064100</v>
      </c>
    </row>
    <row r="164" spans="1:17" x14ac:dyDescent="0.25">
      <c r="A164" s="117">
        <v>540285</v>
      </c>
      <c r="B164" s="2" t="s">
        <v>324</v>
      </c>
      <c r="C164" s="2" t="s">
        <v>53</v>
      </c>
      <c r="D164" s="2" t="s">
        <v>115</v>
      </c>
      <c r="E164" s="117">
        <v>1</v>
      </c>
      <c r="F164" s="117">
        <v>0</v>
      </c>
      <c r="G164" s="117">
        <v>0</v>
      </c>
      <c r="H164" s="117">
        <v>189</v>
      </c>
      <c r="I164" s="117">
        <v>8561400</v>
      </c>
      <c r="J164" s="117">
        <v>0</v>
      </c>
      <c r="K164" s="117">
        <v>0</v>
      </c>
      <c r="L164" s="117">
        <v>1811</v>
      </c>
      <c r="M164" s="117">
        <v>76708900</v>
      </c>
      <c r="N164" s="117">
        <v>2</v>
      </c>
      <c r="O164" s="117">
        <v>16200</v>
      </c>
      <c r="P164" s="117">
        <v>6429</v>
      </c>
      <c r="Q164" s="117">
        <v>437299700</v>
      </c>
    </row>
    <row r="165" spans="1:17" x14ac:dyDescent="0.25">
      <c r="A165" s="269"/>
      <c r="B165" s="269"/>
      <c r="C165" s="269" t="s">
        <v>53</v>
      </c>
      <c r="D165" s="269"/>
      <c r="E165" s="269"/>
      <c r="F165" s="270">
        <v>0</v>
      </c>
      <c r="G165" s="270">
        <v>0</v>
      </c>
      <c r="H165" s="270">
        <v>730</v>
      </c>
      <c r="I165" s="270">
        <v>31602900</v>
      </c>
      <c r="J165" s="270">
        <v>6</v>
      </c>
      <c r="K165" s="270">
        <v>209300</v>
      </c>
      <c r="L165" s="270">
        <v>4761</v>
      </c>
      <c r="M165" s="270">
        <v>189423500</v>
      </c>
      <c r="N165" s="270">
        <v>2433</v>
      </c>
      <c r="O165" s="270">
        <v>459816400</v>
      </c>
      <c r="P165" s="270">
        <v>33199</v>
      </c>
      <c r="Q165" s="270">
        <v>2224080100</v>
      </c>
    </row>
    <row r="166" spans="1:17" x14ac:dyDescent="0.25">
      <c r="A166" s="117">
        <v>540129</v>
      </c>
      <c r="B166" s="2" t="s">
        <v>54</v>
      </c>
      <c r="C166" s="2" t="s">
        <v>55</v>
      </c>
      <c r="D166" s="2" t="s">
        <v>5</v>
      </c>
      <c r="E166" s="117">
        <v>8</v>
      </c>
      <c r="F166" s="117">
        <v>0</v>
      </c>
      <c r="G166" s="117">
        <v>0</v>
      </c>
      <c r="H166" s="117">
        <v>200</v>
      </c>
      <c r="I166" s="117">
        <v>14037200</v>
      </c>
      <c r="J166" s="117">
        <v>1</v>
      </c>
      <c r="K166" s="117">
        <v>73900</v>
      </c>
      <c r="L166" s="117">
        <v>1382</v>
      </c>
      <c r="M166" s="117">
        <v>98800600</v>
      </c>
      <c r="N166" s="117">
        <v>744</v>
      </c>
      <c r="O166" s="117">
        <v>98242500</v>
      </c>
      <c r="P166" s="117">
        <v>11180</v>
      </c>
      <c r="Q166" s="117">
        <v>913604800</v>
      </c>
    </row>
    <row r="167" spans="1:17" x14ac:dyDescent="0.25">
      <c r="A167" s="117">
        <v>540130</v>
      </c>
      <c r="B167" s="2" t="s">
        <v>214</v>
      </c>
      <c r="C167" s="2" t="s">
        <v>55</v>
      </c>
      <c r="D167" s="2" t="s">
        <v>115</v>
      </c>
      <c r="E167" s="117">
        <v>8</v>
      </c>
      <c r="F167" s="117">
        <v>0</v>
      </c>
      <c r="G167" s="117">
        <v>0</v>
      </c>
      <c r="H167" s="117">
        <v>3</v>
      </c>
      <c r="I167" s="117">
        <v>283900</v>
      </c>
      <c r="J167" s="117">
        <v>0</v>
      </c>
      <c r="K167" s="117">
        <v>0</v>
      </c>
      <c r="L167" s="117">
        <v>67</v>
      </c>
      <c r="M167" s="117">
        <v>2436000</v>
      </c>
      <c r="N167" s="117">
        <v>512</v>
      </c>
      <c r="O167" s="117">
        <v>31982000</v>
      </c>
      <c r="P167" s="117">
        <v>1666</v>
      </c>
      <c r="Q167" s="117">
        <v>144269400</v>
      </c>
    </row>
    <row r="168" spans="1:17" x14ac:dyDescent="0.25">
      <c r="A168" s="117">
        <v>540131</v>
      </c>
      <c r="B168" s="2" t="s">
        <v>215</v>
      </c>
      <c r="C168" s="2" t="s">
        <v>55</v>
      </c>
      <c r="D168" s="2" t="s">
        <v>115</v>
      </c>
      <c r="E168" s="117">
        <v>8</v>
      </c>
      <c r="F168" s="117">
        <v>0</v>
      </c>
      <c r="G168" s="117">
        <v>0</v>
      </c>
      <c r="H168" s="117">
        <v>25</v>
      </c>
      <c r="I168" s="117">
        <v>263500</v>
      </c>
      <c r="J168" s="117">
        <v>0</v>
      </c>
      <c r="K168" s="117">
        <v>0</v>
      </c>
      <c r="L168" s="117">
        <v>102</v>
      </c>
      <c r="M168" s="117">
        <v>1431000</v>
      </c>
      <c r="N168" s="117">
        <v>52</v>
      </c>
      <c r="O168" s="117">
        <v>3413400</v>
      </c>
      <c r="P168" s="117">
        <v>384</v>
      </c>
      <c r="Q168" s="117">
        <v>10139500</v>
      </c>
    </row>
    <row r="169" spans="1:17" x14ac:dyDescent="0.25">
      <c r="A169" s="117">
        <v>540155</v>
      </c>
      <c r="B169" s="2" t="s">
        <v>231</v>
      </c>
      <c r="C169" s="2" t="s">
        <v>55</v>
      </c>
      <c r="D169" s="2" t="s">
        <v>115</v>
      </c>
      <c r="E169" s="117">
        <v>8</v>
      </c>
      <c r="F169" s="117">
        <v>0</v>
      </c>
      <c r="G169" s="117">
        <v>0</v>
      </c>
      <c r="H169" s="117">
        <v>2</v>
      </c>
      <c r="I169" s="117">
        <v>59900</v>
      </c>
      <c r="J169" s="117">
        <v>6</v>
      </c>
      <c r="K169" s="117">
        <v>370600</v>
      </c>
      <c r="L169" s="117">
        <v>37</v>
      </c>
      <c r="M169" s="117">
        <v>1398200</v>
      </c>
      <c r="N169" s="117">
        <v>37</v>
      </c>
      <c r="O169" s="117">
        <v>156100</v>
      </c>
      <c r="P169" s="117">
        <v>397</v>
      </c>
      <c r="Q169" s="117">
        <v>18399900</v>
      </c>
    </row>
    <row r="170" spans="1:17" x14ac:dyDescent="0.25">
      <c r="A170" s="117">
        <v>545555</v>
      </c>
      <c r="B170" s="2" t="s">
        <v>336</v>
      </c>
      <c r="C170" s="2" t="s">
        <v>55</v>
      </c>
      <c r="D170" s="2" t="s">
        <v>115</v>
      </c>
      <c r="E170" s="117">
        <v>8</v>
      </c>
      <c r="F170" s="117">
        <v>0</v>
      </c>
      <c r="G170" s="117">
        <v>0</v>
      </c>
      <c r="H170" s="117">
        <v>1</v>
      </c>
      <c r="I170" s="117">
        <v>15100</v>
      </c>
      <c r="J170" s="117">
        <v>0</v>
      </c>
      <c r="K170" s="117">
        <v>0</v>
      </c>
      <c r="L170" s="117">
        <v>21</v>
      </c>
      <c r="M170" s="117">
        <v>865700</v>
      </c>
      <c r="N170" s="117">
        <v>0</v>
      </c>
      <c r="O170" s="117">
        <v>0</v>
      </c>
      <c r="P170" s="117">
        <v>594</v>
      </c>
      <c r="Q170" s="117">
        <v>35062800</v>
      </c>
    </row>
    <row r="171" spans="1:17" x14ac:dyDescent="0.25">
      <c r="A171" s="117">
        <v>540091</v>
      </c>
      <c r="B171" s="2" t="s">
        <v>338</v>
      </c>
      <c r="C171" s="2" t="s">
        <v>55</v>
      </c>
      <c r="D171" s="2" t="s">
        <v>115</v>
      </c>
      <c r="E171" s="117">
        <v>8</v>
      </c>
      <c r="F171" s="117">
        <v>0</v>
      </c>
      <c r="G171" s="117">
        <v>0</v>
      </c>
      <c r="H171" s="117">
        <v>0</v>
      </c>
      <c r="I171" s="117">
        <v>0</v>
      </c>
      <c r="J171" s="117">
        <v>0</v>
      </c>
      <c r="K171" s="117">
        <v>0</v>
      </c>
      <c r="L171" s="117">
        <v>1</v>
      </c>
      <c r="M171" s="117">
        <v>700</v>
      </c>
      <c r="N171" s="117">
        <v>0</v>
      </c>
      <c r="O171" s="117">
        <v>0</v>
      </c>
      <c r="P171" s="117">
        <v>169</v>
      </c>
      <c r="Q171" s="117">
        <v>4869800</v>
      </c>
    </row>
    <row r="172" spans="1:17" x14ac:dyDescent="0.25">
      <c r="A172" s="269"/>
      <c r="B172" s="269"/>
      <c r="C172" s="269" t="s">
        <v>55</v>
      </c>
      <c r="D172" s="269"/>
      <c r="E172" s="269"/>
      <c r="F172" s="270">
        <v>0</v>
      </c>
      <c r="G172" s="270">
        <v>0</v>
      </c>
      <c r="H172" s="270">
        <v>231</v>
      </c>
      <c r="I172" s="270">
        <v>14659600</v>
      </c>
      <c r="J172" s="270">
        <v>7</v>
      </c>
      <c r="K172" s="270">
        <v>444500</v>
      </c>
      <c r="L172" s="270">
        <v>1610</v>
      </c>
      <c r="M172" s="270">
        <v>104932200</v>
      </c>
      <c r="N172" s="270">
        <v>1345</v>
      </c>
      <c r="O172" s="270">
        <v>133794000</v>
      </c>
      <c r="P172" s="270">
        <v>14390</v>
      </c>
      <c r="Q172" s="270">
        <v>1126346200</v>
      </c>
    </row>
    <row r="173" spans="1:17" x14ac:dyDescent="0.25">
      <c r="A173" s="117">
        <v>540133</v>
      </c>
      <c r="B173" s="2" t="s">
        <v>56</v>
      </c>
      <c r="C173" s="2" t="s">
        <v>57</v>
      </c>
      <c r="D173" s="2" t="s">
        <v>5</v>
      </c>
      <c r="E173" s="117">
        <v>2</v>
      </c>
      <c r="F173" s="117">
        <v>0</v>
      </c>
      <c r="G173" s="117">
        <v>0</v>
      </c>
      <c r="H173" s="117">
        <v>314</v>
      </c>
      <c r="I173" s="117">
        <v>5528000</v>
      </c>
      <c r="J173" s="117">
        <v>4</v>
      </c>
      <c r="K173" s="117">
        <v>0</v>
      </c>
      <c r="L173" s="117">
        <v>1307</v>
      </c>
      <c r="M173" s="117">
        <v>24451900</v>
      </c>
      <c r="N173" s="117">
        <v>4803</v>
      </c>
      <c r="O173" s="117">
        <v>0</v>
      </c>
      <c r="P173" s="117">
        <v>7965</v>
      </c>
      <c r="Q173" s="117">
        <v>173379600</v>
      </c>
    </row>
    <row r="174" spans="1:17" x14ac:dyDescent="0.25">
      <c r="A174" s="117">
        <v>540134</v>
      </c>
      <c r="B174" s="2" t="s">
        <v>217</v>
      </c>
      <c r="C174" s="2" t="s">
        <v>57</v>
      </c>
      <c r="D174" s="2" t="s">
        <v>115</v>
      </c>
      <c r="E174" s="117">
        <v>2</v>
      </c>
      <c r="F174" s="117">
        <v>0</v>
      </c>
      <c r="G174" s="117">
        <v>0</v>
      </c>
      <c r="H174" s="117">
        <v>2</v>
      </c>
      <c r="I174" s="117">
        <v>3000</v>
      </c>
      <c r="J174" s="117">
        <v>0</v>
      </c>
      <c r="K174" s="117">
        <v>0</v>
      </c>
      <c r="L174" s="117">
        <v>58</v>
      </c>
      <c r="M174" s="117">
        <v>280700</v>
      </c>
      <c r="N174" s="117">
        <v>216</v>
      </c>
      <c r="O174" s="117">
        <v>0</v>
      </c>
      <c r="P174" s="117">
        <v>368</v>
      </c>
      <c r="Q174" s="117">
        <v>6845700</v>
      </c>
    </row>
    <row r="175" spans="1:17" x14ac:dyDescent="0.25">
      <c r="A175" s="117">
        <v>540135</v>
      </c>
      <c r="B175" s="2" t="s">
        <v>218</v>
      </c>
      <c r="C175" s="2" t="s">
        <v>57</v>
      </c>
      <c r="D175" s="2" t="s">
        <v>115</v>
      </c>
      <c r="E175" s="117">
        <v>2</v>
      </c>
      <c r="F175" s="117">
        <v>0</v>
      </c>
      <c r="G175" s="117">
        <v>0</v>
      </c>
      <c r="H175" s="117">
        <v>9</v>
      </c>
      <c r="I175" s="117">
        <v>38200</v>
      </c>
      <c r="J175" s="117">
        <v>0</v>
      </c>
      <c r="K175" s="117">
        <v>0</v>
      </c>
      <c r="L175" s="117">
        <v>90</v>
      </c>
      <c r="M175" s="117">
        <v>616100</v>
      </c>
      <c r="N175" s="117">
        <v>113</v>
      </c>
      <c r="O175" s="117">
        <v>0</v>
      </c>
      <c r="P175" s="117">
        <v>600</v>
      </c>
      <c r="Q175" s="117">
        <v>9689500</v>
      </c>
    </row>
    <row r="176" spans="1:17" x14ac:dyDescent="0.25">
      <c r="A176" s="117">
        <v>540136</v>
      </c>
      <c r="B176" s="2" t="s">
        <v>219</v>
      </c>
      <c r="C176" s="2" t="s">
        <v>57</v>
      </c>
      <c r="D176" s="2" t="s">
        <v>115</v>
      </c>
      <c r="E176" s="117">
        <v>2</v>
      </c>
      <c r="F176" s="117">
        <v>0</v>
      </c>
      <c r="G176" s="117">
        <v>0</v>
      </c>
      <c r="H176" s="117">
        <v>3</v>
      </c>
      <c r="I176" s="117">
        <v>4500</v>
      </c>
      <c r="J176" s="117">
        <v>0</v>
      </c>
      <c r="K176" s="117">
        <v>0</v>
      </c>
      <c r="L176" s="117">
        <v>55</v>
      </c>
      <c r="M176" s="117">
        <v>688400</v>
      </c>
      <c r="N176" s="117">
        <v>136</v>
      </c>
      <c r="O176" s="117">
        <v>0</v>
      </c>
      <c r="P176" s="117">
        <v>267</v>
      </c>
      <c r="Q176" s="117">
        <v>3635500</v>
      </c>
    </row>
    <row r="177" spans="1:17" x14ac:dyDescent="0.25">
      <c r="A177" s="117">
        <v>540138</v>
      </c>
      <c r="B177" s="2" t="s">
        <v>221</v>
      </c>
      <c r="C177" s="2" t="s">
        <v>57</v>
      </c>
      <c r="D177" s="2" t="s">
        <v>115</v>
      </c>
      <c r="E177" s="117">
        <v>2</v>
      </c>
      <c r="F177" s="117">
        <v>0</v>
      </c>
      <c r="G177" s="117">
        <v>0</v>
      </c>
      <c r="H177" s="117">
        <v>126</v>
      </c>
      <c r="I177" s="117">
        <v>1078500</v>
      </c>
      <c r="J177" s="117">
        <v>0</v>
      </c>
      <c r="K177" s="117">
        <v>0</v>
      </c>
      <c r="L177" s="117">
        <v>642</v>
      </c>
      <c r="M177" s="117">
        <v>8249100</v>
      </c>
      <c r="N177" s="117">
        <v>86</v>
      </c>
      <c r="O177" s="117">
        <v>0</v>
      </c>
      <c r="P177" s="117">
        <v>3198</v>
      </c>
      <c r="Q177" s="117">
        <v>123483900</v>
      </c>
    </row>
    <row r="178" spans="1:17" x14ac:dyDescent="0.25">
      <c r="A178" s="117">
        <v>545538</v>
      </c>
      <c r="B178" s="2" t="s">
        <v>334</v>
      </c>
      <c r="C178" s="2" t="s">
        <v>57</v>
      </c>
      <c r="D178" s="2" t="s">
        <v>115</v>
      </c>
      <c r="E178" s="117">
        <v>2</v>
      </c>
      <c r="F178" s="117">
        <v>0</v>
      </c>
      <c r="G178" s="117">
        <v>0</v>
      </c>
      <c r="H178" s="117">
        <v>4</v>
      </c>
      <c r="I178" s="117">
        <v>56000</v>
      </c>
      <c r="J178" s="117">
        <v>0</v>
      </c>
      <c r="K178" s="117">
        <v>0</v>
      </c>
      <c r="L178" s="117">
        <v>29</v>
      </c>
      <c r="M178" s="117">
        <v>139500</v>
      </c>
      <c r="N178" s="117">
        <v>81</v>
      </c>
      <c r="O178" s="117">
        <v>0</v>
      </c>
      <c r="P178" s="117">
        <v>321</v>
      </c>
      <c r="Q178" s="117">
        <v>11640800</v>
      </c>
    </row>
    <row r="179" spans="1:17" x14ac:dyDescent="0.25">
      <c r="A179" s="269"/>
      <c r="B179" s="269"/>
      <c r="C179" s="269" t="s">
        <v>57</v>
      </c>
      <c r="D179" s="269"/>
      <c r="E179" s="269"/>
      <c r="F179" s="270">
        <v>0</v>
      </c>
      <c r="G179" s="270">
        <v>0</v>
      </c>
      <c r="H179" s="270">
        <v>458</v>
      </c>
      <c r="I179" s="270">
        <v>6708200</v>
      </c>
      <c r="J179" s="270">
        <v>4</v>
      </c>
      <c r="K179" s="270">
        <v>0</v>
      </c>
      <c r="L179" s="270">
        <v>2181</v>
      </c>
      <c r="M179" s="270">
        <v>34425700</v>
      </c>
      <c r="N179" s="270">
        <v>5435</v>
      </c>
      <c r="O179" s="270">
        <v>0</v>
      </c>
      <c r="P179" s="270">
        <v>12719</v>
      </c>
      <c r="Q179" s="270">
        <v>328675000</v>
      </c>
    </row>
    <row r="180" spans="1:17" x14ac:dyDescent="0.25">
      <c r="A180" s="117">
        <v>540139</v>
      </c>
      <c r="B180" s="2" t="s">
        <v>58</v>
      </c>
      <c r="C180" s="2" t="s">
        <v>59</v>
      </c>
      <c r="D180" s="2" t="s">
        <v>5</v>
      </c>
      <c r="E180" s="117">
        <v>6</v>
      </c>
      <c r="F180" s="117">
        <v>0</v>
      </c>
      <c r="G180" s="117">
        <v>0</v>
      </c>
      <c r="H180" s="117">
        <v>315</v>
      </c>
      <c r="I180" s="117">
        <v>31234774</v>
      </c>
      <c r="J180" s="117">
        <v>18</v>
      </c>
      <c r="K180" s="117">
        <v>10911600</v>
      </c>
      <c r="L180" s="117">
        <v>3713</v>
      </c>
      <c r="M180" s="117">
        <v>525414016</v>
      </c>
      <c r="N180" s="117">
        <v>991</v>
      </c>
      <c r="O180" s="117">
        <v>171515200</v>
      </c>
      <c r="P180" s="117">
        <v>28977</v>
      </c>
      <c r="Q180" s="117">
        <v>4744180177</v>
      </c>
    </row>
    <row r="181" spans="1:17" x14ac:dyDescent="0.25">
      <c r="A181" s="117">
        <v>540140</v>
      </c>
      <c r="B181" s="2" t="s">
        <v>222</v>
      </c>
      <c r="C181" s="2" t="s">
        <v>59</v>
      </c>
      <c r="D181" s="2" t="s">
        <v>115</v>
      </c>
      <c r="E181" s="117">
        <v>6</v>
      </c>
      <c r="F181" s="117">
        <v>0</v>
      </c>
      <c r="G181" s="117">
        <v>0</v>
      </c>
      <c r="H181" s="117">
        <v>0</v>
      </c>
      <c r="I181" s="117">
        <v>0</v>
      </c>
      <c r="J181" s="117">
        <v>1</v>
      </c>
      <c r="K181" s="117">
        <v>24700</v>
      </c>
      <c r="L181" s="117">
        <v>9</v>
      </c>
      <c r="M181" s="117">
        <v>197600</v>
      </c>
      <c r="N181" s="117">
        <v>14</v>
      </c>
      <c r="O181" s="117">
        <v>626100</v>
      </c>
      <c r="P181" s="117">
        <v>117</v>
      </c>
      <c r="Q181" s="117">
        <v>6084200</v>
      </c>
    </row>
    <row r="182" spans="1:17" x14ac:dyDescent="0.25">
      <c r="A182" s="117">
        <v>540141</v>
      </c>
      <c r="B182" s="2" t="s">
        <v>223</v>
      </c>
      <c r="C182" s="2" t="s">
        <v>59</v>
      </c>
      <c r="D182" s="2" t="s">
        <v>115</v>
      </c>
      <c r="E182" s="117">
        <v>6</v>
      </c>
      <c r="F182" s="117">
        <v>0</v>
      </c>
      <c r="G182" s="117">
        <v>0</v>
      </c>
      <c r="H182" s="117">
        <v>105</v>
      </c>
      <c r="I182" s="117">
        <v>9577500</v>
      </c>
      <c r="J182" s="117">
        <v>1</v>
      </c>
      <c r="K182" s="117">
        <v>1071900</v>
      </c>
      <c r="L182" s="117">
        <v>1264</v>
      </c>
      <c r="M182" s="117">
        <v>125040200</v>
      </c>
      <c r="N182" s="117">
        <v>169</v>
      </c>
      <c r="O182" s="117">
        <v>71641000</v>
      </c>
      <c r="P182" s="117">
        <v>9461</v>
      </c>
      <c r="Q182" s="117">
        <v>3220338262</v>
      </c>
    </row>
    <row r="183" spans="1:17" x14ac:dyDescent="0.25">
      <c r="A183" s="117">
        <v>540272</v>
      </c>
      <c r="B183" s="2" t="s">
        <v>315</v>
      </c>
      <c r="C183" s="2" t="s">
        <v>59</v>
      </c>
      <c r="D183" s="2" t="s">
        <v>115</v>
      </c>
      <c r="E183" s="117">
        <v>6</v>
      </c>
      <c r="F183" s="117">
        <v>0</v>
      </c>
      <c r="G183" s="117">
        <v>0</v>
      </c>
      <c r="H183" s="117">
        <v>3</v>
      </c>
      <c r="I183" s="117">
        <v>1715900</v>
      </c>
      <c r="J183" s="117">
        <v>3</v>
      </c>
      <c r="K183" s="117">
        <v>309800</v>
      </c>
      <c r="L183" s="117">
        <v>43</v>
      </c>
      <c r="M183" s="117">
        <v>52790100</v>
      </c>
      <c r="N183" s="117">
        <v>26</v>
      </c>
      <c r="O183" s="117">
        <v>2802100</v>
      </c>
      <c r="P183" s="117">
        <v>302</v>
      </c>
      <c r="Q183" s="117">
        <v>255633000</v>
      </c>
    </row>
    <row r="184" spans="1:17" x14ac:dyDescent="0.25">
      <c r="A184" s="117">
        <v>540273</v>
      </c>
      <c r="B184" s="2" t="s">
        <v>316</v>
      </c>
      <c r="C184" s="2" t="s">
        <v>59</v>
      </c>
      <c r="D184" s="2" t="s">
        <v>115</v>
      </c>
      <c r="E184" s="117">
        <v>6</v>
      </c>
      <c r="F184" s="117">
        <v>0</v>
      </c>
      <c r="G184" s="117">
        <v>0</v>
      </c>
      <c r="H184" s="117">
        <v>0</v>
      </c>
      <c r="I184" s="117">
        <v>0</v>
      </c>
      <c r="J184" s="117">
        <v>11</v>
      </c>
      <c r="K184" s="117">
        <v>3220500</v>
      </c>
      <c r="L184" s="117">
        <v>43</v>
      </c>
      <c r="M184" s="117">
        <v>2507700</v>
      </c>
      <c r="N184" s="117">
        <v>6</v>
      </c>
      <c r="O184" s="117">
        <v>6857400</v>
      </c>
      <c r="P184" s="117">
        <v>874</v>
      </c>
      <c r="Q184" s="117">
        <v>122911160</v>
      </c>
    </row>
    <row r="185" spans="1:17" x14ac:dyDescent="0.25">
      <c r="A185" s="117">
        <v>540274</v>
      </c>
      <c r="B185" s="2" t="s">
        <v>317</v>
      </c>
      <c r="C185" s="2" t="s">
        <v>59</v>
      </c>
      <c r="D185" s="2" t="s">
        <v>115</v>
      </c>
      <c r="E185" s="117">
        <v>6</v>
      </c>
      <c r="F185" s="117">
        <v>0</v>
      </c>
      <c r="G185" s="117">
        <v>0</v>
      </c>
      <c r="H185" s="117">
        <v>13</v>
      </c>
      <c r="I185" s="117">
        <v>261900</v>
      </c>
      <c r="J185" s="117">
        <v>0</v>
      </c>
      <c r="K185" s="117">
        <v>0</v>
      </c>
      <c r="L185" s="117">
        <v>195</v>
      </c>
      <c r="M185" s="117">
        <v>7899900</v>
      </c>
      <c r="N185" s="117">
        <v>29</v>
      </c>
      <c r="O185" s="117">
        <v>5388400</v>
      </c>
      <c r="P185" s="117">
        <v>2162</v>
      </c>
      <c r="Q185" s="117">
        <v>234731424</v>
      </c>
    </row>
    <row r="186" spans="1:17" x14ac:dyDescent="0.25">
      <c r="A186" s="269"/>
      <c r="B186" s="269"/>
      <c r="C186" s="269" t="s">
        <v>59</v>
      </c>
      <c r="D186" s="269"/>
      <c r="E186" s="269"/>
      <c r="F186" s="270">
        <v>0</v>
      </c>
      <c r="G186" s="270">
        <v>0</v>
      </c>
      <c r="H186" s="270">
        <v>436</v>
      </c>
      <c r="I186" s="270">
        <v>42790074</v>
      </c>
      <c r="J186" s="270">
        <v>34</v>
      </c>
      <c r="K186" s="270">
        <v>15538500</v>
      </c>
      <c r="L186" s="270">
        <v>5267</v>
      </c>
      <c r="M186" s="270">
        <v>713849516</v>
      </c>
      <c r="N186" s="270">
        <v>1235</v>
      </c>
      <c r="O186" s="270">
        <v>258830200</v>
      </c>
      <c r="P186" s="270">
        <v>41893</v>
      </c>
      <c r="Q186" s="270">
        <v>8583878223</v>
      </c>
    </row>
    <row r="187" spans="1:17" x14ac:dyDescent="0.25">
      <c r="A187" s="117">
        <v>540144</v>
      </c>
      <c r="B187" s="2" t="s">
        <v>60</v>
      </c>
      <c r="C187" s="2" t="s">
        <v>61</v>
      </c>
      <c r="D187" s="2" t="s">
        <v>5</v>
      </c>
      <c r="E187" s="117">
        <v>9</v>
      </c>
      <c r="F187" s="117">
        <v>1</v>
      </c>
      <c r="G187" s="117">
        <v>0</v>
      </c>
      <c r="H187" s="117">
        <v>147</v>
      </c>
      <c r="I187" s="117">
        <v>13663400</v>
      </c>
      <c r="J187" s="117">
        <v>15</v>
      </c>
      <c r="K187" s="117">
        <v>0</v>
      </c>
      <c r="L187" s="117">
        <v>1190</v>
      </c>
      <c r="M187" s="117">
        <v>124728200</v>
      </c>
      <c r="N187" s="117">
        <v>495</v>
      </c>
      <c r="O187" s="117">
        <v>0</v>
      </c>
      <c r="P187" s="117">
        <v>10230</v>
      </c>
      <c r="Q187" s="117">
        <v>1176788255</v>
      </c>
    </row>
    <row r="188" spans="1:17" x14ac:dyDescent="0.25">
      <c r="A188" s="117">
        <v>540005</v>
      </c>
      <c r="B188" s="2" t="s">
        <v>118</v>
      </c>
      <c r="C188" s="2" t="s">
        <v>61</v>
      </c>
      <c r="D188" s="2" t="s">
        <v>115</v>
      </c>
      <c r="E188" s="117">
        <v>9</v>
      </c>
      <c r="F188" s="117">
        <v>0</v>
      </c>
      <c r="G188" s="117">
        <v>0</v>
      </c>
      <c r="H188" s="117">
        <v>3</v>
      </c>
      <c r="I188" s="117">
        <v>466500</v>
      </c>
      <c r="J188" s="117">
        <v>0</v>
      </c>
      <c r="K188" s="117">
        <v>0</v>
      </c>
      <c r="L188" s="117">
        <v>31</v>
      </c>
      <c r="M188" s="117">
        <v>2238300</v>
      </c>
      <c r="N188" s="117">
        <v>134</v>
      </c>
      <c r="O188" s="117">
        <v>0</v>
      </c>
      <c r="P188" s="117">
        <v>287</v>
      </c>
      <c r="Q188" s="117">
        <v>33399600</v>
      </c>
    </row>
    <row r="189" spans="1:17" x14ac:dyDescent="0.25">
      <c r="A189" s="117">
        <v>540252</v>
      </c>
      <c r="B189" s="2" t="s">
        <v>298</v>
      </c>
      <c r="C189" s="2" t="s">
        <v>61</v>
      </c>
      <c r="D189" s="2" t="s">
        <v>115</v>
      </c>
      <c r="E189" s="117">
        <v>9</v>
      </c>
      <c r="F189" s="117">
        <v>0</v>
      </c>
      <c r="G189" s="117">
        <v>0</v>
      </c>
      <c r="H189" s="117">
        <v>0</v>
      </c>
      <c r="I189" s="117">
        <v>0</v>
      </c>
      <c r="J189" s="117">
        <v>0</v>
      </c>
      <c r="K189" s="117">
        <v>0</v>
      </c>
      <c r="L189" s="117">
        <v>2</v>
      </c>
      <c r="M189" s="117">
        <v>2500</v>
      </c>
      <c r="N189" s="117">
        <v>33</v>
      </c>
      <c r="O189" s="117">
        <v>0</v>
      </c>
      <c r="P189" s="117">
        <v>245</v>
      </c>
      <c r="Q189" s="117">
        <v>13437800</v>
      </c>
    </row>
    <row r="190" spans="1:17" x14ac:dyDescent="0.25">
      <c r="A190" s="269"/>
      <c r="B190" s="269"/>
      <c r="C190" s="269" t="s">
        <v>61</v>
      </c>
      <c r="D190" s="269"/>
      <c r="E190" s="269"/>
      <c r="F190" s="270">
        <v>1</v>
      </c>
      <c r="G190" s="270">
        <v>0</v>
      </c>
      <c r="H190" s="270">
        <v>150</v>
      </c>
      <c r="I190" s="270">
        <v>14129900</v>
      </c>
      <c r="J190" s="270">
        <v>15</v>
      </c>
      <c r="K190" s="270">
        <v>0</v>
      </c>
      <c r="L190" s="270">
        <v>1223</v>
      </c>
      <c r="M190" s="270">
        <v>126969000</v>
      </c>
      <c r="N190" s="270">
        <v>662</v>
      </c>
      <c r="O190" s="270">
        <v>0</v>
      </c>
      <c r="P190" s="270">
        <v>10762</v>
      </c>
      <c r="Q190" s="270">
        <v>1223625655</v>
      </c>
    </row>
    <row r="191" spans="1:17" x14ac:dyDescent="0.25">
      <c r="A191" s="117">
        <v>540146</v>
      </c>
      <c r="B191" s="2" t="s">
        <v>62</v>
      </c>
      <c r="C191" s="2" t="s">
        <v>63</v>
      </c>
      <c r="D191" s="2" t="s">
        <v>5</v>
      </c>
      <c r="E191" s="117">
        <v>4</v>
      </c>
      <c r="F191" s="117">
        <v>0</v>
      </c>
      <c r="G191" s="117">
        <v>0</v>
      </c>
      <c r="H191" s="117">
        <v>146</v>
      </c>
      <c r="I191" s="117">
        <v>4898700</v>
      </c>
      <c r="J191" s="117">
        <v>4</v>
      </c>
      <c r="K191" s="117">
        <v>287500</v>
      </c>
      <c r="L191" s="117">
        <v>1092</v>
      </c>
      <c r="M191" s="117">
        <v>35197800</v>
      </c>
      <c r="N191" s="117">
        <v>672</v>
      </c>
      <c r="O191" s="117">
        <v>33409500</v>
      </c>
      <c r="P191" s="117">
        <v>14884</v>
      </c>
      <c r="Q191" s="117">
        <v>700208000</v>
      </c>
    </row>
    <row r="192" spans="1:17" x14ac:dyDescent="0.25">
      <c r="A192" s="117">
        <v>540147</v>
      </c>
      <c r="B192" s="2" t="s">
        <v>225</v>
      </c>
      <c r="C192" s="2" t="s">
        <v>63</v>
      </c>
      <c r="D192" s="2" t="s">
        <v>115</v>
      </c>
      <c r="E192" s="117">
        <v>4</v>
      </c>
      <c r="F192" s="117">
        <v>0</v>
      </c>
      <c r="G192" s="117">
        <v>0</v>
      </c>
      <c r="H192" s="117">
        <v>40</v>
      </c>
      <c r="I192" s="117">
        <v>152600</v>
      </c>
      <c r="J192" s="117">
        <v>0</v>
      </c>
      <c r="K192" s="117">
        <v>0</v>
      </c>
      <c r="L192" s="117">
        <v>269</v>
      </c>
      <c r="M192" s="117">
        <v>1759300</v>
      </c>
      <c r="N192" s="117">
        <v>297</v>
      </c>
      <c r="O192" s="117">
        <v>12227400</v>
      </c>
      <c r="P192" s="117">
        <v>1024</v>
      </c>
      <c r="Q192" s="117">
        <v>15836800</v>
      </c>
    </row>
    <row r="193" spans="1:17" x14ac:dyDescent="0.25">
      <c r="A193" s="117">
        <v>540148</v>
      </c>
      <c r="B193" s="2" t="s">
        <v>226</v>
      </c>
      <c r="C193" s="2" t="s">
        <v>63</v>
      </c>
      <c r="D193" s="2" t="s">
        <v>115</v>
      </c>
      <c r="E193" s="117">
        <v>4</v>
      </c>
      <c r="F193" s="117">
        <v>0</v>
      </c>
      <c r="G193" s="117">
        <v>0</v>
      </c>
      <c r="H193" s="117">
        <v>5</v>
      </c>
      <c r="I193" s="117">
        <v>3519600</v>
      </c>
      <c r="J193" s="117">
        <v>0</v>
      </c>
      <c r="K193" s="117">
        <v>0</v>
      </c>
      <c r="L193" s="117">
        <v>90</v>
      </c>
      <c r="M193" s="117">
        <v>7334900</v>
      </c>
      <c r="N193" s="117">
        <v>35</v>
      </c>
      <c r="O193" s="117">
        <v>4931800</v>
      </c>
      <c r="P193" s="117">
        <v>2217</v>
      </c>
      <c r="Q193" s="117">
        <v>250179200</v>
      </c>
    </row>
    <row r="194" spans="1:17" x14ac:dyDescent="0.25">
      <c r="A194" s="269"/>
      <c r="B194" s="269"/>
      <c r="C194" s="269" t="s">
        <v>63</v>
      </c>
      <c r="D194" s="269"/>
      <c r="E194" s="269"/>
      <c r="F194" s="270">
        <v>0</v>
      </c>
      <c r="G194" s="270">
        <v>0</v>
      </c>
      <c r="H194" s="270">
        <v>191</v>
      </c>
      <c r="I194" s="270">
        <v>8570900</v>
      </c>
      <c r="J194" s="270">
        <v>4</v>
      </c>
      <c r="K194" s="270">
        <v>287500</v>
      </c>
      <c r="L194" s="270">
        <v>1451</v>
      </c>
      <c r="M194" s="270">
        <v>44292000</v>
      </c>
      <c r="N194" s="270">
        <v>1004</v>
      </c>
      <c r="O194" s="270">
        <v>50568700</v>
      </c>
      <c r="P194" s="270">
        <v>18125</v>
      </c>
      <c r="Q194" s="270">
        <v>966224000</v>
      </c>
    </row>
    <row r="195" spans="1:17" x14ac:dyDescent="0.25">
      <c r="A195" s="117">
        <v>540149</v>
      </c>
      <c r="B195" s="2" t="s">
        <v>64</v>
      </c>
      <c r="C195" s="2" t="s">
        <v>65</v>
      </c>
      <c r="D195" s="2" t="s">
        <v>5</v>
      </c>
      <c r="E195" s="117">
        <v>10</v>
      </c>
      <c r="F195" s="117">
        <v>0</v>
      </c>
      <c r="G195" s="117">
        <v>0</v>
      </c>
      <c r="H195" s="117">
        <v>38</v>
      </c>
      <c r="I195" s="117">
        <v>1638800</v>
      </c>
      <c r="J195" s="117">
        <v>2</v>
      </c>
      <c r="K195" s="117">
        <v>0</v>
      </c>
      <c r="L195" s="117">
        <v>715</v>
      </c>
      <c r="M195" s="117">
        <v>81442240</v>
      </c>
      <c r="N195" s="117">
        <v>377</v>
      </c>
      <c r="O195" s="117">
        <v>0</v>
      </c>
      <c r="P195" s="117">
        <v>5395</v>
      </c>
      <c r="Q195" s="117">
        <v>1095729463</v>
      </c>
    </row>
    <row r="196" spans="1:17" x14ac:dyDescent="0.25">
      <c r="A196" s="117">
        <v>540080</v>
      </c>
      <c r="B196" s="2" t="s">
        <v>175</v>
      </c>
      <c r="C196" s="2" t="s">
        <v>65</v>
      </c>
      <c r="D196" s="2" t="s">
        <v>115</v>
      </c>
      <c r="E196" s="117">
        <v>10</v>
      </c>
      <c r="F196" s="117">
        <v>0</v>
      </c>
      <c r="G196" s="117">
        <v>0</v>
      </c>
      <c r="H196" s="117">
        <v>0</v>
      </c>
      <c r="I196" s="117">
        <v>0</v>
      </c>
      <c r="J196" s="117">
        <v>0</v>
      </c>
      <c r="K196" s="117">
        <v>0</v>
      </c>
      <c r="L196" s="117">
        <v>14</v>
      </c>
      <c r="M196" s="117">
        <v>917900</v>
      </c>
      <c r="N196" s="117">
        <v>0</v>
      </c>
      <c r="O196" s="117">
        <v>0</v>
      </c>
      <c r="P196" s="117">
        <v>241</v>
      </c>
      <c r="Q196" s="117">
        <v>23227100</v>
      </c>
    </row>
    <row r="197" spans="1:17" x14ac:dyDescent="0.25">
      <c r="A197" s="117">
        <v>540094</v>
      </c>
      <c r="B197" s="2" t="s">
        <v>185</v>
      </c>
      <c r="C197" s="2" t="s">
        <v>65</v>
      </c>
      <c r="D197" s="2" t="s">
        <v>115</v>
      </c>
      <c r="E197" s="117">
        <v>10</v>
      </c>
      <c r="F197" s="117">
        <v>0</v>
      </c>
      <c r="G197" s="117">
        <v>0</v>
      </c>
      <c r="H197" s="117">
        <v>0</v>
      </c>
      <c r="I197" s="117">
        <v>0</v>
      </c>
      <c r="J197" s="117">
        <v>1</v>
      </c>
      <c r="K197" s="117">
        <v>0</v>
      </c>
      <c r="L197" s="117">
        <v>1</v>
      </c>
      <c r="M197" s="117">
        <v>1459700</v>
      </c>
      <c r="N197" s="117">
        <v>11</v>
      </c>
      <c r="O197" s="117">
        <v>0</v>
      </c>
      <c r="P197" s="117">
        <v>231</v>
      </c>
      <c r="Q197" s="117">
        <v>25644100</v>
      </c>
    </row>
    <row r="198" spans="1:17" x14ac:dyDescent="0.25">
      <c r="A198" s="117">
        <v>540150</v>
      </c>
      <c r="B198" s="2" t="s">
        <v>227</v>
      </c>
      <c r="C198" s="2" t="s">
        <v>65</v>
      </c>
      <c r="D198" s="2" t="s">
        <v>115</v>
      </c>
      <c r="E198" s="117">
        <v>10</v>
      </c>
      <c r="F198" s="117">
        <v>0</v>
      </c>
      <c r="G198" s="117">
        <v>0</v>
      </c>
      <c r="H198" s="117">
        <v>2</v>
      </c>
      <c r="I198" s="117">
        <v>5000</v>
      </c>
      <c r="J198" s="117">
        <v>0</v>
      </c>
      <c r="K198" s="117">
        <v>0</v>
      </c>
      <c r="L198" s="117">
        <v>43</v>
      </c>
      <c r="M198" s="117">
        <v>1399500</v>
      </c>
      <c r="N198" s="117">
        <v>119</v>
      </c>
      <c r="O198" s="117">
        <v>0</v>
      </c>
      <c r="P198" s="117">
        <v>225</v>
      </c>
      <c r="Q198" s="117">
        <v>12705200</v>
      </c>
    </row>
    <row r="199" spans="1:17" x14ac:dyDescent="0.25">
      <c r="A199" s="117">
        <v>540151</v>
      </c>
      <c r="B199" s="2" t="s">
        <v>228</v>
      </c>
      <c r="C199" s="2" t="s">
        <v>65</v>
      </c>
      <c r="D199" s="2" t="s">
        <v>115</v>
      </c>
      <c r="E199" s="117">
        <v>10</v>
      </c>
      <c r="F199" s="117">
        <v>0</v>
      </c>
      <c r="G199" s="117">
        <v>0</v>
      </c>
      <c r="H199" s="117">
        <v>0</v>
      </c>
      <c r="I199" s="117">
        <v>0</v>
      </c>
      <c r="J199" s="117">
        <v>1</v>
      </c>
      <c r="K199" s="117">
        <v>0</v>
      </c>
      <c r="L199" s="117">
        <v>20</v>
      </c>
      <c r="M199" s="117">
        <v>462500</v>
      </c>
      <c r="N199" s="117">
        <v>89</v>
      </c>
      <c r="O199" s="117">
        <v>0</v>
      </c>
      <c r="P199" s="117">
        <v>59</v>
      </c>
      <c r="Q199" s="117">
        <v>1966500</v>
      </c>
    </row>
    <row r="200" spans="1:17" x14ac:dyDescent="0.25">
      <c r="A200" s="117">
        <v>540152</v>
      </c>
      <c r="B200" s="2" t="s">
        <v>229</v>
      </c>
      <c r="C200" s="2" t="s">
        <v>65</v>
      </c>
      <c r="D200" s="2" t="s">
        <v>115</v>
      </c>
      <c r="E200" s="117">
        <v>10</v>
      </c>
      <c r="F200" s="117">
        <v>0</v>
      </c>
      <c r="G200" s="117">
        <v>0</v>
      </c>
      <c r="H200" s="117">
        <v>146</v>
      </c>
      <c r="I200" s="117">
        <v>6413200</v>
      </c>
      <c r="J200" s="117">
        <v>3</v>
      </c>
      <c r="K200" s="117">
        <v>0</v>
      </c>
      <c r="L200" s="117">
        <v>1614</v>
      </c>
      <c r="M200" s="117">
        <v>79177200</v>
      </c>
      <c r="N200" s="117">
        <v>2725</v>
      </c>
      <c r="O200" s="117">
        <v>0</v>
      </c>
      <c r="P200" s="117">
        <v>9685</v>
      </c>
      <c r="Q200" s="117">
        <v>1440477070</v>
      </c>
    </row>
    <row r="201" spans="1:17" x14ac:dyDescent="0.25">
      <c r="A201" s="117">
        <v>540275</v>
      </c>
      <c r="B201" s="2" t="s">
        <v>318</v>
      </c>
      <c r="C201" s="2" t="s">
        <v>65</v>
      </c>
      <c r="D201" s="2" t="s">
        <v>115</v>
      </c>
      <c r="E201" s="117">
        <v>10</v>
      </c>
      <c r="F201" s="117">
        <v>0</v>
      </c>
      <c r="G201" s="117">
        <v>0</v>
      </c>
      <c r="H201" s="117">
        <v>17</v>
      </c>
      <c r="I201" s="117">
        <v>1600700</v>
      </c>
      <c r="J201" s="117">
        <v>0</v>
      </c>
      <c r="K201" s="117">
        <v>0</v>
      </c>
      <c r="L201" s="117">
        <v>301</v>
      </c>
      <c r="M201" s="117">
        <v>28935800</v>
      </c>
      <c r="N201" s="117">
        <v>0</v>
      </c>
      <c r="O201" s="117">
        <v>0</v>
      </c>
      <c r="P201" s="117">
        <v>1168</v>
      </c>
      <c r="Q201" s="117">
        <v>149177300</v>
      </c>
    </row>
    <row r="202" spans="1:17" x14ac:dyDescent="0.25">
      <c r="A202" s="269"/>
      <c r="B202" s="269"/>
      <c r="C202" s="269" t="s">
        <v>65</v>
      </c>
      <c r="D202" s="269"/>
      <c r="E202" s="269"/>
      <c r="F202" s="270">
        <v>0</v>
      </c>
      <c r="G202" s="270">
        <v>0</v>
      </c>
      <c r="H202" s="270">
        <v>203</v>
      </c>
      <c r="I202" s="270">
        <v>9657700</v>
      </c>
      <c r="J202" s="270">
        <v>7</v>
      </c>
      <c r="K202" s="270">
        <v>0</v>
      </c>
      <c r="L202" s="270">
        <v>2708</v>
      </c>
      <c r="M202" s="270">
        <v>193794840</v>
      </c>
      <c r="N202" s="270">
        <v>3321</v>
      </c>
      <c r="O202" s="270">
        <v>0</v>
      </c>
      <c r="P202" s="270">
        <v>17004</v>
      </c>
      <c r="Q202" s="270">
        <v>2748926733</v>
      </c>
    </row>
    <row r="203" spans="1:17" x14ac:dyDescent="0.25">
      <c r="A203" s="117">
        <v>540153</v>
      </c>
      <c r="B203" s="2" t="s">
        <v>66</v>
      </c>
      <c r="C203" s="2" t="s">
        <v>67</v>
      </c>
      <c r="D203" s="2" t="s">
        <v>5</v>
      </c>
      <c r="E203" s="117">
        <v>8</v>
      </c>
      <c r="F203" s="117">
        <v>0</v>
      </c>
      <c r="G203" s="117">
        <v>0</v>
      </c>
      <c r="H203" s="117">
        <v>371</v>
      </c>
      <c r="I203" s="117">
        <v>32540600</v>
      </c>
      <c r="J203" s="117">
        <v>16</v>
      </c>
      <c r="K203" s="117">
        <v>0</v>
      </c>
      <c r="L203" s="117">
        <v>1754</v>
      </c>
      <c r="M203" s="117">
        <v>145433700</v>
      </c>
      <c r="N203" s="117">
        <v>573</v>
      </c>
      <c r="O203" s="117">
        <v>0</v>
      </c>
      <c r="P203" s="117">
        <v>5710</v>
      </c>
      <c r="Q203" s="117">
        <v>440746800</v>
      </c>
    </row>
    <row r="204" spans="1:17" x14ac:dyDescent="0.25">
      <c r="A204" s="117">
        <v>540154</v>
      </c>
      <c r="B204" s="2" t="s">
        <v>230</v>
      </c>
      <c r="C204" s="2" t="s">
        <v>67</v>
      </c>
      <c r="D204" s="2" t="s">
        <v>115</v>
      </c>
      <c r="E204" s="117">
        <v>8</v>
      </c>
      <c r="F204" s="117">
        <v>0</v>
      </c>
      <c r="G204" s="117">
        <v>0</v>
      </c>
      <c r="H204" s="117">
        <v>0</v>
      </c>
      <c r="I204" s="117">
        <v>0</v>
      </c>
      <c r="J204" s="117">
        <v>0</v>
      </c>
      <c r="K204" s="117">
        <v>0</v>
      </c>
      <c r="L204" s="117">
        <v>32</v>
      </c>
      <c r="M204" s="117">
        <v>2941300</v>
      </c>
      <c r="N204" s="117">
        <v>12</v>
      </c>
      <c r="O204" s="117">
        <v>0</v>
      </c>
      <c r="P204" s="117">
        <v>492</v>
      </c>
      <c r="Q204" s="117">
        <v>62166500</v>
      </c>
    </row>
    <row r="205" spans="1:17" x14ac:dyDescent="0.25">
      <c r="A205" s="269"/>
      <c r="B205" s="269"/>
      <c r="C205" s="269" t="s">
        <v>67</v>
      </c>
      <c r="D205" s="269"/>
      <c r="E205" s="269"/>
      <c r="F205" s="270">
        <v>0</v>
      </c>
      <c r="G205" s="270">
        <v>0</v>
      </c>
      <c r="H205" s="270">
        <v>371</v>
      </c>
      <c r="I205" s="270">
        <v>32540600</v>
      </c>
      <c r="J205" s="270">
        <v>16</v>
      </c>
      <c r="K205" s="270">
        <v>0</v>
      </c>
      <c r="L205" s="270">
        <v>1786</v>
      </c>
      <c r="M205" s="270">
        <v>148375000</v>
      </c>
      <c r="N205" s="270">
        <v>585</v>
      </c>
      <c r="O205" s="270">
        <v>0</v>
      </c>
      <c r="P205" s="270">
        <v>6202</v>
      </c>
      <c r="Q205" s="270">
        <v>502913300</v>
      </c>
    </row>
    <row r="206" spans="1:17" x14ac:dyDescent="0.25">
      <c r="A206" s="117">
        <v>540160</v>
      </c>
      <c r="B206" s="2" t="s">
        <v>68</v>
      </c>
      <c r="C206" s="2" t="s">
        <v>69</v>
      </c>
      <c r="D206" s="2" t="s">
        <v>5</v>
      </c>
      <c r="E206" s="117">
        <v>6</v>
      </c>
      <c r="F206" s="117">
        <v>0</v>
      </c>
      <c r="G206" s="117">
        <v>0</v>
      </c>
      <c r="H206" s="117">
        <v>249</v>
      </c>
      <c r="I206" s="117">
        <v>12249900</v>
      </c>
      <c r="J206" s="117">
        <v>4</v>
      </c>
      <c r="K206" s="117">
        <v>354000</v>
      </c>
      <c r="L206" s="117">
        <v>1354</v>
      </c>
      <c r="M206" s="117">
        <v>67398700</v>
      </c>
      <c r="N206" s="117">
        <v>516</v>
      </c>
      <c r="O206" s="117">
        <v>11745985200</v>
      </c>
      <c r="P206" s="117">
        <v>22282</v>
      </c>
      <c r="Q206" s="117">
        <v>1337259500</v>
      </c>
    </row>
    <row r="207" spans="1:17" x14ac:dyDescent="0.25">
      <c r="A207" s="117">
        <v>540137</v>
      </c>
      <c r="B207" s="2" t="s">
        <v>220</v>
      </c>
      <c r="C207" s="2" t="s">
        <v>69</v>
      </c>
      <c r="D207" s="2" t="s">
        <v>115</v>
      </c>
      <c r="E207" s="117">
        <v>6</v>
      </c>
      <c r="F207" s="117">
        <v>0</v>
      </c>
      <c r="G207" s="117">
        <v>0</v>
      </c>
      <c r="H207" s="117">
        <v>4</v>
      </c>
      <c r="I207" s="117">
        <v>26700</v>
      </c>
      <c r="J207" s="117">
        <v>0</v>
      </c>
      <c r="K207" s="117">
        <v>0</v>
      </c>
      <c r="L207" s="117">
        <v>48</v>
      </c>
      <c r="M207" s="117">
        <v>982600</v>
      </c>
      <c r="N207" s="117">
        <v>0</v>
      </c>
      <c r="O207" s="117">
        <v>0</v>
      </c>
      <c r="P207" s="117">
        <v>187</v>
      </c>
      <c r="Q207" s="117">
        <v>5341600</v>
      </c>
    </row>
    <row r="208" spans="1:17" x14ac:dyDescent="0.25">
      <c r="A208" s="117">
        <v>540161</v>
      </c>
      <c r="B208" s="2" t="s">
        <v>235</v>
      </c>
      <c r="C208" s="2" t="s">
        <v>69</v>
      </c>
      <c r="D208" s="2" t="s">
        <v>115</v>
      </c>
      <c r="E208" s="117">
        <v>6</v>
      </c>
      <c r="F208" s="117">
        <v>0</v>
      </c>
      <c r="G208" s="117">
        <v>0</v>
      </c>
      <c r="H208" s="117">
        <v>1</v>
      </c>
      <c r="I208" s="117">
        <v>2300</v>
      </c>
      <c r="J208" s="117">
        <v>0</v>
      </c>
      <c r="K208" s="117">
        <v>0</v>
      </c>
      <c r="L208" s="117">
        <v>9</v>
      </c>
      <c r="M208" s="117">
        <v>32100</v>
      </c>
      <c r="N208" s="117">
        <v>52</v>
      </c>
      <c r="O208" s="117">
        <v>1892100</v>
      </c>
      <c r="P208" s="117">
        <v>117</v>
      </c>
      <c r="Q208" s="117">
        <v>2629600</v>
      </c>
    </row>
    <row r="209" spans="1:17" x14ac:dyDescent="0.25">
      <c r="A209" s="117">
        <v>540162</v>
      </c>
      <c r="B209" s="2" t="s">
        <v>236</v>
      </c>
      <c r="C209" s="2" t="s">
        <v>69</v>
      </c>
      <c r="D209" s="2" t="s">
        <v>115</v>
      </c>
      <c r="E209" s="117">
        <v>6</v>
      </c>
      <c r="F209" s="117">
        <v>0</v>
      </c>
      <c r="G209" s="117">
        <v>0</v>
      </c>
      <c r="H209" s="117">
        <v>0</v>
      </c>
      <c r="I209" s="117">
        <v>0</v>
      </c>
      <c r="J209" s="117">
        <v>0</v>
      </c>
      <c r="K209" s="117">
        <v>0</v>
      </c>
      <c r="L209" s="117">
        <v>0</v>
      </c>
      <c r="M209" s="117">
        <v>0</v>
      </c>
      <c r="N209" s="117">
        <v>29</v>
      </c>
      <c r="O209" s="117">
        <v>3544300</v>
      </c>
      <c r="P209" s="117">
        <v>29</v>
      </c>
      <c r="Q209" s="117">
        <v>2472700</v>
      </c>
    </row>
    <row r="210" spans="1:17" x14ac:dyDescent="0.25">
      <c r="A210" s="117">
        <v>540163</v>
      </c>
      <c r="B210" s="2" t="s">
        <v>237</v>
      </c>
      <c r="C210" s="2" t="s">
        <v>69</v>
      </c>
      <c r="D210" s="2" t="s">
        <v>115</v>
      </c>
      <c r="E210" s="117">
        <v>6</v>
      </c>
      <c r="F210" s="117">
        <v>0</v>
      </c>
      <c r="G210" s="117">
        <v>0</v>
      </c>
      <c r="H210" s="117">
        <v>8</v>
      </c>
      <c r="I210" s="117">
        <v>178700</v>
      </c>
      <c r="J210" s="117">
        <v>3</v>
      </c>
      <c r="K210" s="117">
        <v>142100</v>
      </c>
      <c r="L210" s="117">
        <v>44</v>
      </c>
      <c r="M210" s="117">
        <v>805000</v>
      </c>
      <c r="N210" s="117">
        <v>124</v>
      </c>
      <c r="O210" s="117">
        <v>7857900</v>
      </c>
      <c r="P210" s="117">
        <v>172</v>
      </c>
      <c r="Q210" s="117">
        <v>4611900</v>
      </c>
    </row>
    <row r="211" spans="1:17" x14ac:dyDescent="0.25">
      <c r="A211" s="117">
        <v>540254</v>
      </c>
      <c r="B211" s="2" t="s">
        <v>300</v>
      </c>
      <c r="C211" s="2" t="s">
        <v>69</v>
      </c>
      <c r="D211" s="2" t="s">
        <v>115</v>
      </c>
      <c r="E211" s="117">
        <v>6</v>
      </c>
      <c r="F211" s="117">
        <v>0</v>
      </c>
      <c r="G211" s="117">
        <v>0</v>
      </c>
      <c r="H211" s="117">
        <v>6</v>
      </c>
      <c r="I211" s="117">
        <v>531100</v>
      </c>
      <c r="J211" s="117">
        <v>0</v>
      </c>
      <c r="K211" s="117">
        <v>0</v>
      </c>
      <c r="L211" s="117">
        <v>68</v>
      </c>
      <c r="M211" s="117">
        <v>4779400</v>
      </c>
      <c r="N211" s="117">
        <v>1</v>
      </c>
      <c r="O211" s="117">
        <v>36800</v>
      </c>
      <c r="P211" s="117">
        <v>1672</v>
      </c>
      <c r="Q211" s="117">
        <v>206617400</v>
      </c>
    </row>
    <row r="212" spans="1:17" x14ac:dyDescent="0.25">
      <c r="A212" s="117">
        <v>540257</v>
      </c>
      <c r="B212" s="2" t="s">
        <v>302</v>
      </c>
      <c r="C212" s="2" t="s">
        <v>69</v>
      </c>
      <c r="D212" s="2" t="s">
        <v>115</v>
      </c>
      <c r="E212" s="117">
        <v>6</v>
      </c>
      <c r="F212" s="117">
        <v>0</v>
      </c>
      <c r="G212" s="117">
        <v>0</v>
      </c>
      <c r="H212" s="117">
        <v>3</v>
      </c>
      <c r="I212" s="117">
        <v>28400</v>
      </c>
      <c r="J212" s="117">
        <v>0</v>
      </c>
      <c r="K212" s="117">
        <v>0</v>
      </c>
      <c r="L212" s="117">
        <v>41</v>
      </c>
      <c r="M212" s="117">
        <v>1240200</v>
      </c>
      <c r="N212" s="117">
        <v>27</v>
      </c>
      <c r="O212" s="117">
        <v>1826600</v>
      </c>
      <c r="P212" s="117">
        <v>852</v>
      </c>
      <c r="Q212" s="117">
        <v>57079200</v>
      </c>
    </row>
    <row r="213" spans="1:17" x14ac:dyDescent="0.25">
      <c r="A213" s="117">
        <v>540268</v>
      </c>
      <c r="B213" s="2" t="s">
        <v>311</v>
      </c>
      <c r="C213" s="2" t="s">
        <v>69</v>
      </c>
      <c r="D213" s="2" t="s">
        <v>115</v>
      </c>
      <c r="E213" s="117">
        <v>6</v>
      </c>
      <c r="F213" s="117">
        <v>0</v>
      </c>
      <c r="G213" s="117">
        <v>0</v>
      </c>
      <c r="H213" s="117">
        <v>10</v>
      </c>
      <c r="I213" s="117">
        <v>171500</v>
      </c>
      <c r="J213" s="117">
        <v>0</v>
      </c>
      <c r="K213" s="117">
        <v>0</v>
      </c>
      <c r="L213" s="117">
        <v>70</v>
      </c>
      <c r="M213" s="117">
        <v>995900</v>
      </c>
      <c r="N213" s="117">
        <v>21</v>
      </c>
      <c r="O213" s="117">
        <v>816500</v>
      </c>
      <c r="P213" s="117">
        <v>201</v>
      </c>
      <c r="Q213" s="117">
        <v>4871200</v>
      </c>
    </row>
    <row r="214" spans="1:17" x14ac:dyDescent="0.25">
      <c r="A214" s="117">
        <v>540269</v>
      </c>
      <c r="B214" s="2" t="s">
        <v>312</v>
      </c>
      <c r="C214" s="2" t="s">
        <v>69</v>
      </c>
      <c r="D214" s="2" t="s">
        <v>115</v>
      </c>
      <c r="E214" s="117">
        <v>6</v>
      </c>
      <c r="F214" s="117">
        <v>0</v>
      </c>
      <c r="G214" s="117">
        <v>0</v>
      </c>
      <c r="H214" s="117">
        <v>1</v>
      </c>
      <c r="I214" s="117">
        <v>19400</v>
      </c>
      <c r="J214" s="117">
        <v>0</v>
      </c>
      <c r="K214" s="117">
        <v>0</v>
      </c>
      <c r="L214" s="117">
        <v>5</v>
      </c>
      <c r="M214" s="117">
        <v>524100</v>
      </c>
      <c r="N214" s="117">
        <v>0</v>
      </c>
      <c r="O214" s="117">
        <v>0</v>
      </c>
      <c r="P214" s="117">
        <v>379</v>
      </c>
      <c r="Q214" s="117">
        <v>27364600</v>
      </c>
    </row>
    <row r="215" spans="1:17" x14ac:dyDescent="0.25">
      <c r="A215" s="117">
        <v>540270</v>
      </c>
      <c r="B215" s="2" t="s">
        <v>313</v>
      </c>
      <c r="C215" s="2" t="s">
        <v>69</v>
      </c>
      <c r="D215" s="2" t="s">
        <v>115</v>
      </c>
      <c r="E215" s="117">
        <v>6</v>
      </c>
      <c r="F215" s="117">
        <v>0</v>
      </c>
      <c r="G215" s="117">
        <v>0</v>
      </c>
      <c r="H215" s="117">
        <v>6</v>
      </c>
      <c r="I215" s="117">
        <v>508800</v>
      </c>
      <c r="J215" s="117">
        <v>0</v>
      </c>
      <c r="K215" s="117">
        <v>0</v>
      </c>
      <c r="L215" s="117">
        <v>16</v>
      </c>
      <c r="M215" s="117">
        <v>728700</v>
      </c>
      <c r="N215" s="117">
        <v>0</v>
      </c>
      <c r="O215" s="117">
        <v>0</v>
      </c>
      <c r="P215" s="117">
        <v>384</v>
      </c>
      <c r="Q215" s="117">
        <v>20520300</v>
      </c>
    </row>
    <row r="216" spans="1:17" x14ac:dyDescent="0.25">
      <c r="A216" s="117">
        <v>540284</v>
      </c>
      <c r="B216" s="2" t="s">
        <v>323</v>
      </c>
      <c r="C216" s="2" t="s">
        <v>69</v>
      </c>
      <c r="D216" s="2" t="s">
        <v>115</v>
      </c>
      <c r="E216" s="117">
        <v>6</v>
      </c>
      <c r="F216" s="117">
        <v>0</v>
      </c>
      <c r="G216" s="117">
        <v>0</v>
      </c>
      <c r="H216" s="117">
        <v>0</v>
      </c>
      <c r="I216" s="117">
        <v>0</v>
      </c>
      <c r="J216" s="117">
        <v>0</v>
      </c>
      <c r="K216" s="117">
        <v>0</v>
      </c>
      <c r="L216" s="117">
        <v>0</v>
      </c>
      <c r="M216" s="117">
        <v>0</v>
      </c>
      <c r="N216" s="117">
        <v>0</v>
      </c>
      <c r="O216" s="117">
        <v>0</v>
      </c>
      <c r="P216" s="117">
        <v>86</v>
      </c>
      <c r="Q216" s="117">
        <v>8570500</v>
      </c>
    </row>
    <row r="217" spans="1:17" x14ac:dyDescent="0.25">
      <c r="A217" s="269"/>
      <c r="B217" s="269"/>
      <c r="C217" s="269" t="s">
        <v>69</v>
      </c>
      <c r="D217" s="269"/>
      <c r="E217" s="269"/>
      <c r="F217" s="270">
        <v>0</v>
      </c>
      <c r="G217" s="270">
        <v>0</v>
      </c>
      <c r="H217" s="270">
        <v>288</v>
      </c>
      <c r="I217" s="270">
        <v>13716800</v>
      </c>
      <c r="J217" s="270">
        <v>7</v>
      </c>
      <c r="K217" s="270">
        <v>496100</v>
      </c>
      <c r="L217" s="270">
        <v>1655</v>
      </c>
      <c r="M217" s="270">
        <v>77486700</v>
      </c>
      <c r="N217" s="270">
        <v>770</v>
      </c>
      <c r="O217" s="270">
        <v>11761959400</v>
      </c>
      <c r="P217" s="270">
        <v>26361</v>
      </c>
      <c r="Q217" s="270">
        <v>1677338500</v>
      </c>
    </row>
    <row r="218" spans="1:17" x14ac:dyDescent="0.25">
      <c r="A218" s="117">
        <v>540164</v>
      </c>
      <c r="B218" s="2" t="s">
        <v>70</v>
      </c>
      <c r="C218" s="2" t="s">
        <v>71</v>
      </c>
      <c r="D218" s="2" t="s">
        <v>5</v>
      </c>
      <c r="E218" s="117">
        <v>3</v>
      </c>
      <c r="F218" s="117">
        <v>0</v>
      </c>
      <c r="G218" s="117">
        <v>0</v>
      </c>
      <c r="H218" s="117">
        <v>658</v>
      </c>
      <c r="I218" s="117">
        <v>46020500</v>
      </c>
      <c r="J218" s="117">
        <v>16</v>
      </c>
      <c r="K218" s="117">
        <v>0</v>
      </c>
      <c r="L218" s="117">
        <v>2934</v>
      </c>
      <c r="M218" s="117">
        <v>228681300</v>
      </c>
      <c r="N218" s="117">
        <v>1537</v>
      </c>
      <c r="O218" s="117">
        <v>0</v>
      </c>
      <c r="P218" s="117">
        <v>18469</v>
      </c>
      <c r="Q218" s="117">
        <v>2557171000</v>
      </c>
    </row>
    <row r="219" spans="1:17" x14ac:dyDescent="0.25">
      <c r="A219" s="117">
        <v>540081</v>
      </c>
      <c r="B219" s="2" t="s">
        <v>176</v>
      </c>
      <c r="C219" s="2" t="s">
        <v>71</v>
      </c>
      <c r="D219" s="2" t="s">
        <v>115</v>
      </c>
      <c r="E219" s="117">
        <v>3</v>
      </c>
      <c r="F219" s="117">
        <v>0</v>
      </c>
      <c r="G219" s="117">
        <v>0</v>
      </c>
      <c r="H219" s="117">
        <v>3</v>
      </c>
      <c r="I219" s="117">
        <v>10700</v>
      </c>
      <c r="J219" s="117">
        <v>0</v>
      </c>
      <c r="K219" s="117">
        <v>0</v>
      </c>
      <c r="L219" s="117">
        <v>42</v>
      </c>
      <c r="M219" s="117">
        <v>1691600</v>
      </c>
      <c r="N219" s="117">
        <v>98</v>
      </c>
      <c r="O219" s="117">
        <v>0</v>
      </c>
      <c r="P219" s="117">
        <v>503</v>
      </c>
      <c r="Q219" s="117">
        <v>38316700</v>
      </c>
    </row>
    <row r="220" spans="1:17" x14ac:dyDescent="0.25">
      <c r="A220" s="117">
        <v>540165</v>
      </c>
      <c r="B220" s="2" t="s">
        <v>238</v>
      </c>
      <c r="C220" s="2" t="s">
        <v>71</v>
      </c>
      <c r="D220" s="2" t="s">
        <v>115</v>
      </c>
      <c r="E220" s="117">
        <v>3</v>
      </c>
      <c r="F220" s="117">
        <v>0</v>
      </c>
      <c r="G220" s="117">
        <v>0</v>
      </c>
      <c r="H220" s="117">
        <v>2</v>
      </c>
      <c r="I220" s="117">
        <v>5700</v>
      </c>
      <c r="J220" s="117">
        <v>0</v>
      </c>
      <c r="K220" s="117">
        <v>0</v>
      </c>
      <c r="L220" s="117">
        <v>32</v>
      </c>
      <c r="M220" s="117">
        <v>456100</v>
      </c>
      <c r="N220" s="117">
        <v>64</v>
      </c>
      <c r="O220" s="117">
        <v>0</v>
      </c>
      <c r="P220" s="117">
        <v>202</v>
      </c>
      <c r="Q220" s="117">
        <v>4143900</v>
      </c>
    </row>
    <row r="221" spans="1:17" x14ac:dyDescent="0.25">
      <c r="A221" s="117">
        <v>540166</v>
      </c>
      <c r="B221" s="2" t="s">
        <v>239</v>
      </c>
      <c r="C221" s="2" t="s">
        <v>71</v>
      </c>
      <c r="D221" s="2" t="s">
        <v>115</v>
      </c>
      <c r="E221" s="117">
        <v>3</v>
      </c>
      <c r="F221" s="117">
        <v>0</v>
      </c>
      <c r="G221" s="117">
        <v>0</v>
      </c>
      <c r="H221" s="117">
        <v>1</v>
      </c>
      <c r="I221" s="117">
        <v>50800</v>
      </c>
      <c r="J221" s="117">
        <v>0</v>
      </c>
      <c r="K221" s="117">
        <v>0</v>
      </c>
      <c r="L221" s="117">
        <v>3</v>
      </c>
      <c r="M221" s="117">
        <v>374200</v>
      </c>
      <c r="N221" s="117">
        <v>283</v>
      </c>
      <c r="O221" s="117">
        <v>0</v>
      </c>
      <c r="P221" s="117">
        <v>356</v>
      </c>
      <c r="Q221" s="117">
        <v>17498700</v>
      </c>
    </row>
    <row r="222" spans="1:17" x14ac:dyDescent="0.25">
      <c r="A222" s="117">
        <v>540167</v>
      </c>
      <c r="B222" s="2" t="s">
        <v>240</v>
      </c>
      <c r="C222" s="2" t="s">
        <v>71</v>
      </c>
      <c r="D222" s="2" t="s">
        <v>115</v>
      </c>
      <c r="E222" s="117">
        <v>3</v>
      </c>
      <c r="F222" s="117">
        <v>0</v>
      </c>
      <c r="G222" s="117">
        <v>0</v>
      </c>
      <c r="H222" s="117">
        <v>4</v>
      </c>
      <c r="I222" s="117">
        <v>88600</v>
      </c>
      <c r="J222" s="117">
        <v>0</v>
      </c>
      <c r="K222" s="117">
        <v>0</v>
      </c>
      <c r="L222" s="117">
        <v>35</v>
      </c>
      <c r="M222" s="117">
        <v>3108100</v>
      </c>
      <c r="N222" s="117">
        <v>23</v>
      </c>
      <c r="O222" s="117">
        <v>0</v>
      </c>
      <c r="P222" s="117">
        <v>3280</v>
      </c>
      <c r="Q222" s="117">
        <v>427344100</v>
      </c>
    </row>
    <row r="223" spans="1:17" x14ac:dyDescent="0.25">
      <c r="A223" s="117">
        <v>540168</v>
      </c>
      <c r="B223" s="2" t="s">
        <v>241</v>
      </c>
      <c r="C223" s="2" t="s">
        <v>71</v>
      </c>
      <c r="D223" s="2" t="s">
        <v>115</v>
      </c>
      <c r="E223" s="117">
        <v>3</v>
      </c>
      <c r="F223" s="117">
        <v>0</v>
      </c>
      <c r="G223" s="117">
        <v>0</v>
      </c>
      <c r="H223" s="117">
        <v>0</v>
      </c>
      <c r="I223" s="117">
        <v>0</v>
      </c>
      <c r="J223" s="117">
        <v>0</v>
      </c>
      <c r="K223" s="117">
        <v>0</v>
      </c>
      <c r="L223" s="117">
        <v>6</v>
      </c>
      <c r="M223" s="117">
        <v>386300</v>
      </c>
      <c r="N223" s="117">
        <v>42</v>
      </c>
      <c r="O223" s="117">
        <v>0</v>
      </c>
      <c r="P223" s="117">
        <v>363</v>
      </c>
      <c r="Q223" s="117">
        <v>48963300</v>
      </c>
    </row>
    <row r="224" spans="1:17" x14ac:dyDescent="0.25">
      <c r="A224" s="117">
        <v>540222</v>
      </c>
      <c r="B224" s="2" t="s">
        <v>276</v>
      </c>
      <c r="C224" s="2" t="s">
        <v>71</v>
      </c>
      <c r="D224" s="2" t="s">
        <v>115</v>
      </c>
      <c r="E224" s="117">
        <v>3</v>
      </c>
      <c r="F224" s="117">
        <v>0</v>
      </c>
      <c r="G224" s="117">
        <v>0</v>
      </c>
      <c r="H224" s="117">
        <v>4</v>
      </c>
      <c r="I224" s="117">
        <v>490400</v>
      </c>
      <c r="J224" s="117">
        <v>3</v>
      </c>
      <c r="K224" s="117">
        <v>0</v>
      </c>
      <c r="L224" s="117">
        <v>36</v>
      </c>
      <c r="M224" s="117">
        <v>6875300</v>
      </c>
      <c r="N224" s="117">
        <v>4</v>
      </c>
      <c r="O224" s="117">
        <v>0</v>
      </c>
      <c r="P224" s="117">
        <v>711</v>
      </c>
      <c r="Q224" s="117">
        <v>101012300</v>
      </c>
    </row>
    <row r="225" spans="1:17" x14ac:dyDescent="0.25">
      <c r="A225" s="117">
        <v>540271</v>
      </c>
      <c r="B225" s="2" t="s">
        <v>314</v>
      </c>
      <c r="C225" s="2" t="s">
        <v>71</v>
      </c>
      <c r="D225" s="2" t="s">
        <v>115</v>
      </c>
      <c r="E225" s="117">
        <v>3</v>
      </c>
      <c r="F225" s="117">
        <v>0</v>
      </c>
      <c r="G225" s="117">
        <v>0</v>
      </c>
      <c r="H225" s="117">
        <v>2</v>
      </c>
      <c r="I225" s="117">
        <v>510200</v>
      </c>
      <c r="J225" s="117">
        <v>0</v>
      </c>
      <c r="K225" s="117">
        <v>0</v>
      </c>
      <c r="L225" s="117">
        <v>10</v>
      </c>
      <c r="M225" s="117">
        <v>1259600</v>
      </c>
      <c r="N225" s="117">
        <v>115</v>
      </c>
      <c r="O225" s="117">
        <v>0</v>
      </c>
      <c r="P225" s="117">
        <v>822</v>
      </c>
      <c r="Q225" s="117">
        <v>158412100</v>
      </c>
    </row>
    <row r="226" spans="1:17" x14ac:dyDescent="0.25">
      <c r="A226" s="269"/>
      <c r="B226" s="269"/>
      <c r="C226" s="269" t="s">
        <v>71</v>
      </c>
      <c r="D226" s="269"/>
      <c r="E226" s="269"/>
      <c r="F226" s="270">
        <v>0</v>
      </c>
      <c r="G226" s="270">
        <v>0</v>
      </c>
      <c r="H226" s="270">
        <v>674</v>
      </c>
      <c r="I226" s="270">
        <v>47176900</v>
      </c>
      <c r="J226" s="270">
        <v>19</v>
      </c>
      <c r="K226" s="270">
        <v>0</v>
      </c>
      <c r="L226" s="270">
        <v>3098</v>
      </c>
      <c r="M226" s="270">
        <v>242832500</v>
      </c>
      <c r="N226" s="270">
        <v>2166</v>
      </c>
      <c r="O226" s="270">
        <v>0</v>
      </c>
      <c r="P226" s="270">
        <v>24706</v>
      </c>
      <c r="Q226" s="270">
        <v>3352862100</v>
      </c>
    </row>
    <row r="227" spans="1:17" x14ac:dyDescent="0.25">
      <c r="A227" s="117">
        <v>540169</v>
      </c>
      <c r="B227" s="2" t="s">
        <v>72</v>
      </c>
      <c r="C227" s="2" t="s">
        <v>73</v>
      </c>
      <c r="D227" s="2" t="s">
        <v>5</v>
      </c>
      <c r="E227" s="117">
        <v>1</v>
      </c>
      <c r="F227" s="117">
        <v>0</v>
      </c>
      <c r="G227" s="117">
        <v>0</v>
      </c>
      <c r="H227" s="117">
        <v>341</v>
      </c>
      <c r="I227" s="117">
        <v>15581800</v>
      </c>
      <c r="J227" s="117">
        <v>2</v>
      </c>
      <c r="K227" s="117">
        <v>21300</v>
      </c>
      <c r="L227" s="117">
        <v>2079</v>
      </c>
      <c r="M227" s="117">
        <v>81993700</v>
      </c>
      <c r="N227" s="117">
        <v>2271</v>
      </c>
      <c r="O227" s="117">
        <v>152468600</v>
      </c>
      <c r="P227" s="117">
        <v>35089</v>
      </c>
      <c r="Q227" s="117">
        <v>2503041400</v>
      </c>
    </row>
    <row r="228" spans="1:17" x14ac:dyDescent="0.25">
      <c r="A228" s="117">
        <v>540170</v>
      </c>
      <c r="B228" s="2" t="s">
        <v>242</v>
      </c>
      <c r="C228" s="2" t="s">
        <v>73</v>
      </c>
      <c r="D228" s="2" t="s">
        <v>115</v>
      </c>
      <c r="E228" s="117">
        <v>1</v>
      </c>
      <c r="F228" s="117">
        <v>0</v>
      </c>
      <c r="G228" s="117">
        <v>0</v>
      </c>
      <c r="H228" s="117">
        <v>25</v>
      </c>
      <c r="I228" s="117">
        <v>2683600</v>
      </c>
      <c r="J228" s="117">
        <v>1</v>
      </c>
      <c r="K228" s="117">
        <v>451400</v>
      </c>
      <c r="L228" s="117">
        <v>385</v>
      </c>
      <c r="M228" s="117">
        <v>31810100</v>
      </c>
      <c r="N228" s="117">
        <v>24</v>
      </c>
      <c r="O228" s="117">
        <v>5576600</v>
      </c>
      <c r="P228" s="117">
        <v>11334</v>
      </c>
      <c r="Q228" s="117">
        <v>1247295300</v>
      </c>
    </row>
    <row r="229" spans="1:17" x14ac:dyDescent="0.25">
      <c r="A229" s="117">
        <v>540171</v>
      </c>
      <c r="B229" s="2" t="s">
        <v>243</v>
      </c>
      <c r="C229" s="2" t="s">
        <v>73</v>
      </c>
      <c r="D229" s="2" t="s">
        <v>115</v>
      </c>
      <c r="E229" s="117">
        <v>1</v>
      </c>
      <c r="F229" s="117">
        <v>0</v>
      </c>
      <c r="G229" s="117">
        <v>0</v>
      </c>
      <c r="H229" s="117">
        <v>0</v>
      </c>
      <c r="I229" s="117">
        <v>0</v>
      </c>
      <c r="J229" s="117">
        <v>0</v>
      </c>
      <c r="K229" s="117">
        <v>0</v>
      </c>
      <c r="L229" s="117">
        <v>4</v>
      </c>
      <c r="M229" s="117">
        <v>14000</v>
      </c>
      <c r="N229" s="117">
        <v>39</v>
      </c>
      <c r="O229" s="117">
        <v>1077800</v>
      </c>
      <c r="P229" s="117">
        <v>441</v>
      </c>
      <c r="Q229" s="117">
        <v>4378500</v>
      </c>
    </row>
    <row r="230" spans="1:17" x14ac:dyDescent="0.25">
      <c r="A230" s="117">
        <v>540173</v>
      </c>
      <c r="B230" s="2" t="s">
        <v>245</v>
      </c>
      <c r="C230" s="2" t="s">
        <v>73</v>
      </c>
      <c r="D230" s="2" t="s">
        <v>115</v>
      </c>
      <c r="E230" s="117">
        <v>1</v>
      </c>
      <c r="F230" s="117">
        <v>0</v>
      </c>
      <c r="G230" s="117">
        <v>0</v>
      </c>
      <c r="H230" s="117">
        <v>0</v>
      </c>
      <c r="I230" s="117">
        <v>0</v>
      </c>
      <c r="J230" s="117">
        <v>0</v>
      </c>
      <c r="K230" s="117">
        <v>0</v>
      </c>
      <c r="L230" s="117">
        <v>0</v>
      </c>
      <c r="M230" s="117">
        <v>0</v>
      </c>
      <c r="N230" s="117">
        <v>96</v>
      </c>
      <c r="O230" s="117">
        <v>1042400</v>
      </c>
      <c r="P230" s="117">
        <v>15</v>
      </c>
      <c r="Q230" s="117">
        <v>40400</v>
      </c>
    </row>
    <row r="231" spans="1:17" x14ac:dyDescent="0.25">
      <c r="A231" s="117">
        <v>540174</v>
      </c>
      <c r="B231" s="2" t="s">
        <v>246</v>
      </c>
      <c r="C231" s="2" t="s">
        <v>73</v>
      </c>
      <c r="D231" s="2" t="s">
        <v>115</v>
      </c>
      <c r="E231" s="117">
        <v>1</v>
      </c>
      <c r="F231" s="117">
        <v>0</v>
      </c>
      <c r="G231" s="117">
        <v>0</v>
      </c>
      <c r="H231" s="117">
        <v>0</v>
      </c>
      <c r="I231" s="117">
        <v>0</v>
      </c>
      <c r="J231" s="117">
        <v>0</v>
      </c>
      <c r="K231" s="117">
        <v>0</v>
      </c>
      <c r="L231" s="117">
        <v>36</v>
      </c>
      <c r="M231" s="117">
        <v>746800</v>
      </c>
      <c r="N231" s="117">
        <v>13</v>
      </c>
      <c r="O231" s="117">
        <v>743700</v>
      </c>
      <c r="P231" s="117">
        <v>825</v>
      </c>
      <c r="Q231" s="117">
        <v>37432200</v>
      </c>
    </row>
    <row r="232" spans="1:17" x14ac:dyDescent="0.25">
      <c r="A232" s="117">
        <v>540286</v>
      </c>
      <c r="B232" s="2" t="s">
        <v>325</v>
      </c>
      <c r="C232" s="2" t="s">
        <v>73</v>
      </c>
      <c r="D232" s="2" t="s">
        <v>115</v>
      </c>
      <c r="E232" s="117">
        <v>1</v>
      </c>
      <c r="F232" s="117">
        <v>0</v>
      </c>
      <c r="G232" s="117">
        <v>0</v>
      </c>
      <c r="H232" s="117">
        <v>4</v>
      </c>
      <c r="I232" s="117">
        <v>136500</v>
      </c>
      <c r="J232" s="117">
        <v>1</v>
      </c>
      <c r="K232" s="117">
        <v>249600</v>
      </c>
      <c r="L232" s="117">
        <v>53</v>
      </c>
      <c r="M232" s="117">
        <v>2056800</v>
      </c>
      <c r="N232" s="117">
        <v>61</v>
      </c>
      <c r="O232" s="117">
        <v>5682600</v>
      </c>
      <c r="P232" s="117">
        <v>788</v>
      </c>
      <c r="Q232" s="117">
        <v>48699100</v>
      </c>
    </row>
    <row r="233" spans="1:17" x14ac:dyDescent="0.25">
      <c r="A233" s="269"/>
      <c r="B233" s="269"/>
      <c r="C233" s="269" t="s">
        <v>73</v>
      </c>
      <c r="D233" s="269"/>
      <c r="E233" s="269"/>
      <c r="F233" s="270">
        <v>0</v>
      </c>
      <c r="G233" s="270">
        <v>0</v>
      </c>
      <c r="H233" s="270">
        <v>370</v>
      </c>
      <c r="I233" s="270">
        <v>18401900</v>
      </c>
      <c r="J233" s="270">
        <v>4</v>
      </c>
      <c r="K233" s="270">
        <v>722300</v>
      </c>
      <c r="L233" s="270">
        <v>2557</v>
      </c>
      <c r="M233" s="270">
        <v>116621400</v>
      </c>
      <c r="N233" s="270">
        <v>2504</v>
      </c>
      <c r="O233" s="270">
        <v>166591700</v>
      </c>
      <c r="P233" s="270">
        <v>48492</v>
      </c>
      <c r="Q233" s="270">
        <v>3840886900</v>
      </c>
    </row>
    <row r="234" spans="1:17" x14ac:dyDescent="0.25">
      <c r="A234" s="117">
        <v>540183</v>
      </c>
      <c r="B234" s="2" t="s">
        <v>76</v>
      </c>
      <c r="C234" s="2" t="s">
        <v>77</v>
      </c>
      <c r="D234" s="2" t="s">
        <v>5</v>
      </c>
      <c r="E234" s="117">
        <v>5</v>
      </c>
      <c r="F234" s="117">
        <v>0</v>
      </c>
      <c r="G234" s="117">
        <v>0</v>
      </c>
      <c r="H234" s="117">
        <v>286</v>
      </c>
      <c r="I234" s="117">
        <v>13789200</v>
      </c>
      <c r="J234" s="117">
        <v>14</v>
      </c>
      <c r="K234" s="117">
        <v>0</v>
      </c>
      <c r="L234" s="117">
        <v>1894</v>
      </c>
      <c r="M234" s="117">
        <v>92507800</v>
      </c>
      <c r="N234" s="117">
        <v>820</v>
      </c>
      <c r="O234" s="117">
        <v>0</v>
      </c>
      <c r="P234" s="117">
        <v>6242</v>
      </c>
      <c r="Q234" s="117">
        <v>317951400</v>
      </c>
    </row>
    <row r="235" spans="1:17" x14ac:dyDescent="0.25">
      <c r="A235" s="117">
        <v>540184</v>
      </c>
      <c r="B235" s="2" t="s">
        <v>253</v>
      </c>
      <c r="C235" s="2" t="s">
        <v>77</v>
      </c>
      <c r="D235" s="2" t="s">
        <v>115</v>
      </c>
      <c r="E235" s="117">
        <v>5</v>
      </c>
      <c r="F235" s="117">
        <v>0</v>
      </c>
      <c r="G235" s="117">
        <v>0</v>
      </c>
      <c r="H235" s="117">
        <v>0</v>
      </c>
      <c r="I235" s="117">
        <v>0</v>
      </c>
      <c r="J235" s="117">
        <v>0</v>
      </c>
      <c r="K235" s="117">
        <v>0</v>
      </c>
      <c r="L235" s="117">
        <v>2</v>
      </c>
      <c r="M235" s="117">
        <v>53500</v>
      </c>
      <c r="N235" s="117">
        <v>28</v>
      </c>
      <c r="O235" s="117">
        <v>0</v>
      </c>
      <c r="P235" s="117">
        <v>62</v>
      </c>
      <c r="Q235" s="117">
        <v>2176300</v>
      </c>
    </row>
    <row r="236" spans="1:17" x14ac:dyDescent="0.25">
      <c r="A236" s="117">
        <v>540185</v>
      </c>
      <c r="B236" s="2" t="s">
        <v>254</v>
      </c>
      <c r="C236" s="2" t="s">
        <v>77</v>
      </c>
      <c r="D236" s="2" t="s">
        <v>115</v>
      </c>
      <c r="E236" s="117">
        <v>5</v>
      </c>
      <c r="F236" s="117">
        <v>0</v>
      </c>
      <c r="G236" s="117">
        <v>0</v>
      </c>
      <c r="H236" s="117">
        <v>6</v>
      </c>
      <c r="I236" s="117">
        <v>190000</v>
      </c>
      <c r="J236" s="117">
        <v>2</v>
      </c>
      <c r="K236" s="117">
        <v>0</v>
      </c>
      <c r="L236" s="117">
        <v>148</v>
      </c>
      <c r="M236" s="117">
        <v>5815300</v>
      </c>
      <c r="N236" s="117">
        <v>210</v>
      </c>
      <c r="O236" s="117">
        <v>0</v>
      </c>
      <c r="P236" s="117">
        <v>926</v>
      </c>
      <c r="Q236" s="117">
        <v>68622000</v>
      </c>
    </row>
    <row r="237" spans="1:17" x14ac:dyDescent="0.25">
      <c r="A237" s="269"/>
      <c r="B237" s="269"/>
      <c r="C237" s="269" t="s">
        <v>77</v>
      </c>
      <c r="D237" s="269"/>
      <c r="E237" s="269"/>
      <c r="F237" s="270">
        <v>0</v>
      </c>
      <c r="G237" s="270">
        <v>0</v>
      </c>
      <c r="H237" s="270">
        <v>292</v>
      </c>
      <c r="I237" s="270">
        <v>13979200</v>
      </c>
      <c r="J237" s="270">
        <v>16</v>
      </c>
      <c r="K237" s="270">
        <v>0</v>
      </c>
      <c r="L237" s="270">
        <v>2044</v>
      </c>
      <c r="M237" s="270">
        <v>98376600</v>
      </c>
      <c r="N237" s="270">
        <v>1058</v>
      </c>
      <c r="O237" s="270">
        <v>0</v>
      </c>
      <c r="P237" s="270">
        <v>7230</v>
      </c>
      <c r="Q237" s="270">
        <v>388749700</v>
      </c>
    </row>
    <row r="238" spans="1:17" x14ac:dyDescent="0.25">
      <c r="A238" s="117">
        <v>540186</v>
      </c>
      <c r="B238" s="2" t="s">
        <v>78</v>
      </c>
      <c r="C238" s="2" t="s">
        <v>79</v>
      </c>
      <c r="D238" s="2" t="s">
        <v>5</v>
      </c>
      <c r="E238" s="117">
        <v>1</v>
      </c>
      <c r="F238" s="117">
        <v>0</v>
      </c>
      <c r="G238" s="117">
        <v>0</v>
      </c>
      <c r="H238" s="117">
        <v>393</v>
      </c>
      <c r="I238" s="117">
        <v>17918300</v>
      </c>
      <c r="J238" s="117">
        <v>16</v>
      </c>
      <c r="K238" s="117">
        <v>671000</v>
      </c>
      <c r="L238" s="117">
        <v>1200</v>
      </c>
      <c r="M238" s="117">
        <v>87202800</v>
      </c>
      <c r="N238" s="117">
        <v>831</v>
      </c>
      <c r="O238" s="117">
        <v>47481200</v>
      </c>
      <c r="P238" s="117">
        <v>6418</v>
      </c>
      <c r="Q238" s="117">
        <v>369591100</v>
      </c>
    </row>
    <row r="239" spans="1:17" x14ac:dyDescent="0.25">
      <c r="A239" s="117">
        <v>540187</v>
      </c>
      <c r="B239" s="2" t="s">
        <v>255</v>
      </c>
      <c r="C239" s="2" t="s">
        <v>79</v>
      </c>
      <c r="D239" s="2" t="s">
        <v>115</v>
      </c>
      <c r="E239" s="117">
        <v>1</v>
      </c>
      <c r="F239" s="117">
        <v>0</v>
      </c>
      <c r="G239" s="117">
        <v>0</v>
      </c>
      <c r="H239" s="117">
        <v>36</v>
      </c>
      <c r="I239" s="117">
        <v>636700</v>
      </c>
      <c r="J239" s="117">
        <v>3</v>
      </c>
      <c r="K239" s="117">
        <v>93200</v>
      </c>
      <c r="L239" s="117">
        <v>238</v>
      </c>
      <c r="M239" s="117">
        <v>6002400</v>
      </c>
      <c r="N239" s="117">
        <v>87</v>
      </c>
      <c r="O239" s="117">
        <v>8341500</v>
      </c>
      <c r="P239" s="117">
        <v>1558</v>
      </c>
      <c r="Q239" s="117">
        <v>153906400</v>
      </c>
    </row>
    <row r="240" spans="1:17" x14ac:dyDescent="0.25">
      <c r="A240" s="269"/>
      <c r="B240" s="269"/>
      <c r="C240" s="269" t="s">
        <v>79</v>
      </c>
      <c r="D240" s="269"/>
      <c r="E240" s="269"/>
      <c r="F240" s="270">
        <v>0</v>
      </c>
      <c r="G240" s="270">
        <v>0</v>
      </c>
      <c r="H240" s="270">
        <v>429</v>
      </c>
      <c r="I240" s="270">
        <v>18555000</v>
      </c>
      <c r="J240" s="270">
        <v>19</v>
      </c>
      <c r="K240" s="270">
        <v>764200</v>
      </c>
      <c r="L240" s="270">
        <v>1438</v>
      </c>
      <c r="M240" s="270">
        <v>93205200</v>
      </c>
      <c r="N240" s="270">
        <v>918</v>
      </c>
      <c r="O240" s="270">
        <v>55822700</v>
      </c>
      <c r="P240" s="270">
        <v>7976</v>
      </c>
      <c r="Q240" s="270">
        <v>523497500</v>
      </c>
    </row>
    <row r="241" spans="1:17" x14ac:dyDescent="0.25">
      <c r="A241" s="117">
        <v>540188</v>
      </c>
      <c r="B241" s="2" t="s">
        <v>80</v>
      </c>
      <c r="C241" s="2" t="s">
        <v>81</v>
      </c>
      <c r="D241" s="2" t="s">
        <v>5</v>
      </c>
      <c r="E241" s="117">
        <v>6</v>
      </c>
      <c r="F241" s="117">
        <v>0</v>
      </c>
      <c r="G241" s="117">
        <v>0</v>
      </c>
      <c r="H241" s="117">
        <v>96</v>
      </c>
      <c r="I241" s="117">
        <v>4761300</v>
      </c>
      <c r="J241" s="117">
        <v>3</v>
      </c>
      <c r="K241" s="117">
        <v>0</v>
      </c>
      <c r="L241" s="117">
        <v>843</v>
      </c>
      <c r="M241" s="117">
        <v>55132100</v>
      </c>
      <c r="N241" s="117">
        <v>280</v>
      </c>
      <c r="O241" s="117">
        <v>0</v>
      </c>
      <c r="P241" s="117">
        <v>6551</v>
      </c>
      <c r="Q241" s="117">
        <v>614408700</v>
      </c>
    </row>
    <row r="242" spans="1:17" x14ac:dyDescent="0.25">
      <c r="A242" s="117">
        <v>540189</v>
      </c>
      <c r="B242" s="2" t="s">
        <v>256</v>
      </c>
      <c r="C242" s="2" t="s">
        <v>81</v>
      </c>
      <c r="D242" s="2" t="s">
        <v>115</v>
      </c>
      <c r="E242" s="117">
        <v>6</v>
      </c>
      <c r="F242" s="117">
        <v>0</v>
      </c>
      <c r="G242" s="117">
        <v>0</v>
      </c>
      <c r="H242" s="117">
        <v>0</v>
      </c>
      <c r="I242" s="117">
        <v>0</v>
      </c>
      <c r="J242" s="117">
        <v>0</v>
      </c>
      <c r="K242" s="117">
        <v>0</v>
      </c>
      <c r="L242" s="117">
        <v>9</v>
      </c>
      <c r="M242" s="117">
        <v>225000</v>
      </c>
      <c r="N242" s="117">
        <v>13</v>
      </c>
      <c r="O242" s="117">
        <v>0</v>
      </c>
      <c r="P242" s="117">
        <v>179</v>
      </c>
      <c r="Q242" s="117">
        <v>6116100</v>
      </c>
    </row>
    <row r="243" spans="1:17" x14ac:dyDescent="0.25">
      <c r="A243" s="117">
        <v>540190</v>
      </c>
      <c r="B243" s="2" t="s">
        <v>257</v>
      </c>
      <c r="C243" s="2" t="s">
        <v>81</v>
      </c>
      <c r="D243" s="2" t="s">
        <v>115</v>
      </c>
      <c r="E243" s="117">
        <v>6</v>
      </c>
      <c r="F243" s="117">
        <v>0</v>
      </c>
      <c r="G243" s="117">
        <v>0</v>
      </c>
      <c r="H243" s="117">
        <v>68</v>
      </c>
      <c r="I243" s="117">
        <v>1209200</v>
      </c>
      <c r="J243" s="117">
        <v>1</v>
      </c>
      <c r="K243" s="117">
        <v>0</v>
      </c>
      <c r="L243" s="117">
        <v>660</v>
      </c>
      <c r="M243" s="117">
        <v>12017600</v>
      </c>
      <c r="N243" s="117">
        <v>152</v>
      </c>
      <c r="O243" s="117">
        <v>0</v>
      </c>
      <c r="P243" s="117">
        <v>3003</v>
      </c>
      <c r="Q243" s="117">
        <v>128855900</v>
      </c>
    </row>
    <row r="244" spans="1:17" x14ac:dyDescent="0.25">
      <c r="A244" s="269"/>
      <c r="B244" s="269"/>
      <c r="C244" s="269" t="s">
        <v>81</v>
      </c>
      <c r="D244" s="269"/>
      <c r="E244" s="269"/>
      <c r="F244" s="270">
        <v>0</v>
      </c>
      <c r="G244" s="270">
        <v>0</v>
      </c>
      <c r="H244" s="270">
        <v>164</v>
      </c>
      <c r="I244" s="270">
        <v>5970500</v>
      </c>
      <c r="J244" s="270">
        <v>4</v>
      </c>
      <c r="K244" s="270">
        <v>0</v>
      </c>
      <c r="L244" s="270">
        <v>1512</v>
      </c>
      <c r="M244" s="270">
        <v>67374700</v>
      </c>
      <c r="N244" s="270">
        <v>445</v>
      </c>
      <c r="O244" s="270">
        <v>0</v>
      </c>
      <c r="P244" s="270">
        <v>9733</v>
      </c>
      <c r="Q244" s="270">
        <v>749380700</v>
      </c>
    </row>
    <row r="245" spans="1:17" x14ac:dyDescent="0.25">
      <c r="A245" s="117">
        <v>540198</v>
      </c>
      <c r="B245" s="2" t="s">
        <v>82</v>
      </c>
      <c r="C245" s="2" t="s">
        <v>83</v>
      </c>
      <c r="D245" s="2" t="s">
        <v>5</v>
      </c>
      <c r="E245" s="117">
        <v>7</v>
      </c>
      <c r="F245" s="117">
        <v>0</v>
      </c>
      <c r="G245" s="117">
        <v>0</v>
      </c>
      <c r="H245" s="117">
        <v>121</v>
      </c>
      <c r="I245" s="117">
        <v>7083500</v>
      </c>
      <c r="J245" s="117">
        <v>10</v>
      </c>
      <c r="K245" s="117">
        <v>0</v>
      </c>
      <c r="L245" s="117">
        <v>1124</v>
      </c>
      <c r="M245" s="117">
        <v>67652500</v>
      </c>
      <c r="N245" s="117">
        <v>992</v>
      </c>
      <c r="O245" s="117">
        <v>0</v>
      </c>
      <c r="P245" s="117">
        <v>11610</v>
      </c>
      <c r="Q245" s="117">
        <v>817653100</v>
      </c>
    </row>
    <row r="246" spans="1:17" x14ac:dyDescent="0.25">
      <c r="A246" s="117">
        <v>540199</v>
      </c>
      <c r="B246" s="2" t="s">
        <v>261</v>
      </c>
      <c r="C246" s="2" t="s">
        <v>83</v>
      </c>
      <c r="D246" s="2" t="s">
        <v>115</v>
      </c>
      <c r="E246" s="117">
        <v>7</v>
      </c>
      <c r="F246" s="117">
        <v>0</v>
      </c>
      <c r="G246" s="117">
        <v>0</v>
      </c>
      <c r="H246" s="117">
        <v>4</v>
      </c>
      <c r="I246" s="117">
        <v>150300</v>
      </c>
      <c r="J246" s="117">
        <v>0</v>
      </c>
      <c r="K246" s="117">
        <v>0</v>
      </c>
      <c r="L246" s="117">
        <v>34</v>
      </c>
      <c r="M246" s="117">
        <v>1725200</v>
      </c>
      <c r="N246" s="117">
        <v>614</v>
      </c>
      <c r="O246" s="117">
        <v>0</v>
      </c>
      <c r="P246" s="117">
        <v>1877</v>
      </c>
      <c r="Q246" s="117">
        <v>233339900</v>
      </c>
    </row>
    <row r="247" spans="1:17" x14ac:dyDescent="0.25">
      <c r="A247" s="269"/>
      <c r="B247" s="269"/>
      <c r="C247" s="269" t="s">
        <v>83</v>
      </c>
      <c r="D247" s="269"/>
      <c r="E247" s="269"/>
      <c r="F247" s="270">
        <v>0</v>
      </c>
      <c r="G247" s="270">
        <v>0</v>
      </c>
      <c r="H247" s="270">
        <v>125</v>
      </c>
      <c r="I247" s="270">
        <v>7233800</v>
      </c>
      <c r="J247" s="270">
        <v>10</v>
      </c>
      <c r="K247" s="270">
        <v>0</v>
      </c>
      <c r="L247" s="270">
        <v>1158</v>
      </c>
      <c r="M247" s="270">
        <v>69377700</v>
      </c>
      <c r="N247" s="270">
        <v>1606</v>
      </c>
      <c r="O247" s="270">
        <v>0</v>
      </c>
      <c r="P247" s="270">
        <v>13487</v>
      </c>
      <c r="Q247" s="270">
        <v>1050993000</v>
      </c>
    </row>
    <row r="248" spans="1:17" x14ac:dyDescent="0.25">
      <c r="A248" s="117">
        <v>540200</v>
      </c>
      <c r="B248" s="2" t="s">
        <v>84</v>
      </c>
      <c r="C248" s="2" t="s">
        <v>85</v>
      </c>
      <c r="D248" s="2" t="s">
        <v>5</v>
      </c>
      <c r="E248" s="117">
        <v>2</v>
      </c>
      <c r="F248" s="117">
        <v>0</v>
      </c>
      <c r="G248" s="117">
        <v>0</v>
      </c>
      <c r="H248" s="117">
        <v>601</v>
      </c>
      <c r="I248" s="117">
        <v>19777000</v>
      </c>
      <c r="J248" s="117">
        <v>17</v>
      </c>
      <c r="K248" s="117">
        <v>0</v>
      </c>
      <c r="L248" s="117">
        <v>2766</v>
      </c>
      <c r="M248" s="117">
        <v>122549400</v>
      </c>
      <c r="N248" s="117">
        <v>1920</v>
      </c>
      <c r="O248" s="117">
        <v>0</v>
      </c>
      <c r="P248" s="117">
        <v>11125</v>
      </c>
      <c r="Q248" s="117">
        <v>538568500</v>
      </c>
    </row>
    <row r="249" spans="1:17" x14ac:dyDescent="0.25">
      <c r="A249" s="117">
        <v>540018</v>
      </c>
      <c r="B249" s="2" t="s">
        <v>127</v>
      </c>
      <c r="C249" s="2" t="s">
        <v>85</v>
      </c>
      <c r="D249" s="2" t="s">
        <v>115</v>
      </c>
      <c r="E249" s="117">
        <v>2</v>
      </c>
      <c r="F249" s="117">
        <v>0</v>
      </c>
      <c r="G249" s="117">
        <v>0</v>
      </c>
      <c r="H249" s="117">
        <v>1</v>
      </c>
      <c r="I249" s="117">
        <v>13900</v>
      </c>
      <c r="J249" s="117">
        <v>0</v>
      </c>
      <c r="K249" s="117">
        <v>0</v>
      </c>
      <c r="L249" s="117">
        <v>2</v>
      </c>
      <c r="M249" s="117">
        <v>12600</v>
      </c>
      <c r="N249" s="117">
        <v>220</v>
      </c>
      <c r="O249" s="117">
        <v>0</v>
      </c>
      <c r="P249" s="117">
        <v>1635</v>
      </c>
      <c r="Q249" s="117">
        <v>96806400</v>
      </c>
    </row>
    <row r="250" spans="1:17" x14ac:dyDescent="0.25">
      <c r="A250" s="117">
        <v>540202</v>
      </c>
      <c r="B250" s="2" t="s">
        <v>262</v>
      </c>
      <c r="C250" s="2" t="s">
        <v>85</v>
      </c>
      <c r="D250" s="2" t="s">
        <v>115</v>
      </c>
      <c r="E250" s="117">
        <v>2</v>
      </c>
      <c r="F250" s="117">
        <v>0</v>
      </c>
      <c r="G250" s="117">
        <v>0</v>
      </c>
      <c r="H250" s="117">
        <v>5</v>
      </c>
      <c r="I250" s="117">
        <v>151500</v>
      </c>
      <c r="J250" s="117">
        <v>0</v>
      </c>
      <c r="K250" s="117">
        <v>0</v>
      </c>
      <c r="L250" s="117">
        <v>21</v>
      </c>
      <c r="M250" s="117">
        <v>346100</v>
      </c>
      <c r="N250" s="117">
        <v>70</v>
      </c>
      <c r="O250" s="117">
        <v>0</v>
      </c>
      <c r="P250" s="117">
        <v>263</v>
      </c>
      <c r="Q250" s="117">
        <v>10279300</v>
      </c>
    </row>
    <row r="251" spans="1:17" x14ac:dyDescent="0.25">
      <c r="A251" s="117">
        <v>540221</v>
      </c>
      <c r="B251" s="2" t="s">
        <v>275</v>
      </c>
      <c r="C251" s="2" t="s">
        <v>85</v>
      </c>
      <c r="D251" s="2" t="s">
        <v>115</v>
      </c>
      <c r="E251" s="117">
        <v>2</v>
      </c>
      <c r="F251" s="117">
        <v>0</v>
      </c>
      <c r="G251" s="117">
        <v>0</v>
      </c>
      <c r="H251" s="117">
        <v>0</v>
      </c>
      <c r="I251" s="117">
        <v>0</v>
      </c>
      <c r="J251" s="117">
        <v>0</v>
      </c>
      <c r="K251" s="117">
        <v>0</v>
      </c>
      <c r="L251" s="117">
        <v>2</v>
      </c>
      <c r="M251" s="117">
        <v>65900</v>
      </c>
      <c r="N251" s="117">
        <v>88</v>
      </c>
      <c r="O251" s="117">
        <v>0</v>
      </c>
      <c r="P251" s="117">
        <v>1800</v>
      </c>
      <c r="Q251" s="117">
        <v>113983900</v>
      </c>
    </row>
    <row r="252" spans="1:17" x14ac:dyDescent="0.25">
      <c r="A252" s="117">
        <v>540231</v>
      </c>
      <c r="B252" s="2" t="s">
        <v>281</v>
      </c>
      <c r="C252" s="2" t="s">
        <v>85</v>
      </c>
      <c r="D252" s="2" t="s">
        <v>115</v>
      </c>
      <c r="E252" s="117">
        <v>2</v>
      </c>
      <c r="F252" s="117">
        <v>0</v>
      </c>
      <c r="G252" s="117">
        <v>0</v>
      </c>
      <c r="H252" s="117">
        <v>2</v>
      </c>
      <c r="I252" s="117">
        <v>158000</v>
      </c>
      <c r="J252" s="117">
        <v>1</v>
      </c>
      <c r="K252" s="117">
        <v>0</v>
      </c>
      <c r="L252" s="117">
        <v>90</v>
      </c>
      <c r="M252" s="117">
        <v>2389300</v>
      </c>
      <c r="N252" s="117">
        <v>155</v>
      </c>
      <c r="O252" s="117">
        <v>0</v>
      </c>
      <c r="P252" s="117">
        <v>534</v>
      </c>
      <c r="Q252" s="117">
        <v>34133800</v>
      </c>
    </row>
    <row r="253" spans="1:17" x14ac:dyDescent="0.25">
      <c r="A253" s="117">
        <v>540232</v>
      </c>
      <c r="B253" s="2" t="s">
        <v>282</v>
      </c>
      <c r="C253" s="2" t="s">
        <v>85</v>
      </c>
      <c r="D253" s="2" t="s">
        <v>115</v>
      </c>
      <c r="E253" s="117">
        <v>2</v>
      </c>
      <c r="F253" s="117">
        <v>0</v>
      </c>
      <c r="G253" s="117">
        <v>0</v>
      </c>
      <c r="H253" s="117">
        <v>7</v>
      </c>
      <c r="I253" s="117">
        <v>439900</v>
      </c>
      <c r="J253" s="117">
        <v>3</v>
      </c>
      <c r="K253" s="117">
        <v>0</v>
      </c>
      <c r="L253" s="117">
        <v>55</v>
      </c>
      <c r="M253" s="117">
        <v>1532600</v>
      </c>
      <c r="N253" s="117">
        <v>65</v>
      </c>
      <c r="O253" s="117">
        <v>0</v>
      </c>
      <c r="P253" s="117">
        <v>637</v>
      </c>
      <c r="Q253" s="117">
        <v>48458900</v>
      </c>
    </row>
    <row r="254" spans="1:17" x14ac:dyDescent="0.25">
      <c r="A254" s="269"/>
      <c r="B254" s="269"/>
      <c r="C254" s="269" t="s">
        <v>85</v>
      </c>
      <c r="D254" s="269"/>
      <c r="E254" s="269"/>
      <c r="F254" s="270">
        <v>0</v>
      </c>
      <c r="G254" s="270">
        <v>0</v>
      </c>
      <c r="H254" s="270">
        <v>616</v>
      </c>
      <c r="I254" s="270">
        <v>20540300</v>
      </c>
      <c r="J254" s="270">
        <v>21</v>
      </c>
      <c r="K254" s="270">
        <v>0</v>
      </c>
      <c r="L254" s="270">
        <v>2936</v>
      </c>
      <c r="M254" s="270">
        <v>126895900</v>
      </c>
      <c r="N254" s="270">
        <v>2518</v>
      </c>
      <c r="O254" s="270">
        <v>0</v>
      </c>
      <c r="P254" s="270">
        <v>15994</v>
      </c>
      <c r="Q254" s="270">
        <v>842230800</v>
      </c>
    </row>
    <row r="255" spans="1:17" x14ac:dyDescent="0.25">
      <c r="A255" s="117">
        <v>540203</v>
      </c>
      <c r="B255" s="2" t="s">
        <v>86</v>
      </c>
      <c r="C255" s="2" t="s">
        <v>87</v>
      </c>
      <c r="D255" s="2" t="s">
        <v>5</v>
      </c>
      <c r="E255" s="117">
        <v>4</v>
      </c>
      <c r="F255" s="117">
        <v>0</v>
      </c>
      <c r="G255" s="117">
        <v>0</v>
      </c>
      <c r="H255" s="117">
        <v>219</v>
      </c>
      <c r="I255" s="117">
        <v>4348400</v>
      </c>
      <c r="J255" s="117">
        <v>3</v>
      </c>
      <c r="K255" s="117">
        <v>15200</v>
      </c>
      <c r="L255" s="117">
        <v>955</v>
      </c>
      <c r="M255" s="117">
        <v>19224300</v>
      </c>
      <c r="N255" s="117">
        <v>820</v>
      </c>
      <c r="O255" s="117">
        <v>34827400</v>
      </c>
      <c r="P255" s="117">
        <v>4895</v>
      </c>
      <c r="Q255" s="117">
        <v>126064100</v>
      </c>
    </row>
    <row r="256" spans="1:17" x14ac:dyDescent="0.25">
      <c r="A256" s="117">
        <v>540204</v>
      </c>
      <c r="B256" s="2" t="s">
        <v>263</v>
      </c>
      <c r="C256" s="2" t="s">
        <v>87</v>
      </c>
      <c r="D256" s="2" t="s">
        <v>115</v>
      </c>
      <c r="E256" s="117">
        <v>4</v>
      </c>
      <c r="F256" s="117">
        <v>0</v>
      </c>
      <c r="G256" s="117">
        <v>0</v>
      </c>
      <c r="H256" s="117">
        <v>1</v>
      </c>
      <c r="I256" s="117">
        <v>900</v>
      </c>
      <c r="J256" s="117">
        <v>1</v>
      </c>
      <c r="K256" s="117">
        <v>0</v>
      </c>
      <c r="L256" s="117">
        <v>42</v>
      </c>
      <c r="M256" s="117">
        <v>452500</v>
      </c>
      <c r="N256" s="117">
        <v>120</v>
      </c>
      <c r="O256" s="117">
        <v>10628600</v>
      </c>
      <c r="P256" s="117">
        <v>386</v>
      </c>
      <c r="Q256" s="117">
        <v>13696800</v>
      </c>
    </row>
    <row r="257" spans="1:17" x14ac:dyDescent="0.25">
      <c r="A257" s="117">
        <v>540205</v>
      </c>
      <c r="B257" s="2" t="s">
        <v>264</v>
      </c>
      <c r="C257" s="2" t="s">
        <v>87</v>
      </c>
      <c r="D257" s="2" t="s">
        <v>115</v>
      </c>
      <c r="E257" s="117">
        <v>4</v>
      </c>
      <c r="F257" s="117">
        <v>0</v>
      </c>
      <c r="G257" s="117">
        <v>0</v>
      </c>
      <c r="H257" s="117">
        <v>0</v>
      </c>
      <c r="I257" s="117">
        <v>0</v>
      </c>
      <c r="J257" s="117">
        <v>0</v>
      </c>
      <c r="K257" s="117">
        <v>0</v>
      </c>
      <c r="L257" s="117">
        <v>12</v>
      </c>
      <c r="M257" s="117">
        <v>54800</v>
      </c>
      <c r="N257" s="117">
        <v>22</v>
      </c>
      <c r="O257" s="117">
        <v>516100</v>
      </c>
      <c r="P257" s="117">
        <v>128</v>
      </c>
      <c r="Q257" s="117">
        <v>1781700</v>
      </c>
    </row>
    <row r="258" spans="1:17" x14ac:dyDescent="0.25">
      <c r="A258" s="117">
        <v>540206</v>
      </c>
      <c r="B258" s="2" t="s">
        <v>265</v>
      </c>
      <c r="C258" s="2" t="s">
        <v>87</v>
      </c>
      <c r="D258" s="2" t="s">
        <v>115</v>
      </c>
      <c r="E258" s="117">
        <v>4</v>
      </c>
      <c r="F258" s="117">
        <v>0</v>
      </c>
      <c r="G258" s="117">
        <v>0</v>
      </c>
      <c r="H258" s="117">
        <v>0</v>
      </c>
      <c r="I258" s="117">
        <v>0</v>
      </c>
      <c r="J258" s="117">
        <v>0</v>
      </c>
      <c r="K258" s="117">
        <v>0</v>
      </c>
      <c r="L258" s="117">
        <v>7</v>
      </c>
      <c r="M258" s="117">
        <v>186900</v>
      </c>
      <c r="N258" s="117">
        <v>35</v>
      </c>
      <c r="O258" s="117">
        <v>3335900</v>
      </c>
      <c r="P258" s="117">
        <v>444</v>
      </c>
      <c r="Q258" s="117">
        <v>10750400</v>
      </c>
    </row>
    <row r="259" spans="1:17" x14ac:dyDescent="0.25">
      <c r="A259" s="269"/>
      <c r="B259" s="269"/>
      <c r="C259" s="269" t="s">
        <v>87</v>
      </c>
      <c r="D259" s="269"/>
      <c r="E259" s="269"/>
      <c r="F259" s="270">
        <v>0</v>
      </c>
      <c r="G259" s="270">
        <v>0</v>
      </c>
      <c r="H259" s="270">
        <v>220</v>
      </c>
      <c r="I259" s="270">
        <v>4349300</v>
      </c>
      <c r="J259" s="270">
        <v>4</v>
      </c>
      <c r="K259" s="270">
        <v>15200</v>
      </c>
      <c r="L259" s="270">
        <v>1016</v>
      </c>
      <c r="M259" s="270">
        <v>19918500</v>
      </c>
      <c r="N259" s="270">
        <v>997</v>
      </c>
      <c r="O259" s="270">
        <v>49308000</v>
      </c>
      <c r="P259" s="270">
        <v>5853</v>
      </c>
      <c r="Q259" s="270">
        <v>152293000</v>
      </c>
    </row>
    <row r="260" spans="1:17" x14ac:dyDescent="0.25">
      <c r="A260" s="117">
        <v>540207</v>
      </c>
      <c r="B260" s="2" t="s">
        <v>88</v>
      </c>
      <c r="C260" s="2" t="s">
        <v>89</v>
      </c>
      <c r="D260" s="2" t="s">
        <v>5</v>
      </c>
      <c r="E260" s="117">
        <v>10</v>
      </c>
      <c r="F260" s="117">
        <v>0</v>
      </c>
      <c r="G260" s="117">
        <v>0</v>
      </c>
      <c r="H260" s="117">
        <v>53</v>
      </c>
      <c r="I260" s="117">
        <v>1999000</v>
      </c>
      <c r="J260" s="117">
        <v>7</v>
      </c>
      <c r="K260" s="117">
        <v>0</v>
      </c>
      <c r="L260" s="117">
        <v>1453</v>
      </c>
      <c r="M260" s="117">
        <v>51559600</v>
      </c>
      <c r="N260" s="117">
        <v>1317</v>
      </c>
      <c r="O260" s="117">
        <v>0</v>
      </c>
      <c r="P260" s="117">
        <v>5804</v>
      </c>
      <c r="Q260" s="117">
        <v>250593400</v>
      </c>
    </row>
    <row r="261" spans="1:17" x14ac:dyDescent="0.25">
      <c r="A261" s="117">
        <v>540196</v>
      </c>
      <c r="B261" s="2" t="s">
        <v>259</v>
      </c>
      <c r="C261" s="2" t="s">
        <v>89</v>
      </c>
      <c r="D261" s="2" t="s">
        <v>115</v>
      </c>
      <c r="E261" s="117">
        <v>5</v>
      </c>
      <c r="F261" s="117">
        <v>0</v>
      </c>
      <c r="G261" s="117">
        <v>0</v>
      </c>
      <c r="H261" s="117">
        <v>0</v>
      </c>
      <c r="I261" s="117">
        <v>0</v>
      </c>
      <c r="J261" s="117">
        <v>0</v>
      </c>
      <c r="K261" s="117">
        <v>0</v>
      </c>
      <c r="L261" s="117">
        <v>25</v>
      </c>
      <c r="M261" s="117">
        <v>854800</v>
      </c>
      <c r="N261" s="117">
        <v>3</v>
      </c>
      <c r="O261" s="117">
        <v>0</v>
      </c>
      <c r="P261" s="117">
        <v>1242</v>
      </c>
      <c r="Q261" s="117">
        <v>66346200</v>
      </c>
    </row>
    <row r="262" spans="1:17" x14ac:dyDescent="0.25">
      <c r="A262" s="117">
        <v>540208</v>
      </c>
      <c r="B262" s="2" t="s">
        <v>266</v>
      </c>
      <c r="C262" s="2" t="s">
        <v>89</v>
      </c>
      <c r="D262" s="2" t="s">
        <v>115</v>
      </c>
      <c r="E262" s="117">
        <v>10</v>
      </c>
      <c r="F262" s="117">
        <v>0</v>
      </c>
      <c r="G262" s="117">
        <v>0</v>
      </c>
      <c r="H262" s="117">
        <v>1</v>
      </c>
      <c r="I262" s="117">
        <v>2300</v>
      </c>
      <c r="J262" s="117">
        <v>0</v>
      </c>
      <c r="K262" s="117">
        <v>0</v>
      </c>
      <c r="L262" s="117">
        <v>37</v>
      </c>
      <c r="M262" s="117">
        <v>1364800</v>
      </c>
      <c r="N262" s="117">
        <v>855</v>
      </c>
      <c r="O262" s="117">
        <v>0</v>
      </c>
      <c r="P262" s="117">
        <v>1796</v>
      </c>
      <c r="Q262" s="117">
        <v>197081725</v>
      </c>
    </row>
    <row r="263" spans="1:17" x14ac:dyDescent="0.25">
      <c r="A263" s="117">
        <v>540210</v>
      </c>
      <c r="B263" s="2" t="s">
        <v>267</v>
      </c>
      <c r="C263" s="2" t="s">
        <v>89</v>
      </c>
      <c r="D263" s="2" t="s">
        <v>115</v>
      </c>
      <c r="E263" s="117">
        <v>10</v>
      </c>
      <c r="F263" s="117">
        <v>0</v>
      </c>
      <c r="G263" s="117">
        <v>0</v>
      </c>
      <c r="H263" s="117">
        <v>0</v>
      </c>
      <c r="I263" s="117">
        <v>0</v>
      </c>
      <c r="J263" s="117">
        <v>4</v>
      </c>
      <c r="K263" s="117">
        <v>0</v>
      </c>
      <c r="L263" s="117">
        <v>12</v>
      </c>
      <c r="M263" s="117">
        <v>100600</v>
      </c>
      <c r="N263" s="117">
        <v>129</v>
      </c>
      <c r="O263" s="117">
        <v>0</v>
      </c>
      <c r="P263" s="117">
        <v>199</v>
      </c>
      <c r="Q263" s="117">
        <v>3948300</v>
      </c>
    </row>
    <row r="264" spans="1:17" x14ac:dyDescent="0.25">
      <c r="A264" s="117">
        <v>540256</v>
      </c>
      <c r="B264" s="2" t="s">
        <v>301</v>
      </c>
      <c r="C264" s="2" t="s">
        <v>89</v>
      </c>
      <c r="D264" s="2" t="s">
        <v>115</v>
      </c>
      <c r="E264" s="117">
        <v>10</v>
      </c>
      <c r="F264" s="117">
        <v>0</v>
      </c>
      <c r="G264" s="117">
        <v>0</v>
      </c>
      <c r="H264" s="117">
        <v>2</v>
      </c>
      <c r="I264" s="117">
        <v>18700</v>
      </c>
      <c r="J264" s="117">
        <v>0</v>
      </c>
      <c r="K264" s="117">
        <v>0</v>
      </c>
      <c r="L264" s="117">
        <v>50</v>
      </c>
      <c r="M264" s="117">
        <v>537900</v>
      </c>
      <c r="N264" s="117">
        <v>95</v>
      </c>
      <c r="O264" s="117">
        <v>0</v>
      </c>
      <c r="P264" s="117">
        <v>131</v>
      </c>
      <c r="Q264" s="117">
        <v>3037600</v>
      </c>
    </row>
    <row r="265" spans="1:17" x14ac:dyDescent="0.25">
      <c r="A265" s="117">
        <v>540258</v>
      </c>
      <c r="B265" s="2" t="s">
        <v>303</v>
      </c>
      <c r="C265" s="2" t="s">
        <v>89</v>
      </c>
      <c r="D265" s="2" t="s">
        <v>115</v>
      </c>
      <c r="E265" s="117">
        <v>10</v>
      </c>
      <c r="F265" s="117">
        <v>0</v>
      </c>
      <c r="G265" s="117">
        <v>0</v>
      </c>
      <c r="H265" s="117">
        <v>0</v>
      </c>
      <c r="I265" s="117">
        <v>0</v>
      </c>
      <c r="J265" s="117">
        <v>0</v>
      </c>
      <c r="K265" s="117">
        <v>0</v>
      </c>
      <c r="L265" s="117">
        <v>7</v>
      </c>
      <c r="M265" s="117">
        <v>70800</v>
      </c>
      <c r="N265" s="117">
        <v>44</v>
      </c>
      <c r="O265" s="117">
        <v>0</v>
      </c>
      <c r="P265" s="117">
        <v>83</v>
      </c>
      <c r="Q265" s="117">
        <v>1071300</v>
      </c>
    </row>
    <row r="266" spans="1:17" x14ac:dyDescent="0.25">
      <c r="A266" s="269"/>
      <c r="B266" s="269"/>
      <c r="C266" s="269" t="s">
        <v>89</v>
      </c>
      <c r="D266" s="269"/>
      <c r="E266" s="269"/>
      <c r="F266" s="270">
        <v>0</v>
      </c>
      <c r="G266" s="270">
        <v>0</v>
      </c>
      <c r="H266" s="270">
        <v>56</v>
      </c>
      <c r="I266" s="270">
        <v>2020000</v>
      </c>
      <c r="J266" s="270">
        <v>11</v>
      </c>
      <c r="K266" s="270">
        <v>0</v>
      </c>
      <c r="L266" s="270">
        <v>1584</v>
      </c>
      <c r="M266" s="270">
        <v>54488500</v>
      </c>
      <c r="N266" s="270">
        <v>2443</v>
      </c>
      <c r="O266" s="270">
        <v>0</v>
      </c>
      <c r="P266" s="270">
        <v>9255</v>
      </c>
      <c r="Q266" s="270">
        <v>522078525</v>
      </c>
    </row>
    <row r="267" spans="1:17" x14ac:dyDescent="0.25">
      <c r="A267" s="117">
        <v>540211</v>
      </c>
      <c r="B267" s="2" t="s">
        <v>90</v>
      </c>
      <c r="C267" s="2" t="s">
        <v>91</v>
      </c>
      <c r="D267" s="2" t="s">
        <v>5</v>
      </c>
      <c r="E267" s="117">
        <v>5</v>
      </c>
      <c r="F267" s="117">
        <v>0</v>
      </c>
      <c r="G267" s="117">
        <v>0</v>
      </c>
      <c r="H267" s="117">
        <v>48</v>
      </c>
      <c r="I267" s="117">
        <v>1412600</v>
      </c>
      <c r="J267" s="117">
        <v>10</v>
      </c>
      <c r="K267" s="117">
        <v>0</v>
      </c>
      <c r="L267" s="117">
        <v>686</v>
      </c>
      <c r="M267" s="117">
        <v>22782200</v>
      </c>
      <c r="N267" s="117">
        <v>449</v>
      </c>
      <c r="O267" s="117">
        <v>0</v>
      </c>
      <c r="P267" s="117">
        <v>3426</v>
      </c>
      <c r="Q267" s="117">
        <v>109529100</v>
      </c>
    </row>
    <row r="268" spans="1:17" x14ac:dyDescent="0.25">
      <c r="A268" s="117">
        <v>540212</v>
      </c>
      <c r="B268" s="2" t="s">
        <v>268</v>
      </c>
      <c r="C268" s="2" t="s">
        <v>91</v>
      </c>
      <c r="D268" s="2" t="s">
        <v>115</v>
      </c>
      <c r="E268" s="117">
        <v>5</v>
      </c>
      <c r="F268" s="117">
        <v>0</v>
      </c>
      <c r="G268" s="117">
        <v>0</v>
      </c>
      <c r="H268" s="117">
        <v>0</v>
      </c>
      <c r="I268" s="117">
        <v>0</v>
      </c>
      <c r="J268" s="117">
        <v>0</v>
      </c>
      <c r="K268" s="117">
        <v>0</v>
      </c>
      <c r="L268" s="117">
        <v>0</v>
      </c>
      <c r="M268" s="117">
        <v>0</v>
      </c>
      <c r="N268" s="117">
        <v>66</v>
      </c>
      <c r="O268" s="117">
        <v>0</v>
      </c>
      <c r="P268" s="117">
        <v>363</v>
      </c>
      <c r="Q268" s="117">
        <v>21645100</v>
      </c>
    </row>
    <row r="269" spans="1:17" x14ac:dyDescent="0.25">
      <c r="A269" s="269"/>
      <c r="B269" s="269"/>
      <c r="C269" s="269" t="s">
        <v>91</v>
      </c>
      <c r="D269" s="269"/>
      <c r="E269" s="269"/>
      <c r="F269" s="270">
        <v>0</v>
      </c>
      <c r="G269" s="270">
        <v>0</v>
      </c>
      <c r="H269" s="270">
        <v>48</v>
      </c>
      <c r="I269" s="270">
        <v>1412600</v>
      </c>
      <c r="J269" s="270">
        <v>10</v>
      </c>
      <c r="K269" s="270">
        <v>0</v>
      </c>
      <c r="L269" s="270">
        <v>686</v>
      </c>
      <c r="M269" s="270">
        <v>22782200</v>
      </c>
      <c r="N269" s="270">
        <v>515</v>
      </c>
      <c r="O269" s="270">
        <v>0</v>
      </c>
      <c r="P269" s="270">
        <v>3789</v>
      </c>
      <c r="Q269" s="270">
        <v>131174200</v>
      </c>
    </row>
    <row r="270" spans="1:17" x14ac:dyDescent="0.25">
      <c r="A270" s="117">
        <v>540213</v>
      </c>
      <c r="B270" s="2" t="s">
        <v>92</v>
      </c>
      <c r="C270" s="2" t="s">
        <v>93</v>
      </c>
      <c r="D270" s="2" t="s">
        <v>5</v>
      </c>
      <c r="E270" s="117">
        <v>5</v>
      </c>
      <c r="F270" s="117">
        <v>0</v>
      </c>
      <c r="G270" s="117">
        <v>0</v>
      </c>
      <c r="H270" s="117">
        <v>148</v>
      </c>
      <c r="I270" s="117">
        <v>7929300</v>
      </c>
      <c r="J270" s="117">
        <v>4</v>
      </c>
      <c r="K270" s="117">
        <v>0</v>
      </c>
      <c r="L270" s="117">
        <v>2099</v>
      </c>
      <c r="M270" s="117">
        <v>129576200</v>
      </c>
      <c r="N270" s="117">
        <v>1704</v>
      </c>
      <c r="O270" s="117">
        <v>0</v>
      </c>
      <c r="P270" s="117">
        <v>20679</v>
      </c>
      <c r="Q270" s="117">
        <v>1787911500</v>
      </c>
    </row>
    <row r="271" spans="1:17" x14ac:dyDescent="0.25">
      <c r="A271" s="117">
        <v>540042</v>
      </c>
      <c r="B271" s="2" t="s">
        <v>143</v>
      </c>
      <c r="C271" s="2" t="s">
        <v>93</v>
      </c>
      <c r="D271" s="2" t="s">
        <v>115</v>
      </c>
      <c r="E271" s="117">
        <v>5</v>
      </c>
      <c r="F271" s="117">
        <v>0</v>
      </c>
      <c r="G271" s="117">
        <v>0</v>
      </c>
      <c r="H271" s="117">
        <v>2</v>
      </c>
      <c r="I271" s="117">
        <v>256800</v>
      </c>
      <c r="J271" s="117">
        <v>0</v>
      </c>
      <c r="K271" s="117">
        <v>0</v>
      </c>
      <c r="L271" s="117">
        <v>59</v>
      </c>
      <c r="M271" s="117">
        <v>9537600</v>
      </c>
      <c r="N271" s="117">
        <v>0</v>
      </c>
      <c r="O271" s="117">
        <v>0</v>
      </c>
      <c r="P271" s="117">
        <v>287</v>
      </c>
      <c r="Q271" s="117">
        <v>50801900</v>
      </c>
    </row>
    <row r="272" spans="1:17" x14ac:dyDescent="0.25">
      <c r="A272" s="117">
        <v>540214</v>
      </c>
      <c r="B272" s="2" t="s">
        <v>269</v>
      </c>
      <c r="C272" s="2" t="s">
        <v>93</v>
      </c>
      <c r="D272" s="2" t="s">
        <v>115</v>
      </c>
      <c r="E272" s="117">
        <v>5</v>
      </c>
      <c r="F272" s="117">
        <v>0</v>
      </c>
      <c r="G272" s="117">
        <v>0</v>
      </c>
      <c r="H272" s="117">
        <v>8</v>
      </c>
      <c r="I272" s="117">
        <v>505800</v>
      </c>
      <c r="J272" s="117">
        <v>1</v>
      </c>
      <c r="K272" s="117">
        <v>0</v>
      </c>
      <c r="L272" s="117">
        <v>361</v>
      </c>
      <c r="M272" s="117">
        <v>22068000</v>
      </c>
      <c r="N272" s="117">
        <v>299</v>
      </c>
      <c r="O272" s="117">
        <v>0</v>
      </c>
      <c r="P272" s="117">
        <v>18058</v>
      </c>
      <c r="Q272" s="117">
        <v>1571625700</v>
      </c>
    </row>
    <row r="273" spans="1:17" x14ac:dyDescent="0.25">
      <c r="A273" s="117">
        <v>540215</v>
      </c>
      <c r="B273" s="2" t="s">
        <v>270</v>
      </c>
      <c r="C273" s="2" t="s">
        <v>93</v>
      </c>
      <c r="D273" s="2" t="s">
        <v>115</v>
      </c>
      <c r="E273" s="117">
        <v>5</v>
      </c>
      <c r="F273" s="117">
        <v>0</v>
      </c>
      <c r="G273" s="117">
        <v>0</v>
      </c>
      <c r="H273" s="117">
        <v>1</v>
      </c>
      <c r="I273" s="117">
        <v>11800</v>
      </c>
      <c r="J273" s="117">
        <v>0</v>
      </c>
      <c r="K273" s="117">
        <v>0</v>
      </c>
      <c r="L273" s="117">
        <v>64</v>
      </c>
      <c r="M273" s="117">
        <v>6616700</v>
      </c>
      <c r="N273" s="117">
        <v>409</v>
      </c>
      <c r="O273" s="117">
        <v>0</v>
      </c>
      <c r="P273" s="117">
        <v>5346</v>
      </c>
      <c r="Q273" s="117">
        <v>647184000</v>
      </c>
    </row>
    <row r="274" spans="1:17" x14ac:dyDescent="0.25">
      <c r="A274" s="117">
        <v>540216</v>
      </c>
      <c r="B274" s="2" t="s">
        <v>271</v>
      </c>
      <c r="C274" s="2" t="s">
        <v>93</v>
      </c>
      <c r="D274" s="2" t="s">
        <v>115</v>
      </c>
      <c r="E274" s="117">
        <v>5</v>
      </c>
      <c r="F274" s="117">
        <v>0</v>
      </c>
      <c r="G274" s="117">
        <v>0</v>
      </c>
      <c r="H274" s="117">
        <v>0</v>
      </c>
      <c r="I274" s="117">
        <v>0</v>
      </c>
      <c r="J274" s="117">
        <v>1</v>
      </c>
      <c r="K274" s="117">
        <v>0</v>
      </c>
      <c r="L274" s="117">
        <v>8</v>
      </c>
      <c r="M274" s="117">
        <v>518400</v>
      </c>
      <c r="N274" s="117">
        <v>98</v>
      </c>
      <c r="O274" s="117">
        <v>0</v>
      </c>
      <c r="P274" s="117">
        <v>1656</v>
      </c>
      <c r="Q274" s="117">
        <v>191213100</v>
      </c>
    </row>
    <row r="275" spans="1:17" x14ac:dyDescent="0.25">
      <c r="A275" s="269"/>
      <c r="B275" s="269"/>
      <c r="C275" s="269" t="s">
        <v>93</v>
      </c>
      <c r="D275" s="269"/>
      <c r="E275" s="269"/>
      <c r="F275" s="270">
        <v>0</v>
      </c>
      <c r="G275" s="270">
        <v>0</v>
      </c>
      <c r="H275" s="270">
        <v>159</v>
      </c>
      <c r="I275" s="270">
        <v>8703700</v>
      </c>
      <c r="J275" s="270">
        <v>6</v>
      </c>
      <c r="K275" s="270">
        <v>0</v>
      </c>
      <c r="L275" s="270">
        <v>2591</v>
      </c>
      <c r="M275" s="270">
        <v>168316900</v>
      </c>
      <c r="N275" s="270">
        <v>2510</v>
      </c>
      <c r="O275" s="270">
        <v>0</v>
      </c>
      <c r="P275" s="270">
        <v>46026</v>
      </c>
      <c r="Q275" s="270">
        <v>4248736200</v>
      </c>
    </row>
    <row r="276" spans="1:17" x14ac:dyDescent="0.25">
      <c r="A276" s="117">
        <v>540224</v>
      </c>
      <c r="B276" s="2" t="s">
        <v>96</v>
      </c>
      <c r="C276" s="2" t="s">
        <v>97</v>
      </c>
      <c r="D276" s="2" t="s">
        <v>5</v>
      </c>
      <c r="E276" s="117">
        <v>5</v>
      </c>
      <c r="F276" s="117">
        <v>0</v>
      </c>
      <c r="G276" s="117">
        <v>0</v>
      </c>
      <c r="H276" s="117">
        <v>85</v>
      </c>
      <c r="I276" s="117">
        <v>4308000</v>
      </c>
      <c r="J276" s="117">
        <v>1</v>
      </c>
      <c r="K276" s="117">
        <v>0</v>
      </c>
      <c r="L276" s="117">
        <v>1234</v>
      </c>
      <c r="M276" s="117">
        <v>48505000</v>
      </c>
      <c r="N276" s="117">
        <v>400</v>
      </c>
      <c r="O276" s="117">
        <v>0</v>
      </c>
      <c r="P276" s="117">
        <v>5429</v>
      </c>
      <c r="Q276" s="117">
        <v>235806200</v>
      </c>
    </row>
    <row r="277" spans="1:17" x14ac:dyDescent="0.25">
      <c r="A277" s="117">
        <v>540132</v>
      </c>
      <c r="B277" s="2" t="s">
        <v>216</v>
      </c>
      <c r="C277" s="2" t="s">
        <v>97</v>
      </c>
      <c r="D277" s="2" t="s">
        <v>115</v>
      </c>
      <c r="E277" s="117">
        <v>5</v>
      </c>
      <c r="F277" s="117">
        <v>0</v>
      </c>
      <c r="G277" s="117">
        <v>0</v>
      </c>
      <c r="H277" s="117">
        <v>0</v>
      </c>
      <c r="I277" s="117">
        <v>0</v>
      </c>
      <c r="J277" s="117">
        <v>0</v>
      </c>
      <c r="K277" s="117">
        <v>0</v>
      </c>
      <c r="L277" s="117">
        <v>41</v>
      </c>
      <c r="M277" s="117">
        <v>911100</v>
      </c>
      <c r="N277" s="117">
        <v>1</v>
      </c>
      <c r="O277" s="117">
        <v>0</v>
      </c>
      <c r="P277" s="117">
        <v>1210</v>
      </c>
      <c r="Q277" s="117">
        <v>72215600</v>
      </c>
    </row>
    <row r="278" spans="1:17" x14ac:dyDescent="0.25">
      <c r="A278" s="117">
        <v>540179</v>
      </c>
      <c r="B278" s="2" t="s">
        <v>250</v>
      </c>
      <c r="C278" s="2" t="s">
        <v>97</v>
      </c>
      <c r="D278" s="2" t="s">
        <v>115</v>
      </c>
      <c r="E278" s="117">
        <v>5</v>
      </c>
      <c r="F278" s="117">
        <v>0</v>
      </c>
      <c r="G278" s="117">
        <v>0</v>
      </c>
      <c r="H278" s="117">
        <v>1</v>
      </c>
      <c r="I278" s="117">
        <v>10700</v>
      </c>
      <c r="J278" s="117">
        <v>1</v>
      </c>
      <c r="K278" s="117">
        <v>0</v>
      </c>
      <c r="L278" s="117">
        <v>30</v>
      </c>
      <c r="M278" s="117">
        <v>207300</v>
      </c>
      <c r="N278" s="117">
        <v>21</v>
      </c>
      <c r="O278" s="117">
        <v>0</v>
      </c>
      <c r="P278" s="117">
        <v>262</v>
      </c>
      <c r="Q278" s="117">
        <v>4495200</v>
      </c>
    </row>
    <row r="279" spans="1:17" x14ac:dyDescent="0.25">
      <c r="A279" s="117">
        <v>540180</v>
      </c>
      <c r="B279" s="2" t="s">
        <v>251</v>
      </c>
      <c r="C279" s="2" t="s">
        <v>97</v>
      </c>
      <c r="D279" s="2" t="s">
        <v>115</v>
      </c>
      <c r="E279" s="117">
        <v>5</v>
      </c>
      <c r="F279" s="117">
        <v>0</v>
      </c>
      <c r="G279" s="117">
        <v>0</v>
      </c>
      <c r="H279" s="117">
        <v>2</v>
      </c>
      <c r="I279" s="117">
        <v>11500</v>
      </c>
      <c r="J279" s="117">
        <v>1</v>
      </c>
      <c r="K279" s="117">
        <v>0</v>
      </c>
      <c r="L279" s="117">
        <v>21</v>
      </c>
      <c r="M279" s="117">
        <v>233800</v>
      </c>
      <c r="N279" s="117">
        <v>17</v>
      </c>
      <c r="O279" s="117">
        <v>0</v>
      </c>
      <c r="P279" s="117">
        <v>304</v>
      </c>
      <c r="Q279" s="117">
        <v>22766800</v>
      </c>
    </row>
    <row r="280" spans="1:17" x14ac:dyDescent="0.25">
      <c r="A280" s="117">
        <v>540182</v>
      </c>
      <c r="B280" s="2" t="s">
        <v>252</v>
      </c>
      <c r="C280" s="2" t="s">
        <v>97</v>
      </c>
      <c r="D280" s="2" t="s">
        <v>115</v>
      </c>
      <c r="E280" s="117">
        <v>5</v>
      </c>
      <c r="F280" s="117">
        <v>0</v>
      </c>
      <c r="G280" s="117">
        <v>0</v>
      </c>
      <c r="H280" s="117">
        <v>9</v>
      </c>
      <c r="I280" s="117">
        <v>167400</v>
      </c>
      <c r="J280" s="117">
        <v>0</v>
      </c>
      <c r="K280" s="117">
        <v>0</v>
      </c>
      <c r="L280" s="117">
        <v>130</v>
      </c>
      <c r="M280" s="117">
        <v>2244400</v>
      </c>
      <c r="N280" s="117">
        <v>29</v>
      </c>
      <c r="O280" s="117">
        <v>0</v>
      </c>
      <c r="P280" s="117">
        <v>923</v>
      </c>
      <c r="Q280" s="117">
        <v>35043700</v>
      </c>
    </row>
    <row r="281" spans="1:17" x14ac:dyDescent="0.25">
      <c r="A281" s="117">
        <v>540262</v>
      </c>
      <c r="B281" s="2" t="s">
        <v>305</v>
      </c>
      <c r="C281" s="2" t="s">
        <v>97</v>
      </c>
      <c r="D281" s="2" t="s">
        <v>115</v>
      </c>
      <c r="E281" s="117">
        <v>5</v>
      </c>
      <c r="F281" s="117">
        <v>0</v>
      </c>
      <c r="G281" s="117">
        <v>0</v>
      </c>
      <c r="H281" s="117">
        <v>0</v>
      </c>
      <c r="I281" s="117">
        <v>0</v>
      </c>
      <c r="J281" s="117">
        <v>0</v>
      </c>
      <c r="K281" s="117">
        <v>0</v>
      </c>
      <c r="L281" s="117">
        <v>4</v>
      </c>
      <c r="M281" s="117">
        <v>130900</v>
      </c>
      <c r="N281" s="117">
        <v>18</v>
      </c>
      <c r="O281" s="117">
        <v>0</v>
      </c>
      <c r="P281" s="117">
        <v>38</v>
      </c>
      <c r="Q281" s="117">
        <v>625800</v>
      </c>
    </row>
    <row r="282" spans="1:17" x14ac:dyDescent="0.25">
      <c r="A282" s="117">
        <v>540263</v>
      </c>
      <c r="B282" s="2" t="s">
        <v>306</v>
      </c>
      <c r="C282" s="2" t="s">
        <v>97</v>
      </c>
      <c r="D282" s="2" t="s">
        <v>115</v>
      </c>
      <c r="E282" s="117">
        <v>5</v>
      </c>
      <c r="F282" s="117">
        <v>0</v>
      </c>
      <c r="G282" s="117">
        <v>0</v>
      </c>
      <c r="H282" s="117">
        <v>0</v>
      </c>
      <c r="I282" s="117">
        <v>0</v>
      </c>
      <c r="J282" s="117">
        <v>0</v>
      </c>
      <c r="K282" s="117">
        <v>0</v>
      </c>
      <c r="L282" s="117">
        <v>1</v>
      </c>
      <c r="M282" s="117">
        <v>300</v>
      </c>
      <c r="N282" s="117">
        <v>15</v>
      </c>
      <c r="O282" s="117">
        <v>0</v>
      </c>
      <c r="P282" s="117">
        <v>90</v>
      </c>
      <c r="Q282" s="117">
        <v>1742900</v>
      </c>
    </row>
    <row r="283" spans="1:17" x14ac:dyDescent="0.25">
      <c r="A283" s="269"/>
      <c r="B283" s="269"/>
      <c r="C283" s="269" t="s">
        <v>97</v>
      </c>
      <c r="D283" s="269"/>
      <c r="E283" s="269"/>
      <c r="F283" s="270">
        <v>0</v>
      </c>
      <c r="G283" s="270">
        <v>0</v>
      </c>
      <c r="H283" s="270">
        <v>97</v>
      </c>
      <c r="I283" s="270">
        <v>4497600</v>
      </c>
      <c r="J283" s="270">
        <v>3</v>
      </c>
      <c r="K283" s="270">
        <v>0</v>
      </c>
      <c r="L283" s="270">
        <v>1461</v>
      </c>
      <c r="M283" s="270">
        <v>52232800</v>
      </c>
      <c r="N283" s="270">
        <v>501</v>
      </c>
      <c r="O283" s="270">
        <v>0</v>
      </c>
      <c r="P283" s="270">
        <v>8256</v>
      </c>
      <c r="Q283" s="270">
        <v>372696200</v>
      </c>
    </row>
    <row r="284" spans="1:17" x14ac:dyDescent="0.25">
      <c r="A284" s="117">
        <v>540225</v>
      </c>
      <c r="B284" s="2" t="s">
        <v>98</v>
      </c>
      <c r="C284" s="2" t="s">
        <v>99</v>
      </c>
      <c r="D284" s="2" t="s">
        <v>5</v>
      </c>
      <c r="E284" s="117">
        <v>5</v>
      </c>
      <c r="F284" s="117">
        <v>0</v>
      </c>
      <c r="G284" s="117">
        <v>0</v>
      </c>
      <c r="H284" s="117">
        <v>16</v>
      </c>
      <c r="I284" s="117">
        <v>1072900</v>
      </c>
      <c r="J284" s="117">
        <v>0</v>
      </c>
      <c r="K284" s="117">
        <v>0</v>
      </c>
      <c r="L284" s="117">
        <v>562</v>
      </c>
      <c r="M284" s="117">
        <v>21389300</v>
      </c>
      <c r="N284" s="117">
        <v>403</v>
      </c>
      <c r="O284" s="117">
        <v>0</v>
      </c>
      <c r="P284" s="117">
        <v>2712</v>
      </c>
      <c r="Q284" s="117">
        <v>131938400</v>
      </c>
    </row>
    <row r="285" spans="1:17" x14ac:dyDescent="0.25">
      <c r="A285" s="117">
        <v>540156</v>
      </c>
      <c r="B285" s="2" t="s">
        <v>232</v>
      </c>
      <c r="C285" s="2" t="s">
        <v>99</v>
      </c>
      <c r="D285" s="2" t="s">
        <v>115</v>
      </c>
      <c r="E285" s="117">
        <v>5</v>
      </c>
      <c r="F285" s="117">
        <v>0</v>
      </c>
      <c r="G285" s="117">
        <v>0</v>
      </c>
      <c r="H285" s="117">
        <v>2</v>
      </c>
      <c r="I285" s="117">
        <v>125500</v>
      </c>
      <c r="J285" s="117">
        <v>0</v>
      </c>
      <c r="K285" s="117">
        <v>0</v>
      </c>
      <c r="L285" s="117">
        <v>40</v>
      </c>
      <c r="M285" s="117">
        <v>1057100</v>
      </c>
      <c r="N285" s="117">
        <v>17</v>
      </c>
      <c r="O285" s="117">
        <v>0</v>
      </c>
      <c r="P285" s="117">
        <v>1064</v>
      </c>
      <c r="Q285" s="117">
        <v>106889400</v>
      </c>
    </row>
    <row r="286" spans="1:17" x14ac:dyDescent="0.25">
      <c r="A286" s="117">
        <v>540253</v>
      </c>
      <c r="B286" s="2" t="s">
        <v>299</v>
      </c>
      <c r="C286" s="2" t="s">
        <v>99</v>
      </c>
      <c r="D286" s="2" t="s">
        <v>115</v>
      </c>
      <c r="E286" s="117">
        <v>5</v>
      </c>
      <c r="F286" s="117">
        <v>0</v>
      </c>
      <c r="G286" s="117">
        <v>0</v>
      </c>
      <c r="H286" s="117">
        <v>0</v>
      </c>
      <c r="I286" s="117">
        <v>0</v>
      </c>
      <c r="J286" s="117">
        <v>0</v>
      </c>
      <c r="K286" s="117">
        <v>0</v>
      </c>
      <c r="L286" s="117">
        <v>0</v>
      </c>
      <c r="M286" s="117">
        <v>0</v>
      </c>
      <c r="N286" s="117">
        <v>0</v>
      </c>
      <c r="O286" s="117">
        <v>0</v>
      </c>
      <c r="P286" s="117">
        <v>421</v>
      </c>
      <c r="Q286" s="117">
        <v>33793000</v>
      </c>
    </row>
    <row r="287" spans="1:17" x14ac:dyDescent="0.25">
      <c r="A287" s="269"/>
      <c r="B287" s="269"/>
      <c r="C287" s="269" t="s">
        <v>99</v>
      </c>
      <c r="D287" s="269"/>
      <c r="E287" s="269"/>
      <c r="F287" s="270">
        <v>0</v>
      </c>
      <c r="G287" s="270">
        <v>0</v>
      </c>
      <c r="H287" s="270">
        <v>18</v>
      </c>
      <c r="I287" s="270">
        <v>1198400</v>
      </c>
      <c r="J287" s="270">
        <v>0</v>
      </c>
      <c r="K287" s="270">
        <v>0</v>
      </c>
      <c r="L287" s="270">
        <v>602</v>
      </c>
      <c r="M287" s="270">
        <v>22446400</v>
      </c>
      <c r="N287" s="270">
        <v>420</v>
      </c>
      <c r="O287" s="270">
        <v>0</v>
      </c>
      <c r="P287" s="270">
        <v>4197</v>
      </c>
      <c r="Q287" s="270">
        <v>272620800</v>
      </c>
    </row>
    <row r="288" spans="1:17" x14ac:dyDescent="0.25">
      <c r="A288" s="117">
        <v>540226</v>
      </c>
      <c r="B288" s="2" t="s">
        <v>100</v>
      </c>
      <c r="C288" s="2" t="s">
        <v>101</v>
      </c>
      <c r="D288" s="2" t="s">
        <v>5</v>
      </c>
      <c r="E288" s="117">
        <v>8</v>
      </c>
      <c r="F288" s="117">
        <v>1</v>
      </c>
      <c r="G288" s="117">
        <v>0</v>
      </c>
      <c r="H288" s="117">
        <v>251</v>
      </c>
      <c r="I288" s="117">
        <v>19688600</v>
      </c>
      <c r="J288" s="117">
        <v>21</v>
      </c>
      <c r="K288" s="117">
        <v>0</v>
      </c>
      <c r="L288" s="117">
        <v>1689</v>
      </c>
      <c r="M288" s="117">
        <v>120657700</v>
      </c>
      <c r="N288" s="117">
        <v>1091</v>
      </c>
      <c r="O288" s="117">
        <v>0</v>
      </c>
      <c r="P288" s="117">
        <v>13741</v>
      </c>
      <c r="Q288" s="117">
        <v>1239855500</v>
      </c>
    </row>
    <row r="289" spans="1:17" x14ac:dyDescent="0.25">
      <c r="A289" s="117">
        <v>540046</v>
      </c>
      <c r="B289" s="2" t="s">
        <v>147</v>
      </c>
      <c r="C289" s="2" t="s">
        <v>101</v>
      </c>
      <c r="D289" s="2" t="s">
        <v>115</v>
      </c>
      <c r="E289" s="117">
        <v>8</v>
      </c>
      <c r="F289" s="117">
        <v>0</v>
      </c>
      <c r="G289" s="117">
        <v>0</v>
      </c>
      <c r="H289" s="117">
        <v>0</v>
      </c>
      <c r="I289" s="117">
        <v>0</v>
      </c>
      <c r="J289" s="117">
        <v>5</v>
      </c>
      <c r="K289" s="117">
        <v>0</v>
      </c>
      <c r="L289" s="117">
        <v>2</v>
      </c>
      <c r="M289" s="117">
        <v>186300</v>
      </c>
      <c r="N289" s="117">
        <v>32</v>
      </c>
      <c r="O289" s="117">
        <v>0</v>
      </c>
      <c r="P289" s="117">
        <v>142</v>
      </c>
      <c r="Q289" s="117">
        <v>23307500</v>
      </c>
    </row>
    <row r="290" spans="1:17" x14ac:dyDescent="0.25">
      <c r="A290" s="117">
        <v>540276</v>
      </c>
      <c r="B290" s="2" t="s">
        <v>319</v>
      </c>
      <c r="C290" s="2" t="s">
        <v>101</v>
      </c>
      <c r="D290" s="2" t="s">
        <v>115</v>
      </c>
      <c r="E290" s="117">
        <v>8</v>
      </c>
      <c r="F290" s="117">
        <v>0</v>
      </c>
      <c r="G290" s="117">
        <v>0</v>
      </c>
      <c r="H290" s="117">
        <v>2</v>
      </c>
      <c r="I290" s="117">
        <v>130500</v>
      </c>
      <c r="J290" s="117">
        <v>0</v>
      </c>
      <c r="K290" s="117">
        <v>0</v>
      </c>
      <c r="L290" s="117">
        <v>24</v>
      </c>
      <c r="M290" s="117">
        <v>1752400</v>
      </c>
      <c r="N290" s="117">
        <v>7</v>
      </c>
      <c r="O290" s="117">
        <v>0</v>
      </c>
      <c r="P290" s="117">
        <v>855</v>
      </c>
      <c r="Q290" s="117">
        <v>107665700</v>
      </c>
    </row>
    <row r="291" spans="1:17" x14ac:dyDescent="0.25">
      <c r="A291" s="269"/>
      <c r="B291" s="269"/>
      <c r="C291" s="269" t="s">
        <v>101</v>
      </c>
      <c r="D291" s="269"/>
      <c r="E291" s="269"/>
      <c r="F291" s="270">
        <v>1</v>
      </c>
      <c r="G291" s="270">
        <v>0</v>
      </c>
      <c r="H291" s="270">
        <v>253</v>
      </c>
      <c r="I291" s="270">
        <v>19819100</v>
      </c>
      <c r="J291" s="270">
        <v>26</v>
      </c>
      <c r="K291" s="270">
        <v>0</v>
      </c>
      <c r="L291" s="270">
        <v>1715</v>
      </c>
      <c r="M291" s="270">
        <v>122596400</v>
      </c>
      <c r="N291" s="270">
        <v>1130</v>
      </c>
      <c r="O291" s="270">
        <v>0</v>
      </c>
      <c r="P291" s="270">
        <v>14738</v>
      </c>
      <c r="Q291" s="270">
        <v>1370828700</v>
      </c>
    </row>
    <row r="292" spans="1:17" x14ac:dyDescent="0.25">
      <c r="A292" s="117">
        <v>540277</v>
      </c>
      <c r="B292" s="2" t="s">
        <v>102</v>
      </c>
      <c r="C292" s="2" t="s">
        <v>103</v>
      </c>
      <c r="D292" s="2" t="s">
        <v>5</v>
      </c>
      <c r="E292" s="117">
        <v>5</v>
      </c>
      <c r="F292" s="117">
        <v>0</v>
      </c>
      <c r="G292" s="117">
        <v>0</v>
      </c>
      <c r="H292" s="117">
        <v>6</v>
      </c>
      <c r="I292" s="117">
        <v>483000</v>
      </c>
      <c r="J292" s="117">
        <v>0</v>
      </c>
      <c r="K292" s="117">
        <v>0</v>
      </c>
      <c r="L292" s="117">
        <v>612</v>
      </c>
      <c r="M292" s="117">
        <v>24062100</v>
      </c>
      <c r="N292" s="117">
        <v>663</v>
      </c>
      <c r="O292" s="117">
        <v>0</v>
      </c>
      <c r="P292" s="117">
        <v>3664</v>
      </c>
      <c r="Q292" s="117">
        <v>174004100</v>
      </c>
    </row>
    <row r="293" spans="1:17" x14ac:dyDescent="0.25">
      <c r="A293" s="117">
        <v>540195</v>
      </c>
      <c r="B293" s="2" t="s">
        <v>258</v>
      </c>
      <c r="C293" s="2" t="s">
        <v>103</v>
      </c>
      <c r="D293" s="2" t="s">
        <v>115</v>
      </c>
      <c r="E293" s="117">
        <v>5</v>
      </c>
      <c r="F293" s="117">
        <v>0</v>
      </c>
      <c r="G293" s="117">
        <v>0</v>
      </c>
      <c r="H293" s="117">
        <v>0</v>
      </c>
      <c r="I293" s="117">
        <v>0</v>
      </c>
      <c r="J293" s="117">
        <v>0</v>
      </c>
      <c r="K293" s="117">
        <v>0</v>
      </c>
      <c r="L293" s="117">
        <v>5</v>
      </c>
      <c r="M293" s="117">
        <v>99600</v>
      </c>
      <c r="N293" s="117">
        <v>2</v>
      </c>
      <c r="O293" s="117">
        <v>0</v>
      </c>
      <c r="P293" s="117">
        <v>450</v>
      </c>
      <c r="Q293" s="117">
        <v>29935300</v>
      </c>
    </row>
    <row r="294" spans="1:17" x14ac:dyDescent="0.25">
      <c r="A294" s="117">
        <v>540196</v>
      </c>
      <c r="B294" s="2" t="s">
        <v>259</v>
      </c>
      <c r="C294" s="2" t="s">
        <v>103</v>
      </c>
      <c r="D294" s="2" t="s">
        <v>115</v>
      </c>
      <c r="E294" s="117">
        <v>5</v>
      </c>
      <c r="F294" s="117">
        <v>0</v>
      </c>
      <c r="G294" s="117">
        <v>0</v>
      </c>
      <c r="H294" s="117">
        <v>0</v>
      </c>
      <c r="I294" s="117">
        <v>0</v>
      </c>
      <c r="J294" s="117">
        <v>0</v>
      </c>
      <c r="K294" s="117">
        <v>0</v>
      </c>
      <c r="L294" s="117">
        <v>14</v>
      </c>
      <c r="M294" s="117">
        <v>466300</v>
      </c>
      <c r="N294" s="117">
        <v>3</v>
      </c>
      <c r="O294" s="117">
        <v>0</v>
      </c>
      <c r="P294" s="117">
        <v>452</v>
      </c>
      <c r="Q294" s="117">
        <v>29405900</v>
      </c>
    </row>
    <row r="295" spans="1:17" x14ac:dyDescent="0.25">
      <c r="A295" s="117">
        <v>540197</v>
      </c>
      <c r="B295" s="2" t="s">
        <v>260</v>
      </c>
      <c r="C295" s="2" t="s">
        <v>103</v>
      </c>
      <c r="D295" s="2" t="s">
        <v>115</v>
      </c>
      <c r="E295" s="117">
        <v>5</v>
      </c>
      <c r="F295" s="117">
        <v>0</v>
      </c>
      <c r="G295" s="117">
        <v>0</v>
      </c>
      <c r="H295" s="117">
        <v>0</v>
      </c>
      <c r="I295" s="117">
        <v>0</v>
      </c>
      <c r="J295" s="117">
        <v>0</v>
      </c>
      <c r="K295" s="117">
        <v>0</v>
      </c>
      <c r="L295" s="117">
        <v>34</v>
      </c>
      <c r="M295" s="117">
        <v>1456600</v>
      </c>
      <c r="N295" s="117">
        <v>82</v>
      </c>
      <c r="O295" s="117">
        <v>0</v>
      </c>
      <c r="P295" s="117">
        <v>759</v>
      </c>
      <c r="Q295" s="117">
        <v>41969200</v>
      </c>
    </row>
    <row r="296" spans="1:17" x14ac:dyDescent="0.25">
      <c r="A296" s="117">
        <v>540259</v>
      </c>
      <c r="B296" s="2" t="s">
        <v>304</v>
      </c>
      <c r="C296" s="2" t="s">
        <v>103</v>
      </c>
      <c r="D296" s="2" t="s">
        <v>115</v>
      </c>
      <c r="E296" s="117">
        <v>5</v>
      </c>
      <c r="F296" s="117">
        <v>0</v>
      </c>
      <c r="G296" s="117">
        <v>0</v>
      </c>
      <c r="H296" s="117">
        <v>0</v>
      </c>
      <c r="I296" s="117">
        <v>0</v>
      </c>
      <c r="J296" s="117">
        <v>0</v>
      </c>
      <c r="K296" s="117">
        <v>0</v>
      </c>
      <c r="L296" s="117">
        <v>7</v>
      </c>
      <c r="M296" s="117">
        <v>95100</v>
      </c>
      <c r="N296" s="117">
        <v>53</v>
      </c>
      <c r="O296" s="117">
        <v>0</v>
      </c>
      <c r="P296" s="117">
        <v>8</v>
      </c>
      <c r="Q296" s="117">
        <v>269400</v>
      </c>
    </row>
    <row r="297" spans="1:17" x14ac:dyDescent="0.25">
      <c r="A297" s="269"/>
      <c r="B297" s="269"/>
      <c r="C297" s="269" t="s">
        <v>103</v>
      </c>
      <c r="D297" s="269"/>
      <c r="E297" s="269"/>
      <c r="F297" s="270">
        <v>0</v>
      </c>
      <c r="G297" s="270">
        <v>0</v>
      </c>
      <c r="H297" s="270">
        <v>6</v>
      </c>
      <c r="I297" s="270">
        <v>483000</v>
      </c>
      <c r="J297" s="270">
        <v>0</v>
      </c>
      <c r="K297" s="270">
        <v>0</v>
      </c>
      <c r="L297" s="270">
        <v>672</v>
      </c>
      <c r="M297" s="270">
        <v>26179700</v>
      </c>
      <c r="N297" s="270">
        <v>803</v>
      </c>
      <c r="O297" s="270">
        <v>0</v>
      </c>
      <c r="P297" s="270">
        <v>5333</v>
      </c>
      <c r="Q297" s="270">
        <v>275583900</v>
      </c>
    </row>
    <row r="298" spans="1:17" x14ac:dyDescent="0.25">
      <c r="A298" s="117">
        <v>540278</v>
      </c>
      <c r="B298" s="2" t="s">
        <v>104</v>
      </c>
      <c r="C298" s="2" t="s">
        <v>105</v>
      </c>
      <c r="D298" s="2" t="s">
        <v>5</v>
      </c>
      <c r="E298" s="117">
        <v>1</v>
      </c>
      <c r="F298" s="117">
        <v>0</v>
      </c>
      <c r="G298" s="117">
        <v>0</v>
      </c>
      <c r="H298" s="117">
        <v>144</v>
      </c>
      <c r="I298" s="117">
        <v>6923600</v>
      </c>
      <c r="J298" s="117">
        <v>2</v>
      </c>
      <c r="K298" s="117">
        <v>44700</v>
      </c>
      <c r="L298" s="117">
        <v>871</v>
      </c>
      <c r="M298" s="117">
        <v>40939900</v>
      </c>
      <c r="N298" s="117">
        <v>415</v>
      </c>
      <c r="O298" s="117">
        <v>29305200</v>
      </c>
      <c r="P298" s="117">
        <v>8667</v>
      </c>
      <c r="Q298" s="117">
        <v>517701300</v>
      </c>
    </row>
    <row r="299" spans="1:17" x14ac:dyDescent="0.25">
      <c r="A299" s="117">
        <v>540041</v>
      </c>
      <c r="B299" s="2" t="s">
        <v>142</v>
      </c>
      <c r="C299" s="2" t="s">
        <v>105</v>
      </c>
      <c r="D299" s="2" t="s">
        <v>115</v>
      </c>
      <c r="E299" s="117">
        <v>1</v>
      </c>
      <c r="F299" s="117">
        <v>0</v>
      </c>
      <c r="G299" s="117">
        <v>0</v>
      </c>
      <c r="H299" s="117">
        <v>3</v>
      </c>
      <c r="I299" s="117">
        <v>10400</v>
      </c>
      <c r="J299" s="117">
        <v>0</v>
      </c>
      <c r="K299" s="117">
        <v>0</v>
      </c>
      <c r="L299" s="117">
        <v>24</v>
      </c>
      <c r="M299" s="117">
        <v>443100</v>
      </c>
      <c r="N299" s="117">
        <v>64</v>
      </c>
      <c r="O299" s="117">
        <v>3212000</v>
      </c>
      <c r="P299" s="117">
        <v>30</v>
      </c>
      <c r="Q299" s="117">
        <v>1259400</v>
      </c>
    </row>
    <row r="300" spans="1:17" x14ac:dyDescent="0.25">
      <c r="A300" s="117">
        <v>540143</v>
      </c>
      <c r="B300" s="2" t="s">
        <v>224</v>
      </c>
      <c r="C300" s="2" t="s">
        <v>105</v>
      </c>
      <c r="D300" s="2" t="s">
        <v>115</v>
      </c>
      <c r="E300" s="117">
        <v>1</v>
      </c>
      <c r="F300" s="117">
        <v>0</v>
      </c>
      <c r="G300" s="117">
        <v>0</v>
      </c>
      <c r="H300" s="117">
        <v>0</v>
      </c>
      <c r="I300" s="117">
        <v>0</v>
      </c>
      <c r="J300" s="117">
        <v>0</v>
      </c>
      <c r="K300" s="117">
        <v>0</v>
      </c>
      <c r="L300" s="117">
        <v>3</v>
      </c>
      <c r="M300" s="117">
        <v>106500</v>
      </c>
      <c r="N300" s="117">
        <v>31</v>
      </c>
      <c r="O300" s="117">
        <v>1828500</v>
      </c>
      <c r="P300" s="117">
        <v>224</v>
      </c>
      <c r="Q300" s="117">
        <v>15174700</v>
      </c>
    </row>
    <row r="301" spans="1:17" x14ac:dyDescent="0.25">
      <c r="A301" s="117">
        <v>540290</v>
      </c>
      <c r="B301" s="2" t="s">
        <v>327</v>
      </c>
      <c r="C301" s="2" t="s">
        <v>105</v>
      </c>
      <c r="D301" s="2" t="s">
        <v>115</v>
      </c>
      <c r="E301" s="117">
        <v>1</v>
      </c>
      <c r="F301" s="117">
        <v>0</v>
      </c>
      <c r="G301" s="117">
        <v>0</v>
      </c>
      <c r="H301" s="117">
        <v>0</v>
      </c>
      <c r="I301" s="117">
        <v>0</v>
      </c>
      <c r="J301" s="117">
        <v>0</v>
      </c>
      <c r="K301" s="117">
        <v>0</v>
      </c>
      <c r="L301" s="117">
        <v>4</v>
      </c>
      <c r="M301" s="117">
        <v>381400</v>
      </c>
      <c r="N301" s="117">
        <v>0</v>
      </c>
      <c r="O301" s="117">
        <v>0</v>
      </c>
      <c r="P301" s="117">
        <v>493</v>
      </c>
      <c r="Q301" s="117">
        <v>39239200</v>
      </c>
    </row>
    <row r="302" spans="1:17" x14ac:dyDescent="0.25">
      <c r="A302" s="269"/>
      <c r="B302" s="269"/>
      <c r="C302" s="269" t="s">
        <v>105</v>
      </c>
      <c r="D302" s="269"/>
      <c r="E302" s="269"/>
      <c r="F302" s="270">
        <v>0</v>
      </c>
      <c r="G302" s="270">
        <v>0</v>
      </c>
      <c r="H302" s="270">
        <v>147</v>
      </c>
      <c r="I302" s="270">
        <v>6934000</v>
      </c>
      <c r="J302" s="270">
        <v>2</v>
      </c>
      <c r="K302" s="270">
        <v>44700</v>
      </c>
      <c r="L302" s="270">
        <v>902</v>
      </c>
      <c r="M302" s="270">
        <v>41870900</v>
      </c>
      <c r="N302" s="270">
        <v>510</v>
      </c>
      <c r="O302" s="270">
        <v>34345700</v>
      </c>
      <c r="P302" s="270">
        <v>9414</v>
      </c>
      <c r="Q302" s="270">
        <v>573374600</v>
      </c>
    </row>
    <row r="303" spans="1:17" x14ac:dyDescent="0.25">
      <c r="A303" s="117">
        <v>540282</v>
      </c>
      <c r="B303" s="2" t="s">
        <v>106</v>
      </c>
      <c r="C303" s="2" t="s">
        <v>107</v>
      </c>
      <c r="D303" s="2" t="s">
        <v>5</v>
      </c>
      <c r="E303" s="117">
        <v>9</v>
      </c>
      <c r="F303" s="117">
        <v>2</v>
      </c>
      <c r="G303" s="117">
        <v>0</v>
      </c>
      <c r="H303" s="117">
        <v>111</v>
      </c>
      <c r="I303" s="117">
        <v>13432200</v>
      </c>
      <c r="J303" s="117">
        <v>32</v>
      </c>
      <c r="K303" s="117">
        <v>0</v>
      </c>
      <c r="L303" s="117">
        <v>1166</v>
      </c>
      <c r="M303" s="117">
        <v>163363900</v>
      </c>
      <c r="N303" s="117">
        <v>1001</v>
      </c>
      <c r="O303" s="117">
        <v>0</v>
      </c>
      <c r="P303" s="117">
        <v>41293</v>
      </c>
      <c r="Q303" s="117">
        <v>7505759900</v>
      </c>
    </row>
    <row r="304" spans="1:17" x14ac:dyDescent="0.25">
      <c r="A304" s="117">
        <v>540006</v>
      </c>
      <c r="B304" s="2" t="s">
        <v>119</v>
      </c>
      <c r="C304" s="2" t="s">
        <v>107</v>
      </c>
      <c r="D304" s="2" t="s">
        <v>115</v>
      </c>
      <c r="E304" s="117">
        <v>9</v>
      </c>
      <c r="F304" s="117">
        <v>0</v>
      </c>
      <c r="G304" s="117">
        <v>0</v>
      </c>
      <c r="H304" s="117">
        <v>8</v>
      </c>
      <c r="I304" s="117">
        <v>188300</v>
      </c>
      <c r="J304" s="117">
        <v>0</v>
      </c>
      <c r="K304" s="117">
        <v>0</v>
      </c>
      <c r="L304" s="117">
        <v>31</v>
      </c>
      <c r="M304" s="117">
        <v>5460100</v>
      </c>
      <c r="N304" s="117">
        <v>76</v>
      </c>
      <c r="O304" s="117">
        <v>0</v>
      </c>
      <c r="P304" s="117">
        <v>7268</v>
      </c>
      <c r="Q304" s="117">
        <v>1298134300</v>
      </c>
    </row>
    <row r="305" spans="1:17" x14ac:dyDescent="0.25">
      <c r="A305" s="117">
        <v>545550</v>
      </c>
      <c r="B305" s="2" t="s">
        <v>339</v>
      </c>
      <c r="C305" s="2" t="s">
        <v>107</v>
      </c>
      <c r="D305" s="2" t="s">
        <v>115</v>
      </c>
      <c r="E305" s="117">
        <v>9</v>
      </c>
      <c r="F305" s="117">
        <v>0</v>
      </c>
      <c r="G305" s="117">
        <v>0</v>
      </c>
      <c r="H305" s="117">
        <v>1</v>
      </c>
      <c r="I305" s="117">
        <v>146600</v>
      </c>
      <c r="J305" s="117">
        <v>0</v>
      </c>
      <c r="K305" s="117">
        <v>0</v>
      </c>
      <c r="L305" s="117">
        <v>3</v>
      </c>
      <c r="M305" s="117">
        <v>403400</v>
      </c>
      <c r="N305" s="117">
        <v>0</v>
      </c>
      <c r="O305" s="117">
        <v>0</v>
      </c>
      <c r="P305" s="117">
        <v>175</v>
      </c>
      <c r="Q305" s="117">
        <v>22197900</v>
      </c>
    </row>
    <row r="306" spans="1:17" x14ac:dyDescent="0.25">
      <c r="A306" s="269"/>
      <c r="B306" s="269"/>
      <c r="C306" s="269" t="s">
        <v>107</v>
      </c>
      <c r="D306" s="269"/>
      <c r="E306" s="269"/>
      <c r="F306" s="270">
        <v>2</v>
      </c>
      <c r="G306" s="270">
        <v>0</v>
      </c>
      <c r="H306" s="270">
        <v>120</v>
      </c>
      <c r="I306" s="270">
        <v>13767100</v>
      </c>
      <c r="J306" s="270">
        <v>32</v>
      </c>
      <c r="K306" s="270">
        <v>0</v>
      </c>
      <c r="L306" s="270">
        <v>1200</v>
      </c>
      <c r="M306" s="270">
        <v>169227400</v>
      </c>
      <c r="N306" s="270">
        <v>1077</v>
      </c>
      <c r="O306" s="270">
        <v>0</v>
      </c>
      <c r="P306" s="270">
        <v>48736</v>
      </c>
      <c r="Q306" s="270">
        <v>8826092100</v>
      </c>
    </row>
    <row r="307" spans="1:17" x14ac:dyDescent="0.25">
      <c r="A307" s="117">
        <v>540283</v>
      </c>
      <c r="B307" s="2" t="s">
        <v>108</v>
      </c>
      <c r="C307" s="2" t="s">
        <v>109</v>
      </c>
      <c r="D307" s="2" t="s">
        <v>5</v>
      </c>
      <c r="E307" s="117">
        <v>4</v>
      </c>
      <c r="F307" s="117">
        <v>0</v>
      </c>
      <c r="G307" s="117">
        <v>0</v>
      </c>
      <c r="H307" s="117">
        <v>278</v>
      </c>
      <c r="I307" s="117">
        <v>15058900</v>
      </c>
      <c r="J307" s="117">
        <v>9</v>
      </c>
      <c r="K307" s="117">
        <v>503600</v>
      </c>
      <c r="L307" s="117">
        <v>1595</v>
      </c>
      <c r="M307" s="117">
        <v>142938300</v>
      </c>
      <c r="N307" s="117">
        <v>415</v>
      </c>
      <c r="O307" s="117">
        <v>35697800</v>
      </c>
      <c r="P307" s="117">
        <v>8620</v>
      </c>
      <c r="Q307" s="117">
        <v>518062000</v>
      </c>
    </row>
    <row r="308" spans="1:17" x14ac:dyDescent="0.25">
      <c r="A308" s="117">
        <v>540158</v>
      </c>
      <c r="B308" s="2" t="s">
        <v>233</v>
      </c>
      <c r="C308" s="2" t="s">
        <v>109</v>
      </c>
      <c r="D308" s="2" t="s">
        <v>115</v>
      </c>
      <c r="E308" s="117">
        <v>4</v>
      </c>
      <c r="F308" s="117">
        <v>0</v>
      </c>
      <c r="G308" s="117">
        <v>0</v>
      </c>
      <c r="H308" s="117">
        <v>0</v>
      </c>
      <c r="I308" s="117">
        <v>0</v>
      </c>
      <c r="J308" s="117">
        <v>0</v>
      </c>
      <c r="K308" s="117">
        <v>0</v>
      </c>
      <c r="L308" s="117">
        <v>28</v>
      </c>
      <c r="M308" s="117">
        <v>644300</v>
      </c>
      <c r="N308" s="117">
        <v>27</v>
      </c>
      <c r="O308" s="117">
        <v>623500</v>
      </c>
      <c r="P308" s="117">
        <v>187</v>
      </c>
      <c r="Q308" s="117">
        <v>5822700</v>
      </c>
    </row>
    <row r="309" spans="1:17" x14ac:dyDescent="0.25">
      <c r="A309" s="117">
        <v>540159</v>
      </c>
      <c r="B309" s="2" t="s">
        <v>234</v>
      </c>
      <c r="C309" s="2" t="s">
        <v>109</v>
      </c>
      <c r="D309" s="2" t="s">
        <v>115</v>
      </c>
      <c r="E309" s="117">
        <v>4</v>
      </c>
      <c r="F309" s="117">
        <v>0</v>
      </c>
      <c r="G309" s="117">
        <v>0</v>
      </c>
      <c r="H309" s="117">
        <v>19</v>
      </c>
      <c r="I309" s="117">
        <v>270100</v>
      </c>
      <c r="J309" s="117">
        <v>0</v>
      </c>
      <c r="K309" s="117">
        <v>0</v>
      </c>
      <c r="L309" s="117">
        <v>75</v>
      </c>
      <c r="M309" s="117">
        <v>5693100</v>
      </c>
      <c r="N309" s="117">
        <v>361</v>
      </c>
      <c r="O309" s="117">
        <v>33005900</v>
      </c>
      <c r="P309" s="117">
        <v>252</v>
      </c>
      <c r="Q309" s="117">
        <v>16033900</v>
      </c>
    </row>
    <row r="310" spans="1:17" x14ac:dyDescent="0.25">
      <c r="A310" s="117">
        <v>540288</v>
      </c>
      <c r="B310" s="2" t="s">
        <v>340</v>
      </c>
      <c r="C310" s="2" t="s">
        <v>109</v>
      </c>
      <c r="D310" s="2" t="s">
        <v>115</v>
      </c>
      <c r="E310" s="117">
        <v>4</v>
      </c>
      <c r="F310" s="117">
        <v>0</v>
      </c>
      <c r="G310" s="117">
        <v>0</v>
      </c>
      <c r="H310" s="117">
        <v>0</v>
      </c>
      <c r="I310" s="117">
        <v>0</v>
      </c>
      <c r="J310" s="117">
        <v>0</v>
      </c>
      <c r="K310" s="117">
        <v>0</v>
      </c>
      <c r="L310" s="117">
        <v>0</v>
      </c>
      <c r="M310" s="117">
        <v>0</v>
      </c>
      <c r="N310" s="117">
        <v>0</v>
      </c>
      <c r="O310" s="117">
        <v>0</v>
      </c>
      <c r="P310" s="117">
        <v>173</v>
      </c>
      <c r="Q310" s="117">
        <v>8196500</v>
      </c>
    </row>
    <row r="311" spans="1:17" x14ac:dyDescent="0.25">
      <c r="A311" s="269"/>
      <c r="B311" s="269"/>
      <c r="C311" s="269" t="s">
        <v>109</v>
      </c>
      <c r="D311" s="269"/>
      <c r="E311" s="269"/>
      <c r="F311" s="270">
        <v>0</v>
      </c>
      <c r="G311" s="270">
        <v>0</v>
      </c>
      <c r="H311" s="270">
        <v>297</v>
      </c>
      <c r="I311" s="270">
        <v>15329000</v>
      </c>
      <c r="J311" s="270">
        <v>9</v>
      </c>
      <c r="K311" s="270">
        <v>503600</v>
      </c>
      <c r="L311" s="270">
        <v>1698</v>
      </c>
      <c r="M311" s="270">
        <v>149275700</v>
      </c>
      <c r="N311" s="270">
        <v>803</v>
      </c>
      <c r="O311" s="270">
        <v>69327200</v>
      </c>
      <c r="P311" s="270">
        <v>9232</v>
      </c>
      <c r="Q311" s="270">
        <v>548115100</v>
      </c>
    </row>
    <row r="312" spans="1:17" x14ac:dyDescent="0.25">
      <c r="A312" s="117">
        <v>545536</v>
      </c>
      <c r="B312" s="2" t="s">
        <v>110</v>
      </c>
      <c r="C312" s="2" t="s">
        <v>111</v>
      </c>
      <c r="D312" s="2" t="s">
        <v>5</v>
      </c>
      <c r="E312" s="117">
        <v>2</v>
      </c>
      <c r="F312" s="117">
        <v>0</v>
      </c>
      <c r="G312" s="117">
        <v>0</v>
      </c>
      <c r="H312" s="117">
        <v>238</v>
      </c>
      <c r="I312" s="117">
        <v>6007000</v>
      </c>
      <c r="J312" s="117">
        <v>6</v>
      </c>
      <c r="K312" s="117">
        <v>0</v>
      </c>
      <c r="L312" s="117">
        <v>996</v>
      </c>
      <c r="M312" s="117">
        <v>27418100</v>
      </c>
      <c r="N312" s="117">
        <v>6411</v>
      </c>
      <c r="O312" s="117">
        <v>0</v>
      </c>
      <c r="P312" s="117">
        <v>11276</v>
      </c>
      <c r="Q312" s="117">
        <v>518576200</v>
      </c>
    </row>
    <row r="313" spans="1:17" x14ac:dyDescent="0.25">
      <c r="A313" s="117">
        <v>540092</v>
      </c>
      <c r="B313" s="2" t="s">
        <v>183</v>
      </c>
      <c r="C313" s="2" t="s">
        <v>111</v>
      </c>
      <c r="D313" s="2" t="s">
        <v>115</v>
      </c>
      <c r="E313" s="117">
        <v>2</v>
      </c>
      <c r="F313" s="117">
        <v>0</v>
      </c>
      <c r="G313" s="117">
        <v>0</v>
      </c>
      <c r="H313" s="117">
        <v>0</v>
      </c>
      <c r="I313" s="117">
        <v>0</v>
      </c>
      <c r="J313" s="117">
        <v>0</v>
      </c>
      <c r="K313" s="117">
        <v>0</v>
      </c>
      <c r="L313" s="117">
        <v>0</v>
      </c>
      <c r="M313" s="117">
        <v>0</v>
      </c>
      <c r="N313" s="117">
        <v>100</v>
      </c>
      <c r="O313" s="117">
        <v>0</v>
      </c>
      <c r="P313" s="117">
        <v>479</v>
      </c>
      <c r="Q313" s="117">
        <v>39743900</v>
      </c>
    </row>
    <row r="314" spans="1:17" x14ac:dyDescent="0.25">
      <c r="A314" s="117">
        <v>540095</v>
      </c>
      <c r="B314" s="2" t="s">
        <v>186</v>
      </c>
      <c r="C314" s="2" t="s">
        <v>111</v>
      </c>
      <c r="D314" s="2" t="s">
        <v>115</v>
      </c>
      <c r="E314" s="117">
        <v>2</v>
      </c>
      <c r="F314" s="117">
        <v>0</v>
      </c>
      <c r="G314" s="117">
        <v>0</v>
      </c>
      <c r="H314" s="117">
        <v>0</v>
      </c>
      <c r="I314" s="117">
        <v>0</v>
      </c>
      <c r="J314" s="117">
        <v>0</v>
      </c>
      <c r="K314" s="117">
        <v>0</v>
      </c>
      <c r="L314" s="117">
        <v>0</v>
      </c>
      <c r="M314" s="117">
        <v>0</v>
      </c>
      <c r="N314" s="117">
        <v>38</v>
      </c>
      <c r="O314" s="117">
        <v>0</v>
      </c>
      <c r="P314" s="117">
        <v>173</v>
      </c>
      <c r="Q314" s="117">
        <v>10965800</v>
      </c>
    </row>
    <row r="315" spans="1:17" x14ac:dyDescent="0.25">
      <c r="A315" s="117">
        <v>545535</v>
      </c>
      <c r="B315" s="2" t="s">
        <v>332</v>
      </c>
      <c r="C315" s="2" t="s">
        <v>111</v>
      </c>
      <c r="D315" s="2" t="s">
        <v>115</v>
      </c>
      <c r="E315" s="117">
        <v>2</v>
      </c>
      <c r="F315" s="117">
        <v>0</v>
      </c>
      <c r="G315" s="117">
        <v>0</v>
      </c>
      <c r="H315" s="117">
        <v>20</v>
      </c>
      <c r="I315" s="117">
        <v>451200</v>
      </c>
      <c r="J315" s="117">
        <v>0</v>
      </c>
      <c r="K315" s="117">
        <v>0</v>
      </c>
      <c r="L315" s="117">
        <v>174</v>
      </c>
      <c r="M315" s="117">
        <v>3801200</v>
      </c>
      <c r="N315" s="117">
        <v>6</v>
      </c>
      <c r="O315" s="117">
        <v>0</v>
      </c>
      <c r="P315" s="117">
        <v>970</v>
      </c>
      <c r="Q315" s="117">
        <v>84198800</v>
      </c>
    </row>
    <row r="316" spans="1:17" x14ac:dyDescent="0.25">
      <c r="A316" s="117">
        <v>545537</v>
      </c>
      <c r="B316" s="2" t="s">
        <v>333</v>
      </c>
      <c r="C316" s="2" t="s">
        <v>111</v>
      </c>
      <c r="D316" s="2" t="s">
        <v>115</v>
      </c>
      <c r="E316" s="117">
        <v>2</v>
      </c>
      <c r="F316" s="117">
        <v>0</v>
      </c>
      <c r="G316" s="117">
        <v>0</v>
      </c>
      <c r="H316" s="117">
        <v>1</v>
      </c>
      <c r="I316" s="117">
        <v>31300</v>
      </c>
      <c r="J316" s="117">
        <v>1</v>
      </c>
      <c r="K316" s="117">
        <v>0</v>
      </c>
      <c r="L316" s="117">
        <v>16</v>
      </c>
      <c r="M316" s="117">
        <v>379100</v>
      </c>
      <c r="N316" s="117">
        <v>190</v>
      </c>
      <c r="O316" s="117">
        <v>0</v>
      </c>
      <c r="P316" s="117">
        <v>243</v>
      </c>
      <c r="Q316" s="117">
        <v>16021800</v>
      </c>
    </row>
    <row r="317" spans="1:17" x14ac:dyDescent="0.25">
      <c r="A317" s="117">
        <v>545539</v>
      </c>
      <c r="B317" s="2" t="s">
        <v>335</v>
      </c>
      <c r="C317" s="2" t="s">
        <v>111</v>
      </c>
      <c r="D317" s="2" t="s">
        <v>115</v>
      </c>
      <c r="E317" s="117">
        <v>2</v>
      </c>
      <c r="F317" s="117">
        <v>0</v>
      </c>
      <c r="G317" s="117">
        <v>0</v>
      </c>
      <c r="H317" s="117">
        <v>0</v>
      </c>
      <c r="I317" s="117">
        <v>0</v>
      </c>
      <c r="J317" s="117">
        <v>0</v>
      </c>
      <c r="K317" s="117">
        <v>0</v>
      </c>
      <c r="L317" s="117">
        <v>19</v>
      </c>
      <c r="M317" s="117">
        <v>353600</v>
      </c>
      <c r="N317" s="117">
        <v>20</v>
      </c>
      <c r="O317" s="117">
        <v>0</v>
      </c>
      <c r="P317" s="117">
        <v>251</v>
      </c>
      <c r="Q317" s="117">
        <v>9829000</v>
      </c>
    </row>
    <row r="318" spans="1:17" x14ac:dyDescent="0.25">
      <c r="A318" s="269"/>
      <c r="B318" s="269"/>
      <c r="C318" s="269" t="s">
        <v>111</v>
      </c>
      <c r="D318" s="269"/>
      <c r="E318" s="269"/>
      <c r="F318" s="270">
        <v>0</v>
      </c>
      <c r="G318" s="270">
        <v>0</v>
      </c>
      <c r="H318" s="270">
        <v>259</v>
      </c>
      <c r="I318" s="270">
        <v>6489500</v>
      </c>
      <c r="J318" s="270">
        <v>7</v>
      </c>
      <c r="K318" s="270">
        <v>0</v>
      </c>
      <c r="L318" s="270">
        <v>1205</v>
      </c>
      <c r="M318" s="270">
        <v>31952000</v>
      </c>
      <c r="N318" s="270">
        <v>6765</v>
      </c>
      <c r="O318" s="270">
        <v>0</v>
      </c>
      <c r="P318" s="270">
        <v>13392</v>
      </c>
      <c r="Q318" s="270">
        <v>679335500</v>
      </c>
    </row>
    <row r="319" spans="1:17" x14ac:dyDescent="0.25">
      <c r="A319" s="117">
        <v>540191</v>
      </c>
      <c r="B319" s="2" t="s">
        <v>112</v>
      </c>
      <c r="C319" s="2" t="s">
        <v>113</v>
      </c>
      <c r="D319" s="2" t="s">
        <v>5</v>
      </c>
      <c r="E319" s="117">
        <v>7</v>
      </c>
      <c r="F319" s="117">
        <v>0</v>
      </c>
      <c r="G319" s="117">
        <v>0</v>
      </c>
      <c r="H319" s="117">
        <v>119</v>
      </c>
      <c r="I319" s="117">
        <v>8326900</v>
      </c>
      <c r="J319" s="117">
        <v>2</v>
      </c>
      <c r="K319" s="117">
        <v>0</v>
      </c>
      <c r="L319" s="117">
        <v>666</v>
      </c>
      <c r="M319" s="117">
        <v>43037500</v>
      </c>
      <c r="N319" s="117">
        <v>341</v>
      </c>
      <c r="O319" s="117">
        <v>0</v>
      </c>
      <c r="P319" s="117">
        <v>4234</v>
      </c>
      <c r="Q319" s="117">
        <v>486095600</v>
      </c>
    </row>
    <row r="320" spans="1:17" x14ac:dyDescent="0.25">
      <c r="A320" s="117">
        <v>540193</v>
      </c>
      <c r="B320" s="2" t="s">
        <v>342</v>
      </c>
      <c r="C320" s="2" t="s">
        <v>113</v>
      </c>
      <c r="D320" s="2" t="s">
        <v>115</v>
      </c>
      <c r="E320" s="117">
        <v>7</v>
      </c>
      <c r="F320" s="117">
        <v>0</v>
      </c>
      <c r="G320" s="117">
        <v>0</v>
      </c>
      <c r="H320" s="117">
        <v>6</v>
      </c>
      <c r="I320" s="117">
        <v>80900</v>
      </c>
      <c r="J320" s="117">
        <v>0</v>
      </c>
      <c r="K320" s="117">
        <v>0</v>
      </c>
      <c r="L320" s="117">
        <v>21</v>
      </c>
      <c r="M320" s="117">
        <v>506900</v>
      </c>
      <c r="N320" s="117">
        <v>17</v>
      </c>
      <c r="O320" s="117">
        <v>0</v>
      </c>
      <c r="P320" s="117">
        <v>166</v>
      </c>
      <c r="Q320" s="117">
        <v>6046800</v>
      </c>
    </row>
    <row r="321" spans="1:17" x14ac:dyDescent="0.25">
      <c r="A321" s="117">
        <v>540192</v>
      </c>
      <c r="B321" s="2" t="s">
        <v>343</v>
      </c>
      <c r="C321" s="2" t="s">
        <v>113</v>
      </c>
      <c r="D321" s="2" t="s">
        <v>115</v>
      </c>
      <c r="E321" s="117">
        <v>7</v>
      </c>
      <c r="F321" s="117">
        <v>0</v>
      </c>
      <c r="G321" s="117">
        <v>0</v>
      </c>
      <c r="H321" s="117">
        <v>0</v>
      </c>
      <c r="I321" s="117">
        <v>0</v>
      </c>
      <c r="J321" s="117">
        <v>0</v>
      </c>
      <c r="K321" s="117">
        <v>0</v>
      </c>
      <c r="L321" s="117">
        <v>6</v>
      </c>
      <c r="M321" s="117">
        <v>161200</v>
      </c>
      <c r="N321" s="117">
        <v>10</v>
      </c>
      <c r="O321" s="117">
        <v>0</v>
      </c>
      <c r="P321" s="117">
        <v>136</v>
      </c>
      <c r="Q321" s="117">
        <v>6227400</v>
      </c>
    </row>
    <row r="322" spans="1:17" x14ac:dyDescent="0.25">
      <c r="A322" s="117">
        <v>540194</v>
      </c>
      <c r="B322" s="2" t="s">
        <v>344</v>
      </c>
      <c r="C322" s="2" t="s">
        <v>113</v>
      </c>
      <c r="D322" s="2" t="s">
        <v>115</v>
      </c>
      <c r="E322" s="117">
        <v>7</v>
      </c>
      <c r="F322" s="117">
        <v>0</v>
      </c>
      <c r="G322" s="117">
        <v>0</v>
      </c>
      <c r="H322" s="117">
        <v>5</v>
      </c>
      <c r="I322" s="117">
        <v>197800</v>
      </c>
      <c r="J322" s="117">
        <v>1</v>
      </c>
      <c r="K322" s="117">
        <v>0</v>
      </c>
      <c r="L322" s="117">
        <v>40</v>
      </c>
      <c r="M322" s="117">
        <v>1640300</v>
      </c>
      <c r="N322" s="117">
        <v>244</v>
      </c>
      <c r="O322" s="117">
        <v>0</v>
      </c>
      <c r="P322" s="117">
        <v>474</v>
      </c>
      <c r="Q322" s="117">
        <v>30300700</v>
      </c>
    </row>
    <row r="323" spans="1:17" x14ac:dyDescent="0.25">
      <c r="A323" s="117">
        <v>540261</v>
      </c>
      <c r="B323" s="2" t="s">
        <v>345</v>
      </c>
      <c r="C323" s="2" t="s">
        <v>113</v>
      </c>
      <c r="D323" s="2" t="s">
        <v>115</v>
      </c>
      <c r="E323" s="117">
        <v>7</v>
      </c>
      <c r="F323" s="117">
        <v>0</v>
      </c>
      <c r="G323" s="117">
        <v>0</v>
      </c>
      <c r="H323" s="117">
        <v>2</v>
      </c>
      <c r="I323" s="117">
        <v>8200</v>
      </c>
      <c r="J323" s="117">
        <v>0</v>
      </c>
      <c r="K323" s="117">
        <v>0</v>
      </c>
      <c r="L323" s="117">
        <v>26</v>
      </c>
      <c r="M323" s="117">
        <v>789700</v>
      </c>
      <c r="N323" s="117">
        <v>0</v>
      </c>
      <c r="O323" s="117">
        <v>0</v>
      </c>
      <c r="P323" s="117">
        <v>476</v>
      </c>
      <c r="Q323" s="117">
        <v>31927000</v>
      </c>
    </row>
    <row r="324" spans="1:17" x14ac:dyDescent="0.25">
      <c r="A324" s="117">
        <v>540260</v>
      </c>
      <c r="B324" s="2" t="s">
        <v>346</v>
      </c>
      <c r="C324" s="2" t="s">
        <v>113</v>
      </c>
      <c r="D324" s="2" t="s">
        <v>115</v>
      </c>
      <c r="E324" s="117">
        <v>7</v>
      </c>
      <c r="F324" s="117">
        <v>0</v>
      </c>
      <c r="G324" s="117">
        <v>0</v>
      </c>
      <c r="H324" s="117">
        <v>2</v>
      </c>
      <c r="I324" s="117">
        <v>42600</v>
      </c>
      <c r="J324" s="117">
        <v>0</v>
      </c>
      <c r="K324" s="117">
        <v>0</v>
      </c>
      <c r="L324" s="117">
        <v>11</v>
      </c>
      <c r="M324" s="117">
        <v>235100</v>
      </c>
      <c r="N324" s="117">
        <v>2</v>
      </c>
      <c r="O324" s="117">
        <v>0</v>
      </c>
      <c r="P324" s="117">
        <v>1021</v>
      </c>
      <c r="Q324" s="117">
        <v>50795900</v>
      </c>
    </row>
    <row r="325" spans="1:17" x14ac:dyDescent="0.25">
      <c r="A325" s="269"/>
      <c r="B325" s="269"/>
      <c r="C325" s="269" t="s">
        <v>113</v>
      </c>
      <c r="D325" s="269"/>
      <c r="E325" s="269"/>
      <c r="F325" s="270">
        <v>0</v>
      </c>
      <c r="G325" s="270">
        <v>0</v>
      </c>
      <c r="H325" s="270">
        <v>134</v>
      </c>
      <c r="I325" s="270">
        <v>8656400</v>
      </c>
      <c r="J325" s="270">
        <v>3</v>
      </c>
      <c r="K325" s="270">
        <v>0</v>
      </c>
      <c r="L325" s="270">
        <v>770</v>
      </c>
      <c r="M325" s="270">
        <v>46370700</v>
      </c>
      <c r="N325" s="270">
        <v>614</v>
      </c>
      <c r="O325" s="270">
        <v>0</v>
      </c>
      <c r="P325" s="270">
        <v>6507</v>
      </c>
      <c r="Q325" s="270">
        <v>611393400</v>
      </c>
    </row>
    <row r="326" spans="1:17" x14ac:dyDescent="0.25">
      <c r="A326" s="117">
        <v>540027</v>
      </c>
      <c r="B326" s="2" t="s">
        <v>132</v>
      </c>
      <c r="C326" s="2" t="s">
        <v>21</v>
      </c>
      <c r="D326" s="2" t="s">
        <v>115</v>
      </c>
      <c r="E326" s="117">
        <v>4</v>
      </c>
      <c r="F326" s="117">
        <v>0</v>
      </c>
      <c r="G326" s="117">
        <v>0</v>
      </c>
      <c r="H326" s="117">
        <v>8</v>
      </c>
      <c r="I326" s="117">
        <v>15000</v>
      </c>
      <c r="J326" s="117">
        <v>0</v>
      </c>
      <c r="K326" s="117">
        <v>0</v>
      </c>
      <c r="L326" s="117">
        <v>78</v>
      </c>
      <c r="M326" s="117">
        <v>3291500</v>
      </c>
      <c r="N326" s="117">
        <v>1</v>
      </c>
      <c r="O326" s="117">
        <v>74500</v>
      </c>
      <c r="P326" s="117">
        <v>915</v>
      </c>
      <c r="Q326" s="117">
        <v>41445300</v>
      </c>
    </row>
    <row r="327" spans="1:17" x14ac:dyDescent="0.25">
      <c r="A327" s="117">
        <v>540028</v>
      </c>
      <c r="B327" s="2" t="s">
        <v>133</v>
      </c>
      <c r="C327" s="2" t="s">
        <v>21</v>
      </c>
      <c r="D327" s="2" t="s">
        <v>115</v>
      </c>
      <c r="E327" s="117">
        <v>4</v>
      </c>
      <c r="F327" s="117">
        <v>0</v>
      </c>
      <c r="G327" s="117">
        <v>0</v>
      </c>
      <c r="H327" s="117">
        <v>0</v>
      </c>
      <c r="I327" s="117">
        <v>0</v>
      </c>
      <c r="J327" s="117">
        <v>0</v>
      </c>
      <c r="K327" s="117">
        <v>0</v>
      </c>
      <c r="L327" s="117">
        <v>1</v>
      </c>
      <c r="M327" s="117">
        <v>1500</v>
      </c>
      <c r="N327" s="117">
        <v>19</v>
      </c>
      <c r="O327" s="117">
        <v>1858200</v>
      </c>
      <c r="P327" s="117">
        <v>199</v>
      </c>
      <c r="Q327" s="117">
        <v>7289000</v>
      </c>
    </row>
    <row r="328" spans="1:17" x14ac:dyDescent="0.25">
      <c r="A328" s="117">
        <v>540029</v>
      </c>
      <c r="B328" s="2" t="s">
        <v>134</v>
      </c>
      <c r="C328" s="2" t="s">
        <v>21</v>
      </c>
      <c r="D328" s="2" t="s">
        <v>115</v>
      </c>
      <c r="E328" s="117">
        <v>4</v>
      </c>
      <c r="F328" s="117">
        <v>0</v>
      </c>
      <c r="G328" s="117">
        <v>0</v>
      </c>
      <c r="H328" s="117">
        <v>3</v>
      </c>
      <c r="I328" s="117">
        <v>74600</v>
      </c>
      <c r="J328" s="117">
        <v>0</v>
      </c>
      <c r="K328" s="117">
        <v>0</v>
      </c>
      <c r="L328" s="117">
        <v>12</v>
      </c>
      <c r="M328" s="117">
        <v>231300</v>
      </c>
      <c r="N328" s="117">
        <v>15</v>
      </c>
      <c r="O328" s="117">
        <v>1543700</v>
      </c>
      <c r="P328" s="117">
        <v>520</v>
      </c>
      <c r="Q328" s="117">
        <v>59046300</v>
      </c>
    </row>
    <row r="329" spans="1:17" x14ac:dyDescent="0.25">
      <c r="A329" s="117">
        <v>540031</v>
      </c>
      <c r="B329" s="2" t="s">
        <v>136</v>
      </c>
      <c r="C329" s="2" t="s">
        <v>21</v>
      </c>
      <c r="D329" s="2" t="s">
        <v>115</v>
      </c>
      <c r="E329" s="117">
        <v>4</v>
      </c>
      <c r="F329" s="117">
        <v>0</v>
      </c>
      <c r="G329" s="117">
        <v>0</v>
      </c>
      <c r="H329" s="117">
        <v>10</v>
      </c>
      <c r="I329" s="117">
        <v>584900</v>
      </c>
      <c r="J329" s="117">
        <v>1</v>
      </c>
      <c r="K329" s="117">
        <v>57000</v>
      </c>
      <c r="L329" s="117">
        <v>174</v>
      </c>
      <c r="M329" s="117">
        <v>8596100</v>
      </c>
      <c r="N329" s="117">
        <v>58</v>
      </c>
      <c r="O329" s="117">
        <v>2632500</v>
      </c>
      <c r="P329" s="117">
        <v>5210</v>
      </c>
      <c r="Q329" s="117">
        <v>338265800</v>
      </c>
    </row>
    <row r="330" spans="1:17" x14ac:dyDescent="0.25">
      <c r="A330" s="117">
        <v>540032</v>
      </c>
      <c r="B330" s="2" t="s">
        <v>137</v>
      </c>
      <c r="C330" s="2" t="s">
        <v>21</v>
      </c>
      <c r="D330" s="2" t="s">
        <v>115</v>
      </c>
      <c r="E330" s="117">
        <v>4</v>
      </c>
      <c r="F330" s="117">
        <v>0</v>
      </c>
      <c r="G330" s="117">
        <v>0</v>
      </c>
      <c r="H330" s="117">
        <v>2</v>
      </c>
      <c r="I330" s="117">
        <v>1100</v>
      </c>
      <c r="J330" s="117">
        <v>0</v>
      </c>
      <c r="K330" s="117">
        <v>0</v>
      </c>
      <c r="L330" s="117">
        <v>5</v>
      </c>
      <c r="M330" s="117">
        <v>48100</v>
      </c>
      <c r="N330" s="117">
        <v>40</v>
      </c>
      <c r="O330" s="117">
        <v>1538100</v>
      </c>
      <c r="P330" s="117">
        <v>94</v>
      </c>
      <c r="Q330" s="117">
        <v>2334500</v>
      </c>
    </row>
    <row r="331" spans="1:17" x14ac:dyDescent="0.25">
      <c r="A331" s="117">
        <v>540050</v>
      </c>
      <c r="B331" s="2" t="s">
        <v>150</v>
      </c>
      <c r="C331" s="2" t="s">
        <v>21</v>
      </c>
      <c r="D331" s="2" t="s">
        <v>115</v>
      </c>
      <c r="E331" s="117">
        <v>4</v>
      </c>
      <c r="F331" s="117">
        <v>0</v>
      </c>
      <c r="G331" s="117">
        <v>0</v>
      </c>
      <c r="H331" s="117">
        <v>16</v>
      </c>
      <c r="I331" s="117">
        <v>135100</v>
      </c>
      <c r="J331" s="117">
        <v>0</v>
      </c>
      <c r="K331" s="117">
        <v>0</v>
      </c>
      <c r="L331" s="117">
        <v>43</v>
      </c>
      <c r="M331" s="117">
        <v>600100</v>
      </c>
      <c r="N331" s="117">
        <v>0</v>
      </c>
      <c r="O331" s="117">
        <v>0</v>
      </c>
      <c r="P331" s="117">
        <v>11</v>
      </c>
      <c r="Q331" s="117">
        <v>84200</v>
      </c>
    </row>
    <row r="332" spans="1:17" x14ac:dyDescent="0.25">
      <c r="A332" s="117">
        <v>540293</v>
      </c>
      <c r="B332" s="2" t="s">
        <v>330</v>
      </c>
      <c r="C332" s="2" t="s">
        <v>21</v>
      </c>
      <c r="D332" s="2" t="s">
        <v>115</v>
      </c>
      <c r="E332" s="117">
        <v>4</v>
      </c>
      <c r="F332" s="117">
        <v>0</v>
      </c>
      <c r="G332" s="117">
        <v>0</v>
      </c>
      <c r="H332" s="117">
        <v>1</v>
      </c>
      <c r="I332" s="117">
        <v>128500</v>
      </c>
      <c r="J332" s="117">
        <v>0</v>
      </c>
      <c r="K332" s="117">
        <v>0</v>
      </c>
      <c r="L332" s="117">
        <v>46</v>
      </c>
      <c r="M332" s="117">
        <v>2199600</v>
      </c>
      <c r="N332" s="117">
        <v>0</v>
      </c>
      <c r="O332" s="117">
        <v>0</v>
      </c>
      <c r="P332" s="117">
        <v>2317</v>
      </c>
      <c r="Q332" s="117">
        <v>222194600</v>
      </c>
    </row>
    <row r="333" spans="1:17" x14ac:dyDescent="0.25">
      <c r="A333" s="117">
        <v>540294</v>
      </c>
      <c r="B333" s="2" t="s">
        <v>331</v>
      </c>
      <c r="C333" s="2" t="s">
        <v>21</v>
      </c>
      <c r="D333" s="2" t="s">
        <v>115</v>
      </c>
      <c r="E333" s="117">
        <v>4</v>
      </c>
      <c r="F333" s="117">
        <v>0</v>
      </c>
      <c r="G333" s="117">
        <v>0</v>
      </c>
      <c r="H333" s="117">
        <v>8</v>
      </c>
      <c r="I333" s="117">
        <v>125800</v>
      </c>
      <c r="J333" s="117">
        <v>0</v>
      </c>
      <c r="K333" s="117">
        <v>0</v>
      </c>
      <c r="L333" s="117">
        <v>62</v>
      </c>
      <c r="M333" s="117">
        <v>1130300</v>
      </c>
      <c r="N333" s="117">
        <v>46</v>
      </c>
      <c r="O333" s="117">
        <v>2100500</v>
      </c>
      <c r="P333" s="117">
        <v>326</v>
      </c>
      <c r="Q333" s="117">
        <v>12354400</v>
      </c>
    </row>
    <row r="334" spans="1:17" x14ac:dyDescent="0.25">
      <c r="A334" s="117">
        <v>540033</v>
      </c>
      <c r="B334" s="2" t="s">
        <v>138</v>
      </c>
      <c r="C334" s="2" t="s">
        <v>21</v>
      </c>
      <c r="D334" s="2" t="s">
        <v>115</v>
      </c>
      <c r="E334" s="117">
        <v>4</v>
      </c>
      <c r="F334" s="117">
        <v>0</v>
      </c>
      <c r="G334" s="117">
        <v>0</v>
      </c>
      <c r="H334" s="117">
        <v>0</v>
      </c>
      <c r="I334" s="117">
        <v>0</v>
      </c>
      <c r="J334" s="117">
        <v>0</v>
      </c>
      <c r="K334" s="117">
        <v>0</v>
      </c>
      <c r="L334" s="117">
        <v>12</v>
      </c>
      <c r="M334" s="117">
        <v>165000</v>
      </c>
      <c r="N334" s="117">
        <v>67</v>
      </c>
      <c r="O334" s="117">
        <v>6702700</v>
      </c>
      <c r="P334" s="117">
        <v>431</v>
      </c>
      <c r="Q334" s="117">
        <v>18034900</v>
      </c>
    </row>
    <row r="335" spans="1:17" x14ac:dyDescent="0.25">
      <c r="A335" s="117">
        <v>540280</v>
      </c>
      <c r="B335" s="2" t="s">
        <v>321</v>
      </c>
      <c r="C335" s="2" t="s">
        <v>21</v>
      </c>
      <c r="D335" s="2" t="s">
        <v>115</v>
      </c>
      <c r="E335" s="117">
        <v>4</v>
      </c>
      <c r="F335" s="117">
        <v>0</v>
      </c>
      <c r="G335" s="117">
        <v>0</v>
      </c>
      <c r="H335" s="117">
        <v>4</v>
      </c>
      <c r="I335" s="117">
        <v>102900</v>
      </c>
      <c r="J335" s="117">
        <v>0</v>
      </c>
      <c r="K335" s="117">
        <v>0</v>
      </c>
      <c r="L335" s="117">
        <v>75</v>
      </c>
      <c r="M335" s="117">
        <v>1885400</v>
      </c>
      <c r="N335" s="117">
        <v>39</v>
      </c>
      <c r="O335" s="117">
        <v>1546900</v>
      </c>
      <c r="P335" s="117">
        <v>778</v>
      </c>
      <c r="Q335" s="117">
        <v>60987700</v>
      </c>
    </row>
    <row r="336" spans="1:17" x14ac:dyDescent="0.25">
      <c r="A336" s="117">
        <v>540026</v>
      </c>
      <c r="B336" s="2" t="s">
        <v>20</v>
      </c>
      <c r="C336" s="2" t="s">
        <v>21</v>
      </c>
      <c r="D336" s="2" t="s">
        <v>5</v>
      </c>
      <c r="E336" s="117">
        <v>4</v>
      </c>
      <c r="F336" s="117">
        <v>0</v>
      </c>
      <c r="G336" s="117">
        <v>0</v>
      </c>
      <c r="H336" s="117">
        <v>258</v>
      </c>
      <c r="I336" s="117">
        <v>8402500</v>
      </c>
      <c r="J336" s="117">
        <v>3</v>
      </c>
      <c r="K336" s="117">
        <v>127400</v>
      </c>
      <c r="L336" s="117">
        <v>1652</v>
      </c>
      <c r="M336" s="117">
        <v>56248700</v>
      </c>
      <c r="N336" s="117">
        <v>1509</v>
      </c>
      <c r="O336" s="117">
        <v>98806900</v>
      </c>
      <c r="P336" s="117">
        <v>19005</v>
      </c>
      <c r="Q336" s="117">
        <v>791437700</v>
      </c>
    </row>
    <row r="337" spans="1:17" x14ac:dyDescent="0.25">
      <c r="A337" s="269"/>
      <c r="B337" s="269"/>
      <c r="C337" s="269" t="s">
        <v>21</v>
      </c>
      <c r="D337" s="269"/>
      <c r="E337" s="269"/>
      <c r="F337" s="270">
        <v>0</v>
      </c>
      <c r="G337" s="270">
        <v>0</v>
      </c>
      <c r="H337" s="270">
        <v>310</v>
      </c>
      <c r="I337" s="270">
        <v>9570400</v>
      </c>
      <c r="J337" s="270">
        <v>4</v>
      </c>
      <c r="K337" s="270">
        <v>184400</v>
      </c>
      <c r="L337" s="270">
        <v>2160</v>
      </c>
      <c r="M337" s="270">
        <v>74397600</v>
      </c>
      <c r="N337" s="270">
        <v>1794</v>
      </c>
      <c r="O337" s="270">
        <v>116804000</v>
      </c>
      <c r="P337" s="270">
        <v>29806</v>
      </c>
      <c r="Q337" s="270">
        <v>1553474400</v>
      </c>
    </row>
    <row r="338" spans="1:17" x14ac:dyDescent="0.25">
      <c r="A338" s="117">
        <v>540176</v>
      </c>
      <c r="B338" s="2" t="s">
        <v>247</v>
      </c>
      <c r="C338" s="2" t="s">
        <v>75</v>
      </c>
      <c r="D338" s="2" t="s">
        <v>115</v>
      </c>
      <c r="E338" s="117">
        <v>7</v>
      </c>
      <c r="F338" s="117">
        <v>0</v>
      </c>
      <c r="G338" s="117">
        <v>0</v>
      </c>
      <c r="H338" s="117">
        <v>0</v>
      </c>
      <c r="I338" s="117">
        <v>0</v>
      </c>
      <c r="J338" s="117">
        <v>0</v>
      </c>
      <c r="K338" s="117">
        <v>0</v>
      </c>
      <c r="L338" s="117">
        <v>3</v>
      </c>
      <c r="M338" s="117">
        <v>28700</v>
      </c>
      <c r="N338" s="117">
        <v>38</v>
      </c>
      <c r="O338" s="117">
        <v>0</v>
      </c>
      <c r="P338" s="117">
        <v>215</v>
      </c>
      <c r="Q338" s="117">
        <v>4618500</v>
      </c>
    </row>
    <row r="339" spans="1:17" x14ac:dyDescent="0.25">
      <c r="A339" s="117">
        <v>540178</v>
      </c>
      <c r="B339" s="2" t="s">
        <v>249</v>
      </c>
      <c r="C339" s="2" t="s">
        <v>75</v>
      </c>
      <c r="D339" s="2" t="s">
        <v>115</v>
      </c>
      <c r="E339" s="117">
        <v>7</v>
      </c>
      <c r="F339" s="117">
        <v>0</v>
      </c>
      <c r="G339" s="117">
        <v>0</v>
      </c>
      <c r="H339" s="117">
        <v>0</v>
      </c>
      <c r="I339" s="117">
        <v>0</v>
      </c>
      <c r="J339" s="117">
        <v>0</v>
      </c>
      <c r="K339" s="117">
        <v>0</v>
      </c>
      <c r="L339" s="117">
        <v>2</v>
      </c>
      <c r="M339" s="117">
        <v>68600</v>
      </c>
      <c r="N339" s="117">
        <v>34</v>
      </c>
      <c r="O339" s="117">
        <v>0</v>
      </c>
      <c r="P339" s="117">
        <v>75</v>
      </c>
      <c r="Q339" s="117">
        <v>3651300</v>
      </c>
    </row>
    <row r="340" spans="1:17" x14ac:dyDescent="0.25">
      <c r="A340" s="117">
        <v>540264</v>
      </c>
      <c r="B340" s="2" t="s">
        <v>307</v>
      </c>
      <c r="C340" s="2" t="s">
        <v>75</v>
      </c>
      <c r="D340" s="2" t="s">
        <v>115</v>
      </c>
      <c r="E340" s="117">
        <v>7</v>
      </c>
      <c r="F340" s="117">
        <v>0</v>
      </c>
      <c r="G340" s="117">
        <v>0</v>
      </c>
      <c r="H340" s="117">
        <v>0</v>
      </c>
      <c r="I340" s="117">
        <v>0</v>
      </c>
      <c r="J340" s="117">
        <v>0</v>
      </c>
      <c r="K340" s="117">
        <v>0</v>
      </c>
      <c r="L340" s="117">
        <v>5</v>
      </c>
      <c r="M340" s="117">
        <v>63400</v>
      </c>
      <c r="N340" s="117">
        <v>0</v>
      </c>
      <c r="O340" s="117">
        <v>0</v>
      </c>
      <c r="P340" s="117">
        <v>128</v>
      </c>
      <c r="Q340" s="117">
        <v>5631000</v>
      </c>
    </row>
    <row r="341" spans="1:17" x14ac:dyDescent="0.25">
      <c r="A341" s="117">
        <v>540265</v>
      </c>
      <c r="B341" s="2" t="s">
        <v>308</v>
      </c>
      <c r="C341" s="2" t="s">
        <v>75</v>
      </c>
      <c r="D341" s="2" t="s">
        <v>115</v>
      </c>
      <c r="E341" s="117">
        <v>7</v>
      </c>
      <c r="F341" s="117">
        <v>0</v>
      </c>
      <c r="G341" s="117">
        <v>0</v>
      </c>
      <c r="H341" s="117">
        <v>0</v>
      </c>
      <c r="I341" s="117">
        <v>0</v>
      </c>
      <c r="J341" s="117">
        <v>0</v>
      </c>
      <c r="K341" s="117">
        <v>0</v>
      </c>
      <c r="L341" s="117">
        <v>2</v>
      </c>
      <c r="M341" s="117">
        <v>157200</v>
      </c>
      <c r="N341" s="117">
        <v>26</v>
      </c>
      <c r="O341" s="117">
        <v>0</v>
      </c>
      <c r="P341" s="117">
        <v>44</v>
      </c>
      <c r="Q341" s="117">
        <v>2557100</v>
      </c>
    </row>
    <row r="342" spans="1:17" x14ac:dyDescent="0.25">
      <c r="A342" s="117">
        <v>540266</v>
      </c>
      <c r="B342" s="2" t="s">
        <v>309</v>
      </c>
      <c r="C342" s="2" t="s">
        <v>75</v>
      </c>
      <c r="D342" s="2" t="s">
        <v>115</v>
      </c>
      <c r="E342" s="117">
        <v>7</v>
      </c>
      <c r="F342" s="117">
        <v>0</v>
      </c>
      <c r="G342" s="117">
        <v>0</v>
      </c>
      <c r="H342" s="117">
        <v>0</v>
      </c>
      <c r="I342" s="117">
        <v>0</v>
      </c>
      <c r="J342" s="117">
        <v>0</v>
      </c>
      <c r="K342" s="117">
        <v>0</v>
      </c>
      <c r="L342" s="117">
        <v>0</v>
      </c>
      <c r="M342" s="117">
        <v>0</v>
      </c>
      <c r="N342" s="117">
        <v>19</v>
      </c>
      <c r="O342" s="117">
        <v>0</v>
      </c>
      <c r="P342" s="117">
        <v>410</v>
      </c>
      <c r="Q342" s="117">
        <v>20571200</v>
      </c>
    </row>
    <row r="343" spans="1:17" x14ac:dyDescent="0.25">
      <c r="A343" s="117">
        <v>540267</v>
      </c>
      <c r="B343" s="2" t="s">
        <v>310</v>
      </c>
      <c r="C343" s="2" t="s">
        <v>75</v>
      </c>
      <c r="D343" s="2" t="s">
        <v>115</v>
      </c>
      <c r="E343" s="117">
        <v>7</v>
      </c>
      <c r="F343" s="117">
        <v>0</v>
      </c>
      <c r="G343" s="117">
        <v>0</v>
      </c>
      <c r="H343" s="117">
        <v>0</v>
      </c>
      <c r="I343" s="117">
        <v>0</v>
      </c>
      <c r="J343" s="117">
        <v>0</v>
      </c>
      <c r="K343" s="117">
        <v>0</v>
      </c>
      <c r="L343" s="117">
        <v>0</v>
      </c>
      <c r="M343" s="117">
        <v>0</v>
      </c>
      <c r="N343" s="117">
        <v>19</v>
      </c>
      <c r="O343" s="117">
        <v>0</v>
      </c>
      <c r="P343" s="117">
        <v>319</v>
      </c>
      <c r="Q343" s="117">
        <v>23271300</v>
      </c>
    </row>
    <row r="344" spans="1:17" x14ac:dyDescent="0.25">
      <c r="A344" s="117">
        <v>540177</v>
      </c>
      <c r="B344" s="2" t="s">
        <v>248</v>
      </c>
      <c r="C344" s="2" t="s">
        <v>75</v>
      </c>
      <c r="D344" s="2" t="s">
        <v>115</v>
      </c>
      <c r="E344" s="117">
        <v>7</v>
      </c>
      <c r="F344" s="117">
        <v>0</v>
      </c>
      <c r="G344" s="117">
        <v>0</v>
      </c>
      <c r="H344" s="117">
        <v>4</v>
      </c>
      <c r="I344" s="117">
        <v>204300</v>
      </c>
      <c r="J344" s="117">
        <v>0</v>
      </c>
      <c r="K344" s="117">
        <v>0</v>
      </c>
      <c r="L344" s="117">
        <v>126</v>
      </c>
      <c r="M344" s="117">
        <v>9784600</v>
      </c>
      <c r="N344" s="117">
        <v>236</v>
      </c>
      <c r="O344" s="117">
        <v>0</v>
      </c>
      <c r="P344" s="117">
        <v>3252</v>
      </c>
      <c r="Q344" s="117">
        <v>403922300</v>
      </c>
    </row>
    <row r="345" spans="1:17" x14ac:dyDescent="0.25">
      <c r="A345" s="117">
        <v>540175</v>
      </c>
      <c r="B345" s="2" t="s">
        <v>74</v>
      </c>
      <c r="C345" s="2" t="s">
        <v>75</v>
      </c>
      <c r="D345" s="2" t="s">
        <v>5</v>
      </c>
      <c r="E345" s="117">
        <v>7</v>
      </c>
      <c r="F345" s="117">
        <v>0</v>
      </c>
      <c r="G345" s="117">
        <v>0</v>
      </c>
      <c r="H345" s="117">
        <v>301</v>
      </c>
      <c r="I345" s="117">
        <v>16399600</v>
      </c>
      <c r="J345" s="117">
        <v>21</v>
      </c>
      <c r="K345" s="117">
        <v>0</v>
      </c>
      <c r="L345" s="117">
        <v>1865</v>
      </c>
      <c r="M345" s="117">
        <v>129783500</v>
      </c>
      <c r="N345" s="117">
        <v>1296</v>
      </c>
      <c r="O345" s="117">
        <v>0</v>
      </c>
      <c r="P345" s="117">
        <v>12210</v>
      </c>
      <c r="Q345" s="117">
        <v>932332800</v>
      </c>
    </row>
    <row r="346" spans="1:17" x14ac:dyDescent="0.25">
      <c r="A346" s="269"/>
      <c r="B346" s="269"/>
      <c r="C346" s="269" t="s">
        <v>75</v>
      </c>
      <c r="D346" s="269"/>
      <c r="E346" s="269"/>
      <c r="F346" s="270">
        <v>0</v>
      </c>
      <c r="G346" s="270">
        <v>0</v>
      </c>
      <c r="H346" s="270">
        <v>305</v>
      </c>
      <c r="I346" s="270">
        <v>16603900</v>
      </c>
      <c r="J346" s="270">
        <v>21</v>
      </c>
      <c r="K346" s="270">
        <v>0</v>
      </c>
      <c r="L346" s="270">
        <v>2003</v>
      </c>
      <c r="M346" s="270">
        <v>139886000</v>
      </c>
      <c r="N346" s="270">
        <v>1668</v>
      </c>
      <c r="O346" s="270">
        <v>0</v>
      </c>
      <c r="P346" s="270">
        <v>16653</v>
      </c>
      <c r="Q346" s="270">
        <v>1396555500</v>
      </c>
    </row>
    <row r="347" spans="1:17" x14ac:dyDescent="0.25">
      <c r="A347" s="117">
        <v>540219</v>
      </c>
      <c r="B347" s="2" t="s">
        <v>273</v>
      </c>
      <c r="C347" s="2" t="s">
        <v>95</v>
      </c>
      <c r="D347" s="2" t="s">
        <v>115</v>
      </c>
      <c r="E347" s="117">
        <v>1</v>
      </c>
      <c r="F347" s="117">
        <v>0</v>
      </c>
      <c r="G347" s="117">
        <v>0</v>
      </c>
      <c r="H347" s="117">
        <v>0</v>
      </c>
      <c r="I347" s="117">
        <v>0</v>
      </c>
      <c r="J347" s="117">
        <v>0</v>
      </c>
      <c r="K347" s="117">
        <v>0</v>
      </c>
      <c r="L347" s="117">
        <v>27</v>
      </c>
      <c r="M347" s="117">
        <v>455000</v>
      </c>
      <c r="N347" s="117">
        <v>360</v>
      </c>
      <c r="O347" s="117">
        <v>27565500</v>
      </c>
      <c r="P347" s="117">
        <v>382</v>
      </c>
      <c r="Q347" s="117">
        <v>9870300</v>
      </c>
    </row>
    <row r="348" spans="1:17" x14ac:dyDescent="0.25">
      <c r="A348" s="117">
        <v>540220</v>
      </c>
      <c r="B348" s="2" t="s">
        <v>274</v>
      </c>
      <c r="C348" s="2" t="s">
        <v>95</v>
      </c>
      <c r="D348" s="2" t="s">
        <v>115</v>
      </c>
      <c r="E348" s="117">
        <v>1</v>
      </c>
      <c r="F348" s="117">
        <v>0</v>
      </c>
      <c r="G348" s="117">
        <v>0</v>
      </c>
      <c r="H348" s="117">
        <v>4</v>
      </c>
      <c r="I348" s="117">
        <v>28900</v>
      </c>
      <c r="J348" s="117">
        <v>0</v>
      </c>
      <c r="K348" s="117">
        <v>0</v>
      </c>
      <c r="L348" s="117">
        <v>47</v>
      </c>
      <c r="M348" s="117">
        <v>945500</v>
      </c>
      <c r="N348" s="117">
        <v>110</v>
      </c>
      <c r="O348" s="117">
        <v>7136900</v>
      </c>
      <c r="P348" s="117">
        <v>501</v>
      </c>
      <c r="Q348" s="117">
        <v>37405800</v>
      </c>
    </row>
    <row r="349" spans="1:17" x14ac:dyDescent="0.25">
      <c r="A349" s="117">
        <v>540218</v>
      </c>
      <c r="B349" s="2" t="s">
        <v>272</v>
      </c>
      <c r="C349" s="2" t="s">
        <v>95</v>
      </c>
      <c r="D349" s="2" t="s">
        <v>115</v>
      </c>
      <c r="E349" s="117">
        <v>1</v>
      </c>
      <c r="F349" s="117">
        <v>0</v>
      </c>
      <c r="G349" s="117">
        <v>0</v>
      </c>
      <c r="H349" s="117">
        <v>11</v>
      </c>
      <c r="I349" s="117">
        <v>80200</v>
      </c>
      <c r="J349" s="117">
        <v>0</v>
      </c>
      <c r="K349" s="117">
        <v>0</v>
      </c>
      <c r="L349" s="117">
        <v>203</v>
      </c>
      <c r="M349" s="117">
        <v>1560900</v>
      </c>
      <c r="N349" s="117">
        <v>114</v>
      </c>
      <c r="O349" s="117">
        <v>10257100</v>
      </c>
      <c r="P349" s="117">
        <v>1126</v>
      </c>
      <c r="Q349" s="117">
        <v>20084700</v>
      </c>
    </row>
    <row r="350" spans="1:17" x14ac:dyDescent="0.25">
      <c r="A350" s="117">
        <v>540217</v>
      </c>
      <c r="B350" s="2" t="s">
        <v>94</v>
      </c>
      <c r="C350" s="2" t="s">
        <v>95</v>
      </c>
      <c r="D350" s="2" t="s">
        <v>5</v>
      </c>
      <c r="E350" s="117">
        <v>1</v>
      </c>
      <c r="F350" s="117">
        <v>0</v>
      </c>
      <c r="G350" s="117">
        <v>0</v>
      </c>
      <c r="H350" s="117">
        <v>98</v>
      </c>
      <c r="I350" s="117">
        <v>1125300</v>
      </c>
      <c r="J350" s="117">
        <v>3</v>
      </c>
      <c r="K350" s="117">
        <v>176500</v>
      </c>
      <c r="L350" s="117">
        <v>950</v>
      </c>
      <c r="M350" s="117">
        <v>13794300</v>
      </c>
      <c r="N350" s="117">
        <v>2168</v>
      </c>
      <c r="O350" s="117">
        <v>80911600</v>
      </c>
      <c r="P350" s="117">
        <v>9339</v>
      </c>
      <c r="Q350" s="117">
        <v>182807600</v>
      </c>
    </row>
    <row r="351" spans="1:17" x14ac:dyDescent="0.25">
      <c r="A351" s="269"/>
      <c r="B351" s="269"/>
      <c r="C351" s="269" t="s">
        <v>95</v>
      </c>
      <c r="D351" s="269"/>
      <c r="E351" s="269"/>
      <c r="F351" s="270">
        <v>0</v>
      </c>
      <c r="G351" s="270">
        <v>0</v>
      </c>
      <c r="H351" s="270">
        <v>113</v>
      </c>
      <c r="I351" s="270">
        <v>1234400</v>
      </c>
      <c r="J351" s="270">
        <v>3</v>
      </c>
      <c r="K351" s="270">
        <v>176500</v>
      </c>
      <c r="L351" s="270">
        <v>1227</v>
      </c>
      <c r="M351" s="270">
        <v>16755700</v>
      </c>
      <c r="N351" s="270">
        <v>2752</v>
      </c>
      <c r="O351" s="270">
        <v>125871100</v>
      </c>
      <c r="P351" s="270">
        <v>11348</v>
      </c>
      <c r="Q351" s="270">
        <v>250168400</v>
      </c>
    </row>
  </sheetData>
  <hyperlinks>
    <hyperlink ref="T2"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0"/>
  <sheetViews>
    <sheetView topLeftCell="K1" workbookViewId="0">
      <selection activeCell="R8" sqref="R8"/>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11.140625" bestFit="1" customWidth="1"/>
    <col min="7" max="7" width="11.42578125" bestFit="1" customWidth="1"/>
    <col min="8" max="8" width="3.7109375" bestFit="1" customWidth="1"/>
    <col min="9" max="9" width="13.7109375" bestFit="1" customWidth="1"/>
    <col min="10" max="10" width="16.28515625" bestFit="1" customWidth="1"/>
    <col min="11" max="11" width="5" bestFit="1" customWidth="1"/>
    <col min="12" max="12" width="24" bestFit="1" customWidth="1"/>
    <col min="13" max="13" width="15.85546875" bestFit="1" customWidth="1"/>
    <col min="14" max="14" width="24.5703125" bestFit="1" customWidth="1"/>
    <col min="15" max="15" width="14.28515625" bestFit="1" customWidth="1"/>
    <col min="18" max="18" width="118.85546875" bestFit="1" customWidth="1"/>
  </cols>
  <sheetData>
    <row r="1" spans="1:18" x14ac:dyDescent="0.25">
      <c r="A1" s="280" t="s">
        <v>0</v>
      </c>
      <c r="B1" s="280" t="s">
        <v>1</v>
      </c>
      <c r="C1" s="280" t="s">
        <v>2</v>
      </c>
      <c r="D1" s="280" t="s">
        <v>512</v>
      </c>
      <c r="E1" s="280" t="s">
        <v>403</v>
      </c>
      <c r="F1" s="280" t="s">
        <v>1310</v>
      </c>
      <c r="G1" s="280" t="s">
        <v>5545</v>
      </c>
      <c r="H1" s="280" t="s">
        <v>5546</v>
      </c>
      <c r="I1" s="280" t="s">
        <v>5547</v>
      </c>
      <c r="J1" s="280" t="s">
        <v>5548</v>
      </c>
      <c r="K1" s="280" t="s">
        <v>5549</v>
      </c>
      <c r="L1" s="280" t="s">
        <v>5550</v>
      </c>
      <c r="M1" s="280" t="s">
        <v>5551</v>
      </c>
      <c r="N1" s="280" t="s">
        <v>5552</v>
      </c>
      <c r="O1" s="280" t="s">
        <v>5553</v>
      </c>
    </row>
    <row r="2" spans="1:18" x14ac:dyDescent="0.25">
      <c r="A2" s="117">
        <v>540001</v>
      </c>
      <c r="B2" s="2" t="s">
        <v>3</v>
      </c>
      <c r="C2" s="2" t="s">
        <v>4</v>
      </c>
      <c r="D2" s="2" t="s">
        <v>5</v>
      </c>
      <c r="E2" s="117">
        <v>7</v>
      </c>
      <c r="F2" s="117">
        <v>55</v>
      </c>
      <c r="G2" s="117">
        <v>0</v>
      </c>
      <c r="H2" s="117">
        <v>0</v>
      </c>
      <c r="I2" s="117">
        <v>0</v>
      </c>
      <c r="J2" s="117">
        <v>0</v>
      </c>
      <c r="K2" s="117">
        <v>55</v>
      </c>
      <c r="L2" s="117">
        <v>0</v>
      </c>
      <c r="M2" s="117">
        <v>0</v>
      </c>
      <c r="N2" s="117">
        <v>0</v>
      </c>
      <c r="O2" s="117">
        <v>0</v>
      </c>
      <c r="Q2" s="199" t="s">
        <v>1325</v>
      </c>
      <c r="R2" s="62" t="s">
        <v>5554</v>
      </c>
    </row>
    <row r="3" spans="1:18" x14ac:dyDescent="0.25">
      <c r="A3" s="117">
        <v>540002</v>
      </c>
      <c r="B3" s="2" t="s">
        <v>114</v>
      </c>
      <c r="C3" s="2" t="s">
        <v>4</v>
      </c>
      <c r="D3" s="2" t="s">
        <v>115</v>
      </c>
      <c r="E3" s="117">
        <v>7</v>
      </c>
      <c r="F3" s="117">
        <v>0</v>
      </c>
      <c r="G3" s="117">
        <v>0</v>
      </c>
      <c r="H3" s="117">
        <v>0</v>
      </c>
      <c r="I3" s="117">
        <v>0</v>
      </c>
      <c r="J3" s="117">
        <v>0</v>
      </c>
      <c r="K3" s="117">
        <v>0</v>
      </c>
      <c r="L3" s="117">
        <v>0</v>
      </c>
      <c r="M3" s="117">
        <v>0</v>
      </c>
      <c r="N3" s="117">
        <v>0</v>
      </c>
      <c r="O3" s="117">
        <v>0</v>
      </c>
      <c r="Q3" s="199" t="s">
        <v>1326</v>
      </c>
      <c r="R3" s="393" t="s">
        <v>5555</v>
      </c>
    </row>
    <row r="4" spans="1:18" x14ac:dyDescent="0.25">
      <c r="A4" s="117">
        <v>540003</v>
      </c>
      <c r="B4" s="2" t="s">
        <v>116</v>
      </c>
      <c r="C4" s="2" t="s">
        <v>4</v>
      </c>
      <c r="D4" s="2" t="s">
        <v>115</v>
      </c>
      <c r="E4" s="117">
        <v>7</v>
      </c>
      <c r="F4" s="117">
        <v>0</v>
      </c>
      <c r="G4" s="117">
        <v>0</v>
      </c>
      <c r="H4" s="117">
        <v>0</v>
      </c>
      <c r="I4" s="117">
        <v>0</v>
      </c>
      <c r="J4" s="117">
        <v>0</v>
      </c>
      <c r="K4" s="117">
        <v>0</v>
      </c>
      <c r="L4" s="117">
        <v>0</v>
      </c>
      <c r="M4" s="117">
        <v>0</v>
      </c>
      <c r="N4" s="117">
        <v>0</v>
      </c>
      <c r="O4" s="117">
        <v>0</v>
      </c>
    </row>
    <row r="5" spans="1:18" x14ac:dyDescent="0.25">
      <c r="A5" s="117">
        <v>540004</v>
      </c>
      <c r="B5" s="2" t="s">
        <v>117</v>
      </c>
      <c r="C5" s="2" t="s">
        <v>4</v>
      </c>
      <c r="D5" s="2" t="s">
        <v>115</v>
      </c>
      <c r="E5" s="117">
        <v>7</v>
      </c>
      <c r="F5" s="117">
        <v>0</v>
      </c>
      <c r="G5" s="117">
        <v>0</v>
      </c>
      <c r="H5" s="117">
        <v>0</v>
      </c>
      <c r="I5" s="117">
        <v>0</v>
      </c>
      <c r="J5" s="117">
        <v>0</v>
      </c>
      <c r="K5" s="117">
        <v>0</v>
      </c>
      <c r="L5" s="117">
        <v>0</v>
      </c>
      <c r="M5" s="117">
        <v>0</v>
      </c>
      <c r="N5" s="117">
        <v>0</v>
      </c>
      <c r="O5" s="117">
        <v>0</v>
      </c>
    </row>
    <row r="6" spans="1:18" x14ac:dyDescent="0.25">
      <c r="A6" s="269"/>
      <c r="B6" s="269"/>
      <c r="C6" s="269" t="s">
        <v>4</v>
      </c>
      <c r="D6" s="269"/>
      <c r="E6" s="269"/>
      <c r="F6" s="270">
        <v>55</v>
      </c>
      <c r="G6" s="270">
        <v>0</v>
      </c>
      <c r="H6" s="270">
        <v>0</v>
      </c>
      <c r="I6" s="270">
        <v>0</v>
      </c>
      <c r="J6" s="270">
        <v>0</v>
      </c>
      <c r="K6" s="270">
        <v>55</v>
      </c>
      <c r="L6" s="270">
        <v>0</v>
      </c>
      <c r="M6" s="270">
        <v>0</v>
      </c>
      <c r="N6" s="270">
        <v>0</v>
      </c>
      <c r="O6" s="270">
        <v>0</v>
      </c>
    </row>
    <row r="7" spans="1:18" x14ac:dyDescent="0.25">
      <c r="A7" s="117">
        <v>540007</v>
      </c>
      <c r="B7" s="2" t="s">
        <v>6</v>
      </c>
      <c r="C7" s="2" t="s">
        <v>7</v>
      </c>
      <c r="D7" s="2" t="s">
        <v>5</v>
      </c>
      <c r="E7" s="117">
        <v>3</v>
      </c>
      <c r="F7" s="117">
        <v>2003</v>
      </c>
      <c r="G7" s="117">
        <v>12</v>
      </c>
      <c r="H7" s="117">
        <v>0</v>
      </c>
      <c r="I7" s="117">
        <v>0</v>
      </c>
      <c r="J7" s="117">
        <v>3</v>
      </c>
      <c r="K7" s="117">
        <v>1988</v>
      </c>
      <c r="L7" s="117">
        <v>0</v>
      </c>
      <c r="M7" s="117">
        <v>0</v>
      </c>
      <c r="N7" s="117">
        <v>0</v>
      </c>
      <c r="O7" s="117">
        <v>0</v>
      </c>
    </row>
    <row r="8" spans="1:18" x14ac:dyDescent="0.25">
      <c r="A8" s="117">
        <v>540008</v>
      </c>
      <c r="B8" s="2" t="s">
        <v>120</v>
      </c>
      <c r="C8" s="2" t="s">
        <v>7</v>
      </c>
      <c r="D8" s="2" t="s">
        <v>115</v>
      </c>
      <c r="E8" s="117">
        <v>3</v>
      </c>
      <c r="F8" s="117">
        <v>66</v>
      </c>
      <c r="G8" s="117">
        <v>0</v>
      </c>
      <c r="H8" s="117">
        <v>0</v>
      </c>
      <c r="I8" s="117">
        <v>0</v>
      </c>
      <c r="J8" s="117">
        <v>0</v>
      </c>
      <c r="K8" s="117">
        <v>66</v>
      </c>
      <c r="L8" s="117">
        <v>0</v>
      </c>
      <c r="M8" s="117">
        <v>0</v>
      </c>
      <c r="N8" s="117">
        <v>0</v>
      </c>
      <c r="O8" s="117">
        <v>0</v>
      </c>
    </row>
    <row r="9" spans="1:18" x14ac:dyDescent="0.25">
      <c r="A9" s="117">
        <v>540229</v>
      </c>
      <c r="B9" s="2" t="s">
        <v>279</v>
      </c>
      <c r="C9" s="2" t="s">
        <v>7</v>
      </c>
      <c r="D9" s="2" t="s">
        <v>115</v>
      </c>
      <c r="E9" s="117">
        <v>3</v>
      </c>
      <c r="F9" s="117">
        <v>0</v>
      </c>
      <c r="G9" s="117">
        <v>0</v>
      </c>
      <c r="H9" s="117">
        <v>0</v>
      </c>
      <c r="I9" s="117">
        <v>0</v>
      </c>
      <c r="J9" s="117">
        <v>0</v>
      </c>
      <c r="K9" s="117">
        <v>0</v>
      </c>
      <c r="L9" s="117">
        <v>0</v>
      </c>
      <c r="M9" s="117">
        <v>0</v>
      </c>
      <c r="N9" s="117">
        <v>0</v>
      </c>
      <c r="O9" s="117">
        <v>0</v>
      </c>
    </row>
    <row r="10" spans="1:18" x14ac:dyDescent="0.25">
      <c r="A10" s="117">
        <v>540230</v>
      </c>
      <c r="B10" s="2" t="s">
        <v>280</v>
      </c>
      <c r="C10" s="2" t="s">
        <v>7</v>
      </c>
      <c r="D10" s="2" t="s">
        <v>115</v>
      </c>
      <c r="E10" s="117">
        <v>3</v>
      </c>
      <c r="F10" s="117">
        <v>9</v>
      </c>
      <c r="G10" s="117">
        <v>0</v>
      </c>
      <c r="H10" s="117">
        <v>0</v>
      </c>
      <c r="I10" s="117">
        <v>0</v>
      </c>
      <c r="J10" s="117">
        <v>0</v>
      </c>
      <c r="K10" s="117">
        <v>9</v>
      </c>
      <c r="L10" s="117">
        <v>0</v>
      </c>
      <c r="M10" s="117">
        <v>0</v>
      </c>
      <c r="N10" s="117">
        <v>0</v>
      </c>
      <c r="O10" s="117">
        <v>0</v>
      </c>
    </row>
    <row r="11" spans="1:18" x14ac:dyDescent="0.25">
      <c r="A11" s="117">
        <v>540238</v>
      </c>
      <c r="B11" s="2" t="s">
        <v>286</v>
      </c>
      <c r="C11" s="2" t="s">
        <v>7</v>
      </c>
      <c r="D11" s="2" t="s">
        <v>115</v>
      </c>
      <c r="E11" s="117">
        <v>3</v>
      </c>
      <c r="F11" s="117">
        <v>0</v>
      </c>
      <c r="G11" s="117">
        <v>0</v>
      </c>
      <c r="H11" s="117">
        <v>0</v>
      </c>
      <c r="I11" s="117">
        <v>0</v>
      </c>
      <c r="J11" s="117">
        <v>0</v>
      </c>
      <c r="K11" s="117">
        <v>0</v>
      </c>
      <c r="L11" s="117">
        <v>0</v>
      </c>
      <c r="M11" s="117">
        <v>0</v>
      </c>
      <c r="N11" s="117">
        <v>0</v>
      </c>
      <c r="O11" s="117">
        <v>0</v>
      </c>
    </row>
    <row r="12" spans="1:18" x14ac:dyDescent="0.25">
      <c r="A12" s="269"/>
      <c r="B12" s="269"/>
      <c r="C12" s="269" t="s">
        <v>7</v>
      </c>
      <c r="D12" s="269"/>
      <c r="E12" s="269"/>
      <c r="F12" s="270">
        <v>2078</v>
      </c>
      <c r="G12" s="270">
        <v>12</v>
      </c>
      <c r="H12" s="270">
        <v>0</v>
      </c>
      <c r="I12" s="270">
        <v>0</v>
      </c>
      <c r="J12" s="270">
        <v>3</v>
      </c>
      <c r="K12" s="270">
        <v>2063</v>
      </c>
      <c r="L12" s="270">
        <v>0</v>
      </c>
      <c r="M12" s="270">
        <v>0</v>
      </c>
      <c r="N12" s="270">
        <v>0</v>
      </c>
      <c r="O12" s="270">
        <v>0</v>
      </c>
    </row>
    <row r="13" spans="1:18" x14ac:dyDescent="0.25">
      <c r="A13" s="117">
        <v>540009</v>
      </c>
      <c r="B13" s="2" t="s">
        <v>8</v>
      </c>
      <c r="C13" s="2" t="s">
        <v>9</v>
      </c>
      <c r="D13" s="2" t="s">
        <v>5</v>
      </c>
      <c r="E13" s="117">
        <v>7</v>
      </c>
      <c r="F13" s="117">
        <v>1191</v>
      </c>
      <c r="G13" s="117">
        <v>1</v>
      </c>
      <c r="H13" s="117">
        <v>0</v>
      </c>
      <c r="I13" s="117">
        <v>0</v>
      </c>
      <c r="J13" s="117">
        <v>0</v>
      </c>
      <c r="K13" s="117">
        <v>1190</v>
      </c>
      <c r="L13" s="117">
        <v>0</v>
      </c>
      <c r="M13" s="117">
        <v>0</v>
      </c>
      <c r="N13" s="117">
        <v>0</v>
      </c>
      <c r="O13" s="117">
        <v>0</v>
      </c>
    </row>
    <row r="14" spans="1:18" x14ac:dyDescent="0.25">
      <c r="A14" s="117">
        <v>540010</v>
      </c>
      <c r="B14" s="2" t="s">
        <v>121</v>
      </c>
      <c r="C14" s="2" t="s">
        <v>9</v>
      </c>
      <c r="D14" s="2" t="s">
        <v>115</v>
      </c>
      <c r="E14" s="117">
        <v>7</v>
      </c>
      <c r="F14" s="117">
        <v>0</v>
      </c>
      <c r="G14" s="117">
        <v>0</v>
      </c>
      <c r="H14" s="117">
        <v>0</v>
      </c>
      <c r="I14" s="117">
        <v>0</v>
      </c>
      <c r="J14" s="117">
        <v>0</v>
      </c>
      <c r="K14" s="117">
        <v>0</v>
      </c>
      <c r="L14" s="117">
        <v>0</v>
      </c>
      <c r="M14" s="117">
        <v>0</v>
      </c>
      <c r="N14" s="117">
        <v>0</v>
      </c>
      <c r="O14" s="117">
        <v>0</v>
      </c>
    </row>
    <row r="15" spans="1:18" x14ac:dyDescent="0.25">
      <c r="A15" s="117">
        <v>540235</v>
      </c>
      <c r="B15" s="2" t="s">
        <v>283</v>
      </c>
      <c r="C15" s="2" t="s">
        <v>9</v>
      </c>
      <c r="D15" s="2" t="s">
        <v>115</v>
      </c>
      <c r="E15" s="117">
        <v>7</v>
      </c>
      <c r="F15" s="117">
        <v>0</v>
      </c>
      <c r="G15" s="117">
        <v>0</v>
      </c>
      <c r="H15" s="117">
        <v>0</v>
      </c>
      <c r="I15" s="117">
        <v>0</v>
      </c>
      <c r="J15" s="117">
        <v>0</v>
      </c>
      <c r="K15" s="117">
        <v>0</v>
      </c>
      <c r="L15" s="117">
        <v>0</v>
      </c>
      <c r="M15" s="117">
        <v>0</v>
      </c>
      <c r="N15" s="117">
        <v>0</v>
      </c>
      <c r="O15" s="117">
        <v>0</v>
      </c>
    </row>
    <row r="16" spans="1:18" x14ac:dyDescent="0.25">
      <c r="A16" s="117">
        <v>540236</v>
      </c>
      <c r="B16" s="2" t="s">
        <v>284</v>
      </c>
      <c r="C16" s="2" t="s">
        <v>9</v>
      </c>
      <c r="D16" s="2" t="s">
        <v>115</v>
      </c>
      <c r="E16" s="117">
        <v>7</v>
      </c>
      <c r="F16" s="117">
        <v>2</v>
      </c>
      <c r="G16" s="117">
        <v>0</v>
      </c>
      <c r="H16" s="117">
        <v>0</v>
      </c>
      <c r="I16" s="117">
        <v>0</v>
      </c>
      <c r="J16" s="117">
        <v>0</v>
      </c>
      <c r="K16" s="117">
        <v>2</v>
      </c>
      <c r="L16" s="117">
        <v>0</v>
      </c>
      <c r="M16" s="117">
        <v>0</v>
      </c>
      <c r="N16" s="117">
        <v>0</v>
      </c>
      <c r="O16" s="117">
        <v>0</v>
      </c>
    </row>
    <row r="17" spans="1:15" x14ac:dyDescent="0.25">
      <c r="A17" s="117">
        <v>540237</v>
      </c>
      <c r="B17" s="2" t="s">
        <v>285</v>
      </c>
      <c r="C17" s="2" t="s">
        <v>9</v>
      </c>
      <c r="D17" s="2" t="s">
        <v>115</v>
      </c>
      <c r="E17" s="117">
        <v>7</v>
      </c>
      <c r="F17" s="117">
        <v>9</v>
      </c>
      <c r="G17" s="117">
        <v>0</v>
      </c>
      <c r="H17" s="117">
        <v>0</v>
      </c>
      <c r="I17" s="117">
        <v>0</v>
      </c>
      <c r="J17" s="117">
        <v>0</v>
      </c>
      <c r="K17" s="117">
        <v>9</v>
      </c>
      <c r="L17" s="117">
        <v>0</v>
      </c>
      <c r="M17" s="117">
        <v>0</v>
      </c>
      <c r="N17" s="117">
        <v>0</v>
      </c>
      <c r="O17" s="117">
        <v>0</v>
      </c>
    </row>
    <row r="18" spans="1:15" x14ac:dyDescent="0.25">
      <c r="A18" s="269"/>
      <c r="B18" s="269"/>
      <c r="C18" s="269" t="s">
        <v>9</v>
      </c>
      <c r="D18" s="269"/>
      <c r="E18" s="269"/>
      <c r="F18" s="270">
        <v>1202</v>
      </c>
      <c r="G18" s="270">
        <v>1</v>
      </c>
      <c r="H18" s="270">
        <v>0</v>
      </c>
      <c r="I18" s="270">
        <v>0</v>
      </c>
      <c r="J18" s="270">
        <v>0</v>
      </c>
      <c r="K18" s="270">
        <v>1201</v>
      </c>
      <c r="L18" s="270">
        <v>0</v>
      </c>
      <c r="M18" s="270">
        <v>0</v>
      </c>
      <c r="N18" s="270">
        <v>0</v>
      </c>
      <c r="O18" s="270">
        <v>0</v>
      </c>
    </row>
    <row r="19" spans="1:15" x14ac:dyDescent="0.25">
      <c r="A19" s="117">
        <v>540011</v>
      </c>
      <c r="B19" s="2" t="s">
        <v>10</v>
      </c>
      <c r="C19" s="2" t="s">
        <v>11</v>
      </c>
      <c r="D19" s="2" t="s">
        <v>5</v>
      </c>
      <c r="E19" s="117">
        <v>11</v>
      </c>
      <c r="F19" s="117">
        <v>21</v>
      </c>
      <c r="G19" s="117">
        <v>0</v>
      </c>
      <c r="H19" s="117">
        <v>0</v>
      </c>
      <c r="I19" s="117">
        <v>0</v>
      </c>
      <c r="J19" s="117">
        <v>0</v>
      </c>
      <c r="K19" s="117">
        <v>21</v>
      </c>
      <c r="L19" s="117">
        <v>0</v>
      </c>
      <c r="M19" s="117">
        <v>0</v>
      </c>
      <c r="N19" s="117">
        <v>0</v>
      </c>
      <c r="O19" s="117">
        <v>0</v>
      </c>
    </row>
    <row r="20" spans="1:15" x14ac:dyDescent="0.25">
      <c r="A20" s="117">
        <v>540012</v>
      </c>
      <c r="B20" s="2" t="s">
        <v>122</v>
      </c>
      <c r="C20" s="2" t="s">
        <v>11</v>
      </c>
      <c r="D20" s="2" t="s">
        <v>115</v>
      </c>
      <c r="E20" s="117">
        <v>11</v>
      </c>
      <c r="F20" s="117">
        <v>0</v>
      </c>
      <c r="G20" s="117">
        <v>0</v>
      </c>
      <c r="H20" s="117">
        <v>0</v>
      </c>
      <c r="I20" s="117">
        <v>0</v>
      </c>
      <c r="J20" s="117">
        <v>0</v>
      </c>
      <c r="K20" s="117">
        <v>0</v>
      </c>
      <c r="L20" s="117">
        <v>0</v>
      </c>
      <c r="M20" s="117">
        <v>0</v>
      </c>
      <c r="N20" s="117">
        <v>0</v>
      </c>
      <c r="O20" s="117">
        <v>0</v>
      </c>
    </row>
    <row r="21" spans="1:15" x14ac:dyDescent="0.25">
      <c r="A21" s="117">
        <v>540013</v>
      </c>
      <c r="B21" s="2" t="s">
        <v>123</v>
      </c>
      <c r="C21" s="2" t="s">
        <v>11</v>
      </c>
      <c r="D21" s="2" t="s">
        <v>115</v>
      </c>
      <c r="E21" s="117">
        <v>11</v>
      </c>
      <c r="F21" s="117">
        <v>0</v>
      </c>
      <c r="G21" s="117">
        <v>0</v>
      </c>
      <c r="H21" s="117">
        <v>0</v>
      </c>
      <c r="I21" s="117">
        <v>0</v>
      </c>
      <c r="J21" s="117">
        <v>0</v>
      </c>
      <c r="K21" s="117">
        <v>0</v>
      </c>
      <c r="L21" s="117">
        <v>0</v>
      </c>
      <c r="M21" s="117">
        <v>0</v>
      </c>
      <c r="N21" s="117">
        <v>0</v>
      </c>
      <c r="O21" s="117">
        <v>0</v>
      </c>
    </row>
    <row r="22" spans="1:15" x14ac:dyDescent="0.25">
      <c r="A22" s="117">
        <v>540014</v>
      </c>
      <c r="B22" s="2" t="s">
        <v>124</v>
      </c>
      <c r="C22" s="2" t="s">
        <v>11</v>
      </c>
      <c r="D22" s="2" t="s">
        <v>115</v>
      </c>
      <c r="E22" s="117">
        <v>11</v>
      </c>
      <c r="F22" s="117">
        <v>0</v>
      </c>
      <c r="G22" s="117">
        <v>0</v>
      </c>
      <c r="H22" s="117">
        <v>0</v>
      </c>
      <c r="I22" s="117">
        <v>0</v>
      </c>
      <c r="J22" s="117">
        <v>0</v>
      </c>
      <c r="K22" s="117">
        <v>0</v>
      </c>
      <c r="L22" s="117">
        <v>0</v>
      </c>
      <c r="M22" s="117">
        <v>0</v>
      </c>
      <c r="N22" s="117">
        <v>0</v>
      </c>
      <c r="O22" s="117">
        <v>0</v>
      </c>
    </row>
    <row r="23" spans="1:15" x14ac:dyDescent="0.25">
      <c r="A23" s="117">
        <v>540015</v>
      </c>
      <c r="B23" s="2" t="s">
        <v>125</v>
      </c>
      <c r="C23" s="2" t="s">
        <v>11</v>
      </c>
      <c r="D23" s="2" t="s">
        <v>115</v>
      </c>
      <c r="E23" s="117">
        <v>11</v>
      </c>
      <c r="F23" s="117">
        <v>0</v>
      </c>
      <c r="G23" s="117">
        <v>0</v>
      </c>
      <c r="H23" s="117">
        <v>0</v>
      </c>
      <c r="I23" s="117">
        <v>0</v>
      </c>
      <c r="J23" s="117">
        <v>0</v>
      </c>
      <c r="K23" s="117">
        <v>0</v>
      </c>
      <c r="L23" s="117">
        <v>0</v>
      </c>
      <c r="M23" s="117">
        <v>0</v>
      </c>
      <c r="N23" s="117">
        <v>0</v>
      </c>
      <c r="O23" s="117">
        <v>0</v>
      </c>
    </row>
    <row r="24" spans="1:15" x14ac:dyDescent="0.25">
      <c r="A24" s="117">
        <v>540093</v>
      </c>
      <c r="B24" s="2" t="s">
        <v>184</v>
      </c>
      <c r="C24" s="2" t="s">
        <v>11</v>
      </c>
      <c r="D24" s="2" t="s">
        <v>115</v>
      </c>
      <c r="E24" s="117">
        <v>11</v>
      </c>
      <c r="F24" s="117">
        <v>0</v>
      </c>
      <c r="G24" s="117">
        <v>0</v>
      </c>
      <c r="H24" s="117">
        <v>0</v>
      </c>
      <c r="I24" s="117">
        <v>0</v>
      </c>
      <c r="J24" s="117">
        <v>0</v>
      </c>
      <c r="K24" s="117">
        <v>0</v>
      </c>
      <c r="L24" s="117">
        <v>0</v>
      </c>
      <c r="M24" s="117">
        <v>0</v>
      </c>
      <c r="N24" s="117">
        <v>0</v>
      </c>
      <c r="O24" s="117">
        <v>0</v>
      </c>
    </row>
    <row r="25" spans="1:15" x14ac:dyDescent="0.25">
      <c r="A25" s="117">
        <v>540084</v>
      </c>
      <c r="B25" s="2" t="s">
        <v>341</v>
      </c>
      <c r="C25" s="2" t="s">
        <v>11</v>
      </c>
      <c r="D25" s="2" t="s">
        <v>115</v>
      </c>
      <c r="E25" s="117">
        <v>11</v>
      </c>
      <c r="F25" s="117">
        <v>0</v>
      </c>
      <c r="G25" s="117">
        <v>0</v>
      </c>
      <c r="H25" s="117">
        <v>0</v>
      </c>
      <c r="I25" s="117">
        <v>0</v>
      </c>
      <c r="J25" s="117">
        <v>0</v>
      </c>
      <c r="K25" s="117">
        <v>0</v>
      </c>
      <c r="L25" s="117">
        <v>0</v>
      </c>
      <c r="M25" s="117">
        <v>0</v>
      </c>
      <c r="N25" s="117">
        <v>0</v>
      </c>
      <c r="O25" s="117">
        <v>0</v>
      </c>
    </row>
    <row r="26" spans="1:15" x14ac:dyDescent="0.25">
      <c r="A26" s="269"/>
      <c r="B26" s="269"/>
      <c r="C26" s="269" t="s">
        <v>11</v>
      </c>
      <c r="D26" s="269"/>
      <c r="E26" s="269"/>
      <c r="F26" s="270">
        <v>21</v>
      </c>
      <c r="G26" s="270">
        <v>0</v>
      </c>
      <c r="H26" s="270">
        <v>0</v>
      </c>
      <c r="I26" s="270">
        <v>0</v>
      </c>
      <c r="J26" s="270">
        <v>0</v>
      </c>
      <c r="K26" s="270">
        <v>21</v>
      </c>
      <c r="L26" s="270">
        <v>0</v>
      </c>
      <c r="M26" s="270">
        <v>0</v>
      </c>
      <c r="N26" s="270">
        <v>0</v>
      </c>
      <c r="O26" s="270">
        <v>0</v>
      </c>
    </row>
    <row r="27" spans="1:15" x14ac:dyDescent="0.25">
      <c r="A27" s="117">
        <v>540016</v>
      </c>
      <c r="B27" s="2" t="s">
        <v>12</v>
      </c>
      <c r="C27" s="2" t="s">
        <v>13</v>
      </c>
      <c r="D27" s="2" t="s">
        <v>5</v>
      </c>
      <c r="E27" s="117">
        <v>2</v>
      </c>
      <c r="F27" s="117">
        <v>530</v>
      </c>
      <c r="G27" s="117">
        <v>3</v>
      </c>
      <c r="H27" s="117">
        <v>0</v>
      </c>
      <c r="I27" s="117">
        <v>0</v>
      </c>
      <c r="J27" s="117">
        <v>0</v>
      </c>
      <c r="K27" s="117">
        <v>527</v>
      </c>
      <c r="L27" s="117">
        <v>0</v>
      </c>
      <c r="M27" s="117">
        <v>0</v>
      </c>
      <c r="N27" s="117">
        <v>0</v>
      </c>
      <c r="O27" s="117">
        <v>0</v>
      </c>
    </row>
    <row r="28" spans="1:15" x14ac:dyDescent="0.25">
      <c r="A28" s="117">
        <v>540017</v>
      </c>
      <c r="B28" s="2" t="s">
        <v>126</v>
      </c>
      <c r="C28" s="2" t="s">
        <v>13</v>
      </c>
      <c r="D28" s="2" t="s">
        <v>115</v>
      </c>
      <c r="E28" s="117">
        <v>2</v>
      </c>
      <c r="F28" s="117">
        <v>8</v>
      </c>
      <c r="G28" s="117">
        <v>0</v>
      </c>
      <c r="H28" s="117">
        <v>0</v>
      </c>
      <c r="I28" s="117">
        <v>0</v>
      </c>
      <c r="J28" s="117">
        <v>0</v>
      </c>
      <c r="K28" s="117">
        <v>8</v>
      </c>
      <c r="L28" s="117">
        <v>0</v>
      </c>
      <c r="M28" s="117">
        <v>0</v>
      </c>
      <c r="N28" s="117">
        <v>0</v>
      </c>
      <c r="O28" s="117">
        <v>0</v>
      </c>
    </row>
    <row r="29" spans="1:15" x14ac:dyDescent="0.25">
      <c r="A29" s="117">
        <v>540018</v>
      </c>
      <c r="B29" s="2" t="s">
        <v>127</v>
      </c>
      <c r="C29" s="2" t="s">
        <v>13</v>
      </c>
      <c r="D29" s="2" t="s">
        <v>115</v>
      </c>
      <c r="E29" s="117">
        <v>2</v>
      </c>
      <c r="F29" s="117">
        <v>14</v>
      </c>
      <c r="G29" s="117">
        <v>0</v>
      </c>
      <c r="H29" s="117">
        <v>0</v>
      </c>
      <c r="I29" s="117">
        <v>0</v>
      </c>
      <c r="J29" s="117">
        <v>0</v>
      </c>
      <c r="K29" s="117">
        <v>14</v>
      </c>
      <c r="L29" s="117">
        <v>0</v>
      </c>
      <c r="M29" s="117">
        <v>0</v>
      </c>
      <c r="N29" s="117">
        <v>0</v>
      </c>
      <c r="O29" s="117">
        <v>0</v>
      </c>
    </row>
    <row r="30" spans="1:15" x14ac:dyDescent="0.25">
      <c r="A30" s="117">
        <v>540019</v>
      </c>
      <c r="B30" s="2" t="s">
        <v>128</v>
      </c>
      <c r="C30" s="2" t="s">
        <v>13</v>
      </c>
      <c r="D30" s="2" t="s">
        <v>115</v>
      </c>
      <c r="E30" s="117">
        <v>2</v>
      </c>
      <c r="F30" s="117">
        <v>0</v>
      </c>
      <c r="G30" s="117">
        <v>0</v>
      </c>
      <c r="H30" s="117">
        <v>0</v>
      </c>
      <c r="I30" s="117">
        <v>0</v>
      </c>
      <c r="J30" s="117">
        <v>0</v>
      </c>
      <c r="K30" s="117">
        <v>0</v>
      </c>
      <c r="L30" s="117">
        <v>0</v>
      </c>
      <c r="M30" s="117">
        <v>0</v>
      </c>
      <c r="N30" s="117">
        <v>0</v>
      </c>
      <c r="O30" s="117">
        <v>0</v>
      </c>
    </row>
    <row r="31" spans="1:15" x14ac:dyDescent="0.25">
      <c r="A31" s="269"/>
      <c r="B31" s="269"/>
      <c r="C31" s="269" t="s">
        <v>13</v>
      </c>
      <c r="D31" s="269"/>
      <c r="E31" s="269"/>
      <c r="F31" s="270">
        <v>552</v>
      </c>
      <c r="G31" s="270">
        <v>3</v>
      </c>
      <c r="H31" s="270">
        <v>0</v>
      </c>
      <c r="I31" s="270">
        <v>0</v>
      </c>
      <c r="J31" s="270">
        <v>0</v>
      </c>
      <c r="K31" s="270">
        <v>549</v>
      </c>
      <c r="L31" s="270">
        <v>0</v>
      </c>
      <c r="M31" s="270">
        <v>0</v>
      </c>
      <c r="N31" s="270">
        <v>0</v>
      </c>
      <c r="O31" s="270">
        <v>0</v>
      </c>
    </row>
    <row r="32" spans="1:15" x14ac:dyDescent="0.25">
      <c r="A32" s="117">
        <v>540020</v>
      </c>
      <c r="B32" s="2" t="s">
        <v>14</v>
      </c>
      <c r="C32" s="2" t="s">
        <v>15</v>
      </c>
      <c r="D32" s="2" t="s">
        <v>5</v>
      </c>
      <c r="E32" s="117">
        <v>5</v>
      </c>
      <c r="F32" s="117">
        <v>44</v>
      </c>
      <c r="G32" s="117">
        <v>0</v>
      </c>
      <c r="H32" s="117">
        <v>0</v>
      </c>
      <c r="I32" s="117">
        <v>0</v>
      </c>
      <c r="J32" s="117">
        <v>0</v>
      </c>
      <c r="K32" s="117">
        <v>44</v>
      </c>
      <c r="L32" s="117">
        <v>0</v>
      </c>
      <c r="M32" s="117">
        <v>0</v>
      </c>
      <c r="N32" s="117">
        <v>0</v>
      </c>
      <c r="O32" s="117">
        <v>0</v>
      </c>
    </row>
    <row r="33" spans="1:15" x14ac:dyDescent="0.25">
      <c r="A33" s="117">
        <v>540021</v>
      </c>
      <c r="B33" s="2" t="s">
        <v>129</v>
      </c>
      <c r="C33" s="2" t="s">
        <v>15</v>
      </c>
      <c r="D33" s="2" t="s">
        <v>115</v>
      </c>
      <c r="E33" s="117">
        <v>5</v>
      </c>
      <c r="F33" s="117">
        <v>0</v>
      </c>
      <c r="G33" s="117">
        <v>0</v>
      </c>
      <c r="H33" s="117">
        <v>0</v>
      </c>
      <c r="I33" s="117">
        <v>0</v>
      </c>
      <c r="J33" s="117">
        <v>0</v>
      </c>
      <c r="K33" s="117">
        <v>0</v>
      </c>
      <c r="L33" s="117">
        <v>0</v>
      </c>
      <c r="M33" s="117">
        <v>0</v>
      </c>
      <c r="N33" s="117">
        <v>0</v>
      </c>
      <c r="O33" s="117">
        <v>0</v>
      </c>
    </row>
    <row r="34" spans="1:15" x14ac:dyDescent="0.25">
      <c r="A34" s="269"/>
      <c r="B34" s="269"/>
      <c r="C34" s="269" t="s">
        <v>15</v>
      </c>
      <c r="D34" s="269"/>
      <c r="E34" s="269"/>
      <c r="F34" s="270">
        <v>44</v>
      </c>
      <c r="G34" s="270">
        <v>0</v>
      </c>
      <c r="H34" s="270">
        <v>0</v>
      </c>
      <c r="I34" s="270">
        <v>0</v>
      </c>
      <c r="J34" s="270">
        <v>0</v>
      </c>
      <c r="K34" s="270">
        <v>44</v>
      </c>
      <c r="L34" s="270">
        <v>0</v>
      </c>
      <c r="M34" s="270">
        <v>0</v>
      </c>
      <c r="N34" s="270">
        <v>0</v>
      </c>
      <c r="O34" s="270">
        <v>0</v>
      </c>
    </row>
    <row r="35" spans="1:15" x14ac:dyDescent="0.25">
      <c r="A35" s="117">
        <v>540022</v>
      </c>
      <c r="B35" s="2" t="s">
        <v>16</v>
      </c>
      <c r="C35" s="2" t="s">
        <v>17</v>
      </c>
      <c r="D35" s="2" t="s">
        <v>5</v>
      </c>
      <c r="E35" s="117">
        <v>3</v>
      </c>
      <c r="F35" s="117">
        <v>1545</v>
      </c>
      <c r="G35" s="117">
        <v>0</v>
      </c>
      <c r="H35" s="117">
        <v>0</v>
      </c>
      <c r="I35" s="117">
        <v>0</v>
      </c>
      <c r="J35" s="117">
        <v>1</v>
      </c>
      <c r="K35" s="117">
        <v>1544</v>
      </c>
      <c r="L35" s="117">
        <v>0</v>
      </c>
      <c r="M35" s="117">
        <v>0</v>
      </c>
      <c r="N35" s="117">
        <v>0</v>
      </c>
      <c r="O35" s="117">
        <v>0</v>
      </c>
    </row>
    <row r="36" spans="1:15" x14ac:dyDescent="0.25">
      <c r="A36" s="117">
        <v>540023</v>
      </c>
      <c r="B36" s="2" t="s">
        <v>130</v>
      </c>
      <c r="C36" s="2" t="s">
        <v>17</v>
      </c>
      <c r="D36" s="2" t="s">
        <v>115</v>
      </c>
      <c r="E36" s="117">
        <v>3</v>
      </c>
      <c r="F36" s="117">
        <v>0</v>
      </c>
      <c r="G36" s="117">
        <v>0</v>
      </c>
      <c r="H36" s="117">
        <v>0</v>
      </c>
      <c r="I36" s="117">
        <v>0</v>
      </c>
      <c r="J36" s="117">
        <v>0</v>
      </c>
      <c r="K36" s="117">
        <v>0</v>
      </c>
      <c r="L36" s="117">
        <v>0</v>
      </c>
      <c r="M36" s="117">
        <v>0</v>
      </c>
      <c r="N36" s="117">
        <v>0</v>
      </c>
      <c r="O36" s="117">
        <v>0</v>
      </c>
    </row>
    <row r="37" spans="1:15" x14ac:dyDescent="0.25">
      <c r="A37" s="269"/>
      <c r="B37" s="269"/>
      <c r="C37" s="269" t="s">
        <v>17</v>
      </c>
      <c r="D37" s="269"/>
      <c r="E37" s="269"/>
      <c r="F37" s="270">
        <v>1545</v>
      </c>
      <c r="G37" s="270">
        <v>0</v>
      </c>
      <c r="H37" s="270">
        <v>0</v>
      </c>
      <c r="I37" s="270">
        <v>0</v>
      </c>
      <c r="J37" s="270">
        <v>1</v>
      </c>
      <c r="K37" s="270">
        <v>1544</v>
      </c>
      <c r="L37" s="270">
        <v>0</v>
      </c>
      <c r="M37" s="270">
        <v>0</v>
      </c>
      <c r="N37" s="270">
        <v>0</v>
      </c>
      <c r="O37" s="270">
        <v>0</v>
      </c>
    </row>
    <row r="38" spans="1:15" x14ac:dyDescent="0.25">
      <c r="A38" s="117">
        <v>540024</v>
      </c>
      <c r="B38" s="2" t="s">
        <v>18</v>
      </c>
      <c r="C38" s="2" t="s">
        <v>19</v>
      </c>
      <c r="D38" s="2" t="s">
        <v>5</v>
      </c>
      <c r="E38" s="117">
        <v>6</v>
      </c>
      <c r="F38" s="117">
        <v>1731</v>
      </c>
      <c r="G38" s="117">
        <v>14</v>
      </c>
      <c r="H38" s="117">
        <v>0</v>
      </c>
      <c r="I38" s="117">
        <v>0</v>
      </c>
      <c r="J38" s="117">
        <v>2</v>
      </c>
      <c r="K38" s="117">
        <v>1715</v>
      </c>
      <c r="L38" s="117">
        <v>0</v>
      </c>
      <c r="M38" s="117">
        <v>0</v>
      </c>
      <c r="N38" s="117">
        <v>0</v>
      </c>
      <c r="O38" s="117">
        <v>0</v>
      </c>
    </row>
    <row r="39" spans="1:15" x14ac:dyDescent="0.25">
      <c r="A39" s="117">
        <v>540025</v>
      </c>
      <c r="B39" s="2" t="s">
        <v>131</v>
      </c>
      <c r="C39" s="2" t="s">
        <v>19</v>
      </c>
      <c r="D39" s="2" t="s">
        <v>115</v>
      </c>
      <c r="E39" s="117">
        <v>6</v>
      </c>
      <c r="F39" s="117">
        <v>0</v>
      </c>
      <c r="G39" s="117">
        <v>0</v>
      </c>
      <c r="H39" s="117">
        <v>0</v>
      </c>
      <c r="I39" s="117">
        <v>0</v>
      </c>
      <c r="J39" s="117">
        <v>0</v>
      </c>
      <c r="K39" s="117">
        <v>0</v>
      </c>
      <c r="L39" s="117">
        <v>0</v>
      </c>
      <c r="M39" s="117">
        <v>0</v>
      </c>
      <c r="N39" s="117">
        <v>0</v>
      </c>
      <c r="O39" s="117">
        <v>0</v>
      </c>
    </row>
    <row r="40" spans="1:15" x14ac:dyDescent="0.25">
      <c r="A40" s="269"/>
      <c r="B40" s="269"/>
      <c r="C40" s="269" t="s">
        <v>19</v>
      </c>
      <c r="D40" s="269"/>
      <c r="E40" s="269"/>
      <c r="F40" s="270">
        <v>1731</v>
      </c>
      <c r="G40" s="270">
        <v>14</v>
      </c>
      <c r="H40" s="270">
        <v>0</v>
      </c>
      <c r="I40" s="270">
        <v>0</v>
      </c>
      <c r="J40" s="270">
        <v>2</v>
      </c>
      <c r="K40" s="270">
        <v>1715</v>
      </c>
      <c r="L40" s="270">
        <v>0</v>
      </c>
      <c r="M40" s="270">
        <v>0</v>
      </c>
      <c r="N40" s="270">
        <v>0</v>
      </c>
      <c r="O40" s="270">
        <v>0</v>
      </c>
    </row>
    <row r="41" spans="1:15" x14ac:dyDescent="0.25">
      <c r="A41" s="117">
        <v>540035</v>
      </c>
      <c r="B41" s="2" t="s">
        <v>22</v>
      </c>
      <c r="C41" s="2" t="s">
        <v>23</v>
      </c>
      <c r="D41" s="2" t="s">
        <v>5</v>
      </c>
      <c r="E41" s="117">
        <v>7</v>
      </c>
      <c r="F41" s="117">
        <v>75</v>
      </c>
      <c r="G41" s="117">
        <v>1</v>
      </c>
      <c r="H41" s="117">
        <v>0</v>
      </c>
      <c r="I41" s="117">
        <v>0</v>
      </c>
      <c r="J41" s="117">
        <v>0</v>
      </c>
      <c r="K41" s="117">
        <v>74</v>
      </c>
      <c r="L41" s="117">
        <v>0</v>
      </c>
      <c r="M41" s="117">
        <v>0</v>
      </c>
      <c r="N41" s="117">
        <v>0</v>
      </c>
      <c r="O41" s="117">
        <v>0</v>
      </c>
    </row>
    <row r="42" spans="1:15" x14ac:dyDescent="0.25">
      <c r="A42" s="117">
        <v>540036</v>
      </c>
      <c r="B42" s="2" t="s">
        <v>139</v>
      </c>
      <c r="C42" s="2" t="s">
        <v>23</v>
      </c>
      <c r="D42" s="2" t="s">
        <v>115</v>
      </c>
      <c r="E42" s="117">
        <v>7</v>
      </c>
      <c r="F42" s="117">
        <v>0</v>
      </c>
      <c r="G42" s="117">
        <v>0</v>
      </c>
      <c r="H42" s="117">
        <v>0</v>
      </c>
      <c r="I42" s="117">
        <v>0</v>
      </c>
      <c r="J42" s="117">
        <v>0</v>
      </c>
      <c r="K42" s="117">
        <v>0</v>
      </c>
      <c r="L42" s="117">
        <v>0</v>
      </c>
      <c r="M42" s="117">
        <v>0</v>
      </c>
      <c r="N42" s="117">
        <v>0</v>
      </c>
      <c r="O42" s="117">
        <v>0</v>
      </c>
    </row>
    <row r="43" spans="1:15" x14ac:dyDescent="0.25">
      <c r="A43" s="117">
        <v>540037</v>
      </c>
      <c r="B43" s="2" t="s">
        <v>140</v>
      </c>
      <c r="C43" s="2" t="s">
        <v>23</v>
      </c>
      <c r="D43" s="2" t="s">
        <v>115</v>
      </c>
      <c r="E43" s="117">
        <v>7</v>
      </c>
      <c r="F43" s="117">
        <v>0</v>
      </c>
      <c r="G43" s="117">
        <v>0</v>
      </c>
      <c r="H43" s="117">
        <v>0</v>
      </c>
      <c r="I43" s="117">
        <v>0</v>
      </c>
      <c r="J43" s="117">
        <v>0</v>
      </c>
      <c r="K43" s="117">
        <v>0</v>
      </c>
      <c r="L43" s="117">
        <v>0</v>
      </c>
      <c r="M43" s="117">
        <v>0</v>
      </c>
      <c r="N43" s="117">
        <v>0</v>
      </c>
      <c r="O43" s="117">
        <v>0</v>
      </c>
    </row>
    <row r="44" spans="1:15" x14ac:dyDescent="0.25">
      <c r="A44" s="269"/>
      <c r="B44" s="269"/>
      <c r="C44" s="269" t="s">
        <v>23</v>
      </c>
      <c r="D44" s="269"/>
      <c r="E44" s="269"/>
      <c r="F44" s="270">
        <v>75</v>
      </c>
      <c r="G44" s="270">
        <v>1</v>
      </c>
      <c r="H44" s="270">
        <v>0</v>
      </c>
      <c r="I44" s="270">
        <v>0</v>
      </c>
      <c r="J44" s="270">
        <v>0</v>
      </c>
      <c r="K44" s="270">
        <v>74</v>
      </c>
      <c r="L44" s="270">
        <v>0</v>
      </c>
      <c r="M44" s="270">
        <v>0</v>
      </c>
      <c r="N44" s="270">
        <v>0</v>
      </c>
      <c r="O44" s="270">
        <v>0</v>
      </c>
    </row>
    <row r="45" spans="1:15" x14ac:dyDescent="0.25">
      <c r="A45" s="117">
        <v>540038</v>
      </c>
      <c r="B45" s="2" t="s">
        <v>24</v>
      </c>
      <c r="C45" s="2" t="s">
        <v>25</v>
      </c>
      <c r="D45" s="2" t="s">
        <v>5</v>
      </c>
      <c r="E45" s="117">
        <v>8</v>
      </c>
      <c r="F45" s="117">
        <v>368</v>
      </c>
      <c r="G45" s="117">
        <v>38</v>
      </c>
      <c r="H45" s="117">
        <v>0</v>
      </c>
      <c r="I45" s="117">
        <v>0</v>
      </c>
      <c r="J45" s="117">
        <v>25</v>
      </c>
      <c r="K45" s="117">
        <v>302</v>
      </c>
      <c r="L45" s="117">
        <v>0</v>
      </c>
      <c r="M45" s="117">
        <v>0</v>
      </c>
      <c r="N45" s="117">
        <v>0</v>
      </c>
      <c r="O45" s="117">
        <v>3</v>
      </c>
    </row>
    <row r="46" spans="1:15" x14ac:dyDescent="0.25">
      <c r="A46" s="117">
        <v>540039</v>
      </c>
      <c r="B46" s="2" t="s">
        <v>141</v>
      </c>
      <c r="C46" s="2" t="s">
        <v>25</v>
      </c>
      <c r="D46" s="2" t="s">
        <v>115</v>
      </c>
      <c r="E46" s="117">
        <v>8</v>
      </c>
      <c r="F46" s="117">
        <v>0</v>
      </c>
      <c r="G46" s="117">
        <v>0</v>
      </c>
      <c r="H46" s="117">
        <v>0</v>
      </c>
      <c r="I46" s="117">
        <v>0</v>
      </c>
      <c r="J46" s="117">
        <v>0</v>
      </c>
      <c r="K46" s="117">
        <v>0</v>
      </c>
      <c r="L46" s="117">
        <v>0</v>
      </c>
      <c r="M46" s="117">
        <v>0</v>
      </c>
      <c r="N46" s="117">
        <v>0</v>
      </c>
      <c r="O46" s="117">
        <v>0</v>
      </c>
    </row>
    <row r="47" spans="1:15" x14ac:dyDescent="0.25">
      <c r="A47" s="117">
        <v>540240</v>
      </c>
      <c r="B47" s="2" t="s">
        <v>287</v>
      </c>
      <c r="C47" s="2" t="s">
        <v>25</v>
      </c>
      <c r="D47" s="2" t="s">
        <v>115</v>
      </c>
      <c r="E47" s="117">
        <v>8</v>
      </c>
      <c r="F47" s="117">
        <v>0</v>
      </c>
      <c r="G47" s="117">
        <v>0</v>
      </c>
      <c r="H47" s="117">
        <v>0</v>
      </c>
      <c r="I47" s="117">
        <v>0</v>
      </c>
      <c r="J47" s="117">
        <v>0</v>
      </c>
      <c r="K47" s="117">
        <v>0</v>
      </c>
      <c r="L47" s="117">
        <v>0</v>
      </c>
      <c r="M47" s="117">
        <v>0</v>
      </c>
      <c r="N47" s="117">
        <v>0</v>
      </c>
      <c r="O47" s="117">
        <v>0</v>
      </c>
    </row>
    <row r="48" spans="1:15" x14ac:dyDescent="0.25">
      <c r="A48" s="269"/>
      <c r="B48" s="269"/>
      <c r="C48" s="269" t="s">
        <v>25</v>
      </c>
      <c r="D48" s="269"/>
      <c r="E48" s="269"/>
      <c r="F48" s="270">
        <v>368</v>
      </c>
      <c r="G48" s="270">
        <v>38</v>
      </c>
      <c r="H48" s="270">
        <v>0</v>
      </c>
      <c r="I48" s="270">
        <v>0</v>
      </c>
      <c r="J48" s="270">
        <v>25</v>
      </c>
      <c r="K48" s="270">
        <v>302</v>
      </c>
      <c r="L48" s="270">
        <v>0</v>
      </c>
      <c r="M48" s="270">
        <v>0</v>
      </c>
      <c r="N48" s="270">
        <v>0</v>
      </c>
      <c r="O48" s="270">
        <v>3</v>
      </c>
    </row>
    <row r="49" spans="1:15" x14ac:dyDescent="0.25">
      <c r="A49" s="117">
        <v>540040</v>
      </c>
      <c r="B49" s="2" t="s">
        <v>26</v>
      </c>
      <c r="C49" s="2" t="s">
        <v>27</v>
      </c>
      <c r="D49" s="2" t="s">
        <v>5</v>
      </c>
      <c r="E49" s="117">
        <v>4</v>
      </c>
      <c r="F49" s="117">
        <v>1698</v>
      </c>
      <c r="G49" s="117">
        <v>21</v>
      </c>
      <c r="H49" s="117">
        <v>3</v>
      </c>
      <c r="I49" s="117">
        <v>81</v>
      </c>
      <c r="J49" s="117">
        <v>4</v>
      </c>
      <c r="K49" s="117">
        <v>1587</v>
      </c>
      <c r="L49" s="117">
        <v>0</v>
      </c>
      <c r="M49" s="117">
        <v>0</v>
      </c>
      <c r="N49" s="117">
        <v>0</v>
      </c>
      <c r="O49" s="117">
        <v>2</v>
      </c>
    </row>
    <row r="50" spans="1:15" x14ac:dyDescent="0.25">
      <c r="A50" s="117">
        <v>540041</v>
      </c>
      <c r="B50" s="2" t="s">
        <v>142</v>
      </c>
      <c r="C50" s="2" t="s">
        <v>27</v>
      </c>
      <c r="D50" s="2" t="s">
        <v>115</v>
      </c>
      <c r="E50" s="117">
        <v>4</v>
      </c>
      <c r="F50" s="117">
        <v>0</v>
      </c>
      <c r="G50" s="117">
        <v>0</v>
      </c>
      <c r="H50" s="117">
        <v>0</v>
      </c>
      <c r="I50" s="117">
        <v>0</v>
      </c>
      <c r="J50" s="117">
        <v>0</v>
      </c>
      <c r="K50" s="117">
        <v>0</v>
      </c>
      <c r="L50" s="117">
        <v>0</v>
      </c>
      <c r="M50" s="117">
        <v>0</v>
      </c>
      <c r="N50" s="117">
        <v>0</v>
      </c>
      <c r="O50" s="117">
        <v>0</v>
      </c>
    </row>
    <row r="51" spans="1:15" x14ac:dyDescent="0.25">
      <c r="A51" s="117">
        <v>540043</v>
      </c>
      <c r="B51" s="2" t="s">
        <v>144</v>
      </c>
      <c r="C51" s="2" t="s">
        <v>27</v>
      </c>
      <c r="D51" s="2" t="s">
        <v>115</v>
      </c>
      <c r="E51" s="117">
        <v>4</v>
      </c>
      <c r="F51" s="117">
        <v>6</v>
      </c>
      <c r="G51" s="117">
        <v>0</v>
      </c>
      <c r="H51" s="117">
        <v>0</v>
      </c>
      <c r="I51" s="117">
        <v>0</v>
      </c>
      <c r="J51" s="117">
        <v>0</v>
      </c>
      <c r="K51" s="117">
        <v>6</v>
      </c>
      <c r="L51" s="117">
        <v>0</v>
      </c>
      <c r="M51" s="117">
        <v>0</v>
      </c>
      <c r="N51" s="117">
        <v>0</v>
      </c>
      <c r="O51" s="117">
        <v>0</v>
      </c>
    </row>
    <row r="52" spans="1:15" x14ac:dyDescent="0.25">
      <c r="A52" s="117">
        <v>540044</v>
      </c>
      <c r="B52" s="2" t="s">
        <v>145</v>
      </c>
      <c r="C52" s="2" t="s">
        <v>27</v>
      </c>
      <c r="D52" s="2" t="s">
        <v>115</v>
      </c>
      <c r="E52" s="117">
        <v>4</v>
      </c>
      <c r="F52" s="117">
        <v>0</v>
      </c>
      <c r="G52" s="117">
        <v>0</v>
      </c>
      <c r="H52" s="117">
        <v>0</v>
      </c>
      <c r="I52" s="117">
        <v>0</v>
      </c>
      <c r="J52" s="117">
        <v>0</v>
      </c>
      <c r="K52" s="117">
        <v>0</v>
      </c>
      <c r="L52" s="117">
        <v>0</v>
      </c>
      <c r="M52" s="117">
        <v>0</v>
      </c>
      <c r="N52" s="117">
        <v>0</v>
      </c>
      <c r="O52" s="117">
        <v>0</v>
      </c>
    </row>
    <row r="53" spans="1:15" x14ac:dyDescent="0.25">
      <c r="A53" s="117">
        <v>540045</v>
      </c>
      <c r="B53" s="2" t="s">
        <v>146</v>
      </c>
      <c r="C53" s="2" t="s">
        <v>27</v>
      </c>
      <c r="D53" s="2" t="s">
        <v>115</v>
      </c>
      <c r="E53" s="117">
        <v>4</v>
      </c>
      <c r="F53" s="117">
        <v>0</v>
      </c>
      <c r="G53" s="117">
        <v>0</v>
      </c>
      <c r="H53" s="117">
        <v>0</v>
      </c>
      <c r="I53" s="117">
        <v>0</v>
      </c>
      <c r="J53" s="117">
        <v>0</v>
      </c>
      <c r="K53" s="117">
        <v>0</v>
      </c>
      <c r="L53" s="117">
        <v>0</v>
      </c>
      <c r="M53" s="117">
        <v>0</v>
      </c>
      <c r="N53" s="117">
        <v>0</v>
      </c>
      <c r="O53" s="117">
        <v>0</v>
      </c>
    </row>
    <row r="54" spans="1:15" x14ac:dyDescent="0.25">
      <c r="A54" s="117">
        <v>540228</v>
      </c>
      <c r="B54" s="2" t="s">
        <v>278</v>
      </c>
      <c r="C54" s="2" t="s">
        <v>27</v>
      </c>
      <c r="D54" s="2" t="s">
        <v>115</v>
      </c>
      <c r="E54" s="117">
        <v>4</v>
      </c>
      <c r="F54" s="117">
        <v>2</v>
      </c>
      <c r="G54" s="117">
        <v>0</v>
      </c>
      <c r="H54" s="117">
        <v>0</v>
      </c>
      <c r="I54" s="117">
        <v>0</v>
      </c>
      <c r="J54" s="117">
        <v>0</v>
      </c>
      <c r="K54" s="117">
        <v>2</v>
      </c>
      <c r="L54" s="117">
        <v>0</v>
      </c>
      <c r="M54" s="117">
        <v>0</v>
      </c>
      <c r="N54" s="117">
        <v>0</v>
      </c>
      <c r="O54" s="117">
        <v>0</v>
      </c>
    </row>
    <row r="55" spans="1:15" x14ac:dyDescent="0.25">
      <c r="A55" s="117">
        <v>540243</v>
      </c>
      <c r="B55" s="2" t="s">
        <v>290</v>
      </c>
      <c r="C55" s="2" t="s">
        <v>27</v>
      </c>
      <c r="D55" s="2" t="s">
        <v>115</v>
      </c>
      <c r="E55" s="117">
        <v>4</v>
      </c>
      <c r="F55" s="117">
        <v>0</v>
      </c>
      <c r="G55" s="117">
        <v>0</v>
      </c>
      <c r="H55" s="117">
        <v>0</v>
      </c>
      <c r="I55" s="117">
        <v>0</v>
      </c>
      <c r="J55" s="117">
        <v>0</v>
      </c>
      <c r="K55" s="117">
        <v>0</v>
      </c>
      <c r="L55" s="117">
        <v>0</v>
      </c>
      <c r="M55" s="117">
        <v>0</v>
      </c>
      <c r="N55" s="117">
        <v>0</v>
      </c>
      <c r="O55" s="117">
        <v>0</v>
      </c>
    </row>
    <row r="56" spans="1:15" x14ac:dyDescent="0.25">
      <c r="A56" s="117">
        <v>540244</v>
      </c>
      <c r="B56" s="2" t="s">
        <v>291</v>
      </c>
      <c r="C56" s="2" t="s">
        <v>27</v>
      </c>
      <c r="D56" s="2" t="s">
        <v>115</v>
      </c>
      <c r="E56" s="117">
        <v>4</v>
      </c>
      <c r="F56" s="117">
        <v>0</v>
      </c>
      <c r="G56" s="117">
        <v>0</v>
      </c>
      <c r="H56" s="117">
        <v>0</v>
      </c>
      <c r="I56" s="117">
        <v>0</v>
      </c>
      <c r="J56" s="117">
        <v>0</v>
      </c>
      <c r="K56" s="117">
        <v>0</v>
      </c>
      <c r="L56" s="117">
        <v>0</v>
      </c>
      <c r="M56" s="117">
        <v>0</v>
      </c>
      <c r="N56" s="117">
        <v>0</v>
      </c>
      <c r="O56" s="117">
        <v>0</v>
      </c>
    </row>
    <row r="57" spans="1:15" x14ac:dyDescent="0.25">
      <c r="A57" s="117">
        <v>540281</v>
      </c>
      <c r="B57" s="2" t="s">
        <v>322</v>
      </c>
      <c r="C57" s="2" t="s">
        <v>27</v>
      </c>
      <c r="D57" s="2" t="s">
        <v>115</v>
      </c>
      <c r="E57" s="117">
        <v>4</v>
      </c>
      <c r="F57" s="117">
        <v>0</v>
      </c>
      <c r="G57" s="117">
        <v>0</v>
      </c>
      <c r="H57" s="117">
        <v>0</v>
      </c>
      <c r="I57" s="117">
        <v>0</v>
      </c>
      <c r="J57" s="117">
        <v>0</v>
      </c>
      <c r="K57" s="117">
        <v>0</v>
      </c>
      <c r="L57" s="117">
        <v>0</v>
      </c>
      <c r="M57" s="117">
        <v>0</v>
      </c>
      <c r="N57" s="117">
        <v>0</v>
      </c>
      <c r="O57" s="117">
        <v>0</v>
      </c>
    </row>
    <row r="58" spans="1:15" x14ac:dyDescent="0.25">
      <c r="A58" s="269"/>
      <c r="B58" s="269"/>
      <c r="C58" s="269" t="s">
        <v>27</v>
      </c>
      <c r="D58" s="269"/>
      <c r="E58" s="269"/>
      <c r="F58" s="270">
        <v>1706</v>
      </c>
      <c r="G58" s="270">
        <v>21</v>
      </c>
      <c r="H58" s="270">
        <v>3</v>
      </c>
      <c r="I58" s="270">
        <v>81</v>
      </c>
      <c r="J58" s="270">
        <v>4</v>
      </c>
      <c r="K58" s="270">
        <v>1595</v>
      </c>
      <c r="L58" s="270">
        <v>0</v>
      </c>
      <c r="M58" s="270">
        <v>0</v>
      </c>
      <c r="N58" s="270">
        <v>0</v>
      </c>
      <c r="O58" s="270">
        <v>2</v>
      </c>
    </row>
    <row r="59" spans="1:15" x14ac:dyDescent="0.25">
      <c r="A59" s="117">
        <v>540047</v>
      </c>
      <c r="B59" s="2" t="s">
        <v>28</v>
      </c>
      <c r="C59" s="2" t="s">
        <v>29</v>
      </c>
      <c r="D59" s="2" t="s">
        <v>5</v>
      </c>
      <c r="E59" s="117">
        <v>11</v>
      </c>
      <c r="F59" s="117">
        <v>0</v>
      </c>
      <c r="G59" s="117">
        <v>0</v>
      </c>
      <c r="H59" s="117">
        <v>0</v>
      </c>
      <c r="I59" s="117">
        <v>0</v>
      </c>
      <c r="J59" s="117">
        <v>0</v>
      </c>
      <c r="K59" s="117">
        <v>0</v>
      </c>
      <c r="L59" s="117">
        <v>0</v>
      </c>
      <c r="M59" s="117">
        <v>0</v>
      </c>
      <c r="N59" s="117">
        <v>0</v>
      </c>
      <c r="O59" s="117">
        <v>0</v>
      </c>
    </row>
    <row r="60" spans="1:15" x14ac:dyDescent="0.25">
      <c r="A60" s="117">
        <v>540014</v>
      </c>
      <c r="B60" s="2" t="s">
        <v>124</v>
      </c>
      <c r="C60" s="2" t="s">
        <v>29</v>
      </c>
      <c r="D60" s="2" t="s">
        <v>115</v>
      </c>
      <c r="E60" s="117">
        <v>11</v>
      </c>
      <c r="F60" s="117">
        <v>0</v>
      </c>
      <c r="G60" s="117">
        <v>0</v>
      </c>
      <c r="H60" s="117">
        <v>0</v>
      </c>
      <c r="I60" s="117">
        <v>0</v>
      </c>
      <c r="J60" s="117">
        <v>0</v>
      </c>
      <c r="K60" s="117">
        <v>0</v>
      </c>
      <c r="L60" s="117">
        <v>0</v>
      </c>
      <c r="M60" s="117">
        <v>0</v>
      </c>
      <c r="N60" s="117">
        <v>0</v>
      </c>
      <c r="O60" s="117">
        <v>0</v>
      </c>
    </row>
    <row r="61" spans="1:15" x14ac:dyDescent="0.25">
      <c r="A61" s="117">
        <v>540048</v>
      </c>
      <c r="B61" s="2" t="s">
        <v>148</v>
      </c>
      <c r="C61" s="2" t="s">
        <v>29</v>
      </c>
      <c r="D61" s="2" t="s">
        <v>115</v>
      </c>
      <c r="E61" s="117">
        <v>11</v>
      </c>
      <c r="F61" s="117">
        <v>0</v>
      </c>
      <c r="G61" s="117">
        <v>0</v>
      </c>
      <c r="H61" s="117">
        <v>0</v>
      </c>
      <c r="I61" s="117">
        <v>0</v>
      </c>
      <c r="J61" s="117">
        <v>0</v>
      </c>
      <c r="K61" s="117">
        <v>0</v>
      </c>
      <c r="L61" s="117">
        <v>0</v>
      </c>
      <c r="M61" s="117">
        <v>0</v>
      </c>
      <c r="N61" s="117">
        <v>0</v>
      </c>
      <c r="O61" s="117">
        <v>0</v>
      </c>
    </row>
    <row r="62" spans="1:15" x14ac:dyDescent="0.25">
      <c r="A62" s="117">
        <v>540049</v>
      </c>
      <c r="B62" s="2" t="s">
        <v>149</v>
      </c>
      <c r="C62" s="2" t="s">
        <v>29</v>
      </c>
      <c r="D62" s="2" t="s">
        <v>115</v>
      </c>
      <c r="E62" s="117">
        <v>11</v>
      </c>
      <c r="F62" s="117">
        <v>0</v>
      </c>
      <c r="G62" s="117">
        <v>0</v>
      </c>
      <c r="H62" s="117">
        <v>0</v>
      </c>
      <c r="I62" s="117">
        <v>0</v>
      </c>
      <c r="J62" s="117">
        <v>0</v>
      </c>
      <c r="K62" s="117">
        <v>0</v>
      </c>
      <c r="L62" s="117">
        <v>0</v>
      </c>
      <c r="M62" s="117">
        <v>0</v>
      </c>
      <c r="N62" s="117">
        <v>0</v>
      </c>
      <c r="O62" s="117">
        <v>0</v>
      </c>
    </row>
    <row r="63" spans="1:15" x14ac:dyDescent="0.25">
      <c r="A63" s="269"/>
      <c r="B63" s="269"/>
      <c r="C63" s="269" t="s">
        <v>29</v>
      </c>
      <c r="D63" s="269"/>
      <c r="E63" s="269"/>
      <c r="F63" s="270">
        <v>0</v>
      </c>
      <c r="G63" s="270">
        <v>0</v>
      </c>
      <c r="H63" s="270">
        <v>0</v>
      </c>
      <c r="I63" s="270">
        <v>0</v>
      </c>
      <c r="J63" s="270">
        <v>0</v>
      </c>
      <c r="K63" s="270">
        <v>0</v>
      </c>
      <c r="L63" s="270">
        <v>0</v>
      </c>
      <c r="M63" s="270">
        <v>0</v>
      </c>
      <c r="N63" s="270">
        <v>0</v>
      </c>
      <c r="O63" s="270">
        <v>0</v>
      </c>
    </row>
    <row r="64" spans="1:15" x14ac:dyDescent="0.25">
      <c r="A64" s="117">
        <v>540051</v>
      </c>
      <c r="B64" s="2" t="s">
        <v>30</v>
      </c>
      <c r="C64" s="2" t="s">
        <v>31</v>
      </c>
      <c r="D64" s="2" t="s">
        <v>5</v>
      </c>
      <c r="E64" s="117">
        <v>8</v>
      </c>
      <c r="F64" s="117">
        <v>176</v>
      </c>
      <c r="G64" s="117">
        <v>8</v>
      </c>
      <c r="H64" s="117">
        <v>0</v>
      </c>
      <c r="I64" s="117">
        <v>2</v>
      </c>
      <c r="J64" s="117">
        <v>1</v>
      </c>
      <c r="K64" s="117">
        <v>162</v>
      </c>
      <c r="L64" s="117">
        <v>0</v>
      </c>
      <c r="M64" s="117">
        <v>0</v>
      </c>
      <c r="N64" s="117">
        <v>0</v>
      </c>
      <c r="O64" s="117">
        <v>3</v>
      </c>
    </row>
    <row r="65" spans="1:15" x14ac:dyDescent="0.25">
      <c r="A65" s="117">
        <v>540052</v>
      </c>
      <c r="B65" s="2" t="s">
        <v>151</v>
      </c>
      <c r="C65" s="2" t="s">
        <v>31</v>
      </c>
      <c r="D65" s="2" t="s">
        <v>115</v>
      </c>
      <c r="E65" s="117">
        <v>8</v>
      </c>
      <c r="F65" s="117">
        <v>0</v>
      </c>
      <c r="G65" s="117">
        <v>0</v>
      </c>
      <c r="H65" s="117">
        <v>0</v>
      </c>
      <c r="I65" s="117">
        <v>0</v>
      </c>
      <c r="J65" s="117">
        <v>0</v>
      </c>
      <c r="K65" s="117">
        <v>0</v>
      </c>
      <c r="L65" s="117">
        <v>0</v>
      </c>
      <c r="M65" s="117">
        <v>0</v>
      </c>
      <c r="N65" s="117">
        <v>0</v>
      </c>
      <c r="O65" s="117">
        <v>0</v>
      </c>
    </row>
    <row r="66" spans="1:15" x14ac:dyDescent="0.25">
      <c r="A66" s="117">
        <v>540245</v>
      </c>
      <c r="B66" s="2" t="s">
        <v>292</v>
      </c>
      <c r="C66" s="2" t="s">
        <v>31</v>
      </c>
      <c r="D66" s="2" t="s">
        <v>115</v>
      </c>
      <c r="E66" s="117">
        <v>8</v>
      </c>
      <c r="F66" s="117">
        <v>0</v>
      </c>
      <c r="G66" s="117">
        <v>0</v>
      </c>
      <c r="H66" s="117">
        <v>0</v>
      </c>
      <c r="I66" s="117">
        <v>0</v>
      </c>
      <c r="J66" s="117">
        <v>0</v>
      </c>
      <c r="K66" s="117">
        <v>0</v>
      </c>
      <c r="L66" s="117">
        <v>0</v>
      </c>
      <c r="M66" s="117">
        <v>0</v>
      </c>
      <c r="N66" s="117">
        <v>0</v>
      </c>
      <c r="O66" s="117">
        <v>0</v>
      </c>
    </row>
    <row r="67" spans="1:15" x14ac:dyDescent="0.25">
      <c r="A67" s="269"/>
      <c r="B67" s="269"/>
      <c r="C67" s="269" t="s">
        <v>31</v>
      </c>
      <c r="D67" s="269"/>
      <c r="E67" s="269"/>
      <c r="F67" s="270">
        <v>176</v>
      </c>
      <c r="G67" s="270">
        <v>8</v>
      </c>
      <c r="H67" s="270">
        <v>0</v>
      </c>
      <c r="I67" s="270">
        <v>2</v>
      </c>
      <c r="J67" s="270">
        <v>1</v>
      </c>
      <c r="K67" s="270">
        <v>162</v>
      </c>
      <c r="L67" s="270">
        <v>0</v>
      </c>
      <c r="M67" s="270">
        <v>0</v>
      </c>
      <c r="N67" s="270">
        <v>0</v>
      </c>
      <c r="O67" s="270">
        <v>3</v>
      </c>
    </row>
    <row r="68" spans="1:15" x14ac:dyDescent="0.25">
      <c r="A68" s="117">
        <v>540053</v>
      </c>
      <c r="B68" s="2" t="s">
        <v>32</v>
      </c>
      <c r="C68" s="2" t="s">
        <v>33</v>
      </c>
      <c r="D68" s="2" t="s">
        <v>5</v>
      </c>
      <c r="E68" s="117">
        <v>6</v>
      </c>
      <c r="F68" s="117">
        <v>0</v>
      </c>
      <c r="G68" s="117">
        <v>0</v>
      </c>
      <c r="H68" s="117">
        <v>0</v>
      </c>
      <c r="I68" s="117">
        <v>0</v>
      </c>
      <c r="J68" s="117">
        <v>0</v>
      </c>
      <c r="K68" s="117">
        <v>0</v>
      </c>
      <c r="L68" s="117">
        <v>0</v>
      </c>
      <c r="M68" s="117">
        <v>0</v>
      </c>
      <c r="N68" s="117">
        <v>0</v>
      </c>
      <c r="O68" s="117">
        <v>0</v>
      </c>
    </row>
    <row r="69" spans="1:15" x14ac:dyDescent="0.25">
      <c r="A69" s="117">
        <v>540054</v>
      </c>
      <c r="B69" s="2" t="s">
        <v>152</v>
      </c>
      <c r="C69" s="2" t="s">
        <v>33</v>
      </c>
      <c r="D69" s="2" t="s">
        <v>115</v>
      </c>
      <c r="E69" s="117">
        <v>6</v>
      </c>
      <c r="F69" s="117">
        <v>0</v>
      </c>
      <c r="G69" s="117">
        <v>0</v>
      </c>
      <c r="H69" s="117">
        <v>0</v>
      </c>
      <c r="I69" s="117">
        <v>0</v>
      </c>
      <c r="J69" s="117">
        <v>0</v>
      </c>
      <c r="K69" s="117">
        <v>0</v>
      </c>
      <c r="L69" s="117">
        <v>0</v>
      </c>
      <c r="M69" s="117">
        <v>0</v>
      </c>
      <c r="N69" s="117">
        <v>0</v>
      </c>
      <c r="O69" s="117">
        <v>0</v>
      </c>
    </row>
    <row r="70" spans="1:15" x14ac:dyDescent="0.25">
      <c r="A70" s="117">
        <v>540055</v>
      </c>
      <c r="B70" s="2" t="s">
        <v>153</v>
      </c>
      <c r="C70" s="2" t="s">
        <v>33</v>
      </c>
      <c r="D70" s="2" t="s">
        <v>115</v>
      </c>
      <c r="E70" s="117">
        <v>6</v>
      </c>
      <c r="F70" s="117">
        <v>0</v>
      </c>
      <c r="G70" s="117">
        <v>0</v>
      </c>
      <c r="H70" s="117">
        <v>0</v>
      </c>
      <c r="I70" s="117">
        <v>0</v>
      </c>
      <c r="J70" s="117">
        <v>0</v>
      </c>
      <c r="K70" s="117">
        <v>0</v>
      </c>
      <c r="L70" s="117">
        <v>0</v>
      </c>
      <c r="M70" s="117">
        <v>0</v>
      </c>
      <c r="N70" s="117">
        <v>0</v>
      </c>
      <c r="O70" s="117">
        <v>0</v>
      </c>
    </row>
    <row r="71" spans="1:15" x14ac:dyDescent="0.25">
      <c r="A71" s="117">
        <v>540056</v>
      </c>
      <c r="B71" s="2" t="s">
        <v>154</v>
      </c>
      <c r="C71" s="2" t="s">
        <v>33</v>
      </c>
      <c r="D71" s="2" t="s">
        <v>115</v>
      </c>
      <c r="E71" s="117">
        <v>6</v>
      </c>
      <c r="F71" s="117">
        <v>0</v>
      </c>
      <c r="G71" s="117">
        <v>0</v>
      </c>
      <c r="H71" s="117">
        <v>0</v>
      </c>
      <c r="I71" s="117">
        <v>0</v>
      </c>
      <c r="J71" s="117">
        <v>0</v>
      </c>
      <c r="K71" s="117">
        <v>0</v>
      </c>
      <c r="L71" s="117">
        <v>0</v>
      </c>
      <c r="M71" s="117">
        <v>0</v>
      </c>
      <c r="N71" s="117">
        <v>0</v>
      </c>
      <c r="O71" s="117">
        <v>0</v>
      </c>
    </row>
    <row r="72" spans="1:15" x14ac:dyDescent="0.25">
      <c r="A72" s="117">
        <v>540057</v>
      </c>
      <c r="B72" s="2" t="s">
        <v>155</v>
      </c>
      <c r="C72" s="2" t="s">
        <v>33</v>
      </c>
      <c r="D72" s="2" t="s">
        <v>115</v>
      </c>
      <c r="E72" s="117">
        <v>6</v>
      </c>
      <c r="F72" s="117">
        <v>0</v>
      </c>
      <c r="G72" s="117">
        <v>0</v>
      </c>
      <c r="H72" s="117">
        <v>0</v>
      </c>
      <c r="I72" s="117">
        <v>0</v>
      </c>
      <c r="J72" s="117">
        <v>0</v>
      </c>
      <c r="K72" s="117">
        <v>0</v>
      </c>
      <c r="L72" s="117">
        <v>0</v>
      </c>
      <c r="M72" s="117">
        <v>0</v>
      </c>
      <c r="N72" s="117">
        <v>0</v>
      </c>
      <c r="O72" s="117">
        <v>0</v>
      </c>
    </row>
    <row r="73" spans="1:15" x14ac:dyDescent="0.25">
      <c r="A73" s="117">
        <v>540058</v>
      </c>
      <c r="B73" s="2" t="s">
        <v>156</v>
      </c>
      <c r="C73" s="2" t="s">
        <v>33</v>
      </c>
      <c r="D73" s="2" t="s">
        <v>115</v>
      </c>
      <c r="E73" s="117">
        <v>6</v>
      </c>
      <c r="F73" s="117">
        <v>0</v>
      </c>
      <c r="G73" s="117">
        <v>0</v>
      </c>
      <c r="H73" s="117">
        <v>0</v>
      </c>
      <c r="I73" s="117">
        <v>0</v>
      </c>
      <c r="J73" s="117">
        <v>0</v>
      </c>
      <c r="K73" s="117">
        <v>0</v>
      </c>
      <c r="L73" s="117">
        <v>0</v>
      </c>
      <c r="M73" s="117">
        <v>0</v>
      </c>
      <c r="N73" s="117">
        <v>0</v>
      </c>
      <c r="O73" s="117">
        <v>0</v>
      </c>
    </row>
    <row r="74" spans="1:15" x14ac:dyDescent="0.25">
      <c r="A74" s="117">
        <v>540059</v>
      </c>
      <c r="B74" s="2" t="s">
        <v>157</v>
      </c>
      <c r="C74" s="2" t="s">
        <v>33</v>
      </c>
      <c r="D74" s="2" t="s">
        <v>115</v>
      </c>
      <c r="E74" s="117">
        <v>6</v>
      </c>
      <c r="F74" s="117">
        <v>0</v>
      </c>
      <c r="G74" s="117">
        <v>0</v>
      </c>
      <c r="H74" s="117">
        <v>0</v>
      </c>
      <c r="I74" s="117">
        <v>0</v>
      </c>
      <c r="J74" s="117">
        <v>0</v>
      </c>
      <c r="K74" s="117">
        <v>0</v>
      </c>
      <c r="L74" s="117">
        <v>0</v>
      </c>
      <c r="M74" s="117">
        <v>0</v>
      </c>
      <c r="N74" s="117">
        <v>0</v>
      </c>
      <c r="O74" s="117">
        <v>0</v>
      </c>
    </row>
    <row r="75" spans="1:15" x14ac:dyDescent="0.25">
      <c r="A75" s="117">
        <v>540060</v>
      </c>
      <c r="B75" s="2" t="s">
        <v>158</v>
      </c>
      <c r="C75" s="2" t="s">
        <v>33</v>
      </c>
      <c r="D75" s="2" t="s">
        <v>115</v>
      </c>
      <c r="E75" s="117">
        <v>6</v>
      </c>
      <c r="F75" s="117">
        <v>0</v>
      </c>
      <c r="G75" s="117">
        <v>0</v>
      </c>
      <c r="H75" s="117">
        <v>0</v>
      </c>
      <c r="I75" s="117">
        <v>0</v>
      </c>
      <c r="J75" s="117">
        <v>0</v>
      </c>
      <c r="K75" s="117">
        <v>0</v>
      </c>
      <c r="L75" s="117">
        <v>0</v>
      </c>
      <c r="M75" s="117">
        <v>0</v>
      </c>
      <c r="N75" s="117">
        <v>0</v>
      </c>
      <c r="O75" s="117">
        <v>0</v>
      </c>
    </row>
    <row r="76" spans="1:15" x14ac:dyDescent="0.25">
      <c r="A76" s="117">
        <v>540061</v>
      </c>
      <c r="B76" s="2" t="s">
        <v>159</v>
      </c>
      <c r="C76" s="2" t="s">
        <v>33</v>
      </c>
      <c r="D76" s="2" t="s">
        <v>115</v>
      </c>
      <c r="E76" s="117">
        <v>6</v>
      </c>
      <c r="F76" s="117">
        <v>0</v>
      </c>
      <c r="G76" s="117">
        <v>0</v>
      </c>
      <c r="H76" s="117">
        <v>0</v>
      </c>
      <c r="I76" s="117">
        <v>0</v>
      </c>
      <c r="J76" s="117">
        <v>0</v>
      </c>
      <c r="K76" s="117">
        <v>0</v>
      </c>
      <c r="L76" s="117">
        <v>0</v>
      </c>
      <c r="M76" s="117">
        <v>0</v>
      </c>
      <c r="N76" s="117">
        <v>0</v>
      </c>
      <c r="O76" s="117">
        <v>0</v>
      </c>
    </row>
    <row r="77" spans="1:15" x14ac:dyDescent="0.25">
      <c r="A77" s="117">
        <v>540062</v>
      </c>
      <c r="B77" s="2" t="s">
        <v>160</v>
      </c>
      <c r="C77" s="2" t="s">
        <v>33</v>
      </c>
      <c r="D77" s="2" t="s">
        <v>115</v>
      </c>
      <c r="E77" s="117">
        <v>6</v>
      </c>
      <c r="F77" s="117">
        <v>0</v>
      </c>
      <c r="G77" s="117">
        <v>0</v>
      </c>
      <c r="H77" s="117">
        <v>0</v>
      </c>
      <c r="I77" s="117">
        <v>0</v>
      </c>
      <c r="J77" s="117">
        <v>0</v>
      </c>
      <c r="K77" s="117">
        <v>0</v>
      </c>
      <c r="L77" s="117">
        <v>0</v>
      </c>
      <c r="M77" s="117">
        <v>0</v>
      </c>
      <c r="N77" s="117">
        <v>0</v>
      </c>
      <c r="O77" s="117">
        <v>0</v>
      </c>
    </row>
    <row r="78" spans="1:15" x14ac:dyDescent="0.25">
      <c r="A78" s="117">
        <v>540242</v>
      </c>
      <c r="B78" s="2" t="s">
        <v>289</v>
      </c>
      <c r="C78" s="2" t="s">
        <v>33</v>
      </c>
      <c r="D78" s="2" t="s">
        <v>115</v>
      </c>
      <c r="E78" s="117">
        <v>6</v>
      </c>
      <c r="F78" s="117">
        <v>0</v>
      </c>
      <c r="G78" s="117">
        <v>0</v>
      </c>
      <c r="H78" s="117">
        <v>0</v>
      </c>
      <c r="I78" s="117">
        <v>0</v>
      </c>
      <c r="J78" s="117">
        <v>0</v>
      </c>
      <c r="K78" s="117">
        <v>0</v>
      </c>
      <c r="L78" s="117">
        <v>0</v>
      </c>
      <c r="M78" s="117">
        <v>0</v>
      </c>
      <c r="N78" s="117">
        <v>0</v>
      </c>
      <c r="O78" s="117">
        <v>0</v>
      </c>
    </row>
    <row r="79" spans="1:15" x14ac:dyDescent="0.25">
      <c r="A79" s="269"/>
      <c r="B79" s="269"/>
      <c r="C79" s="269" t="s">
        <v>33</v>
      </c>
      <c r="D79" s="269"/>
      <c r="E79" s="269"/>
      <c r="F79" s="270">
        <v>0</v>
      </c>
      <c r="G79" s="270">
        <v>0</v>
      </c>
      <c r="H79" s="270">
        <v>0</v>
      </c>
      <c r="I79" s="270">
        <v>0</v>
      </c>
      <c r="J79" s="270">
        <v>0</v>
      </c>
      <c r="K79" s="270">
        <v>0</v>
      </c>
      <c r="L79" s="270">
        <v>0</v>
      </c>
      <c r="M79" s="270">
        <v>0</v>
      </c>
      <c r="N79" s="270">
        <v>0</v>
      </c>
      <c r="O79" s="270">
        <v>0</v>
      </c>
    </row>
    <row r="80" spans="1:15" x14ac:dyDescent="0.25">
      <c r="A80" s="117">
        <v>540063</v>
      </c>
      <c r="B80" s="2" t="s">
        <v>34</v>
      </c>
      <c r="C80" s="2" t="s">
        <v>35</v>
      </c>
      <c r="D80" s="2" t="s">
        <v>5</v>
      </c>
      <c r="E80" s="117">
        <v>5</v>
      </c>
      <c r="F80" s="117">
        <v>0</v>
      </c>
      <c r="G80" s="117">
        <v>0</v>
      </c>
      <c r="H80" s="117">
        <v>0</v>
      </c>
      <c r="I80" s="117">
        <v>0</v>
      </c>
      <c r="J80" s="117">
        <v>0</v>
      </c>
      <c r="K80" s="117">
        <v>0</v>
      </c>
      <c r="L80" s="117">
        <v>0</v>
      </c>
      <c r="M80" s="117">
        <v>0</v>
      </c>
      <c r="N80" s="117">
        <v>0</v>
      </c>
      <c r="O80" s="117">
        <v>0</v>
      </c>
    </row>
    <row r="81" spans="1:15" x14ac:dyDescent="0.25">
      <c r="A81" s="117">
        <v>540064</v>
      </c>
      <c r="B81" s="2" t="s">
        <v>161</v>
      </c>
      <c r="C81" s="2" t="s">
        <v>35</v>
      </c>
      <c r="D81" s="2" t="s">
        <v>115</v>
      </c>
      <c r="E81" s="117">
        <v>5</v>
      </c>
      <c r="F81" s="117">
        <v>0</v>
      </c>
      <c r="G81" s="117">
        <v>0</v>
      </c>
      <c r="H81" s="117">
        <v>0</v>
      </c>
      <c r="I81" s="117">
        <v>0</v>
      </c>
      <c r="J81" s="117">
        <v>0</v>
      </c>
      <c r="K81" s="117">
        <v>0</v>
      </c>
      <c r="L81" s="117">
        <v>0</v>
      </c>
      <c r="M81" s="117">
        <v>0</v>
      </c>
      <c r="N81" s="117">
        <v>0</v>
      </c>
      <c r="O81" s="117">
        <v>0</v>
      </c>
    </row>
    <row r="82" spans="1:15" x14ac:dyDescent="0.25">
      <c r="A82" s="117">
        <v>540241</v>
      </c>
      <c r="B82" s="2" t="s">
        <v>288</v>
      </c>
      <c r="C82" s="2" t="s">
        <v>35</v>
      </c>
      <c r="D82" s="2" t="s">
        <v>115</v>
      </c>
      <c r="E82" s="117">
        <v>5</v>
      </c>
      <c r="F82" s="117">
        <v>0</v>
      </c>
      <c r="G82" s="117">
        <v>0</v>
      </c>
      <c r="H82" s="117">
        <v>0</v>
      </c>
      <c r="I82" s="117">
        <v>0</v>
      </c>
      <c r="J82" s="117">
        <v>0</v>
      </c>
      <c r="K82" s="117">
        <v>0</v>
      </c>
      <c r="L82" s="117">
        <v>0</v>
      </c>
      <c r="M82" s="117">
        <v>0</v>
      </c>
      <c r="N82" s="117">
        <v>0</v>
      </c>
      <c r="O82" s="117">
        <v>0</v>
      </c>
    </row>
    <row r="83" spans="1:15" x14ac:dyDescent="0.25">
      <c r="A83" s="269"/>
      <c r="B83" s="269"/>
      <c r="C83" s="269" t="s">
        <v>35</v>
      </c>
      <c r="D83" s="269"/>
      <c r="E83" s="269"/>
      <c r="F83" s="270">
        <v>0</v>
      </c>
      <c r="G83" s="270">
        <v>0</v>
      </c>
      <c r="H83" s="270">
        <v>0</v>
      </c>
      <c r="I83" s="270">
        <v>0</v>
      </c>
      <c r="J83" s="270">
        <v>0</v>
      </c>
      <c r="K83" s="270">
        <v>0</v>
      </c>
      <c r="L83" s="270">
        <v>0</v>
      </c>
      <c r="M83" s="270">
        <v>0</v>
      </c>
      <c r="N83" s="270">
        <v>0</v>
      </c>
      <c r="O83" s="270">
        <v>0</v>
      </c>
    </row>
    <row r="84" spans="1:15" x14ac:dyDescent="0.25">
      <c r="A84" s="117">
        <v>540065</v>
      </c>
      <c r="B84" s="2" t="s">
        <v>36</v>
      </c>
      <c r="C84" s="2" t="s">
        <v>37</v>
      </c>
      <c r="D84" s="2" t="s">
        <v>5</v>
      </c>
      <c r="E84" s="117">
        <v>9</v>
      </c>
      <c r="F84" s="117">
        <v>1</v>
      </c>
      <c r="G84" s="117">
        <v>0</v>
      </c>
      <c r="H84" s="117">
        <v>0</v>
      </c>
      <c r="I84" s="117">
        <v>0</v>
      </c>
      <c r="J84" s="117">
        <v>0</v>
      </c>
      <c r="K84" s="117">
        <v>1</v>
      </c>
      <c r="L84" s="117">
        <v>0</v>
      </c>
      <c r="M84" s="117">
        <v>0</v>
      </c>
      <c r="N84" s="117">
        <v>0</v>
      </c>
      <c r="O84" s="117">
        <v>0</v>
      </c>
    </row>
    <row r="85" spans="1:15" x14ac:dyDescent="0.25">
      <c r="A85" s="117">
        <v>540030</v>
      </c>
      <c r="B85" s="2" t="s">
        <v>135</v>
      </c>
      <c r="C85" s="2" t="s">
        <v>37</v>
      </c>
      <c r="D85" s="2" t="s">
        <v>115</v>
      </c>
      <c r="E85" s="117">
        <v>9</v>
      </c>
      <c r="F85" s="117">
        <v>0</v>
      </c>
      <c r="G85" s="117">
        <v>0</v>
      </c>
      <c r="H85" s="117">
        <v>0</v>
      </c>
      <c r="I85" s="117">
        <v>0</v>
      </c>
      <c r="J85" s="117">
        <v>0</v>
      </c>
      <c r="K85" s="117">
        <v>0</v>
      </c>
      <c r="L85" s="117">
        <v>0</v>
      </c>
      <c r="M85" s="117">
        <v>0</v>
      </c>
      <c r="N85" s="117">
        <v>0</v>
      </c>
      <c r="O85" s="117">
        <v>0</v>
      </c>
    </row>
    <row r="86" spans="1:15" x14ac:dyDescent="0.25">
      <c r="A86" s="117">
        <v>540066</v>
      </c>
      <c r="B86" s="2" t="s">
        <v>162</v>
      </c>
      <c r="C86" s="2" t="s">
        <v>37</v>
      </c>
      <c r="D86" s="2" t="s">
        <v>115</v>
      </c>
      <c r="E86" s="117">
        <v>9</v>
      </c>
      <c r="F86" s="117">
        <v>0</v>
      </c>
      <c r="G86" s="117">
        <v>0</v>
      </c>
      <c r="H86" s="117">
        <v>0</v>
      </c>
      <c r="I86" s="117">
        <v>0</v>
      </c>
      <c r="J86" s="117">
        <v>0</v>
      </c>
      <c r="K86" s="117">
        <v>0</v>
      </c>
      <c r="L86" s="117">
        <v>0</v>
      </c>
      <c r="M86" s="117">
        <v>0</v>
      </c>
      <c r="N86" s="117">
        <v>0</v>
      </c>
      <c r="O86" s="117">
        <v>0</v>
      </c>
    </row>
    <row r="87" spans="1:15" x14ac:dyDescent="0.25">
      <c r="A87" s="117">
        <v>540067</v>
      </c>
      <c r="B87" s="2" t="s">
        <v>163</v>
      </c>
      <c r="C87" s="2" t="s">
        <v>37</v>
      </c>
      <c r="D87" s="2" t="s">
        <v>115</v>
      </c>
      <c r="E87" s="117">
        <v>9</v>
      </c>
      <c r="F87" s="117">
        <v>0</v>
      </c>
      <c r="G87" s="117">
        <v>0</v>
      </c>
      <c r="H87" s="117">
        <v>0</v>
      </c>
      <c r="I87" s="117">
        <v>0</v>
      </c>
      <c r="J87" s="117">
        <v>0</v>
      </c>
      <c r="K87" s="117">
        <v>0</v>
      </c>
      <c r="L87" s="117">
        <v>0</v>
      </c>
      <c r="M87" s="117">
        <v>0</v>
      </c>
      <c r="N87" s="117">
        <v>0</v>
      </c>
      <c r="O87" s="117">
        <v>0</v>
      </c>
    </row>
    <row r="88" spans="1:15" x14ac:dyDescent="0.25">
      <c r="A88" s="117">
        <v>540068</v>
      </c>
      <c r="B88" s="2" t="s">
        <v>164</v>
      </c>
      <c r="C88" s="2" t="s">
        <v>37</v>
      </c>
      <c r="D88" s="2" t="s">
        <v>115</v>
      </c>
      <c r="E88" s="117">
        <v>9</v>
      </c>
      <c r="F88" s="117">
        <v>0</v>
      </c>
      <c r="G88" s="117">
        <v>0</v>
      </c>
      <c r="H88" s="117">
        <v>0</v>
      </c>
      <c r="I88" s="117">
        <v>0</v>
      </c>
      <c r="J88" s="117">
        <v>0</v>
      </c>
      <c r="K88" s="117">
        <v>0</v>
      </c>
      <c r="L88" s="117">
        <v>0</v>
      </c>
      <c r="M88" s="117">
        <v>0</v>
      </c>
      <c r="N88" s="117">
        <v>0</v>
      </c>
      <c r="O88" s="117">
        <v>0</v>
      </c>
    </row>
    <row r="89" spans="1:15" x14ac:dyDescent="0.25">
      <c r="A89" s="117">
        <v>540069</v>
      </c>
      <c r="B89" s="2" t="s">
        <v>165</v>
      </c>
      <c r="C89" s="2" t="s">
        <v>37</v>
      </c>
      <c r="D89" s="2" t="s">
        <v>115</v>
      </c>
      <c r="E89" s="117">
        <v>9</v>
      </c>
      <c r="F89" s="117">
        <v>0</v>
      </c>
      <c r="G89" s="117">
        <v>0</v>
      </c>
      <c r="H89" s="117">
        <v>0</v>
      </c>
      <c r="I89" s="117">
        <v>0</v>
      </c>
      <c r="J89" s="117">
        <v>0</v>
      </c>
      <c r="K89" s="117">
        <v>0</v>
      </c>
      <c r="L89" s="117">
        <v>0</v>
      </c>
      <c r="M89" s="117">
        <v>0</v>
      </c>
      <c r="N89" s="117">
        <v>0</v>
      </c>
      <c r="O89" s="117">
        <v>0</v>
      </c>
    </row>
    <row r="90" spans="1:15" x14ac:dyDescent="0.25">
      <c r="A90" s="269"/>
      <c r="B90" s="269"/>
      <c r="C90" s="269" t="s">
        <v>37</v>
      </c>
      <c r="D90" s="269"/>
      <c r="E90" s="269"/>
      <c r="F90" s="270">
        <v>1</v>
      </c>
      <c r="G90" s="270">
        <v>0</v>
      </c>
      <c r="H90" s="270">
        <v>0</v>
      </c>
      <c r="I90" s="270">
        <v>0</v>
      </c>
      <c r="J90" s="270">
        <v>0</v>
      </c>
      <c r="K90" s="270">
        <v>1</v>
      </c>
      <c r="L90" s="270">
        <v>0</v>
      </c>
      <c r="M90" s="270">
        <v>0</v>
      </c>
      <c r="N90" s="270">
        <v>0</v>
      </c>
      <c r="O90" s="270">
        <v>0</v>
      </c>
    </row>
    <row r="91" spans="1:15" x14ac:dyDescent="0.25">
      <c r="A91" s="117">
        <v>540070</v>
      </c>
      <c r="B91" s="2" t="s">
        <v>38</v>
      </c>
      <c r="C91" s="2" t="s">
        <v>39</v>
      </c>
      <c r="D91" s="2" t="s">
        <v>5</v>
      </c>
      <c r="E91" s="117">
        <v>3</v>
      </c>
      <c r="F91" s="117">
        <v>6112</v>
      </c>
      <c r="G91" s="117">
        <v>38</v>
      </c>
      <c r="H91" s="117">
        <v>0</v>
      </c>
      <c r="I91" s="117">
        <v>1</v>
      </c>
      <c r="J91" s="117">
        <v>1</v>
      </c>
      <c r="K91" s="117">
        <v>6071</v>
      </c>
      <c r="L91" s="117">
        <v>0</v>
      </c>
      <c r="M91" s="117">
        <v>0</v>
      </c>
      <c r="N91" s="117">
        <v>0</v>
      </c>
      <c r="O91" s="117">
        <v>1</v>
      </c>
    </row>
    <row r="92" spans="1:15" x14ac:dyDescent="0.25">
      <c r="A92" s="117">
        <v>540029</v>
      </c>
      <c r="B92" s="2" t="s">
        <v>134</v>
      </c>
      <c r="C92" s="2" t="s">
        <v>39</v>
      </c>
      <c r="D92" s="2" t="s">
        <v>115</v>
      </c>
      <c r="E92" s="117">
        <v>3</v>
      </c>
      <c r="F92" s="117">
        <v>4</v>
      </c>
      <c r="G92" s="117">
        <v>0</v>
      </c>
      <c r="H92" s="117">
        <v>0</v>
      </c>
      <c r="I92" s="117">
        <v>0</v>
      </c>
      <c r="J92" s="117">
        <v>0</v>
      </c>
      <c r="K92" s="117">
        <v>4</v>
      </c>
      <c r="L92" s="117">
        <v>0</v>
      </c>
      <c r="M92" s="117">
        <v>0</v>
      </c>
      <c r="N92" s="117">
        <v>0</v>
      </c>
      <c r="O92" s="117">
        <v>0</v>
      </c>
    </row>
    <row r="93" spans="1:15" x14ac:dyDescent="0.25">
      <c r="A93" s="117">
        <v>540071</v>
      </c>
      <c r="B93" s="2" t="s">
        <v>166</v>
      </c>
      <c r="C93" s="2" t="s">
        <v>39</v>
      </c>
      <c r="D93" s="2" t="s">
        <v>115</v>
      </c>
      <c r="E93" s="117">
        <v>3</v>
      </c>
      <c r="F93" s="117">
        <v>2</v>
      </c>
      <c r="G93" s="117">
        <v>0</v>
      </c>
      <c r="H93" s="117">
        <v>0</v>
      </c>
      <c r="I93" s="117">
        <v>0</v>
      </c>
      <c r="J93" s="117">
        <v>0</v>
      </c>
      <c r="K93" s="117">
        <v>2</v>
      </c>
      <c r="L93" s="117">
        <v>0</v>
      </c>
      <c r="M93" s="117">
        <v>0</v>
      </c>
      <c r="N93" s="117">
        <v>0</v>
      </c>
      <c r="O93" s="117">
        <v>0</v>
      </c>
    </row>
    <row r="94" spans="1:15" x14ac:dyDescent="0.25">
      <c r="A94" s="117">
        <v>540072</v>
      </c>
      <c r="B94" s="2" t="s">
        <v>167</v>
      </c>
      <c r="C94" s="2" t="s">
        <v>39</v>
      </c>
      <c r="D94" s="2" t="s">
        <v>115</v>
      </c>
      <c r="E94" s="117">
        <v>3</v>
      </c>
      <c r="F94" s="117">
        <v>0</v>
      </c>
      <c r="G94" s="117">
        <v>0</v>
      </c>
      <c r="H94" s="117">
        <v>0</v>
      </c>
      <c r="I94" s="117">
        <v>0</v>
      </c>
      <c r="J94" s="117">
        <v>0</v>
      </c>
      <c r="K94" s="117">
        <v>0</v>
      </c>
      <c r="L94" s="117">
        <v>0</v>
      </c>
      <c r="M94" s="117">
        <v>0</v>
      </c>
      <c r="N94" s="117">
        <v>0</v>
      </c>
      <c r="O94" s="117">
        <v>0</v>
      </c>
    </row>
    <row r="95" spans="1:15" x14ac:dyDescent="0.25">
      <c r="A95" s="117">
        <v>540073</v>
      </c>
      <c r="B95" s="2" t="s">
        <v>168</v>
      </c>
      <c r="C95" s="2" t="s">
        <v>39</v>
      </c>
      <c r="D95" s="2" t="s">
        <v>115</v>
      </c>
      <c r="E95" s="117">
        <v>3</v>
      </c>
      <c r="F95" s="117">
        <v>184</v>
      </c>
      <c r="G95" s="117">
        <v>0</v>
      </c>
      <c r="H95" s="117">
        <v>0</v>
      </c>
      <c r="I95" s="117">
        <v>0</v>
      </c>
      <c r="J95" s="117">
        <v>0</v>
      </c>
      <c r="K95" s="117">
        <v>184</v>
      </c>
      <c r="L95" s="117">
        <v>0</v>
      </c>
      <c r="M95" s="117">
        <v>0</v>
      </c>
      <c r="N95" s="117">
        <v>0</v>
      </c>
      <c r="O95" s="117">
        <v>0</v>
      </c>
    </row>
    <row r="96" spans="1:15" x14ac:dyDescent="0.25">
      <c r="A96" s="117">
        <v>540074</v>
      </c>
      <c r="B96" s="2" t="s">
        <v>169</v>
      </c>
      <c r="C96" s="2" t="s">
        <v>39</v>
      </c>
      <c r="D96" s="2" t="s">
        <v>115</v>
      </c>
      <c r="E96" s="117">
        <v>3</v>
      </c>
      <c r="F96" s="117">
        <v>0</v>
      </c>
      <c r="G96" s="117">
        <v>0</v>
      </c>
      <c r="H96" s="117">
        <v>0</v>
      </c>
      <c r="I96" s="117">
        <v>0</v>
      </c>
      <c r="J96" s="117">
        <v>0</v>
      </c>
      <c r="K96" s="117">
        <v>0</v>
      </c>
      <c r="L96" s="117">
        <v>0</v>
      </c>
      <c r="M96" s="117">
        <v>0</v>
      </c>
      <c r="N96" s="117">
        <v>0</v>
      </c>
      <c r="O96" s="117">
        <v>0</v>
      </c>
    </row>
    <row r="97" spans="1:15" x14ac:dyDescent="0.25">
      <c r="A97" s="117">
        <v>540075</v>
      </c>
      <c r="B97" s="2" t="s">
        <v>170</v>
      </c>
      <c r="C97" s="2" t="s">
        <v>39</v>
      </c>
      <c r="D97" s="2" t="s">
        <v>115</v>
      </c>
      <c r="E97" s="117">
        <v>3</v>
      </c>
      <c r="F97" s="117">
        <v>13</v>
      </c>
      <c r="G97" s="117">
        <v>0</v>
      </c>
      <c r="H97" s="117">
        <v>0</v>
      </c>
      <c r="I97" s="117">
        <v>0</v>
      </c>
      <c r="J97" s="117">
        <v>0</v>
      </c>
      <c r="K97" s="117">
        <v>13</v>
      </c>
      <c r="L97" s="117">
        <v>0</v>
      </c>
      <c r="M97" s="117">
        <v>0</v>
      </c>
      <c r="N97" s="117">
        <v>0</v>
      </c>
      <c r="O97" s="117">
        <v>0</v>
      </c>
    </row>
    <row r="98" spans="1:15" x14ac:dyDescent="0.25">
      <c r="A98" s="117">
        <v>540076</v>
      </c>
      <c r="B98" s="2" t="s">
        <v>171</v>
      </c>
      <c r="C98" s="2" t="s">
        <v>39</v>
      </c>
      <c r="D98" s="2" t="s">
        <v>115</v>
      </c>
      <c r="E98" s="117">
        <v>3</v>
      </c>
      <c r="F98" s="117">
        <v>22</v>
      </c>
      <c r="G98" s="117">
        <v>0</v>
      </c>
      <c r="H98" s="117">
        <v>0</v>
      </c>
      <c r="I98" s="117">
        <v>0</v>
      </c>
      <c r="J98" s="117">
        <v>0</v>
      </c>
      <c r="K98" s="117">
        <v>22</v>
      </c>
      <c r="L98" s="117">
        <v>0</v>
      </c>
      <c r="M98" s="117">
        <v>0</v>
      </c>
      <c r="N98" s="117">
        <v>0</v>
      </c>
      <c r="O98" s="117">
        <v>0</v>
      </c>
    </row>
    <row r="99" spans="1:15" x14ac:dyDescent="0.25">
      <c r="A99" s="117">
        <v>540077</v>
      </c>
      <c r="B99" s="2" t="s">
        <v>172</v>
      </c>
      <c r="C99" s="2" t="s">
        <v>39</v>
      </c>
      <c r="D99" s="2" t="s">
        <v>115</v>
      </c>
      <c r="E99" s="117">
        <v>3</v>
      </c>
      <c r="F99" s="117">
        <v>0</v>
      </c>
      <c r="G99" s="117">
        <v>0</v>
      </c>
      <c r="H99" s="117">
        <v>0</v>
      </c>
      <c r="I99" s="117">
        <v>0</v>
      </c>
      <c r="J99" s="117">
        <v>0</v>
      </c>
      <c r="K99" s="117">
        <v>0</v>
      </c>
      <c r="L99" s="117">
        <v>0</v>
      </c>
      <c r="M99" s="117">
        <v>0</v>
      </c>
      <c r="N99" s="117">
        <v>0</v>
      </c>
      <c r="O99" s="117">
        <v>0</v>
      </c>
    </row>
    <row r="100" spans="1:15" x14ac:dyDescent="0.25">
      <c r="A100" s="117">
        <v>540078</v>
      </c>
      <c r="B100" s="2" t="s">
        <v>173</v>
      </c>
      <c r="C100" s="2" t="s">
        <v>39</v>
      </c>
      <c r="D100" s="2" t="s">
        <v>115</v>
      </c>
      <c r="E100" s="117">
        <v>3</v>
      </c>
      <c r="F100" s="117">
        <v>0</v>
      </c>
      <c r="G100" s="117">
        <v>0</v>
      </c>
      <c r="H100" s="117">
        <v>0</v>
      </c>
      <c r="I100" s="117">
        <v>0</v>
      </c>
      <c r="J100" s="117">
        <v>0</v>
      </c>
      <c r="K100" s="117">
        <v>0</v>
      </c>
      <c r="L100" s="117">
        <v>0</v>
      </c>
      <c r="M100" s="117">
        <v>0</v>
      </c>
      <c r="N100" s="117">
        <v>0</v>
      </c>
      <c r="O100" s="117">
        <v>0</v>
      </c>
    </row>
    <row r="101" spans="1:15" x14ac:dyDescent="0.25">
      <c r="A101" s="117">
        <v>540079</v>
      </c>
      <c r="B101" s="2" t="s">
        <v>174</v>
      </c>
      <c r="C101" s="2" t="s">
        <v>39</v>
      </c>
      <c r="D101" s="2" t="s">
        <v>115</v>
      </c>
      <c r="E101" s="117">
        <v>3</v>
      </c>
      <c r="F101" s="117">
        <v>11</v>
      </c>
      <c r="G101" s="117">
        <v>0</v>
      </c>
      <c r="H101" s="117">
        <v>0</v>
      </c>
      <c r="I101" s="117">
        <v>0</v>
      </c>
      <c r="J101" s="117">
        <v>0</v>
      </c>
      <c r="K101" s="117">
        <v>11</v>
      </c>
      <c r="L101" s="117">
        <v>0</v>
      </c>
      <c r="M101" s="117">
        <v>0</v>
      </c>
      <c r="N101" s="117">
        <v>0</v>
      </c>
      <c r="O101" s="117">
        <v>0</v>
      </c>
    </row>
    <row r="102" spans="1:15" x14ac:dyDescent="0.25">
      <c r="A102" s="117">
        <v>540081</v>
      </c>
      <c r="B102" s="2" t="s">
        <v>176</v>
      </c>
      <c r="C102" s="2" t="s">
        <v>39</v>
      </c>
      <c r="D102" s="2" t="s">
        <v>115</v>
      </c>
      <c r="E102" s="117">
        <v>3</v>
      </c>
      <c r="F102" s="117">
        <v>48</v>
      </c>
      <c r="G102" s="117">
        <v>0</v>
      </c>
      <c r="H102" s="117">
        <v>0</v>
      </c>
      <c r="I102" s="117">
        <v>0</v>
      </c>
      <c r="J102" s="117">
        <v>0</v>
      </c>
      <c r="K102" s="117">
        <v>48</v>
      </c>
      <c r="L102" s="117">
        <v>0</v>
      </c>
      <c r="M102" s="117">
        <v>0</v>
      </c>
      <c r="N102" s="117">
        <v>0</v>
      </c>
      <c r="O102" s="117">
        <v>0</v>
      </c>
    </row>
    <row r="103" spans="1:15" x14ac:dyDescent="0.25">
      <c r="A103" s="117">
        <v>540082</v>
      </c>
      <c r="B103" s="2" t="s">
        <v>177</v>
      </c>
      <c r="C103" s="2" t="s">
        <v>39</v>
      </c>
      <c r="D103" s="2" t="s">
        <v>115</v>
      </c>
      <c r="E103" s="117">
        <v>3</v>
      </c>
      <c r="F103" s="117">
        <v>1</v>
      </c>
      <c r="G103" s="117">
        <v>0</v>
      </c>
      <c r="H103" s="117">
        <v>0</v>
      </c>
      <c r="I103" s="117">
        <v>0</v>
      </c>
      <c r="J103" s="117">
        <v>0</v>
      </c>
      <c r="K103" s="117">
        <v>1</v>
      </c>
      <c r="L103" s="117">
        <v>0</v>
      </c>
      <c r="M103" s="117">
        <v>0</v>
      </c>
      <c r="N103" s="117">
        <v>0</v>
      </c>
      <c r="O103" s="117">
        <v>0</v>
      </c>
    </row>
    <row r="104" spans="1:15" x14ac:dyDescent="0.25">
      <c r="A104" s="117">
        <v>540083</v>
      </c>
      <c r="B104" s="2" t="s">
        <v>178</v>
      </c>
      <c r="C104" s="2" t="s">
        <v>39</v>
      </c>
      <c r="D104" s="2" t="s">
        <v>115</v>
      </c>
      <c r="E104" s="117">
        <v>3</v>
      </c>
      <c r="F104" s="117">
        <v>12</v>
      </c>
      <c r="G104" s="117">
        <v>0</v>
      </c>
      <c r="H104" s="117">
        <v>0</v>
      </c>
      <c r="I104" s="117">
        <v>0</v>
      </c>
      <c r="J104" s="117">
        <v>0</v>
      </c>
      <c r="K104" s="117">
        <v>12</v>
      </c>
      <c r="L104" s="117">
        <v>0</v>
      </c>
      <c r="M104" s="117">
        <v>0</v>
      </c>
      <c r="N104" s="117">
        <v>0</v>
      </c>
      <c r="O104" s="117">
        <v>0</v>
      </c>
    </row>
    <row r="105" spans="1:15" x14ac:dyDescent="0.25">
      <c r="A105" s="117">
        <v>540223</v>
      </c>
      <c r="B105" s="2" t="s">
        <v>277</v>
      </c>
      <c r="C105" s="2" t="s">
        <v>39</v>
      </c>
      <c r="D105" s="2" t="s">
        <v>115</v>
      </c>
      <c r="E105" s="117">
        <v>3</v>
      </c>
      <c r="F105" s="117">
        <v>24</v>
      </c>
      <c r="G105" s="117">
        <v>0</v>
      </c>
      <c r="H105" s="117">
        <v>0</v>
      </c>
      <c r="I105" s="117">
        <v>0</v>
      </c>
      <c r="J105" s="117">
        <v>0</v>
      </c>
      <c r="K105" s="117">
        <v>24</v>
      </c>
      <c r="L105" s="117">
        <v>0</v>
      </c>
      <c r="M105" s="117">
        <v>0</v>
      </c>
      <c r="N105" s="117">
        <v>0</v>
      </c>
      <c r="O105" s="117">
        <v>0</v>
      </c>
    </row>
    <row r="106" spans="1:15" x14ac:dyDescent="0.25">
      <c r="A106" s="117">
        <v>540279</v>
      </c>
      <c r="B106" s="2" t="s">
        <v>320</v>
      </c>
      <c r="C106" s="2" t="s">
        <v>39</v>
      </c>
      <c r="D106" s="2" t="s">
        <v>115</v>
      </c>
      <c r="E106" s="117">
        <v>3</v>
      </c>
      <c r="F106" s="117">
        <v>14</v>
      </c>
      <c r="G106" s="117">
        <v>1</v>
      </c>
      <c r="H106" s="117">
        <v>0</v>
      </c>
      <c r="I106" s="117">
        <v>0</v>
      </c>
      <c r="J106" s="117">
        <v>0</v>
      </c>
      <c r="K106" s="117">
        <v>13</v>
      </c>
      <c r="L106" s="117">
        <v>0</v>
      </c>
      <c r="M106" s="117">
        <v>0</v>
      </c>
      <c r="N106" s="117">
        <v>0</v>
      </c>
      <c r="O106" s="117">
        <v>0</v>
      </c>
    </row>
    <row r="107" spans="1:15" x14ac:dyDescent="0.25">
      <c r="A107" s="117">
        <v>540033</v>
      </c>
      <c r="B107" s="2" t="s">
        <v>138</v>
      </c>
      <c r="C107" s="2" t="s">
        <v>39</v>
      </c>
      <c r="D107" s="2" t="s">
        <v>115</v>
      </c>
      <c r="E107" s="117">
        <v>3</v>
      </c>
      <c r="F107" s="117">
        <v>0</v>
      </c>
      <c r="G107" s="117">
        <v>0</v>
      </c>
      <c r="H107" s="117">
        <v>0</v>
      </c>
      <c r="I107" s="117">
        <v>0</v>
      </c>
      <c r="J107" s="117">
        <v>0</v>
      </c>
      <c r="K107" s="117">
        <v>0</v>
      </c>
      <c r="L107" s="117">
        <v>0</v>
      </c>
      <c r="M107" s="117">
        <v>0</v>
      </c>
      <c r="N107" s="117">
        <v>0</v>
      </c>
      <c r="O107" s="117">
        <v>0</v>
      </c>
    </row>
    <row r="108" spans="1:15" x14ac:dyDescent="0.25">
      <c r="A108" s="269"/>
      <c r="B108" s="269"/>
      <c r="C108" s="269" t="s">
        <v>39</v>
      </c>
      <c r="D108" s="269"/>
      <c r="E108" s="269"/>
      <c r="F108" s="270">
        <v>6447</v>
      </c>
      <c r="G108" s="270">
        <v>39</v>
      </c>
      <c r="H108" s="270">
        <v>0</v>
      </c>
      <c r="I108" s="270">
        <v>1</v>
      </c>
      <c r="J108" s="270">
        <v>1</v>
      </c>
      <c r="K108" s="270">
        <v>6405</v>
      </c>
      <c r="L108" s="270">
        <v>0</v>
      </c>
      <c r="M108" s="270">
        <v>0</v>
      </c>
      <c r="N108" s="270">
        <v>0</v>
      </c>
      <c r="O108" s="270">
        <v>1</v>
      </c>
    </row>
    <row r="109" spans="1:15" x14ac:dyDescent="0.25">
      <c r="A109" s="117">
        <v>540085</v>
      </c>
      <c r="B109" s="2" t="s">
        <v>40</v>
      </c>
      <c r="C109" s="2" t="s">
        <v>41</v>
      </c>
      <c r="D109" s="2" t="s">
        <v>5</v>
      </c>
      <c r="E109" s="117">
        <v>7</v>
      </c>
      <c r="F109" s="117">
        <v>0</v>
      </c>
      <c r="G109" s="117">
        <v>0</v>
      </c>
      <c r="H109" s="117">
        <v>0</v>
      </c>
      <c r="I109" s="117">
        <v>0</v>
      </c>
      <c r="J109" s="117">
        <v>0</v>
      </c>
      <c r="K109" s="117">
        <v>0</v>
      </c>
      <c r="L109" s="117">
        <v>0</v>
      </c>
      <c r="M109" s="117">
        <v>0</v>
      </c>
      <c r="N109" s="117">
        <v>0</v>
      </c>
      <c r="O109" s="117">
        <v>0</v>
      </c>
    </row>
    <row r="110" spans="1:15" x14ac:dyDescent="0.25">
      <c r="A110" s="117">
        <v>540086</v>
      </c>
      <c r="B110" s="2" t="s">
        <v>179</v>
      </c>
      <c r="C110" s="2" t="s">
        <v>41</v>
      </c>
      <c r="D110" s="2" t="s">
        <v>115</v>
      </c>
      <c r="E110" s="117">
        <v>7</v>
      </c>
      <c r="F110" s="117">
        <v>0</v>
      </c>
      <c r="G110" s="117">
        <v>0</v>
      </c>
      <c r="H110" s="117">
        <v>0</v>
      </c>
      <c r="I110" s="117">
        <v>0</v>
      </c>
      <c r="J110" s="117">
        <v>0</v>
      </c>
      <c r="K110" s="117">
        <v>0</v>
      </c>
      <c r="L110" s="117">
        <v>0</v>
      </c>
      <c r="M110" s="117">
        <v>0</v>
      </c>
      <c r="N110" s="117">
        <v>0</v>
      </c>
      <c r="O110" s="117">
        <v>0</v>
      </c>
    </row>
    <row r="111" spans="1:15" x14ac:dyDescent="0.25">
      <c r="A111" s="117">
        <v>540087</v>
      </c>
      <c r="B111" s="2" t="s">
        <v>180</v>
      </c>
      <c r="C111" s="2" t="s">
        <v>41</v>
      </c>
      <c r="D111" s="2" t="s">
        <v>115</v>
      </c>
      <c r="E111" s="117">
        <v>7</v>
      </c>
      <c r="F111" s="117">
        <v>0</v>
      </c>
      <c r="G111" s="117">
        <v>0</v>
      </c>
      <c r="H111" s="117">
        <v>0</v>
      </c>
      <c r="I111" s="117">
        <v>0</v>
      </c>
      <c r="J111" s="117">
        <v>0</v>
      </c>
      <c r="K111" s="117">
        <v>0</v>
      </c>
      <c r="L111" s="117">
        <v>0</v>
      </c>
      <c r="M111" s="117">
        <v>0</v>
      </c>
      <c r="N111" s="117">
        <v>0</v>
      </c>
      <c r="O111" s="117">
        <v>0</v>
      </c>
    </row>
    <row r="112" spans="1:15" x14ac:dyDescent="0.25">
      <c r="A112" s="269"/>
      <c r="B112" s="269"/>
      <c r="C112" s="269" t="s">
        <v>41</v>
      </c>
      <c r="D112" s="269"/>
      <c r="E112" s="269"/>
      <c r="F112" s="270">
        <v>0</v>
      </c>
      <c r="G112" s="270">
        <v>0</v>
      </c>
      <c r="H112" s="270">
        <v>0</v>
      </c>
      <c r="I112" s="270">
        <v>0</v>
      </c>
      <c r="J112" s="270">
        <v>0</v>
      </c>
      <c r="K112" s="270">
        <v>0</v>
      </c>
      <c r="L112" s="270">
        <v>0</v>
      </c>
      <c r="M112" s="270">
        <v>0</v>
      </c>
      <c r="N112" s="270">
        <v>0</v>
      </c>
      <c r="O112" s="270">
        <v>0</v>
      </c>
    </row>
    <row r="113" spans="1:15" x14ac:dyDescent="0.25">
      <c r="A113" s="117">
        <v>540088</v>
      </c>
      <c r="B113" s="2" t="s">
        <v>42</v>
      </c>
      <c r="C113" s="2" t="s">
        <v>43</v>
      </c>
      <c r="D113" s="2" t="s">
        <v>5</v>
      </c>
      <c r="E113" s="117">
        <v>2</v>
      </c>
      <c r="F113" s="117">
        <v>5407</v>
      </c>
      <c r="G113" s="117">
        <v>9</v>
      </c>
      <c r="H113" s="117">
        <v>0</v>
      </c>
      <c r="I113" s="117">
        <v>0</v>
      </c>
      <c r="J113" s="117">
        <v>0</v>
      </c>
      <c r="K113" s="117">
        <v>5398</v>
      </c>
      <c r="L113" s="117">
        <v>0</v>
      </c>
      <c r="M113" s="117">
        <v>0</v>
      </c>
      <c r="N113" s="117">
        <v>0</v>
      </c>
      <c r="O113" s="117">
        <v>0</v>
      </c>
    </row>
    <row r="114" spans="1:15" x14ac:dyDescent="0.25">
      <c r="A114" s="117">
        <v>540089</v>
      </c>
      <c r="B114" s="2" t="s">
        <v>181</v>
      </c>
      <c r="C114" s="2" t="s">
        <v>43</v>
      </c>
      <c r="D114" s="2" t="s">
        <v>115</v>
      </c>
      <c r="E114" s="117">
        <v>2</v>
      </c>
      <c r="F114" s="117">
        <v>3</v>
      </c>
      <c r="G114" s="117">
        <v>0</v>
      </c>
      <c r="H114" s="117">
        <v>0</v>
      </c>
      <c r="I114" s="117">
        <v>0</v>
      </c>
      <c r="J114" s="117">
        <v>0</v>
      </c>
      <c r="K114" s="117">
        <v>3</v>
      </c>
      <c r="L114" s="117">
        <v>0</v>
      </c>
      <c r="M114" s="117">
        <v>0</v>
      </c>
      <c r="N114" s="117">
        <v>0</v>
      </c>
      <c r="O114" s="117">
        <v>0</v>
      </c>
    </row>
    <row r="115" spans="1:15" x14ac:dyDescent="0.25">
      <c r="A115" s="117">
        <v>540090</v>
      </c>
      <c r="B115" s="2" t="s">
        <v>182</v>
      </c>
      <c r="C115" s="2" t="s">
        <v>43</v>
      </c>
      <c r="D115" s="2" t="s">
        <v>115</v>
      </c>
      <c r="E115" s="117">
        <v>2</v>
      </c>
      <c r="F115" s="117">
        <v>4</v>
      </c>
      <c r="G115" s="117">
        <v>0</v>
      </c>
      <c r="H115" s="117">
        <v>0</v>
      </c>
      <c r="I115" s="117">
        <v>0</v>
      </c>
      <c r="J115" s="117">
        <v>0</v>
      </c>
      <c r="K115" s="117">
        <v>4</v>
      </c>
      <c r="L115" s="117">
        <v>0</v>
      </c>
      <c r="M115" s="117">
        <v>0</v>
      </c>
      <c r="N115" s="117">
        <v>0</v>
      </c>
      <c r="O115" s="117">
        <v>0</v>
      </c>
    </row>
    <row r="116" spans="1:15" x14ac:dyDescent="0.25">
      <c r="A116" s="269"/>
      <c r="B116" s="269"/>
      <c r="C116" s="269" t="s">
        <v>43</v>
      </c>
      <c r="D116" s="269"/>
      <c r="E116" s="269"/>
      <c r="F116" s="270">
        <v>5414</v>
      </c>
      <c r="G116" s="270">
        <v>9</v>
      </c>
      <c r="H116" s="270">
        <v>0</v>
      </c>
      <c r="I116" s="270">
        <v>0</v>
      </c>
      <c r="J116" s="270">
        <v>0</v>
      </c>
      <c r="K116" s="270">
        <v>5405</v>
      </c>
      <c r="L116" s="270">
        <v>0</v>
      </c>
      <c r="M116" s="270">
        <v>0</v>
      </c>
      <c r="N116" s="270">
        <v>0</v>
      </c>
      <c r="O116" s="270">
        <v>0</v>
      </c>
    </row>
    <row r="117" spans="1:15" x14ac:dyDescent="0.25">
      <c r="A117" s="117">
        <v>540097</v>
      </c>
      <c r="B117" s="2" t="s">
        <v>44</v>
      </c>
      <c r="C117" s="2" t="s">
        <v>45</v>
      </c>
      <c r="D117" s="2" t="s">
        <v>5</v>
      </c>
      <c r="E117" s="117">
        <v>6</v>
      </c>
      <c r="F117" s="117">
        <v>696</v>
      </c>
      <c r="G117" s="117">
        <v>11</v>
      </c>
      <c r="H117" s="117">
        <v>1</v>
      </c>
      <c r="I117" s="117">
        <v>0</v>
      </c>
      <c r="J117" s="117">
        <v>0</v>
      </c>
      <c r="K117" s="117">
        <v>684</v>
      </c>
      <c r="L117" s="117">
        <v>0</v>
      </c>
      <c r="M117" s="117">
        <v>0</v>
      </c>
      <c r="N117" s="117">
        <v>0</v>
      </c>
      <c r="O117" s="117">
        <v>0</v>
      </c>
    </row>
    <row r="118" spans="1:15" x14ac:dyDescent="0.25">
      <c r="A118" s="117">
        <v>540098</v>
      </c>
      <c r="B118" s="2" t="s">
        <v>187</v>
      </c>
      <c r="C118" s="2" t="s">
        <v>45</v>
      </c>
      <c r="D118" s="2" t="s">
        <v>115</v>
      </c>
      <c r="E118" s="117">
        <v>6</v>
      </c>
      <c r="F118" s="117">
        <v>0</v>
      </c>
      <c r="G118" s="117">
        <v>0</v>
      </c>
      <c r="H118" s="117">
        <v>0</v>
      </c>
      <c r="I118" s="117">
        <v>0</v>
      </c>
      <c r="J118" s="117">
        <v>0</v>
      </c>
      <c r="K118" s="117">
        <v>0</v>
      </c>
      <c r="L118" s="117">
        <v>0</v>
      </c>
      <c r="M118" s="117">
        <v>0</v>
      </c>
      <c r="N118" s="117">
        <v>0</v>
      </c>
      <c r="O118" s="117">
        <v>0</v>
      </c>
    </row>
    <row r="119" spans="1:15" x14ac:dyDescent="0.25">
      <c r="A119" s="117">
        <v>540099</v>
      </c>
      <c r="B119" s="2" t="s">
        <v>188</v>
      </c>
      <c r="C119" s="2" t="s">
        <v>45</v>
      </c>
      <c r="D119" s="2" t="s">
        <v>115</v>
      </c>
      <c r="E119" s="117">
        <v>6</v>
      </c>
      <c r="F119" s="117">
        <v>4</v>
      </c>
      <c r="G119" s="117">
        <v>0</v>
      </c>
      <c r="H119" s="117">
        <v>0</v>
      </c>
      <c r="I119" s="117">
        <v>0</v>
      </c>
      <c r="J119" s="117">
        <v>0</v>
      </c>
      <c r="K119" s="117">
        <v>4</v>
      </c>
      <c r="L119" s="117">
        <v>0</v>
      </c>
      <c r="M119" s="117">
        <v>0</v>
      </c>
      <c r="N119" s="117">
        <v>0</v>
      </c>
      <c r="O119" s="117">
        <v>0</v>
      </c>
    </row>
    <row r="120" spans="1:15" x14ac:dyDescent="0.25">
      <c r="A120" s="117">
        <v>540100</v>
      </c>
      <c r="B120" s="2" t="s">
        <v>189</v>
      </c>
      <c r="C120" s="2" t="s">
        <v>45</v>
      </c>
      <c r="D120" s="2" t="s">
        <v>115</v>
      </c>
      <c r="E120" s="117">
        <v>6</v>
      </c>
      <c r="F120" s="117">
        <v>0</v>
      </c>
      <c r="G120" s="117">
        <v>0</v>
      </c>
      <c r="H120" s="117">
        <v>0</v>
      </c>
      <c r="I120" s="117">
        <v>0</v>
      </c>
      <c r="J120" s="117">
        <v>0</v>
      </c>
      <c r="K120" s="117">
        <v>0</v>
      </c>
      <c r="L120" s="117">
        <v>0</v>
      </c>
      <c r="M120" s="117">
        <v>0</v>
      </c>
      <c r="N120" s="117">
        <v>0</v>
      </c>
      <c r="O120" s="117">
        <v>0</v>
      </c>
    </row>
    <row r="121" spans="1:15" x14ac:dyDescent="0.25">
      <c r="A121" s="117">
        <v>540101</v>
      </c>
      <c r="B121" s="2" t="s">
        <v>190</v>
      </c>
      <c r="C121" s="2" t="s">
        <v>45</v>
      </c>
      <c r="D121" s="2" t="s">
        <v>115</v>
      </c>
      <c r="E121" s="117">
        <v>6</v>
      </c>
      <c r="F121" s="117">
        <v>0</v>
      </c>
      <c r="G121" s="117">
        <v>0</v>
      </c>
      <c r="H121" s="117">
        <v>0</v>
      </c>
      <c r="I121" s="117">
        <v>0</v>
      </c>
      <c r="J121" s="117">
        <v>0</v>
      </c>
      <c r="K121" s="117">
        <v>0</v>
      </c>
      <c r="L121" s="117">
        <v>0</v>
      </c>
      <c r="M121" s="117">
        <v>0</v>
      </c>
      <c r="N121" s="117">
        <v>0</v>
      </c>
      <c r="O121" s="117">
        <v>0</v>
      </c>
    </row>
    <row r="122" spans="1:15" x14ac:dyDescent="0.25">
      <c r="A122" s="117">
        <v>540102</v>
      </c>
      <c r="B122" s="2" t="s">
        <v>191</v>
      </c>
      <c r="C122" s="2" t="s">
        <v>45</v>
      </c>
      <c r="D122" s="2" t="s">
        <v>115</v>
      </c>
      <c r="E122" s="117">
        <v>6</v>
      </c>
      <c r="F122" s="117">
        <v>0</v>
      </c>
      <c r="G122" s="117">
        <v>0</v>
      </c>
      <c r="H122" s="117">
        <v>0</v>
      </c>
      <c r="I122" s="117">
        <v>0</v>
      </c>
      <c r="J122" s="117">
        <v>0</v>
      </c>
      <c r="K122" s="117">
        <v>0</v>
      </c>
      <c r="L122" s="117">
        <v>0</v>
      </c>
      <c r="M122" s="117">
        <v>0</v>
      </c>
      <c r="N122" s="117">
        <v>0</v>
      </c>
      <c r="O122" s="117">
        <v>0</v>
      </c>
    </row>
    <row r="123" spans="1:15" x14ac:dyDescent="0.25">
      <c r="A123" s="117">
        <v>540103</v>
      </c>
      <c r="B123" s="2" t="s">
        <v>192</v>
      </c>
      <c r="C123" s="2" t="s">
        <v>45</v>
      </c>
      <c r="D123" s="2" t="s">
        <v>115</v>
      </c>
      <c r="E123" s="117">
        <v>6</v>
      </c>
      <c r="F123" s="117">
        <v>2</v>
      </c>
      <c r="G123" s="117">
        <v>0</v>
      </c>
      <c r="H123" s="117">
        <v>0</v>
      </c>
      <c r="I123" s="117">
        <v>0</v>
      </c>
      <c r="J123" s="117">
        <v>0</v>
      </c>
      <c r="K123" s="117">
        <v>2</v>
      </c>
      <c r="L123" s="117">
        <v>0</v>
      </c>
      <c r="M123" s="117">
        <v>0</v>
      </c>
      <c r="N123" s="117">
        <v>0</v>
      </c>
      <c r="O123" s="117">
        <v>0</v>
      </c>
    </row>
    <row r="124" spans="1:15" x14ac:dyDescent="0.25">
      <c r="A124" s="117">
        <v>540104</v>
      </c>
      <c r="B124" s="2" t="s">
        <v>193</v>
      </c>
      <c r="C124" s="2" t="s">
        <v>45</v>
      </c>
      <c r="D124" s="2" t="s">
        <v>115</v>
      </c>
      <c r="E124" s="117">
        <v>6</v>
      </c>
      <c r="F124" s="117">
        <v>0</v>
      </c>
      <c r="G124" s="117">
        <v>0</v>
      </c>
      <c r="H124" s="117">
        <v>0</v>
      </c>
      <c r="I124" s="117">
        <v>0</v>
      </c>
      <c r="J124" s="117">
        <v>0</v>
      </c>
      <c r="K124" s="117">
        <v>0</v>
      </c>
      <c r="L124" s="117">
        <v>0</v>
      </c>
      <c r="M124" s="117">
        <v>0</v>
      </c>
      <c r="N124" s="117">
        <v>0</v>
      </c>
      <c r="O124" s="117">
        <v>0</v>
      </c>
    </row>
    <row r="125" spans="1:15" x14ac:dyDescent="0.25">
      <c r="A125" s="117">
        <v>540105</v>
      </c>
      <c r="B125" s="2" t="s">
        <v>194</v>
      </c>
      <c r="C125" s="2" t="s">
        <v>45</v>
      </c>
      <c r="D125" s="2" t="s">
        <v>115</v>
      </c>
      <c r="E125" s="117">
        <v>6</v>
      </c>
      <c r="F125" s="117">
        <v>1</v>
      </c>
      <c r="G125" s="117">
        <v>0</v>
      </c>
      <c r="H125" s="117">
        <v>0</v>
      </c>
      <c r="I125" s="117">
        <v>0</v>
      </c>
      <c r="J125" s="117">
        <v>0</v>
      </c>
      <c r="K125" s="117">
        <v>1</v>
      </c>
      <c r="L125" s="117">
        <v>0</v>
      </c>
      <c r="M125" s="117">
        <v>0</v>
      </c>
      <c r="N125" s="117">
        <v>0</v>
      </c>
      <c r="O125" s="117">
        <v>0</v>
      </c>
    </row>
    <row r="126" spans="1:15" x14ac:dyDescent="0.25">
      <c r="A126" s="117">
        <v>540106</v>
      </c>
      <c r="B126" s="2" t="s">
        <v>195</v>
      </c>
      <c r="C126" s="2" t="s">
        <v>45</v>
      </c>
      <c r="D126" s="2" t="s">
        <v>115</v>
      </c>
      <c r="E126" s="117">
        <v>6</v>
      </c>
      <c r="F126" s="117">
        <v>1</v>
      </c>
      <c r="G126" s="117">
        <v>0</v>
      </c>
      <c r="H126" s="117">
        <v>0</v>
      </c>
      <c r="I126" s="117">
        <v>0</v>
      </c>
      <c r="J126" s="117">
        <v>0</v>
      </c>
      <c r="K126" s="117">
        <v>1</v>
      </c>
      <c r="L126" s="117">
        <v>0</v>
      </c>
      <c r="M126" s="117">
        <v>0</v>
      </c>
      <c r="N126" s="117">
        <v>0</v>
      </c>
      <c r="O126" s="117">
        <v>0</v>
      </c>
    </row>
    <row r="127" spans="1:15" x14ac:dyDescent="0.25">
      <c r="A127" s="117">
        <v>540292</v>
      </c>
      <c r="B127" s="2" t="s">
        <v>329</v>
      </c>
      <c r="C127" s="2" t="s">
        <v>45</v>
      </c>
      <c r="D127" s="2" t="s">
        <v>115</v>
      </c>
      <c r="E127" s="117">
        <v>6</v>
      </c>
      <c r="F127" s="117">
        <v>1</v>
      </c>
      <c r="G127" s="117">
        <v>0</v>
      </c>
      <c r="H127" s="117">
        <v>0</v>
      </c>
      <c r="I127" s="117">
        <v>0</v>
      </c>
      <c r="J127" s="117">
        <v>0</v>
      </c>
      <c r="K127" s="117">
        <v>1</v>
      </c>
      <c r="L127" s="117">
        <v>0</v>
      </c>
      <c r="M127" s="117">
        <v>0</v>
      </c>
      <c r="N127" s="117">
        <v>0</v>
      </c>
      <c r="O127" s="117">
        <v>0</v>
      </c>
    </row>
    <row r="128" spans="1:15" x14ac:dyDescent="0.25">
      <c r="A128" s="117">
        <v>545556</v>
      </c>
      <c r="B128" s="2" t="s">
        <v>337</v>
      </c>
      <c r="C128" s="2" t="s">
        <v>45</v>
      </c>
      <c r="D128" s="2" t="s">
        <v>115</v>
      </c>
      <c r="E128" s="117">
        <v>6</v>
      </c>
      <c r="F128" s="117">
        <v>1</v>
      </c>
      <c r="G128" s="117">
        <v>0</v>
      </c>
      <c r="H128" s="117">
        <v>0</v>
      </c>
      <c r="I128" s="117">
        <v>0</v>
      </c>
      <c r="J128" s="117">
        <v>0</v>
      </c>
      <c r="K128" s="117">
        <v>1</v>
      </c>
      <c r="L128" s="117">
        <v>0</v>
      </c>
      <c r="M128" s="117">
        <v>0</v>
      </c>
      <c r="N128" s="117">
        <v>0</v>
      </c>
      <c r="O128" s="117">
        <v>0</v>
      </c>
    </row>
    <row r="129" spans="1:15" x14ac:dyDescent="0.25">
      <c r="A129" s="269"/>
      <c r="B129" s="269"/>
      <c r="C129" s="269" t="s">
        <v>45</v>
      </c>
      <c r="D129" s="269"/>
      <c r="E129" s="269"/>
      <c r="F129" s="270">
        <v>706</v>
      </c>
      <c r="G129" s="270">
        <v>11</v>
      </c>
      <c r="H129" s="270">
        <v>1</v>
      </c>
      <c r="I129" s="270">
        <v>0</v>
      </c>
      <c r="J129" s="270">
        <v>0</v>
      </c>
      <c r="K129" s="270">
        <v>694</v>
      </c>
      <c r="L129" s="270">
        <v>0</v>
      </c>
      <c r="M129" s="270">
        <v>0</v>
      </c>
      <c r="N129" s="270">
        <v>0</v>
      </c>
      <c r="O129" s="270">
        <v>0</v>
      </c>
    </row>
    <row r="130" spans="1:15" x14ac:dyDescent="0.25">
      <c r="A130" s="117">
        <v>540107</v>
      </c>
      <c r="B130" s="2" t="s">
        <v>46</v>
      </c>
      <c r="C130" s="2" t="s">
        <v>47</v>
      </c>
      <c r="D130" s="2" t="s">
        <v>5</v>
      </c>
      <c r="E130" s="117">
        <v>10</v>
      </c>
      <c r="F130" s="117">
        <v>4</v>
      </c>
      <c r="G130" s="117">
        <v>0</v>
      </c>
      <c r="H130" s="117">
        <v>0</v>
      </c>
      <c r="I130" s="117">
        <v>0</v>
      </c>
      <c r="J130" s="117">
        <v>0</v>
      </c>
      <c r="K130" s="117">
        <v>4</v>
      </c>
      <c r="L130" s="117">
        <v>0</v>
      </c>
      <c r="M130" s="117">
        <v>0</v>
      </c>
      <c r="N130" s="117">
        <v>0</v>
      </c>
      <c r="O130" s="117">
        <v>0</v>
      </c>
    </row>
    <row r="131" spans="1:15" x14ac:dyDescent="0.25">
      <c r="A131" s="117">
        <v>540108</v>
      </c>
      <c r="B131" s="2" t="s">
        <v>196</v>
      </c>
      <c r="C131" s="2" t="s">
        <v>47</v>
      </c>
      <c r="D131" s="2" t="s">
        <v>115</v>
      </c>
      <c r="E131" s="117">
        <v>10</v>
      </c>
      <c r="F131" s="117">
        <v>0</v>
      </c>
      <c r="G131" s="117">
        <v>0</v>
      </c>
      <c r="H131" s="117">
        <v>0</v>
      </c>
      <c r="I131" s="117">
        <v>0</v>
      </c>
      <c r="J131" s="117">
        <v>0</v>
      </c>
      <c r="K131" s="117">
        <v>0</v>
      </c>
      <c r="L131" s="117">
        <v>0</v>
      </c>
      <c r="M131" s="117">
        <v>0</v>
      </c>
      <c r="N131" s="117">
        <v>0</v>
      </c>
      <c r="O131" s="117">
        <v>0</v>
      </c>
    </row>
    <row r="132" spans="1:15" x14ac:dyDescent="0.25">
      <c r="A132" s="117">
        <v>540109</v>
      </c>
      <c r="B132" s="2" t="s">
        <v>197</v>
      </c>
      <c r="C132" s="2" t="s">
        <v>47</v>
      </c>
      <c r="D132" s="2" t="s">
        <v>115</v>
      </c>
      <c r="E132" s="117">
        <v>10</v>
      </c>
      <c r="F132" s="117">
        <v>0</v>
      </c>
      <c r="G132" s="117">
        <v>0</v>
      </c>
      <c r="H132" s="117">
        <v>0</v>
      </c>
      <c r="I132" s="117">
        <v>0</v>
      </c>
      <c r="J132" s="117">
        <v>0</v>
      </c>
      <c r="K132" s="117">
        <v>0</v>
      </c>
      <c r="L132" s="117">
        <v>0</v>
      </c>
      <c r="M132" s="117">
        <v>0</v>
      </c>
      <c r="N132" s="117">
        <v>0</v>
      </c>
      <c r="O132" s="117">
        <v>0</v>
      </c>
    </row>
    <row r="133" spans="1:15" x14ac:dyDescent="0.25">
      <c r="A133" s="117">
        <v>540110</v>
      </c>
      <c r="B133" s="2" t="s">
        <v>198</v>
      </c>
      <c r="C133" s="2" t="s">
        <v>47</v>
      </c>
      <c r="D133" s="2" t="s">
        <v>115</v>
      </c>
      <c r="E133" s="117">
        <v>10</v>
      </c>
      <c r="F133" s="117">
        <v>0</v>
      </c>
      <c r="G133" s="117">
        <v>0</v>
      </c>
      <c r="H133" s="117">
        <v>0</v>
      </c>
      <c r="I133" s="117">
        <v>0</v>
      </c>
      <c r="J133" s="117">
        <v>0</v>
      </c>
      <c r="K133" s="117">
        <v>0</v>
      </c>
      <c r="L133" s="117">
        <v>0</v>
      </c>
      <c r="M133" s="117">
        <v>0</v>
      </c>
      <c r="N133" s="117">
        <v>0</v>
      </c>
      <c r="O133" s="117">
        <v>0</v>
      </c>
    </row>
    <row r="134" spans="1:15" x14ac:dyDescent="0.25">
      <c r="A134" s="117">
        <v>540111</v>
      </c>
      <c r="B134" s="2" t="s">
        <v>199</v>
      </c>
      <c r="C134" s="2" t="s">
        <v>47</v>
      </c>
      <c r="D134" s="2" t="s">
        <v>115</v>
      </c>
      <c r="E134" s="117">
        <v>10</v>
      </c>
      <c r="F134" s="117">
        <v>0</v>
      </c>
      <c r="G134" s="117">
        <v>0</v>
      </c>
      <c r="H134" s="117">
        <v>0</v>
      </c>
      <c r="I134" s="117">
        <v>0</v>
      </c>
      <c r="J134" s="117">
        <v>0</v>
      </c>
      <c r="K134" s="117">
        <v>0</v>
      </c>
      <c r="L134" s="117">
        <v>0</v>
      </c>
      <c r="M134" s="117">
        <v>0</v>
      </c>
      <c r="N134" s="117">
        <v>0</v>
      </c>
      <c r="O134" s="117">
        <v>0</v>
      </c>
    </row>
    <row r="135" spans="1:15" x14ac:dyDescent="0.25">
      <c r="A135" s="117">
        <v>540287</v>
      </c>
      <c r="B135" s="2" t="s">
        <v>326</v>
      </c>
      <c r="C135" s="2" t="s">
        <v>47</v>
      </c>
      <c r="D135" s="2" t="s">
        <v>115</v>
      </c>
      <c r="E135" s="117">
        <v>10</v>
      </c>
      <c r="F135" s="117">
        <v>0</v>
      </c>
      <c r="G135" s="117">
        <v>0</v>
      </c>
      <c r="H135" s="117">
        <v>0</v>
      </c>
      <c r="I135" s="117">
        <v>0</v>
      </c>
      <c r="J135" s="117">
        <v>0</v>
      </c>
      <c r="K135" s="117">
        <v>0</v>
      </c>
      <c r="L135" s="117">
        <v>0</v>
      </c>
      <c r="M135" s="117">
        <v>0</v>
      </c>
      <c r="N135" s="117">
        <v>0</v>
      </c>
      <c r="O135" s="117">
        <v>0</v>
      </c>
    </row>
    <row r="136" spans="1:15" x14ac:dyDescent="0.25">
      <c r="A136" s="117">
        <v>540152</v>
      </c>
      <c r="B136" s="2" t="s">
        <v>229</v>
      </c>
      <c r="C136" s="2" t="s">
        <v>47</v>
      </c>
      <c r="D136" s="2" t="s">
        <v>115</v>
      </c>
      <c r="E136" s="117">
        <v>10</v>
      </c>
      <c r="F136" s="117">
        <v>0</v>
      </c>
      <c r="G136" s="117">
        <v>0</v>
      </c>
      <c r="H136" s="117">
        <v>0</v>
      </c>
      <c r="I136" s="117">
        <v>0</v>
      </c>
      <c r="J136" s="117">
        <v>0</v>
      </c>
      <c r="K136" s="117">
        <v>0</v>
      </c>
      <c r="L136" s="117">
        <v>0</v>
      </c>
      <c r="M136" s="117">
        <v>0</v>
      </c>
      <c r="N136" s="117">
        <v>0</v>
      </c>
      <c r="O136" s="117">
        <v>0</v>
      </c>
    </row>
    <row r="137" spans="1:15" x14ac:dyDescent="0.25">
      <c r="A137" s="269"/>
      <c r="B137" s="269"/>
      <c r="C137" s="269" t="s">
        <v>47</v>
      </c>
      <c r="D137" s="269"/>
      <c r="E137" s="269"/>
      <c r="F137" s="270">
        <v>4</v>
      </c>
      <c r="G137" s="270">
        <v>0</v>
      </c>
      <c r="H137" s="270">
        <v>0</v>
      </c>
      <c r="I137" s="270">
        <v>0</v>
      </c>
      <c r="J137" s="270">
        <v>0</v>
      </c>
      <c r="K137" s="270">
        <v>4</v>
      </c>
      <c r="L137" s="270">
        <v>0</v>
      </c>
      <c r="M137" s="270">
        <v>0</v>
      </c>
      <c r="N137" s="270">
        <v>0</v>
      </c>
      <c r="O137" s="270">
        <v>0</v>
      </c>
    </row>
    <row r="138" spans="1:15" x14ac:dyDescent="0.25">
      <c r="A138" s="117">
        <v>540112</v>
      </c>
      <c r="B138" s="2" t="s">
        <v>48</v>
      </c>
      <c r="C138" s="2" t="s">
        <v>49</v>
      </c>
      <c r="D138" s="2" t="s">
        <v>5</v>
      </c>
      <c r="E138" s="117">
        <v>2</v>
      </c>
      <c r="F138" s="117">
        <v>4222</v>
      </c>
      <c r="G138" s="117">
        <v>6</v>
      </c>
      <c r="H138" s="117">
        <v>0</v>
      </c>
      <c r="I138" s="117">
        <v>0</v>
      </c>
      <c r="J138" s="117">
        <v>1</v>
      </c>
      <c r="K138" s="117">
        <v>4215</v>
      </c>
      <c r="L138" s="117">
        <v>0</v>
      </c>
      <c r="M138" s="117">
        <v>0</v>
      </c>
      <c r="N138" s="117">
        <v>0</v>
      </c>
      <c r="O138" s="117">
        <v>0</v>
      </c>
    </row>
    <row r="139" spans="1:15" x14ac:dyDescent="0.25">
      <c r="A139" s="117">
        <v>540113</v>
      </c>
      <c r="B139" s="2" t="s">
        <v>200</v>
      </c>
      <c r="C139" s="2" t="s">
        <v>49</v>
      </c>
      <c r="D139" s="2" t="s">
        <v>115</v>
      </c>
      <c r="E139" s="117">
        <v>2</v>
      </c>
      <c r="F139" s="117">
        <v>0</v>
      </c>
      <c r="G139" s="117">
        <v>0</v>
      </c>
      <c r="H139" s="117">
        <v>0</v>
      </c>
      <c r="I139" s="117">
        <v>0</v>
      </c>
      <c r="J139" s="117">
        <v>0</v>
      </c>
      <c r="K139" s="117">
        <v>0</v>
      </c>
      <c r="L139" s="117">
        <v>0</v>
      </c>
      <c r="M139" s="117">
        <v>0</v>
      </c>
      <c r="N139" s="117">
        <v>0</v>
      </c>
      <c r="O139" s="117">
        <v>0</v>
      </c>
    </row>
    <row r="140" spans="1:15" x14ac:dyDescent="0.25">
      <c r="A140" s="117">
        <v>540247</v>
      </c>
      <c r="B140" s="2" t="s">
        <v>293</v>
      </c>
      <c r="C140" s="2" t="s">
        <v>49</v>
      </c>
      <c r="D140" s="2" t="s">
        <v>115</v>
      </c>
      <c r="E140" s="117">
        <v>2</v>
      </c>
      <c r="F140" s="117">
        <v>0</v>
      </c>
      <c r="G140" s="117">
        <v>0</v>
      </c>
      <c r="H140" s="117">
        <v>0</v>
      </c>
      <c r="I140" s="117">
        <v>0</v>
      </c>
      <c r="J140" s="117">
        <v>0</v>
      </c>
      <c r="K140" s="117">
        <v>0</v>
      </c>
      <c r="L140" s="117">
        <v>0</v>
      </c>
      <c r="M140" s="117">
        <v>0</v>
      </c>
      <c r="N140" s="117">
        <v>0</v>
      </c>
      <c r="O140" s="117">
        <v>0</v>
      </c>
    </row>
    <row r="141" spans="1:15" x14ac:dyDescent="0.25">
      <c r="A141" s="117">
        <v>540248</v>
      </c>
      <c r="B141" s="2" t="s">
        <v>294</v>
      </c>
      <c r="C141" s="2" t="s">
        <v>49</v>
      </c>
      <c r="D141" s="2" t="s">
        <v>115</v>
      </c>
      <c r="E141" s="117">
        <v>2</v>
      </c>
      <c r="F141" s="117">
        <v>0</v>
      </c>
      <c r="G141" s="117">
        <v>0</v>
      </c>
      <c r="H141" s="117">
        <v>0</v>
      </c>
      <c r="I141" s="117">
        <v>0</v>
      </c>
      <c r="J141" s="117">
        <v>0</v>
      </c>
      <c r="K141" s="117">
        <v>0</v>
      </c>
      <c r="L141" s="117">
        <v>0</v>
      </c>
      <c r="M141" s="117">
        <v>0</v>
      </c>
      <c r="N141" s="117">
        <v>0</v>
      </c>
      <c r="O141" s="117">
        <v>0</v>
      </c>
    </row>
    <row r="142" spans="1:15" x14ac:dyDescent="0.25">
      <c r="A142" s="117">
        <v>540249</v>
      </c>
      <c r="B142" s="2" t="s">
        <v>295</v>
      </c>
      <c r="C142" s="2" t="s">
        <v>49</v>
      </c>
      <c r="D142" s="2" t="s">
        <v>115</v>
      </c>
      <c r="E142" s="117">
        <v>2</v>
      </c>
      <c r="F142" s="117">
        <v>0</v>
      </c>
      <c r="G142" s="117">
        <v>0</v>
      </c>
      <c r="H142" s="117">
        <v>0</v>
      </c>
      <c r="I142" s="117">
        <v>0</v>
      </c>
      <c r="J142" s="117">
        <v>0</v>
      </c>
      <c r="K142" s="117">
        <v>0</v>
      </c>
      <c r="L142" s="117">
        <v>0</v>
      </c>
      <c r="M142" s="117">
        <v>0</v>
      </c>
      <c r="N142" s="117">
        <v>0</v>
      </c>
      <c r="O142" s="117">
        <v>0</v>
      </c>
    </row>
    <row r="143" spans="1:15" x14ac:dyDescent="0.25">
      <c r="A143" s="117">
        <v>540250</v>
      </c>
      <c r="B143" s="2" t="s">
        <v>296</v>
      </c>
      <c r="C143" s="2" t="s">
        <v>49</v>
      </c>
      <c r="D143" s="2" t="s">
        <v>115</v>
      </c>
      <c r="E143" s="117">
        <v>2</v>
      </c>
      <c r="F143" s="117">
        <v>0</v>
      </c>
      <c r="G143" s="117">
        <v>0</v>
      </c>
      <c r="H143" s="117">
        <v>0</v>
      </c>
      <c r="I143" s="117">
        <v>0</v>
      </c>
      <c r="J143" s="117">
        <v>0</v>
      </c>
      <c r="K143" s="117">
        <v>0</v>
      </c>
      <c r="L143" s="117">
        <v>0</v>
      </c>
      <c r="M143" s="117">
        <v>0</v>
      </c>
      <c r="N143" s="117">
        <v>0</v>
      </c>
      <c r="O143" s="117">
        <v>0</v>
      </c>
    </row>
    <row r="144" spans="1:15" x14ac:dyDescent="0.25">
      <c r="A144" s="117">
        <v>540251</v>
      </c>
      <c r="B144" s="2" t="s">
        <v>297</v>
      </c>
      <c r="C144" s="2" t="s">
        <v>49</v>
      </c>
      <c r="D144" s="2" t="s">
        <v>115</v>
      </c>
      <c r="E144" s="117">
        <v>2</v>
      </c>
      <c r="F144" s="117">
        <v>0</v>
      </c>
      <c r="G144" s="117">
        <v>0</v>
      </c>
      <c r="H144" s="117">
        <v>0</v>
      </c>
      <c r="I144" s="117">
        <v>0</v>
      </c>
      <c r="J144" s="117">
        <v>0</v>
      </c>
      <c r="K144" s="117">
        <v>0</v>
      </c>
      <c r="L144" s="117">
        <v>0</v>
      </c>
      <c r="M144" s="117">
        <v>0</v>
      </c>
      <c r="N144" s="117">
        <v>0</v>
      </c>
      <c r="O144" s="117">
        <v>0</v>
      </c>
    </row>
    <row r="145" spans="1:15" x14ac:dyDescent="0.25">
      <c r="A145" s="269"/>
      <c r="B145" s="269"/>
      <c r="C145" s="269" t="s">
        <v>49</v>
      </c>
      <c r="D145" s="269"/>
      <c r="E145" s="269"/>
      <c r="F145" s="270">
        <v>4222</v>
      </c>
      <c r="G145" s="270">
        <v>6</v>
      </c>
      <c r="H145" s="270">
        <v>0</v>
      </c>
      <c r="I145" s="270">
        <v>0</v>
      </c>
      <c r="J145" s="270">
        <v>1</v>
      </c>
      <c r="K145" s="270">
        <v>4215</v>
      </c>
      <c r="L145" s="270">
        <v>0</v>
      </c>
      <c r="M145" s="270">
        <v>0</v>
      </c>
      <c r="N145" s="270">
        <v>0</v>
      </c>
      <c r="O145" s="270">
        <v>0</v>
      </c>
    </row>
    <row r="146" spans="1:15" x14ac:dyDescent="0.25">
      <c r="A146" s="117">
        <v>540114</v>
      </c>
      <c r="B146" s="2" t="s">
        <v>50</v>
      </c>
      <c r="C146" s="2" t="s">
        <v>51</v>
      </c>
      <c r="D146" s="2" t="s">
        <v>5</v>
      </c>
      <c r="E146" s="117">
        <v>1</v>
      </c>
      <c r="F146" s="117">
        <v>1297</v>
      </c>
      <c r="G146" s="117">
        <v>6</v>
      </c>
      <c r="H146" s="117">
        <v>0</v>
      </c>
      <c r="I146" s="117">
        <v>0</v>
      </c>
      <c r="J146" s="117">
        <v>0</v>
      </c>
      <c r="K146" s="117">
        <v>1291</v>
      </c>
      <c r="L146" s="117">
        <v>0</v>
      </c>
      <c r="M146" s="117">
        <v>0</v>
      </c>
      <c r="N146" s="117">
        <v>0</v>
      </c>
      <c r="O146" s="117">
        <v>0</v>
      </c>
    </row>
    <row r="147" spans="1:15" x14ac:dyDescent="0.25">
      <c r="A147" s="117">
        <v>540115</v>
      </c>
      <c r="B147" s="2" t="s">
        <v>201</v>
      </c>
      <c r="C147" s="2" t="s">
        <v>51</v>
      </c>
      <c r="D147" s="2" t="s">
        <v>115</v>
      </c>
      <c r="E147" s="117">
        <v>1</v>
      </c>
      <c r="F147" s="117">
        <v>2</v>
      </c>
      <c r="G147" s="117">
        <v>0</v>
      </c>
      <c r="H147" s="117">
        <v>0</v>
      </c>
      <c r="I147" s="117">
        <v>0</v>
      </c>
      <c r="J147" s="117">
        <v>0</v>
      </c>
      <c r="K147" s="117">
        <v>2</v>
      </c>
      <c r="L147" s="117">
        <v>0</v>
      </c>
      <c r="M147" s="117">
        <v>0</v>
      </c>
      <c r="N147" s="117">
        <v>0</v>
      </c>
      <c r="O147" s="117">
        <v>0</v>
      </c>
    </row>
    <row r="148" spans="1:15" x14ac:dyDescent="0.25">
      <c r="A148" s="117">
        <v>540116</v>
      </c>
      <c r="B148" s="2" t="s">
        <v>202</v>
      </c>
      <c r="C148" s="2" t="s">
        <v>51</v>
      </c>
      <c r="D148" s="2" t="s">
        <v>115</v>
      </c>
      <c r="E148" s="117">
        <v>1</v>
      </c>
      <c r="F148" s="117">
        <v>0</v>
      </c>
      <c r="G148" s="117">
        <v>0</v>
      </c>
      <c r="H148" s="117">
        <v>0</v>
      </c>
      <c r="I148" s="117">
        <v>0</v>
      </c>
      <c r="J148" s="117">
        <v>0</v>
      </c>
      <c r="K148" s="117">
        <v>0</v>
      </c>
      <c r="L148" s="117">
        <v>0</v>
      </c>
      <c r="M148" s="117">
        <v>0</v>
      </c>
      <c r="N148" s="117">
        <v>0</v>
      </c>
      <c r="O148" s="117">
        <v>0</v>
      </c>
    </row>
    <row r="149" spans="1:15" x14ac:dyDescent="0.25">
      <c r="A149" s="117">
        <v>540117</v>
      </c>
      <c r="B149" s="2" t="s">
        <v>203</v>
      </c>
      <c r="C149" s="2" t="s">
        <v>51</v>
      </c>
      <c r="D149" s="2" t="s">
        <v>115</v>
      </c>
      <c r="E149" s="117">
        <v>1</v>
      </c>
      <c r="F149" s="117">
        <v>0</v>
      </c>
      <c r="G149" s="117">
        <v>0</v>
      </c>
      <c r="H149" s="117">
        <v>0</v>
      </c>
      <c r="I149" s="117">
        <v>0</v>
      </c>
      <c r="J149" s="117">
        <v>0</v>
      </c>
      <c r="K149" s="117">
        <v>0</v>
      </c>
      <c r="L149" s="117">
        <v>0</v>
      </c>
      <c r="M149" s="117">
        <v>0</v>
      </c>
      <c r="N149" s="117">
        <v>0</v>
      </c>
      <c r="O149" s="117">
        <v>0</v>
      </c>
    </row>
    <row r="150" spans="1:15" x14ac:dyDescent="0.25">
      <c r="A150" s="117">
        <v>540118</v>
      </c>
      <c r="B150" s="2" t="s">
        <v>204</v>
      </c>
      <c r="C150" s="2" t="s">
        <v>51</v>
      </c>
      <c r="D150" s="2" t="s">
        <v>115</v>
      </c>
      <c r="E150" s="117">
        <v>1</v>
      </c>
      <c r="F150" s="117">
        <v>1</v>
      </c>
      <c r="G150" s="117">
        <v>0</v>
      </c>
      <c r="H150" s="117">
        <v>0</v>
      </c>
      <c r="I150" s="117">
        <v>0</v>
      </c>
      <c r="J150" s="117">
        <v>0</v>
      </c>
      <c r="K150" s="117">
        <v>1</v>
      </c>
      <c r="L150" s="117">
        <v>0</v>
      </c>
      <c r="M150" s="117">
        <v>0</v>
      </c>
      <c r="N150" s="117">
        <v>0</v>
      </c>
      <c r="O150" s="117">
        <v>0</v>
      </c>
    </row>
    <row r="151" spans="1:15" x14ac:dyDescent="0.25">
      <c r="A151" s="117">
        <v>540119</v>
      </c>
      <c r="B151" s="2" t="s">
        <v>205</v>
      </c>
      <c r="C151" s="2" t="s">
        <v>51</v>
      </c>
      <c r="D151" s="2" t="s">
        <v>115</v>
      </c>
      <c r="E151" s="117">
        <v>1</v>
      </c>
      <c r="F151" s="117">
        <v>0</v>
      </c>
      <c r="G151" s="117">
        <v>0</v>
      </c>
      <c r="H151" s="117">
        <v>0</v>
      </c>
      <c r="I151" s="117">
        <v>0</v>
      </c>
      <c r="J151" s="117">
        <v>0</v>
      </c>
      <c r="K151" s="117">
        <v>0</v>
      </c>
      <c r="L151" s="117">
        <v>0</v>
      </c>
      <c r="M151" s="117">
        <v>0</v>
      </c>
      <c r="N151" s="117">
        <v>0</v>
      </c>
      <c r="O151" s="117">
        <v>0</v>
      </c>
    </row>
    <row r="152" spans="1:15" x14ac:dyDescent="0.25">
      <c r="A152" s="117">
        <v>540120</v>
      </c>
      <c r="B152" s="2" t="s">
        <v>206</v>
      </c>
      <c r="C152" s="2" t="s">
        <v>51</v>
      </c>
      <c r="D152" s="2" t="s">
        <v>115</v>
      </c>
      <c r="E152" s="117">
        <v>1</v>
      </c>
      <c r="F152" s="117">
        <v>0</v>
      </c>
      <c r="G152" s="117">
        <v>0</v>
      </c>
      <c r="H152" s="117">
        <v>0</v>
      </c>
      <c r="I152" s="117">
        <v>0</v>
      </c>
      <c r="J152" s="117">
        <v>0</v>
      </c>
      <c r="K152" s="117">
        <v>0</v>
      </c>
      <c r="L152" s="117">
        <v>0</v>
      </c>
      <c r="M152" s="117">
        <v>0</v>
      </c>
      <c r="N152" s="117">
        <v>0</v>
      </c>
      <c r="O152" s="117">
        <v>0</v>
      </c>
    </row>
    <row r="153" spans="1:15" x14ac:dyDescent="0.25">
      <c r="A153" s="117">
        <v>540121</v>
      </c>
      <c r="B153" s="2" t="s">
        <v>207</v>
      </c>
      <c r="C153" s="2" t="s">
        <v>51</v>
      </c>
      <c r="D153" s="2" t="s">
        <v>115</v>
      </c>
      <c r="E153" s="117">
        <v>1</v>
      </c>
      <c r="F153" s="117">
        <v>1</v>
      </c>
      <c r="G153" s="117">
        <v>0</v>
      </c>
      <c r="H153" s="117">
        <v>0</v>
      </c>
      <c r="I153" s="117">
        <v>0</v>
      </c>
      <c r="J153" s="117">
        <v>0</v>
      </c>
      <c r="K153" s="117">
        <v>1</v>
      </c>
      <c r="L153" s="117">
        <v>0</v>
      </c>
      <c r="M153" s="117">
        <v>0</v>
      </c>
      <c r="N153" s="117">
        <v>0</v>
      </c>
      <c r="O153" s="117">
        <v>0</v>
      </c>
    </row>
    <row r="154" spans="1:15" x14ac:dyDescent="0.25">
      <c r="A154" s="117">
        <v>540122</v>
      </c>
      <c r="B154" s="2" t="s">
        <v>208</v>
      </c>
      <c r="C154" s="2" t="s">
        <v>51</v>
      </c>
      <c r="D154" s="2" t="s">
        <v>115</v>
      </c>
      <c r="E154" s="117">
        <v>1</v>
      </c>
      <c r="F154" s="117">
        <v>1</v>
      </c>
      <c r="G154" s="117">
        <v>0</v>
      </c>
      <c r="H154" s="117">
        <v>0</v>
      </c>
      <c r="I154" s="117">
        <v>0</v>
      </c>
      <c r="J154" s="117">
        <v>0</v>
      </c>
      <c r="K154" s="117">
        <v>1</v>
      </c>
      <c r="L154" s="117">
        <v>0</v>
      </c>
      <c r="M154" s="117">
        <v>0</v>
      </c>
      <c r="N154" s="117">
        <v>0</v>
      </c>
      <c r="O154" s="117">
        <v>0</v>
      </c>
    </row>
    <row r="155" spans="1:15" x14ac:dyDescent="0.25">
      <c r="A155" s="117">
        <v>540123</v>
      </c>
      <c r="B155" s="2" t="s">
        <v>209</v>
      </c>
      <c r="C155" s="2" t="s">
        <v>51</v>
      </c>
      <c r="D155" s="2" t="s">
        <v>115</v>
      </c>
      <c r="E155" s="117">
        <v>1</v>
      </c>
      <c r="F155" s="117">
        <v>1</v>
      </c>
      <c r="G155" s="117">
        <v>0</v>
      </c>
      <c r="H155" s="117">
        <v>0</v>
      </c>
      <c r="I155" s="117">
        <v>0</v>
      </c>
      <c r="J155" s="117">
        <v>0</v>
      </c>
      <c r="K155" s="117">
        <v>1</v>
      </c>
      <c r="L155" s="117">
        <v>0</v>
      </c>
      <c r="M155" s="117">
        <v>0</v>
      </c>
      <c r="N155" s="117">
        <v>0</v>
      </c>
      <c r="O155" s="117">
        <v>0</v>
      </c>
    </row>
    <row r="156" spans="1:15" x14ac:dyDescent="0.25">
      <c r="A156" s="117">
        <v>540291</v>
      </c>
      <c r="B156" s="2" t="s">
        <v>328</v>
      </c>
      <c r="C156" s="2" t="s">
        <v>51</v>
      </c>
      <c r="D156" s="2" t="s">
        <v>115</v>
      </c>
      <c r="E156" s="117">
        <v>1</v>
      </c>
      <c r="F156" s="117">
        <v>2</v>
      </c>
      <c r="G156" s="117">
        <v>0</v>
      </c>
      <c r="H156" s="117">
        <v>0</v>
      </c>
      <c r="I156" s="117">
        <v>0</v>
      </c>
      <c r="J156" s="117">
        <v>0</v>
      </c>
      <c r="K156" s="117">
        <v>2</v>
      </c>
      <c r="L156" s="117">
        <v>0</v>
      </c>
      <c r="M156" s="117">
        <v>0</v>
      </c>
      <c r="N156" s="117">
        <v>0</v>
      </c>
      <c r="O156" s="117">
        <v>0</v>
      </c>
    </row>
    <row r="157" spans="1:15" x14ac:dyDescent="0.25">
      <c r="A157" s="269"/>
      <c r="B157" s="269"/>
      <c r="C157" s="269" t="s">
        <v>51</v>
      </c>
      <c r="D157" s="269"/>
      <c r="E157" s="269"/>
      <c r="F157" s="270">
        <v>1305</v>
      </c>
      <c r="G157" s="270">
        <v>6</v>
      </c>
      <c r="H157" s="270">
        <v>0</v>
      </c>
      <c r="I157" s="270">
        <v>0</v>
      </c>
      <c r="J157" s="270">
        <v>0</v>
      </c>
      <c r="K157" s="270">
        <v>1299</v>
      </c>
      <c r="L157" s="270">
        <v>0</v>
      </c>
      <c r="M157" s="270">
        <v>0</v>
      </c>
      <c r="N157" s="270">
        <v>0</v>
      </c>
      <c r="O157" s="270">
        <v>0</v>
      </c>
    </row>
    <row r="158" spans="1:15" x14ac:dyDescent="0.25">
      <c r="A158" s="117">
        <v>540124</v>
      </c>
      <c r="B158" s="2" t="s">
        <v>52</v>
      </c>
      <c r="C158" s="2" t="s">
        <v>53</v>
      </c>
      <c r="D158" s="2" t="s">
        <v>5</v>
      </c>
      <c r="E158" s="117">
        <v>1</v>
      </c>
      <c r="F158" s="117">
        <v>1610</v>
      </c>
      <c r="G158" s="117">
        <v>69</v>
      </c>
      <c r="H158" s="117">
        <v>0</v>
      </c>
      <c r="I158" s="117">
        <v>2</v>
      </c>
      <c r="J158" s="117">
        <v>1</v>
      </c>
      <c r="K158" s="117">
        <v>1538</v>
      </c>
      <c r="L158" s="117">
        <v>0</v>
      </c>
      <c r="M158" s="117">
        <v>0</v>
      </c>
      <c r="N158" s="117">
        <v>0</v>
      </c>
      <c r="O158" s="117">
        <v>0</v>
      </c>
    </row>
    <row r="159" spans="1:15" x14ac:dyDescent="0.25">
      <c r="A159" s="117">
        <v>540125</v>
      </c>
      <c r="B159" s="2" t="s">
        <v>210</v>
      </c>
      <c r="C159" s="2" t="s">
        <v>53</v>
      </c>
      <c r="D159" s="2" t="s">
        <v>115</v>
      </c>
      <c r="E159" s="117">
        <v>1</v>
      </c>
      <c r="F159" s="117">
        <v>3</v>
      </c>
      <c r="G159" s="117">
        <v>0</v>
      </c>
      <c r="H159" s="117">
        <v>0</v>
      </c>
      <c r="I159" s="117">
        <v>0</v>
      </c>
      <c r="J159" s="117">
        <v>0</v>
      </c>
      <c r="K159" s="117">
        <v>3</v>
      </c>
      <c r="L159" s="117">
        <v>0</v>
      </c>
      <c r="M159" s="117">
        <v>0</v>
      </c>
      <c r="N159" s="117">
        <v>0</v>
      </c>
      <c r="O159" s="117">
        <v>0</v>
      </c>
    </row>
    <row r="160" spans="1:15" x14ac:dyDescent="0.25">
      <c r="A160" s="117">
        <v>540126</v>
      </c>
      <c r="B160" s="2" t="s">
        <v>211</v>
      </c>
      <c r="C160" s="2" t="s">
        <v>53</v>
      </c>
      <c r="D160" s="2" t="s">
        <v>115</v>
      </c>
      <c r="E160" s="117">
        <v>1</v>
      </c>
      <c r="F160" s="117">
        <v>0</v>
      </c>
      <c r="G160" s="117">
        <v>0</v>
      </c>
      <c r="H160" s="117">
        <v>0</v>
      </c>
      <c r="I160" s="117">
        <v>0</v>
      </c>
      <c r="J160" s="117">
        <v>0</v>
      </c>
      <c r="K160" s="117">
        <v>0</v>
      </c>
      <c r="L160" s="117">
        <v>0</v>
      </c>
      <c r="M160" s="117">
        <v>0</v>
      </c>
      <c r="N160" s="117">
        <v>0</v>
      </c>
      <c r="O160" s="117">
        <v>0</v>
      </c>
    </row>
    <row r="161" spans="1:15" x14ac:dyDescent="0.25">
      <c r="A161" s="117">
        <v>540127</v>
      </c>
      <c r="B161" s="2" t="s">
        <v>212</v>
      </c>
      <c r="C161" s="2" t="s">
        <v>53</v>
      </c>
      <c r="D161" s="2" t="s">
        <v>115</v>
      </c>
      <c r="E161" s="117">
        <v>1</v>
      </c>
      <c r="F161" s="117">
        <v>8</v>
      </c>
      <c r="G161" s="117">
        <v>2</v>
      </c>
      <c r="H161" s="117">
        <v>0</v>
      </c>
      <c r="I161" s="117">
        <v>0</v>
      </c>
      <c r="J161" s="117">
        <v>0</v>
      </c>
      <c r="K161" s="117">
        <v>6</v>
      </c>
      <c r="L161" s="117">
        <v>0</v>
      </c>
      <c r="M161" s="117">
        <v>0</v>
      </c>
      <c r="N161" s="117">
        <v>0</v>
      </c>
      <c r="O161" s="117">
        <v>0</v>
      </c>
    </row>
    <row r="162" spans="1:15" x14ac:dyDescent="0.25">
      <c r="A162" s="117">
        <v>540128</v>
      </c>
      <c r="B162" s="2" t="s">
        <v>213</v>
      </c>
      <c r="C162" s="2" t="s">
        <v>53</v>
      </c>
      <c r="D162" s="2" t="s">
        <v>115</v>
      </c>
      <c r="E162" s="117">
        <v>1</v>
      </c>
      <c r="F162" s="117">
        <v>0</v>
      </c>
      <c r="G162" s="117">
        <v>0</v>
      </c>
      <c r="H162" s="117">
        <v>0</v>
      </c>
      <c r="I162" s="117">
        <v>0</v>
      </c>
      <c r="J162" s="117">
        <v>0</v>
      </c>
      <c r="K162" s="117">
        <v>0</v>
      </c>
      <c r="L162" s="117">
        <v>0</v>
      </c>
      <c r="M162" s="117">
        <v>0</v>
      </c>
      <c r="N162" s="117">
        <v>0</v>
      </c>
      <c r="O162" s="117">
        <v>0</v>
      </c>
    </row>
    <row r="163" spans="1:15" x14ac:dyDescent="0.25">
      <c r="A163" s="117">
        <v>540172</v>
      </c>
      <c r="B163" s="2" t="s">
        <v>244</v>
      </c>
      <c r="C163" s="2" t="s">
        <v>53</v>
      </c>
      <c r="D163" s="2" t="s">
        <v>115</v>
      </c>
      <c r="E163" s="117">
        <v>1</v>
      </c>
      <c r="F163" s="117">
        <v>0</v>
      </c>
      <c r="G163" s="117">
        <v>0</v>
      </c>
      <c r="H163" s="117">
        <v>0</v>
      </c>
      <c r="I163" s="117">
        <v>0</v>
      </c>
      <c r="J163" s="117">
        <v>0</v>
      </c>
      <c r="K163" s="117">
        <v>0</v>
      </c>
      <c r="L163" s="117">
        <v>0</v>
      </c>
      <c r="M163" s="117">
        <v>0</v>
      </c>
      <c r="N163" s="117">
        <v>0</v>
      </c>
      <c r="O163" s="117">
        <v>0</v>
      </c>
    </row>
    <row r="164" spans="1:15" x14ac:dyDescent="0.25">
      <c r="A164" s="117">
        <v>540285</v>
      </c>
      <c r="B164" s="2" t="s">
        <v>324</v>
      </c>
      <c r="C164" s="2" t="s">
        <v>53</v>
      </c>
      <c r="D164" s="2" t="s">
        <v>115</v>
      </c>
      <c r="E164" s="117">
        <v>1</v>
      </c>
      <c r="F164" s="117">
        <v>0</v>
      </c>
      <c r="G164" s="117">
        <v>0</v>
      </c>
      <c r="H164" s="117">
        <v>0</v>
      </c>
      <c r="I164" s="117">
        <v>0</v>
      </c>
      <c r="J164" s="117">
        <v>0</v>
      </c>
      <c r="K164" s="117">
        <v>0</v>
      </c>
      <c r="L164" s="117">
        <v>0</v>
      </c>
      <c r="M164" s="117">
        <v>0</v>
      </c>
      <c r="N164" s="117">
        <v>0</v>
      </c>
      <c r="O164" s="117">
        <v>0</v>
      </c>
    </row>
    <row r="165" spans="1:15" x14ac:dyDescent="0.25">
      <c r="A165" s="269"/>
      <c r="B165" s="269"/>
      <c r="C165" s="269" t="s">
        <v>53</v>
      </c>
      <c r="D165" s="269"/>
      <c r="E165" s="269"/>
      <c r="F165" s="270">
        <v>1621</v>
      </c>
      <c r="G165" s="270">
        <v>71</v>
      </c>
      <c r="H165" s="270">
        <v>0</v>
      </c>
      <c r="I165" s="270">
        <v>2</v>
      </c>
      <c r="J165" s="270">
        <v>1</v>
      </c>
      <c r="K165" s="270">
        <v>1547</v>
      </c>
      <c r="L165" s="270">
        <v>0</v>
      </c>
      <c r="M165" s="270">
        <v>0</v>
      </c>
      <c r="N165" s="270">
        <v>0</v>
      </c>
      <c r="O165" s="270">
        <v>0</v>
      </c>
    </row>
    <row r="166" spans="1:15" x14ac:dyDescent="0.25">
      <c r="A166" s="117">
        <v>540129</v>
      </c>
      <c r="B166" s="2" t="s">
        <v>54</v>
      </c>
      <c r="C166" s="2" t="s">
        <v>55</v>
      </c>
      <c r="D166" s="2" t="s">
        <v>5</v>
      </c>
      <c r="E166" s="117">
        <v>8</v>
      </c>
      <c r="F166" s="117">
        <v>147</v>
      </c>
      <c r="G166" s="117">
        <v>1</v>
      </c>
      <c r="H166" s="117">
        <v>0</v>
      </c>
      <c r="I166" s="117">
        <v>0</v>
      </c>
      <c r="J166" s="117">
        <v>2</v>
      </c>
      <c r="K166" s="117">
        <v>144</v>
      </c>
      <c r="L166" s="117">
        <v>0</v>
      </c>
      <c r="M166" s="117">
        <v>0</v>
      </c>
      <c r="N166" s="117">
        <v>0</v>
      </c>
      <c r="O166" s="117">
        <v>0</v>
      </c>
    </row>
    <row r="167" spans="1:15" x14ac:dyDescent="0.25">
      <c r="A167" s="117">
        <v>540130</v>
      </c>
      <c r="B167" s="2" t="s">
        <v>214</v>
      </c>
      <c r="C167" s="2" t="s">
        <v>55</v>
      </c>
      <c r="D167" s="2" t="s">
        <v>115</v>
      </c>
      <c r="E167" s="117">
        <v>8</v>
      </c>
      <c r="F167" s="117">
        <v>0</v>
      </c>
      <c r="G167" s="117">
        <v>0</v>
      </c>
      <c r="H167" s="117">
        <v>0</v>
      </c>
      <c r="I167" s="117">
        <v>0</v>
      </c>
      <c r="J167" s="117">
        <v>0</v>
      </c>
      <c r="K167" s="117">
        <v>0</v>
      </c>
      <c r="L167" s="117">
        <v>0</v>
      </c>
      <c r="M167" s="117">
        <v>0</v>
      </c>
      <c r="N167" s="117">
        <v>0</v>
      </c>
      <c r="O167" s="117">
        <v>0</v>
      </c>
    </row>
    <row r="168" spans="1:15" x14ac:dyDescent="0.25">
      <c r="A168" s="117">
        <v>540131</v>
      </c>
      <c r="B168" s="2" t="s">
        <v>215</v>
      </c>
      <c r="C168" s="2" t="s">
        <v>55</v>
      </c>
      <c r="D168" s="2" t="s">
        <v>115</v>
      </c>
      <c r="E168" s="117">
        <v>8</v>
      </c>
      <c r="F168" s="117">
        <v>0</v>
      </c>
      <c r="G168" s="117">
        <v>0</v>
      </c>
      <c r="H168" s="117">
        <v>0</v>
      </c>
      <c r="I168" s="117">
        <v>0</v>
      </c>
      <c r="J168" s="117">
        <v>0</v>
      </c>
      <c r="K168" s="117">
        <v>0</v>
      </c>
      <c r="L168" s="117">
        <v>0</v>
      </c>
      <c r="M168" s="117">
        <v>0</v>
      </c>
      <c r="N168" s="117">
        <v>0</v>
      </c>
      <c r="O168" s="117">
        <v>0</v>
      </c>
    </row>
    <row r="169" spans="1:15" x14ac:dyDescent="0.25">
      <c r="A169" s="117">
        <v>540155</v>
      </c>
      <c r="B169" s="2" t="s">
        <v>231</v>
      </c>
      <c r="C169" s="2" t="s">
        <v>55</v>
      </c>
      <c r="D169" s="2" t="s">
        <v>115</v>
      </c>
      <c r="E169" s="117">
        <v>8</v>
      </c>
      <c r="F169" s="117">
        <v>0</v>
      </c>
      <c r="G169" s="117">
        <v>0</v>
      </c>
      <c r="H169" s="117">
        <v>0</v>
      </c>
      <c r="I169" s="117">
        <v>0</v>
      </c>
      <c r="J169" s="117">
        <v>0</v>
      </c>
      <c r="K169" s="117">
        <v>0</v>
      </c>
      <c r="L169" s="117">
        <v>0</v>
      </c>
      <c r="M169" s="117">
        <v>0</v>
      </c>
      <c r="N169" s="117">
        <v>0</v>
      </c>
      <c r="O169" s="117">
        <v>0</v>
      </c>
    </row>
    <row r="170" spans="1:15" x14ac:dyDescent="0.25">
      <c r="A170" s="117">
        <v>545555</v>
      </c>
      <c r="B170" s="2" t="s">
        <v>336</v>
      </c>
      <c r="C170" s="2" t="s">
        <v>55</v>
      </c>
      <c r="D170" s="2" t="s">
        <v>115</v>
      </c>
      <c r="E170" s="117">
        <v>8</v>
      </c>
      <c r="F170" s="117">
        <v>0</v>
      </c>
      <c r="G170" s="117">
        <v>0</v>
      </c>
      <c r="H170" s="117">
        <v>0</v>
      </c>
      <c r="I170" s="117">
        <v>0</v>
      </c>
      <c r="J170" s="117">
        <v>0</v>
      </c>
      <c r="K170" s="117">
        <v>0</v>
      </c>
      <c r="L170" s="117">
        <v>0</v>
      </c>
      <c r="M170" s="117">
        <v>0</v>
      </c>
      <c r="N170" s="117">
        <v>0</v>
      </c>
      <c r="O170" s="117">
        <v>0</v>
      </c>
    </row>
    <row r="171" spans="1:15" x14ac:dyDescent="0.25">
      <c r="A171" s="117">
        <v>540091</v>
      </c>
      <c r="B171" s="2" t="s">
        <v>338</v>
      </c>
      <c r="C171" s="2" t="s">
        <v>55</v>
      </c>
      <c r="D171" s="2" t="s">
        <v>115</v>
      </c>
      <c r="E171" s="117">
        <v>8</v>
      </c>
      <c r="F171" s="117">
        <v>0</v>
      </c>
      <c r="G171" s="117">
        <v>0</v>
      </c>
      <c r="H171" s="117">
        <v>0</v>
      </c>
      <c r="I171" s="117">
        <v>0</v>
      </c>
      <c r="J171" s="117">
        <v>0</v>
      </c>
      <c r="K171" s="117">
        <v>0</v>
      </c>
      <c r="L171" s="117">
        <v>0</v>
      </c>
      <c r="M171" s="117">
        <v>0</v>
      </c>
      <c r="N171" s="117">
        <v>0</v>
      </c>
      <c r="O171" s="117">
        <v>0</v>
      </c>
    </row>
    <row r="172" spans="1:15" x14ac:dyDescent="0.25">
      <c r="A172" s="269"/>
      <c r="B172" s="269"/>
      <c r="C172" s="269" t="s">
        <v>55</v>
      </c>
      <c r="D172" s="269"/>
      <c r="E172" s="269"/>
      <c r="F172" s="270">
        <v>147</v>
      </c>
      <c r="G172" s="270">
        <v>1</v>
      </c>
      <c r="H172" s="270">
        <v>0</v>
      </c>
      <c r="I172" s="270">
        <v>0</v>
      </c>
      <c r="J172" s="270">
        <v>2</v>
      </c>
      <c r="K172" s="270">
        <v>144</v>
      </c>
      <c r="L172" s="270">
        <v>0</v>
      </c>
      <c r="M172" s="270">
        <v>0</v>
      </c>
      <c r="N172" s="270">
        <v>0</v>
      </c>
      <c r="O172" s="270">
        <v>0</v>
      </c>
    </row>
    <row r="173" spans="1:15" x14ac:dyDescent="0.25">
      <c r="A173" s="117">
        <v>540133</v>
      </c>
      <c r="B173" s="2" t="s">
        <v>56</v>
      </c>
      <c r="C173" s="2" t="s">
        <v>57</v>
      </c>
      <c r="D173" s="2" t="s">
        <v>5</v>
      </c>
      <c r="E173" s="117">
        <v>2</v>
      </c>
      <c r="F173" s="117">
        <v>2380</v>
      </c>
      <c r="G173" s="117">
        <v>31</v>
      </c>
      <c r="H173" s="117">
        <v>0</v>
      </c>
      <c r="I173" s="117">
        <v>0</v>
      </c>
      <c r="J173" s="117">
        <v>4</v>
      </c>
      <c r="K173" s="117">
        <v>2345</v>
      </c>
      <c r="L173" s="117">
        <v>0</v>
      </c>
      <c r="M173" s="117">
        <v>0</v>
      </c>
      <c r="N173" s="117">
        <v>0</v>
      </c>
      <c r="O173" s="117">
        <v>0</v>
      </c>
    </row>
    <row r="174" spans="1:15" x14ac:dyDescent="0.25">
      <c r="A174" s="117">
        <v>540134</v>
      </c>
      <c r="B174" s="2" t="s">
        <v>217</v>
      </c>
      <c r="C174" s="2" t="s">
        <v>57</v>
      </c>
      <c r="D174" s="2" t="s">
        <v>115</v>
      </c>
      <c r="E174" s="117">
        <v>2</v>
      </c>
      <c r="F174" s="117">
        <v>5</v>
      </c>
      <c r="G174" s="117">
        <v>0</v>
      </c>
      <c r="H174" s="117">
        <v>0</v>
      </c>
      <c r="I174" s="117">
        <v>0</v>
      </c>
      <c r="J174" s="117">
        <v>0</v>
      </c>
      <c r="K174" s="117">
        <v>5</v>
      </c>
      <c r="L174" s="117">
        <v>0</v>
      </c>
      <c r="M174" s="117">
        <v>0</v>
      </c>
      <c r="N174" s="117">
        <v>0</v>
      </c>
      <c r="O174" s="117">
        <v>0</v>
      </c>
    </row>
    <row r="175" spans="1:15" x14ac:dyDescent="0.25">
      <c r="A175" s="117">
        <v>540135</v>
      </c>
      <c r="B175" s="2" t="s">
        <v>218</v>
      </c>
      <c r="C175" s="2" t="s">
        <v>57</v>
      </c>
      <c r="D175" s="2" t="s">
        <v>115</v>
      </c>
      <c r="E175" s="117">
        <v>2</v>
      </c>
      <c r="F175" s="117">
        <v>2</v>
      </c>
      <c r="G175" s="117">
        <v>0</v>
      </c>
      <c r="H175" s="117">
        <v>0</v>
      </c>
      <c r="I175" s="117">
        <v>0</v>
      </c>
      <c r="J175" s="117">
        <v>0</v>
      </c>
      <c r="K175" s="117">
        <v>2</v>
      </c>
      <c r="L175" s="117">
        <v>0</v>
      </c>
      <c r="M175" s="117">
        <v>0</v>
      </c>
      <c r="N175" s="117">
        <v>0</v>
      </c>
      <c r="O175" s="117">
        <v>0</v>
      </c>
    </row>
    <row r="176" spans="1:15" x14ac:dyDescent="0.25">
      <c r="A176" s="117">
        <v>540136</v>
      </c>
      <c r="B176" s="2" t="s">
        <v>219</v>
      </c>
      <c r="C176" s="2" t="s">
        <v>57</v>
      </c>
      <c r="D176" s="2" t="s">
        <v>115</v>
      </c>
      <c r="E176" s="117">
        <v>2</v>
      </c>
      <c r="F176" s="117">
        <v>3</v>
      </c>
      <c r="G176" s="117">
        <v>0</v>
      </c>
      <c r="H176" s="117">
        <v>0</v>
      </c>
      <c r="I176" s="117">
        <v>0</v>
      </c>
      <c r="J176" s="117">
        <v>0</v>
      </c>
      <c r="K176" s="117">
        <v>3</v>
      </c>
      <c r="L176" s="117">
        <v>0</v>
      </c>
      <c r="M176" s="117">
        <v>0</v>
      </c>
      <c r="N176" s="117">
        <v>0</v>
      </c>
      <c r="O176" s="117">
        <v>0</v>
      </c>
    </row>
    <row r="177" spans="1:15" x14ac:dyDescent="0.25">
      <c r="A177" s="117">
        <v>540138</v>
      </c>
      <c r="B177" s="2" t="s">
        <v>221</v>
      </c>
      <c r="C177" s="2" t="s">
        <v>57</v>
      </c>
      <c r="D177" s="2" t="s">
        <v>115</v>
      </c>
      <c r="E177" s="117">
        <v>2</v>
      </c>
      <c r="F177" s="117">
        <v>13</v>
      </c>
      <c r="G177" s="117">
        <v>0</v>
      </c>
      <c r="H177" s="117">
        <v>0</v>
      </c>
      <c r="I177" s="117">
        <v>0</v>
      </c>
      <c r="J177" s="117">
        <v>0</v>
      </c>
      <c r="K177" s="117">
        <v>13</v>
      </c>
      <c r="L177" s="117">
        <v>0</v>
      </c>
      <c r="M177" s="117">
        <v>0</v>
      </c>
      <c r="N177" s="117">
        <v>0</v>
      </c>
      <c r="O177" s="117">
        <v>0</v>
      </c>
    </row>
    <row r="178" spans="1:15" x14ac:dyDescent="0.25">
      <c r="A178" s="117">
        <v>545538</v>
      </c>
      <c r="B178" s="2" t="s">
        <v>334</v>
      </c>
      <c r="C178" s="2" t="s">
        <v>57</v>
      </c>
      <c r="D178" s="2" t="s">
        <v>115</v>
      </c>
      <c r="E178" s="117">
        <v>2</v>
      </c>
      <c r="F178" s="117">
        <v>0</v>
      </c>
      <c r="G178" s="117">
        <v>0</v>
      </c>
      <c r="H178" s="117">
        <v>0</v>
      </c>
      <c r="I178" s="117">
        <v>0</v>
      </c>
      <c r="J178" s="117">
        <v>0</v>
      </c>
      <c r="K178" s="117">
        <v>0</v>
      </c>
      <c r="L178" s="117">
        <v>0</v>
      </c>
      <c r="M178" s="117">
        <v>0</v>
      </c>
      <c r="N178" s="117">
        <v>0</v>
      </c>
      <c r="O178" s="117">
        <v>0</v>
      </c>
    </row>
    <row r="179" spans="1:15" x14ac:dyDescent="0.25">
      <c r="A179" s="269"/>
      <c r="B179" s="269"/>
      <c r="C179" s="269" t="s">
        <v>57</v>
      </c>
      <c r="D179" s="269"/>
      <c r="E179" s="269"/>
      <c r="F179" s="270">
        <v>2403</v>
      </c>
      <c r="G179" s="270">
        <v>31</v>
      </c>
      <c r="H179" s="270">
        <v>0</v>
      </c>
      <c r="I179" s="270">
        <v>0</v>
      </c>
      <c r="J179" s="270">
        <v>4</v>
      </c>
      <c r="K179" s="270">
        <v>2368</v>
      </c>
      <c r="L179" s="270">
        <v>0</v>
      </c>
      <c r="M179" s="270">
        <v>0</v>
      </c>
      <c r="N179" s="270">
        <v>0</v>
      </c>
      <c r="O179" s="270">
        <v>0</v>
      </c>
    </row>
    <row r="180" spans="1:15" x14ac:dyDescent="0.25">
      <c r="A180" s="117">
        <v>540139</v>
      </c>
      <c r="B180" s="2" t="s">
        <v>58</v>
      </c>
      <c r="C180" s="2" t="s">
        <v>59</v>
      </c>
      <c r="D180" s="2" t="s">
        <v>5</v>
      </c>
      <c r="E180" s="117">
        <v>6</v>
      </c>
      <c r="F180" s="117">
        <v>1245</v>
      </c>
      <c r="G180" s="117">
        <v>6</v>
      </c>
      <c r="H180" s="117">
        <v>1</v>
      </c>
      <c r="I180" s="117">
        <v>24</v>
      </c>
      <c r="J180" s="117">
        <v>1</v>
      </c>
      <c r="K180" s="117">
        <v>176</v>
      </c>
      <c r="L180" s="117">
        <v>776</v>
      </c>
      <c r="M180" s="117">
        <v>131</v>
      </c>
      <c r="N180" s="117">
        <v>130</v>
      </c>
      <c r="O180" s="117">
        <v>0</v>
      </c>
    </row>
    <row r="181" spans="1:15" x14ac:dyDescent="0.25">
      <c r="A181" s="117">
        <v>540140</v>
      </c>
      <c r="B181" s="2" t="s">
        <v>222</v>
      </c>
      <c r="C181" s="2" t="s">
        <v>59</v>
      </c>
      <c r="D181" s="2" t="s">
        <v>115</v>
      </c>
      <c r="E181" s="117">
        <v>6</v>
      </c>
      <c r="F181" s="117">
        <v>0</v>
      </c>
      <c r="G181" s="117">
        <v>0</v>
      </c>
      <c r="H181" s="117">
        <v>0</v>
      </c>
      <c r="I181" s="117">
        <v>0</v>
      </c>
      <c r="J181" s="117">
        <v>0</v>
      </c>
      <c r="K181" s="117">
        <v>0</v>
      </c>
      <c r="L181" s="117">
        <v>0</v>
      </c>
      <c r="M181" s="117">
        <v>0</v>
      </c>
      <c r="N181" s="117">
        <v>0</v>
      </c>
      <c r="O181" s="117">
        <v>0</v>
      </c>
    </row>
    <row r="182" spans="1:15" x14ac:dyDescent="0.25">
      <c r="A182" s="117">
        <v>540141</v>
      </c>
      <c r="B182" s="2" t="s">
        <v>223</v>
      </c>
      <c r="C182" s="2" t="s">
        <v>59</v>
      </c>
      <c r="D182" s="2" t="s">
        <v>115</v>
      </c>
      <c r="E182" s="117">
        <v>6</v>
      </c>
      <c r="F182" s="117">
        <v>69</v>
      </c>
      <c r="G182" s="117">
        <v>0</v>
      </c>
      <c r="H182" s="117">
        <v>1</v>
      </c>
      <c r="I182" s="117">
        <v>0</v>
      </c>
      <c r="J182" s="117">
        <v>0</v>
      </c>
      <c r="K182" s="117">
        <v>39</v>
      </c>
      <c r="L182" s="117">
        <v>18</v>
      </c>
      <c r="M182" s="117">
        <v>5</v>
      </c>
      <c r="N182" s="117">
        <v>6</v>
      </c>
      <c r="O182" s="117">
        <v>0</v>
      </c>
    </row>
    <row r="183" spans="1:15" x14ac:dyDescent="0.25">
      <c r="A183" s="117">
        <v>540272</v>
      </c>
      <c r="B183" s="2" t="s">
        <v>315</v>
      </c>
      <c r="C183" s="2" t="s">
        <v>59</v>
      </c>
      <c r="D183" s="2" t="s">
        <v>115</v>
      </c>
      <c r="E183" s="117">
        <v>6</v>
      </c>
      <c r="F183" s="117">
        <v>21</v>
      </c>
      <c r="G183" s="117">
        <v>2</v>
      </c>
      <c r="H183" s="117">
        <v>0</v>
      </c>
      <c r="I183" s="117">
        <v>0</v>
      </c>
      <c r="J183" s="117">
        <v>0</v>
      </c>
      <c r="K183" s="117">
        <v>14</v>
      </c>
      <c r="L183" s="117">
        <v>1</v>
      </c>
      <c r="M183" s="117">
        <v>2</v>
      </c>
      <c r="N183" s="117">
        <v>2</v>
      </c>
      <c r="O183" s="117">
        <v>0</v>
      </c>
    </row>
    <row r="184" spans="1:15" x14ac:dyDescent="0.25">
      <c r="A184" s="117">
        <v>540273</v>
      </c>
      <c r="B184" s="2" t="s">
        <v>316</v>
      </c>
      <c r="C184" s="2" t="s">
        <v>59</v>
      </c>
      <c r="D184" s="2" t="s">
        <v>115</v>
      </c>
      <c r="E184" s="117">
        <v>6</v>
      </c>
      <c r="F184" s="117">
        <v>1</v>
      </c>
      <c r="G184" s="117">
        <v>0</v>
      </c>
      <c r="H184" s="117">
        <v>0</v>
      </c>
      <c r="I184" s="117">
        <v>0</v>
      </c>
      <c r="J184" s="117">
        <v>0</v>
      </c>
      <c r="K184" s="117">
        <v>1</v>
      </c>
      <c r="L184" s="117">
        <v>0</v>
      </c>
      <c r="M184" s="117">
        <v>0</v>
      </c>
      <c r="N184" s="117">
        <v>0</v>
      </c>
      <c r="O184" s="117">
        <v>0</v>
      </c>
    </row>
    <row r="185" spans="1:15" x14ac:dyDescent="0.25">
      <c r="A185" s="117">
        <v>540274</v>
      </c>
      <c r="B185" s="2" t="s">
        <v>317</v>
      </c>
      <c r="C185" s="2" t="s">
        <v>59</v>
      </c>
      <c r="D185" s="2" t="s">
        <v>115</v>
      </c>
      <c r="E185" s="117">
        <v>6</v>
      </c>
      <c r="F185" s="117">
        <v>15</v>
      </c>
      <c r="G185" s="117">
        <v>0</v>
      </c>
      <c r="H185" s="117">
        <v>0</v>
      </c>
      <c r="I185" s="117">
        <v>0</v>
      </c>
      <c r="J185" s="117">
        <v>0</v>
      </c>
      <c r="K185" s="117">
        <v>5</v>
      </c>
      <c r="L185" s="117">
        <v>7</v>
      </c>
      <c r="M185" s="117">
        <v>0</v>
      </c>
      <c r="N185" s="117">
        <v>3</v>
      </c>
      <c r="O185" s="117">
        <v>0</v>
      </c>
    </row>
    <row r="186" spans="1:15" x14ac:dyDescent="0.25">
      <c r="A186" s="269"/>
      <c r="B186" s="269"/>
      <c r="C186" s="269" t="s">
        <v>59</v>
      </c>
      <c r="D186" s="269"/>
      <c r="E186" s="269"/>
      <c r="F186" s="270">
        <v>1351</v>
      </c>
      <c r="G186" s="270">
        <v>8</v>
      </c>
      <c r="H186" s="270">
        <v>2</v>
      </c>
      <c r="I186" s="270">
        <v>24</v>
      </c>
      <c r="J186" s="270">
        <v>1</v>
      </c>
      <c r="K186" s="270">
        <v>235</v>
      </c>
      <c r="L186" s="270">
        <v>802</v>
      </c>
      <c r="M186" s="270">
        <v>138</v>
      </c>
      <c r="N186" s="270">
        <v>141</v>
      </c>
      <c r="O186" s="270">
        <v>0</v>
      </c>
    </row>
    <row r="187" spans="1:15" x14ac:dyDescent="0.25">
      <c r="A187" s="117">
        <v>540144</v>
      </c>
      <c r="B187" s="2" t="s">
        <v>60</v>
      </c>
      <c r="C187" s="2" t="s">
        <v>61</v>
      </c>
      <c r="D187" s="2" t="s">
        <v>5</v>
      </c>
      <c r="E187" s="117">
        <v>9</v>
      </c>
      <c r="F187" s="117">
        <v>37</v>
      </c>
      <c r="G187" s="117">
        <v>12</v>
      </c>
      <c r="H187" s="117">
        <v>0</v>
      </c>
      <c r="I187" s="117">
        <v>0</v>
      </c>
      <c r="J187" s="117">
        <v>1</v>
      </c>
      <c r="K187" s="117">
        <v>24</v>
      </c>
      <c r="L187" s="117">
        <v>0</v>
      </c>
      <c r="M187" s="117">
        <v>0</v>
      </c>
      <c r="N187" s="117">
        <v>0</v>
      </c>
      <c r="O187" s="117">
        <v>0</v>
      </c>
    </row>
    <row r="188" spans="1:15" x14ac:dyDescent="0.25">
      <c r="A188" s="117">
        <v>540005</v>
      </c>
      <c r="B188" s="2" t="s">
        <v>118</v>
      </c>
      <c r="C188" s="2" t="s">
        <v>61</v>
      </c>
      <c r="D188" s="2" t="s">
        <v>115</v>
      </c>
      <c r="E188" s="117">
        <v>9</v>
      </c>
      <c r="F188" s="117">
        <v>0</v>
      </c>
      <c r="G188" s="117">
        <v>0</v>
      </c>
      <c r="H188" s="117">
        <v>0</v>
      </c>
      <c r="I188" s="117">
        <v>0</v>
      </c>
      <c r="J188" s="117">
        <v>0</v>
      </c>
      <c r="K188" s="117">
        <v>0</v>
      </c>
      <c r="L188" s="117">
        <v>0</v>
      </c>
      <c r="M188" s="117">
        <v>0</v>
      </c>
      <c r="N188" s="117">
        <v>0</v>
      </c>
      <c r="O188" s="117">
        <v>0</v>
      </c>
    </row>
    <row r="189" spans="1:15" x14ac:dyDescent="0.25">
      <c r="A189" s="117">
        <v>540252</v>
      </c>
      <c r="B189" s="2" t="s">
        <v>298</v>
      </c>
      <c r="C189" s="2" t="s">
        <v>61</v>
      </c>
      <c r="D189" s="2" t="s">
        <v>115</v>
      </c>
      <c r="E189" s="117">
        <v>9</v>
      </c>
      <c r="F189" s="117">
        <v>0</v>
      </c>
      <c r="G189" s="117">
        <v>0</v>
      </c>
      <c r="H189" s="117">
        <v>0</v>
      </c>
      <c r="I189" s="117">
        <v>0</v>
      </c>
      <c r="J189" s="117">
        <v>0</v>
      </c>
      <c r="K189" s="117">
        <v>0</v>
      </c>
      <c r="L189" s="117">
        <v>0</v>
      </c>
      <c r="M189" s="117">
        <v>0</v>
      </c>
      <c r="N189" s="117">
        <v>0</v>
      </c>
      <c r="O189" s="117">
        <v>0</v>
      </c>
    </row>
    <row r="190" spans="1:15" x14ac:dyDescent="0.25">
      <c r="A190" s="269"/>
      <c r="B190" s="269"/>
      <c r="C190" s="269" t="s">
        <v>61</v>
      </c>
      <c r="D190" s="269"/>
      <c r="E190" s="269"/>
      <c r="F190" s="270">
        <v>37</v>
      </c>
      <c r="G190" s="270">
        <v>12</v>
      </c>
      <c r="H190" s="270">
        <v>0</v>
      </c>
      <c r="I190" s="270">
        <v>0</v>
      </c>
      <c r="J190" s="270">
        <v>1</v>
      </c>
      <c r="K190" s="270">
        <v>24</v>
      </c>
      <c r="L190" s="270">
        <v>0</v>
      </c>
      <c r="M190" s="270">
        <v>0</v>
      </c>
      <c r="N190" s="270">
        <v>0</v>
      </c>
      <c r="O190" s="270">
        <v>0</v>
      </c>
    </row>
    <row r="191" spans="1:15" x14ac:dyDescent="0.25">
      <c r="A191" s="117">
        <v>540146</v>
      </c>
      <c r="B191" s="2" t="s">
        <v>62</v>
      </c>
      <c r="C191" s="2" t="s">
        <v>63</v>
      </c>
      <c r="D191" s="2" t="s">
        <v>5</v>
      </c>
      <c r="E191" s="117">
        <v>4</v>
      </c>
      <c r="F191" s="117">
        <v>1889</v>
      </c>
      <c r="G191" s="117">
        <v>23</v>
      </c>
      <c r="H191" s="117">
        <v>1</v>
      </c>
      <c r="I191" s="117">
        <v>50</v>
      </c>
      <c r="J191" s="117">
        <v>0</v>
      </c>
      <c r="K191" s="117">
        <v>1815</v>
      </c>
      <c r="L191" s="117">
        <v>0</v>
      </c>
      <c r="M191" s="117">
        <v>0</v>
      </c>
      <c r="N191" s="117">
        <v>0</v>
      </c>
      <c r="O191" s="117">
        <v>0</v>
      </c>
    </row>
    <row r="192" spans="1:15" x14ac:dyDescent="0.25">
      <c r="A192" s="117">
        <v>540147</v>
      </c>
      <c r="B192" s="2" t="s">
        <v>225</v>
      </c>
      <c r="C192" s="2" t="s">
        <v>63</v>
      </c>
      <c r="D192" s="2" t="s">
        <v>115</v>
      </c>
      <c r="E192" s="117">
        <v>4</v>
      </c>
      <c r="F192" s="117">
        <v>4</v>
      </c>
      <c r="G192" s="117">
        <v>0</v>
      </c>
      <c r="H192" s="117">
        <v>0</v>
      </c>
      <c r="I192" s="117">
        <v>0</v>
      </c>
      <c r="J192" s="117">
        <v>0</v>
      </c>
      <c r="K192" s="117">
        <v>4</v>
      </c>
      <c r="L192" s="117">
        <v>0</v>
      </c>
      <c r="M192" s="117">
        <v>0</v>
      </c>
      <c r="N192" s="117">
        <v>0</v>
      </c>
      <c r="O192" s="117">
        <v>0</v>
      </c>
    </row>
    <row r="193" spans="1:15" x14ac:dyDescent="0.25">
      <c r="A193" s="117">
        <v>540148</v>
      </c>
      <c r="B193" s="2" t="s">
        <v>226</v>
      </c>
      <c r="C193" s="2" t="s">
        <v>63</v>
      </c>
      <c r="D193" s="2" t="s">
        <v>115</v>
      </c>
      <c r="E193" s="117">
        <v>4</v>
      </c>
      <c r="F193" s="117">
        <v>1</v>
      </c>
      <c r="G193" s="117">
        <v>0</v>
      </c>
      <c r="H193" s="117">
        <v>0</v>
      </c>
      <c r="I193" s="117">
        <v>0</v>
      </c>
      <c r="J193" s="117">
        <v>0</v>
      </c>
      <c r="K193" s="117">
        <v>1</v>
      </c>
      <c r="L193" s="117">
        <v>0</v>
      </c>
      <c r="M193" s="117">
        <v>0</v>
      </c>
      <c r="N193" s="117">
        <v>0</v>
      </c>
      <c r="O193" s="117">
        <v>0</v>
      </c>
    </row>
    <row r="194" spans="1:15" x14ac:dyDescent="0.25">
      <c r="A194" s="269"/>
      <c r="B194" s="269"/>
      <c r="C194" s="269" t="s">
        <v>63</v>
      </c>
      <c r="D194" s="269"/>
      <c r="E194" s="269"/>
      <c r="F194" s="270">
        <v>1894</v>
      </c>
      <c r="G194" s="270">
        <v>23</v>
      </c>
      <c r="H194" s="270">
        <v>1</v>
      </c>
      <c r="I194" s="270">
        <v>50</v>
      </c>
      <c r="J194" s="270">
        <v>0</v>
      </c>
      <c r="K194" s="270">
        <v>1820</v>
      </c>
      <c r="L194" s="270">
        <v>0</v>
      </c>
      <c r="M194" s="270">
        <v>0</v>
      </c>
      <c r="N194" s="270">
        <v>0</v>
      </c>
      <c r="O194" s="270">
        <v>0</v>
      </c>
    </row>
    <row r="195" spans="1:15" x14ac:dyDescent="0.25">
      <c r="A195" s="117">
        <v>540149</v>
      </c>
      <c r="B195" s="2" t="s">
        <v>64</v>
      </c>
      <c r="C195" s="2" t="s">
        <v>65</v>
      </c>
      <c r="D195" s="2" t="s">
        <v>5</v>
      </c>
      <c r="E195" s="117">
        <v>10</v>
      </c>
      <c r="F195" s="117">
        <v>588</v>
      </c>
      <c r="G195" s="117">
        <v>10</v>
      </c>
      <c r="H195" s="117">
        <v>0</v>
      </c>
      <c r="I195" s="117">
        <v>0</v>
      </c>
      <c r="J195" s="117">
        <v>0</v>
      </c>
      <c r="K195" s="117">
        <v>578</v>
      </c>
      <c r="L195" s="117">
        <v>0</v>
      </c>
      <c r="M195" s="117">
        <v>0</v>
      </c>
      <c r="N195" s="117">
        <v>0</v>
      </c>
      <c r="O195" s="117">
        <v>0</v>
      </c>
    </row>
    <row r="196" spans="1:15" x14ac:dyDescent="0.25">
      <c r="A196" s="117">
        <v>540080</v>
      </c>
      <c r="B196" s="2" t="s">
        <v>175</v>
      </c>
      <c r="C196" s="2" t="s">
        <v>65</v>
      </c>
      <c r="D196" s="2" t="s">
        <v>115</v>
      </c>
      <c r="E196" s="117">
        <v>10</v>
      </c>
      <c r="F196" s="117">
        <v>2</v>
      </c>
      <c r="G196" s="117">
        <v>1</v>
      </c>
      <c r="H196" s="117">
        <v>0</v>
      </c>
      <c r="I196" s="117">
        <v>0</v>
      </c>
      <c r="J196" s="117">
        <v>0</v>
      </c>
      <c r="K196" s="117">
        <v>1</v>
      </c>
      <c r="L196" s="117">
        <v>0</v>
      </c>
      <c r="M196" s="117">
        <v>0</v>
      </c>
      <c r="N196" s="117">
        <v>0</v>
      </c>
      <c r="O196" s="117">
        <v>0</v>
      </c>
    </row>
    <row r="197" spans="1:15" x14ac:dyDescent="0.25">
      <c r="A197" s="117">
        <v>540094</v>
      </c>
      <c r="B197" s="2" t="s">
        <v>185</v>
      </c>
      <c r="C197" s="2" t="s">
        <v>65</v>
      </c>
      <c r="D197" s="2" t="s">
        <v>115</v>
      </c>
      <c r="E197" s="117">
        <v>10</v>
      </c>
      <c r="F197" s="117">
        <v>5</v>
      </c>
      <c r="G197" s="117">
        <v>0</v>
      </c>
      <c r="H197" s="117">
        <v>0</v>
      </c>
      <c r="I197" s="117">
        <v>0</v>
      </c>
      <c r="J197" s="117">
        <v>0</v>
      </c>
      <c r="K197" s="117">
        <v>5</v>
      </c>
      <c r="L197" s="117">
        <v>0</v>
      </c>
      <c r="M197" s="117">
        <v>0</v>
      </c>
      <c r="N197" s="117">
        <v>0</v>
      </c>
      <c r="O197" s="117">
        <v>0</v>
      </c>
    </row>
    <row r="198" spans="1:15" x14ac:dyDescent="0.25">
      <c r="A198" s="117">
        <v>540150</v>
      </c>
      <c r="B198" s="2" t="s">
        <v>227</v>
      </c>
      <c r="C198" s="2" t="s">
        <v>65</v>
      </c>
      <c r="D198" s="2" t="s">
        <v>115</v>
      </c>
      <c r="E198" s="117">
        <v>10</v>
      </c>
      <c r="F198" s="117">
        <v>1</v>
      </c>
      <c r="G198" s="117">
        <v>0</v>
      </c>
      <c r="H198" s="117">
        <v>0</v>
      </c>
      <c r="I198" s="117">
        <v>0</v>
      </c>
      <c r="J198" s="117">
        <v>0</v>
      </c>
      <c r="K198" s="117">
        <v>1</v>
      </c>
      <c r="L198" s="117">
        <v>0</v>
      </c>
      <c r="M198" s="117">
        <v>0</v>
      </c>
      <c r="N198" s="117">
        <v>0</v>
      </c>
      <c r="O198" s="117">
        <v>0</v>
      </c>
    </row>
    <row r="199" spans="1:15" x14ac:dyDescent="0.25">
      <c r="A199" s="117">
        <v>540151</v>
      </c>
      <c r="B199" s="2" t="s">
        <v>228</v>
      </c>
      <c r="C199" s="2" t="s">
        <v>65</v>
      </c>
      <c r="D199" s="2" t="s">
        <v>115</v>
      </c>
      <c r="E199" s="117">
        <v>10</v>
      </c>
      <c r="F199" s="117">
        <v>2</v>
      </c>
      <c r="G199" s="117">
        <v>0</v>
      </c>
      <c r="H199" s="117">
        <v>0</v>
      </c>
      <c r="I199" s="117">
        <v>0</v>
      </c>
      <c r="J199" s="117">
        <v>0</v>
      </c>
      <c r="K199" s="117">
        <v>2</v>
      </c>
      <c r="L199" s="117">
        <v>0</v>
      </c>
      <c r="M199" s="117">
        <v>0</v>
      </c>
      <c r="N199" s="117">
        <v>0</v>
      </c>
      <c r="O199" s="117">
        <v>0</v>
      </c>
    </row>
    <row r="200" spans="1:15" x14ac:dyDescent="0.25">
      <c r="A200" s="117">
        <v>540152</v>
      </c>
      <c r="B200" s="2" t="s">
        <v>229</v>
      </c>
      <c r="C200" s="2" t="s">
        <v>65</v>
      </c>
      <c r="D200" s="2" t="s">
        <v>115</v>
      </c>
      <c r="E200" s="117">
        <v>10</v>
      </c>
      <c r="F200" s="117">
        <v>78</v>
      </c>
      <c r="G200" s="117">
        <v>0</v>
      </c>
      <c r="H200" s="117">
        <v>0</v>
      </c>
      <c r="I200" s="117">
        <v>0</v>
      </c>
      <c r="J200" s="117">
        <v>0</v>
      </c>
      <c r="K200" s="117">
        <v>78</v>
      </c>
      <c r="L200" s="117">
        <v>0</v>
      </c>
      <c r="M200" s="117">
        <v>0</v>
      </c>
      <c r="N200" s="117">
        <v>0</v>
      </c>
      <c r="O200" s="117">
        <v>0</v>
      </c>
    </row>
    <row r="201" spans="1:15" x14ac:dyDescent="0.25">
      <c r="A201" s="117">
        <v>540275</v>
      </c>
      <c r="B201" s="2" t="s">
        <v>318</v>
      </c>
      <c r="C201" s="2" t="s">
        <v>65</v>
      </c>
      <c r="D201" s="2" t="s">
        <v>115</v>
      </c>
      <c r="E201" s="117">
        <v>10</v>
      </c>
      <c r="F201" s="117">
        <v>26</v>
      </c>
      <c r="G201" s="117">
        <v>0</v>
      </c>
      <c r="H201" s="117">
        <v>0</v>
      </c>
      <c r="I201" s="117">
        <v>0</v>
      </c>
      <c r="J201" s="117">
        <v>0</v>
      </c>
      <c r="K201" s="117">
        <v>26</v>
      </c>
      <c r="L201" s="117">
        <v>0</v>
      </c>
      <c r="M201" s="117">
        <v>0</v>
      </c>
      <c r="N201" s="117">
        <v>0</v>
      </c>
      <c r="O201" s="117">
        <v>0</v>
      </c>
    </row>
    <row r="202" spans="1:15" x14ac:dyDescent="0.25">
      <c r="A202" s="269"/>
      <c r="B202" s="269"/>
      <c r="C202" s="269" t="s">
        <v>65</v>
      </c>
      <c r="D202" s="269"/>
      <c r="E202" s="269"/>
      <c r="F202" s="270">
        <v>702</v>
      </c>
      <c r="G202" s="270">
        <v>11</v>
      </c>
      <c r="H202" s="270">
        <v>0</v>
      </c>
      <c r="I202" s="270">
        <v>0</v>
      </c>
      <c r="J202" s="270">
        <v>0</v>
      </c>
      <c r="K202" s="270">
        <v>691</v>
      </c>
      <c r="L202" s="270">
        <v>0</v>
      </c>
      <c r="M202" s="270">
        <v>0</v>
      </c>
      <c r="N202" s="270">
        <v>0</v>
      </c>
      <c r="O202" s="270">
        <v>0</v>
      </c>
    </row>
    <row r="203" spans="1:15" x14ac:dyDescent="0.25">
      <c r="A203" s="117">
        <v>540153</v>
      </c>
      <c r="B203" s="2" t="s">
        <v>66</v>
      </c>
      <c r="C203" s="2" t="s">
        <v>67</v>
      </c>
      <c r="D203" s="2" t="s">
        <v>5</v>
      </c>
      <c r="E203" s="117">
        <v>8</v>
      </c>
      <c r="F203" s="117">
        <v>700</v>
      </c>
      <c r="G203" s="117">
        <v>76</v>
      </c>
      <c r="H203" s="117">
        <v>0</v>
      </c>
      <c r="I203" s="117">
        <v>5</v>
      </c>
      <c r="J203" s="117">
        <v>37</v>
      </c>
      <c r="K203" s="117">
        <v>576</v>
      </c>
      <c r="L203" s="117">
        <v>0</v>
      </c>
      <c r="M203" s="117">
        <v>0</v>
      </c>
      <c r="N203" s="117">
        <v>0</v>
      </c>
      <c r="O203" s="117">
        <v>6</v>
      </c>
    </row>
    <row r="204" spans="1:15" x14ac:dyDescent="0.25">
      <c r="A204" s="117">
        <v>540154</v>
      </c>
      <c r="B204" s="2" t="s">
        <v>230</v>
      </c>
      <c r="C204" s="2" t="s">
        <v>67</v>
      </c>
      <c r="D204" s="2" t="s">
        <v>115</v>
      </c>
      <c r="E204" s="117">
        <v>8</v>
      </c>
      <c r="F204" s="117">
        <v>0</v>
      </c>
      <c r="G204" s="117">
        <v>0</v>
      </c>
      <c r="H204" s="117">
        <v>0</v>
      </c>
      <c r="I204" s="117">
        <v>0</v>
      </c>
      <c r="J204" s="117">
        <v>0</v>
      </c>
      <c r="K204" s="117">
        <v>0</v>
      </c>
      <c r="L204" s="117">
        <v>0</v>
      </c>
      <c r="M204" s="117">
        <v>0</v>
      </c>
      <c r="N204" s="117">
        <v>0</v>
      </c>
      <c r="O204" s="117">
        <v>0</v>
      </c>
    </row>
    <row r="205" spans="1:15" x14ac:dyDescent="0.25">
      <c r="A205" s="269"/>
      <c r="B205" s="269"/>
      <c r="C205" s="269" t="s">
        <v>67</v>
      </c>
      <c r="D205" s="269"/>
      <c r="E205" s="269"/>
      <c r="F205" s="270">
        <v>700</v>
      </c>
      <c r="G205" s="270">
        <v>76</v>
      </c>
      <c r="H205" s="270">
        <v>0</v>
      </c>
      <c r="I205" s="270">
        <v>5</v>
      </c>
      <c r="J205" s="270">
        <v>37</v>
      </c>
      <c r="K205" s="270">
        <v>576</v>
      </c>
      <c r="L205" s="270">
        <v>0</v>
      </c>
      <c r="M205" s="270">
        <v>0</v>
      </c>
      <c r="N205" s="270">
        <v>0</v>
      </c>
      <c r="O205" s="270">
        <v>6</v>
      </c>
    </row>
    <row r="206" spans="1:15" x14ac:dyDescent="0.25">
      <c r="A206" s="117">
        <v>540160</v>
      </c>
      <c r="B206" s="2" t="s">
        <v>68</v>
      </c>
      <c r="C206" s="2" t="s">
        <v>69</v>
      </c>
      <c r="D206" s="2" t="s">
        <v>5</v>
      </c>
      <c r="E206" s="117">
        <v>6</v>
      </c>
      <c r="F206" s="117">
        <v>1115</v>
      </c>
      <c r="G206" s="117">
        <v>14</v>
      </c>
      <c r="H206" s="117">
        <v>0</v>
      </c>
      <c r="I206" s="117">
        <v>29</v>
      </c>
      <c r="J206" s="117">
        <v>2</v>
      </c>
      <c r="K206" s="117">
        <v>1070</v>
      </c>
      <c r="L206" s="117">
        <v>0</v>
      </c>
      <c r="M206" s="117">
        <v>0</v>
      </c>
      <c r="N206" s="117">
        <v>0</v>
      </c>
      <c r="O206" s="117">
        <v>0</v>
      </c>
    </row>
    <row r="207" spans="1:15" x14ac:dyDescent="0.25">
      <c r="A207" s="117">
        <v>540137</v>
      </c>
      <c r="B207" s="2" t="s">
        <v>220</v>
      </c>
      <c r="C207" s="2" t="s">
        <v>69</v>
      </c>
      <c r="D207" s="2" t="s">
        <v>115</v>
      </c>
      <c r="E207" s="117">
        <v>6</v>
      </c>
      <c r="F207" s="117">
        <v>0</v>
      </c>
      <c r="G207" s="117">
        <v>0</v>
      </c>
      <c r="H207" s="117">
        <v>0</v>
      </c>
      <c r="I207" s="117">
        <v>0</v>
      </c>
      <c r="J207" s="117">
        <v>0</v>
      </c>
      <c r="K207" s="117">
        <v>0</v>
      </c>
      <c r="L207" s="117">
        <v>0</v>
      </c>
      <c r="M207" s="117">
        <v>0</v>
      </c>
      <c r="N207" s="117">
        <v>0</v>
      </c>
      <c r="O207" s="117">
        <v>0</v>
      </c>
    </row>
    <row r="208" spans="1:15" x14ac:dyDescent="0.25">
      <c r="A208" s="117">
        <v>540161</v>
      </c>
      <c r="B208" s="2" t="s">
        <v>235</v>
      </c>
      <c r="C208" s="2" t="s">
        <v>69</v>
      </c>
      <c r="D208" s="2" t="s">
        <v>115</v>
      </c>
      <c r="E208" s="117">
        <v>6</v>
      </c>
      <c r="F208" s="117">
        <v>0</v>
      </c>
      <c r="G208" s="117">
        <v>0</v>
      </c>
      <c r="H208" s="117">
        <v>0</v>
      </c>
      <c r="I208" s="117">
        <v>0</v>
      </c>
      <c r="J208" s="117">
        <v>0</v>
      </c>
      <c r="K208" s="117">
        <v>0</v>
      </c>
      <c r="L208" s="117">
        <v>0</v>
      </c>
      <c r="M208" s="117">
        <v>0</v>
      </c>
      <c r="N208" s="117">
        <v>0</v>
      </c>
      <c r="O208" s="117">
        <v>0</v>
      </c>
    </row>
    <row r="209" spans="1:15" x14ac:dyDescent="0.25">
      <c r="A209" s="117">
        <v>540162</v>
      </c>
      <c r="B209" s="2" t="s">
        <v>236</v>
      </c>
      <c r="C209" s="2" t="s">
        <v>69</v>
      </c>
      <c r="D209" s="2" t="s">
        <v>115</v>
      </c>
      <c r="E209" s="117">
        <v>6</v>
      </c>
      <c r="F209" s="117">
        <v>0</v>
      </c>
      <c r="G209" s="117">
        <v>0</v>
      </c>
      <c r="H209" s="117">
        <v>0</v>
      </c>
      <c r="I209" s="117">
        <v>0</v>
      </c>
      <c r="J209" s="117">
        <v>0</v>
      </c>
      <c r="K209" s="117">
        <v>0</v>
      </c>
      <c r="L209" s="117">
        <v>0</v>
      </c>
      <c r="M209" s="117">
        <v>0</v>
      </c>
      <c r="N209" s="117">
        <v>0</v>
      </c>
      <c r="O209" s="117">
        <v>0</v>
      </c>
    </row>
    <row r="210" spans="1:15" x14ac:dyDescent="0.25">
      <c r="A210" s="117">
        <v>540163</v>
      </c>
      <c r="B210" s="2" t="s">
        <v>237</v>
      </c>
      <c r="C210" s="2" t="s">
        <v>69</v>
      </c>
      <c r="D210" s="2" t="s">
        <v>115</v>
      </c>
      <c r="E210" s="117">
        <v>6</v>
      </c>
      <c r="F210" s="117">
        <v>3</v>
      </c>
      <c r="G210" s="117">
        <v>0</v>
      </c>
      <c r="H210" s="117">
        <v>0</v>
      </c>
      <c r="I210" s="117">
        <v>0</v>
      </c>
      <c r="J210" s="117">
        <v>0</v>
      </c>
      <c r="K210" s="117">
        <v>3</v>
      </c>
      <c r="L210" s="117">
        <v>0</v>
      </c>
      <c r="M210" s="117">
        <v>0</v>
      </c>
      <c r="N210" s="117">
        <v>0</v>
      </c>
      <c r="O210" s="117">
        <v>0</v>
      </c>
    </row>
    <row r="211" spans="1:15" x14ac:dyDescent="0.25">
      <c r="A211" s="117">
        <v>540254</v>
      </c>
      <c r="B211" s="2" t="s">
        <v>300</v>
      </c>
      <c r="C211" s="2" t="s">
        <v>69</v>
      </c>
      <c r="D211" s="2" t="s">
        <v>115</v>
      </c>
      <c r="E211" s="117">
        <v>6</v>
      </c>
      <c r="F211" s="117">
        <v>1</v>
      </c>
      <c r="G211" s="117">
        <v>0</v>
      </c>
      <c r="H211" s="117">
        <v>0</v>
      </c>
      <c r="I211" s="117">
        <v>0</v>
      </c>
      <c r="J211" s="117">
        <v>0</v>
      </c>
      <c r="K211" s="117">
        <v>1</v>
      </c>
      <c r="L211" s="117">
        <v>0</v>
      </c>
      <c r="M211" s="117">
        <v>0</v>
      </c>
      <c r="N211" s="117">
        <v>0</v>
      </c>
      <c r="O211" s="117">
        <v>0</v>
      </c>
    </row>
    <row r="212" spans="1:15" x14ac:dyDescent="0.25">
      <c r="A212" s="117">
        <v>540257</v>
      </c>
      <c r="B212" s="2" t="s">
        <v>302</v>
      </c>
      <c r="C212" s="2" t="s">
        <v>69</v>
      </c>
      <c r="D212" s="2" t="s">
        <v>115</v>
      </c>
      <c r="E212" s="117">
        <v>6</v>
      </c>
      <c r="F212" s="117">
        <v>1</v>
      </c>
      <c r="G212" s="117">
        <v>0</v>
      </c>
      <c r="H212" s="117">
        <v>0</v>
      </c>
      <c r="I212" s="117">
        <v>0</v>
      </c>
      <c r="J212" s="117">
        <v>0</v>
      </c>
      <c r="K212" s="117">
        <v>1</v>
      </c>
      <c r="L212" s="117">
        <v>0</v>
      </c>
      <c r="M212" s="117">
        <v>0</v>
      </c>
      <c r="N212" s="117">
        <v>0</v>
      </c>
      <c r="O212" s="117">
        <v>0</v>
      </c>
    </row>
    <row r="213" spans="1:15" x14ac:dyDescent="0.25">
      <c r="A213" s="117">
        <v>540268</v>
      </c>
      <c r="B213" s="2" t="s">
        <v>311</v>
      </c>
      <c r="C213" s="2" t="s">
        <v>69</v>
      </c>
      <c r="D213" s="2" t="s">
        <v>115</v>
      </c>
      <c r="E213" s="117">
        <v>6</v>
      </c>
      <c r="F213" s="117">
        <v>2</v>
      </c>
      <c r="G213" s="117">
        <v>0</v>
      </c>
      <c r="H213" s="117">
        <v>0</v>
      </c>
      <c r="I213" s="117">
        <v>0</v>
      </c>
      <c r="J213" s="117">
        <v>0</v>
      </c>
      <c r="K213" s="117">
        <v>2</v>
      </c>
      <c r="L213" s="117">
        <v>0</v>
      </c>
      <c r="M213" s="117">
        <v>0</v>
      </c>
      <c r="N213" s="117">
        <v>0</v>
      </c>
      <c r="O213" s="117">
        <v>0</v>
      </c>
    </row>
    <row r="214" spans="1:15" x14ac:dyDescent="0.25">
      <c r="A214" s="117">
        <v>540269</v>
      </c>
      <c r="B214" s="2" t="s">
        <v>312</v>
      </c>
      <c r="C214" s="2" t="s">
        <v>69</v>
      </c>
      <c r="D214" s="2" t="s">
        <v>115</v>
      </c>
      <c r="E214" s="117">
        <v>6</v>
      </c>
      <c r="F214" s="117">
        <v>0</v>
      </c>
      <c r="G214" s="117">
        <v>0</v>
      </c>
      <c r="H214" s="117">
        <v>0</v>
      </c>
      <c r="I214" s="117">
        <v>0</v>
      </c>
      <c r="J214" s="117">
        <v>0</v>
      </c>
      <c r="K214" s="117">
        <v>0</v>
      </c>
      <c r="L214" s="117">
        <v>0</v>
      </c>
      <c r="M214" s="117">
        <v>0</v>
      </c>
      <c r="N214" s="117">
        <v>0</v>
      </c>
      <c r="O214" s="117">
        <v>0</v>
      </c>
    </row>
    <row r="215" spans="1:15" x14ac:dyDescent="0.25">
      <c r="A215" s="117">
        <v>540270</v>
      </c>
      <c r="B215" s="2" t="s">
        <v>313</v>
      </c>
      <c r="C215" s="2" t="s">
        <v>69</v>
      </c>
      <c r="D215" s="2" t="s">
        <v>115</v>
      </c>
      <c r="E215" s="117">
        <v>6</v>
      </c>
      <c r="F215" s="117">
        <v>0</v>
      </c>
      <c r="G215" s="117">
        <v>0</v>
      </c>
      <c r="H215" s="117">
        <v>0</v>
      </c>
      <c r="I215" s="117">
        <v>0</v>
      </c>
      <c r="J215" s="117">
        <v>0</v>
      </c>
      <c r="K215" s="117">
        <v>0</v>
      </c>
      <c r="L215" s="117">
        <v>0</v>
      </c>
      <c r="M215" s="117">
        <v>0</v>
      </c>
      <c r="N215" s="117">
        <v>0</v>
      </c>
      <c r="O215" s="117">
        <v>0</v>
      </c>
    </row>
    <row r="216" spans="1:15" x14ac:dyDescent="0.25">
      <c r="A216" s="117">
        <v>540284</v>
      </c>
      <c r="B216" s="2" t="s">
        <v>323</v>
      </c>
      <c r="C216" s="2" t="s">
        <v>69</v>
      </c>
      <c r="D216" s="2" t="s">
        <v>115</v>
      </c>
      <c r="E216" s="117">
        <v>6</v>
      </c>
      <c r="F216" s="117">
        <v>0</v>
      </c>
      <c r="G216" s="117">
        <v>0</v>
      </c>
      <c r="H216" s="117">
        <v>0</v>
      </c>
      <c r="I216" s="117">
        <v>0</v>
      </c>
      <c r="J216" s="117">
        <v>0</v>
      </c>
      <c r="K216" s="117">
        <v>0</v>
      </c>
      <c r="L216" s="117">
        <v>0</v>
      </c>
      <c r="M216" s="117">
        <v>0</v>
      </c>
      <c r="N216" s="117">
        <v>0</v>
      </c>
      <c r="O216" s="117">
        <v>0</v>
      </c>
    </row>
    <row r="217" spans="1:15" x14ac:dyDescent="0.25">
      <c r="A217" s="269"/>
      <c r="B217" s="269"/>
      <c r="C217" s="269" t="s">
        <v>69</v>
      </c>
      <c r="D217" s="269"/>
      <c r="E217" s="269"/>
      <c r="F217" s="270">
        <v>1122</v>
      </c>
      <c r="G217" s="270">
        <v>14</v>
      </c>
      <c r="H217" s="270">
        <v>0</v>
      </c>
      <c r="I217" s="270">
        <v>29</v>
      </c>
      <c r="J217" s="270">
        <v>2</v>
      </c>
      <c r="K217" s="270">
        <v>1077</v>
      </c>
      <c r="L217" s="270">
        <v>0</v>
      </c>
      <c r="M217" s="270">
        <v>0</v>
      </c>
      <c r="N217" s="270">
        <v>0</v>
      </c>
      <c r="O217" s="270">
        <v>0</v>
      </c>
    </row>
    <row r="218" spans="1:15" x14ac:dyDescent="0.25">
      <c r="A218" s="117">
        <v>540164</v>
      </c>
      <c r="B218" s="2" t="s">
        <v>70</v>
      </c>
      <c r="C218" s="2" t="s">
        <v>71</v>
      </c>
      <c r="D218" s="2" t="s">
        <v>5</v>
      </c>
      <c r="E218" s="117">
        <v>3</v>
      </c>
      <c r="F218" s="117">
        <v>4541</v>
      </c>
      <c r="G218" s="117">
        <v>8</v>
      </c>
      <c r="H218" s="117">
        <v>0</v>
      </c>
      <c r="I218" s="117">
        <v>0</v>
      </c>
      <c r="J218" s="117">
        <v>2</v>
      </c>
      <c r="K218" s="117">
        <v>4531</v>
      </c>
      <c r="L218" s="117">
        <v>0</v>
      </c>
      <c r="M218" s="117">
        <v>0</v>
      </c>
      <c r="N218" s="117">
        <v>0</v>
      </c>
      <c r="O218" s="117">
        <v>0</v>
      </c>
    </row>
    <row r="219" spans="1:15" x14ac:dyDescent="0.25">
      <c r="A219" s="117">
        <v>540081</v>
      </c>
      <c r="B219" s="2" t="s">
        <v>176</v>
      </c>
      <c r="C219" s="2" t="s">
        <v>71</v>
      </c>
      <c r="D219" s="2" t="s">
        <v>115</v>
      </c>
      <c r="E219" s="117">
        <v>3</v>
      </c>
      <c r="F219" s="117">
        <v>0</v>
      </c>
      <c r="G219" s="117">
        <v>0</v>
      </c>
      <c r="H219" s="117">
        <v>0</v>
      </c>
      <c r="I219" s="117">
        <v>0</v>
      </c>
      <c r="J219" s="117">
        <v>0</v>
      </c>
      <c r="K219" s="117">
        <v>0</v>
      </c>
      <c r="L219" s="117">
        <v>0</v>
      </c>
      <c r="M219" s="117">
        <v>0</v>
      </c>
      <c r="N219" s="117">
        <v>0</v>
      </c>
      <c r="O219" s="117">
        <v>0</v>
      </c>
    </row>
    <row r="220" spans="1:15" x14ac:dyDescent="0.25">
      <c r="A220" s="117">
        <v>540165</v>
      </c>
      <c r="B220" s="2" t="s">
        <v>238</v>
      </c>
      <c r="C220" s="2" t="s">
        <v>71</v>
      </c>
      <c r="D220" s="2" t="s">
        <v>115</v>
      </c>
      <c r="E220" s="117">
        <v>3</v>
      </c>
      <c r="F220" s="117">
        <v>0</v>
      </c>
      <c r="G220" s="117">
        <v>0</v>
      </c>
      <c r="H220" s="117">
        <v>0</v>
      </c>
      <c r="I220" s="117">
        <v>0</v>
      </c>
      <c r="J220" s="117">
        <v>0</v>
      </c>
      <c r="K220" s="117">
        <v>0</v>
      </c>
      <c r="L220" s="117">
        <v>0</v>
      </c>
      <c r="M220" s="117">
        <v>0</v>
      </c>
      <c r="N220" s="117">
        <v>0</v>
      </c>
      <c r="O220" s="117">
        <v>0</v>
      </c>
    </row>
    <row r="221" spans="1:15" x14ac:dyDescent="0.25">
      <c r="A221" s="117">
        <v>540166</v>
      </c>
      <c r="B221" s="2" t="s">
        <v>239</v>
      </c>
      <c r="C221" s="2" t="s">
        <v>71</v>
      </c>
      <c r="D221" s="2" t="s">
        <v>115</v>
      </c>
      <c r="E221" s="117">
        <v>3</v>
      </c>
      <c r="F221" s="117">
        <v>5</v>
      </c>
      <c r="G221" s="117">
        <v>0</v>
      </c>
      <c r="H221" s="117">
        <v>0</v>
      </c>
      <c r="I221" s="117">
        <v>0</v>
      </c>
      <c r="J221" s="117">
        <v>0</v>
      </c>
      <c r="K221" s="117">
        <v>5</v>
      </c>
      <c r="L221" s="117">
        <v>0</v>
      </c>
      <c r="M221" s="117">
        <v>0</v>
      </c>
      <c r="N221" s="117">
        <v>0</v>
      </c>
      <c r="O221" s="117">
        <v>0</v>
      </c>
    </row>
    <row r="222" spans="1:15" x14ac:dyDescent="0.25">
      <c r="A222" s="117">
        <v>540167</v>
      </c>
      <c r="B222" s="2" t="s">
        <v>240</v>
      </c>
      <c r="C222" s="2" t="s">
        <v>71</v>
      </c>
      <c r="D222" s="2" t="s">
        <v>115</v>
      </c>
      <c r="E222" s="117">
        <v>3</v>
      </c>
      <c r="F222" s="117">
        <v>11</v>
      </c>
      <c r="G222" s="117">
        <v>0</v>
      </c>
      <c r="H222" s="117">
        <v>0</v>
      </c>
      <c r="I222" s="117">
        <v>0</v>
      </c>
      <c r="J222" s="117">
        <v>0</v>
      </c>
      <c r="K222" s="117">
        <v>11</v>
      </c>
      <c r="L222" s="117">
        <v>0</v>
      </c>
      <c r="M222" s="117">
        <v>0</v>
      </c>
      <c r="N222" s="117">
        <v>0</v>
      </c>
      <c r="O222" s="117">
        <v>0</v>
      </c>
    </row>
    <row r="223" spans="1:15" x14ac:dyDescent="0.25">
      <c r="A223" s="117">
        <v>540168</v>
      </c>
      <c r="B223" s="2" t="s">
        <v>241</v>
      </c>
      <c r="C223" s="2" t="s">
        <v>71</v>
      </c>
      <c r="D223" s="2" t="s">
        <v>115</v>
      </c>
      <c r="E223" s="117">
        <v>3</v>
      </c>
      <c r="F223" s="117">
        <v>0</v>
      </c>
      <c r="G223" s="117">
        <v>0</v>
      </c>
      <c r="H223" s="117">
        <v>0</v>
      </c>
      <c r="I223" s="117">
        <v>0</v>
      </c>
      <c r="J223" s="117">
        <v>0</v>
      </c>
      <c r="K223" s="117">
        <v>0</v>
      </c>
      <c r="L223" s="117">
        <v>0</v>
      </c>
      <c r="M223" s="117">
        <v>0</v>
      </c>
      <c r="N223" s="117">
        <v>0</v>
      </c>
      <c r="O223" s="117">
        <v>0</v>
      </c>
    </row>
    <row r="224" spans="1:15" x14ac:dyDescent="0.25">
      <c r="A224" s="117">
        <v>540222</v>
      </c>
      <c r="B224" s="2" t="s">
        <v>276</v>
      </c>
      <c r="C224" s="2" t="s">
        <v>71</v>
      </c>
      <c r="D224" s="2" t="s">
        <v>115</v>
      </c>
      <c r="E224" s="117">
        <v>3</v>
      </c>
      <c r="F224" s="117">
        <v>14</v>
      </c>
      <c r="G224" s="117">
        <v>0</v>
      </c>
      <c r="H224" s="117">
        <v>0</v>
      </c>
      <c r="I224" s="117">
        <v>0</v>
      </c>
      <c r="J224" s="117">
        <v>0</v>
      </c>
      <c r="K224" s="117">
        <v>14</v>
      </c>
      <c r="L224" s="117">
        <v>0</v>
      </c>
      <c r="M224" s="117">
        <v>0</v>
      </c>
      <c r="N224" s="117">
        <v>0</v>
      </c>
      <c r="O224" s="117">
        <v>0</v>
      </c>
    </row>
    <row r="225" spans="1:15" x14ac:dyDescent="0.25">
      <c r="A225" s="117">
        <v>540271</v>
      </c>
      <c r="B225" s="2" t="s">
        <v>314</v>
      </c>
      <c r="C225" s="2" t="s">
        <v>71</v>
      </c>
      <c r="D225" s="2" t="s">
        <v>115</v>
      </c>
      <c r="E225" s="117">
        <v>3</v>
      </c>
      <c r="F225" s="117">
        <v>38</v>
      </c>
      <c r="G225" s="117">
        <v>1</v>
      </c>
      <c r="H225" s="117">
        <v>0</v>
      </c>
      <c r="I225" s="117">
        <v>0</v>
      </c>
      <c r="J225" s="117">
        <v>0</v>
      </c>
      <c r="K225" s="117">
        <v>37</v>
      </c>
      <c r="L225" s="117">
        <v>0</v>
      </c>
      <c r="M225" s="117">
        <v>0</v>
      </c>
      <c r="N225" s="117">
        <v>0</v>
      </c>
      <c r="O225" s="117">
        <v>0</v>
      </c>
    </row>
    <row r="226" spans="1:15" x14ac:dyDescent="0.25">
      <c r="A226" s="269"/>
      <c r="B226" s="269"/>
      <c r="C226" s="269" t="s">
        <v>71</v>
      </c>
      <c r="D226" s="269"/>
      <c r="E226" s="269"/>
      <c r="F226" s="270">
        <v>4609</v>
      </c>
      <c r="G226" s="270">
        <v>9</v>
      </c>
      <c r="H226" s="270">
        <v>0</v>
      </c>
      <c r="I226" s="270">
        <v>0</v>
      </c>
      <c r="J226" s="270">
        <v>2</v>
      </c>
      <c r="K226" s="270">
        <v>4598</v>
      </c>
      <c r="L226" s="270">
        <v>0</v>
      </c>
      <c r="M226" s="270">
        <v>0</v>
      </c>
      <c r="N226" s="270">
        <v>0</v>
      </c>
      <c r="O226" s="270">
        <v>0</v>
      </c>
    </row>
    <row r="227" spans="1:15" x14ac:dyDescent="0.25">
      <c r="A227" s="117">
        <v>540169</v>
      </c>
      <c r="B227" s="2" t="s">
        <v>72</v>
      </c>
      <c r="C227" s="2" t="s">
        <v>73</v>
      </c>
      <c r="D227" s="2" t="s">
        <v>5</v>
      </c>
      <c r="E227" s="117">
        <v>1</v>
      </c>
      <c r="F227" s="117">
        <v>1503</v>
      </c>
      <c r="G227" s="117">
        <v>26</v>
      </c>
      <c r="H227" s="117">
        <v>0</v>
      </c>
      <c r="I227" s="117">
        <v>28</v>
      </c>
      <c r="J227" s="117">
        <v>1</v>
      </c>
      <c r="K227" s="117">
        <v>1448</v>
      </c>
      <c r="L227" s="117">
        <v>0</v>
      </c>
      <c r="M227" s="117">
        <v>0</v>
      </c>
      <c r="N227" s="117">
        <v>0</v>
      </c>
      <c r="O227" s="117">
        <v>0</v>
      </c>
    </row>
    <row r="228" spans="1:15" x14ac:dyDescent="0.25">
      <c r="A228" s="117">
        <v>540170</v>
      </c>
      <c r="B228" s="2" t="s">
        <v>242</v>
      </c>
      <c r="C228" s="2" t="s">
        <v>73</v>
      </c>
      <c r="D228" s="2" t="s">
        <v>115</v>
      </c>
      <c r="E228" s="117">
        <v>1</v>
      </c>
      <c r="F228" s="117">
        <v>4</v>
      </c>
      <c r="G228" s="117">
        <v>0</v>
      </c>
      <c r="H228" s="117">
        <v>0</v>
      </c>
      <c r="I228" s="117">
        <v>0</v>
      </c>
      <c r="J228" s="117">
        <v>0</v>
      </c>
      <c r="K228" s="117">
        <v>4</v>
      </c>
      <c r="L228" s="117">
        <v>0</v>
      </c>
      <c r="M228" s="117">
        <v>0</v>
      </c>
      <c r="N228" s="117">
        <v>0</v>
      </c>
      <c r="O228" s="117">
        <v>0</v>
      </c>
    </row>
    <row r="229" spans="1:15" x14ac:dyDescent="0.25">
      <c r="A229" s="117">
        <v>540171</v>
      </c>
      <c r="B229" s="2" t="s">
        <v>243</v>
      </c>
      <c r="C229" s="2" t="s">
        <v>73</v>
      </c>
      <c r="D229" s="2" t="s">
        <v>115</v>
      </c>
      <c r="E229" s="117">
        <v>1</v>
      </c>
      <c r="F229" s="117">
        <v>0</v>
      </c>
      <c r="G229" s="117">
        <v>0</v>
      </c>
      <c r="H229" s="117">
        <v>0</v>
      </c>
      <c r="I229" s="117">
        <v>0</v>
      </c>
      <c r="J229" s="117">
        <v>0</v>
      </c>
      <c r="K229" s="117">
        <v>0</v>
      </c>
      <c r="L229" s="117">
        <v>0</v>
      </c>
      <c r="M229" s="117">
        <v>0</v>
      </c>
      <c r="N229" s="117">
        <v>0</v>
      </c>
      <c r="O229" s="117">
        <v>0</v>
      </c>
    </row>
    <row r="230" spans="1:15" x14ac:dyDescent="0.25">
      <c r="A230" s="117">
        <v>540173</v>
      </c>
      <c r="B230" s="2" t="s">
        <v>245</v>
      </c>
      <c r="C230" s="2" t="s">
        <v>73</v>
      </c>
      <c r="D230" s="2" t="s">
        <v>115</v>
      </c>
      <c r="E230" s="117">
        <v>1</v>
      </c>
      <c r="F230" s="117">
        <v>0</v>
      </c>
      <c r="G230" s="117">
        <v>0</v>
      </c>
      <c r="H230" s="117">
        <v>0</v>
      </c>
      <c r="I230" s="117">
        <v>0</v>
      </c>
      <c r="J230" s="117">
        <v>0</v>
      </c>
      <c r="K230" s="117">
        <v>0</v>
      </c>
      <c r="L230" s="117">
        <v>0</v>
      </c>
      <c r="M230" s="117">
        <v>0</v>
      </c>
      <c r="N230" s="117">
        <v>0</v>
      </c>
      <c r="O230" s="117">
        <v>0</v>
      </c>
    </row>
    <row r="231" spans="1:15" x14ac:dyDescent="0.25">
      <c r="A231" s="117">
        <v>540174</v>
      </c>
      <c r="B231" s="2" t="s">
        <v>246</v>
      </c>
      <c r="C231" s="2" t="s">
        <v>73</v>
      </c>
      <c r="D231" s="2" t="s">
        <v>115</v>
      </c>
      <c r="E231" s="117">
        <v>1</v>
      </c>
      <c r="F231" s="117">
        <v>0</v>
      </c>
      <c r="G231" s="117">
        <v>0</v>
      </c>
      <c r="H231" s="117">
        <v>0</v>
      </c>
      <c r="I231" s="117">
        <v>0</v>
      </c>
      <c r="J231" s="117">
        <v>0</v>
      </c>
      <c r="K231" s="117">
        <v>0</v>
      </c>
      <c r="L231" s="117">
        <v>0</v>
      </c>
      <c r="M231" s="117">
        <v>0</v>
      </c>
      <c r="N231" s="117">
        <v>0</v>
      </c>
      <c r="O231" s="117">
        <v>0</v>
      </c>
    </row>
    <row r="232" spans="1:15" x14ac:dyDescent="0.25">
      <c r="A232" s="117">
        <v>540286</v>
      </c>
      <c r="B232" s="2" t="s">
        <v>325</v>
      </c>
      <c r="C232" s="2" t="s">
        <v>73</v>
      </c>
      <c r="D232" s="2" t="s">
        <v>115</v>
      </c>
      <c r="E232" s="117">
        <v>1</v>
      </c>
      <c r="F232" s="117">
        <v>0</v>
      </c>
      <c r="G232" s="117">
        <v>0</v>
      </c>
      <c r="H232" s="117">
        <v>0</v>
      </c>
      <c r="I232" s="117">
        <v>0</v>
      </c>
      <c r="J232" s="117">
        <v>0</v>
      </c>
      <c r="K232" s="117">
        <v>0</v>
      </c>
      <c r="L232" s="117">
        <v>0</v>
      </c>
      <c r="M232" s="117">
        <v>0</v>
      </c>
      <c r="N232" s="117">
        <v>0</v>
      </c>
      <c r="O232" s="117">
        <v>0</v>
      </c>
    </row>
    <row r="233" spans="1:15" x14ac:dyDescent="0.25">
      <c r="A233" s="269"/>
      <c r="B233" s="269"/>
      <c r="C233" s="269" t="s">
        <v>73</v>
      </c>
      <c r="D233" s="269"/>
      <c r="E233" s="269"/>
      <c r="F233" s="270">
        <v>1507</v>
      </c>
      <c r="G233" s="270">
        <v>26</v>
      </c>
      <c r="H233" s="270">
        <v>0</v>
      </c>
      <c r="I233" s="270">
        <v>28</v>
      </c>
      <c r="J233" s="270">
        <v>1</v>
      </c>
      <c r="K233" s="270">
        <v>1452</v>
      </c>
      <c r="L233" s="270">
        <v>0</v>
      </c>
      <c r="M233" s="270">
        <v>0</v>
      </c>
      <c r="N233" s="270">
        <v>0</v>
      </c>
      <c r="O233" s="270">
        <v>0</v>
      </c>
    </row>
    <row r="234" spans="1:15" x14ac:dyDescent="0.25">
      <c r="A234" s="117">
        <v>540183</v>
      </c>
      <c r="B234" s="2" t="s">
        <v>76</v>
      </c>
      <c r="C234" s="2" t="s">
        <v>77</v>
      </c>
      <c r="D234" s="2" t="s">
        <v>5</v>
      </c>
      <c r="E234" s="117">
        <v>5</v>
      </c>
      <c r="F234" s="117">
        <v>1709</v>
      </c>
      <c r="G234" s="117">
        <v>0</v>
      </c>
      <c r="H234" s="117">
        <v>0</v>
      </c>
      <c r="I234" s="117">
        <v>0</v>
      </c>
      <c r="J234" s="117">
        <v>0</v>
      </c>
      <c r="K234" s="117">
        <v>1709</v>
      </c>
      <c r="L234" s="117">
        <v>0</v>
      </c>
      <c r="M234" s="117">
        <v>0</v>
      </c>
      <c r="N234" s="117">
        <v>0</v>
      </c>
      <c r="O234" s="117">
        <v>0</v>
      </c>
    </row>
    <row r="235" spans="1:15" x14ac:dyDescent="0.25">
      <c r="A235" s="117">
        <v>540184</v>
      </c>
      <c r="B235" s="2" t="s">
        <v>253</v>
      </c>
      <c r="C235" s="2" t="s">
        <v>77</v>
      </c>
      <c r="D235" s="2" t="s">
        <v>115</v>
      </c>
      <c r="E235" s="117">
        <v>5</v>
      </c>
      <c r="F235" s="117">
        <v>0</v>
      </c>
      <c r="G235" s="117">
        <v>0</v>
      </c>
      <c r="H235" s="117">
        <v>0</v>
      </c>
      <c r="I235" s="117">
        <v>0</v>
      </c>
      <c r="J235" s="117">
        <v>0</v>
      </c>
      <c r="K235" s="117">
        <v>0</v>
      </c>
      <c r="L235" s="117">
        <v>0</v>
      </c>
      <c r="M235" s="117">
        <v>0</v>
      </c>
      <c r="N235" s="117">
        <v>0</v>
      </c>
      <c r="O235" s="117">
        <v>0</v>
      </c>
    </row>
    <row r="236" spans="1:15" x14ac:dyDescent="0.25">
      <c r="A236" s="117">
        <v>540185</v>
      </c>
      <c r="B236" s="2" t="s">
        <v>254</v>
      </c>
      <c r="C236" s="2" t="s">
        <v>77</v>
      </c>
      <c r="D236" s="2" t="s">
        <v>115</v>
      </c>
      <c r="E236" s="117">
        <v>5</v>
      </c>
      <c r="F236" s="117">
        <v>0</v>
      </c>
      <c r="G236" s="117">
        <v>0</v>
      </c>
      <c r="H236" s="117">
        <v>0</v>
      </c>
      <c r="I236" s="117">
        <v>0</v>
      </c>
      <c r="J236" s="117">
        <v>0</v>
      </c>
      <c r="K236" s="117">
        <v>0</v>
      </c>
      <c r="L236" s="117">
        <v>0</v>
      </c>
      <c r="M236" s="117">
        <v>0</v>
      </c>
      <c r="N236" s="117">
        <v>0</v>
      </c>
      <c r="O236" s="117">
        <v>0</v>
      </c>
    </row>
    <row r="237" spans="1:15" x14ac:dyDescent="0.25">
      <c r="A237" s="269"/>
      <c r="B237" s="269"/>
      <c r="C237" s="269" t="s">
        <v>77</v>
      </c>
      <c r="D237" s="269"/>
      <c r="E237" s="269"/>
      <c r="F237" s="270">
        <v>1709</v>
      </c>
      <c r="G237" s="270">
        <v>0</v>
      </c>
      <c r="H237" s="270">
        <v>0</v>
      </c>
      <c r="I237" s="270">
        <v>0</v>
      </c>
      <c r="J237" s="270">
        <v>0</v>
      </c>
      <c r="K237" s="270">
        <v>1709</v>
      </c>
      <c r="L237" s="270">
        <v>0</v>
      </c>
      <c r="M237" s="270">
        <v>0</v>
      </c>
      <c r="N237" s="270">
        <v>0</v>
      </c>
      <c r="O237" s="270">
        <v>0</v>
      </c>
    </row>
    <row r="238" spans="1:15" x14ac:dyDescent="0.25">
      <c r="A238" s="117">
        <v>540186</v>
      </c>
      <c r="B238" s="2" t="s">
        <v>78</v>
      </c>
      <c r="C238" s="2" t="s">
        <v>79</v>
      </c>
      <c r="D238" s="2" t="s">
        <v>5</v>
      </c>
      <c r="E238" s="117">
        <v>1</v>
      </c>
      <c r="F238" s="117">
        <v>2038</v>
      </c>
      <c r="G238" s="117">
        <v>93</v>
      </c>
      <c r="H238" s="117">
        <v>1</v>
      </c>
      <c r="I238" s="117">
        <v>9</v>
      </c>
      <c r="J238" s="117">
        <v>10</v>
      </c>
      <c r="K238" s="117">
        <v>1925</v>
      </c>
      <c r="L238" s="117">
        <v>0</v>
      </c>
      <c r="M238" s="117">
        <v>0</v>
      </c>
      <c r="N238" s="117">
        <v>0</v>
      </c>
      <c r="O238" s="117">
        <v>0</v>
      </c>
    </row>
    <row r="239" spans="1:15" x14ac:dyDescent="0.25">
      <c r="A239" s="117">
        <v>540187</v>
      </c>
      <c r="B239" s="2" t="s">
        <v>255</v>
      </c>
      <c r="C239" s="2" t="s">
        <v>79</v>
      </c>
      <c r="D239" s="2" t="s">
        <v>115</v>
      </c>
      <c r="E239" s="117">
        <v>1</v>
      </c>
      <c r="F239" s="117">
        <v>7</v>
      </c>
      <c r="G239" s="117">
        <v>0</v>
      </c>
      <c r="H239" s="117">
        <v>0</v>
      </c>
      <c r="I239" s="117">
        <v>0</v>
      </c>
      <c r="J239" s="117">
        <v>0</v>
      </c>
      <c r="K239" s="117">
        <v>7</v>
      </c>
      <c r="L239" s="117">
        <v>0</v>
      </c>
      <c r="M239" s="117">
        <v>0</v>
      </c>
      <c r="N239" s="117">
        <v>0</v>
      </c>
      <c r="O239" s="117">
        <v>0</v>
      </c>
    </row>
    <row r="240" spans="1:15" x14ac:dyDescent="0.25">
      <c r="A240" s="269"/>
      <c r="B240" s="269"/>
      <c r="C240" s="269" t="s">
        <v>79</v>
      </c>
      <c r="D240" s="269"/>
      <c r="E240" s="269"/>
      <c r="F240" s="270">
        <v>2045</v>
      </c>
      <c r="G240" s="270">
        <v>93</v>
      </c>
      <c r="H240" s="270">
        <v>1</v>
      </c>
      <c r="I240" s="270">
        <v>9</v>
      </c>
      <c r="J240" s="270">
        <v>10</v>
      </c>
      <c r="K240" s="270">
        <v>1932</v>
      </c>
      <c r="L240" s="270">
        <v>0</v>
      </c>
      <c r="M240" s="270">
        <v>0</v>
      </c>
      <c r="N240" s="270">
        <v>0</v>
      </c>
      <c r="O240" s="270">
        <v>0</v>
      </c>
    </row>
    <row r="241" spans="1:15" x14ac:dyDescent="0.25">
      <c r="A241" s="117">
        <v>540188</v>
      </c>
      <c r="B241" s="2" t="s">
        <v>80</v>
      </c>
      <c r="C241" s="2" t="s">
        <v>81</v>
      </c>
      <c r="D241" s="2" t="s">
        <v>5</v>
      </c>
      <c r="E241" s="117">
        <v>6</v>
      </c>
      <c r="F241" s="117">
        <v>24</v>
      </c>
      <c r="G241" s="117">
        <v>0</v>
      </c>
      <c r="H241" s="117">
        <v>0</v>
      </c>
      <c r="I241" s="117">
        <v>0</v>
      </c>
      <c r="J241" s="117">
        <v>0</v>
      </c>
      <c r="K241" s="117">
        <v>24</v>
      </c>
      <c r="L241" s="117">
        <v>0</v>
      </c>
      <c r="M241" s="117">
        <v>0</v>
      </c>
      <c r="N241" s="117">
        <v>0</v>
      </c>
      <c r="O241" s="117">
        <v>0</v>
      </c>
    </row>
    <row r="242" spans="1:15" x14ac:dyDescent="0.25">
      <c r="A242" s="117">
        <v>540189</v>
      </c>
      <c r="B242" s="2" t="s">
        <v>256</v>
      </c>
      <c r="C242" s="2" t="s">
        <v>81</v>
      </c>
      <c r="D242" s="2" t="s">
        <v>115</v>
      </c>
      <c r="E242" s="117">
        <v>6</v>
      </c>
      <c r="F242" s="117">
        <v>0</v>
      </c>
      <c r="G242" s="117">
        <v>0</v>
      </c>
      <c r="H242" s="117">
        <v>0</v>
      </c>
      <c r="I242" s="117">
        <v>0</v>
      </c>
      <c r="J242" s="117">
        <v>0</v>
      </c>
      <c r="K242" s="117">
        <v>0</v>
      </c>
      <c r="L242" s="117">
        <v>0</v>
      </c>
      <c r="M242" s="117">
        <v>0</v>
      </c>
      <c r="N242" s="117">
        <v>0</v>
      </c>
      <c r="O242" s="117">
        <v>0</v>
      </c>
    </row>
    <row r="243" spans="1:15" x14ac:dyDescent="0.25">
      <c r="A243" s="117">
        <v>540190</v>
      </c>
      <c r="B243" s="2" t="s">
        <v>257</v>
      </c>
      <c r="C243" s="2" t="s">
        <v>81</v>
      </c>
      <c r="D243" s="2" t="s">
        <v>115</v>
      </c>
      <c r="E243" s="117">
        <v>6</v>
      </c>
      <c r="F243" s="117">
        <v>0</v>
      </c>
      <c r="G243" s="117">
        <v>0</v>
      </c>
      <c r="H243" s="117">
        <v>0</v>
      </c>
      <c r="I243" s="117">
        <v>0</v>
      </c>
      <c r="J243" s="117">
        <v>0</v>
      </c>
      <c r="K243" s="117">
        <v>0</v>
      </c>
      <c r="L243" s="117">
        <v>0</v>
      </c>
      <c r="M243" s="117">
        <v>0</v>
      </c>
      <c r="N243" s="117">
        <v>0</v>
      </c>
      <c r="O243" s="117">
        <v>0</v>
      </c>
    </row>
    <row r="244" spans="1:15" x14ac:dyDescent="0.25">
      <c r="A244" s="269"/>
      <c r="B244" s="269"/>
      <c r="C244" s="269" t="s">
        <v>81</v>
      </c>
      <c r="D244" s="269"/>
      <c r="E244" s="269"/>
      <c r="F244" s="270">
        <v>24</v>
      </c>
      <c r="G244" s="270">
        <v>0</v>
      </c>
      <c r="H244" s="270">
        <v>0</v>
      </c>
      <c r="I244" s="270">
        <v>0</v>
      </c>
      <c r="J244" s="270">
        <v>0</v>
      </c>
      <c r="K244" s="270">
        <v>24</v>
      </c>
      <c r="L244" s="270">
        <v>0</v>
      </c>
      <c r="M244" s="270">
        <v>0</v>
      </c>
      <c r="N244" s="270">
        <v>0</v>
      </c>
      <c r="O244" s="270">
        <v>0</v>
      </c>
    </row>
    <row r="245" spans="1:15" x14ac:dyDescent="0.25">
      <c r="A245" s="117">
        <v>540198</v>
      </c>
      <c r="B245" s="2" t="s">
        <v>82</v>
      </c>
      <c r="C245" s="2" t="s">
        <v>83</v>
      </c>
      <c r="D245" s="2" t="s">
        <v>5</v>
      </c>
      <c r="E245" s="117">
        <v>7</v>
      </c>
      <c r="F245" s="117">
        <v>0</v>
      </c>
      <c r="G245" s="117">
        <v>0</v>
      </c>
      <c r="H245" s="117">
        <v>0</v>
      </c>
      <c r="I245" s="117">
        <v>0</v>
      </c>
      <c r="J245" s="117">
        <v>0</v>
      </c>
      <c r="K245" s="117">
        <v>0</v>
      </c>
      <c r="L245" s="117">
        <v>0</v>
      </c>
      <c r="M245" s="117">
        <v>0</v>
      </c>
      <c r="N245" s="117">
        <v>0</v>
      </c>
      <c r="O245" s="117">
        <v>0</v>
      </c>
    </row>
    <row r="246" spans="1:15" x14ac:dyDescent="0.25">
      <c r="A246" s="117">
        <v>540199</v>
      </c>
      <c r="B246" s="2" t="s">
        <v>261</v>
      </c>
      <c r="C246" s="2" t="s">
        <v>83</v>
      </c>
      <c r="D246" s="2" t="s">
        <v>115</v>
      </c>
      <c r="E246" s="117">
        <v>7</v>
      </c>
      <c r="F246" s="117">
        <v>0</v>
      </c>
      <c r="G246" s="117">
        <v>0</v>
      </c>
      <c r="H246" s="117">
        <v>0</v>
      </c>
      <c r="I246" s="117">
        <v>0</v>
      </c>
      <c r="J246" s="117">
        <v>0</v>
      </c>
      <c r="K246" s="117">
        <v>0</v>
      </c>
      <c r="L246" s="117">
        <v>0</v>
      </c>
      <c r="M246" s="117">
        <v>0</v>
      </c>
      <c r="N246" s="117">
        <v>0</v>
      </c>
      <c r="O246" s="117">
        <v>0</v>
      </c>
    </row>
    <row r="247" spans="1:15" x14ac:dyDescent="0.25">
      <c r="A247" s="269"/>
      <c r="B247" s="269"/>
      <c r="C247" s="269" t="s">
        <v>83</v>
      </c>
      <c r="D247" s="269"/>
      <c r="E247" s="269"/>
      <c r="F247" s="270">
        <v>0</v>
      </c>
      <c r="G247" s="270">
        <v>0</v>
      </c>
      <c r="H247" s="270">
        <v>0</v>
      </c>
      <c r="I247" s="270">
        <v>0</v>
      </c>
      <c r="J247" s="270">
        <v>0</v>
      </c>
      <c r="K247" s="270">
        <v>0</v>
      </c>
      <c r="L247" s="270">
        <v>0</v>
      </c>
      <c r="M247" s="270">
        <v>0</v>
      </c>
      <c r="N247" s="270">
        <v>0</v>
      </c>
      <c r="O247" s="270">
        <v>0</v>
      </c>
    </row>
    <row r="248" spans="1:15" x14ac:dyDescent="0.25">
      <c r="A248" s="117">
        <v>540200</v>
      </c>
      <c r="B248" s="2" t="s">
        <v>84</v>
      </c>
      <c r="C248" s="2" t="s">
        <v>85</v>
      </c>
      <c r="D248" s="2" t="s">
        <v>5</v>
      </c>
      <c r="E248" s="117">
        <v>2</v>
      </c>
      <c r="F248" s="117">
        <v>7472</v>
      </c>
      <c r="G248" s="117">
        <v>23</v>
      </c>
      <c r="H248" s="117">
        <v>0</v>
      </c>
      <c r="I248" s="117">
        <v>2</v>
      </c>
      <c r="J248" s="117">
        <v>4</v>
      </c>
      <c r="K248" s="117">
        <v>7443</v>
      </c>
      <c r="L248" s="117">
        <v>0</v>
      </c>
      <c r="M248" s="117">
        <v>0</v>
      </c>
      <c r="N248" s="117">
        <v>0</v>
      </c>
      <c r="O248" s="117">
        <v>0</v>
      </c>
    </row>
    <row r="249" spans="1:15" x14ac:dyDescent="0.25">
      <c r="A249" s="117">
        <v>540018</v>
      </c>
      <c r="B249" s="2" t="s">
        <v>127</v>
      </c>
      <c r="C249" s="2" t="s">
        <v>85</v>
      </c>
      <c r="D249" s="2" t="s">
        <v>115</v>
      </c>
      <c r="E249" s="117">
        <v>2</v>
      </c>
      <c r="F249" s="117">
        <v>0</v>
      </c>
      <c r="G249" s="117">
        <v>0</v>
      </c>
      <c r="H249" s="117">
        <v>0</v>
      </c>
      <c r="I249" s="117">
        <v>0</v>
      </c>
      <c r="J249" s="117">
        <v>0</v>
      </c>
      <c r="K249" s="117">
        <v>0</v>
      </c>
      <c r="L249" s="117">
        <v>0</v>
      </c>
      <c r="M249" s="117">
        <v>0</v>
      </c>
      <c r="N249" s="117">
        <v>0</v>
      </c>
      <c r="O249" s="117">
        <v>0</v>
      </c>
    </row>
    <row r="250" spans="1:15" x14ac:dyDescent="0.25">
      <c r="A250" s="117">
        <v>540202</v>
      </c>
      <c r="B250" s="2" t="s">
        <v>262</v>
      </c>
      <c r="C250" s="2" t="s">
        <v>85</v>
      </c>
      <c r="D250" s="2" t="s">
        <v>115</v>
      </c>
      <c r="E250" s="117">
        <v>2</v>
      </c>
      <c r="F250" s="117">
        <v>6</v>
      </c>
      <c r="G250" s="117">
        <v>0</v>
      </c>
      <c r="H250" s="117">
        <v>0</v>
      </c>
      <c r="I250" s="117">
        <v>0</v>
      </c>
      <c r="J250" s="117">
        <v>0</v>
      </c>
      <c r="K250" s="117">
        <v>6</v>
      </c>
      <c r="L250" s="117">
        <v>0</v>
      </c>
      <c r="M250" s="117">
        <v>0</v>
      </c>
      <c r="N250" s="117">
        <v>0</v>
      </c>
      <c r="O250" s="117">
        <v>0</v>
      </c>
    </row>
    <row r="251" spans="1:15" x14ac:dyDescent="0.25">
      <c r="A251" s="117">
        <v>540221</v>
      </c>
      <c r="B251" s="2" t="s">
        <v>275</v>
      </c>
      <c r="C251" s="2" t="s">
        <v>85</v>
      </c>
      <c r="D251" s="2" t="s">
        <v>115</v>
      </c>
      <c r="E251" s="117">
        <v>2</v>
      </c>
      <c r="F251" s="117">
        <v>0</v>
      </c>
      <c r="G251" s="117">
        <v>0</v>
      </c>
      <c r="H251" s="117">
        <v>0</v>
      </c>
      <c r="I251" s="117">
        <v>0</v>
      </c>
      <c r="J251" s="117">
        <v>0</v>
      </c>
      <c r="K251" s="117">
        <v>0</v>
      </c>
      <c r="L251" s="117">
        <v>0</v>
      </c>
      <c r="M251" s="117">
        <v>0</v>
      </c>
      <c r="N251" s="117">
        <v>0</v>
      </c>
      <c r="O251" s="117">
        <v>0</v>
      </c>
    </row>
    <row r="252" spans="1:15" x14ac:dyDescent="0.25">
      <c r="A252" s="117">
        <v>540231</v>
      </c>
      <c r="B252" s="2" t="s">
        <v>281</v>
      </c>
      <c r="C252" s="2" t="s">
        <v>85</v>
      </c>
      <c r="D252" s="2" t="s">
        <v>115</v>
      </c>
      <c r="E252" s="117">
        <v>2</v>
      </c>
      <c r="F252" s="117">
        <v>9</v>
      </c>
      <c r="G252" s="117">
        <v>0</v>
      </c>
      <c r="H252" s="117">
        <v>0</v>
      </c>
      <c r="I252" s="117">
        <v>0</v>
      </c>
      <c r="J252" s="117">
        <v>0</v>
      </c>
      <c r="K252" s="117">
        <v>9</v>
      </c>
      <c r="L252" s="117">
        <v>0</v>
      </c>
      <c r="M252" s="117">
        <v>0</v>
      </c>
      <c r="N252" s="117">
        <v>0</v>
      </c>
      <c r="O252" s="117">
        <v>0</v>
      </c>
    </row>
    <row r="253" spans="1:15" x14ac:dyDescent="0.25">
      <c r="A253" s="117">
        <v>540232</v>
      </c>
      <c r="B253" s="2" t="s">
        <v>282</v>
      </c>
      <c r="C253" s="2" t="s">
        <v>85</v>
      </c>
      <c r="D253" s="2" t="s">
        <v>115</v>
      </c>
      <c r="E253" s="117">
        <v>2</v>
      </c>
      <c r="F253" s="117">
        <v>1</v>
      </c>
      <c r="G253" s="117">
        <v>0</v>
      </c>
      <c r="H253" s="117">
        <v>0</v>
      </c>
      <c r="I253" s="117">
        <v>0</v>
      </c>
      <c r="J253" s="117">
        <v>0</v>
      </c>
      <c r="K253" s="117">
        <v>1</v>
      </c>
      <c r="L253" s="117">
        <v>0</v>
      </c>
      <c r="M253" s="117">
        <v>0</v>
      </c>
      <c r="N253" s="117">
        <v>0</v>
      </c>
      <c r="O253" s="117">
        <v>0</v>
      </c>
    </row>
    <row r="254" spans="1:15" x14ac:dyDescent="0.25">
      <c r="A254" s="269"/>
      <c r="B254" s="269"/>
      <c r="C254" s="269" t="s">
        <v>85</v>
      </c>
      <c r="D254" s="269"/>
      <c r="E254" s="269"/>
      <c r="F254" s="270">
        <v>7488</v>
      </c>
      <c r="G254" s="270">
        <v>23</v>
      </c>
      <c r="H254" s="270">
        <v>0</v>
      </c>
      <c r="I254" s="270">
        <v>2</v>
      </c>
      <c r="J254" s="270">
        <v>4</v>
      </c>
      <c r="K254" s="270">
        <v>7459</v>
      </c>
      <c r="L254" s="270">
        <v>0</v>
      </c>
      <c r="M254" s="270">
        <v>0</v>
      </c>
      <c r="N254" s="270">
        <v>0</v>
      </c>
      <c r="O254" s="270">
        <v>0</v>
      </c>
    </row>
    <row r="255" spans="1:15" x14ac:dyDescent="0.25">
      <c r="A255" s="117">
        <v>540203</v>
      </c>
      <c r="B255" s="2" t="s">
        <v>86</v>
      </c>
      <c r="C255" s="2" t="s">
        <v>87</v>
      </c>
      <c r="D255" s="2" t="s">
        <v>5</v>
      </c>
      <c r="E255" s="117">
        <v>4</v>
      </c>
      <c r="F255" s="117">
        <v>1549</v>
      </c>
      <c r="G255" s="117">
        <v>41</v>
      </c>
      <c r="H255" s="117">
        <v>2</v>
      </c>
      <c r="I255" s="117">
        <v>12</v>
      </c>
      <c r="J255" s="117">
        <v>0</v>
      </c>
      <c r="K255" s="117">
        <v>1494</v>
      </c>
      <c r="L255" s="117">
        <v>0</v>
      </c>
      <c r="M255" s="117">
        <v>0</v>
      </c>
      <c r="N255" s="117">
        <v>0</v>
      </c>
      <c r="O255" s="117">
        <v>0</v>
      </c>
    </row>
    <row r="256" spans="1:15" x14ac:dyDescent="0.25">
      <c r="A256" s="117">
        <v>540204</v>
      </c>
      <c r="B256" s="2" t="s">
        <v>263</v>
      </c>
      <c r="C256" s="2" t="s">
        <v>87</v>
      </c>
      <c r="D256" s="2" t="s">
        <v>115</v>
      </c>
      <c r="E256" s="117">
        <v>4</v>
      </c>
      <c r="F256" s="117">
        <v>3</v>
      </c>
      <c r="G256" s="117">
        <v>0</v>
      </c>
      <c r="H256" s="117">
        <v>0</v>
      </c>
      <c r="I256" s="117">
        <v>0</v>
      </c>
      <c r="J256" s="117">
        <v>0</v>
      </c>
      <c r="K256" s="117">
        <v>3</v>
      </c>
      <c r="L256" s="117">
        <v>0</v>
      </c>
      <c r="M256" s="117">
        <v>0</v>
      </c>
      <c r="N256" s="117">
        <v>0</v>
      </c>
      <c r="O256" s="117">
        <v>0</v>
      </c>
    </row>
    <row r="257" spans="1:15" x14ac:dyDescent="0.25">
      <c r="A257" s="117">
        <v>540205</v>
      </c>
      <c r="B257" s="2" t="s">
        <v>264</v>
      </c>
      <c r="C257" s="2" t="s">
        <v>87</v>
      </c>
      <c r="D257" s="2" t="s">
        <v>115</v>
      </c>
      <c r="E257" s="117">
        <v>4</v>
      </c>
      <c r="F257" s="117">
        <v>0</v>
      </c>
      <c r="G257" s="117">
        <v>0</v>
      </c>
      <c r="H257" s="117">
        <v>0</v>
      </c>
      <c r="I257" s="117">
        <v>0</v>
      </c>
      <c r="J257" s="117">
        <v>0</v>
      </c>
      <c r="K257" s="117">
        <v>0</v>
      </c>
      <c r="L257" s="117">
        <v>0</v>
      </c>
      <c r="M257" s="117">
        <v>0</v>
      </c>
      <c r="N257" s="117">
        <v>0</v>
      </c>
      <c r="O257" s="117">
        <v>0</v>
      </c>
    </row>
    <row r="258" spans="1:15" x14ac:dyDescent="0.25">
      <c r="A258" s="117">
        <v>540206</v>
      </c>
      <c r="B258" s="2" t="s">
        <v>265</v>
      </c>
      <c r="C258" s="2" t="s">
        <v>87</v>
      </c>
      <c r="D258" s="2" t="s">
        <v>115</v>
      </c>
      <c r="E258" s="117">
        <v>4</v>
      </c>
      <c r="F258" s="117">
        <v>0</v>
      </c>
      <c r="G258" s="117">
        <v>0</v>
      </c>
      <c r="H258" s="117">
        <v>0</v>
      </c>
      <c r="I258" s="117">
        <v>0</v>
      </c>
      <c r="J258" s="117">
        <v>0</v>
      </c>
      <c r="K258" s="117">
        <v>0</v>
      </c>
      <c r="L258" s="117">
        <v>0</v>
      </c>
      <c r="M258" s="117">
        <v>0</v>
      </c>
      <c r="N258" s="117">
        <v>0</v>
      </c>
      <c r="O258" s="117">
        <v>0</v>
      </c>
    </row>
    <row r="259" spans="1:15" x14ac:dyDescent="0.25">
      <c r="A259" s="269"/>
      <c r="B259" s="269"/>
      <c r="C259" s="269" t="s">
        <v>87</v>
      </c>
      <c r="D259" s="269"/>
      <c r="E259" s="269"/>
      <c r="F259" s="270">
        <v>1552</v>
      </c>
      <c r="G259" s="270">
        <v>41</v>
      </c>
      <c r="H259" s="270">
        <v>2</v>
      </c>
      <c r="I259" s="270">
        <v>12</v>
      </c>
      <c r="J259" s="270">
        <v>0</v>
      </c>
      <c r="K259" s="270">
        <v>1497</v>
      </c>
      <c r="L259" s="270">
        <v>0</v>
      </c>
      <c r="M259" s="270">
        <v>0</v>
      </c>
      <c r="N259" s="270">
        <v>0</v>
      </c>
      <c r="O259" s="270">
        <v>0</v>
      </c>
    </row>
    <row r="260" spans="1:15" x14ac:dyDescent="0.25">
      <c r="A260" s="117">
        <v>540207</v>
      </c>
      <c r="B260" s="2" t="s">
        <v>88</v>
      </c>
      <c r="C260" s="2" t="s">
        <v>89</v>
      </c>
      <c r="D260" s="2" t="s">
        <v>5</v>
      </c>
      <c r="E260" s="117">
        <v>10</v>
      </c>
      <c r="F260" s="117">
        <v>0</v>
      </c>
      <c r="G260" s="117">
        <v>0</v>
      </c>
      <c r="H260" s="117">
        <v>0</v>
      </c>
      <c r="I260" s="117">
        <v>0</v>
      </c>
      <c r="J260" s="117">
        <v>0</v>
      </c>
      <c r="K260" s="117">
        <v>0</v>
      </c>
      <c r="L260" s="117">
        <v>0</v>
      </c>
      <c r="M260" s="117">
        <v>0</v>
      </c>
      <c r="N260" s="117">
        <v>0</v>
      </c>
      <c r="O260" s="117">
        <v>0</v>
      </c>
    </row>
    <row r="261" spans="1:15" x14ac:dyDescent="0.25">
      <c r="A261" s="117">
        <v>540196</v>
      </c>
      <c r="B261" s="2" t="s">
        <v>259</v>
      </c>
      <c r="C261" s="2" t="s">
        <v>89</v>
      </c>
      <c r="D261" s="2" t="s">
        <v>115</v>
      </c>
      <c r="E261" s="117">
        <v>5</v>
      </c>
      <c r="F261" s="117">
        <v>0</v>
      </c>
      <c r="G261" s="117">
        <v>0</v>
      </c>
      <c r="H261" s="117">
        <v>0</v>
      </c>
      <c r="I261" s="117">
        <v>0</v>
      </c>
      <c r="J261" s="117">
        <v>0</v>
      </c>
      <c r="K261" s="117">
        <v>0</v>
      </c>
      <c r="L261" s="117">
        <v>0</v>
      </c>
      <c r="M261" s="117">
        <v>0</v>
      </c>
      <c r="N261" s="117">
        <v>0</v>
      </c>
      <c r="O261" s="117">
        <v>0</v>
      </c>
    </row>
    <row r="262" spans="1:15" x14ac:dyDescent="0.25">
      <c r="A262" s="117">
        <v>540208</v>
      </c>
      <c r="B262" s="2" t="s">
        <v>266</v>
      </c>
      <c r="C262" s="2" t="s">
        <v>89</v>
      </c>
      <c r="D262" s="2" t="s">
        <v>115</v>
      </c>
      <c r="E262" s="117">
        <v>10</v>
      </c>
      <c r="F262" s="117">
        <v>0</v>
      </c>
      <c r="G262" s="117">
        <v>0</v>
      </c>
      <c r="H262" s="117">
        <v>0</v>
      </c>
      <c r="I262" s="117">
        <v>0</v>
      </c>
      <c r="J262" s="117">
        <v>0</v>
      </c>
      <c r="K262" s="117">
        <v>0</v>
      </c>
      <c r="L262" s="117">
        <v>0</v>
      </c>
      <c r="M262" s="117">
        <v>0</v>
      </c>
      <c r="N262" s="117">
        <v>0</v>
      </c>
      <c r="O262" s="117">
        <v>0</v>
      </c>
    </row>
    <row r="263" spans="1:15" x14ac:dyDescent="0.25">
      <c r="A263" s="117">
        <v>540210</v>
      </c>
      <c r="B263" s="2" t="s">
        <v>267</v>
      </c>
      <c r="C263" s="2" t="s">
        <v>89</v>
      </c>
      <c r="D263" s="2" t="s">
        <v>115</v>
      </c>
      <c r="E263" s="117">
        <v>10</v>
      </c>
      <c r="F263" s="117">
        <v>0</v>
      </c>
      <c r="G263" s="117">
        <v>0</v>
      </c>
      <c r="H263" s="117">
        <v>0</v>
      </c>
      <c r="I263" s="117">
        <v>0</v>
      </c>
      <c r="J263" s="117">
        <v>0</v>
      </c>
      <c r="K263" s="117">
        <v>0</v>
      </c>
      <c r="L263" s="117">
        <v>0</v>
      </c>
      <c r="M263" s="117">
        <v>0</v>
      </c>
      <c r="N263" s="117">
        <v>0</v>
      </c>
      <c r="O263" s="117">
        <v>0</v>
      </c>
    </row>
    <row r="264" spans="1:15" x14ac:dyDescent="0.25">
      <c r="A264" s="117">
        <v>540256</v>
      </c>
      <c r="B264" s="2" t="s">
        <v>301</v>
      </c>
      <c r="C264" s="2" t="s">
        <v>89</v>
      </c>
      <c r="D264" s="2" t="s">
        <v>115</v>
      </c>
      <c r="E264" s="117">
        <v>10</v>
      </c>
      <c r="F264" s="117">
        <v>0</v>
      </c>
      <c r="G264" s="117">
        <v>0</v>
      </c>
      <c r="H264" s="117">
        <v>0</v>
      </c>
      <c r="I264" s="117">
        <v>0</v>
      </c>
      <c r="J264" s="117">
        <v>0</v>
      </c>
      <c r="K264" s="117">
        <v>0</v>
      </c>
      <c r="L264" s="117">
        <v>0</v>
      </c>
      <c r="M264" s="117">
        <v>0</v>
      </c>
      <c r="N264" s="117">
        <v>0</v>
      </c>
      <c r="O264" s="117">
        <v>0</v>
      </c>
    </row>
    <row r="265" spans="1:15" x14ac:dyDescent="0.25">
      <c r="A265" s="117">
        <v>540258</v>
      </c>
      <c r="B265" s="2" t="s">
        <v>303</v>
      </c>
      <c r="C265" s="2" t="s">
        <v>89</v>
      </c>
      <c r="D265" s="2" t="s">
        <v>115</v>
      </c>
      <c r="E265" s="117">
        <v>10</v>
      </c>
      <c r="F265" s="117">
        <v>0</v>
      </c>
      <c r="G265" s="117">
        <v>0</v>
      </c>
      <c r="H265" s="117">
        <v>0</v>
      </c>
      <c r="I265" s="117">
        <v>0</v>
      </c>
      <c r="J265" s="117">
        <v>0</v>
      </c>
      <c r="K265" s="117">
        <v>0</v>
      </c>
      <c r="L265" s="117">
        <v>0</v>
      </c>
      <c r="M265" s="117">
        <v>0</v>
      </c>
      <c r="N265" s="117">
        <v>0</v>
      </c>
      <c r="O265" s="117">
        <v>0</v>
      </c>
    </row>
    <row r="266" spans="1:15" x14ac:dyDescent="0.25">
      <c r="A266" s="269"/>
      <c r="B266" s="269"/>
      <c r="C266" s="269" t="s">
        <v>89</v>
      </c>
      <c r="D266" s="269"/>
      <c r="E266" s="269"/>
      <c r="F266" s="270">
        <v>0</v>
      </c>
      <c r="G266" s="270">
        <v>0</v>
      </c>
      <c r="H266" s="270">
        <v>0</v>
      </c>
      <c r="I266" s="270">
        <v>0</v>
      </c>
      <c r="J266" s="270">
        <v>0</v>
      </c>
      <c r="K266" s="270">
        <v>0</v>
      </c>
      <c r="L266" s="270">
        <v>0</v>
      </c>
      <c r="M266" s="270">
        <v>0</v>
      </c>
      <c r="N266" s="270">
        <v>0</v>
      </c>
      <c r="O266" s="270">
        <v>0</v>
      </c>
    </row>
    <row r="267" spans="1:15" x14ac:dyDescent="0.25">
      <c r="A267" s="117">
        <v>540211</v>
      </c>
      <c r="B267" s="2" t="s">
        <v>90</v>
      </c>
      <c r="C267" s="2" t="s">
        <v>91</v>
      </c>
      <c r="D267" s="2" t="s">
        <v>5</v>
      </c>
      <c r="E267" s="117">
        <v>5</v>
      </c>
      <c r="F267" s="117">
        <v>0</v>
      </c>
      <c r="G267" s="117">
        <v>0</v>
      </c>
      <c r="H267" s="117">
        <v>0</v>
      </c>
      <c r="I267" s="117">
        <v>0</v>
      </c>
      <c r="J267" s="117">
        <v>0</v>
      </c>
      <c r="K267" s="117">
        <v>0</v>
      </c>
      <c r="L267" s="117">
        <v>0</v>
      </c>
      <c r="M267" s="117">
        <v>0</v>
      </c>
      <c r="N267" s="117">
        <v>0</v>
      </c>
      <c r="O267" s="117">
        <v>0</v>
      </c>
    </row>
    <row r="268" spans="1:15" x14ac:dyDescent="0.25">
      <c r="A268" s="117">
        <v>540212</v>
      </c>
      <c r="B268" s="2" t="s">
        <v>268</v>
      </c>
      <c r="C268" s="2" t="s">
        <v>91</v>
      </c>
      <c r="D268" s="2" t="s">
        <v>115</v>
      </c>
      <c r="E268" s="117">
        <v>5</v>
      </c>
      <c r="F268" s="117">
        <v>0</v>
      </c>
      <c r="G268" s="117">
        <v>0</v>
      </c>
      <c r="H268" s="117">
        <v>0</v>
      </c>
      <c r="I268" s="117">
        <v>0</v>
      </c>
      <c r="J268" s="117">
        <v>0</v>
      </c>
      <c r="K268" s="117">
        <v>0</v>
      </c>
      <c r="L268" s="117">
        <v>0</v>
      </c>
      <c r="M268" s="117">
        <v>0</v>
      </c>
      <c r="N268" s="117">
        <v>0</v>
      </c>
      <c r="O268" s="117">
        <v>0</v>
      </c>
    </row>
    <row r="269" spans="1:15" x14ac:dyDescent="0.25">
      <c r="A269" s="269"/>
      <c r="B269" s="269"/>
      <c r="C269" s="269" t="s">
        <v>91</v>
      </c>
      <c r="D269" s="269"/>
      <c r="E269" s="269"/>
      <c r="F269" s="270">
        <v>0</v>
      </c>
      <c r="G269" s="270">
        <v>0</v>
      </c>
      <c r="H269" s="270">
        <v>0</v>
      </c>
      <c r="I269" s="270">
        <v>0</v>
      </c>
      <c r="J269" s="270">
        <v>0</v>
      </c>
      <c r="K269" s="270">
        <v>0</v>
      </c>
      <c r="L269" s="270">
        <v>0</v>
      </c>
      <c r="M269" s="270">
        <v>0</v>
      </c>
      <c r="N269" s="270">
        <v>0</v>
      </c>
      <c r="O269" s="270">
        <v>0</v>
      </c>
    </row>
    <row r="270" spans="1:15" x14ac:dyDescent="0.25">
      <c r="A270" s="117">
        <v>540213</v>
      </c>
      <c r="B270" s="2" t="s">
        <v>92</v>
      </c>
      <c r="C270" s="2" t="s">
        <v>93</v>
      </c>
      <c r="D270" s="2" t="s">
        <v>5</v>
      </c>
      <c r="E270" s="117">
        <v>5</v>
      </c>
      <c r="F270" s="117">
        <v>0</v>
      </c>
      <c r="G270" s="117">
        <v>0</v>
      </c>
      <c r="H270" s="117">
        <v>0</v>
      </c>
      <c r="I270" s="117">
        <v>0</v>
      </c>
      <c r="J270" s="117">
        <v>0</v>
      </c>
      <c r="K270" s="117">
        <v>0</v>
      </c>
      <c r="L270" s="117">
        <v>0</v>
      </c>
      <c r="M270" s="117">
        <v>0</v>
      </c>
      <c r="N270" s="117">
        <v>0</v>
      </c>
      <c r="O270" s="117">
        <v>0</v>
      </c>
    </row>
    <row r="271" spans="1:15" x14ac:dyDescent="0.25">
      <c r="A271" s="117">
        <v>540042</v>
      </c>
      <c r="B271" s="2" t="s">
        <v>143</v>
      </c>
      <c r="C271" s="2" t="s">
        <v>93</v>
      </c>
      <c r="D271" s="2" t="s">
        <v>115</v>
      </c>
      <c r="E271" s="117">
        <v>5</v>
      </c>
      <c r="F271" s="117">
        <v>0</v>
      </c>
      <c r="G271" s="117">
        <v>0</v>
      </c>
      <c r="H271" s="117">
        <v>0</v>
      </c>
      <c r="I271" s="117">
        <v>0</v>
      </c>
      <c r="J271" s="117">
        <v>0</v>
      </c>
      <c r="K271" s="117">
        <v>0</v>
      </c>
      <c r="L271" s="117">
        <v>0</v>
      </c>
      <c r="M271" s="117">
        <v>0</v>
      </c>
      <c r="N271" s="117">
        <v>0</v>
      </c>
      <c r="O271" s="117">
        <v>0</v>
      </c>
    </row>
    <row r="272" spans="1:15" x14ac:dyDescent="0.25">
      <c r="A272" s="117">
        <v>540214</v>
      </c>
      <c r="B272" s="2" t="s">
        <v>269</v>
      </c>
      <c r="C272" s="2" t="s">
        <v>93</v>
      </c>
      <c r="D272" s="2" t="s">
        <v>115</v>
      </c>
      <c r="E272" s="117">
        <v>5</v>
      </c>
      <c r="F272" s="117">
        <v>0</v>
      </c>
      <c r="G272" s="117">
        <v>0</v>
      </c>
      <c r="H272" s="117">
        <v>0</v>
      </c>
      <c r="I272" s="117">
        <v>0</v>
      </c>
      <c r="J272" s="117">
        <v>0</v>
      </c>
      <c r="K272" s="117">
        <v>0</v>
      </c>
      <c r="L272" s="117">
        <v>0</v>
      </c>
      <c r="M272" s="117">
        <v>0</v>
      </c>
      <c r="N272" s="117">
        <v>0</v>
      </c>
      <c r="O272" s="117">
        <v>0</v>
      </c>
    </row>
    <row r="273" spans="1:15" x14ac:dyDescent="0.25">
      <c r="A273" s="117">
        <v>540215</v>
      </c>
      <c r="B273" s="2" t="s">
        <v>270</v>
      </c>
      <c r="C273" s="2" t="s">
        <v>93</v>
      </c>
      <c r="D273" s="2" t="s">
        <v>115</v>
      </c>
      <c r="E273" s="117">
        <v>5</v>
      </c>
      <c r="F273" s="117">
        <v>0</v>
      </c>
      <c r="G273" s="117">
        <v>0</v>
      </c>
      <c r="H273" s="117">
        <v>0</v>
      </c>
      <c r="I273" s="117">
        <v>0</v>
      </c>
      <c r="J273" s="117">
        <v>0</v>
      </c>
      <c r="K273" s="117">
        <v>0</v>
      </c>
      <c r="L273" s="117">
        <v>0</v>
      </c>
      <c r="M273" s="117">
        <v>0</v>
      </c>
      <c r="N273" s="117">
        <v>0</v>
      </c>
      <c r="O273" s="117">
        <v>0</v>
      </c>
    </row>
    <row r="274" spans="1:15" x14ac:dyDescent="0.25">
      <c r="A274" s="117">
        <v>540216</v>
      </c>
      <c r="B274" s="2" t="s">
        <v>271</v>
      </c>
      <c r="C274" s="2" t="s">
        <v>93</v>
      </c>
      <c r="D274" s="2" t="s">
        <v>115</v>
      </c>
      <c r="E274" s="117">
        <v>5</v>
      </c>
      <c r="F274" s="117">
        <v>0</v>
      </c>
      <c r="G274" s="117">
        <v>0</v>
      </c>
      <c r="H274" s="117">
        <v>0</v>
      </c>
      <c r="I274" s="117">
        <v>0</v>
      </c>
      <c r="J274" s="117">
        <v>0</v>
      </c>
      <c r="K274" s="117">
        <v>0</v>
      </c>
      <c r="L274" s="117">
        <v>0</v>
      </c>
      <c r="M274" s="117">
        <v>0</v>
      </c>
      <c r="N274" s="117">
        <v>0</v>
      </c>
      <c r="O274" s="117">
        <v>0</v>
      </c>
    </row>
    <row r="275" spans="1:15" x14ac:dyDescent="0.25">
      <c r="A275" s="269"/>
      <c r="B275" s="269"/>
      <c r="C275" s="269" t="s">
        <v>93</v>
      </c>
      <c r="D275" s="269"/>
      <c r="E275" s="269"/>
      <c r="F275" s="270">
        <v>0</v>
      </c>
      <c r="G275" s="270">
        <v>0</v>
      </c>
      <c r="H275" s="270">
        <v>0</v>
      </c>
      <c r="I275" s="270">
        <v>0</v>
      </c>
      <c r="J275" s="270">
        <v>0</v>
      </c>
      <c r="K275" s="270">
        <v>0</v>
      </c>
      <c r="L275" s="270">
        <v>0</v>
      </c>
      <c r="M275" s="270">
        <v>0</v>
      </c>
      <c r="N275" s="270">
        <v>0</v>
      </c>
      <c r="O275" s="270">
        <v>0</v>
      </c>
    </row>
    <row r="276" spans="1:15" x14ac:dyDescent="0.25">
      <c r="A276" s="117">
        <v>540224</v>
      </c>
      <c r="B276" s="2" t="s">
        <v>96</v>
      </c>
      <c r="C276" s="2" t="s">
        <v>97</v>
      </c>
      <c r="D276" s="2" t="s">
        <v>5</v>
      </c>
      <c r="E276" s="117">
        <v>5</v>
      </c>
      <c r="F276" s="117">
        <v>0</v>
      </c>
      <c r="G276" s="117">
        <v>0</v>
      </c>
      <c r="H276" s="117">
        <v>0</v>
      </c>
      <c r="I276" s="117">
        <v>0</v>
      </c>
      <c r="J276" s="117">
        <v>0</v>
      </c>
      <c r="K276" s="117">
        <v>0</v>
      </c>
      <c r="L276" s="117">
        <v>0</v>
      </c>
      <c r="M276" s="117">
        <v>0</v>
      </c>
      <c r="N276" s="117">
        <v>0</v>
      </c>
      <c r="O276" s="117">
        <v>0</v>
      </c>
    </row>
    <row r="277" spans="1:15" x14ac:dyDescent="0.25">
      <c r="A277" s="117">
        <v>540132</v>
      </c>
      <c r="B277" s="2" t="s">
        <v>216</v>
      </c>
      <c r="C277" s="2" t="s">
        <v>97</v>
      </c>
      <c r="D277" s="2" t="s">
        <v>115</v>
      </c>
      <c r="E277" s="117">
        <v>5</v>
      </c>
      <c r="F277" s="117">
        <v>0</v>
      </c>
      <c r="G277" s="117">
        <v>0</v>
      </c>
      <c r="H277" s="117">
        <v>0</v>
      </c>
      <c r="I277" s="117">
        <v>0</v>
      </c>
      <c r="J277" s="117">
        <v>0</v>
      </c>
      <c r="K277" s="117">
        <v>0</v>
      </c>
      <c r="L277" s="117">
        <v>0</v>
      </c>
      <c r="M277" s="117">
        <v>0</v>
      </c>
      <c r="N277" s="117">
        <v>0</v>
      </c>
      <c r="O277" s="117">
        <v>0</v>
      </c>
    </row>
    <row r="278" spans="1:15" x14ac:dyDescent="0.25">
      <c r="A278" s="117">
        <v>540179</v>
      </c>
      <c r="B278" s="2" t="s">
        <v>250</v>
      </c>
      <c r="C278" s="2" t="s">
        <v>97</v>
      </c>
      <c r="D278" s="2" t="s">
        <v>115</v>
      </c>
      <c r="E278" s="117">
        <v>5</v>
      </c>
      <c r="F278" s="117">
        <v>0</v>
      </c>
      <c r="G278" s="117">
        <v>0</v>
      </c>
      <c r="H278" s="117">
        <v>0</v>
      </c>
      <c r="I278" s="117">
        <v>0</v>
      </c>
      <c r="J278" s="117">
        <v>0</v>
      </c>
      <c r="K278" s="117">
        <v>0</v>
      </c>
      <c r="L278" s="117">
        <v>0</v>
      </c>
      <c r="M278" s="117">
        <v>0</v>
      </c>
      <c r="N278" s="117">
        <v>0</v>
      </c>
      <c r="O278" s="117">
        <v>0</v>
      </c>
    </row>
    <row r="279" spans="1:15" x14ac:dyDescent="0.25">
      <c r="A279" s="117">
        <v>540180</v>
      </c>
      <c r="B279" s="2" t="s">
        <v>251</v>
      </c>
      <c r="C279" s="2" t="s">
        <v>97</v>
      </c>
      <c r="D279" s="2" t="s">
        <v>115</v>
      </c>
      <c r="E279" s="117">
        <v>5</v>
      </c>
      <c r="F279" s="117">
        <v>0</v>
      </c>
      <c r="G279" s="117">
        <v>0</v>
      </c>
      <c r="H279" s="117">
        <v>0</v>
      </c>
      <c r="I279" s="117">
        <v>0</v>
      </c>
      <c r="J279" s="117">
        <v>0</v>
      </c>
      <c r="K279" s="117">
        <v>0</v>
      </c>
      <c r="L279" s="117">
        <v>0</v>
      </c>
      <c r="M279" s="117">
        <v>0</v>
      </c>
      <c r="N279" s="117">
        <v>0</v>
      </c>
      <c r="O279" s="117">
        <v>0</v>
      </c>
    </row>
    <row r="280" spans="1:15" x14ac:dyDescent="0.25">
      <c r="A280" s="117">
        <v>540182</v>
      </c>
      <c r="B280" s="2" t="s">
        <v>252</v>
      </c>
      <c r="C280" s="2" t="s">
        <v>97</v>
      </c>
      <c r="D280" s="2" t="s">
        <v>115</v>
      </c>
      <c r="E280" s="117">
        <v>5</v>
      </c>
      <c r="F280" s="117">
        <v>0</v>
      </c>
      <c r="G280" s="117">
        <v>0</v>
      </c>
      <c r="H280" s="117">
        <v>0</v>
      </c>
      <c r="I280" s="117">
        <v>0</v>
      </c>
      <c r="J280" s="117">
        <v>0</v>
      </c>
      <c r="K280" s="117">
        <v>0</v>
      </c>
      <c r="L280" s="117">
        <v>0</v>
      </c>
      <c r="M280" s="117">
        <v>0</v>
      </c>
      <c r="N280" s="117">
        <v>0</v>
      </c>
      <c r="O280" s="117">
        <v>0</v>
      </c>
    </row>
    <row r="281" spans="1:15" x14ac:dyDescent="0.25">
      <c r="A281" s="117">
        <v>540262</v>
      </c>
      <c r="B281" s="2" t="s">
        <v>305</v>
      </c>
      <c r="C281" s="2" t="s">
        <v>97</v>
      </c>
      <c r="D281" s="2" t="s">
        <v>115</v>
      </c>
      <c r="E281" s="117">
        <v>5</v>
      </c>
      <c r="F281" s="117">
        <v>0</v>
      </c>
      <c r="G281" s="117">
        <v>0</v>
      </c>
      <c r="H281" s="117">
        <v>0</v>
      </c>
      <c r="I281" s="117">
        <v>0</v>
      </c>
      <c r="J281" s="117">
        <v>0</v>
      </c>
      <c r="K281" s="117">
        <v>0</v>
      </c>
      <c r="L281" s="117">
        <v>0</v>
      </c>
      <c r="M281" s="117">
        <v>0</v>
      </c>
      <c r="N281" s="117">
        <v>0</v>
      </c>
      <c r="O281" s="117">
        <v>0</v>
      </c>
    </row>
    <row r="282" spans="1:15" x14ac:dyDescent="0.25">
      <c r="A282" s="117">
        <v>540263</v>
      </c>
      <c r="B282" s="2" t="s">
        <v>306</v>
      </c>
      <c r="C282" s="2" t="s">
        <v>97</v>
      </c>
      <c r="D282" s="2" t="s">
        <v>115</v>
      </c>
      <c r="E282" s="117">
        <v>5</v>
      </c>
      <c r="F282" s="117">
        <v>0</v>
      </c>
      <c r="G282" s="117">
        <v>0</v>
      </c>
      <c r="H282" s="117">
        <v>0</v>
      </c>
      <c r="I282" s="117">
        <v>0</v>
      </c>
      <c r="J282" s="117">
        <v>0</v>
      </c>
      <c r="K282" s="117">
        <v>0</v>
      </c>
      <c r="L282" s="117">
        <v>0</v>
      </c>
      <c r="M282" s="117">
        <v>0</v>
      </c>
      <c r="N282" s="117">
        <v>0</v>
      </c>
      <c r="O282" s="117">
        <v>0</v>
      </c>
    </row>
    <row r="283" spans="1:15" x14ac:dyDescent="0.25">
      <c r="A283" s="269"/>
      <c r="B283" s="269"/>
      <c r="C283" s="269" t="s">
        <v>97</v>
      </c>
      <c r="D283" s="269"/>
      <c r="E283" s="269"/>
      <c r="F283" s="270">
        <v>0</v>
      </c>
      <c r="G283" s="270">
        <v>0</v>
      </c>
      <c r="H283" s="270">
        <v>0</v>
      </c>
      <c r="I283" s="270">
        <v>0</v>
      </c>
      <c r="J283" s="270">
        <v>0</v>
      </c>
      <c r="K283" s="270">
        <v>0</v>
      </c>
      <c r="L283" s="270">
        <v>0</v>
      </c>
      <c r="M283" s="270">
        <v>0</v>
      </c>
      <c r="N283" s="270">
        <v>0</v>
      </c>
      <c r="O283" s="270">
        <v>0</v>
      </c>
    </row>
    <row r="284" spans="1:15" x14ac:dyDescent="0.25">
      <c r="A284" s="117">
        <v>540225</v>
      </c>
      <c r="B284" s="2" t="s">
        <v>98</v>
      </c>
      <c r="C284" s="2" t="s">
        <v>99</v>
      </c>
      <c r="D284" s="2" t="s">
        <v>5</v>
      </c>
      <c r="E284" s="117">
        <v>5</v>
      </c>
      <c r="F284" s="117">
        <v>0</v>
      </c>
      <c r="G284" s="117">
        <v>0</v>
      </c>
      <c r="H284" s="117">
        <v>0</v>
      </c>
      <c r="I284" s="117">
        <v>0</v>
      </c>
      <c r="J284" s="117">
        <v>0</v>
      </c>
      <c r="K284" s="117">
        <v>0</v>
      </c>
      <c r="L284" s="117">
        <v>0</v>
      </c>
      <c r="M284" s="117">
        <v>0</v>
      </c>
      <c r="N284" s="117">
        <v>0</v>
      </c>
      <c r="O284" s="117">
        <v>0</v>
      </c>
    </row>
    <row r="285" spans="1:15" x14ac:dyDescent="0.25">
      <c r="A285" s="117">
        <v>540156</v>
      </c>
      <c r="B285" s="2" t="s">
        <v>232</v>
      </c>
      <c r="C285" s="2" t="s">
        <v>99</v>
      </c>
      <c r="D285" s="2" t="s">
        <v>115</v>
      </c>
      <c r="E285" s="117">
        <v>5</v>
      </c>
      <c r="F285" s="117">
        <v>0</v>
      </c>
      <c r="G285" s="117">
        <v>0</v>
      </c>
      <c r="H285" s="117">
        <v>0</v>
      </c>
      <c r="I285" s="117">
        <v>0</v>
      </c>
      <c r="J285" s="117">
        <v>0</v>
      </c>
      <c r="K285" s="117">
        <v>0</v>
      </c>
      <c r="L285" s="117">
        <v>0</v>
      </c>
      <c r="M285" s="117">
        <v>0</v>
      </c>
      <c r="N285" s="117">
        <v>0</v>
      </c>
      <c r="O285" s="117">
        <v>0</v>
      </c>
    </row>
    <row r="286" spans="1:15" x14ac:dyDescent="0.25">
      <c r="A286" s="117">
        <v>540253</v>
      </c>
      <c r="B286" s="2" t="s">
        <v>299</v>
      </c>
      <c r="C286" s="2" t="s">
        <v>99</v>
      </c>
      <c r="D286" s="2" t="s">
        <v>115</v>
      </c>
      <c r="E286" s="117">
        <v>5</v>
      </c>
      <c r="F286" s="117">
        <v>0</v>
      </c>
      <c r="G286" s="117">
        <v>0</v>
      </c>
      <c r="H286" s="117">
        <v>0</v>
      </c>
      <c r="I286" s="117">
        <v>0</v>
      </c>
      <c r="J286" s="117">
        <v>0</v>
      </c>
      <c r="K286" s="117">
        <v>0</v>
      </c>
      <c r="L286" s="117">
        <v>0</v>
      </c>
      <c r="M286" s="117">
        <v>0</v>
      </c>
      <c r="N286" s="117">
        <v>0</v>
      </c>
      <c r="O286" s="117">
        <v>0</v>
      </c>
    </row>
    <row r="287" spans="1:15" x14ac:dyDescent="0.25">
      <c r="A287" s="269"/>
      <c r="B287" s="269"/>
      <c r="C287" s="269" t="s">
        <v>99</v>
      </c>
      <c r="D287" s="269"/>
      <c r="E287" s="269"/>
      <c r="F287" s="270">
        <v>0</v>
      </c>
      <c r="G287" s="270">
        <v>0</v>
      </c>
      <c r="H287" s="270">
        <v>0</v>
      </c>
      <c r="I287" s="270">
        <v>0</v>
      </c>
      <c r="J287" s="270">
        <v>0</v>
      </c>
      <c r="K287" s="270">
        <v>0</v>
      </c>
      <c r="L287" s="270">
        <v>0</v>
      </c>
      <c r="M287" s="270">
        <v>0</v>
      </c>
      <c r="N287" s="270">
        <v>0</v>
      </c>
      <c r="O287" s="270">
        <v>0</v>
      </c>
    </row>
    <row r="288" spans="1:15" x14ac:dyDescent="0.25">
      <c r="A288" s="117">
        <v>540226</v>
      </c>
      <c r="B288" s="2" t="s">
        <v>100</v>
      </c>
      <c r="C288" s="2" t="s">
        <v>101</v>
      </c>
      <c r="D288" s="2" t="s">
        <v>5</v>
      </c>
      <c r="E288" s="117">
        <v>8</v>
      </c>
      <c r="F288" s="117">
        <v>157</v>
      </c>
      <c r="G288" s="117">
        <v>11</v>
      </c>
      <c r="H288" s="117">
        <v>0</v>
      </c>
      <c r="I288" s="117">
        <v>2</v>
      </c>
      <c r="J288" s="117">
        <v>4</v>
      </c>
      <c r="K288" s="117">
        <v>139</v>
      </c>
      <c r="L288" s="117">
        <v>0</v>
      </c>
      <c r="M288" s="117">
        <v>0</v>
      </c>
      <c r="N288" s="117">
        <v>0</v>
      </c>
      <c r="O288" s="117">
        <v>1</v>
      </c>
    </row>
    <row r="289" spans="1:15" x14ac:dyDescent="0.25">
      <c r="A289" s="117">
        <v>540046</v>
      </c>
      <c r="B289" s="2" t="s">
        <v>147</v>
      </c>
      <c r="C289" s="2" t="s">
        <v>101</v>
      </c>
      <c r="D289" s="2" t="s">
        <v>115</v>
      </c>
      <c r="E289" s="117">
        <v>8</v>
      </c>
      <c r="F289" s="117">
        <v>0</v>
      </c>
      <c r="G289" s="117">
        <v>0</v>
      </c>
      <c r="H289" s="117">
        <v>0</v>
      </c>
      <c r="I289" s="117">
        <v>0</v>
      </c>
      <c r="J289" s="117">
        <v>0</v>
      </c>
      <c r="K289" s="117">
        <v>0</v>
      </c>
      <c r="L289" s="117">
        <v>0</v>
      </c>
      <c r="M289" s="117">
        <v>0</v>
      </c>
      <c r="N289" s="117">
        <v>0</v>
      </c>
      <c r="O289" s="117">
        <v>0</v>
      </c>
    </row>
    <row r="290" spans="1:15" x14ac:dyDescent="0.25">
      <c r="A290" s="117">
        <v>540276</v>
      </c>
      <c r="B290" s="2" t="s">
        <v>319</v>
      </c>
      <c r="C290" s="2" t="s">
        <v>101</v>
      </c>
      <c r="D290" s="2" t="s">
        <v>115</v>
      </c>
      <c r="E290" s="117">
        <v>8</v>
      </c>
      <c r="F290" s="117">
        <v>0</v>
      </c>
      <c r="G290" s="117">
        <v>0</v>
      </c>
      <c r="H290" s="117">
        <v>0</v>
      </c>
      <c r="I290" s="117">
        <v>0</v>
      </c>
      <c r="J290" s="117">
        <v>0</v>
      </c>
      <c r="K290" s="117">
        <v>0</v>
      </c>
      <c r="L290" s="117">
        <v>0</v>
      </c>
      <c r="M290" s="117">
        <v>0</v>
      </c>
      <c r="N290" s="117">
        <v>0</v>
      </c>
      <c r="O290" s="117">
        <v>0</v>
      </c>
    </row>
    <row r="291" spans="1:15" x14ac:dyDescent="0.25">
      <c r="A291" s="269"/>
      <c r="B291" s="269"/>
      <c r="C291" s="269" t="s">
        <v>101</v>
      </c>
      <c r="D291" s="269"/>
      <c r="E291" s="269"/>
      <c r="F291" s="270">
        <v>157</v>
      </c>
      <c r="G291" s="270">
        <v>11</v>
      </c>
      <c r="H291" s="270">
        <v>0</v>
      </c>
      <c r="I291" s="270">
        <v>2</v>
      </c>
      <c r="J291" s="270">
        <v>4</v>
      </c>
      <c r="K291" s="270">
        <v>139</v>
      </c>
      <c r="L291" s="270">
        <v>0</v>
      </c>
      <c r="M291" s="270">
        <v>0</v>
      </c>
      <c r="N291" s="270">
        <v>0</v>
      </c>
      <c r="O291" s="270">
        <v>1</v>
      </c>
    </row>
    <row r="292" spans="1:15" x14ac:dyDescent="0.25">
      <c r="A292" s="117">
        <v>540277</v>
      </c>
      <c r="B292" s="2" t="s">
        <v>102</v>
      </c>
      <c r="C292" s="2" t="s">
        <v>103</v>
      </c>
      <c r="D292" s="2" t="s">
        <v>5</v>
      </c>
      <c r="E292" s="117">
        <v>5</v>
      </c>
      <c r="F292" s="117">
        <v>0</v>
      </c>
      <c r="G292" s="117">
        <v>0</v>
      </c>
      <c r="H292" s="117">
        <v>0</v>
      </c>
      <c r="I292" s="117">
        <v>0</v>
      </c>
      <c r="J292" s="117">
        <v>0</v>
      </c>
      <c r="K292" s="117">
        <v>0</v>
      </c>
      <c r="L292" s="117">
        <v>0</v>
      </c>
      <c r="M292" s="117">
        <v>0</v>
      </c>
      <c r="N292" s="117">
        <v>0</v>
      </c>
      <c r="O292" s="117">
        <v>0</v>
      </c>
    </row>
    <row r="293" spans="1:15" x14ac:dyDescent="0.25">
      <c r="A293" s="117">
        <v>540195</v>
      </c>
      <c r="B293" s="2" t="s">
        <v>258</v>
      </c>
      <c r="C293" s="2" t="s">
        <v>103</v>
      </c>
      <c r="D293" s="2" t="s">
        <v>115</v>
      </c>
      <c r="E293" s="117">
        <v>5</v>
      </c>
      <c r="F293" s="117">
        <v>0</v>
      </c>
      <c r="G293" s="117">
        <v>0</v>
      </c>
      <c r="H293" s="117">
        <v>0</v>
      </c>
      <c r="I293" s="117">
        <v>0</v>
      </c>
      <c r="J293" s="117">
        <v>0</v>
      </c>
      <c r="K293" s="117">
        <v>0</v>
      </c>
      <c r="L293" s="117">
        <v>0</v>
      </c>
      <c r="M293" s="117">
        <v>0</v>
      </c>
      <c r="N293" s="117">
        <v>0</v>
      </c>
      <c r="O293" s="117">
        <v>0</v>
      </c>
    </row>
    <row r="294" spans="1:15" x14ac:dyDescent="0.25">
      <c r="A294" s="117">
        <v>540196</v>
      </c>
      <c r="B294" s="2" t="s">
        <v>259</v>
      </c>
      <c r="C294" s="2" t="s">
        <v>103</v>
      </c>
      <c r="D294" s="2" t="s">
        <v>115</v>
      </c>
      <c r="E294" s="117">
        <v>5</v>
      </c>
      <c r="F294" s="117">
        <v>0</v>
      </c>
      <c r="G294" s="117">
        <v>0</v>
      </c>
      <c r="H294" s="117">
        <v>0</v>
      </c>
      <c r="I294" s="117">
        <v>0</v>
      </c>
      <c r="J294" s="117">
        <v>0</v>
      </c>
      <c r="K294" s="117">
        <v>0</v>
      </c>
      <c r="L294" s="117">
        <v>0</v>
      </c>
      <c r="M294" s="117">
        <v>0</v>
      </c>
      <c r="N294" s="117">
        <v>0</v>
      </c>
      <c r="O294" s="117">
        <v>0</v>
      </c>
    </row>
    <row r="295" spans="1:15" x14ac:dyDescent="0.25">
      <c r="A295" s="117">
        <v>540197</v>
      </c>
      <c r="B295" s="2" t="s">
        <v>260</v>
      </c>
      <c r="C295" s="2" t="s">
        <v>103</v>
      </c>
      <c r="D295" s="2" t="s">
        <v>115</v>
      </c>
      <c r="E295" s="117">
        <v>5</v>
      </c>
      <c r="F295" s="117">
        <v>0</v>
      </c>
      <c r="G295" s="117">
        <v>0</v>
      </c>
      <c r="H295" s="117">
        <v>0</v>
      </c>
      <c r="I295" s="117">
        <v>0</v>
      </c>
      <c r="J295" s="117">
        <v>0</v>
      </c>
      <c r="K295" s="117">
        <v>0</v>
      </c>
      <c r="L295" s="117">
        <v>0</v>
      </c>
      <c r="M295" s="117">
        <v>0</v>
      </c>
      <c r="N295" s="117">
        <v>0</v>
      </c>
      <c r="O295" s="117">
        <v>0</v>
      </c>
    </row>
    <row r="296" spans="1:15" x14ac:dyDescent="0.25">
      <c r="A296" s="117">
        <v>540259</v>
      </c>
      <c r="B296" s="2" t="s">
        <v>304</v>
      </c>
      <c r="C296" s="2" t="s">
        <v>103</v>
      </c>
      <c r="D296" s="2" t="s">
        <v>115</v>
      </c>
      <c r="E296" s="117">
        <v>5</v>
      </c>
      <c r="F296" s="117">
        <v>0</v>
      </c>
      <c r="G296" s="117">
        <v>0</v>
      </c>
      <c r="H296" s="117">
        <v>0</v>
      </c>
      <c r="I296" s="117">
        <v>0</v>
      </c>
      <c r="J296" s="117">
        <v>0</v>
      </c>
      <c r="K296" s="117">
        <v>0</v>
      </c>
      <c r="L296" s="117">
        <v>0</v>
      </c>
      <c r="M296" s="117">
        <v>0</v>
      </c>
      <c r="N296" s="117">
        <v>0</v>
      </c>
      <c r="O296" s="117">
        <v>0</v>
      </c>
    </row>
    <row r="297" spans="1:15" x14ac:dyDescent="0.25">
      <c r="A297" s="269"/>
      <c r="B297" s="269"/>
      <c r="C297" s="269" t="s">
        <v>103</v>
      </c>
      <c r="D297" s="269"/>
      <c r="E297" s="269"/>
      <c r="F297" s="270">
        <v>0</v>
      </c>
      <c r="G297" s="270">
        <v>0</v>
      </c>
      <c r="H297" s="270">
        <v>0</v>
      </c>
      <c r="I297" s="270">
        <v>0</v>
      </c>
      <c r="J297" s="270">
        <v>0</v>
      </c>
      <c r="K297" s="270">
        <v>0</v>
      </c>
      <c r="L297" s="270">
        <v>0</v>
      </c>
      <c r="M297" s="270">
        <v>0</v>
      </c>
      <c r="N297" s="270">
        <v>0</v>
      </c>
      <c r="O297" s="270">
        <v>0</v>
      </c>
    </row>
    <row r="298" spans="1:15" x14ac:dyDescent="0.25">
      <c r="A298" s="117">
        <v>540278</v>
      </c>
      <c r="B298" s="2" t="s">
        <v>104</v>
      </c>
      <c r="C298" s="2" t="s">
        <v>105</v>
      </c>
      <c r="D298" s="2" t="s">
        <v>5</v>
      </c>
      <c r="E298" s="117">
        <v>1</v>
      </c>
      <c r="F298" s="117">
        <v>628</v>
      </c>
      <c r="G298" s="117">
        <v>14</v>
      </c>
      <c r="H298" s="117">
        <v>2</v>
      </c>
      <c r="I298" s="117">
        <v>5</v>
      </c>
      <c r="J298" s="117">
        <v>3</v>
      </c>
      <c r="K298" s="117">
        <v>604</v>
      </c>
      <c r="L298" s="117">
        <v>0</v>
      </c>
      <c r="M298" s="117">
        <v>0</v>
      </c>
      <c r="N298" s="117">
        <v>0</v>
      </c>
      <c r="O298" s="117">
        <v>0</v>
      </c>
    </row>
    <row r="299" spans="1:15" x14ac:dyDescent="0.25">
      <c r="A299" s="117">
        <v>540041</v>
      </c>
      <c r="B299" s="2" t="s">
        <v>142</v>
      </c>
      <c r="C299" s="2" t="s">
        <v>105</v>
      </c>
      <c r="D299" s="2" t="s">
        <v>115</v>
      </c>
      <c r="E299" s="117">
        <v>1</v>
      </c>
      <c r="F299" s="117">
        <v>0</v>
      </c>
      <c r="G299" s="117">
        <v>0</v>
      </c>
      <c r="H299" s="117">
        <v>0</v>
      </c>
      <c r="I299" s="117">
        <v>0</v>
      </c>
      <c r="J299" s="117">
        <v>0</v>
      </c>
      <c r="K299" s="117">
        <v>0</v>
      </c>
      <c r="L299" s="117">
        <v>0</v>
      </c>
      <c r="M299" s="117">
        <v>0</v>
      </c>
      <c r="N299" s="117">
        <v>0</v>
      </c>
      <c r="O299" s="117">
        <v>0</v>
      </c>
    </row>
    <row r="300" spans="1:15" x14ac:dyDescent="0.25">
      <c r="A300" s="117">
        <v>540143</v>
      </c>
      <c r="B300" s="2" t="s">
        <v>224</v>
      </c>
      <c r="C300" s="2" t="s">
        <v>105</v>
      </c>
      <c r="D300" s="2" t="s">
        <v>115</v>
      </c>
      <c r="E300" s="117">
        <v>1</v>
      </c>
      <c r="F300" s="117">
        <v>0</v>
      </c>
      <c r="G300" s="117">
        <v>0</v>
      </c>
      <c r="H300" s="117">
        <v>0</v>
      </c>
      <c r="I300" s="117">
        <v>0</v>
      </c>
      <c r="J300" s="117">
        <v>0</v>
      </c>
      <c r="K300" s="117">
        <v>0</v>
      </c>
      <c r="L300" s="117">
        <v>0</v>
      </c>
      <c r="M300" s="117">
        <v>0</v>
      </c>
      <c r="N300" s="117">
        <v>0</v>
      </c>
      <c r="O300" s="117">
        <v>0</v>
      </c>
    </row>
    <row r="301" spans="1:15" x14ac:dyDescent="0.25">
      <c r="A301" s="117">
        <v>540290</v>
      </c>
      <c r="B301" s="2" t="s">
        <v>327</v>
      </c>
      <c r="C301" s="2" t="s">
        <v>105</v>
      </c>
      <c r="D301" s="2" t="s">
        <v>115</v>
      </c>
      <c r="E301" s="117">
        <v>1</v>
      </c>
      <c r="F301" s="117">
        <v>0</v>
      </c>
      <c r="G301" s="117">
        <v>0</v>
      </c>
      <c r="H301" s="117">
        <v>0</v>
      </c>
      <c r="I301" s="117">
        <v>0</v>
      </c>
      <c r="J301" s="117">
        <v>0</v>
      </c>
      <c r="K301" s="117">
        <v>0</v>
      </c>
      <c r="L301" s="117">
        <v>0</v>
      </c>
      <c r="M301" s="117">
        <v>0</v>
      </c>
      <c r="N301" s="117">
        <v>0</v>
      </c>
      <c r="O301" s="117">
        <v>0</v>
      </c>
    </row>
    <row r="302" spans="1:15" x14ac:dyDescent="0.25">
      <c r="A302" s="269"/>
      <c r="B302" s="269"/>
      <c r="C302" s="269" t="s">
        <v>105</v>
      </c>
      <c r="D302" s="269"/>
      <c r="E302" s="269"/>
      <c r="F302" s="270">
        <v>628</v>
      </c>
      <c r="G302" s="270">
        <v>14</v>
      </c>
      <c r="H302" s="270">
        <v>2</v>
      </c>
      <c r="I302" s="270">
        <v>5</v>
      </c>
      <c r="J302" s="270">
        <v>3</v>
      </c>
      <c r="K302" s="270">
        <v>604</v>
      </c>
      <c r="L302" s="270">
        <v>0</v>
      </c>
      <c r="M302" s="270">
        <v>0</v>
      </c>
      <c r="N302" s="270">
        <v>0</v>
      </c>
      <c r="O302" s="270">
        <v>0</v>
      </c>
    </row>
    <row r="303" spans="1:15" x14ac:dyDescent="0.25">
      <c r="A303" s="117">
        <v>540282</v>
      </c>
      <c r="B303" s="2" t="s">
        <v>106</v>
      </c>
      <c r="C303" s="2" t="s">
        <v>107</v>
      </c>
      <c r="D303" s="2" t="s">
        <v>5</v>
      </c>
      <c r="E303" s="117">
        <v>9</v>
      </c>
      <c r="F303" s="117">
        <v>24</v>
      </c>
      <c r="G303" s="117">
        <v>3</v>
      </c>
      <c r="H303" s="117">
        <v>0</v>
      </c>
      <c r="I303" s="117">
        <v>1</v>
      </c>
      <c r="J303" s="117">
        <v>0</v>
      </c>
      <c r="K303" s="117">
        <v>20</v>
      </c>
      <c r="L303" s="117">
        <v>0</v>
      </c>
      <c r="M303" s="117">
        <v>0</v>
      </c>
      <c r="N303" s="117">
        <v>0</v>
      </c>
      <c r="O303" s="117">
        <v>0</v>
      </c>
    </row>
    <row r="304" spans="1:15" x14ac:dyDescent="0.25">
      <c r="A304" s="117">
        <v>540006</v>
      </c>
      <c r="B304" s="2" t="s">
        <v>119</v>
      </c>
      <c r="C304" s="2" t="s">
        <v>107</v>
      </c>
      <c r="D304" s="2" t="s">
        <v>115</v>
      </c>
      <c r="E304" s="117">
        <v>9</v>
      </c>
      <c r="F304" s="117">
        <v>0</v>
      </c>
      <c r="G304" s="117">
        <v>0</v>
      </c>
      <c r="H304" s="117">
        <v>0</v>
      </c>
      <c r="I304" s="117">
        <v>0</v>
      </c>
      <c r="J304" s="117">
        <v>0</v>
      </c>
      <c r="K304" s="117">
        <v>0</v>
      </c>
      <c r="L304" s="117">
        <v>0</v>
      </c>
      <c r="M304" s="117">
        <v>0</v>
      </c>
      <c r="N304" s="117">
        <v>0</v>
      </c>
      <c r="O304" s="117">
        <v>0</v>
      </c>
    </row>
    <row r="305" spans="1:15" x14ac:dyDescent="0.25">
      <c r="A305" s="117">
        <v>545550</v>
      </c>
      <c r="B305" s="2" t="s">
        <v>339</v>
      </c>
      <c r="C305" s="2" t="s">
        <v>107</v>
      </c>
      <c r="D305" s="2" t="s">
        <v>115</v>
      </c>
      <c r="E305" s="117">
        <v>9</v>
      </c>
      <c r="F305" s="117">
        <v>0</v>
      </c>
      <c r="G305" s="117">
        <v>0</v>
      </c>
      <c r="H305" s="117">
        <v>0</v>
      </c>
      <c r="I305" s="117">
        <v>0</v>
      </c>
      <c r="J305" s="117">
        <v>0</v>
      </c>
      <c r="K305" s="117">
        <v>0</v>
      </c>
      <c r="L305" s="117">
        <v>0</v>
      </c>
      <c r="M305" s="117">
        <v>0</v>
      </c>
      <c r="N305" s="117">
        <v>0</v>
      </c>
      <c r="O305" s="117">
        <v>0</v>
      </c>
    </row>
    <row r="306" spans="1:15" x14ac:dyDescent="0.25">
      <c r="A306" s="269"/>
      <c r="B306" s="269"/>
      <c r="C306" s="269" t="s">
        <v>107</v>
      </c>
      <c r="D306" s="269"/>
      <c r="E306" s="269"/>
      <c r="F306" s="270">
        <v>24</v>
      </c>
      <c r="G306" s="270">
        <v>3</v>
      </c>
      <c r="H306" s="270">
        <v>0</v>
      </c>
      <c r="I306" s="270">
        <v>1</v>
      </c>
      <c r="J306" s="270">
        <v>0</v>
      </c>
      <c r="K306" s="270">
        <v>20</v>
      </c>
      <c r="L306" s="270">
        <v>0</v>
      </c>
      <c r="M306" s="270">
        <v>0</v>
      </c>
      <c r="N306" s="270">
        <v>0</v>
      </c>
      <c r="O306" s="270">
        <v>0</v>
      </c>
    </row>
    <row r="307" spans="1:15" x14ac:dyDescent="0.25">
      <c r="A307" s="117">
        <v>540283</v>
      </c>
      <c r="B307" s="2" t="s">
        <v>108</v>
      </c>
      <c r="C307" s="2" t="s">
        <v>109</v>
      </c>
      <c r="D307" s="2" t="s">
        <v>5</v>
      </c>
      <c r="E307" s="117">
        <v>4</v>
      </c>
      <c r="F307" s="117">
        <v>1115</v>
      </c>
      <c r="G307" s="117">
        <v>11</v>
      </c>
      <c r="H307" s="117">
        <v>0</v>
      </c>
      <c r="I307" s="117">
        <v>25</v>
      </c>
      <c r="J307" s="117">
        <v>5</v>
      </c>
      <c r="K307" s="117">
        <v>1073</v>
      </c>
      <c r="L307" s="117">
        <v>0</v>
      </c>
      <c r="M307" s="117">
        <v>0</v>
      </c>
      <c r="N307" s="117">
        <v>0</v>
      </c>
      <c r="O307" s="117">
        <v>1</v>
      </c>
    </row>
    <row r="308" spans="1:15" x14ac:dyDescent="0.25">
      <c r="A308" s="117">
        <v>540158</v>
      </c>
      <c r="B308" s="2" t="s">
        <v>233</v>
      </c>
      <c r="C308" s="2" t="s">
        <v>109</v>
      </c>
      <c r="D308" s="2" t="s">
        <v>115</v>
      </c>
      <c r="E308" s="117">
        <v>4</v>
      </c>
      <c r="F308" s="117">
        <v>0</v>
      </c>
      <c r="G308" s="117">
        <v>0</v>
      </c>
      <c r="H308" s="117">
        <v>0</v>
      </c>
      <c r="I308" s="117">
        <v>0</v>
      </c>
      <c r="J308" s="117">
        <v>0</v>
      </c>
      <c r="K308" s="117">
        <v>0</v>
      </c>
      <c r="L308" s="117">
        <v>0</v>
      </c>
      <c r="M308" s="117">
        <v>0</v>
      </c>
      <c r="N308" s="117">
        <v>0</v>
      </c>
      <c r="O308" s="117">
        <v>0</v>
      </c>
    </row>
    <row r="309" spans="1:15" x14ac:dyDescent="0.25">
      <c r="A309" s="117">
        <v>540159</v>
      </c>
      <c r="B309" s="2" t="s">
        <v>234</v>
      </c>
      <c r="C309" s="2" t="s">
        <v>109</v>
      </c>
      <c r="D309" s="2" t="s">
        <v>115</v>
      </c>
      <c r="E309" s="117">
        <v>4</v>
      </c>
      <c r="F309" s="117">
        <v>0</v>
      </c>
      <c r="G309" s="117">
        <v>0</v>
      </c>
      <c r="H309" s="117">
        <v>0</v>
      </c>
      <c r="I309" s="117">
        <v>0</v>
      </c>
      <c r="J309" s="117">
        <v>0</v>
      </c>
      <c r="K309" s="117">
        <v>0</v>
      </c>
      <c r="L309" s="117">
        <v>0</v>
      </c>
      <c r="M309" s="117">
        <v>0</v>
      </c>
      <c r="N309" s="117">
        <v>0</v>
      </c>
      <c r="O309" s="117">
        <v>0</v>
      </c>
    </row>
    <row r="310" spans="1:15" x14ac:dyDescent="0.25">
      <c r="A310" s="117">
        <v>540288</v>
      </c>
      <c r="B310" s="2" t="s">
        <v>340</v>
      </c>
      <c r="C310" s="2" t="s">
        <v>109</v>
      </c>
      <c r="D310" s="2" t="s">
        <v>115</v>
      </c>
      <c r="E310" s="117">
        <v>4</v>
      </c>
      <c r="F310" s="117">
        <v>0</v>
      </c>
      <c r="G310" s="117">
        <v>0</v>
      </c>
      <c r="H310" s="117">
        <v>0</v>
      </c>
      <c r="I310" s="117">
        <v>0</v>
      </c>
      <c r="J310" s="117">
        <v>0</v>
      </c>
      <c r="K310" s="117">
        <v>0</v>
      </c>
      <c r="L310" s="117">
        <v>0</v>
      </c>
      <c r="M310" s="117">
        <v>0</v>
      </c>
      <c r="N310" s="117">
        <v>0</v>
      </c>
      <c r="O310" s="117">
        <v>0</v>
      </c>
    </row>
    <row r="311" spans="1:15" x14ac:dyDescent="0.25">
      <c r="A311" s="269"/>
      <c r="B311" s="269"/>
      <c r="C311" s="269" t="s">
        <v>109</v>
      </c>
      <c r="D311" s="269"/>
      <c r="E311" s="269"/>
      <c r="F311" s="270">
        <v>1115</v>
      </c>
      <c r="G311" s="270">
        <v>11</v>
      </c>
      <c r="H311" s="270">
        <v>0</v>
      </c>
      <c r="I311" s="270">
        <v>25</v>
      </c>
      <c r="J311" s="270">
        <v>5</v>
      </c>
      <c r="K311" s="270">
        <v>1073</v>
      </c>
      <c r="L311" s="270">
        <v>0</v>
      </c>
      <c r="M311" s="270">
        <v>0</v>
      </c>
      <c r="N311" s="270">
        <v>0</v>
      </c>
      <c r="O311" s="270">
        <v>1</v>
      </c>
    </row>
    <row r="312" spans="1:15" x14ac:dyDescent="0.25">
      <c r="A312" s="117">
        <v>545536</v>
      </c>
      <c r="B312" s="2" t="s">
        <v>110</v>
      </c>
      <c r="C312" s="2" t="s">
        <v>111</v>
      </c>
      <c r="D312" s="2" t="s">
        <v>5</v>
      </c>
      <c r="E312" s="117">
        <v>2</v>
      </c>
      <c r="F312" s="117">
        <v>3322</v>
      </c>
      <c r="G312" s="117">
        <v>41</v>
      </c>
      <c r="H312" s="117">
        <v>0</v>
      </c>
      <c r="I312" s="117">
        <v>0</v>
      </c>
      <c r="J312" s="117">
        <v>9</v>
      </c>
      <c r="K312" s="117">
        <v>3272</v>
      </c>
      <c r="L312" s="117">
        <v>0</v>
      </c>
      <c r="M312" s="117">
        <v>0</v>
      </c>
      <c r="N312" s="117">
        <v>0</v>
      </c>
      <c r="O312" s="117">
        <v>0</v>
      </c>
    </row>
    <row r="313" spans="1:15" x14ac:dyDescent="0.25">
      <c r="A313" s="117">
        <v>540092</v>
      </c>
      <c r="B313" s="2" t="s">
        <v>183</v>
      </c>
      <c r="C313" s="2" t="s">
        <v>111</v>
      </c>
      <c r="D313" s="2" t="s">
        <v>115</v>
      </c>
      <c r="E313" s="117">
        <v>2</v>
      </c>
      <c r="F313" s="117">
        <v>2</v>
      </c>
      <c r="G313" s="117">
        <v>0</v>
      </c>
      <c r="H313" s="117">
        <v>0</v>
      </c>
      <c r="I313" s="117">
        <v>0</v>
      </c>
      <c r="J313" s="117">
        <v>0</v>
      </c>
      <c r="K313" s="117">
        <v>2</v>
      </c>
      <c r="L313" s="117">
        <v>0</v>
      </c>
      <c r="M313" s="117">
        <v>0</v>
      </c>
      <c r="N313" s="117">
        <v>0</v>
      </c>
      <c r="O313" s="117">
        <v>0</v>
      </c>
    </row>
    <row r="314" spans="1:15" x14ac:dyDescent="0.25">
      <c r="A314" s="117">
        <v>540095</v>
      </c>
      <c r="B314" s="2" t="s">
        <v>186</v>
      </c>
      <c r="C314" s="2" t="s">
        <v>111</v>
      </c>
      <c r="D314" s="2" t="s">
        <v>115</v>
      </c>
      <c r="E314" s="117">
        <v>2</v>
      </c>
      <c r="F314" s="117">
        <v>8</v>
      </c>
      <c r="G314" s="117">
        <v>0</v>
      </c>
      <c r="H314" s="117">
        <v>0</v>
      </c>
      <c r="I314" s="117">
        <v>0</v>
      </c>
      <c r="J314" s="117">
        <v>0</v>
      </c>
      <c r="K314" s="117">
        <v>8</v>
      </c>
      <c r="L314" s="117">
        <v>0</v>
      </c>
      <c r="M314" s="117">
        <v>0</v>
      </c>
      <c r="N314" s="117">
        <v>0</v>
      </c>
      <c r="O314" s="117">
        <v>0</v>
      </c>
    </row>
    <row r="315" spans="1:15" x14ac:dyDescent="0.25">
      <c r="A315" s="117">
        <v>545535</v>
      </c>
      <c r="B315" s="2" t="s">
        <v>332</v>
      </c>
      <c r="C315" s="2" t="s">
        <v>111</v>
      </c>
      <c r="D315" s="2" t="s">
        <v>115</v>
      </c>
      <c r="E315" s="117">
        <v>2</v>
      </c>
      <c r="F315" s="117">
        <v>4</v>
      </c>
      <c r="G315" s="117">
        <v>0</v>
      </c>
      <c r="H315" s="117">
        <v>0</v>
      </c>
      <c r="I315" s="117">
        <v>0</v>
      </c>
      <c r="J315" s="117">
        <v>0</v>
      </c>
      <c r="K315" s="117">
        <v>4</v>
      </c>
      <c r="L315" s="117">
        <v>0</v>
      </c>
      <c r="M315" s="117">
        <v>0</v>
      </c>
      <c r="N315" s="117">
        <v>0</v>
      </c>
      <c r="O315" s="117">
        <v>0</v>
      </c>
    </row>
    <row r="316" spans="1:15" x14ac:dyDescent="0.25">
      <c r="A316" s="117">
        <v>545537</v>
      </c>
      <c r="B316" s="2" t="s">
        <v>333</v>
      </c>
      <c r="C316" s="2" t="s">
        <v>111</v>
      </c>
      <c r="D316" s="2" t="s">
        <v>115</v>
      </c>
      <c r="E316" s="117">
        <v>2</v>
      </c>
      <c r="F316" s="117">
        <v>2</v>
      </c>
      <c r="G316" s="117">
        <v>0</v>
      </c>
      <c r="H316" s="117">
        <v>0</v>
      </c>
      <c r="I316" s="117">
        <v>0</v>
      </c>
      <c r="J316" s="117">
        <v>0</v>
      </c>
      <c r="K316" s="117">
        <v>2</v>
      </c>
      <c r="L316" s="117">
        <v>0</v>
      </c>
      <c r="M316" s="117">
        <v>0</v>
      </c>
      <c r="N316" s="117">
        <v>0</v>
      </c>
      <c r="O316" s="117">
        <v>0</v>
      </c>
    </row>
    <row r="317" spans="1:15" x14ac:dyDescent="0.25">
      <c r="A317" s="117">
        <v>545539</v>
      </c>
      <c r="B317" s="2" t="s">
        <v>335</v>
      </c>
      <c r="C317" s="2" t="s">
        <v>111</v>
      </c>
      <c r="D317" s="2" t="s">
        <v>115</v>
      </c>
      <c r="E317" s="117">
        <v>2</v>
      </c>
      <c r="F317" s="117">
        <v>3</v>
      </c>
      <c r="G317" s="117">
        <v>0</v>
      </c>
      <c r="H317" s="117">
        <v>0</v>
      </c>
      <c r="I317" s="117">
        <v>0</v>
      </c>
      <c r="J317" s="117">
        <v>0</v>
      </c>
      <c r="K317" s="117">
        <v>3</v>
      </c>
      <c r="L317" s="117">
        <v>0</v>
      </c>
      <c r="M317" s="117">
        <v>0</v>
      </c>
      <c r="N317" s="117">
        <v>0</v>
      </c>
      <c r="O317" s="117">
        <v>0</v>
      </c>
    </row>
    <row r="318" spans="1:15" x14ac:dyDescent="0.25">
      <c r="A318" s="269"/>
      <c r="B318" s="269"/>
      <c r="C318" s="269" t="s">
        <v>111</v>
      </c>
      <c r="D318" s="269"/>
      <c r="E318" s="269"/>
      <c r="F318" s="270">
        <v>3341</v>
      </c>
      <c r="G318" s="270">
        <v>41</v>
      </c>
      <c r="H318" s="270">
        <v>0</v>
      </c>
      <c r="I318" s="270">
        <v>0</v>
      </c>
      <c r="J318" s="270">
        <v>9</v>
      </c>
      <c r="K318" s="270">
        <v>3291</v>
      </c>
      <c r="L318" s="270">
        <v>0</v>
      </c>
      <c r="M318" s="270">
        <v>0</v>
      </c>
      <c r="N318" s="270">
        <v>0</v>
      </c>
      <c r="O318" s="270">
        <v>0</v>
      </c>
    </row>
    <row r="319" spans="1:15" x14ac:dyDescent="0.25">
      <c r="A319" s="117">
        <v>540191</v>
      </c>
      <c r="B319" s="2" t="s">
        <v>112</v>
      </c>
      <c r="C319" s="2" t="s">
        <v>113</v>
      </c>
      <c r="D319" s="2" t="s">
        <v>5</v>
      </c>
      <c r="E319" s="117">
        <v>7</v>
      </c>
      <c r="F319" s="117">
        <v>345</v>
      </c>
      <c r="G319" s="117">
        <v>1</v>
      </c>
      <c r="H319" s="117">
        <v>0</v>
      </c>
      <c r="I319" s="117">
        <v>0</v>
      </c>
      <c r="J319" s="117">
        <v>0</v>
      </c>
      <c r="K319" s="117">
        <v>344</v>
      </c>
      <c r="L319" s="117">
        <v>0</v>
      </c>
      <c r="M319" s="117">
        <v>0</v>
      </c>
      <c r="N319" s="117">
        <v>0</v>
      </c>
      <c r="O319" s="117">
        <v>0</v>
      </c>
    </row>
    <row r="320" spans="1:15" x14ac:dyDescent="0.25">
      <c r="A320" s="117">
        <v>540193</v>
      </c>
      <c r="B320" s="2" t="s">
        <v>342</v>
      </c>
      <c r="C320" s="2" t="s">
        <v>113</v>
      </c>
      <c r="D320" s="2" t="s">
        <v>115</v>
      </c>
      <c r="E320" s="117">
        <v>7</v>
      </c>
      <c r="F320" s="117">
        <v>0</v>
      </c>
      <c r="G320" s="117">
        <v>0</v>
      </c>
      <c r="H320" s="117">
        <v>0</v>
      </c>
      <c r="I320" s="117">
        <v>0</v>
      </c>
      <c r="J320" s="117">
        <v>0</v>
      </c>
      <c r="K320" s="117">
        <v>0</v>
      </c>
      <c r="L320" s="117">
        <v>0</v>
      </c>
      <c r="M320" s="117">
        <v>0</v>
      </c>
      <c r="N320" s="117">
        <v>0</v>
      </c>
      <c r="O320" s="117">
        <v>0</v>
      </c>
    </row>
    <row r="321" spans="1:15" x14ac:dyDescent="0.25">
      <c r="A321" s="117">
        <v>540192</v>
      </c>
      <c r="B321" s="2" t="s">
        <v>343</v>
      </c>
      <c r="C321" s="2" t="s">
        <v>113</v>
      </c>
      <c r="D321" s="2" t="s">
        <v>115</v>
      </c>
      <c r="E321" s="117">
        <v>7</v>
      </c>
      <c r="F321" s="117">
        <v>0</v>
      </c>
      <c r="G321" s="117">
        <v>0</v>
      </c>
      <c r="H321" s="117">
        <v>0</v>
      </c>
      <c r="I321" s="117">
        <v>0</v>
      </c>
      <c r="J321" s="117">
        <v>0</v>
      </c>
      <c r="K321" s="117">
        <v>0</v>
      </c>
      <c r="L321" s="117">
        <v>0</v>
      </c>
      <c r="M321" s="117">
        <v>0</v>
      </c>
      <c r="N321" s="117">
        <v>0</v>
      </c>
      <c r="O321" s="117">
        <v>0</v>
      </c>
    </row>
    <row r="322" spans="1:15" x14ac:dyDescent="0.25">
      <c r="A322" s="117">
        <v>540194</v>
      </c>
      <c r="B322" s="2" t="s">
        <v>344</v>
      </c>
      <c r="C322" s="2" t="s">
        <v>113</v>
      </c>
      <c r="D322" s="2" t="s">
        <v>115</v>
      </c>
      <c r="E322" s="117">
        <v>7</v>
      </c>
      <c r="F322" s="117">
        <v>0</v>
      </c>
      <c r="G322" s="117">
        <v>0</v>
      </c>
      <c r="H322" s="117">
        <v>0</v>
      </c>
      <c r="I322" s="117">
        <v>0</v>
      </c>
      <c r="J322" s="117">
        <v>0</v>
      </c>
      <c r="K322" s="117">
        <v>0</v>
      </c>
      <c r="L322" s="117">
        <v>0</v>
      </c>
      <c r="M322" s="117">
        <v>0</v>
      </c>
      <c r="N322" s="117">
        <v>0</v>
      </c>
      <c r="O322" s="117">
        <v>0</v>
      </c>
    </row>
    <row r="323" spans="1:15" x14ac:dyDescent="0.25">
      <c r="A323" s="117">
        <v>540261</v>
      </c>
      <c r="B323" s="2" t="s">
        <v>345</v>
      </c>
      <c r="C323" s="2" t="s">
        <v>113</v>
      </c>
      <c r="D323" s="2" t="s">
        <v>115</v>
      </c>
      <c r="E323" s="117">
        <v>7</v>
      </c>
      <c r="F323" s="117">
        <v>0</v>
      </c>
      <c r="G323" s="117">
        <v>0</v>
      </c>
      <c r="H323" s="117">
        <v>0</v>
      </c>
      <c r="I323" s="117">
        <v>0</v>
      </c>
      <c r="J323" s="117">
        <v>0</v>
      </c>
      <c r="K323" s="117">
        <v>0</v>
      </c>
      <c r="L323" s="117">
        <v>0</v>
      </c>
      <c r="M323" s="117">
        <v>0</v>
      </c>
      <c r="N323" s="117">
        <v>0</v>
      </c>
      <c r="O323" s="117">
        <v>0</v>
      </c>
    </row>
    <row r="324" spans="1:15" x14ac:dyDescent="0.25">
      <c r="A324" s="117">
        <v>540260</v>
      </c>
      <c r="B324" s="2" t="s">
        <v>346</v>
      </c>
      <c r="C324" s="2" t="s">
        <v>113</v>
      </c>
      <c r="D324" s="2" t="s">
        <v>115</v>
      </c>
      <c r="E324" s="117">
        <v>7</v>
      </c>
      <c r="F324" s="117">
        <v>0</v>
      </c>
      <c r="G324" s="117">
        <v>0</v>
      </c>
      <c r="H324" s="117">
        <v>0</v>
      </c>
      <c r="I324" s="117">
        <v>0</v>
      </c>
      <c r="J324" s="117">
        <v>0</v>
      </c>
      <c r="K324" s="117">
        <v>0</v>
      </c>
      <c r="L324" s="117">
        <v>0</v>
      </c>
      <c r="M324" s="117">
        <v>0</v>
      </c>
      <c r="N324" s="117">
        <v>0</v>
      </c>
      <c r="O324" s="117">
        <v>0</v>
      </c>
    </row>
    <row r="325" spans="1:15" x14ac:dyDescent="0.25">
      <c r="A325" s="269"/>
      <c r="B325" s="269"/>
      <c r="C325" s="269" t="s">
        <v>113</v>
      </c>
      <c r="D325" s="269"/>
      <c r="E325" s="269"/>
      <c r="F325" s="270">
        <v>345</v>
      </c>
      <c r="G325" s="270">
        <v>1</v>
      </c>
      <c r="H325" s="270">
        <v>0</v>
      </c>
      <c r="I325" s="270">
        <v>0</v>
      </c>
      <c r="J325" s="270">
        <v>0</v>
      </c>
      <c r="K325" s="270">
        <v>344</v>
      </c>
      <c r="L325" s="270">
        <v>0</v>
      </c>
      <c r="M325" s="270">
        <v>0</v>
      </c>
      <c r="N325" s="270">
        <v>0</v>
      </c>
      <c r="O325" s="270">
        <v>0</v>
      </c>
    </row>
    <row r="326" spans="1:15" x14ac:dyDescent="0.25">
      <c r="A326" s="117">
        <v>540027</v>
      </c>
      <c r="B326" s="2" t="s">
        <v>132</v>
      </c>
      <c r="C326" s="2" t="s">
        <v>21</v>
      </c>
      <c r="D326" s="2" t="s">
        <v>115</v>
      </c>
      <c r="E326" s="117">
        <v>4</v>
      </c>
      <c r="F326" s="117">
        <v>3</v>
      </c>
      <c r="G326" s="117">
        <v>0</v>
      </c>
      <c r="H326" s="117">
        <v>0</v>
      </c>
      <c r="I326" s="117">
        <v>0</v>
      </c>
      <c r="J326" s="117">
        <v>0</v>
      </c>
      <c r="K326" s="117">
        <v>3</v>
      </c>
      <c r="L326" s="117">
        <v>0</v>
      </c>
      <c r="M326" s="117">
        <v>0</v>
      </c>
      <c r="N326" s="117">
        <v>0</v>
      </c>
      <c r="O326" s="117">
        <v>0</v>
      </c>
    </row>
    <row r="327" spans="1:15" x14ac:dyDescent="0.25">
      <c r="A327" s="117">
        <v>540028</v>
      </c>
      <c r="B327" s="2" t="s">
        <v>133</v>
      </c>
      <c r="C327" s="2" t="s">
        <v>21</v>
      </c>
      <c r="D327" s="2" t="s">
        <v>115</v>
      </c>
      <c r="E327" s="117">
        <v>4</v>
      </c>
      <c r="F327" s="117">
        <v>0</v>
      </c>
      <c r="G327" s="117">
        <v>0</v>
      </c>
      <c r="H327" s="117">
        <v>0</v>
      </c>
      <c r="I327" s="117">
        <v>0</v>
      </c>
      <c r="J327" s="117">
        <v>0</v>
      </c>
      <c r="K327" s="117">
        <v>0</v>
      </c>
      <c r="L327" s="117">
        <v>0</v>
      </c>
      <c r="M327" s="117">
        <v>0</v>
      </c>
      <c r="N327" s="117">
        <v>0</v>
      </c>
      <c r="O327" s="117">
        <v>0</v>
      </c>
    </row>
    <row r="328" spans="1:15" x14ac:dyDescent="0.25">
      <c r="A328" s="117">
        <v>540029</v>
      </c>
      <c r="B328" s="2" t="s">
        <v>134</v>
      </c>
      <c r="C328" s="2" t="s">
        <v>21</v>
      </c>
      <c r="D328" s="2" t="s">
        <v>115</v>
      </c>
      <c r="E328" s="117">
        <v>4</v>
      </c>
      <c r="F328" s="117">
        <v>13</v>
      </c>
      <c r="G328" s="117">
        <v>0</v>
      </c>
      <c r="H328" s="117">
        <v>0</v>
      </c>
      <c r="I328" s="117">
        <v>0</v>
      </c>
      <c r="J328" s="117">
        <v>0</v>
      </c>
      <c r="K328" s="117">
        <v>13</v>
      </c>
      <c r="L328" s="117">
        <v>0</v>
      </c>
      <c r="M328" s="117">
        <v>0</v>
      </c>
      <c r="N328" s="117">
        <v>0</v>
      </c>
      <c r="O328" s="117">
        <v>0</v>
      </c>
    </row>
    <row r="329" spans="1:15" x14ac:dyDescent="0.25">
      <c r="A329" s="117">
        <v>540031</v>
      </c>
      <c r="B329" s="2" t="s">
        <v>136</v>
      </c>
      <c r="C329" s="2" t="s">
        <v>21</v>
      </c>
      <c r="D329" s="2" t="s">
        <v>115</v>
      </c>
      <c r="E329" s="117">
        <v>4</v>
      </c>
      <c r="F329" s="117">
        <v>3</v>
      </c>
      <c r="G329" s="117">
        <v>0</v>
      </c>
      <c r="H329" s="117">
        <v>0</v>
      </c>
      <c r="I329" s="117">
        <v>1</v>
      </c>
      <c r="J329" s="117">
        <v>0</v>
      </c>
      <c r="K329" s="117">
        <v>2</v>
      </c>
      <c r="L329" s="117">
        <v>0</v>
      </c>
      <c r="M329" s="117">
        <v>0</v>
      </c>
      <c r="N329" s="117">
        <v>0</v>
      </c>
      <c r="O329" s="117">
        <v>0</v>
      </c>
    </row>
    <row r="330" spans="1:15" x14ac:dyDescent="0.25">
      <c r="A330" s="117">
        <v>540032</v>
      </c>
      <c r="B330" s="2" t="s">
        <v>137</v>
      </c>
      <c r="C330" s="2" t="s">
        <v>21</v>
      </c>
      <c r="D330" s="2" t="s">
        <v>115</v>
      </c>
      <c r="E330" s="117">
        <v>4</v>
      </c>
      <c r="F330" s="117">
        <v>0</v>
      </c>
      <c r="G330" s="117">
        <v>0</v>
      </c>
      <c r="H330" s="117">
        <v>0</v>
      </c>
      <c r="I330" s="117">
        <v>0</v>
      </c>
      <c r="J330" s="117">
        <v>0</v>
      </c>
      <c r="K330" s="117">
        <v>0</v>
      </c>
      <c r="L330" s="117">
        <v>0</v>
      </c>
      <c r="M330" s="117">
        <v>0</v>
      </c>
      <c r="N330" s="117">
        <v>0</v>
      </c>
      <c r="O330" s="117">
        <v>0</v>
      </c>
    </row>
    <row r="331" spans="1:15" x14ac:dyDescent="0.25">
      <c r="A331" s="117">
        <v>540050</v>
      </c>
      <c r="B331" s="2" t="s">
        <v>150</v>
      </c>
      <c r="C331" s="2" t="s">
        <v>21</v>
      </c>
      <c r="D331" s="2" t="s">
        <v>115</v>
      </c>
      <c r="E331" s="117">
        <v>4</v>
      </c>
      <c r="F331" s="117">
        <v>1</v>
      </c>
      <c r="G331" s="117">
        <v>0</v>
      </c>
      <c r="H331" s="117">
        <v>0</v>
      </c>
      <c r="I331" s="117">
        <v>0</v>
      </c>
      <c r="J331" s="117">
        <v>0</v>
      </c>
      <c r="K331" s="117">
        <v>1</v>
      </c>
      <c r="L331" s="117">
        <v>0</v>
      </c>
      <c r="M331" s="117">
        <v>0</v>
      </c>
      <c r="N331" s="117">
        <v>0</v>
      </c>
      <c r="O331" s="117">
        <v>0</v>
      </c>
    </row>
    <row r="332" spans="1:15" x14ac:dyDescent="0.25">
      <c r="A332" s="117">
        <v>540293</v>
      </c>
      <c r="B332" s="2" t="s">
        <v>330</v>
      </c>
      <c r="C332" s="2" t="s">
        <v>21</v>
      </c>
      <c r="D332" s="2" t="s">
        <v>115</v>
      </c>
      <c r="E332" s="117">
        <v>4</v>
      </c>
      <c r="F332" s="117">
        <v>22</v>
      </c>
      <c r="G332" s="117">
        <v>0</v>
      </c>
      <c r="H332" s="117">
        <v>0</v>
      </c>
      <c r="I332" s="117">
        <v>0</v>
      </c>
      <c r="J332" s="117">
        <v>0</v>
      </c>
      <c r="K332" s="117">
        <v>22</v>
      </c>
      <c r="L332" s="117">
        <v>0</v>
      </c>
      <c r="M332" s="117">
        <v>0</v>
      </c>
      <c r="N332" s="117">
        <v>0</v>
      </c>
      <c r="O332" s="117">
        <v>0</v>
      </c>
    </row>
    <row r="333" spans="1:15" x14ac:dyDescent="0.25">
      <c r="A333" s="117">
        <v>540294</v>
      </c>
      <c r="B333" s="2" t="s">
        <v>331</v>
      </c>
      <c r="C333" s="2" t="s">
        <v>21</v>
      </c>
      <c r="D333" s="2" t="s">
        <v>115</v>
      </c>
      <c r="E333" s="117">
        <v>4</v>
      </c>
      <c r="F333" s="117">
        <v>27</v>
      </c>
      <c r="G333" s="117">
        <v>0</v>
      </c>
      <c r="H333" s="117">
        <v>0</v>
      </c>
      <c r="I333" s="117">
        <v>0</v>
      </c>
      <c r="J333" s="117">
        <v>0</v>
      </c>
      <c r="K333" s="117">
        <v>27</v>
      </c>
      <c r="L333" s="117">
        <v>0</v>
      </c>
      <c r="M333" s="117">
        <v>0</v>
      </c>
      <c r="N333" s="117">
        <v>0</v>
      </c>
      <c r="O333" s="117">
        <v>0</v>
      </c>
    </row>
    <row r="334" spans="1:15" x14ac:dyDescent="0.25">
      <c r="A334" s="117">
        <v>540033</v>
      </c>
      <c r="B334" s="2" t="s">
        <v>138</v>
      </c>
      <c r="C334" s="2" t="s">
        <v>21</v>
      </c>
      <c r="D334" s="2" t="s">
        <v>115</v>
      </c>
      <c r="E334" s="117">
        <v>4</v>
      </c>
      <c r="F334" s="117">
        <v>8</v>
      </c>
      <c r="G334" s="117">
        <v>0</v>
      </c>
      <c r="H334" s="117">
        <v>0</v>
      </c>
      <c r="I334" s="117">
        <v>0</v>
      </c>
      <c r="J334" s="117">
        <v>0</v>
      </c>
      <c r="K334" s="117">
        <v>8</v>
      </c>
      <c r="L334" s="117">
        <v>0</v>
      </c>
      <c r="M334" s="117">
        <v>0</v>
      </c>
      <c r="N334" s="117">
        <v>0</v>
      </c>
      <c r="O334" s="117">
        <v>0</v>
      </c>
    </row>
    <row r="335" spans="1:15" x14ac:dyDescent="0.25">
      <c r="A335" s="117">
        <v>540280</v>
      </c>
      <c r="B335" s="2" t="s">
        <v>321</v>
      </c>
      <c r="C335" s="2" t="s">
        <v>21</v>
      </c>
      <c r="D335" s="2" t="s">
        <v>115</v>
      </c>
      <c r="E335" s="117">
        <v>4</v>
      </c>
      <c r="F335" s="117">
        <v>0</v>
      </c>
      <c r="G335" s="117">
        <v>0</v>
      </c>
      <c r="H335" s="117">
        <v>0</v>
      </c>
      <c r="I335" s="117">
        <v>0</v>
      </c>
      <c r="J335" s="117">
        <v>0</v>
      </c>
      <c r="K335" s="117">
        <v>0</v>
      </c>
      <c r="L335" s="117">
        <v>0</v>
      </c>
      <c r="M335" s="117">
        <v>0</v>
      </c>
      <c r="N335" s="117">
        <v>0</v>
      </c>
      <c r="O335" s="117">
        <v>0</v>
      </c>
    </row>
    <row r="336" spans="1:15" x14ac:dyDescent="0.25">
      <c r="A336" s="117">
        <v>540026</v>
      </c>
      <c r="B336" s="2" t="s">
        <v>20</v>
      </c>
      <c r="C336" s="2" t="s">
        <v>21</v>
      </c>
      <c r="D336" s="2" t="s">
        <v>5</v>
      </c>
      <c r="E336" s="117">
        <v>4</v>
      </c>
      <c r="F336" s="117">
        <v>2836</v>
      </c>
      <c r="G336" s="117">
        <v>90</v>
      </c>
      <c r="H336" s="117">
        <v>1</v>
      </c>
      <c r="I336" s="117">
        <v>34</v>
      </c>
      <c r="J336" s="117">
        <v>3</v>
      </c>
      <c r="K336" s="117">
        <v>2708</v>
      </c>
      <c r="L336" s="117">
        <v>0</v>
      </c>
      <c r="M336" s="117">
        <v>0</v>
      </c>
      <c r="N336" s="117">
        <v>0</v>
      </c>
      <c r="O336" s="117">
        <v>0</v>
      </c>
    </row>
    <row r="337" spans="1:15" x14ac:dyDescent="0.25">
      <c r="A337" s="269"/>
      <c r="B337" s="269"/>
      <c r="C337" s="269" t="s">
        <v>21</v>
      </c>
      <c r="D337" s="269"/>
      <c r="E337" s="269"/>
      <c r="F337" s="270">
        <v>2913</v>
      </c>
      <c r="G337" s="270">
        <v>90</v>
      </c>
      <c r="H337" s="270">
        <v>1</v>
      </c>
      <c r="I337" s="270">
        <v>35</v>
      </c>
      <c r="J337" s="270">
        <v>3</v>
      </c>
      <c r="K337" s="270">
        <v>2784</v>
      </c>
      <c r="L337" s="270">
        <v>0</v>
      </c>
      <c r="M337" s="270">
        <v>0</v>
      </c>
      <c r="N337" s="270">
        <v>0</v>
      </c>
      <c r="O337" s="270">
        <v>0</v>
      </c>
    </row>
    <row r="338" spans="1:15" x14ac:dyDescent="0.25">
      <c r="A338" s="117">
        <v>540176</v>
      </c>
      <c r="B338" s="2" t="s">
        <v>247</v>
      </c>
      <c r="C338" s="2" t="s">
        <v>75</v>
      </c>
      <c r="D338" s="2" t="s">
        <v>115</v>
      </c>
      <c r="E338" s="117">
        <v>7</v>
      </c>
      <c r="F338" s="117">
        <v>0</v>
      </c>
      <c r="G338" s="117">
        <v>0</v>
      </c>
      <c r="H338" s="117">
        <v>0</v>
      </c>
      <c r="I338" s="117">
        <v>0</v>
      </c>
      <c r="J338" s="117">
        <v>0</v>
      </c>
      <c r="K338" s="117">
        <v>0</v>
      </c>
      <c r="L338" s="117">
        <v>0</v>
      </c>
      <c r="M338" s="117">
        <v>0</v>
      </c>
      <c r="N338" s="117">
        <v>0</v>
      </c>
      <c r="O338" s="117">
        <v>0</v>
      </c>
    </row>
    <row r="339" spans="1:15" x14ac:dyDescent="0.25">
      <c r="A339" s="117">
        <v>540178</v>
      </c>
      <c r="B339" s="2" t="s">
        <v>249</v>
      </c>
      <c r="C339" s="2" t="s">
        <v>75</v>
      </c>
      <c r="D339" s="2" t="s">
        <v>115</v>
      </c>
      <c r="E339" s="117">
        <v>7</v>
      </c>
      <c r="F339" s="117">
        <v>0</v>
      </c>
      <c r="G339" s="117">
        <v>0</v>
      </c>
      <c r="H339" s="117">
        <v>0</v>
      </c>
      <c r="I339" s="117">
        <v>0</v>
      </c>
      <c r="J339" s="117">
        <v>0</v>
      </c>
      <c r="K339" s="117">
        <v>0</v>
      </c>
      <c r="L339" s="117">
        <v>0</v>
      </c>
      <c r="M339" s="117">
        <v>0</v>
      </c>
      <c r="N339" s="117">
        <v>0</v>
      </c>
      <c r="O339" s="117">
        <v>0</v>
      </c>
    </row>
    <row r="340" spans="1:15" x14ac:dyDescent="0.25">
      <c r="A340" s="117">
        <v>540264</v>
      </c>
      <c r="B340" s="2" t="s">
        <v>307</v>
      </c>
      <c r="C340" s="2" t="s">
        <v>75</v>
      </c>
      <c r="D340" s="2" t="s">
        <v>115</v>
      </c>
      <c r="E340" s="117">
        <v>7</v>
      </c>
      <c r="F340" s="117">
        <v>0</v>
      </c>
      <c r="G340" s="117">
        <v>0</v>
      </c>
      <c r="H340" s="117">
        <v>0</v>
      </c>
      <c r="I340" s="117">
        <v>0</v>
      </c>
      <c r="J340" s="117">
        <v>0</v>
      </c>
      <c r="K340" s="117">
        <v>0</v>
      </c>
      <c r="L340" s="117">
        <v>0</v>
      </c>
      <c r="M340" s="117">
        <v>0</v>
      </c>
      <c r="N340" s="117">
        <v>0</v>
      </c>
      <c r="O340" s="117">
        <v>0</v>
      </c>
    </row>
    <row r="341" spans="1:15" x14ac:dyDescent="0.25">
      <c r="A341" s="117">
        <v>540265</v>
      </c>
      <c r="B341" s="2" t="s">
        <v>308</v>
      </c>
      <c r="C341" s="2" t="s">
        <v>75</v>
      </c>
      <c r="D341" s="2" t="s">
        <v>115</v>
      </c>
      <c r="E341" s="117">
        <v>7</v>
      </c>
      <c r="F341" s="117">
        <v>0</v>
      </c>
      <c r="G341" s="117">
        <v>0</v>
      </c>
      <c r="H341" s="117">
        <v>0</v>
      </c>
      <c r="I341" s="117">
        <v>0</v>
      </c>
      <c r="J341" s="117">
        <v>0</v>
      </c>
      <c r="K341" s="117">
        <v>0</v>
      </c>
      <c r="L341" s="117">
        <v>0</v>
      </c>
      <c r="M341" s="117">
        <v>0</v>
      </c>
      <c r="N341" s="117">
        <v>0</v>
      </c>
      <c r="O341" s="117">
        <v>0</v>
      </c>
    </row>
    <row r="342" spans="1:15" x14ac:dyDescent="0.25">
      <c r="A342" s="117">
        <v>540266</v>
      </c>
      <c r="B342" s="2" t="s">
        <v>309</v>
      </c>
      <c r="C342" s="2" t="s">
        <v>75</v>
      </c>
      <c r="D342" s="2" t="s">
        <v>115</v>
      </c>
      <c r="E342" s="117">
        <v>7</v>
      </c>
      <c r="F342" s="117">
        <v>0</v>
      </c>
      <c r="G342" s="117">
        <v>0</v>
      </c>
      <c r="H342" s="117">
        <v>0</v>
      </c>
      <c r="I342" s="117">
        <v>0</v>
      </c>
      <c r="J342" s="117">
        <v>0</v>
      </c>
      <c r="K342" s="117">
        <v>0</v>
      </c>
      <c r="L342" s="117">
        <v>0</v>
      </c>
      <c r="M342" s="117">
        <v>0</v>
      </c>
      <c r="N342" s="117">
        <v>0</v>
      </c>
      <c r="O342" s="117">
        <v>0</v>
      </c>
    </row>
    <row r="343" spans="1:15" x14ac:dyDescent="0.25">
      <c r="A343" s="117">
        <v>540267</v>
      </c>
      <c r="B343" s="2" t="s">
        <v>310</v>
      </c>
      <c r="C343" s="2" t="s">
        <v>75</v>
      </c>
      <c r="D343" s="2" t="s">
        <v>115</v>
      </c>
      <c r="E343" s="117">
        <v>7</v>
      </c>
      <c r="F343" s="117">
        <v>0</v>
      </c>
      <c r="G343" s="117">
        <v>0</v>
      </c>
      <c r="H343" s="117">
        <v>0</v>
      </c>
      <c r="I343" s="117">
        <v>0</v>
      </c>
      <c r="J343" s="117">
        <v>0</v>
      </c>
      <c r="K343" s="117">
        <v>0</v>
      </c>
      <c r="L343" s="117">
        <v>0</v>
      </c>
      <c r="M343" s="117">
        <v>0</v>
      </c>
      <c r="N343" s="117">
        <v>0</v>
      </c>
      <c r="O343" s="117">
        <v>0</v>
      </c>
    </row>
    <row r="344" spans="1:15" x14ac:dyDescent="0.25">
      <c r="A344" s="117">
        <v>540177</v>
      </c>
      <c r="B344" s="2" t="s">
        <v>248</v>
      </c>
      <c r="C344" s="2" t="s">
        <v>75</v>
      </c>
      <c r="D344" s="2" t="s">
        <v>115</v>
      </c>
      <c r="E344" s="117">
        <v>7</v>
      </c>
      <c r="F344" s="117">
        <v>0</v>
      </c>
      <c r="G344" s="117">
        <v>0</v>
      </c>
      <c r="H344" s="117">
        <v>0</v>
      </c>
      <c r="I344" s="117">
        <v>0</v>
      </c>
      <c r="J344" s="117">
        <v>0</v>
      </c>
      <c r="K344" s="117">
        <v>0</v>
      </c>
      <c r="L344" s="117">
        <v>0</v>
      </c>
      <c r="M344" s="117">
        <v>0</v>
      </c>
      <c r="N344" s="117">
        <v>0</v>
      </c>
      <c r="O344" s="117">
        <v>0</v>
      </c>
    </row>
    <row r="345" spans="1:15" x14ac:dyDescent="0.25">
      <c r="A345" s="117">
        <v>540175</v>
      </c>
      <c r="B345" s="2" t="s">
        <v>74</v>
      </c>
      <c r="C345" s="2" t="s">
        <v>75</v>
      </c>
      <c r="D345" s="2" t="s">
        <v>5</v>
      </c>
      <c r="E345" s="117">
        <v>7</v>
      </c>
      <c r="F345" s="117">
        <v>225</v>
      </c>
      <c r="G345" s="117">
        <v>0</v>
      </c>
      <c r="H345" s="117">
        <v>0</v>
      </c>
      <c r="I345" s="117">
        <v>0</v>
      </c>
      <c r="J345" s="117">
        <v>0</v>
      </c>
      <c r="K345" s="117">
        <v>225</v>
      </c>
      <c r="L345" s="117">
        <v>0</v>
      </c>
      <c r="M345" s="117">
        <v>0</v>
      </c>
      <c r="N345" s="117">
        <v>0</v>
      </c>
      <c r="O345" s="117">
        <v>0</v>
      </c>
    </row>
    <row r="346" spans="1:15" x14ac:dyDescent="0.25">
      <c r="A346" s="269"/>
      <c r="B346" s="269"/>
      <c r="C346" s="269" t="s">
        <v>75</v>
      </c>
      <c r="D346" s="269"/>
      <c r="E346" s="269"/>
      <c r="F346" s="270">
        <v>225</v>
      </c>
      <c r="G346" s="270">
        <v>0</v>
      </c>
      <c r="H346" s="270">
        <v>0</v>
      </c>
      <c r="I346" s="270">
        <v>0</v>
      </c>
      <c r="J346" s="270">
        <v>0</v>
      </c>
      <c r="K346" s="270">
        <v>225</v>
      </c>
      <c r="L346" s="270">
        <v>0</v>
      </c>
      <c r="M346" s="270">
        <v>0</v>
      </c>
      <c r="N346" s="270">
        <v>0</v>
      </c>
      <c r="O346" s="270">
        <v>0</v>
      </c>
    </row>
    <row r="347" spans="1:15" x14ac:dyDescent="0.25">
      <c r="A347" s="117">
        <v>540219</v>
      </c>
      <c r="B347" s="2" t="s">
        <v>273</v>
      </c>
      <c r="C347" s="2" t="s">
        <v>95</v>
      </c>
      <c r="D347" s="2" t="s">
        <v>115</v>
      </c>
      <c r="E347" s="117">
        <v>1</v>
      </c>
      <c r="F347" s="117">
        <v>0</v>
      </c>
      <c r="G347" s="117">
        <v>0</v>
      </c>
      <c r="H347" s="117">
        <v>0</v>
      </c>
      <c r="I347" s="117">
        <v>0</v>
      </c>
      <c r="J347" s="117">
        <v>0</v>
      </c>
      <c r="K347" s="117">
        <v>0</v>
      </c>
      <c r="L347" s="117">
        <v>0</v>
      </c>
      <c r="M347" s="117">
        <v>0</v>
      </c>
      <c r="N347" s="117">
        <v>0</v>
      </c>
      <c r="O347" s="117">
        <v>0</v>
      </c>
    </row>
    <row r="348" spans="1:15" x14ac:dyDescent="0.25">
      <c r="A348" s="117">
        <v>540220</v>
      </c>
      <c r="B348" s="2" t="s">
        <v>274</v>
      </c>
      <c r="C348" s="2" t="s">
        <v>95</v>
      </c>
      <c r="D348" s="2" t="s">
        <v>115</v>
      </c>
      <c r="E348" s="117">
        <v>1</v>
      </c>
      <c r="F348" s="117">
        <v>0</v>
      </c>
      <c r="G348" s="117">
        <v>0</v>
      </c>
      <c r="H348" s="117">
        <v>0</v>
      </c>
      <c r="I348" s="117">
        <v>0</v>
      </c>
      <c r="J348" s="117">
        <v>0</v>
      </c>
      <c r="K348" s="117">
        <v>0</v>
      </c>
      <c r="L348" s="117">
        <v>0</v>
      </c>
      <c r="M348" s="117">
        <v>0</v>
      </c>
      <c r="N348" s="117">
        <v>0</v>
      </c>
      <c r="O348" s="117">
        <v>0</v>
      </c>
    </row>
    <row r="349" spans="1:15" x14ac:dyDescent="0.25">
      <c r="A349" s="117">
        <v>540218</v>
      </c>
      <c r="B349" s="2" t="s">
        <v>272</v>
      </c>
      <c r="C349" s="2" t="s">
        <v>95</v>
      </c>
      <c r="D349" s="2" t="s">
        <v>115</v>
      </c>
      <c r="E349" s="117">
        <v>1</v>
      </c>
      <c r="F349" s="117">
        <v>3</v>
      </c>
      <c r="G349" s="117">
        <v>0</v>
      </c>
      <c r="H349" s="117">
        <v>0</v>
      </c>
      <c r="I349" s="117">
        <v>0</v>
      </c>
      <c r="J349" s="117">
        <v>0</v>
      </c>
      <c r="K349" s="117">
        <v>3</v>
      </c>
      <c r="L349" s="117">
        <v>0</v>
      </c>
      <c r="M349" s="117">
        <v>0</v>
      </c>
      <c r="N349" s="117">
        <v>0</v>
      </c>
      <c r="O349" s="117">
        <v>0</v>
      </c>
    </row>
    <row r="350" spans="1:15" x14ac:dyDescent="0.25">
      <c r="A350" s="117">
        <v>540217</v>
      </c>
      <c r="B350" s="2" t="s">
        <v>94</v>
      </c>
      <c r="C350" s="2" t="s">
        <v>95</v>
      </c>
      <c r="D350" s="2" t="s">
        <v>5</v>
      </c>
      <c r="E350" s="117">
        <v>1</v>
      </c>
      <c r="F350" s="117">
        <v>828</v>
      </c>
      <c r="G350" s="117">
        <v>7</v>
      </c>
      <c r="H350" s="117">
        <v>0</v>
      </c>
      <c r="I350" s="117">
        <v>0</v>
      </c>
      <c r="J350" s="117">
        <v>1</v>
      </c>
      <c r="K350" s="117">
        <v>820</v>
      </c>
      <c r="L350" s="117">
        <v>0</v>
      </c>
      <c r="M350" s="117">
        <v>0</v>
      </c>
      <c r="N350" s="117">
        <v>0</v>
      </c>
      <c r="O350" s="117">
        <v>0</v>
      </c>
    </row>
    <row r="351" spans="1:15" x14ac:dyDescent="0.25">
      <c r="A351" s="269"/>
      <c r="B351" s="269"/>
      <c r="C351" s="269" t="s">
        <v>95</v>
      </c>
      <c r="D351" s="269"/>
      <c r="E351" s="269"/>
      <c r="F351" s="270">
        <v>831</v>
      </c>
      <c r="G351" s="270">
        <v>7</v>
      </c>
      <c r="H351" s="270">
        <v>0</v>
      </c>
      <c r="I351" s="270">
        <v>0</v>
      </c>
      <c r="J351" s="270">
        <v>1</v>
      </c>
      <c r="K351" s="270">
        <v>823</v>
      </c>
      <c r="L351" s="270">
        <v>0</v>
      </c>
      <c r="M351" s="270">
        <v>0</v>
      </c>
      <c r="N351" s="270">
        <v>0</v>
      </c>
      <c r="O351" s="270">
        <v>0</v>
      </c>
    </row>
    <row r="352" spans="1:15" x14ac:dyDescent="0.25">
      <c r="A352" s="2" t="s">
        <v>535</v>
      </c>
      <c r="B352" s="2"/>
      <c r="C352" s="2"/>
      <c r="D352" s="2"/>
      <c r="E352" s="2"/>
      <c r="F352" s="2"/>
      <c r="G352" s="2"/>
      <c r="H352" s="2"/>
      <c r="I352" s="2"/>
      <c r="J352" s="2"/>
      <c r="K352" s="2"/>
      <c r="L352" s="2"/>
      <c r="M352" s="2"/>
      <c r="N352" s="2"/>
      <c r="O352" s="2"/>
    </row>
    <row r="353" spans="1:15" x14ac:dyDescent="0.25">
      <c r="A353" s="117">
        <v>540152</v>
      </c>
      <c r="B353" s="2" t="s">
        <v>229</v>
      </c>
      <c r="C353" s="2" t="s">
        <v>544</v>
      </c>
      <c r="D353" s="2" t="s">
        <v>115</v>
      </c>
      <c r="E353" s="2" t="s">
        <v>545</v>
      </c>
      <c r="F353" s="117">
        <v>78</v>
      </c>
      <c r="G353" s="117">
        <v>0</v>
      </c>
      <c r="H353" s="117">
        <v>0</v>
      </c>
      <c r="I353" s="117">
        <v>0</v>
      </c>
      <c r="J353" s="117">
        <v>0</v>
      </c>
      <c r="K353" s="117">
        <v>78</v>
      </c>
      <c r="L353" s="117">
        <v>0</v>
      </c>
      <c r="M353" s="117">
        <v>0</v>
      </c>
      <c r="N353" s="117">
        <v>0</v>
      </c>
      <c r="O353" s="117">
        <v>0</v>
      </c>
    </row>
    <row r="354" spans="1:15" x14ac:dyDescent="0.25">
      <c r="A354" s="117">
        <v>540196</v>
      </c>
      <c r="B354" s="2" t="s">
        <v>259</v>
      </c>
      <c r="C354" s="2" t="s">
        <v>546</v>
      </c>
      <c r="D354" s="2" t="s">
        <v>115</v>
      </c>
      <c r="E354" s="2" t="s">
        <v>547</v>
      </c>
      <c r="F354" s="117">
        <v>0</v>
      </c>
      <c r="G354" s="117">
        <v>0</v>
      </c>
      <c r="H354" s="117">
        <v>0</v>
      </c>
      <c r="I354" s="117">
        <v>0</v>
      </c>
      <c r="J354" s="117">
        <v>0</v>
      </c>
      <c r="K354" s="117">
        <v>0</v>
      </c>
      <c r="L354" s="117">
        <v>0</v>
      </c>
      <c r="M354" s="117">
        <v>0</v>
      </c>
      <c r="N354" s="117">
        <v>0</v>
      </c>
      <c r="O354" s="117">
        <v>0</v>
      </c>
    </row>
    <row r="355" spans="1:15" x14ac:dyDescent="0.25">
      <c r="A355" s="117">
        <v>540041</v>
      </c>
      <c r="B355" s="2" t="s">
        <v>142</v>
      </c>
      <c r="C355" s="2" t="s">
        <v>540</v>
      </c>
      <c r="D355" s="2" t="s">
        <v>115</v>
      </c>
      <c r="E355" s="2" t="s">
        <v>541</v>
      </c>
      <c r="F355" s="117">
        <v>0</v>
      </c>
      <c r="G355" s="117">
        <v>0</v>
      </c>
      <c r="H355" s="117">
        <v>0</v>
      </c>
      <c r="I355" s="117">
        <v>0</v>
      </c>
      <c r="J355" s="117">
        <v>0</v>
      </c>
      <c r="K355" s="117">
        <v>0</v>
      </c>
      <c r="L355" s="117">
        <v>0</v>
      </c>
      <c r="M355" s="117">
        <v>0</v>
      </c>
      <c r="N355" s="117">
        <v>0</v>
      </c>
      <c r="O355" s="117">
        <v>0</v>
      </c>
    </row>
    <row r="356" spans="1:15" x14ac:dyDescent="0.25">
      <c r="A356" s="117">
        <v>540018</v>
      </c>
      <c r="B356" s="2" t="s">
        <v>127</v>
      </c>
      <c r="C356" s="2" t="s">
        <v>538</v>
      </c>
      <c r="D356" s="2" t="s">
        <v>115</v>
      </c>
      <c r="E356" s="2" t="s">
        <v>539</v>
      </c>
      <c r="F356" s="117">
        <v>14</v>
      </c>
      <c r="G356" s="117">
        <v>0</v>
      </c>
      <c r="H356" s="117">
        <v>0</v>
      </c>
      <c r="I356" s="117">
        <v>0</v>
      </c>
      <c r="J356" s="117">
        <v>0</v>
      </c>
      <c r="K356" s="117">
        <v>14</v>
      </c>
      <c r="L356" s="117">
        <v>0</v>
      </c>
      <c r="M356" s="117">
        <v>0</v>
      </c>
      <c r="N356" s="117">
        <v>0</v>
      </c>
      <c r="O356" s="117">
        <v>0</v>
      </c>
    </row>
    <row r="357" spans="1:15" x14ac:dyDescent="0.25">
      <c r="A357" s="117">
        <v>540014</v>
      </c>
      <c r="B357" s="2" t="s">
        <v>124</v>
      </c>
      <c r="C357" s="2" t="s">
        <v>536</v>
      </c>
      <c r="D357" s="2" t="s">
        <v>115</v>
      </c>
      <c r="E357" s="2" t="s">
        <v>537</v>
      </c>
      <c r="F357" s="117">
        <v>0</v>
      </c>
      <c r="G357" s="117">
        <v>0</v>
      </c>
      <c r="H357" s="117">
        <v>0</v>
      </c>
      <c r="I357" s="117">
        <v>0</v>
      </c>
      <c r="J357" s="117">
        <v>0</v>
      </c>
      <c r="K357" s="117">
        <v>0</v>
      </c>
      <c r="L357" s="117">
        <v>0</v>
      </c>
      <c r="M357" s="117">
        <v>0</v>
      </c>
      <c r="N357" s="117">
        <v>0</v>
      </c>
      <c r="O357" s="117">
        <v>0</v>
      </c>
    </row>
    <row r="358" spans="1:15" x14ac:dyDescent="0.25">
      <c r="A358" s="117">
        <v>540081</v>
      </c>
      <c r="B358" s="2" t="s">
        <v>176</v>
      </c>
      <c r="C358" s="2" t="s">
        <v>542</v>
      </c>
      <c r="D358" s="2" t="s">
        <v>115</v>
      </c>
      <c r="E358" s="2" t="s">
        <v>543</v>
      </c>
      <c r="F358" s="117">
        <v>48</v>
      </c>
      <c r="G358" s="117">
        <v>0</v>
      </c>
      <c r="H358" s="117">
        <v>0</v>
      </c>
      <c r="I358" s="117">
        <v>0</v>
      </c>
      <c r="J358" s="117">
        <v>0</v>
      </c>
      <c r="K358" s="117">
        <v>48</v>
      </c>
      <c r="L358" s="117">
        <v>0</v>
      </c>
      <c r="M358" s="117">
        <v>0</v>
      </c>
      <c r="N358" s="117">
        <v>0</v>
      </c>
      <c r="O358" s="117">
        <v>0</v>
      </c>
    </row>
    <row r="359" spans="1:15" x14ac:dyDescent="0.25">
      <c r="A359" s="117">
        <v>540033</v>
      </c>
      <c r="B359" s="2" t="s">
        <v>138</v>
      </c>
      <c r="C359" s="2" t="s">
        <v>1299</v>
      </c>
      <c r="D359" s="2" t="s">
        <v>115</v>
      </c>
      <c r="E359" s="2" t="s">
        <v>1298</v>
      </c>
      <c r="F359" s="117">
        <v>8</v>
      </c>
      <c r="G359" s="117">
        <v>0</v>
      </c>
      <c r="H359" s="117">
        <v>0</v>
      </c>
      <c r="I359" s="117">
        <v>0</v>
      </c>
      <c r="J359" s="117">
        <v>0</v>
      </c>
      <c r="K359" s="117">
        <v>8</v>
      </c>
      <c r="L359" s="117">
        <v>0</v>
      </c>
      <c r="M359" s="117">
        <v>0</v>
      </c>
      <c r="N359" s="117">
        <v>0</v>
      </c>
      <c r="O359" s="117">
        <v>0</v>
      </c>
    </row>
    <row r="360" spans="1:15" x14ac:dyDescent="0.25">
      <c r="A360" s="117">
        <v>540029</v>
      </c>
      <c r="B360" s="2" t="s">
        <v>134</v>
      </c>
      <c r="C360" s="2" t="s">
        <v>1299</v>
      </c>
      <c r="D360" s="2" t="s">
        <v>115</v>
      </c>
      <c r="E360" s="2" t="s">
        <v>1298</v>
      </c>
      <c r="F360" s="117">
        <v>17</v>
      </c>
      <c r="G360" s="117">
        <v>0</v>
      </c>
      <c r="H360" s="117">
        <v>0</v>
      </c>
      <c r="I360" s="117">
        <v>0</v>
      </c>
      <c r="J360" s="117">
        <v>0</v>
      </c>
      <c r="K360" s="117">
        <v>17</v>
      </c>
      <c r="L360" s="117">
        <v>0</v>
      </c>
      <c r="M360" s="117">
        <v>0</v>
      </c>
      <c r="N360" s="117">
        <v>0</v>
      </c>
      <c r="O360" s="117">
        <v>0</v>
      </c>
    </row>
  </sheetData>
  <hyperlinks>
    <hyperlink ref="R3"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52"/>
  <sheetViews>
    <sheetView topLeftCell="BT1" zoomScaleNormal="100" workbookViewId="0">
      <pane ySplit="2" topLeftCell="A82" activePane="bottomLeft" state="frozen"/>
      <selection activeCell="B1" sqref="B1"/>
      <selection pane="bottomLeft" activeCell="CF1" sqref="CF1:CG2"/>
    </sheetView>
  </sheetViews>
  <sheetFormatPr defaultRowHeight="15" x14ac:dyDescent="0.25"/>
  <cols>
    <col min="1" max="1" width="31.7109375" style="123" bestFit="1" customWidth="1"/>
    <col min="2" max="2" width="38.42578125" style="123" bestFit="1" customWidth="1"/>
    <col min="3" max="3" width="54.28515625" style="123" bestFit="1" customWidth="1"/>
    <col min="4" max="4" width="37.140625" style="123" bestFit="1" customWidth="1"/>
    <col min="5" max="5" width="8.28515625" style="123" bestFit="1" customWidth="1"/>
    <col min="6" max="6" width="7.7109375" style="123" bestFit="1" customWidth="1"/>
    <col min="7" max="7" width="10.85546875" style="123" bestFit="1" customWidth="1"/>
    <col min="8" max="8" width="11.42578125" style="346" customWidth="1"/>
    <col min="9" max="9" width="13.5703125" style="10" bestFit="1" customWidth="1"/>
    <col min="10" max="10" width="10.140625" style="123" bestFit="1" customWidth="1"/>
    <col min="11" max="11" width="17.5703125" style="123" bestFit="1" customWidth="1"/>
    <col min="12" max="12" width="12" style="347" bestFit="1" customWidth="1"/>
    <col min="13" max="13" width="16.28515625" style="348" bestFit="1" customWidth="1"/>
    <col min="14" max="14" width="18.7109375" style="349" bestFit="1" customWidth="1"/>
    <col min="15" max="15" width="17" style="348" bestFit="1" customWidth="1"/>
    <col min="16" max="16" width="23.85546875" style="349" bestFit="1" customWidth="1"/>
    <col min="17" max="17" width="25.28515625" style="348" bestFit="1" customWidth="1"/>
    <col min="18" max="18" width="18.28515625" style="348" bestFit="1" customWidth="1"/>
    <col min="19" max="29" width="19.85546875" style="348" bestFit="1" customWidth="1"/>
    <col min="30" max="32" width="22" style="348" bestFit="1" customWidth="1"/>
    <col min="33" max="33" width="20.5703125" style="348" bestFit="1" customWidth="1"/>
    <col min="34" max="34" width="22.42578125" style="349" bestFit="1" customWidth="1"/>
    <col min="35" max="37" width="23.7109375" style="349" bestFit="1" customWidth="1"/>
    <col min="38" max="38" width="23.42578125" style="349" bestFit="1" customWidth="1"/>
    <col min="39" max="39" width="17.42578125" style="348" bestFit="1" customWidth="1"/>
    <col min="40" max="40" width="26.42578125" style="348" bestFit="1" customWidth="1"/>
    <col min="41" max="41" width="36.140625" style="349" bestFit="1" customWidth="1"/>
    <col min="42" max="42" width="19.28515625" style="348" bestFit="1" customWidth="1"/>
    <col min="43" max="43" width="16.85546875" style="348" bestFit="1" customWidth="1"/>
    <col min="44" max="45" width="20.7109375" style="348" bestFit="1" customWidth="1"/>
    <col min="46" max="46" width="33.28515625" style="348" bestFit="1" customWidth="1"/>
    <col min="47" max="47" width="32.140625" style="348" bestFit="1" customWidth="1"/>
    <col min="48" max="48" width="35" style="348" bestFit="1" customWidth="1"/>
    <col min="49" max="49" width="35.28515625" style="348" bestFit="1" customWidth="1"/>
    <col min="50" max="50" width="34.5703125" style="348" bestFit="1" customWidth="1"/>
    <col min="51" max="51" width="37.28515625" style="348" bestFit="1" customWidth="1"/>
    <col min="52" max="52" width="35.28515625" style="348" bestFit="1" customWidth="1"/>
    <col min="53" max="53" width="34.5703125" style="348" bestFit="1" customWidth="1"/>
    <col min="54" max="54" width="37.28515625" style="348" bestFit="1" customWidth="1"/>
    <col min="55" max="55" width="35.28515625" style="348" bestFit="1" customWidth="1"/>
    <col min="56" max="56" width="34.5703125" style="348" bestFit="1" customWidth="1"/>
    <col min="57" max="57" width="37.28515625" style="348" bestFit="1" customWidth="1"/>
    <col min="58" max="58" width="35" style="348" bestFit="1" customWidth="1"/>
    <col min="59" max="59" width="34.28515625" style="348" bestFit="1" customWidth="1"/>
    <col min="60" max="60" width="37" style="348" bestFit="1" customWidth="1"/>
    <col min="61" max="61" width="42.42578125" style="349" bestFit="1" customWidth="1"/>
    <col min="62" max="62" width="16.5703125" style="350" bestFit="1" customWidth="1"/>
    <col min="63" max="78" width="15" style="350" bestFit="1" customWidth="1"/>
    <col min="79" max="79" width="16.28515625" style="350" bestFit="1" customWidth="1"/>
    <col min="80" max="80" width="17.85546875" style="350" bestFit="1" customWidth="1"/>
    <col min="81" max="81" width="14.28515625" style="350" bestFit="1" customWidth="1"/>
    <col min="82" max="82" width="16.28515625" style="350" bestFit="1" customWidth="1"/>
  </cols>
  <sheetData>
    <row r="1" spans="1:85" s="293" customFormat="1" x14ac:dyDescent="0.25">
      <c r="A1" s="281" t="s">
        <v>4132</v>
      </c>
      <c r="B1" s="281" t="s">
        <v>4133</v>
      </c>
      <c r="C1" s="281" t="s">
        <v>4134</v>
      </c>
      <c r="D1" s="281" t="s">
        <v>4135</v>
      </c>
      <c r="E1" s="281" t="s">
        <v>1711</v>
      </c>
      <c r="F1" s="281" t="s">
        <v>1712</v>
      </c>
      <c r="G1" s="281" t="s">
        <v>4136</v>
      </c>
      <c r="H1" s="282" t="s">
        <v>0</v>
      </c>
      <c r="I1" s="283" t="s">
        <v>4137</v>
      </c>
      <c r="J1" s="284" t="s">
        <v>4138</v>
      </c>
      <c r="K1" s="281" t="s">
        <v>4139</v>
      </c>
      <c r="L1" s="285" t="s">
        <v>4140</v>
      </c>
      <c r="M1" s="286" t="s">
        <v>4141</v>
      </c>
      <c r="N1" s="287" t="s">
        <v>4142</v>
      </c>
      <c r="O1" s="286" t="s">
        <v>4143</v>
      </c>
      <c r="P1" s="287" t="s">
        <v>4144</v>
      </c>
      <c r="Q1" s="288" t="s">
        <v>4145</v>
      </c>
      <c r="R1" s="288" t="s">
        <v>4146</v>
      </c>
      <c r="S1" s="288" t="s">
        <v>4147</v>
      </c>
      <c r="T1" s="288" t="s">
        <v>4148</v>
      </c>
      <c r="U1" s="288" t="s">
        <v>4149</v>
      </c>
      <c r="V1" s="288" t="s">
        <v>4150</v>
      </c>
      <c r="W1" s="288" t="s">
        <v>4151</v>
      </c>
      <c r="X1" s="288" t="s">
        <v>4152</v>
      </c>
      <c r="Y1" s="288" t="s">
        <v>4153</v>
      </c>
      <c r="Z1" s="288" t="s">
        <v>4154</v>
      </c>
      <c r="AA1" s="288" t="s">
        <v>4155</v>
      </c>
      <c r="AB1" s="288" t="s">
        <v>4156</v>
      </c>
      <c r="AC1" s="288" t="s">
        <v>4157</v>
      </c>
      <c r="AD1" s="288" t="s">
        <v>4158</v>
      </c>
      <c r="AE1" s="288" t="s">
        <v>4159</v>
      </c>
      <c r="AF1" s="288" t="s">
        <v>4160</v>
      </c>
      <c r="AG1" s="288" t="s">
        <v>4161</v>
      </c>
      <c r="AH1" s="289" t="s">
        <v>4162</v>
      </c>
      <c r="AI1" s="289" t="s">
        <v>4163</v>
      </c>
      <c r="AJ1" s="289" t="s">
        <v>4164</v>
      </c>
      <c r="AK1" s="289" t="s">
        <v>4165</v>
      </c>
      <c r="AL1" s="289" t="s">
        <v>4166</v>
      </c>
      <c r="AM1" s="286" t="s">
        <v>4167</v>
      </c>
      <c r="AN1" s="286" t="s">
        <v>4168</v>
      </c>
      <c r="AO1" s="287" t="s">
        <v>4169</v>
      </c>
      <c r="AP1" s="290" t="s">
        <v>4170</v>
      </c>
      <c r="AQ1" s="290" t="s">
        <v>4171</v>
      </c>
      <c r="AR1" s="290" t="s">
        <v>4172</v>
      </c>
      <c r="AS1" s="290" t="s">
        <v>4173</v>
      </c>
      <c r="AT1" s="288" t="s">
        <v>4174</v>
      </c>
      <c r="AU1" s="288" t="s">
        <v>4175</v>
      </c>
      <c r="AV1" s="288" t="s">
        <v>4176</v>
      </c>
      <c r="AW1" s="288" t="s">
        <v>4177</v>
      </c>
      <c r="AX1" s="288" t="s">
        <v>4178</v>
      </c>
      <c r="AY1" s="288" t="s">
        <v>4179</v>
      </c>
      <c r="AZ1" s="288" t="s">
        <v>4180</v>
      </c>
      <c r="BA1" s="288" t="s">
        <v>4181</v>
      </c>
      <c r="BB1" s="288" t="s">
        <v>4182</v>
      </c>
      <c r="BC1" s="288" t="s">
        <v>4183</v>
      </c>
      <c r="BD1" s="288" t="s">
        <v>4184</v>
      </c>
      <c r="BE1" s="288" t="s">
        <v>4185</v>
      </c>
      <c r="BF1" s="288" t="s">
        <v>4186</v>
      </c>
      <c r="BG1" s="288" t="s">
        <v>4187</v>
      </c>
      <c r="BH1" s="288" t="s">
        <v>4188</v>
      </c>
      <c r="BI1" s="287" t="s">
        <v>4189</v>
      </c>
      <c r="BJ1" s="291" t="s">
        <v>4190</v>
      </c>
      <c r="BK1" s="291" t="s">
        <v>4191</v>
      </c>
      <c r="BL1" s="291" t="s">
        <v>4192</v>
      </c>
      <c r="BM1" s="291" t="s">
        <v>4193</v>
      </c>
      <c r="BN1" s="291" t="s">
        <v>4194</v>
      </c>
      <c r="BO1" s="291" t="s">
        <v>4195</v>
      </c>
      <c r="BP1" s="291" t="s">
        <v>4196</v>
      </c>
      <c r="BQ1" s="291" t="s">
        <v>4197</v>
      </c>
      <c r="BR1" s="291" t="s">
        <v>4198</v>
      </c>
      <c r="BS1" s="291" t="s">
        <v>4199</v>
      </c>
      <c r="BT1" s="291" t="s">
        <v>4200</v>
      </c>
      <c r="BU1" s="291" t="s">
        <v>4201</v>
      </c>
      <c r="BV1" s="291" t="s">
        <v>4202</v>
      </c>
      <c r="BW1" s="291" t="s">
        <v>4203</v>
      </c>
      <c r="BX1" s="291" t="s">
        <v>4204</v>
      </c>
      <c r="BY1" s="291" t="s">
        <v>4205</v>
      </c>
      <c r="BZ1" s="291" t="s">
        <v>4206</v>
      </c>
      <c r="CA1" s="291" t="s">
        <v>4207</v>
      </c>
      <c r="CB1" s="292" t="s">
        <v>4208</v>
      </c>
      <c r="CC1" s="292" t="s">
        <v>4209</v>
      </c>
      <c r="CD1" s="292" t="s">
        <v>4210</v>
      </c>
      <c r="CF1" s="199" t="s">
        <v>1325</v>
      </c>
      <c r="CG1" s="293" t="s">
        <v>5556</v>
      </c>
    </row>
    <row r="2" spans="1:85" x14ac:dyDescent="0.25">
      <c r="A2" s="294"/>
      <c r="B2" s="294"/>
      <c r="C2" s="294"/>
      <c r="D2" s="294"/>
      <c r="E2" s="294"/>
      <c r="F2" s="294"/>
      <c r="G2" s="294"/>
      <c r="H2" s="295"/>
      <c r="I2" s="296"/>
      <c r="J2" s="294" t="s">
        <v>4211</v>
      </c>
      <c r="K2" s="294" t="s">
        <v>4212</v>
      </c>
      <c r="L2" s="297"/>
      <c r="M2" s="298" t="s">
        <v>4213</v>
      </c>
      <c r="N2" s="299"/>
      <c r="O2" s="298" t="s">
        <v>4214</v>
      </c>
      <c r="P2" s="299" t="s">
        <v>4215</v>
      </c>
      <c r="Q2" s="298" t="s">
        <v>4216</v>
      </c>
      <c r="R2" s="298" t="s">
        <v>4217</v>
      </c>
      <c r="S2" s="298" t="s">
        <v>4218</v>
      </c>
      <c r="T2" s="298" t="s">
        <v>4219</v>
      </c>
      <c r="U2" s="298" t="s">
        <v>4220</v>
      </c>
      <c r="V2" s="298" t="s">
        <v>4221</v>
      </c>
      <c r="W2" s="298" t="s">
        <v>4222</v>
      </c>
      <c r="X2" s="298" t="s">
        <v>4223</v>
      </c>
      <c r="Y2" s="298" t="s">
        <v>4224</v>
      </c>
      <c r="Z2" s="298" t="s">
        <v>4225</v>
      </c>
      <c r="AA2" s="298" t="s">
        <v>4226</v>
      </c>
      <c r="AB2" s="298" t="s">
        <v>4227</v>
      </c>
      <c r="AC2" s="298" t="s">
        <v>4228</v>
      </c>
      <c r="AD2" s="298" t="s">
        <v>4229</v>
      </c>
      <c r="AE2" s="298" t="s">
        <v>4230</v>
      </c>
      <c r="AF2" s="298" t="s">
        <v>4231</v>
      </c>
      <c r="AG2" s="298" t="s">
        <v>4232</v>
      </c>
      <c r="AH2" s="299"/>
      <c r="AI2" s="299"/>
      <c r="AJ2" s="299"/>
      <c r="AK2" s="299"/>
      <c r="AL2" s="299"/>
      <c r="AM2" s="298" t="s">
        <v>4216</v>
      </c>
      <c r="AN2" s="298" t="s">
        <v>4233</v>
      </c>
      <c r="AO2" s="299"/>
      <c r="AP2" s="298" t="s">
        <v>4217</v>
      </c>
      <c r="AQ2" s="298" t="s">
        <v>4218</v>
      </c>
      <c r="AR2" s="298" t="s">
        <v>4234</v>
      </c>
      <c r="AS2" s="298" t="s">
        <v>4235</v>
      </c>
      <c r="AT2" s="298" t="s">
        <v>4236</v>
      </c>
      <c r="AU2" s="298" t="s">
        <v>4237</v>
      </c>
      <c r="AV2" s="298" t="s">
        <v>4238</v>
      </c>
      <c r="AW2" s="298" t="s">
        <v>4239</v>
      </c>
      <c r="AX2" s="298" t="s">
        <v>4240</v>
      </c>
      <c r="AY2" s="298" t="s">
        <v>4241</v>
      </c>
      <c r="AZ2" s="298" t="s">
        <v>4242</v>
      </c>
      <c r="BA2" s="298" t="s">
        <v>4243</v>
      </c>
      <c r="BB2" s="298" t="s">
        <v>4244</v>
      </c>
      <c r="BC2" s="298" t="s">
        <v>4245</v>
      </c>
      <c r="BD2" s="298" t="s">
        <v>4246</v>
      </c>
      <c r="BE2" s="298" t="s">
        <v>4247</v>
      </c>
      <c r="BF2" s="298" t="s">
        <v>4248</v>
      </c>
      <c r="BG2" s="298" t="s">
        <v>4249</v>
      </c>
      <c r="BH2" s="298" t="s">
        <v>4250</v>
      </c>
      <c r="BI2" s="299"/>
      <c r="BJ2" s="300" t="s">
        <v>4251</v>
      </c>
      <c r="BK2" s="300" t="s">
        <v>4252</v>
      </c>
      <c r="BL2" s="300" t="s">
        <v>4253</v>
      </c>
      <c r="BM2" s="300" t="s">
        <v>4254</v>
      </c>
      <c r="BN2" s="300" t="s">
        <v>4255</v>
      </c>
      <c r="BO2" s="300" t="s">
        <v>4256</v>
      </c>
      <c r="BP2" s="300" t="s">
        <v>4257</v>
      </c>
      <c r="BQ2" s="300" t="s">
        <v>4258</v>
      </c>
      <c r="BR2" s="300" t="s">
        <v>4259</v>
      </c>
      <c r="BS2" s="300" t="s">
        <v>4260</v>
      </c>
      <c r="BT2" s="300" t="s">
        <v>4261</v>
      </c>
      <c r="BU2" s="300" t="s">
        <v>4262</v>
      </c>
      <c r="BV2" s="300" t="s">
        <v>4263</v>
      </c>
      <c r="BW2" s="300" t="s">
        <v>4264</v>
      </c>
      <c r="BX2" s="300" t="s">
        <v>4265</v>
      </c>
      <c r="BY2" s="300" t="s">
        <v>4266</v>
      </c>
      <c r="BZ2" s="300" t="s">
        <v>4267</v>
      </c>
      <c r="CA2" s="300" t="s">
        <v>4268</v>
      </c>
      <c r="CB2" s="300"/>
      <c r="CC2" s="300"/>
      <c r="CD2" s="300"/>
      <c r="CF2" s="199" t="s">
        <v>1326</v>
      </c>
      <c r="CG2" s="254" t="s">
        <v>5557</v>
      </c>
    </row>
    <row r="3" spans="1:85" s="308" customFormat="1" x14ac:dyDescent="0.25">
      <c r="A3" s="301" t="s">
        <v>4269</v>
      </c>
      <c r="B3" s="301" t="s">
        <v>3</v>
      </c>
      <c r="C3" s="301" t="s">
        <v>4270</v>
      </c>
      <c r="D3" s="301" t="s">
        <v>4</v>
      </c>
      <c r="E3" s="301" t="s">
        <v>4271</v>
      </c>
      <c r="F3" s="301" t="s">
        <v>4272</v>
      </c>
      <c r="G3" s="301" t="s">
        <v>4273</v>
      </c>
      <c r="H3" s="302">
        <v>540001</v>
      </c>
      <c r="I3" s="303" t="s">
        <v>1389</v>
      </c>
      <c r="J3" s="301" t="s">
        <v>488</v>
      </c>
      <c r="K3" s="301" t="s">
        <v>488</v>
      </c>
      <c r="L3" s="304">
        <v>337.15723785250202</v>
      </c>
      <c r="M3" s="305">
        <v>10925</v>
      </c>
      <c r="N3" s="306">
        <v>32.403278866519301</v>
      </c>
      <c r="O3" s="305">
        <v>3989</v>
      </c>
      <c r="P3" s="306">
        <v>2.716470293306593</v>
      </c>
      <c r="Q3" s="305">
        <v>10836</v>
      </c>
      <c r="R3" s="305">
        <v>288</v>
      </c>
      <c r="S3" s="305">
        <v>123</v>
      </c>
      <c r="T3" s="305">
        <v>309</v>
      </c>
      <c r="U3" s="305">
        <v>421</v>
      </c>
      <c r="V3" s="305">
        <v>224</v>
      </c>
      <c r="W3" s="305">
        <v>206</v>
      </c>
      <c r="X3" s="305">
        <v>307</v>
      </c>
      <c r="Y3" s="305">
        <v>225</v>
      </c>
      <c r="Z3" s="305">
        <v>290</v>
      </c>
      <c r="AA3" s="305">
        <v>335</v>
      </c>
      <c r="AB3" s="305">
        <v>327</v>
      </c>
      <c r="AC3" s="305">
        <v>324</v>
      </c>
      <c r="AD3" s="305">
        <v>105</v>
      </c>
      <c r="AE3" s="305">
        <v>245</v>
      </c>
      <c r="AF3" s="305">
        <v>223</v>
      </c>
      <c r="AG3" s="305">
        <v>37</v>
      </c>
      <c r="AH3" s="306">
        <v>18.049636500376035</v>
      </c>
      <c r="AI3" s="306">
        <v>16.169466031586861</v>
      </c>
      <c r="AJ3" s="306">
        <v>25.770869892203557</v>
      </c>
      <c r="AK3" s="306">
        <v>8.3980947605916274</v>
      </c>
      <c r="AL3" s="306">
        <v>31.611932815241918</v>
      </c>
      <c r="AM3" s="305">
        <v>20762</v>
      </c>
      <c r="AN3" s="305">
        <v>37516</v>
      </c>
      <c r="AO3" s="306">
        <v>52.719979944848326</v>
      </c>
      <c r="AP3" s="305">
        <v>3989</v>
      </c>
      <c r="AQ3" s="305">
        <v>1163</v>
      </c>
      <c r="AR3" s="305">
        <v>3240</v>
      </c>
      <c r="AS3" s="305">
        <v>749</v>
      </c>
      <c r="AT3" s="305">
        <v>222</v>
      </c>
      <c r="AU3" s="305">
        <v>73</v>
      </c>
      <c r="AV3" s="305">
        <v>245</v>
      </c>
      <c r="AW3" s="305">
        <v>470</v>
      </c>
      <c r="AX3" s="305">
        <v>192</v>
      </c>
      <c r="AY3" s="305">
        <v>131</v>
      </c>
      <c r="AZ3" s="305">
        <v>578</v>
      </c>
      <c r="BA3" s="305">
        <v>137</v>
      </c>
      <c r="BB3" s="305">
        <v>17</v>
      </c>
      <c r="BC3" s="305">
        <v>575</v>
      </c>
      <c r="BD3" s="305">
        <v>70</v>
      </c>
      <c r="BE3" s="305">
        <v>10</v>
      </c>
      <c r="BF3" s="305">
        <v>869</v>
      </c>
      <c r="BG3" s="305">
        <v>44</v>
      </c>
      <c r="BH3" s="305">
        <v>0</v>
      </c>
      <c r="BI3" s="306">
        <v>10.102782652293808</v>
      </c>
      <c r="BJ3" s="307">
        <v>5.2</v>
      </c>
      <c r="BK3" s="307">
        <v>5.5</v>
      </c>
      <c r="BL3" s="307">
        <v>5.7</v>
      </c>
      <c r="BM3" s="307">
        <v>7.9</v>
      </c>
      <c r="BN3" s="307">
        <v>8.3000000000000007</v>
      </c>
      <c r="BO3" s="307">
        <v>5.2</v>
      </c>
      <c r="BP3" s="307">
        <v>5</v>
      </c>
      <c r="BQ3" s="307">
        <v>6</v>
      </c>
      <c r="BR3" s="307">
        <v>5.3</v>
      </c>
      <c r="BS3" s="307">
        <v>6.6</v>
      </c>
      <c r="BT3" s="307">
        <v>6.8</v>
      </c>
      <c r="BU3" s="307">
        <v>6.2</v>
      </c>
      <c r="BV3" s="307">
        <v>7.8</v>
      </c>
      <c r="BW3" s="307">
        <v>6.6</v>
      </c>
      <c r="BX3" s="307">
        <v>4.5</v>
      </c>
      <c r="BY3" s="307">
        <v>2.7</v>
      </c>
      <c r="BZ3" s="307">
        <v>2.2999999999999998</v>
      </c>
      <c r="CA3" s="307">
        <v>2.5</v>
      </c>
      <c r="CB3" s="307">
        <v>16.399999999999999</v>
      </c>
      <c r="CC3" s="307">
        <v>65.100000000000009</v>
      </c>
      <c r="CD3" s="307">
        <v>18.600000000000001</v>
      </c>
    </row>
    <row r="4" spans="1:85" x14ac:dyDescent="0.25">
      <c r="A4" s="130" t="s">
        <v>4274</v>
      </c>
      <c r="B4" s="130" t="s">
        <v>114</v>
      </c>
      <c r="C4" s="130" t="s">
        <v>4275</v>
      </c>
      <c r="D4" s="130" t="s">
        <v>4</v>
      </c>
      <c r="E4" s="130" t="s">
        <v>4271</v>
      </c>
      <c r="F4" s="130" t="s">
        <v>4272</v>
      </c>
      <c r="G4" s="130" t="s">
        <v>4276</v>
      </c>
      <c r="H4" s="309">
        <v>540002</v>
      </c>
      <c r="I4" s="277" t="s">
        <v>1391</v>
      </c>
      <c r="J4" s="130">
        <v>5405788</v>
      </c>
      <c r="K4" s="130" t="s">
        <v>4277</v>
      </c>
      <c r="L4" s="310">
        <v>2.1281813070914062</v>
      </c>
      <c r="M4" s="311">
        <v>2031</v>
      </c>
      <c r="N4" s="312">
        <v>954.33598313847415</v>
      </c>
      <c r="O4" s="311">
        <v>718</v>
      </c>
      <c r="P4" s="312">
        <v>2.83</v>
      </c>
      <c r="Q4" s="311">
        <v>2031</v>
      </c>
      <c r="R4" s="311">
        <v>85</v>
      </c>
      <c r="S4" s="311">
        <v>71</v>
      </c>
      <c r="T4" s="311">
        <v>72</v>
      </c>
      <c r="U4" s="311">
        <v>69</v>
      </c>
      <c r="V4" s="311">
        <v>62</v>
      </c>
      <c r="W4" s="311">
        <v>38</v>
      </c>
      <c r="X4" s="311">
        <v>23</v>
      </c>
      <c r="Y4" s="311">
        <v>22</v>
      </c>
      <c r="Z4" s="311">
        <v>59</v>
      </c>
      <c r="AA4" s="311">
        <v>78</v>
      </c>
      <c r="AB4" s="311">
        <v>55</v>
      </c>
      <c r="AC4" s="311">
        <v>16</v>
      </c>
      <c r="AD4" s="311">
        <v>41</v>
      </c>
      <c r="AE4" s="311">
        <v>11</v>
      </c>
      <c r="AF4" s="311">
        <v>12</v>
      </c>
      <c r="AG4" s="311">
        <v>4</v>
      </c>
      <c r="AH4" s="312">
        <v>31.754874651810582</v>
      </c>
      <c r="AI4" s="312">
        <v>18.245125348189415</v>
      </c>
      <c r="AJ4" s="312">
        <v>19.777158774373259</v>
      </c>
      <c r="AK4" s="312">
        <v>10.863509749303621</v>
      </c>
      <c r="AL4" s="312">
        <v>19.359331476323121</v>
      </c>
      <c r="AM4" s="311">
        <v>16993</v>
      </c>
      <c r="AN4" s="311">
        <v>30000</v>
      </c>
      <c r="AO4" s="312">
        <v>61.559888579387191</v>
      </c>
      <c r="AP4" s="311">
        <v>718</v>
      </c>
      <c r="AQ4" s="311">
        <v>146</v>
      </c>
      <c r="AR4" s="311">
        <v>507</v>
      </c>
      <c r="AS4" s="311">
        <v>211</v>
      </c>
      <c r="AT4" s="311">
        <v>23</v>
      </c>
      <c r="AU4" s="311">
        <v>17</v>
      </c>
      <c r="AV4" s="311">
        <v>153</v>
      </c>
      <c r="AW4" s="311">
        <v>44</v>
      </c>
      <c r="AX4" s="311">
        <v>46</v>
      </c>
      <c r="AY4" s="311">
        <v>71</v>
      </c>
      <c r="AZ4" s="311">
        <v>78</v>
      </c>
      <c r="BA4" s="311">
        <v>23</v>
      </c>
      <c r="BB4" s="311">
        <v>3</v>
      </c>
      <c r="BC4" s="311">
        <v>103</v>
      </c>
      <c r="BD4" s="311">
        <v>16</v>
      </c>
      <c r="BE4" s="311">
        <v>9</v>
      </c>
      <c r="BF4" s="311">
        <v>71</v>
      </c>
      <c r="BG4" s="311">
        <v>0</v>
      </c>
      <c r="BH4" s="311">
        <v>13</v>
      </c>
      <c r="BI4" s="312">
        <v>34.67966573816156</v>
      </c>
      <c r="BJ4" s="313">
        <v>9.1</v>
      </c>
      <c r="BK4" s="313">
        <v>11</v>
      </c>
      <c r="BL4" s="313">
        <v>6.4</v>
      </c>
      <c r="BM4" s="313">
        <v>5.9</v>
      </c>
      <c r="BN4" s="313">
        <v>5.6</v>
      </c>
      <c r="BO4" s="313">
        <v>6.1</v>
      </c>
      <c r="BP4" s="313">
        <v>6.2</v>
      </c>
      <c r="BQ4" s="313">
        <v>7.1</v>
      </c>
      <c r="BR4" s="313">
        <v>3.6</v>
      </c>
      <c r="BS4" s="313">
        <v>5.7</v>
      </c>
      <c r="BT4" s="313">
        <v>5.7</v>
      </c>
      <c r="BU4" s="313">
        <v>7.1</v>
      </c>
      <c r="BV4" s="313">
        <v>3.9</v>
      </c>
      <c r="BW4" s="313">
        <v>5.6</v>
      </c>
      <c r="BX4" s="313">
        <v>4.0999999999999996</v>
      </c>
      <c r="BY4" s="313">
        <v>2.4</v>
      </c>
      <c r="BZ4" s="313">
        <v>2.1</v>
      </c>
      <c r="CA4" s="313">
        <v>2.4</v>
      </c>
      <c r="CB4" s="313">
        <v>26.5</v>
      </c>
      <c r="CC4" s="313">
        <v>56.900000000000006</v>
      </c>
      <c r="CD4" s="313">
        <v>16.599999999999998</v>
      </c>
    </row>
    <row r="5" spans="1:85" x14ac:dyDescent="0.25">
      <c r="A5" s="130" t="s">
        <v>4278</v>
      </c>
      <c r="B5" s="130" t="s">
        <v>116</v>
      </c>
      <c r="C5" s="130" t="s">
        <v>4279</v>
      </c>
      <c r="D5" s="130" t="s">
        <v>4</v>
      </c>
      <c r="E5" s="130" t="s">
        <v>4271</v>
      </c>
      <c r="F5" s="130" t="s">
        <v>4272</v>
      </c>
      <c r="G5" s="130" t="s">
        <v>4280</v>
      </c>
      <c r="H5" s="309">
        <v>540003</v>
      </c>
      <c r="I5" s="277" t="s">
        <v>1392</v>
      </c>
      <c r="J5" s="130">
        <v>5442244</v>
      </c>
      <c r="K5" s="130" t="s">
        <v>4281</v>
      </c>
      <c r="L5" s="310">
        <v>0.33795204829391901</v>
      </c>
      <c r="M5" s="311">
        <v>427</v>
      </c>
      <c r="N5" s="312">
        <v>1263.4928598764859</v>
      </c>
      <c r="O5" s="311">
        <v>156</v>
      </c>
      <c r="P5" s="312">
        <v>2.74</v>
      </c>
      <c r="Q5" s="311">
        <v>427</v>
      </c>
      <c r="R5" s="311">
        <v>28</v>
      </c>
      <c r="S5" s="311">
        <v>3</v>
      </c>
      <c r="T5" s="311">
        <v>18</v>
      </c>
      <c r="U5" s="311">
        <v>22</v>
      </c>
      <c r="V5" s="311">
        <v>22</v>
      </c>
      <c r="W5" s="311">
        <v>14</v>
      </c>
      <c r="X5" s="311">
        <v>4</v>
      </c>
      <c r="Y5" s="311">
        <v>5</v>
      </c>
      <c r="Z5" s="311">
        <v>4</v>
      </c>
      <c r="AA5" s="311">
        <v>13</v>
      </c>
      <c r="AB5" s="311">
        <v>8</v>
      </c>
      <c r="AC5" s="311">
        <v>6</v>
      </c>
      <c r="AD5" s="311">
        <v>4</v>
      </c>
      <c r="AE5" s="311">
        <v>2</v>
      </c>
      <c r="AF5" s="311">
        <v>3</v>
      </c>
      <c r="AG5" s="311">
        <v>0</v>
      </c>
      <c r="AH5" s="312">
        <v>31.410256410256409</v>
      </c>
      <c r="AI5" s="312">
        <v>28.205128205128204</v>
      </c>
      <c r="AJ5" s="312">
        <v>17.307692307692307</v>
      </c>
      <c r="AK5" s="312">
        <v>8.3333333333333321</v>
      </c>
      <c r="AL5" s="312">
        <v>14.743589743589745</v>
      </c>
      <c r="AM5" s="311">
        <v>14580</v>
      </c>
      <c r="AN5" s="311">
        <v>26591</v>
      </c>
      <c r="AO5" s="312">
        <v>74.358974358974365</v>
      </c>
      <c r="AP5" s="311">
        <v>156</v>
      </c>
      <c r="AQ5" s="311">
        <v>47</v>
      </c>
      <c r="AR5" s="311">
        <v>99</v>
      </c>
      <c r="AS5" s="311">
        <v>57</v>
      </c>
      <c r="AT5" s="311">
        <v>7</v>
      </c>
      <c r="AU5" s="311">
        <v>16</v>
      </c>
      <c r="AV5" s="311">
        <v>24</v>
      </c>
      <c r="AW5" s="311">
        <v>27</v>
      </c>
      <c r="AX5" s="311">
        <v>9</v>
      </c>
      <c r="AY5" s="311">
        <v>20</v>
      </c>
      <c r="AZ5" s="311">
        <v>7</v>
      </c>
      <c r="BA5" s="311">
        <v>3</v>
      </c>
      <c r="BB5" s="311">
        <v>0</v>
      </c>
      <c r="BC5" s="311">
        <v>19</v>
      </c>
      <c r="BD5" s="311">
        <v>0</v>
      </c>
      <c r="BE5" s="311">
        <v>0</v>
      </c>
      <c r="BF5" s="311">
        <v>11</v>
      </c>
      <c r="BG5" s="311">
        <v>4</v>
      </c>
      <c r="BH5" s="311">
        <v>0</v>
      </c>
      <c r="BI5" s="312">
        <v>28.205128205128204</v>
      </c>
      <c r="BJ5" s="313">
        <v>14.1</v>
      </c>
      <c r="BK5" s="313">
        <v>5.2</v>
      </c>
      <c r="BL5" s="313">
        <v>4</v>
      </c>
      <c r="BM5" s="313">
        <v>7.5</v>
      </c>
      <c r="BN5" s="313">
        <v>11.7</v>
      </c>
      <c r="BO5" s="313">
        <v>9.1</v>
      </c>
      <c r="BP5" s="313">
        <v>2.6</v>
      </c>
      <c r="BQ5" s="313">
        <v>1.6</v>
      </c>
      <c r="BR5" s="313">
        <v>7.3</v>
      </c>
      <c r="BS5" s="313">
        <v>2.8</v>
      </c>
      <c r="BT5" s="313">
        <v>6.3</v>
      </c>
      <c r="BU5" s="313">
        <v>8.1999999999999993</v>
      </c>
      <c r="BV5" s="313">
        <v>6.8</v>
      </c>
      <c r="BW5" s="313">
        <v>1.9</v>
      </c>
      <c r="BX5" s="313">
        <v>4.2</v>
      </c>
      <c r="BY5" s="313">
        <v>4.4000000000000004</v>
      </c>
      <c r="BZ5" s="313">
        <v>1.4</v>
      </c>
      <c r="CA5" s="313">
        <v>0.9</v>
      </c>
      <c r="CB5" s="313">
        <v>23.3</v>
      </c>
      <c r="CC5" s="313">
        <v>63.899999999999991</v>
      </c>
      <c r="CD5" s="313">
        <v>12.8</v>
      </c>
    </row>
    <row r="6" spans="1:85" x14ac:dyDescent="0.25">
      <c r="A6" s="130" t="s">
        <v>4282</v>
      </c>
      <c r="B6" s="130" t="s">
        <v>117</v>
      </c>
      <c r="C6" s="130" t="s">
        <v>4283</v>
      </c>
      <c r="D6" s="130" t="s">
        <v>4</v>
      </c>
      <c r="E6" s="130" t="s">
        <v>4271</v>
      </c>
      <c r="F6" s="130" t="s">
        <v>4272</v>
      </c>
      <c r="G6" s="130" t="s">
        <v>4284</v>
      </c>
      <c r="H6" s="309">
        <v>540004</v>
      </c>
      <c r="I6" s="277" t="s">
        <v>1393</v>
      </c>
      <c r="J6" s="130">
        <v>5463292</v>
      </c>
      <c r="K6" s="130" t="s">
        <v>4285</v>
      </c>
      <c r="L6" s="310">
        <v>2.9198078970211125</v>
      </c>
      <c r="M6" s="311">
        <v>3407</v>
      </c>
      <c r="N6" s="312">
        <v>1166.8575879515695</v>
      </c>
      <c r="O6" s="311">
        <v>1430</v>
      </c>
      <c r="P6" s="312">
        <v>2.0499999999999998</v>
      </c>
      <c r="Q6" s="311">
        <v>2931</v>
      </c>
      <c r="R6" s="311">
        <v>353</v>
      </c>
      <c r="S6" s="311">
        <v>126</v>
      </c>
      <c r="T6" s="311">
        <v>155</v>
      </c>
      <c r="U6" s="311">
        <v>149</v>
      </c>
      <c r="V6" s="311">
        <v>47</v>
      </c>
      <c r="W6" s="311">
        <v>38</v>
      </c>
      <c r="X6" s="311">
        <v>101</v>
      </c>
      <c r="Y6" s="311">
        <v>68</v>
      </c>
      <c r="Z6" s="311">
        <v>44</v>
      </c>
      <c r="AA6" s="311">
        <v>65</v>
      </c>
      <c r="AB6" s="311">
        <v>131</v>
      </c>
      <c r="AC6" s="311">
        <v>63</v>
      </c>
      <c r="AD6" s="311">
        <v>44</v>
      </c>
      <c r="AE6" s="311">
        <v>32</v>
      </c>
      <c r="AF6" s="311">
        <v>14</v>
      </c>
      <c r="AG6" s="311">
        <v>0</v>
      </c>
      <c r="AH6" s="312">
        <v>44.33566433566434</v>
      </c>
      <c r="AI6" s="312">
        <v>13.706293706293707</v>
      </c>
      <c r="AJ6" s="312">
        <v>17.552447552447553</v>
      </c>
      <c r="AK6" s="312">
        <v>4.5454545454545459</v>
      </c>
      <c r="AL6" s="312">
        <v>19.86013986013986</v>
      </c>
      <c r="AM6" s="311">
        <v>16182</v>
      </c>
      <c r="AN6" s="311">
        <v>22225</v>
      </c>
      <c r="AO6" s="312">
        <v>72.517482517482506</v>
      </c>
      <c r="AP6" s="311">
        <v>1430</v>
      </c>
      <c r="AQ6" s="311">
        <v>252</v>
      </c>
      <c r="AR6" s="311">
        <v>662</v>
      </c>
      <c r="AS6" s="311">
        <v>768</v>
      </c>
      <c r="AT6" s="311">
        <v>14</v>
      </c>
      <c r="AU6" s="311">
        <v>162</v>
      </c>
      <c r="AV6" s="311">
        <v>362</v>
      </c>
      <c r="AW6" s="311">
        <v>90</v>
      </c>
      <c r="AX6" s="311">
        <v>34</v>
      </c>
      <c r="AY6" s="311">
        <v>103</v>
      </c>
      <c r="AZ6" s="311">
        <v>148</v>
      </c>
      <c r="BA6" s="311">
        <v>43</v>
      </c>
      <c r="BB6" s="311">
        <v>15</v>
      </c>
      <c r="BC6" s="311">
        <v>175</v>
      </c>
      <c r="BD6" s="311">
        <v>21</v>
      </c>
      <c r="BE6" s="311">
        <v>0</v>
      </c>
      <c r="BF6" s="311">
        <v>147</v>
      </c>
      <c r="BG6" s="311">
        <v>6</v>
      </c>
      <c r="BH6" s="311">
        <v>0</v>
      </c>
      <c r="BI6" s="312">
        <v>33.566433566433567</v>
      </c>
      <c r="BJ6" s="313">
        <v>7.8</v>
      </c>
      <c r="BK6" s="313">
        <v>2.5</v>
      </c>
      <c r="BL6" s="313">
        <v>2.9</v>
      </c>
      <c r="BM6" s="313">
        <v>14.4</v>
      </c>
      <c r="BN6" s="313">
        <v>11.9</v>
      </c>
      <c r="BO6" s="313">
        <v>4.9000000000000004</v>
      </c>
      <c r="BP6" s="313">
        <v>5.8</v>
      </c>
      <c r="BQ6" s="313">
        <v>4</v>
      </c>
      <c r="BR6" s="313">
        <v>3.5</v>
      </c>
      <c r="BS6" s="313">
        <v>5.3</v>
      </c>
      <c r="BT6" s="313">
        <v>6.3</v>
      </c>
      <c r="BU6" s="313">
        <v>6.3</v>
      </c>
      <c r="BV6" s="313">
        <v>6.7</v>
      </c>
      <c r="BW6" s="313">
        <v>5.3</v>
      </c>
      <c r="BX6" s="313">
        <v>3.8</v>
      </c>
      <c r="BY6" s="313">
        <v>2.4</v>
      </c>
      <c r="BZ6" s="313">
        <v>2.9</v>
      </c>
      <c r="CA6" s="313">
        <v>3.4</v>
      </c>
      <c r="CB6" s="313">
        <v>13.200000000000001</v>
      </c>
      <c r="CC6" s="313">
        <v>69.099999999999994</v>
      </c>
      <c r="CD6" s="313">
        <v>17.8</v>
      </c>
    </row>
    <row r="7" spans="1:85" s="322" customFormat="1" x14ac:dyDescent="0.25">
      <c r="A7" s="314" t="s">
        <v>4286</v>
      </c>
      <c r="B7" s="315" t="s">
        <v>348</v>
      </c>
      <c r="C7" s="314"/>
      <c r="D7" s="314"/>
      <c r="E7" s="314"/>
      <c r="F7" s="314"/>
      <c r="G7" s="314"/>
      <c r="H7" s="316"/>
      <c r="I7" s="317"/>
      <c r="J7" s="314">
        <v>54001</v>
      </c>
      <c r="K7" s="314" t="s">
        <v>4287</v>
      </c>
      <c r="L7" s="318">
        <v>342.5431791049084</v>
      </c>
      <c r="M7" s="319">
        <v>16790</v>
      </c>
      <c r="N7" s="320">
        <v>49.015718380011414</v>
      </c>
      <c r="O7" s="319">
        <v>6293</v>
      </c>
      <c r="P7" s="320">
        <v>2.58</v>
      </c>
      <c r="Q7" s="319">
        <v>16225</v>
      </c>
      <c r="R7" s="319">
        <v>754</v>
      </c>
      <c r="S7" s="319">
        <v>323</v>
      </c>
      <c r="T7" s="319">
        <v>554</v>
      </c>
      <c r="U7" s="319">
        <v>661</v>
      </c>
      <c r="V7" s="319">
        <v>355</v>
      </c>
      <c r="W7" s="319">
        <v>296</v>
      </c>
      <c r="X7" s="319">
        <v>435</v>
      </c>
      <c r="Y7" s="319">
        <v>320</v>
      </c>
      <c r="Z7" s="319">
        <v>397</v>
      </c>
      <c r="AA7" s="319">
        <v>491</v>
      </c>
      <c r="AB7" s="319">
        <v>521</v>
      </c>
      <c r="AC7" s="319">
        <v>409</v>
      </c>
      <c r="AD7" s="319">
        <v>194</v>
      </c>
      <c r="AE7" s="319">
        <v>290</v>
      </c>
      <c r="AF7" s="319">
        <v>252</v>
      </c>
      <c r="AG7" s="319">
        <v>41</v>
      </c>
      <c r="AH7" s="320">
        <v>25.917686318131256</v>
      </c>
      <c r="AI7" s="320">
        <v>16.14492293023995</v>
      </c>
      <c r="AJ7" s="320">
        <v>23.009693310027014</v>
      </c>
      <c r="AK7" s="320">
        <v>7.802320038137613</v>
      </c>
      <c r="AL7" s="320">
        <v>27.125377403464167</v>
      </c>
      <c r="AM7" s="319">
        <v>20762</v>
      </c>
      <c r="AN7" s="319">
        <v>37516</v>
      </c>
      <c r="AO7" s="320">
        <v>58.76370570475131</v>
      </c>
      <c r="AP7" s="319">
        <v>6293</v>
      </c>
      <c r="AQ7" s="319">
        <v>1608</v>
      </c>
      <c r="AR7" s="319">
        <v>4508</v>
      </c>
      <c r="AS7" s="319">
        <v>1785</v>
      </c>
      <c r="AT7" s="319">
        <v>266</v>
      </c>
      <c r="AU7" s="319">
        <v>268</v>
      </c>
      <c r="AV7" s="319">
        <v>784</v>
      </c>
      <c r="AW7" s="319">
        <v>631</v>
      </c>
      <c r="AX7" s="319">
        <v>281</v>
      </c>
      <c r="AY7" s="319">
        <v>325</v>
      </c>
      <c r="AZ7" s="319">
        <v>811</v>
      </c>
      <c r="BA7" s="319">
        <v>206</v>
      </c>
      <c r="BB7" s="319">
        <v>35</v>
      </c>
      <c r="BC7" s="319">
        <v>872</v>
      </c>
      <c r="BD7" s="319">
        <v>107</v>
      </c>
      <c r="BE7" s="319">
        <v>19</v>
      </c>
      <c r="BF7" s="319">
        <v>1098</v>
      </c>
      <c r="BG7" s="319">
        <v>54</v>
      </c>
      <c r="BH7" s="319">
        <v>13</v>
      </c>
      <c r="BI7" s="320">
        <v>18.687430478309235</v>
      </c>
      <c r="BJ7" s="321">
        <v>5.2</v>
      </c>
      <c r="BK7" s="321">
        <v>5.5</v>
      </c>
      <c r="BL7" s="321">
        <v>5.7</v>
      </c>
      <c r="BM7" s="321">
        <v>7.9</v>
      </c>
      <c r="BN7" s="321">
        <v>8.3000000000000007</v>
      </c>
      <c r="BO7" s="321">
        <v>5.2</v>
      </c>
      <c r="BP7" s="321">
        <v>5</v>
      </c>
      <c r="BQ7" s="321">
        <v>6</v>
      </c>
      <c r="BR7" s="321">
        <v>5.3</v>
      </c>
      <c r="BS7" s="321">
        <v>6.6</v>
      </c>
      <c r="BT7" s="321">
        <v>6.8</v>
      </c>
      <c r="BU7" s="321">
        <v>6.2</v>
      </c>
      <c r="BV7" s="321">
        <v>7.8</v>
      </c>
      <c r="BW7" s="321">
        <v>6.6</v>
      </c>
      <c r="BX7" s="321">
        <v>4.5</v>
      </c>
      <c r="BY7" s="321">
        <v>2.7</v>
      </c>
      <c r="BZ7" s="321">
        <v>2.2999999999999998</v>
      </c>
      <c r="CA7" s="321">
        <v>2.5</v>
      </c>
      <c r="CB7" s="321">
        <v>16.399999999999999</v>
      </c>
      <c r="CC7" s="321">
        <v>65.100000000000009</v>
      </c>
      <c r="CD7" s="321">
        <v>18.600000000000001</v>
      </c>
    </row>
    <row r="8" spans="1:85" s="308" customFormat="1" x14ac:dyDescent="0.25">
      <c r="A8" s="301" t="s">
        <v>4288</v>
      </c>
      <c r="B8" s="301" t="s">
        <v>106</v>
      </c>
      <c r="C8" s="301" t="s">
        <v>4289</v>
      </c>
      <c r="D8" s="301" t="s">
        <v>107</v>
      </c>
      <c r="E8" s="301" t="s">
        <v>4290</v>
      </c>
      <c r="F8" s="301" t="s">
        <v>4272</v>
      </c>
      <c r="G8" s="301" t="s">
        <v>4291</v>
      </c>
      <c r="H8" s="302">
        <v>540282</v>
      </c>
      <c r="I8" s="303" t="s">
        <v>1638</v>
      </c>
      <c r="J8" s="301" t="s">
        <v>488</v>
      </c>
      <c r="K8" s="301" t="s">
        <v>488</v>
      </c>
      <c r="L8" s="304">
        <v>314.97390559739125</v>
      </c>
      <c r="M8" s="305">
        <v>93834</v>
      </c>
      <c r="N8" s="306">
        <v>297.91039299598782</v>
      </c>
      <c r="O8" s="305">
        <v>35189</v>
      </c>
      <c r="P8" s="306">
        <v>2.6563983062888972</v>
      </c>
      <c r="Q8" s="305">
        <v>93476</v>
      </c>
      <c r="R8" s="305">
        <v>1469</v>
      </c>
      <c r="S8" s="305">
        <v>944</v>
      </c>
      <c r="T8" s="305">
        <v>1363</v>
      </c>
      <c r="U8" s="305">
        <v>1483</v>
      </c>
      <c r="V8" s="305">
        <v>1429</v>
      </c>
      <c r="W8" s="305">
        <v>1547</v>
      </c>
      <c r="X8" s="305">
        <v>1510</v>
      </c>
      <c r="Y8" s="305">
        <v>1584</v>
      </c>
      <c r="Z8" s="305">
        <v>1615</v>
      </c>
      <c r="AA8" s="305">
        <v>3632</v>
      </c>
      <c r="AB8" s="305">
        <v>4228</v>
      </c>
      <c r="AC8" s="305">
        <v>5849</v>
      </c>
      <c r="AD8" s="305">
        <v>3884</v>
      </c>
      <c r="AE8" s="305">
        <v>1743</v>
      </c>
      <c r="AF8" s="305">
        <v>2172</v>
      </c>
      <c r="AG8" s="305">
        <v>737</v>
      </c>
      <c r="AH8" s="306">
        <v>10.7306260479127</v>
      </c>
      <c r="AI8" s="306">
        <v>8.2753133081360648</v>
      </c>
      <c r="AJ8" s="306">
        <v>17.778282986160448</v>
      </c>
      <c r="AK8" s="306">
        <v>10.321407257949927</v>
      </c>
      <c r="AL8" s="306">
        <v>52.894370399840859</v>
      </c>
      <c r="AM8" s="305">
        <v>27658</v>
      </c>
      <c r="AN8" s="305">
        <v>59480</v>
      </c>
      <c r="AO8" s="306">
        <v>32.194719940890622</v>
      </c>
      <c r="AP8" s="305">
        <v>35189</v>
      </c>
      <c r="AQ8" s="305">
        <v>3469</v>
      </c>
      <c r="AR8" s="305">
        <v>27846</v>
      </c>
      <c r="AS8" s="305">
        <v>7343</v>
      </c>
      <c r="AT8" s="305">
        <v>365</v>
      </c>
      <c r="AU8" s="305">
        <v>722</v>
      </c>
      <c r="AV8" s="305">
        <v>2345</v>
      </c>
      <c r="AW8" s="305">
        <v>884</v>
      </c>
      <c r="AX8" s="305">
        <v>823</v>
      </c>
      <c r="AY8" s="305">
        <v>2586</v>
      </c>
      <c r="AZ8" s="305">
        <v>1411</v>
      </c>
      <c r="BA8" s="305">
        <v>1414</v>
      </c>
      <c r="BB8" s="305">
        <v>1759</v>
      </c>
      <c r="BC8" s="305">
        <v>3735</v>
      </c>
      <c r="BD8" s="305">
        <v>2750</v>
      </c>
      <c r="BE8" s="305">
        <v>1182</v>
      </c>
      <c r="BF8" s="305">
        <v>11206</v>
      </c>
      <c r="BG8" s="305">
        <v>2710</v>
      </c>
      <c r="BH8" s="305">
        <v>469</v>
      </c>
      <c r="BI8" s="306">
        <v>23.703430049163092</v>
      </c>
      <c r="BJ8" s="307">
        <v>6.2</v>
      </c>
      <c r="BK8" s="307">
        <v>6.7</v>
      </c>
      <c r="BL8" s="307">
        <v>6.9</v>
      </c>
      <c r="BM8" s="307">
        <v>6.1</v>
      </c>
      <c r="BN8" s="307">
        <v>5.7</v>
      </c>
      <c r="BO8" s="307">
        <v>6.7</v>
      </c>
      <c r="BP8" s="307">
        <v>6.6</v>
      </c>
      <c r="BQ8" s="307">
        <v>6.6</v>
      </c>
      <c r="BR8" s="307">
        <v>7.1</v>
      </c>
      <c r="BS8" s="307">
        <v>7.2</v>
      </c>
      <c r="BT8" s="307">
        <v>7.3</v>
      </c>
      <c r="BU8" s="307">
        <v>7.1</v>
      </c>
      <c r="BV8" s="307">
        <v>5.9</v>
      </c>
      <c r="BW8" s="307">
        <v>4.8</v>
      </c>
      <c r="BX8" s="307">
        <v>3.8</v>
      </c>
      <c r="BY8" s="307">
        <v>2.2999999999999998</v>
      </c>
      <c r="BZ8" s="307">
        <v>1.5</v>
      </c>
      <c r="CA8" s="307">
        <v>1.2</v>
      </c>
      <c r="CB8" s="307">
        <v>19.8</v>
      </c>
      <c r="CC8" s="307">
        <v>66.300000000000011</v>
      </c>
      <c r="CD8" s="307">
        <v>13.599999999999998</v>
      </c>
    </row>
    <row r="9" spans="1:85" x14ac:dyDescent="0.25">
      <c r="A9" s="130" t="s">
        <v>4292</v>
      </c>
      <c r="B9" s="130" t="s">
        <v>339</v>
      </c>
      <c r="C9" s="130" t="s">
        <v>4293</v>
      </c>
      <c r="D9" s="130" t="s">
        <v>107</v>
      </c>
      <c r="E9" s="130" t="s">
        <v>4290</v>
      </c>
      <c r="F9" s="130" t="s">
        <v>4272</v>
      </c>
      <c r="G9" s="130" t="s">
        <v>4294</v>
      </c>
      <c r="H9" s="309">
        <v>545550</v>
      </c>
      <c r="I9" s="277" t="s">
        <v>1640</v>
      </c>
      <c r="J9" s="130">
        <v>5436220</v>
      </c>
      <c r="K9" s="130" t="s">
        <v>4295</v>
      </c>
      <c r="L9" s="310">
        <v>0.13155723435839012</v>
      </c>
      <c r="M9" s="311">
        <v>325</v>
      </c>
      <c r="N9" s="312">
        <v>2470.4076638965389</v>
      </c>
      <c r="O9" s="311">
        <v>111</v>
      </c>
      <c r="P9" s="312">
        <v>2.93</v>
      </c>
      <c r="Q9" s="311">
        <v>325</v>
      </c>
      <c r="R9" s="311">
        <v>0</v>
      </c>
      <c r="S9" s="311">
        <v>0</v>
      </c>
      <c r="T9" s="311">
        <v>2</v>
      </c>
      <c r="U9" s="311">
        <v>8</v>
      </c>
      <c r="V9" s="311">
        <v>3</v>
      </c>
      <c r="W9" s="311">
        <v>3</v>
      </c>
      <c r="X9" s="311">
        <v>2</v>
      </c>
      <c r="Y9" s="311">
        <v>15</v>
      </c>
      <c r="Z9" s="311">
        <v>3</v>
      </c>
      <c r="AA9" s="311">
        <v>9</v>
      </c>
      <c r="AB9" s="311">
        <v>15</v>
      </c>
      <c r="AC9" s="311">
        <v>18</v>
      </c>
      <c r="AD9" s="311">
        <v>25</v>
      </c>
      <c r="AE9" s="311">
        <v>8</v>
      </c>
      <c r="AF9" s="311">
        <v>0</v>
      </c>
      <c r="AG9" s="311">
        <v>0</v>
      </c>
      <c r="AH9" s="312">
        <v>1.8018018018018018</v>
      </c>
      <c r="AI9" s="312">
        <v>9.9099099099099099</v>
      </c>
      <c r="AJ9" s="312">
        <v>20.72072072072072</v>
      </c>
      <c r="AK9" s="312">
        <v>8.1081081081081088</v>
      </c>
      <c r="AL9" s="312">
        <v>59.45945945945946</v>
      </c>
      <c r="AM9" s="311">
        <v>27407</v>
      </c>
      <c r="AN9" s="311">
        <v>72750</v>
      </c>
      <c r="AO9" s="312">
        <v>29.72972972972973</v>
      </c>
      <c r="AP9" s="311">
        <v>111</v>
      </c>
      <c r="AQ9" s="311">
        <v>10</v>
      </c>
      <c r="AR9" s="311">
        <v>61</v>
      </c>
      <c r="AS9" s="311">
        <v>50</v>
      </c>
      <c r="AT9" s="311">
        <v>0</v>
      </c>
      <c r="AU9" s="311">
        <v>0</v>
      </c>
      <c r="AV9" s="311">
        <v>2</v>
      </c>
      <c r="AW9" s="311">
        <v>0</v>
      </c>
      <c r="AX9" s="311">
        <v>3</v>
      </c>
      <c r="AY9" s="311">
        <v>11</v>
      </c>
      <c r="AZ9" s="311">
        <v>13</v>
      </c>
      <c r="BA9" s="311">
        <v>4</v>
      </c>
      <c r="BB9" s="311">
        <v>3</v>
      </c>
      <c r="BC9" s="311">
        <v>16</v>
      </c>
      <c r="BD9" s="311">
        <v>3</v>
      </c>
      <c r="BE9" s="311">
        <v>5</v>
      </c>
      <c r="BF9" s="311">
        <v>51</v>
      </c>
      <c r="BG9" s="311">
        <v>0</v>
      </c>
      <c r="BH9" s="311">
        <v>0</v>
      </c>
      <c r="BI9" s="312">
        <v>18.918918918918919</v>
      </c>
      <c r="BJ9" s="313">
        <v>3.7</v>
      </c>
      <c r="BK9" s="313">
        <v>7.4</v>
      </c>
      <c r="BL9" s="313">
        <v>7.4</v>
      </c>
      <c r="BM9" s="313">
        <v>7.1</v>
      </c>
      <c r="BN9" s="313">
        <v>8.3000000000000007</v>
      </c>
      <c r="BO9" s="313">
        <v>11.7</v>
      </c>
      <c r="BP9" s="313">
        <v>5.5</v>
      </c>
      <c r="BQ9" s="313">
        <v>5.8</v>
      </c>
      <c r="BR9" s="313">
        <v>6.5</v>
      </c>
      <c r="BS9" s="313">
        <v>8</v>
      </c>
      <c r="BT9" s="313">
        <v>5.8</v>
      </c>
      <c r="BU9" s="313">
        <v>9.1999999999999993</v>
      </c>
      <c r="BV9" s="313">
        <v>7.7</v>
      </c>
      <c r="BW9" s="313">
        <v>2.2000000000000002</v>
      </c>
      <c r="BX9" s="313">
        <v>0</v>
      </c>
      <c r="BY9" s="313">
        <v>2.2000000000000002</v>
      </c>
      <c r="BZ9" s="313">
        <v>1.5</v>
      </c>
      <c r="CA9" s="313">
        <v>0</v>
      </c>
      <c r="CB9" s="313">
        <v>18.5</v>
      </c>
      <c r="CC9" s="313">
        <v>75.599999999999994</v>
      </c>
      <c r="CD9" s="313">
        <v>5.9</v>
      </c>
    </row>
    <row r="10" spans="1:85" x14ac:dyDescent="0.25">
      <c r="A10" s="130" t="s">
        <v>4296</v>
      </c>
      <c r="B10" s="130" t="s">
        <v>119</v>
      </c>
      <c r="C10" s="130" t="s">
        <v>4297</v>
      </c>
      <c r="D10" s="130" t="s">
        <v>107</v>
      </c>
      <c r="E10" s="130" t="s">
        <v>4290</v>
      </c>
      <c r="F10" s="130" t="s">
        <v>4272</v>
      </c>
      <c r="G10" s="130" t="s">
        <v>4298</v>
      </c>
      <c r="H10" s="309">
        <v>540006</v>
      </c>
      <c r="I10" s="277" t="s">
        <v>1639</v>
      </c>
      <c r="J10" s="130">
        <v>5452060</v>
      </c>
      <c r="K10" s="130" t="s">
        <v>4299</v>
      </c>
      <c r="L10" s="310">
        <v>6.6533681422668094</v>
      </c>
      <c r="M10" s="311">
        <v>17451</v>
      </c>
      <c r="N10" s="312">
        <v>2622.8820691792394</v>
      </c>
      <c r="O10" s="311">
        <v>7156</v>
      </c>
      <c r="P10" s="312">
        <v>2.4</v>
      </c>
      <c r="Q10" s="311">
        <v>17203</v>
      </c>
      <c r="R10" s="311">
        <v>772</v>
      </c>
      <c r="S10" s="311">
        <v>594</v>
      </c>
      <c r="T10" s="311">
        <v>495</v>
      </c>
      <c r="U10" s="311">
        <v>481</v>
      </c>
      <c r="V10" s="311">
        <v>429</v>
      </c>
      <c r="W10" s="311">
        <v>559</v>
      </c>
      <c r="X10" s="311">
        <v>208</v>
      </c>
      <c r="Y10" s="311">
        <v>371</v>
      </c>
      <c r="Z10" s="311">
        <v>325</v>
      </c>
      <c r="AA10" s="311">
        <v>564</v>
      </c>
      <c r="AB10" s="311">
        <v>513</v>
      </c>
      <c r="AC10" s="311">
        <v>1004</v>
      </c>
      <c r="AD10" s="311">
        <v>428</v>
      </c>
      <c r="AE10" s="311">
        <v>118</v>
      </c>
      <c r="AF10" s="311">
        <v>164</v>
      </c>
      <c r="AG10" s="311">
        <v>131</v>
      </c>
      <c r="AH10" s="312">
        <v>26.006148686416992</v>
      </c>
      <c r="AI10" s="312">
        <v>12.716601453325879</v>
      </c>
      <c r="AJ10" s="312">
        <v>20.444382336500837</v>
      </c>
      <c r="AK10" s="312">
        <v>7.8814980435997759</v>
      </c>
      <c r="AL10" s="312">
        <v>32.951369480156515</v>
      </c>
      <c r="AM10" s="311">
        <v>22125</v>
      </c>
      <c r="AN10" s="311">
        <v>40450</v>
      </c>
      <c r="AO10" s="312">
        <v>54.625489100055901</v>
      </c>
      <c r="AP10" s="311">
        <v>7156</v>
      </c>
      <c r="AQ10" s="311">
        <v>1278</v>
      </c>
      <c r="AR10" s="311">
        <v>3441</v>
      </c>
      <c r="AS10" s="311">
        <v>3715</v>
      </c>
      <c r="AT10" s="311">
        <v>48</v>
      </c>
      <c r="AU10" s="311">
        <v>315</v>
      </c>
      <c r="AV10" s="311">
        <v>1384</v>
      </c>
      <c r="AW10" s="311">
        <v>223</v>
      </c>
      <c r="AX10" s="311">
        <v>191</v>
      </c>
      <c r="AY10" s="311">
        <v>999</v>
      </c>
      <c r="AZ10" s="311">
        <v>157</v>
      </c>
      <c r="BA10" s="311">
        <v>337</v>
      </c>
      <c r="BB10" s="311">
        <v>365</v>
      </c>
      <c r="BC10" s="311">
        <v>502</v>
      </c>
      <c r="BD10" s="311">
        <v>437</v>
      </c>
      <c r="BE10" s="311">
        <v>138</v>
      </c>
      <c r="BF10" s="311">
        <v>1461</v>
      </c>
      <c r="BG10" s="311">
        <v>252</v>
      </c>
      <c r="BH10" s="311">
        <v>132</v>
      </c>
      <c r="BI10" s="312">
        <v>42.174399105645612</v>
      </c>
      <c r="BJ10" s="313">
        <v>6.7</v>
      </c>
      <c r="BK10" s="313">
        <v>7.8</v>
      </c>
      <c r="BL10" s="313">
        <v>6.7</v>
      </c>
      <c r="BM10" s="313">
        <v>5.3</v>
      </c>
      <c r="BN10" s="313">
        <v>7.9</v>
      </c>
      <c r="BO10" s="313">
        <v>8.4</v>
      </c>
      <c r="BP10" s="313">
        <v>7.6</v>
      </c>
      <c r="BQ10" s="313">
        <v>5.3</v>
      </c>
      <c r="BR10" s="313">
        <v>6.6</v>
      </c>
      <c r="BS10" s="313">
        <v>4.5</v>
      </c>
      <c r="BT10" s="313">
        <v>6.1</v>
      </c>
      <c r="BU10" s="313">
        <v>6.2</v>
      </c>
      <c r="BV10" s="313">
        <v>6.6</v>
      </c>
      <c r="BW10" s="313">
        <v>3.8</v>
      </c>
      <c r="BX10" s="313">
        <v>3.5</v>
      </c>
      <c r="BY10" s="313">
        <v>2.2999999999999998</v>
      </c>
      <c r="BZ10" s="313">
        <v>2.6</v>
      </c>
      <c r="CA10" s="313">
        <v>2.2000000000000002</v>
      </c>
      <c r="CB10" s="313">
        <v>21.2</v>
      </c>
      <c r="CC10" s="313">
        <v>64.5</v>
      </c>
      <c r="CD10" s="313">
        <v>14.399999999999999</v>
      </c>
    </row>
    <row r="11" spans="1:85" s="322" customFormat="1" x14ac:dyDescent="0.25">
      <c r="A11" s="314" t="s">
        <v>4300</v>
      </c>
      <c r="B11" s="315" t="s">
        <v>348</v>
      </c>
      <c r="C11" s="314"/>
      <c r="D11" s="314"/>
      <c r="E11" s="314"/>
      <c r="F11" s="314"/>
      <c r="G11" s="314"/>
      <c r="H11" s="316"/>
      <c r="I11" s="317"/>
      <c r="J11" s="314">
        <v>54003</v>
      </c>
      <c r="K11" s="314" t="s">
        <v>4301</v>
      </c>
      <c r="L11" s="318">
        <v>321.75883097401646</v>
      </c>
      <c r="M11" s="319">
        <v>111610</v>
      </c>
      <c r="N11" s="320">
        <v>346.87470632006688</v>
      </c>
      <c r="O11" s="319">
        <v>42456</v>
      </c>
      <c r="P11" s="320">
        <v>2.61</v>
      </c>
      <c r="Q11" s="319">
        <v>111004</v>
      </c>
      <c r="R11" s="319">
        <v>2241</v>
      </c>
      <c r="S11" s="319">
        <v>1538</v>
      </c>
      <c r="T11" s="319">
        <v>1860</v>
      </c>
      <c r="U11" s="319">
        <v>1972</v>
      </c>
      <c r="V11" s="319">
        <v>1861</v>
      </c>
      <c r="W11" s="319">
        <v>2109</v>
      </c>
      <c r="X11" s="319">
        <v>1720</v>
      </c>
      <c r="Y11" s="319">
        <v>1970</v>
      </c>
      <c r="Z11" s="319">
        <v>1943</v>
      </c>
      <c r="AA11" s="319">
        <v>4205</v>
      </c>
      <c r="AB11" s="319">
        <v>4756</v>
      </c>
      <c r="AC11" s="319">
        <v>6871</v>
      </c>
      <c r="AD11" s="319">
        <v>4337</v>
      </c>
      <c r="AE11" s="319">
        <v>1869</v>
      </c>
      <c r="AF11" s="319">
        <v>2336</v>
      </c>
      <c r="AG11" s="319">
        <v>868</v>
      </c>
      <c r="AH11" s="320">
        <v>13.281986056152251</v>
      </c>
      <c r="AI11" s="320">
        <v>9.0281703410589795</v>
      </c>
      <c r="AJ11" s="320">
        <v>18.235349538345581</v>
      </c>
      <c r="AK11" s="320">
        <v>9.9043715846994527</v>
      </c>
      <c r="AL11" s="320">
        <v>49.550122479743735</v>
      </c>
      <c r="AM11" s="319">
        <v>27658</v>
      </c>
      <c r="AN11" s="319">
        <v>59480</v>
      </c>
      <c r="AO11" s="320">
        <v>35.969003203316376</v>
      </c>
      <c r="AP11" s="319">
        <v>42456</v>
      </c>
      <c r="AQ11" s="319">
        <v>4757</v>
      </c>
      <c r="AR11" s="319">
        <v>31348</v>
      </c>
      <c r="AS11" s="319">
        <v>11108</v>
      </c>
      <c r="AT11" s="319">
        <v>413</v>
      </c>
      <c r="AU11" s="319">
        <v>1037</v>
      </c>
      <c r="AV11" s="319">
        <v>3731</v>
      </c>
      <c r="AW11" s="319">
        <v>1107</v>
      </c>
      <c r="AX11" s="319">
        <v>1017</v>
      </c>
      <c r="AY11" s="319">
        <v>3596</v>
      </c>
      <c r="AZ11" s="319">
        <v>1581</v>
      </c>
      <c r="BA11" s="319">
        <v>1755</v>
      </c>
      <c r="BB11" s="319">
        <v>2127</v>
      </c>
      <c r="BC11" s="319">
        <v>4253</v>
      </c>
      <c r="BD11" s="319">
        <v>3190</v>
      </c>
      <c r="BE11" s="319">
        <v>1325</v>
      </c>
      <c r="BF11" s="319">
        <v>12718</v>
      </c>
      <c r="BG11" s="319">
        <v>2962</v>
      </c>
      <c r="BH11" s="319">
        <v>601</v>
      </c>
      <c r="BI11" s="320">
        <v>26.804220840399474</v>
      </c>
      <c r="BJ11" s="321">
        <v>6.2</v>
      </c>
      <c r="BK11" s="321">
        <v>6.7</v>
      </c>
      <c r="BL11" s="321">
        <v>6.9</v>
      </c>
      <c r="BM11" s="321">
        <v>6.1</v>
      </c>
      <c r="BN11" s="321">
        <v>5.7</v>
      </c>
      <c r="BO11" s="321">
        <v>6.7</v>
      </c>
      <c r="BP11" s="321">
        <v>6.6</v>
      </c>
      <c r="BQ11" s="321">
        <v>6.6</v>
      </c>
      <c r="BR11" s="321">
        <v>7.1</v>
      </c>
      <c r="BS11" s="321">
        <v>7.2</v>
      </c>
      <c r="BT11" s="321">
        <v>7.3</v>
      </c>
      <c r="BU11" s="321">
        <v>7.1</v>
      </c>
      <c r="BV11" s="321">
        <v>5.9</v>
      </c>
      <c r="BW11" s="321">
        <v>4.8</v>
      </c>
      <c r="BX11" s="321">
        <v>3.8</v>
      </c>
      <c r="BY11" s="321">
        <v>2.2999999999999998</v>
      </c>
      <c r="BZ11" s="321">
        <v>1.5</v>
      </c>
      <c r="CA11" s="321">
        <v>1.2</v>
      </c>
      <c r="CB11" s="321">
        <v>19.8</v>
      </c>
      <c r="CC11" s="321">
        <v>66.300000000000011</v>
      </c>
      <c r="CD11" s="321">
        <v>13.599999999999998</v>
      </c>
    </row>
    <row r="12" spans="1:85" s="308" customFormat="1" x14ac:dyDescent="0.25">
      <c r="A12" s="301" t="s">
        <v>4302</v>
      </c>
      <c r="B12" s="301" t="s">
        <v>6</v>
      </c>
      <c r="C12" s="301" t="s">
        <v>4303</v>
      </c>
      <c r="D12" s="301" t="s">
        <v>7</v>
      </c>
      <c r="E12" s="301" t="s">
        <v>4304</v>
      </c>
      <c r="F12" s="301" t="s">
        <v>4272</v>
      </c>
      <c r="G12" s="301" t="s">
        <v>4305</v>
      </c>
      <c r="H12" s="302">
        <v>540007</v>
      </c>
      <c r="I12" s="303" t="s">
        <v>1394</v>
      </c>
      <c r="J12" s="301" t="s">
        <v>488</v>
      </c>
      <c r="K12" s="301" t="s">
        <v>488</v>
      </c>
      <c r="L12" s="304">
        <v>494.14161930152795</v>
      </c>
      <c r="M12" s="305">
        <v>18784</v>
      </c>
      <c r="N12" s="306">
        <v>38.013393865813796</v>
      </c>
      <c r="O12" s="305">
        <v>7476</v>
      </c>
      <c r="P12" s="306">
        <v>2.5086944890315679</v>
      </c>
      <c r="Q12" s="305">
        <v>18755</v>
      </c>
      <c r="R12" s="305">
        <v>1045</v>
      </c>
      <c r="S12" s="305">
        <v>421</v>
      </c>
      <c r="T12" s="305">
        <v>693</v>
      </c>
      <c r="U12" s="305">
        <v>521</v>
      </c>
      <c r="V12" s="305">
        <v>375</v>
      </c>
      <c r="W12" s="305">
        <v>365</v>
      </c>
      <c r="X12" s="305">
        <v>488</v>
      </c>
      <c r="Y12" s="305">
        <v>439</v>
      </c>
      <c r="Z12" s="305">
        <v>207</v>
      </c>
      <c r="AA12" s="305">
        <v>561</v>
      </c>
      <c r="AB12" s="305">
        <v>774</v>
      </c>
      <c r="AC12" s="305">
        <v>743</v>
      </c>
      <c r="AD12" s="305">
        <v>394</v>
      </c>
      <c r="AE12" s="305">
        <v>269</v>
      </c>
      <c r="AF12" s="305">
        <v>104</v>
      </c>
      <c r="AG12" s="305">
        <v>77</v>
      </c>
      <c r="AH12" s="306">
        <v>28.879079721776353</v>
      </c>
      <c r="AI12" s="306">
        <v>11.985018726591761</v>
      </c>
      <c r="AJ12" s="306">
        <v>20.050829320492241</v>
      </c>
      <c r="AK12" s="306">
        <v>7.5040128410914928</v>
      </c>
      <c r="AL12" s="306">
        <v>31.581059390048154</v>
      </c>
      <c r="AM12" s="305">
        <v>20992</v>
      </c>
      <c r="AN12" s="305">
        <v>37955</v>
      </c>
      <c r="AO12" s="306">
        <v>58.146067415730343</v>
      </c>
      <c r="AP12" s="305">
        <v>7476</v>
      </c>
      <c r="AQ12" s="305">
        <v>1462</v>
      </c>
      <c r="AR12" s="305">
        <v>5962</v>
      </c>
      <c r="AS12" s="305">
        <v>1514</v>
      </c>
      <c r="AT12" s="305">
        <v>434</v>
      </c>
      <c r="AU12" s="305">
        <v>268</v>
      </c>
      <c r="AV12" s="305">
        <v>1101</v>
      </c>
      <c r="AW12" s="305">
        <v>751</v>
      </c>
      <c r="AX12" s="305">
        <v>152</v>
      </c>
      <c r="AY12" s="305">
        <v>304</v>
      </c>
      <c r="AZ12" s="305">
        <v>836</v>
      </c>
      <c r="BA12" s="305">
        <v>189</v>
      </c>
      <c r="BB12" s="305">
        <v>82</v>
      </c>
      <c r="BC12" s="305">
        <v>1052</v>
      </c>
      <c r="BD12" s="305">
        <v>135</v>
      </c>
      <c r="BE12" s="305">
        <v>12</v>
      </c>
      <c r="BF12" s="305">
        <v>1446</v>
      </c>
      <c r="BG12" s="305">
        <v>101</v>
      </c>
      <c r="BH12" s="305">
        <v>24</v>
      </c>
      <c r="BI12" s="306">
        <v>20.371856607811665</v>
      </c>
      <c r="BJ12" s="307">
        <v>5.4</v>
      </c>
      <c r="BK12" s="307">
        <v>6.8</v>
      </c>
      <c r="BL12" s="307">
        <v>5.7</v>
      </c>
      <c r="BM12" s="307">
        <v>6.2</v>
      </c>
      <c r="BN12" s="307">
        <v>5.0999999999999996</v>
      </c>
      <c r="BO12" s="307">
        <v>5.3</v>
      </c>
      <c r="BP12" s="307">
        <v>5</v>
      </c>
      <c r="BQ12" s="307">
        <v>6.6</v>
      </c>
      <c r="BR12" s="307">
        <v>7.2</v>
      </c>
      <c r="BS12" s="307">
        <v>6.7</v>
      </c>
      <c r="BT12" s="307">
        <v>6.9</v>
      </c>
      <c r="BU12" s="307">
        <v>7.5</v>
      </c>
      <c r="BV12" s="307">
        <v>8</v>
      </c>
      <c r="BW12" s="307">
        <v>5.8</v>
      </c>
      <c r="BX12" s="307">
        <v>4.9000000000000004</v>
      </c>
      <c r="BY12" s="307">
        <v>3.1</v>
      </c>
      <c r="BZ12" s="307">
        <v>2.2999999999999998</v>
      </c>
      <c r="CA12" s="307">
        <v>1.5</v>
      </c>
      <c r="CB12" s="307">
        <v>17.899999999999999</v>
      </c>
      <c r="CC12" s="307">
        <v>64.5</v>
      </c>
      <c r="CD12" s="307">
        <v>17.599999999999998</v>
      </c>
    </row>
    <row r="13" spans="1:85" x14ac:dyDescent="0.25">
      <c r="A13" s="130" t="s">
        <v>4306</v>
      </c>
      <c r="B13" s="130" t="s">
        <v>280</v>
      </c>
      <c r="C13" s="130" t="s">
        <v>4307</v>
      </c>
      <c r="D13" s="130" t="s">
        <v>7</v>
      </c>
      <c r="E13" s="130" t="s">
        <v>4304</v>
      </c>
      <c r="F13" s="130" t="s">
        <v>4272</v>
      </c>
      <c r="G13" s="130" t="s">
        <v>4308</v>
      </c>
      <c r="H13" s="309">
        <v>540230</v>
      </c>
      <c r="I13" s="277" t="s">
        <v>1397</v>
      </c>
      <c r="J13" s="130">
        <v>5420212</v>
      </c>
      <c r="K13" s="130" t="s">
        <v>4309</v>
      </c>
      <c r="L13" s="310">
        <v>1.0836961017438609</v>
      </c>
      <c r="M13" s="311">
        <v>877</v>
      </c>
      <c r="N13" s="312">
        <v>809.26746768651299</v>
      </c>
      <c r="O13" s="311">
        <v>291</v>
      </c>
      <c r="P13" s="312">
        <v>2.71</v>
      </c>
      <c r="Q13" s="311">
        <v>788</v>
      </c>
      <c r="R13" s="311">
        <v>41</v>
      </c>
      <c r="S13" s="311">
        <v>11</v>
      </c>
      <c r="T13" s="311">
        <v>55</v>
      </c>
      <c r="U13" s="311">
        <v>31</v>
      </c>
      <c r="V13" s="311">
        <v>23</v>
      </c>
      <c r="W13" s="311">
        <v>14</v>
      </c>
      <c r="X13" s="311">
        <v>3</v>
      </c>
      <c r="Y13" s="311">
        <v>15</v>
      </c>
      <c r="Z13" s="311">
        <v>18</v>
      </c>
      <c r="AA13" s="311">
        <v>26</v>
      </c>
      <c r="AB13" s="311">
        <v>19</v>
      </c>
      <c r="AC13" s="311">
        <v>17</v>
      </c>
      <c r="AD13" s="311">
        <v>18</v>
      </c>
      <c r="AE13" s="311">
        <v>0</v>
      </c>
      <c r="AF13" s="311">
        <v>0</v>
      </c>
      <c r="AG13" s="311">
        <v>0</v>
      </c>
      <c r="AH13" s="312">
        <v>36.769759450171826</v>
      </c>
      <c r="AI13" s="312">
        <v>18.556701030927837</v>
      </c>
      <c r="AJ13" s="312">
        <v>17.182130584192439</v>
      </c>
      <c r="AK13" s="312">
        <v>8.934707903780069</v>
      </c>
      <c r="AL13" s="312">
        <v>18.556701030927837</v>
      </c>
      <c r="AM13" s="311">
        <v>14542</v>
      </c>
      <c r="AN13" s="311">
        <v>26250</v>
      </c>
      <c r="AO13" s="312">
        <v>66.32302405498281</v>
      </c>
      <c r="AP13" s="311">
        <v>291</v>
      </c>
      <c r="AQ13" s="311">
        <v>71</v>
      </c>
      <c r="AR13" s="311">
        <v>113</v>
      </c>
      <c r="AS13" s="311">
        <v>178</v>
      </c>
      <c r="AT13" s="311">
        <v>8</v>
      </c>
      <c r="AU13" s="311">
        <v>5</v>
      </c>
      <c r="AV13" s="311">
        <v>88</v>
      </c>
      <c r="AW13" s="311">
        <v>20</v>
      </c>
      <c r="AX13" s="311">
        <v>25</v>
      </c>
      <c r="AY13" s="311">
        <v>23</v>
      </c>
      <c r="AZ13" s="311">
        <v>29</v>
      </c>
      <c r="BA13" s="311">
        <v>7</v>
      </c>
      <c r="BB13" s="311">
        <v>0</v>
      </c>
      <c r="BC13" s="311">
        <v>37</v>
      </c>
      <c r="BD13" s="311">
        <v>1</v>
      </c>
      <c r="BE13" s="311">
        <v>0</v>
      </c>
      <c r="BF13" s="311">
        <v>35</v>
      </c>
      <c r="BG13" s="311">
        <v>0</v>
      </c>
      <c r="BH13" s="311">
        <v>0</v>
      </c>
      <c r="BI13" s="312">
        <v>38.144329896907216</v>
      </c>
      <c r="BJ13" s="313">
        <v>5.5</v>
      </c>
      <c r="BK13" s="313">
        <v>4.2</v>
      </c>
      <c r="BL13" s="313">
        <v>2.7</v>
      </c>
      <c r="BM13" s="313">
        <v>8.9</v>
      </c>
      <c r="BN13" s="313">
        <v>5</v>
      </c>
      <c r="BO13" s="313">
        <v>2.2999999999999998</v>
      </c>
      <c r="BP13" s="313">
        <v>3.9</v>
      </c>
      <c r="BQ13" s="313">
        <v>8</v>
      </c>
      <c r="BR13" s="313">
        <v>4.8</v>
      </c>
      <c r="BS13" s="313">
        <v>5.8</v>
      </c>
      <c r="BT13" s="313">
        <v>4.2</v>
      </c>
      <c r="BU13" s="313">
        <v>8.3000000000000007</v>
      </c>
      <c r="BV13" s="313">
        <v>14.1</v>
      </c>
      <c r="BW13" s="313">
        <v>5.9</v>
      </c>
      <c r="BX13" s="313">
        <v>5.8</v>
      </c>
      <c r="BY13" s="313">
        <v>2.2000000000000002</v>
      </c>
      <c r="BZ13" s="313">
        <v>3.8</v>
      </c>
      <c r="CA13" s="313">
        <v>4.5999999999999996</v>
      </c>
      <c r="CB13" s="313">
        <v>12.399999999999999</v>
      </c>
      <c r="CC13" s="313">
        <v>65.3</v>
      </c>
      <c r="CD13" s="313">
        <v>22.299999999999997</v>
      </c>
    </row>
    <row r="14" spans="1:85" x14ac:dyDescent="0.25">
      <c r="A14" s="130" t="s">
        <v>4310</v>
      </c>
      <c r="B14" s="130" t="s">
        <v>120</v>
      </c>
      <c r="C14" s="130" t="s">
        <v>4311</v>
      </c>
      <c r="D14" s="130" t="s">
        <v>7</v>
      </c>
      <c r="E14" s="130" t="s">
        <v>4304</v>
      </c>
      <c r="F14" s="130" t="s">
        <v>4272</v>
      </c>
      <c r="G14" s="130" t="s">
        <v>4312</v>
      </c>
      <c r="H14" s="309">
        <v>540008</v>
      </c>
      <c r="I14" s="277" t="s">
        <v>1395</v>
      </c>
      <c r="J14" s="130">
        <v>5450524</v>
      </c>
      <c r="K14" s="130" t="s">
        <v>4313</v>
      </c>
      <c r="L14" s="310">
        <v>7.0571509489561288</v>
      </c>
      <c r="M14" s="311">
        <v>2896</v>
      </c>
      <c r="N14" s="312">
        <v>410.36390194096202</v>
      </c>
      <c r="O14" s="311">
        <v>1228</v>
      </c>
      <c r="P14" s="312">
        <v>2.35</v>
      </c>
      <c r="Q14" s="311">
        <v>2886</v>
      </c>
      <c r="R14" s="311">
        <v>73</v>
      </c>
      <c r="S14" s="311">
        <v>61</v>
      </c>
      <c r="T14" s="311">
        <v>71</v>
      </c>
      <c r="U14" s="311">
        <v>95</v>
      </c>
      <c r="V14" s="311">
        <v>122</v>
      </c>
      <c r="W14" s="311">
        <v>86</v>
      </c>
      <c r="X14" s="311">
        <v>62</v>
      </c>
      <c r="Y14" s="311">
        <v>68</v>
      </c>
      <c r="Z14" s="311">
        <v>59</v>
      </c>
      <c r="AA14" s="311">
        <v>104</v>
      </c>
      <c r="AB14" s="311">
        <v>70</v>
      </c>
      <c r="AC14" s="311">
        <v>204</v>
      </c>
      <c r="AD14" s="311">
        <v>44</v>
      </c>
      <c r="AE14" s="311">
        <v>47</v>
      </c>
      <c r="AF14" s="311">
        <v>18</v>
      </c>
      <c r="AG14" s="311">
        <v>44</v>
      </c>
      <c r="AH14" s="312">
        <v>16.693811074918568</v>
      </c>
      <c r="AI14" s="312">
        <v>17.67100977198697</v>
      </c>
      <c r="AJ14" s="312">
        <v>22.394136807817588</v>
      </c>
      <c r="AK14" s="312">
        <v>8.4690553745928341</v>
      </c>
      <c r="AL14" s="312">
        <v>34.77198697068404</v>
      </c>
      <c r="AM14" s="311">
        <v>27064</v>
      </c>
      <c r="AN14" s="311">
        <v>42245</v>
      </c>
      <c r="AO14" s="312">
        <v>51.954397394136805</v>
      </c>
      <c r="AP14" s="311">
        <v>1228</v>
      </c>
      <c r="AQ14" s="311">
        <v>223</v>
      </c>
      <c r="AR14" s="311">
        <v>864</v>
      </c>
      <c r="AS14" s="311">
        <v>364</v>
      </c>
      <c r="AT14" s="311">
        <v>20</v>
      </c>
      <c r="AU14" s="311">
        <v>33</v>
      </c>
      <c r="AV14" s="311">
        <v>147</v>
      </c>
      <c r="AW14" s="311">
        <v>108</v>
      </c>
      <c r="AX14" s="311">
        <v>71</v>
      </c>
      <c r="AY14" s="311">
        <v>124</v>
      </c>
      <c r="AZ14" s="311">
        <v>87</v>
      </c>
      <c r="BA14" s="311">
        <v>48</v>
      </c>
      <c r="BB14" s="311">
        <v>46</v>
      </c>
      <c r="BC14" s="311">
        <v>82</v>
      </c>
      <c r="BD14" s="311">
        <v>59</v>
      </c>
      <c r="BE14" s="311">
        <v>33</v>
      </c>
      <c r="BF14" s="311">
        <v>296</v>
      </c>
      <c r="BG14" s="311">
        <v>47</v>
      </c>
      <c r="BH14" s="311">
        <v>14</v>
      </c>
      <c r="BI14" s="312">
        <v>29.641693811074919</v>
      </c>
      <c r="BJ14" s="313">
        <v>6.4</v>
      </c>
      <c r="BK14" s="313">
        <v>6.9</v>
      </c>
      <c r="BL14" s="313">
        <v>3.7</v>
      </c>
      <c r="BM14" s="313">
        <v>4.7</v>
      </c>
      <c r="BN14" s="313">
        <v>5.0999999999999996</v>
      </c>
      <c r="BO14" s="313">
        <v>5</v>
      </c>
      <c r="BP14" s="313">
        <v>4.8</v>
      </c>
      <c r="BQ14" s="313">
        <v>5.5</v>
      </c>
      <c r="BR14" s="313">
        <v>7</v>
      </c>
      <c r="BS14" s="313">
        <v>7</v>
      </c>
      <c r="BT14" s="313">
        <v>8.4</v>
      </c>
      <c r="BU14" s="313">
        <v>7.8</v>
      </c>
      <c r="BV14" s="313">
        <v>7.8</v>
      </c>
      <c r="BW14" s="313">
        <v>5.4</v>
      </c>
      <c r="BX14" s="313">
        <v>7.2</v>
      </c>
      <c r="BY14" s="313">
        <v>1.9</v>
      </c>
      <c r="BZ14" s="313">
        <v>2.9</v>
      </c>
      <c r="CA14" s="313">
        <v>2.4</v>
      </c>
      <c r="CB14" s="313">
        <v>17</v>
      </c>
      <c r="CC14" s="313">
        <v>63.099999999999994</v>
      </c>
      <c r="CD14" s="313">
        <v>19.8</v>
      </c>
    </row>
    <row r="15" spans="1:85" x14ac:dyDescent="0.25">
      <c r="A15" s="130" t="s">
        <v>4314</v>
      </c>
      <c r="B15" s="130" t="s">
        <v>286</v>
      </c>
      <c r="C15" s="130" t="s">
        <v>4315</v>
      </c>
      <c r="D15" s="130" t="s">
        <v>7</v>
      </c>
      <c r="E15" s="130" t="s">
        <v>4304</v>
      </c>
      <c r="F15" s="130" t="s">
        <v>4272</v>
      </c>
      <c r="G15" s="130" t="s">
        <v>4316</v>
      </c>
      <c r="H15" s="309">
        <v>540238</v>
      </c>
      <c r="I15" s="277" t="s">
        <v>1398</v>
      </c>
      <c r="J15" s="130">
        <v>5478964</v>
      </c>
      <c r="K15" s="130" t="s">
        <v>4317</v>
      </c>
      <c r="L15" s="310">
        <v>0.25747154219322915</v>
      </c>
      <c r="M15" s="311">
        <v>233</v>
      </c>
      <c r="N15" s="312">
        <v>904.95438064815892</v>
      </c>
      <c r="O15" s="311">
        <v>89</v>
      </c>
      <c r="P15" s="312">
        <v>2.62</v>
      </c>
      <c r="Q15" s="311">
        <v>233</v>
      </c>
      <c r="R15" s="311">
        <v>0</v>
      </c>
      <c r="S15" s="311">
        <v>0</v>
      </c>
      <c r="T15" s="311">
        <v>15</v>
      </c>
      <c r="U15" s="311">
        <v>2</v>
      </c>
      <c r="V15" s="311">
        <v>12</v>
      </c>
      <c r="W15" s="311">
        <v>0</v>
      </c>
      <c r="X15" s="311">
        <v>8</v>
      </c>
      <c r="Y15" s="311">
        <v>0</v>
      </c>
      <c r="Z15" s="311">
        <v>2</v>
      </c>
      <c r="AA15" s="311">
        <v>10</v>
      </c>
      <c r="AB15" s="311">
        <v>8</v>
      </c>
      <c r="AC15" s="311">
        <v>20</v>
      </c>
      <c r="AD15" s="311">
        <v>10</v>
      </c>
      <c r="AE15" s="311">
        <v>0</v>
      </c>
      <c r="AF15" s="311">
        <v>0</v>
      </c>
      <c r="AG15" s="311">
        <v>2</v>
      </c>
      <c r="AH15" s="312">
        <v>16.853932584269664</v>
      </c>
      <c r="AI15" s="312">
        <v>15.730337078651685</v>
      </c>
      <c r="AJ15" s="312">
        <v>11.235955056179774</v>
      </c>
      <c r="AK15" s="312">
        <v>11.235955056179774</v>
      </c>
      <c r="AL15" s="312">
        <v>44.943820224719097</v>
      </c>
      <c r="AM15" s="311">
        <v>27042</v>
      </c>
      <c r="AN15" s="311">
        <v>54028</v>
      </c>
      <c r="AO15" s="312">
        <v>41.573033707865171</v>
      </c>
      <c r="AP15" s="311">
        <v>89</v>
      </c>
      <c r="AQ15" s="311">
        <v>13</v>
      </c>
      <c r="AR15" s="311">
        <v>80</v>
      </c>
      <c r="AS15" s="311">
        <v>9</v>
      </c>
      <c r="AT15" s="311">
        <v>0</v>
      </c>
      <c r="AU15" s="311">
        <v>0</v>
      </c>
      <c r="AV15" s="311">
        <v>15</v>
      </c>
      <c r="AW15" s="311">
        <v>12</v>
      </c>
      <c r="AX15" s="311">
        <v>2</v>
      </c>
      <c r="AY15" s="311">
        <v>0</v>
      </c>
      <c r="AZ15" s="311">
        <v>8</v>
      </c>
      <c r="BA15" s="311">
        <v>0</v>
      </c>
      <c r="BB15" s="311">
        <v>0</v>
      </c>
      <c r="BC15" s="311">
        <v>15</v>
      </c>
      <c r="BD15" s="311">
        <v>2</v>
      </c>
      <c r="BE15" s="311">
        <v>1</v>
      </c>
      <c r="BF15" s="311">
        <v>29</v>
      </c>
      <c r="BG15" s="311">
        <v>3</v>
      </c>
      <c r="BH15" s="311">
        <v>0</v>
      </c>
      <c r="BI15" s="312">
        <v>17.977528089887642</v>
      </c>
      <c r="BJ15" s="313">
        <v>10.7</v>
      </c>
      <c r="BK15" s="313">
        <v>8.6</v>
      </c>
      <c r="BL15" s="313">
        <v>0.9</v>
      </c>
      <c r="BM15" s="313">
        <v>8.1999999999999993</v>
      </c>
      <c r="BN15" s="313">
        <v>5.6</v>
      </c>
      <c r="BO15" s="313">
        <v>3.4</v>
      </c>
      <c r="BP15" s="313">
        <v>2.1</v>
      </c>
      <c r="BQ15" s="313">
        <v>18.5</v>
      </c>
      <c r="BR15" s="313">
        <v>9.4</v>
      </c>
      <c r="BS15" s="313">
        <v>1.3</v>
      </c>
      <c r="BT15" s="313">
        <v>2.6</v>
      </c>
      <c r="BU15" s="313">
        <v>1.3</v>
      </c>
      <c r="BV15" s="313">
        <v>3.4</v>
      </c>
      <c r="BW15" s="313">
        <v>4.7</v>
      </c>
      <c r="BX15" s="313">
        <v>1.7</v>
      </c>
      <c r="BY15" s="313">
        <v>0</v>
      </c>
      <c r="BZ15" s="313">
        <v>3</v>
      </c>
      <c r="CA15" s="313">
        <v>14.6</v>
      </c>
      <c r="CB15" s="313">
        <v>20.199999999999996</v>
      </c>
      <c r="CC15" s="313">
        <v>55.79999999999999</v>
      </c>
      <c r="CD15" s="313">
        <v>24</v>
      </c>
    </row>
    <row r="16" spans="1:85" x14ac:dyDescent="0.25">
      <c r="A16" s="130" t="s">
        <v>4318</v>
      </c>
      <c r="B16" s="130" t="s">
        <v>279</v>
      </c>
      <c r="C16" s="130" t="s">
        <v>4319</v>
      </c>
      <c r="D16" s="130" t="s">
        <v>7</v>
      </c>
      <c r="E16" s="130" t="s">
        <v>4304</v>
      </c>
      <c r="F16" s="130" t="s">
        <v>4272</v>
      </c>
      <c r="G16" s="130" t="s">
        <v>4320</v>
      </c>
      <c r="H16" s="309">
        <v>540229</v>
      </c>
      <c r="I16" s="277" t="s">
        <v>1396</v>
      </c>
      <c r="J16" s="130">
        <v>5486836</v>
      </c>
      <c r="K16" s="130" t="s">
        <v>4321</v>
      </c>
      <c r="L16" s="310">
        <v>0.33093362939791682</v>
      </c>
      <c r="M16" s="311">
        <v>446</v>
      </c>
      <c r="N16" s="312">
        <v>1347.7022592458459</v>
      </c>
      <c r="O16" s="311">
        <v>214</v>
      </c>
      <c r="P16" s="312">
        <v>2.08</v>
      </c>
      <c r="Q16" s="311">
        <v>446</v>
      </c>
      <c r="R16" s="311">
        <v>53</v>
      </c>
      <c r="S16" s="311">
        <v>44</v>
      </c>
      <c r="T16" s="311">
        <v>28</v>
      </c>
      <c r="U16" s="311">
        <v>11</v>
      </c>
      <c r="V16" s="311">
        <v>0</v>
      </c>
      <c r="W16" s="311">
        <v>4</v>
      </c>
      <c r="X16" s="311">
        <v>14</v>
      </c>
      <c r="Y16" s="311">
        <v>7</v>
      </c>
      <c r="Z16" s="311">
        <v>6</v>
      </c>
      <c r="AA16" s="311">
        <v>10</v>
      </c>
      <c r="AB16" s="311">
        <v>7</v>
      </c>
      <c r="AC16" s="311">
        <v>17</v>
      </c>
      <c r="AD16" s="311">
        <v>0</v>
      </c>
      <c r="AE16" s="311">
        <v>6</v>
      </c>
      <c r="AF16" s="311">
        <v>0</v>
      </c>
      <c r="AG16" s="311">
        <v>7</v>
      </c>
      <c r="AH16" s="312">
        <v>58.411214953271028</v>
      </c>
      <c r="AI16" s="312">
        <v>5.1401869158878499</v>
      </c>
      <c r="AJ16" s="312">
        <v>14.485981308411214</v>
      </c>
      <c r="AK16" s="312">
        <v>4.6728971962616823</v>
      </c>
      <c r="AL16" s="312">
        <v>17.289719626168225</v>
      </c>
      <c r="AM16" s="311">
        <v>16954</v>
      </c>
      <c r="AN16" s="311">
        <v>16190</v>
      </c>
      <c r="AO16" s="312">
        <v>75.233644859813083</v>
      </c>
      <c r="AP16" s="311">
        <v>214</v>
      </c>
      <c r="AQ16" s="311">
        <v>88</v>
      </c>
      <c r="AR16" s="311">
        <v>129</v>
      </c>
      <c r="AS16" s="311">
        <v>85</v>
      </c>
      <c r="AT16" s="311">
        <v>20</v>
      </c>
      <c r="AU16" s="311">
        <v>30</v>
      </c>
      <c r="AV16" s="311">
        <v>65</v>
      </c>
      <c r="AW16" s="311">
        <v>7</v>
      </c>
      <c r="AX16" s="311">
        <v>8</v>
      </c>
      <c r="AY16" s="311">
        <v>0</v>
      </c>
      <c r="AZ16" s="311">
        <v>18</v>
      </c>
      <c r="BA16" s="311">
        <v>9</v>
      </c>
      <c r="BB16" s="311">
        <v>0</v>
      </c>
      <c r="BC16" s="311">
        <v>15</v>
      </c>
      <c r="BD16" s="311">
        <v>2</v>
      </c>
      <c r="BE16" s="311">
        <v>0</v>
      </c>
      <c r="BF16" s="311">
        <v>30</v>
      </c>
      <c r="BG16" s="311">
        <v>0</v>
      </c>
      <c r="BH16" s="311">
        <v>0</v>
      </c>
      <c r="BI16" s="312">
        <v>30.373831775700932</v>
      </c>
      <c r="BJ16" s="313">
        <v>0</v>
      </c>
      <c r="BK16" s="313">
        <v>7</v>
      </c>
      <c r="BL16" s="313">
        <v>7.8</v>
      </c>
      <c r="BM16" s="313">
        <v>6.7</v>
      </c>
      <c r="BN16" s="313">
        <v>3.4</v>
      </c>
      <c r="BO16" s="313">
        <v>2</v>
      </c>
      <c r="BP16" s="313">
        <v>3.8</v>
      </c>
      <c r="BQ16" s="313">
        <v>8.1</v>
      </c>
      <c r="BR16" s="313">
        <v>4.3</v>
      </c>
      <c r="BS16" s="313">
        <v>11.9</v>
      </c>
      <c r="BT16" s="313">
        <v>5.8</v>
      </c>
      <c r="BU16" s="313">
        <v>7.4</v>
      </c>
      <c r="BV16" s="313">
        <v>14.1</v>
      </c>
      <c r="BW16" s="313">
        <v>4.7</v>
      </c>
      <c r="BX16" s="313">
        <v>4</v>
      </c>
      <c r="BY16" s="313">
        <v>3.1</v>
      </c>
      <c r="BZ16" s="313">
        <v>4.3</v>
      </c>
      <c r="CA16" s="313">
        <v>1.6</v>
      </c>
      <c r="CB16" s="313">
        <v>14.8</v>
      </c>
      <c r="CC16" s="313">
        <v>67.5</v>
      </c>
      <c r="CD16" s="313">
        <v>17.7</v>
      </c>
    </row>
    <row r="17" spans="1:82" s="322" customFormat="1" x14ac:dyDescent="0.25">
      <c r="A17" s="314" t="s">
        <v>4322</v>
      </c>
      <c r="B17" s="315" t="s">
        <v>348</v>
      </c>
      <c r="C17" s="314"/>
      <c r="D17" s="314"/>
      <c r="E17" s="314"/>
      <c r="F17" s="314"/>
      <c r="G17" s="314"/>
      <c r="H17" s="316"/>
      <c r="I17" s="317"/>
      <c r="J17" s="314">
        <v>54005</v>
      </c>
      <c r="K17" s="314" t="s">
        <v>4323</v>
      </c>
      <c r="L17" s="318">
        <v>502.87087152381906</v>
      </c>
      <c r="M17" s="319">
        <v>23236</v>
      </c>
      <c r="N17" s="320">
        <v>46.206693041474765</v>
      </c>
      <c r="O17" s="319">
        <v>9298</v>
      </c>
      <c r="P17" s="320">
        <v>2.4900000000000002</v>
      </c>
      <c r="Q17" s="319">
        <v>23108</v>
      </c>
      <c r="R17" s="319">
        <v>1212</v>
      </c>
      <c r="S17" s="319">
        <v>537</v>
      </c>
      <c r="T17" s="319">
        <v>862</v>
      </c>
      <c r="U17" s="319">
        <v>660</v>
      </c>
      <c r="V17" s="319">
        <v>532</v>
      </c>
      <c r="W17" s="319">
        <v>469</v>
      </c>
      <c r="X17" s="319">
        <v>575</v>
      </c>
      <c r="Y17" s="319">
        <v>529</v>
      </c>
      <c r="Z17" s="319">
        <v>292</v>
      </c>
      <c r="AA17" s="319">
        <v>711</v>
      </c>
      <c r="AB17" s="319">
        <v>878</v>
      </c>
      <c r="AC17" s="319">
        <v>1001</v>
      </c>
      <c r="AD17" s="319">
        <v>466</v>
      </c>
      <c r="AE17" s="319">
        <v>322</v>
      </c>
      <c r="AF17" s="319">
        <v>122</v>
      </c>
      <c r="AG17" s="319">
        <v>130</v>
      </c>
      <c r="AH17" s="320">
        <v>28.081307808130777</v>
      </c>
      <c r="AI17" s="320">
        <v>12.819961281996129</v>
      </c>
      <c r="AJ17" s="320">
        <v>20.0580770058077</v>
      </c>
      <c r="AK17" s="320">
        <v>7.6468057646805772</v>
      </c>
      <c r="AL17" s="320">
        <v>31.393848139384811</v>
      </c>
      <c r="AM17" s="319">
        <v>20992</v>
      </c>
      <c r="AN17" s="319">
        <v>37955</v>
      </c>
      <c r="AO17" s="320">
        <v>57.818885781888575</v>
      </c>
      <c r="AP17" s="319">
        <v>9298</v>
      </c>
      <c r="AQ17" s="319">
        <v>1857</v>
      </c>
      <c r="AR17" s="319">
        <v>7148</v>
      </c>
      <c r="AS17" s="319">
        <v>2150</v>
      </c>
      <c r="AT17" s="319">
        <v>482</v>
      </c>
      <c r="AU17" s="319">
        <v>336</v>
      </c>
      <c r="AV17" s="319">
        <v>1416</v>
      </c>
      <c r="AW17" s="319">
        <v>898</v>
      </c>
      <c r="AX17" s="319">
        <v>258</v>
      </c>
      <c r="AY17" s="319">
        <v>451</v>
      </c>
      <c r="AZ17" s="319">
        <v>978</v>
      </c>
      <c r="BA17" s="319">
        <v>253</v>
      </c>
      <c r="BB17" s="319">
        <v>128</v>
      </c>
      <c r="BC17" s="319">
        <v>1201</v>
      </c>
      <c r="BD17" s="319">
        <v>199</v>
      </c>
      <c r="BE17" s="319">
        <v>46</v>
      </c>
      <c r="BF17" s="319">
        <v>1836</v>
      </c>
      <c r="BG17" s="319">
        <v>151</v>
      </c>
      <c r="BH17" s="319">
        <v>38</v>
      </c>
      <c r="BI17" s="320">
        <v>22.359647235964726</v>
      </c>
      <c r="BJ17" s="321">
        <v>5.4</v>
      </c>
      <c r="BK17" s="321">
        <v>6.8</v>
      </c>
      <c r="BL17" s="321">
        <v>5.7</v>
      </c>
      <c r="BM17" s="321">
        <v>6.2</v>
      </c>
      <c r="BN17" s="321">
        <v>5.0999999999999996</v>
      </c>
      <c r="BO17" s="321">
        <v>5.3</v>
      </c>
      <c r="BP17" s="321">
        <v>5</v>
      </c>
      <c r="BQ17" s="321">
        <v>6.6</v>
      </c>
      <c r="BR17" s="321">
        <v>7.2</v>
      </c>
      <c r="BS17" s="321">
        <v>6.7</v>
      </c>
      <c r="BT17" s="321">
        <v>6.9</v>
      </c>
      <c r="BU17" s="321">
        <v>7.5</v>
      </c>
      <c r="BV17" s="321">
        <v>8</v>
      </c>
      <c r="BW17" s="321">
        <v>5.8</v>
      </c>
      <c r="BX17" s="321">
        <v>4.9000000000000004</v>
      </c>
      <c r="BY17" s="321">
        <v>3.1</v>
      </c>
      <c r="BZ17" s="321">
        <v>2.2999999999999998</v>
      </c>
      <c r="CA17" s="321">
        <v>1.5</v>
      </c>
      <c r="CB17" s="321">
        <v>17.899999999999999</v>
      </c>
      <c r="CC17" s="321">
        <v>64.5</v>
      </c>
      <c r="CD17" s="321">
        <v>17.599999999999998</v>
      </c>
    </row>
    <row r="18" spans="1:82" s="308" customFormat="1" x14ac:dyDescent="0.25">
      <c r="A18" s="301" t="s">
        <v>4324</v>
      </c>
      <c r="B18" s="301" t="s">
        <v>8</v>
      </c>
      <c r="C18" s="301" t="s">
        <v>4325</v>
      </c>
      <c r="D18" s="301" t="s">
        <v>9</v>
      </c>
      <c r="E18" s="301" t="s">
        <v>4326</v>
      </c>
      <c r="F18" s="301" t="s">
        <v>4272</v>
      </c>
      <c r="G18" s="301" t="s">
        <v>4327</v>
      </c>
      <c r="H18" s="302">
        <v>540009</v>
      </c>
      <c r="I18" s="303" t="s">
        <v>1399</v>
      </c>
      <c r="J18" s="301" t="s">
        <v>488</v>
      </c>
      <c r="K18" s="301" t="s">
        <v>488</v>
      </c>
      <c r="L18" s="304">
        <v>512.45301512490619</v>
      </c>
      <c r="M18" s="305">
        <v>11339</v>
      </c>
      <c r="N18" s="306">
        <v>22.12690659500991</v>
      </c>
      <c r="O18" s="305">
        <v>4332</v>
      </c>
      <c r="P18" s="306">
        <v>2.538550323176362</v>
      </c>
      <c r="Q18" s="305">
        <v>10997</v>
      </c>
      <c r="R18" s="305">
        <v>489</v>
      </c>
      <c r="S18" s="305">
        <v>300</v>
      </c>
      <c r="T18" s="305">
        <v>273</v>
      </c>
      <c r="U18" s="305">
        <v>290</v>
      </c>
      <c r="V18" s="305">
        <v>276</v>
      </c>
      <c r="W18" s="305">
        <v>306</v>
      </c>
      <c r="X18" s="305">
        <v>117</v>
      </c>
      <c r="Y18" s="305">
        <v>244</v>
      </c>
      <c r="Z18" s="305">
        <v>106</v>
      </c>
      <c r="AA18" s="305">
        <v>396</v>
      </c>
      <c r="AB18" s="305">
        <v>473</v>
      </c>
      <c r="AC18" s="305">
        <v>440</v>
      </c>
      <c r="AD18" s="305">
        <v>387</v>
      </c>
      <c r="AE18" s="305">
        <v>141</v>
      </c>
      <c r="AF18" s="305">
        <v>64</v>
      </c>
      <c r="AG18" s="305">
        <v>30</v>
      </c>
      <c r="AH18" s="306">
        <v>24.51523545706371</v>
      </c>
      <c r="AI18" s="306">
        <v>13.06555863342567</v>
      </c>
      <c r="AJ18" s="306">
        <v>17.843951985226223</v>
      </c>
      <c r="AK18" s="306">
        <v>9.1412742382271475</v>
      </c>
      <c r="AL18" s="306">
        <v>35.433979686057249</v>
      </c>
      <c r="AM18" s="305">
        <v>20633</v>
      </c>
      <c r="AN18" s="305">
        <v>41266</v>
      </c>
      <c r="AO18" s="306">
        <v>52.977839335180057</v>
      </c>
      <c r="AP18" s="305">
        <v>4332</v>
      </c>
      <c r="AQ18" s="305">
        <v>1620</v>
      </c>
      <c r="AR18" s="305">
        <v>3519</v>
      </c>
      <c r="AS18" s="305">
        <v>813</v>
      </c>
      <c r="AT18" s="305">
        <v>243</v>
      </c>
      <c r="AU18" s="305">
        <v>176</v>
      </c>
      <c r="AV18" s="305">
        <v>415</v>
      </c>
      <c r="AW18" s="305">
        <v>403</v>
      </c>
      <c r="AX18" s="305">
        <v>236</v>
      </c>
      <c r="AY18" s="305">
        <v>171</v>
      </c>
      <c r="AZ18" s="305">
        <v>340</v>
      </c>
      <c r="BA18" s="305">
        <v>19</v>
      </c>
      <c r="BB18" s="305">
        <v>35</v>
      </c>
      <c r="BC18" s="305">
        <v>776</v>
      </c>
      <c r="BD18" s="305">
        <v>64</v>
      </c>
      <c r="BE18" s="305">
        <v>19</v>
      </c>
      <c r="BF18" s="305">
        <v>991</v>
      </c>
      <c r="BG18" s="305">
        <v>12</v>
      </c>
      <c r="BH18" s="305">
        <v>8</v>
      </c>
      <c r="BI18" s="306">
        <v>14.958448753462603</v>
      </c>
      <c r="BJ18" s="307">
        <v>5.4</v>
      </c>
      <c r="BK18" s="307">
        <v>6</v>
      </c>
      <c r="BL18" s="307">
        <v>5.3</v>
      </c>
      <c r="BM18" s="307">
        <v>6.2</v>
      </c>
      <c r="BN18" s="307">
        <v>4.8</v>
      </c>
      <c r="BO18" s="307">
        <v>5.8</v>
      </c>
      <c r="BP18" s="307">
        <v>5.2</v>
      </c>
      <c r="BQ18" s="307">
        <v>5.5</v>
      </c>
      <c r="BR18" s="307">
        <v>5.9</v>
      </c>
      <c r="BS18" s="307">
        <v>6.5</v>
      </c>
      <c r="BT18" s="307">
        <v>7.4</v>
      </c>
      <c r="BU18" s="307">
        <v>7.4</v>
      </c>
      <c r="BV18" s="307">
        <v>8.1</v>
      </c>
      <c r="BW18" s="307">
        <v>5.6</v>
      </c>
      <c r="BX18" s="307">
        <v>6.6</v>
      </c>
      <c r="BY18" s="307">
        <v>4.5</v>
      </c>
      <c r="BZ18" s="307">
        <v>2.1</v>
      </c>
      <c r="CA18" s="307">
        <v>1.7</v>
      </c>
      <c r="CB18" s="307">
        <v>16.7</v>
      </c>
      <c r="CC18" s="307">
        <v>62.8</v>
      </c>
      <c r="CD18" s="307">
        <v>20.5</v>
      </c>
    </row>
    <row r="19" spans="1:82" x14ac:dyDescent="0.25">
      <c r="A19" s="130" t="s">
        <v>4328</v>
      </c>
      <c r="B19" s="130" t="s">
        <v>121</v>
      </c>
      <c r="C19" s="130" t="s">
        <v>4329</v>
      </c>
      <c r="D19" s="130" t="s">
        <v>9</v>
      </c>
      <c r="E19" s="130" t="s">
        <v>4326</v>
      </c>
      <c r="F19" s="130" t="s">
        <v>4272</v>
      </c>
      <c r="G19" s="130" t="s">
        <v>4330</v>
      </c>
      <c r="H19" s="309">
        <v>540010</v>
      </c>
      <c r="I19" s="277" t="s">
        <v>1400</v>
      </c>
      <c r="J19" s="130">
        <v>5411716</v>
      </c>
      <c r="K19" s="130" t="s">
        <v>4331</v>
      </c>
      <c r="L19" s="310">
        <v>1.0891731154131634</v>
      </c>
      <c r="M19" s="311">
        <v>604</v>
      </c>
      <c r="N19" s="312">
        <v>554.54912672066882</v>
      </c>
      <c r="O19" s="311">
        <v>220</v>
      </c>
      <c r="P19" s="312">
        <v>2.75</v>
      </c>
      <c r="Q19" s="311">
        <v>604</v>
      </c>
      <c r="R19" s="311">
        <v>17</v>
      </c>
      <c r="S19" s="311">
        <v>23</v>
      </c>
      <c r="T19" s="311">
        <v>14</v>
      </c>
      <c r="U19" s="311">
        <v>11</v>
      </c>
      <c r="V19" s="311">
        <v>19</v>
      </c>
      <c r="W19" s="311">
        <v>29</v>
      </c>
      <c r="X19" s="311">
        <v>4</v>
      </c>
      <c r="Y19" s="311">
        <v>0</v>
      </c>
      <c r="Z19" s="311">
        <v>35</v>
      </c>
      <c r="AA19" s="311">
        <v>7</v>
      </c>
      <c r="AB19" s="311">
        <v>28</v>
      </c>
      <c r="AC19" s="311">
        <v>14</v>
      </c>
      <c r="AD19" s="311">
        <v>12</v>
      </c>
      <c r="AE19" s="311">
        <v>3</v>
      </c>
      <c r="AF19" s="311">
        <v>0</v>
      </c>
      <c r="AG19" s="311">
        <v>4</v>
      </c>
      <c r="AH19" s="312">
        <v>24.545454545454547</v>
      </c>
      <c r="AI19" s="312">
        <v>13.636363636363635</v>
      </c>
      <c r="AJ19" s="312">
        <v>30.909090909090907</v>
      </c>
      <c r="AK19" s="312">
        <v>3.1818181818181817</v>
      </c>
      <c r="AL19" s="312">
        <v>27.727272727272727</v>
      </c>
      <c r="AM19" s="311">
        <v>20443</v>
      </c>
      <c r="AN19" s="311">
        <v>34659</v>
      </c>
      <c r="AO19" s="312">
        <v>53.181818181818187</v>
      </c>
      <c r="AP19" s="311">
        <v>220</v>
      </c>
      <c r="AQ19" s="311">
        <v>87</v>
      </c>
      <c r="AR19" s="311">
        <v>162</v>
      </c>
      <c r="AS19" s="311">
        <v>58</v>
      </c>
      <c r="AT19" s="311">
        <v>5</v>
      </c>
      <c r="AU19" s="311">
        <v>17</v>
      </c>
      <c r="AV19" s="311">
        <v>32</v>
      </c>
      <c r="AW19" s="311">
        <v>31</v>
      </c>
      <c r="AX19" s="311">
        <v>9</v>
      </c>
      <c r="AY19" s="311">
        <v>12</v>
      </c>
      <c r="AZ19" s="311">
        <v>16</v>
      </c>
      <c r="BA19" s="311">
        <v>23</v>
      </c>
      <c r="BB19" s="311">
        <v>0</v>
      </c>
      <c r="BC19" s="311">
        <v>35</v>
      </c>
      <c r="BD19" s="311">
        <v>0</v>
      </c>
      <c r="BE19" s="311">
        <v>0</v>
      </c>
      <c r="BF19" s="311">
        <v>33</v>
      </c>
      <c r="BG19" s="311">
        <v>0</v>
      </c>
      <c r="BH19" s="311">
        <v>0</v>
      </c>
      <c r="BI19" s="312">
        <v>20</v>
      </c>
      <c r="BJ19" s="313">
        <v>11.8</v>
      </c>
      <c r="BK19" s="313">
        <v>7.6</v>
      </c>
      <c r="BL19" s="313">
        <v>4.0999999999999996</v>
      </c>
      <c r="BM19" s="313">
        <v>9.4</v>
      </c>
      <c r="BN19" s="313">
        <v>2.2000000000000002</v>
      </c>
      <c r="BO19" s="313">
        <v>10.8</v>
      </c>
      <c r="BP19" s="313">
        <v>1.8</v>
      </c>
      <c r="BQ19" s="313">
        <v>4.5</v>
      </c>
      <c r="BR19" s="313">
        <v>4.3</v>
      </c>
      <c r="BS19" s="313">
        <v>6.6</v>
      </c>
      <c r="BT19" s="313">
        <v>3.1</v>
      </c>
      <c r="BU19" s="313">
        <v>9.3000000000000007</v>
      </c>
      <c r="BV19" s="313">
        <v>2.2999999999999998</v>
      </c>
      <c r="BW19" s="313">
        <v>8.4</v>
      </c>
      <c r="BX19" s="313">
        <v>2.2999999999999998</v>
      </c>
      <c r="BY19" s="313">
        <v>7</v>
      </c>
      <c r="BZ19" s="313">
        <v>0.3</v>
      </c>
      <c r="CA19" s="313">
        <v>4.0999999999999996</v>
      </c>
      <c r="CB19" s="313">
        <v>23.5</v>
      </c>
      <c r="CC19" s="313">
        <v>54.3</v>
      </c>
      <c r="CD19" s="313">
        <v>22.1</v>
      </c>
    </row>
    <row r="20" spans="1:82" x14ac:dyDescent="0.25">
      <c r="A20" s="130" t="s">
        <v>4332</v>
      </c>
      <c r="B20" s="130" t="s">
        <v>283</v>
      </c>
      <c r="C20" s="130" t="s">
        <v>4333</v>
      </c>
      <c r="D20" s="130" t="s">
        <v>9</v>
      </c>
      <c r="E20" s="130" t="s">
        <v>4326</v>
      </c>
      <c r="F20" s="130" t="s">
        <v>4272</v>
      </c>
      <c r="G20" s="130" t="s">
        <v>4334</v>
      </c>
      <c r="H20" s="309">
        <v>540235</v>
      </c>
      <c r="I20" s="277" t="s">
        <v>1401</v>
      </c>
      <c r="J20" s="130">
        <v>5427868</v>
      </c>
      <c r="K20" s="130" t="s">
        <v>4335</v>
      </c>
      <c r="L20" s="310">
        <v>0.65546742934552948</v>
      </c>
      <c r="M20" s="311">
        <v>225</v>
      </c>
      <c r="N20" s="312">
        <v>343.26648423195917</v>
      </c>
      <c r="O20" s="311">
        <v>78</v>
      </c>
      <c r="P20" s="312">
        <v>2.88</v>
      </c>
      <c r="Q20" s="311">
        <v>225</v>
      </c>
      <c r="R20" s="311">
        <v>3</v>
      </c>
      <c r="S20" s="311">
        <v>7</v>
      </c>
      <c r="T20" s="311">
        <v>10</v>
      </c>
      <c r="U20" s="311">
        <v>18</v>
      </c>
      <c r="V20" s="311">
        <v>6</v>
      </c>
      <c r="W20" s="311">
        <v>10</v>
      </c>
      <c r="X20" s="311">
        <v>0</v>
      </c>
      <c r="Y20" s="311">
        <v>6</v>
      </c>
      <c r="Z20" s="311">
        <v>4</v>
      </c>
      <c r="AA20" s="311">
        <v>4</v>
      </c>
      <c r="AB20" s="311">
        <v>5</v>
      </c>
      <c r="AC20" s="311">
        <v>0</v>
      </c>
      <c r="AD20" s="311">
        <v>3</v>
      </c>
      <c r="AE20" s="311">
        <v>2</v>
      </c>
      <c r="AF20" s="311">
        <v>0</v>
      </c>
      <c r="AG20" s="311">
        <v>0</v>
      </c>
      <c r="AH20" s="312">
        <v>25.641025641025639</v>
      </c>
      <c r="AI20" s="312">
        <v>30.76923076923077</v>
      </c>
      <c r="AJ20" s="312">
        <v>25.641025641025639</v>
      </c>
      <c r="AK20" s="312">
        <v>5.1282051282051277</v>
      </c>
      <c r="AL20" s="312">
        <v>12.820512820512819</v>
      </c>
      <c r="AM20" s="311">
        <v>13305</v>
      </c>
      <c r="AN20" s="311">
        <v>25417</v>
      </c>
      <c r="AO20" s="312">
        <v>76.923076923076934</v>
      </c>
      <c r="AP20" s="311">
        <v>78</v>
      </c>
      <c r="AQ20" s="311">
        <v>13</v>
      </c>
      <c r="AR20" s="311">
        <v>56</v>
      </c>
      <c r="AS20" s="311">
        <v>22</v>
      </c>
      <c r="AT20" s="311">
        <v>7</v>
      </c>
      <c r="AU20" s="311">
        <v>2</v>
      </c>
      <c r="AV20" s="311">
        <v>11</v>
      </c>
      <c r="AW20" s="311">
        <v>16</v>
      </c>
      <c r="AX20" s="311">
        <v>10</v>
      </c>
      <c r="AY20" s="311">
        <v>8</v>
      </c>
      <c r="AZ20" s="311">
        <v>10</v>
      </c>
      <c r="BA20" s="311">
        <v>0</v>
      </c>
      <c r="BB20" s="311">
        <v>0</v>
      </c>
      <c r="BC20" s="311">
        <v>7</v>
      </c>
      <c r="BD20" s="311">
        <v>2</v>
      </c>
      <c r="BE20" s="311">
        <v>0</v>
      </c>
      <c r="BF20" s="311">
        <v>5</v>
      </c>
      <c r="BG20" s="311">
        <v>0</v>
      </c>
      <c r="BH20" s="311">
        <v>0</v>
      </c>
      <c r="BI20" s="312">
        <v>24.358974358974358</v>
      </c>
      <c r="BJ20" s="313">
        <v>5.8</v>
      </c>
      <c r="BK20" s="313">
        <v>8.9</v>
      </c>
      <c r="BL20" s="313">
        <v>8.4</v>
      </c>
      <c r="BM20" s="313">
        <v>8.4</v>
      </c>
      <c r="BN20" s="313">
        <v>4.4000000000000004</v>
      </c>
      <c r="BO20" s="313">
        <v>8.9</v>
      </c>
      <c r="BP20" s="313">
        <v>5.8</v>
      </c>
      <c r="BQ20" s="313">
        <v>1.8</v>
      </c>
      <c r="BR20" s="313">
        <v>5.8</v>
      </c>
      <c r="BS20" s="313">
        <v>5.3</v>
      </c>
      <c r="BT20" s="313">
        <v>4.4000000000000004</v>
      </c>
      <c r="BU20" s="313">
        <v>2.7</v>
      </c>
      <c r="BV20" s="313">
        <v>8</v>
      </c>
      <c r="BW20" s="313">
        <v>8</v>
      </c>
      <c r="BX20" s="313">
        <v>1.8</v>
      </c>
      <c r="BY20" s="313">
        <v>3.6</v>
      </c>
      <c r="BZ20" s="313">
        <v>8</v>
      </c>
      <c r="CA20" s="313">
        <v>0</v>
      </c>
      <c r="CB20" s="313">
        <v>23.1</v>
      </c>
      <c r="CC20" s="313">
        <v>55.5</v>
      </c>
      <c r="CD20" s="313">
        <v>21.4</v>
      </c>
    </row>
    <row r="21" spans="1:82" x14ac:dyDescent="0.25">
      <c r="A21" s="130" t="s">
        <v>4336</v>
      </c>
      <c r="B21" s="130" t="s">
        <v>285</v>
      </c>
      <c r="C21" s="130" t="s">
        <v>4337</v>
      </c>
      <c r="D21" s="130" t="s">
        <v>9</v>
      </c>
      <c r="E21" s="130" t="s">
        <v>4326</v>
      </c>
      <c r="F21" s="130" t="s">
        <v>4272</v>
      </c>
      <c r="G21" s="130" t="s">
        <v>4338</v>
      </c>
      <c r="H21" s="309">
        <v>540237</v>
      </c>
      <c r="I21" s="277" t="s">
        <v>1403</v>
      </c>
      <c r="J21" s="130">
        <v>5430220</v>
      </c>
      <c r="K21" s="130" t="s">
        <v>4339</v>
      </c>
      <c r="L21" s="310">
        <v>1.2162745023788388</v>
      </c>
      <c r="M21" s="311">
        <v>923</v>
      </c>
      <c r="N21" s="312">
        <v>758.87474266274535</v>
      </c>
      <c r="O21" s="311">
        <v>422</v>
      </c>
      <c r="P21" s="312">
        <v>2.19</v>
      </c>
      <c r="Q21" s="311">
        <v>923</v>
      </c>
      <c r="R21" s="311">
        <v>67</v>
      </c>
      <c r="S21" s="311">
        <v>29</v>
      </c>
      <c r="T21" s="311">
        <v>35</v>
      </c>
      <c r="U21" s="311">
        <v>31</v>
      </c>
      <c r="V21" s="311">
        <v>37</v>
      </c>
      <c r="W21" s="311">
        <v>9</v>
      </c>
      <c r="X21" s="311">
        <v>17</v>
      </c>
      <c r="Y21" s="311">
        <v>16</v>
      </c>
      <c r="Z21" s="311">
        <v>22</v>
      </c>
      <c r="AA21" s="311">
        <v>36</v>
      </c>
      <c r="AB21" s="311">
        <v>53</v>
      </c>
      <c r="AC21" s="311">
        <v>33</v>
      </c>
      <c r="AD21" s="311">
        <v>21</v>
      </c>
      <c r="AE21" s="311">
        <v>3</v>
      </c>
      <c r="AF21" s="311">
        <v>4</v>
      </c>
      <c r="AG21" s="311">
        <v>9</v>
      </c>
      <c r="AH21" s="312">
        <v>31.042654028436019</v>
      </c>
      <c r="AI21" s="312">
        <v>16.113744075829384</v>
      </c>
      <c r="AJ21" s="312">
        <v>15.165876777251185</v>
      </c>
      <c r="AK21" s="312">
        <v>8.5308056872037916</v>
      </c>
      <c r="AL21" s="312">
        <v>29.14691943127962</v>
      </c>
      <c r="AM21" s="311">
        <v>22352</v>
      </c>
      <c r="AN21" s="311">
        <v>35577</v>
      </c>
      <c r="AO21" s="312">
        <v>57.109004739336491</v>
      </c>
      <c r="AP21" s="311">
        <v>422</v>
      </c>
      <c r="AQ21" s="311">
        <v>95</v>
      </c>
      <c r="AR21" s="311">
        <v>267</v>
      </c>
      <c r="AS21" s="311">
        <v>155</v>
      </c>
      <c r="AT21" s="311">
        <v>10</v>
      </c>
      <c r="AU21" s="311">
        <v>21</v>
      </c>
      <c r="AV21" s="311">
        <v>92</v>
      </c>
      <c r="AW21" s="311">
        <v>35</v>
      </c>
      <c r="AX21" s="311">
        <v>28</v>
      </c>
      <c r="AY21" s="311">
        <v>10</v>
      </c>
      <c r="AZ21" s="311">
        <v>45</v>
      </c>
      <c r="BA21" s="311">
        <v>10</v>
      </c>
      <c r="BB21" s="311">
        <v>0</v>
      </c>
      <c r="BC21" s="311">
        <v>79</v>
      </c>
      <c r="BD21" s="311">
        <v>10</v>
      </c>
      <c r="BE21" s="311">
        <v>0</v>
      </c>
      <c r="BF21" s="311">
        <v>61</v>
      </c>
      <c r="BG21" s="311">
        <v>0</v>
      </c>
      <c r="BH21" s="311">
        <v>0</v>
      </c>
      <c r="BI21" s="312">
        <v>24.170616113744074</v>
      </c>
      <c r="BJ21" s="313">
        <v>4.9000000000000004</v>
      </c>
      <c r="BK21" s="313">
        <v>7.7</v>
      </c>
      <c r="BL21" s="313">
        <v>4.3</v>
      </c>
      <c r="BM21" s="313">
        <v>2.7</v>
      </c>
      <c r="BN21" s="313">
        <v>5</v>
      </c>
      <c r="BO21" s="313">
        <v>12.8</v>
      </c>
      <c r="BP21" s="313">
        <v>7.4</v>
      </c>
      <c r="BQ21" s="313">
        <v>6</v>
      </c>
      <c r="BR21" s="313">
        <v>4.8</v>
      </c>
      <c r="BS21" s="313">
        <v>4</v>
      </c>
      <c r="BT21" s="313">
        <v>5.2</v>
      </c>
      <c r="BU21" s="313">
        <v>8.1</v>
      </c>
      <c r="BV21" s="313">
        <v>5.9</v>
      </c>
      <c r="BW21" s="313">
        <v>4.0999999999999996</v>
      </c>
      <c r="BX21" s="313">
        <v>6.8</v>
      </c>
      <c r="BY21" s="313">
        <v>4.5999999999999996</v>
      </c>
      <c r="BZ21" s="313">
        <v>2.7</v>
      </c>
      <c r="CA21" s="313">
        <v>3.1</v>
      </c>
      <c r="CB21" s="313">
        <v>16.900000000000002</v>
      </c>
      <c r="CC21" s="313">
        <v>61.9</v>
      </c>
      <c r="CD21" s="313">
        <v>21.3</v>
      </c>
    </row>
    <row r="22" spans="1:82" x14ac:dyDescent="0.25">
      <c r="A22" s="130" t="s">
        <v>4340</v>
      </c>
      <c r="B22" s="130" t="s">
        <v>284</v>
      </c>
      <c r="C22" s="130" t="s">
        <v>4341</v>
      </c>
      <c r="D22" s="130" t="s">
        <v>9</v>
      </c>
      <c r="E22" s="130" t="s">
        <v>4326</v>
      </c>
      <c r="F22" s="130" t="s">
        <v>4272</v>
      </c>
      <c r="G22" s="130" t="s">
        <v>4342</v>
      </c>
      <c r="H22" s="309">
        <v>540236</v>
      </c>
      <c r="I22" s="277" t="s">
        <v>1402</v>
      </c>
      <c r="J22" s="130">
        <v>5478580</v>
      </c>
      <c r="K22" s="130" t="s">
        <v>4343</v>
      </c>
      <c r="L22" s="310">
        <v>0.82121338835938074</v>
      </c>
      <c r="M22" s="311">
        <v>1254</v>
      </c>
      <c r="N22" s="312">
        <v>1527.0087139047257</v>
      </c>
      <c r="O22" s="311">
        <v>446</v>
      </c>
      <c r="P22" s="312">
        <v>2.78</v>
      </c>
      <c r="Q22" s="311">
        <v>1242</v>
      </c>
      <c r="R22" s="311">
        <v>81</v>
      </c>
      <c r="S22" s="311">
        <v>10</v>
      </c>
      <c r="T22" s="311">
        <v>31</v>
      </c>
      <c r="U22" s="311">
        <v>13</v>
      </c>
      <c r="V22" s="311">
        <v>51</v>
      </c>
      <c r="W22" s="311">
        <v>23</v>
      </c>
      <c r="X22" s="311">
        <v>15</v>
      </c>
      <c r="Y22" s="311">
        <v>30</v>
      </c>
      <c r="Z22" s="311">
        <v>11</v>
      </c>
      <c r="AA22" s="311">
        <v>43</v>
      </c>
      <c r="AB22" s="311">
        <v>64</v>
      </c>
      <c r="AC22" s="311">
        <v>36</v>
      </c>
      <c r="AD22" s="311">
        <v>6</v>
      </c>
      <c r="AE22" s="311">
        <v>30</v>
      </c>
      <c r="AF22" s="311">
        <v>2</v>
      </c>
      <c r="AG22" s="311">
        <v>0</v>
      </c>
      <c r="AH22" s="312">
        <v>27.3542600896861</v>
      </c>
      <c r="AI22" s="312">
        <v>14.349775784753364</v>
      </c>
      <c r="AJ22" s="312">
        <v>17.713004484304935</v>
      </c>
      <c r="AK22" s="312">
        <v>9.6412556053811667</v>
      </c>
      <c r="AL22" s="312">
        <v>30.941704035874441</v>
      </c>
      <c r="AM22" s="311">
        <v>17958</v>
      </c>
      <c r="AN22" s="311">
        <v>39808</v>
      </c>
      <c r="AO22" s="312">
        <v>56.950672645739907</v>
      </c>
      <c r="AP22" s="311">
        <v>446</v>
      </c>
      <c r="AQ22" s="311">
        <v>121</v>
      </c>
      <c r="AR22" s="311">
        <v>263</v>
      </c>
      <c r="AS22" s="311">
        <v>183</v>
      </c>
      <c r="AT22" s="311">
        <v>18</v>
      </c>
      <c r="AU22" s="311">
        <v>7</v>
      </c>
      <c r="AV22" s="311">
        <v>83</v>
      </c>
      <c r="AW22" s="311">
        <v>45</v>
      </c>
      <c r="AX22" s="311">
        <v>35</v>
      </c>
      <c r="AY22" s="311">
        <v>7</v>
      </c>
      <c r="AZ22" s="311">
        <v>44</v>
      </c>
      <c r="BA22" s="311">
        <v>10</v>
      </c>
      <c r="BB22" s="311">
        <v>0</v>
      </c>
      <c r="BC22" s="311">
        <v>91</v>
      </c>
      <c r="BD22" s="311">
        <v>3</v>
      </c>
      <c r="BE22" s="311">
        <v>4</v>
      </c>
      <c r="BF22" s="311">
        <v>65</v>
      </c>
      <c r="BG22" s="311">
        <v>5</v>
      </c>
      <c r="BH22" s="311">
        <v>0</v>
      </c>
      <c r="BI22" s="312">
        <v>21.076233183856502</v>
      </c>
      <c r="BJ22" s="313">
        <v>11.1</v>
      </c>
      <c r="BK22" s="313">
        <v>5.8</v>
      </c>
      <c r="BL22" s="313">
        <v>2.8</v>
      </c>
      <c r="BM22" s="313">
        <v>4.3</v>
      </c>
      <c r="BN22" s="313">
        <v>6.9</v>
      </c>
      <c r="BO22" s="313">
        <v>12.4</v>
      </c>
      <c r="BP22" s="313">
        <v>5.3</v>
      </c>
      <c r="BQ22" s="313">
        <v>5.2</v>
      </c>
      <c r="BR22" s="313">
        <v>2.1</v>
      </c>
      <c r="BS22" s="313">
        <v>6.5</v>
      </c>
      <c r="BT22" s="313">
        <v>6.5</v>
      </c>
      <c r="BU22" s="313">
        <v>7</v>
      </c>
      <c r="BV22" s="313">
        <v>7.2</v>
      </c>
      <c r="BW22" s="313">
        <v>3.7</v>
      </c>
      <c r="BX22" s="313">
        <v>5.0999999999999996</v>
      </c>
      <c r="BY22" s="313">
        <v>3.5</v>
      </c>
      <c r="BZ22" s="313">
        <v>2.4</v>
      </c>
      <c r="CA22" s="313">
        <v>2.2000000000000002</v>
      </c>
      <c r="CB22" s="313">
        <v>19.7</v>
      </c>
      <c r="CC22" s="313">
        <v>63.400000000000006</v>
      </c>
      <c r="CD22" s="313">
        <v>16.900000000000002</v>
      </c>
    </row>
    <row r="23" spans="1:82" s="322" customFormat="1" x14ac:dyDescent="0.25">
      <c r="A23" s="314" t="s">
        <v>4344</v>
      </c>
      <c r="B23" s="315" t="s">
        <v>348</v>
      </c>
      <c r="C23" s="314"/>
      <c r="D23" s="314"/>
      <c r="E23" s="314"/>
      <c r="F23" s="314"/>
      <c r="G23" s="314"/>
      <c r="H23" s="316"/>
      <c r="I23" s="317"/>
      <c r="J23" s="314">
        <v>54007</v>
      </c>
      <c r="K23" s="314" t="s">
        <v>4345</v>
      </c>
      <c r="L23" s="318">
        <v>516.23514356040312</v>
      </c>
      <c r="M23" s="319">
        <v>14345</v>
      </c>
      <c r="N23" s="320">
        <v>27.787724603684474</v>
      </c>
      <c r="O23" s="319">
        <v>5498</v>
      </c>
      <c r="P23" s="320">
        <v>2.54</v>
      </c>
      <c r="Q23" s="319">
        <v>13991</v>
      </c>
      <c r="R23" s="319">
        <v>657</v>
      </c>
      <c r="S23" s="319">
        <v>369</v>
      </c>
      <c r="T23" s="319">
        <v>363</v>
      </c>
      <c r="U23" s="319">
        <v>363</v>
      </c>
      <c r="V23" s="319">
        <v>389</v>
      </c>
      <c r="W23" s="319">
        <v>377</v>
      </c>
      <c r="X23" s="319">
        <v>153</v>
      </c>
      <c r="Y23" s="319">
        <v>296</v>
      </c>
      <c r="Z23" s="319">
        <v>178</v>
      </c>
      <c r="AA23" s="319">
        <v>486</v>
      </c>
      <c r="AB23" s="319">
        <v>623</v>
      </c>
      <c r="AC23" s="319">
        <v>523</v>
      </c>
      <c r="AD23" s="319">
        <v>429</v>
      </c>
      <c r="AE23" s="319">
        <v>179</v>
      </c>
      <c r="AF23" s="319">
        <v>70</v>
      </c>
      <c r="AG23" s="319">
        <v>43</v>
      </c>
      <c r="AH23" s="320">
        <v>25.263732266278648</v>
      </c>
      <c r="AI23" s="320">
        <v>13.677700982175336</v>
      </c>
      <c r="AJ23" s="320">
        <v>18.261185885776644</v>
      </c>
      <c r="AK23" s="320">
        <v>8.8395780283739533</v>
      </c>
      <c r="AL23" s="320">
        <v>33.95780283739542</v>
      </c>
      <c r="AM23" s="319">
        <v>20633</v>
      </c>
      <c r="AN23" s="319">
        <v>41266</v>
      </c>
      <c r="AO23" s="320">
        <v>53.965078210258277</v>
      </c>
      <c r="AP23" s="319">
        <v>5498</v>
      </c>
      <c r="AQ23" s="319">
        <v>1936</v>
      </c>
      <c r="AR23" s="319">
        <v>4267</v>
      </c>
      <c r="AS23" s="319">
        <v>1231</v>
      </c>
      <c r="AT23" s="319">
        <v>283</v>
      </c>
      <c r="AU23" s="319">
        <v>223</v>
      </c>
      <c r="AV23" s="319">
        <v>633</v>
      </c>
      <c r="AW23" s="319">
        <v>530</v>
      </c>
      <c r="AX23" s="319">
        <v>318</v>
      </c>
      <c r="AY23" s="319">
        <v>208</v>
      </c>
      <c r="AZ23" s="319">
        <v>455</v>
      </c>
      <c r="BA23" s="319">
        <v>62</v>
      </c>
      <c r="BB23" s="319">
        <v>35</v>
      </c>
      <c r="BC23" s="319">
        <v>988</v>
      </c>
      <c r="BD23" s="319">
        <v>79</v>
      </c>
      <c r="BE23" s="319">
        <v>23</v>
      </c>
      <c r="BF23" s="319">
        <v>1155</v>
      </c>
      <c r="BG23" s="319">
        <v>17</v>
      </c>
      <c r="BH23" s="319">
        <v>8</v>
      </c>
      <c r="BI23" s="320">
        <v>16.496907966533282</v>
      </c>
      <c r="BJ23" s="321">
        <v>5.4</v>
      </c>
      <c r="BK23" s="321">
        <v>6</v>
      </c>
      <c r="BL23" s="321">
        <v>5.3</v>
      </c>
      <c r="BM23" s="321">
        <v>6.2</v>
      </c>
      <c r="BN23" s="321">
        <v>4.8</v>
      </c>
      <c r="BO23" s="321">
        <v>5.8</v>
      </c>
      <c r="BP23" s="321">
        <v>5.2</v>
      </c>
      <c r="BQ23" s="321">
        <v>5.5</v>
      </c>
      <c r="BR23" s="321">
        <v>5.9</v>
      </c>
      <c r="BS23" s="321">
        <v>6.5</v>
      </c>
      <c r="BT23" s="321">
        <v>7.4</v>
      </c>
      <c r="BU23" s="321">
        <v>7.4</v>
      </c>
      <c r="BV23" s="321">
        <v>8.1</v>
      </c>
      <c r="BW23" s="321">
        <v>5.6</v>
      </c>
      <c r="BX23" s="321">
        <v>6.6</v>
      </c>
      <c r="BY23" s="321">
        <v>4.5</v>
      </c>
      <c r="BZ23" s="321">
        <v>2.1</v>
      </c>
      <c r="CA23" s="321">
        <v>1.7</v>
      </c>
      <c r="CB23" s="321">
        <v>16.7</v>
      </c>
      <c r="CC23" s="321">
        <v>62.8</v>
      </c>
      <c r="CD23" s="321">
        <v>20.5</v>
      </c>
    </row>
    <row r="24" spans="1:82" s="308" customFormat="1" x14ac:dyDescent="0.25">
      <c r="A24" s="301" t="s">
        <v>370</v>
      </c>
      <c r="B24" s="301" t="s">
        <v>10</v>
      </c>
      <c r="C24" s="301" t="s">
        <v>4346</v>
      </c>
      <c r="D24" s="301" t="s">
        <v>11</v>
      </c>
      <c r="E24" s="301" t="s">
        <v>4347</v>
      </c>
      <c r="F24" s="301" t="s">
        <v>4272</v>
      </c>
      <c r="G24" s="301" t="s">
        <v>4348</v>
      </c>
      <c r="H24" s="302">
        <v>540011</v>
      </c>
      <c r="I24" s="303" t="s">
        <v>1404</v>
      </c>
      <c r="J24" s="301" t="s">
        <v>488</v>
      </c>
      <c r="K24" s="301" t="s">
        <v>488</v>
      </c>
      <c r="L24" s="304">
        <v>79.690392721197</v>
      </c>
      <c r="M24" s="305">
        <v>8574</v>
      </c>
      <c r="N24" s="306">
        <v>107.59138846255661</v>
      </c>
      <c r="O24" s="305">
        <v>3794</v>
      </c>
      <c r="P24" s="306">
        <v>2.2166578808645228</v>
      </c>
      <c r="Q24" s="305">
        <v>8410</v>
      </c>
      <c r="R24" s="305">
        <v>40</v>
      </c>
      <c r="S24" s="305">
        <v>208</v>
      </c>
      <c r="T24" s="305">
        <v>272</v>
      </c>
      <c r="U24" s="305">
        <v>266</v>
      </c>
      <c r="V24" s="305">
        <v>161</v>
      </c>
      <c r="W24" s="305">
        <v>160</v>
      </c>
      <c r="X24" s="305">
        <v>251</v>
      </c>
      <c r="Y24" s="305">
        <v>154</v>
      </c>
      <c r="Z24" s="305">
        <v>148</v>
      </c>
      <c r="AA24" s="305">
        <v>240</v>
      </c>
      <c r="AB24" s="305">
        <v>442</v>
      </c>
      <c r="AC24" s="305">
        <v>908</v>
      </c>
      <c r="AD24" s="305">
        <v>220</v>
      </c>
      <c r="AE24" s="305">
        <v>222</v>
      </c>
      <c r="AF24" s="305">
        <v>141</v>
      </c>
      <c r="AG24" s="305">
        <v>2</v>
      </c>
      <c r="AH24" s="306">
        <v>13.70585134422773</v>
      </c>
      <c r="AI24" s="306">
        <v>11.254612546125461</v>
      </c>
      <c r="AJ24" s="306">
        <v>18.792830785450711</v>
      </c>
      <c r="AK24" s="306">
        <v>6.3257775434897203</v>
      </c>
      <c r="AL24" s="306">
        <v>51.00158144438587</v>
      </c>
      <c r="AM24" s="305">
        <v>25630</v>
      </c>
      <c r="AN24" s="305">
        <v>48835</v>
      </c>
      <c r="AO24" s="306">
        <v>39.852398523985237</v>
      </c>
      <c r="AP24" s="305">
        <v>3794</v>
      </c>
      <c r="AQ24" s="305">
        <v>105</v>
      </c>
      <c r="AR24" s="305">
        <v>3302</v>
      </c>
      <c r="AS24" s="305">
        <v>492</v>
      </c>
      <c r="AT24" s="305">
        <v>183</v>
      </c>
      <c r="AU24" s="305">
        <v>85</v>
      </c>
      <c r="AV24" s="305">
        <v>181</v>
      </c>
      <c r="AW24" s="305">
        <v>186</v>
      </c>
      <c r="AX24" s="305">
        <v>191</v>
      </c>
      <c r="AY24" s="305">
        <v>125</v>
      </c>
      <c r="AZ24" s="305">
        <v>399</v>
      </c>
      <c r="BA24" s="305">
        <v>61</v>
      </c>
      <c r="BB24" s="305">
        <v>45</v>
      </c>
      <c r="BC24" s="305">
        <v>609</v>
      </c>
      <c r="BD24" s="305">
        <v>72</v>
      </c>
      <c r="BE24" s="305">
        <v>2</v>
      </c>
      <c r="BF24" s="305">
        <v>1261</v>
      </c>
      <c r="BG24" s="305">
        <v>138</v>
      </c>
      <c r="BH24" s="305">
        <v>20</v>
      </c>
      <c r="BI24" s="306">
        <v>9.8313125988402739</v>
      </c>
      <c r="BJ24" s="307">
        <v>4.2</v>
      </c>
      <c r="BK24" s="307">
        <v>4.7</v>
      </c>
      <c r="BL24" s="307">
        <v>5.5</v>
      </c>
      <c r="BM24" s="307">
        <v>6.7</v>
      </c>
      <c r="BN24" s="307">
        <v>6.9</v>
      </c>
      <c r="BO24" s="307">
        <v>5.0999999999999996</v>
      </c>
      <c r="BP24" s="307">
        <v>4.4000000000000004</v>
      </c>
      <c r="BQ24" s="307">
        <v>4.5999999999999996</v>
      </c>
      <c r="BR24" s="307">
        <v>6.7</v>
      </c>
      <c r="BS24" s="307">
        <v>6.2</v>
      </c>
      <c r="BT24" s="307">
        <v>7.1</v>
      </c>
      <c r="BU24" s="307">
        <v>8.4</v>
      </c>
      <c r="BV24" s="307">
        <v>7.7</v>
      </c>
      <c r="BW24" s="307">
        <v>8.1</v>
      </c>
      <c r="BX24" s="307">
        <v>4.0999999999999996</v>
      </c>
      <c r="BY24" s="307">
        <v>4.5999999999999996</v>
      </c>
      <c r="BZ24" s="307">
        <v>2.5</v>
      </c>
      <c r="CA24" s="307">
        <v>2.5</v>
      </c>
      <c r="CB24" s="307">
        <v>14.4</v>
      </c>
      <c r="CC24" s="307">
        <v>63.800000000000011</v>
      </c>
      <c r="CD24" s="307">
        <v>21.799999999999997</v>
      </c>
    </row>
    <row r="25" spans="1:82" x14ac:dyDescent="0.25">
      <c r="A25" s="130" t="s">
        <v>4349</v>
      </c>
      <c r="B25" s="130" t="s">
        <v>184</v>
      </c>
      <c r="C25" s="130" t="s">
        <v>4350</v>
      </c>
      <c r="D25" s="130" t="s">
        <v>11</v>
      </c>
      <c r="E25" s="130" t="s">
        <v>4347</v>
      </c>
      <c r="F25" s="130" t="s">
        <v>4272</v>
      </c>
      <c r="G25" s="130" t="s">
        <v>4351</v>
      </c>
      <c r="H25" s="309">
        <v>540093</v>
      </c>
      <c r="I25" s="277" t="s">
        <v>1409</v>
      </c>
      <c r="J25" s="130">
        <v>5405452</v>
      </c>
      <c r="K25" s="130" t="s">
        <v>4352</v>
      </c>
      <c r="L25" s="310">
        <v>1.8636346850347416</v>
      </c>
      <c r="M25" s="311">
        <v>688</v>
      </c>
      <c r="N25" s="312">
        <v>369.17106422451803</v>
      </c>
      <c r="O25" s="311">
        <v>260</v>
      </c>
      <c r="P25" s="312">
        <v>2.65</v>
      </c>
      <c r="Q25" s="311">
        <v>688</v>
      </c>
      <c r="R25" s="311">
        <v>6</v>
      </c>
      <c r="S25" s="311">
        <v>19</v>
      </c>
      <c r="T25" s="311">
        <v>22</v>
      </c>
      <c r="U25" s="311">
        <v>6</v>
      </c>
      <c r="V25" s="311">
        <v>27</v>
      </c>
      <c r="W25" s="311">
        <v>28</v>
      </c>
      <c r="X25" s="311">
        <v>20</v>
      </c>
      <c r="Y25" s="311">
        <v>10</v>
      </c>
      <c r="Z25" s="311">
        <v>13</v>
      </c>
      <c r="AA25" s="311">
        <v>30</v>
      </c>
      <c r="AB25" s="311">
        <v>25</v>
      </c>
      <c r="AC25" s="311">
        <v>26</v>
      </c>
      <c r="AD25" s="311">
        <v>18</v>
      </c>
      <c r="AE25" s="311">
        <v>2</v>
      </c>
      <c r="AF25" s="311">
        <v>8</v>
      </c>
      <c r="AG25" s="311">
        <v>0</v>
      </c>
      <c r="AH25" s="312">
        <v>18.076923076923077</v>
      </c>
      <c r="AI25" s="312">
        <v>12.692307692307692</v>
      </c>
      <c r="AJ25" s="312">
        <v>27.307692307692307</v>
      </c>
      <c r="AK25" s="312">
        <v>11.538461538461538</v>
      </c>
      <c r="AL25" s="312">
        <v>30.384615384615383</v>
      </c>
      <c r="AM25" s="311">
        <v>19208</v>
      </c>
      <c r="AN25" s="311">
        <v>41000</v>
      </c>
      <c r="AO25" s="312">
        <v>53.07692307692308</v>
      </c>
      <c r="AP25" s="311">
        <v>260</v>
      </c>
      <c r="AQ25" s="311">
        <v>64</v>
      </c>
      <c r="AR25" s="311">
        <v>197</v>
      </c>
      <c r="AS25" s="311">
        <v>63</v>
      </c>
      <c r="AT25" s="311">
        <v>10</v>
      </c>
      <c r="AU25" s="311">
        <v>15</v>
      </c>
      <c r="AV25" s="311">
        <v>20</v>
      </c>
      <c r="AW25" s="311">
        <v>44</v>
      </c>
      <c r="AX25" s="311">
        <v>0</v>
      </c>
      <c r="AY25" s="311">
        <v>10</v>
      </c>
      <c r="AZ25" s="311">
        <v>31</v>
      </c>
      <c r="BA25" s="311">
        <v>12</v>
      </c>
      <c r="BB25" s="311">
        <v>0</v>
      </c>
      <c r="BC25" s="311">
        <v>50</v>
      </c>
      <c r="BD25" s="311">
        <v>5</v>
      </c>
      <c r="BE25" s="311">
        <v>0</v>
      </c>
      <c r="BF25" s="311">
        <v>54</v>
      </c>
      <c r="BG25" s="311">
        <v>0</v>
      </c>
      <c r="BH25" s="311">
        <v>0</v>
      </c>
      <c r="BI25" s="312">
        <v>11.538461538461538</v>
      </c>
      <c r="BJ25" s="313">
        <v>3.1</v>
      </c>
      <c r="BK25" s="313">
        <v>8.1</v>
      </c>
      <c r="BL25" s="313">
        <v>14.2</v>
      </c>
      <c r="BM25" s="313">
        <v>4.0999999999999996</v>
      </c>
      <c r="BN25" s="313">
        <v>3.6</v>
      </c>
      <c r="BO25" s="313">
        <v>2.5</v>
      </c>
      <c r="BP25" s="313">
        <v>8.6</v>
      </c>
      <c r="BQ25" s="313">
        <v>9.6</v>
      </c>
      <c r="BR25" s="313">
        <v>8.1</v>
      </c>
      <c r="BS25" s="313">
        <v>5.0999999999999996</v>
      </c>
      <c r="BT25" s="313">
        <v>6.8</v>
      </c>
      <c r="BU25" s="313">
        <v>7.1</v>
      </c>
      <c r="BV25" s="313">
        <v>3.8</v>
      </c>
      <c r="BW25" s="313">
        <v>3.1</v>
      </c>
      <c r="BX25" s="313">
        <v>3.3</v>
      </c>
      <c r="BY25" s="313">
        <v>4.7</v>
      </c>
      <c r="BZ25" s="313">
        <v>3.6</v>
      </c>
      <c r="CA25" s="313">
        <v>0.6</v>
      </c>
      <c r="CB25" s="313">
        <v>25.4</v>
      </c>
      <c r="CC25" s="313">
        <v>59.3</v>
      </c>
      <c r="CD25" s="313">
        <v>15.3</v>
      </c>
    </row>
    <row r="26" spans="1:82" x14ac:dyDescent="0.25">
      <c r="A26" s="130" t="s">
        <v>4353</v>
      </c>
      <c r="B26" s="130" t="s">
        <v>122</v>
      </c>
      <c r="C26" s="130" t="s">
        <v>4354</v>
      </c>
      <c r="D26" s="130" t="s">
        <v>11</v>
      </c>
      <c r="E26" s="130" t="s">
        <v>4347</v>
      </c>
      <c r="F26" s="130" t="s">
        <v>4272</v>
      </c>
      <c r="G26" s="130" t="s">
        <v>4355</v>
      </c>
      <c r="H26" s="309">
        <v>540012</v>
      </c>
      <c r="I26" s="277" t="s">
        <v>1405</v>
      </c>
      <c r="J26" s="130">
        <v>5406844</v>
      </c>
      <c r="K26" s="130" t="s">
        <v>4356</v>
      </c>
      <c r="L26" s="310">
        <v>0.7344861239997621</v>
      </c>
      <c r="M26" s="311">
        <v>1008</v>
      </c>
      <c r="N26" s="312">
        <v>1372.3880779541132</v>
      </c>
      <c r="O26" s="311">
        <v>128</v>
      </c>
      <c r="P26" s="312">
        <v>1.98</v>
      </c>
      <c r="Q26" s="311">
        <v>253</v>
      </c>
      <c r="R26" s="311">
        <v>5</v>
      </c>
      <c r="S26" s="311">
        <v>0</v>
      </c>
      <c r="T26" s="311">
        <v>0</v>
      </c>
      <c r="U26" s="311">
        <v>2</v>
      </c>
      <c r="V26" s="311">
        <v>0</v>
      </c>
      <c r="W26" s="311">
        <v>6</v>
      </c>
      <c r="X26" s="311">
        <v>2</v>
      </c>
      <c r="Y26" s="311">
        <v>13</v>
      </c>
      <c r="Z26" s="311">
        <v>11</v>
      </c>
      <c r="AA26" s="311">
        <v>24</v>
      </c>
      <c r="AB26" s="311">
        <v>9</v>
      </c>
      <c r="AC26" s="311">
        <v>27</v>
      </c>
      <c r="AD26" s="311">
        <v>15</v>
      </c>
      <c r="AE26" s="311">
        <v>8</v>
      </c>
      <c r="AF26" s="311">
        <v>6</v>
      </c>
      <c r="AG26" s="311">
        <v>0</v>
      </c>
      <c r="AH26" s="312">
        <v>3.90625</v>
      </c>
      <c r="AI26" s="312">
        <v>1.5625</v>
      </c>
      <c r="AJ26" s="312">
        <v>25</v>
      </c>
      <c r="AK26" s="312">
        <v>18.75</v>
      </c>
      <c r="AL26" s="312">
        <v>50.78125</v>
      </c>
      <c r="AM26" s="311">
        <v>12365</v>
      </c>
      <c r="AN26" s="311">
        <v>62857</v>
      </c>
      <c r="AO26" s="312">
        <v>21.875</v>
      </c>
      <c r="AP26" s="311">
        <v>128</v>
      </c>
      <c r="AQ26" s="311">
        <v>35</v>
      </c>
      <c r="AR26" s="311">
        <v>86</v>
      </c>
      <c r="AS26" s="311">
        <v>42</v>
      </c>
      <c r="AT26" s="311">
        <v>0</v>
      </c>
      <c r="AU26" s="311">
        <v>0</v>
      </c>
      <c r="AV26" s="311">
        <v>5</v>
      </c>
      <c r="AW26" s="311">
        <v>5</v>
      </c>
      <c r="AX26" s="311">
        <v>2</v>
      </c>
      <c r="AY26" s="311">
        <v>0</v>
      </c>
      <c r="AZ26" s="311">
        <v>19</v>
      </c>
      <c r="BA26" s="311">
        <v>2</v>
      </c>
      <c r="BB26" s="311">
        <v>5</v>
      </c>
      <c r="BC26" s="311">
        <v>18</v>
      </c>
      <c r="BD26" s="311">
        <v>9</v>
      </c>
      <c r="BE26" s="311">
        <v>6</v>
      </c>
      <c r="BF26" s="311">
        <v>55</v>
      </c>
      <c r="BG26" s="311">
        <v>0</v>
      </c>
      <c r="BH26" s="311">
        <v>1</v>
      </c>
      <c r="BI26" s="312">
        <v>13.28125</v>
      </c>
      <c r="BJ26" s="313">
        <v>0.5</v>
      </c>
      <c r="BK26" s="313">
        <v>0.4</v>
      </c>
      <c r="BL26" s="313">
        <v>0.2</v>
      </c>
      <c r="BM26" s="313">
        <v>48</v>
      </c>
      <c r="BN26" s="313">
        <v>30.1</v>
      </c>
      <c r="BO26" s="313">
        <v>2.2999999999999998</v>
      </c>
      <c r="BP26" s="313">
        <v>1</v>
      </c>
      <c r="BQ26" s="313">
        <v>0.8</v>
      </c>
      <c r="BR26" s="313">
        <v>1.8</v>
      </c>
      <c r="BS26" s="313">
        <v>3.9</v>
      </c>
      <c r="BT26" s="313">
        <v>1.2</v>
      </c>
      <c r="BU26" s="313">
        <v>3.3</v>
      </c>
      <c r="BV26" s="313">
        <v>2</v>
      </c>
      <c r="BW26" s="313">
        <v>1.6</v>
      </c>
      <c r="BX26" s="313">
        <v>1.7</v>
      </c>
      <c r="BY26" s="313">
        <v>0.9</v>
      </c>
      <c r="BZ26" s="313">
        <v>0.4</v>
      </c>
      <c r="CA26" s="313">
        <v>0.1</v>
      </c>
      <c r="CB26" s="313">
        <v>1.1000000000000001</v>
      </c>
      <c r="CC26" s="313">
        <v>94.399999999999991</v>
      </c>
      <c r="CD26" s="313">
        <v>4.7</v>
      </c>
    </row>
    <row r="27" spans="1:82" x14ac:dyDescent="0.25">
      <c r="A27" s="130" t="s">
        <v>4357</v>
      </c>
      <c r="B27" s="130" t="s">
        <v>123</v>
      </c>
      <c r="C27" s="130" t="s">
        <v>4358</v>
      </c>
      <c r="D27" s="130" t="s">
        <v>11</v>
      </c>
      <c r="E27" s="130" t="s">
        <v>4347</v>
      </c>
      <c r="F27" s="130" t="s">
        <v>4272</v>
      </c>
      <c r="G27" s="130" t="s">
        <v>4359</v>
      </c>
      <c r="H27" s="309">
        <v>540013</v>
      </c>
      <c r="I27" s="277" t="s">
        <v>1406</v>
      </c>
      <c r="J27" s="130">
        <v>5428204</v>
      </c>
      <c r="K27" s="130" t="s">
        <v>4360</v>
      </c>
      <c r="L27" s="310">
        <v>2.0887728018185237</v>
      </c>
      <c r="M27" s="311">
        <v>2856</v>
      </c>
      <c r="N27" s="312">
        <v>1367.3100288904157</v>
      </c>
      <c r="O27" s="311">
        <v>1330</v>
      </c>
      <c r="P27" s="312">
        <v>2.15</v>
      </c>
      <c r="Q27" s="311">
        <v>2856</v>
      </c>
      <c r="R27" s="311">
        <v>136</v>
      </c>
      <c r="S27" s="311">
        <v>60</v>
      </c>
      <c r="T27" s="311">
        <v>92</v>
      </c>
      <c r="U27" s="311">
        <v>28</v>
      </c>
      <c r="V27" s="311">
        <v>37</v>
      </c>
      <c r="W27" s="311">
        <v>62</v>
      </c>
      <c r="X27" s="311">
        <v>66</v>
      </c>
      <c r="Y27" s="311">
        <v>68</v>
      </c>
      <c r="Z27" s="311">
        <v>105</v>
      </c>
      <c r="AA27" s="311">
        <v>95</v>
      </c>
      <c r="AB27" s="311">
        <v>153</v>
      </c>
      <c r="AC27" s="311">
        <v>214</v>
      </c>
      <c r="AD27" s="311">
        <v>109</v>
      </c>
      <c r="AE27" s="311">
        <v>61</v>
      </c>
      <c r="AF27" s="311">
        <v>0</v>
      </c>
      <c r="AG27" s="311">
        <v>44</v>
      </c>
      <c r="AH27" s="312">
        <v>21.654135338345863</v>
      </c>
      <c r="AI27" s="312">
        <v>4.8872180451127818</v>
      </c>
      <c r="AJ27" s="312">
        <v>22.631578947368421</v>
      </c>
      <c r="AK27" s="312">
        <v>7.1428571428571423</v>
      </c>
      <c r="AL27" s="312">
        <v>43.684210526315795</v>
      </c>
      <c r="AM27" s="311">
        <v>28715</v>
      </c>
      <c r="AN27" s="311">
        <v>50655</v>
      </c>
      <c r="AO27" s="312">
        <v>41.278195488721806</v>
      </c>
      <c r="AP27" s="311">
        <v>1330</v>
      </c>
      <c r="AQ27" s="311">
        <v>228</v>
      </c>
      <c r="AR27" s="311">
        <v>1039</v>
      </c>
      <c r="AS27" s="311">
        <v>291</v>
      </c>
      <c r="AT27" s="311">
        <v>50</v>
      </c>
      <c r="AU27" s="311">
        <v>82</v>
      </c>
      <c r="AV27" s="311">
        <v>125</v>
      </c>
      <c r="AW27" s="311">
        <v>61</v>
      </c>
      <c r="AX27" s="311">
        <v>26</v>
      </c>
      <c r="AY27" s="311">
        <v>28</v>
      </c>
      <c r="AZ27" s="311">
        <v>157</v>
      </c>
      <c r="BA27" s="311">
        <v>77</v>
      </c>
      <c r="BB27" s="311">
        <v>0</v>
      </c>
      <c r="BC27" s="311">
        <v>204</v>
      </c>
      <c r="BD27" s="311">
        <v>32</v>
      </c>
      <c r="BE27" s="311">
        <v>12</v>
      </c>
      <c r="BF27" s="311">
        <v>404</v>
      </c>
      <c r="BG27" s="311">
        <v>13</v>
      </c>
      <c r="BH27" s="311">
        <v>0</v>
      </c>
      <c r="BI27" s="312">
        <v>12.406015037593985</v>
      </c>
      <c r="BJ27" s="313">
        <v>4.8</v>
      </c>
      <c r="BK27" s="313">
        <v>6</v>
      </c>
      <c r="BL27" s="313">
        <v>2.5</v>
      </c>
      <c r="BM27" s="313">
        <v>2.9</v>
      </c>
      <c r="BN27" s="313">
        <v>7.1</v>
      </c>
      <c r="BO27" s="313">
        <v>4.4000000000000004</v>
      </c>
      <c r="BP27" s="313">
        <v>6.6</v>
      </c>
      <c r="BQ27" s="313">
        <v>6.7</v>
      </c>
      <c r="BR27" s="313">
        <v>5.8</v>
      </c>
      <c r="BS27" s="313">
        <v>8.6</v>
      </c>
      <c r="BT27" s="313">
        <v>4.5999999999999996</v>
      </c>
      <c r="BU27" s="313">
        <v>7.1</v>
      </c>
      <c r="BV27" s="313">
        <v>9.3000000000000007</v>
      </c>
      <c r="BW27" s="313">
        <v>8.1999999999999993</v>
      </c>
      <c r="BX27" s="313">
        <v>5</v>
      </c>
      <c r="BY27" s="313">
        <v>4.9000000000000004</v>
      </c>
      <c r="BZ27" s="313">
        <v>4.5999999999999996</v>
      </c>
      <c r="CA27" s="313">
        <v>1.1000000000000001</v>
      </c>
      <c r="CB27" s="313">
        <v>13.3</v>
      </c>
      <c r="CC27" s="313">
        <v>63.100000000000009</v>
      </c>
      <c r="CD27" s="313">
        <v>23.800000000000004</v>
      </c>
    </row>
    <row r="28" spans="1:82" s="330" customFormat="1" x14ac:dyDescent="0.25">
      <c r="A28" s="323" t="s">
        <v>4361</v>
      </c>
      <c r="B28" s="323" t="s">
        <v>124</v>
      </c>
      <c r="C28" s="323" t="s">
        <v>4362</v>
      </c>
      <c r="D28" s="323" t="s">
        <v>621</v>
      </c>
      <c r="E28" s="323" t="s">
        <v>4363</v>
      </c>
      <c r="F28" s="323" t="s">
        <v>4272</v>
      </c>
      <c r="G28" s="323" t="s">
        <v>4364</v>
      </c>
      <c r="H28" s="324">
        <v>540014</v>
      </c>
      <c r="I28" s="325" t="s">
        <v>4365</v>
      </c>
      <c r="J28" s="323">
        <v>5485156</v>
      </c>
      <c r="K28" s="323" t="s">
        <v>4366</v>
      </c>
      <c r="L28" s="326">
        <v>6.8848665104384335</v>
      </c>
      <c r="M28" s="327">
        <v>6903</v>
      </c>
      <c r="N28" s="328">
        <v>1002.6338186127608</v>
      </c>
      <c r="O28" s="327">
        <v>3006</v>
      </c>
      <c r="P28" s="328">
        <v>2.272787757817698</v>
      </c>
      <c r="Q28" s="327">
        <v>6832</v>
      </c>
      <c r="R28" s="327">
        <v>247</v>
      </c>
      <c r="S28" s="327">
        <v>196</v>
      </c>
      <c r="T28" s="327">
        <v>208</v>
      </c>
      <c r="U28" s="327">
        <v>164</v>
      </c>
      <c r="V28" s="327">
        <v>246</v>
      </c>
      <c r="W28" s="327">
        <v>127</v>
      </c>
      <c r="X28" s="327">
        <v>189</v>
      </c>
      <c r="Y28" s="327">
        <v>124</v>
      </c>
      <c r="Z28" s="327">
        <v>187</v>
      </c>
      <c r="AA28" s="327">
        <v>268</v>
      </c>
      <c r="AB28" s="327">
        <v>291</v>
      </c>
      <c r="AC28" s="327">
        <v>370</v>
      </c>
      <c r="AD28" s="327">
        <v>167</v>
      </c>
      <c r="AE28" s="327">
        <v>81</v>
      </c>
      <c r="AF28" s="327">
        <v>57</v>
      </c>
      <c r="AG28" s="327">
        <v>43</v>
      </c>
      <c r="AH28" s="328">
        <v>21.656686626746506</v>
      </c>
      <c r="AI28" s="328">
        <v>13.639387890884896</v>
      </c>
      <c r="AJ28" s="328">
        <v>20.858283433133732</v>
      </c>
      <c r="AK28" s="328">
        <v>8.9155023286759807</v>
      </c>
      <c r="AL28" s="328">
        <v>33.566200931470391</v>
      </c>
      <c r="AM28" s="327">
        <v>26014</v>
      </c>
      <c r="AN28" s="327">
        <v>45058</v>
      </c>
      <c r="AO28" s="328">
        <v>49.933466400532268</v>
      </c>
      <c r="AP28" s="327">
        <v>3006</v>
      </c>
      <c r="AQ28" s="327">
        <v>309</v>
      </c>
      <c r="AR28" s="327">
        <v>1974</v>
      </c>
      <c r="AS28" s="327">
        <v>1032</v>
      </c>
      <c r="AT28" s="327">
        <v>64</v>
      </c>
      <c r="AU28" s="327">
        <v>86</v>
      </c>
      <c r="AV28" s="327">
        <v>440</v>
      </c>
      <c r="AW28" s="327">
        <v>195</v>
      </c>
      <c r="AX28" s="327">
        <v>177</v>
      </c>
      <c r="AY28" s="327">
        <v>139</v>
      </c>
      <c r="AZ28" s="327">
        <v>324</v>
      </c>
      <c r="BA28" s="327">
        <v>136</v>
      </c>
      <c r="BB28" s="327">
        <v>38</v>
      </c>
      <c r="BC28" s="327">
        <v>425</v>
      </c>
      <c r="BD28" s="327">
        <v>113</v>
      </c>
      <c r="BE28" s="327">
        <v>16</v>
      </c>
      <c r="BF28" s="327">
        <v>713</v>
      </c>
      <c r="BG28" s="327">
        <v>46</v>
      </c>
      <c r="BH28" s="327">
        <v>0</v>
      </c>
      <c r="BI28" s="328">
        <v>21.057884231536928</v>
      </c>
      <c r="BJ28" s="329">
        <v>5.6</v>
      </c>
      <c r="BK28" s="329">
        <v>4.3</v>
      </c>
      <c r="BL28" s="329">
        <v>5.3</v>
      </c>
      <c r="BM28" s="329">
        <v>4.9000000000000004</v>
      </c>
      <c r="BN28" s="329">
        <v>6</v>
      </c>
      <c r="BO28" s="329">
        <v>6</v>
      </c>
      <c r="BP28" s="329">
        <v>4.8</v>
      </c>
      <c r="BQ28" s="329">
        <v>4.4000000000000004</v>
      </c>
      <c r="BR28" s="329">
        <v>7.2</v>
      </c>
      <c r="BS28" s="329">
        <v>6.6</v>
      </c>
      <c r="BT28" s="329">
        <v>7.8</v>
      </c>
      <c r="BU28" s="329">
        <v>8.5</v>
      </c>
      <c r="BV28" s="329">
        <v>7.2</v>
      </c>
      <c r="BW28" s="329">
        <v>6.1</v>
      </c>
      <c r="BX28" s="329">
        <v>3.3</v>
      </c>
      <c r="BY28" s="329">
        <v>4</v>
      </c>
      <c r="BZ28" s="329">
        <v>3.7</v>
      </c>
      <c r="CA28" s="329">
        <v>4.2</v>
      </c>
      <c r="CB28" s="329">
        <v>15.2</v>
      </c>
      <c r="CC28" s="329">
        <v>63.400000000000006</v>
      </c>
      <c r="CD28" s="329">
        <v>21.299999999999997</v>
      </c>
    </row>
    <row r="29" spans="1:82" x14ac:dyDescent="0.25">
      <c r="A29" s="130" t="s">
        <v>4367</v>
      </c>
      <c r="B29" s="130" t="s">
        <v>125</v>
      </c>
      <c r="C29" s="130" t="s">
        <v>4368</v>
      </c>
      <c r="D29" s="130" t="s">
        <v>11</v>
      </c>
      <c r="E29" s="130" t="s">
        <v>4347</v>
      </c>
      <c r="F29" s="130" t="s">
        <v>4272</v>
      </c>
      <c r="G29" s="130" t="s">
        <v>4369</v>
      </c>
      <c r="H29" s="309">
        <v>540015</v>
      </c>
      <c r="I29" s="277" t="s">
        <v>1408</v>
      </c>
      <c r="J29" s="130">
        <v>5485324</v>
      </c>
      <c r="K29" s="130" t="s">
        <v>4370</v>
      </c>
      <c r="L29" s="310">
        <v>1.3278982683030653</v>
      </c>
      <c r="M29" s="311">
        <v>2669</v>
      </c>
      <c r="N29" s="312">
        <v>2009.9431287087543</v>
      </c>
      <c r="O29" s="311">
        <v>1295</v>
      </c>
      <c r="P29" s="312">
        <v>2.06</v>
      </c>
      <c r="Q29" s="311">
        <v>2669</v>
      </c>
      <c r="R29" s="311">
        <v>177</v>
      </c>
      <c r="S29" s="311">
        <v>69</v>
      </c>
      <c r="T29" s="311">
        <v>138</v>
      </c>
      <c r="U29" s="311">
        <v>93</v>
      </c>
      <c r="V29" s="311">
        <v>12</v>
      </c>
      <c r="W29" s="311">
        <v>147</v>
      </c>
      <c r="X29" s="311">
        <v>12</v>
      </c>
      <c r="Y29" s="311">
        <v>74</v>
      </c>
      <c r="Z29" s="311">
        <v>104</v>
      </c>
      <c r="AA29" s="311">
        <v>59</v>
      </c>
      <c r="AB29" s="311">
        <v>127</v>
      </c>
      <c r="AC29" s="311">
        <v>84</v>
      </c>
      <c r="AD29" s="311">
        <v>92</v>
      </c>
      <c r="AE29" s="311">
        <v>39</v>
      </c>
      <c r="AF29" s="311">
        <v>26</v>
      </c>
      <c r="AG29" s="311">
        <v>42</v>
      </c>
      <c r="AH29" s="312">
        <v>29.65250965250965</v>
      </c>
      <c r="AI29" s="312">
        <v>8.1081081081081088</v>
      </c>
      <c r="AJ29" s="312">
        <v>26.023166023166024</v>
      </c>
      <c r="AK29" s="312">
        <v>4.5559845559845558</v>
      </c>
      <c r="AL29" s="312">
        <v>31.660231660231659</v>
      </c>
      <c r="AM29" s="311">
        <v>26630</v>
      </c>
      <c r="AN29" s="311">
        <v>37396</v>
      </c>
      <c r="AO29" s="312">
        <v>55.752895752895746</v>
      </c>
      <c r="AP29" s="311">
        <v>1295</v>
      </c>
      <c r="AQ29" s="311">
        <v>154</v>
      </c>
      <c r="AR29" s="311">
        <v>712</v>
      </c>
      <c r="AS29" s="311">
        <v>583</v>
      </c>
      <c r="AT29" s="311">
        <v>0</v>
      </c>
      <c r="AU29" s="311">
        <v>38</v>
      </c>
      <c r="AV29" s="311">
        <v>306</v>
      </c>
      <c r="AW29" s="311">
        <v>114</v>
      </c>
      <c r="AX29" s="311">
        <v>76</v>
      </c>
      <c r="AY29" s="311">
        <v>62</v>
      </c>
      <c r="AZ29" s="311">
        <v>111</v>
      </c>
      <c r="BA29" s="311">
        <v>47</v>
      </c>
      <c r="BB29" s="311">
        <v>14</v>
      </c>
      <c r="BC29" s="311">
        <v>142</v>
      </c>
      <c r="BD29" s="311">
        <v>44</v>
      </c>
      <c r="BE29" s="311">
        <v>0</v>
      </c>
      <c r="BF29" s="311">
        <v>283</v>
      </c>
      <c r="BG29" s="311">
        <v>0</v>
      </c>
      <c r="BH29" s="311">
        <v>0</v>
      </c>
      <c r="BI29" s="312">
        <v>29.498069498069494</v>
      </c>
      <c r="BJ29" s="313">
        <v>5.7</v>
      </c>
      <c r="BK29" s="313">
        <v>3.4</v>
      </c>
      <c r="BL29" s="313">
        <v>8.1</v>
      </c>
      <c r="BM29" s="313">
        <v>5.4</v>
      </c>
      <c r="BN29" s="313">
        <v>7.7</v>
      </c>
      <c r="BO29" s="313">
        <v>6.3</v>
      </c>
      <c r="BP29" s="313">
        <v>6.1</v>
      </c>
      <c r="BQ29" s="313">
        <v>2.7</v>
      </c>
      <c r="BR29" s="313">
        <v>6.6</v>
      </c>
      <c r="BS29" s="313">
        <v>5.9</v>
      </c>
      <c r="BT29" s="313">
        <v>6.1</v>
      </c>
      <c r="BU29" s="313">
        <v>7.4</v>
      </c>
      <c r="BV29" s="313">
        <v>7.7</v>
      </c>
      <c r="BW29" s="313">
        <v>5.9</v>
      </c>
      <c r="BX29" s="313">
        <v>3.6</v>
      </c>
      <c r="BY29" s="313">
        <v>7.7</v>
      </c>
      <c r="BZ29" s="313">
        <v>3</v>
      </c>
      <c r="CA29" s="313">
        <v>0.7</v>
      </c>
      <c r="CB29" s="313">
        <v>17.2</v>
      </c>
      <c r="CC29" s="313">
        <v>61.9</v>
      </c>
      <c r="CD29" s="313">
        <v>20.9</v>
      </c>
    </row>
    <row r="30" spans="1:82" x14ac:dyDescent="0.25">
      <c r="A30" s="130" t="s">
        <v>4371</v>
      </c>
      <c r="B30" s="130" t="s">
        <v>341</v>
      </c>
      <c r="C30" s="130" t="s">
        <v>4372</v>
      </c>
      <c r="D30" s="130" t="s">
        <v>11</v>
      </c>
      <c r="E30" s="130" t="s">
        <v>4347</v>
      </c>
      <c r="F30" s="130" t="s">
        <v>4272</v>
      </c>
      <c r="G30" s="130" t="s">
        <v>4373</v>
      </c>
      <c r="H30" s="309">
        <v>540084</v>
      </c>
      <c r="I30" s="277" t="s">
        <v>1410</v>
      </c>
      <c r="J30" s="130">
        <v>5487892</v>
      </c>
      <c r="K30" s="130" t="s">
        <v>4374</v>
      </c>
      <c r="L30" s="310">
        <v>0.1428014770705138</v>
      </c>
      <c r="M30" s="311">
        <v>369</v>
      </c>
      <c r="N30" s="312">
        <v>2584.0068854315273</v>
      </c>
      <c r="O30" s="311">
        <v>148</v>
      </c>
      <c r="P30" s="312">
        <v>2.48</v>
      </c>
      <c r="Q30" s="311">
        <v>367</v>
      </c>
      <c r="R30" s="311">
        <v>14</v>
      </c>
      <c r="S30" s="311">
        <v>8</v>
      </c>
      <c r="T30" s="311">
        <v>8</v>
      </c>
      <c r="U30" s="311">
        <v>9</v>
      </c>
      <c r="V30" s="311">
        <v>7</v>
      </c>
      <c r="W30" s="311">
        <v>16</v>
      </c>
      <c r="X30" s="311">
        <v>13</v>
      </c>
      <c r="Y30" s="311">
        <v>5</v>
      </c>
      <c r="Z30" s="311">
        <v>6</v>
      </c>
      <c r="AA30" s="311">
        <v>10</v>
      </c>
      <c r="AB30" s="311">
        <v>26</v>
      </c>
      <c r="AC30" s="311">
        <v>15</v>
      </c>
      <c r="AD30" s="311">
        <v>7</v>
      </c>
      <c r="AE30" s="311">
        <v>1</v>
      </c>
      <c r="AF30" s="311">
        <v>0</v>
      </c>
      <c r="AG30" s="311">
        <v>3</v>
      </c>
      <c r="AH30" s="312">
        <v>20.27027027027027</v>
      </c>
      <c r="AI30" s="312">
        <v>10.810810810810811</v>
      </c>
      <c r="AJ30" s="312">
        <v>27.027027027027028</v>
      </c>
      <c r="AK30" s="312">
        <v>6.756756756756757</v>
      </c>
      <c r="AL30" s="312">
        <v>35.135135135135137</v>
      </c>
      <c r="AM30" s="311">
        <v>21712</v>
      </c>
      <c r="AN30" s="311">
        <v>39792</v>
      </c>
      <c r="AO30" s="312">
        <v>54.054054054054056</v>
      </c>
      <c r="AP30" s="311">
        <v>148</v>
      </c>
      <c r="AQ30" s="311">
        <v>14</v>
      </c>
      <c r="AR30" s="311">
        <v>130</v>
      </c>
      <c r="AS30" s="311">
        <v>18</v>
      </c>
      <c r="AT30" s="311">
        <v>0</v>
      </c>
      <c r="AU30" s="311">
        <v>0</v>
      </c>
      <c r="AV30" s="311">
        <v>23</v>
      </c>
      <c r="AW30" s="311">
        <v>13</v>
      </c>
      <c r="AX30" s="311">
        <v>7</v>
      </c>
      <c r="AY30" s="311">
        <v>10</v>
      </c>
      <c r="AZ30" s="311">
        <v>17</v>
      </c>
      <c r="BA30" s="311">
        <v>5</v>
      </c>
      <c r="BB30" s="311">
        <v>2</v>
      </c>
      <c r="BC30" s="311">
        <v>28</v>
      </c>
      <c r="BD30" s="311">
        <v>8</v>
      </c>
      <c r="BE30" s="311">
        <v>0</v>
      </c>
      <c r="BF30" s="311">
        <v>24</v>
      </c>
      <c r="BG30" s="311">
        <v>0</v>
      </c>
      <c r="BH30" s="311">
        <v>0</v>
      </c>
      <c r="BI30" s="312">
        <v>23.648648648648649</v>
      </c>
      <c r="BJ30" s="313">
        <v>3.8</v>
      </c>
      <c r="BK30" s="313">
        <v>8.9</v>
      </c>
      <c r="BL30" s="313">
        <v>5.7</v>
      </c>
      <c r="BM30" s="313">
        <v>7.9</v>
      </c>
      <c r="BN30" s="313">
        <v>6.5</v>
      </c>
      <c r="BO30" s="313">
        <v>3</v>
      </c>
      <c r="BP30" s="313">
        <v>1.1000000000000001</v>
      </c>
      <c r="BQ30" s="313">
        <v>5.4</v>
      </c>
      <c r="BR30" s="313">
        <v>10</v>
      </c>
      <c r="BS30" s="313">
        <v>6.8</v>
      </c>
      <c r="BT30" s="313">
        <v>5.7</v>
      </c>
      <c r="BU30" s="313">
        <v>11.1</v>
      </c>
      <c r="BV30" s="313">
        <v>6</v>
      </c>
      <c r="BW30" s="313">
        <v>7</v>
      </c>
      <c r="BX30" s="313">
        <v>4.5999999999999996</v>
      </c>
      <c r="BY30" s="313">
        <v>3.5</v>
      </c>
      <c r="BZ30" s="313">
        <v>1.6</v>
      </c>
      <c r="CA30" s="313">
        <v>1.4</v>
      </c>
      <c r="CB30" s="313">
        <v>18.399999999999999</v>
      </c>
      <c r="CC30" s="313">
        <v>63.5</v>
      </c>
      <c r="CD30" s="313">
        <v>18.099999999999998</v>
      </c>
    </row>
    <row r="31" spans="1:82" s="322" customFormat="1" x14ac:dyDescent="0.25">
      <c r="A31" s="314" t="s">
        <v>4375</v>
      </c>
      <c r="B31" s="315" t="s">
        <v>348</v>
      </c>
      <c r="C31" s="314"/>
      <c r="D31" s="314"/>
      <c r="E31" s="314"/>
      <c r="F31" s="314"/>
      <c r="G31" s="314"/>
      <c r="H31" s="316"/>
      <c r="I31" s="317"/>
      <c r="J31" s="314">
        <v>54009</v>
      </c>
      <c r="K31" s="314" t="s">
        <v>4376</v>
      </c>
      <c r="L31" s="318">
        <v>92.732852587862027</v>
      </c>
      <c r="M31" s="319">
        <v>23067</v>
      </c>
      <c r="N31" s="320">
        <v>248.74679637558438</v>
      </c>
      <c r="O31" s="319">
        <v>9961</v>
      </c>
      <c r="P31" s="320">
        <v>2.2200000000000002</v>
      </c>
      <c r="Q31" s="319">
        <v>22075</v>
      </c>
      <c r="R31" s="319">
        <v>625</v>
      </c>
      <c r="S31" s="319">
        <v>560</v>
      </c>
      <c r="T31" s="319">
        <v>740</v>
      </c>
      <c r="U31" s="319">
        <v>568</v>
      </c>
      <c r="V31" s="319">
        <v>490</v>
      </c>
      <c r="W31" s="319">
        <v>546</v>
      </c>
      <c r="X31" s="319">
        <v>553</v>
      </c>
      <c r="Y31" s="319">
        <v>448</v>
      </c>
      <c r="Z31" s="319">
        <v>574</v>
      </c>
      <c r="AA31" s="319">
        <v>726</v>
      </c>
      <c r="AB31" s="319">
        <v>1073</v>
      </c>
      <c r="AC31" s="319">
        <v>1644</v>
      </c>
      <c r="AD31" s="319">
        <v>628</v>
      </c>
      <c r="AE31" s="319">
        <v>414</v>
      </c>
      <c r="AF31" s="319">
        <v>238</v>
      </c>
      <c r="AG31" s="319">
        <v>134</v>
      </c>
      <c r="AH31" s="320">
        <v>19.325368938861558</v>
      </c>
      <c r="AI31" s="320">
        <v>10.621423551852224</v>
      </c>
      <c r="AJ31" s="320">
        <v>21.29304286718201</v>
      </c>
      <c r="AK31" s="320">
        <v>7.2884248569420746</v>
      </c>
      <c r="AL31" s="320">
        <v>41.471739785162129</v>
      </c>
      <c r="AM31" s="319">
        <v>25630</v>
      </c>
      <c r="AN31" s="319">
        <v>48835</v>
      </c>
      <c r="AO31" s="320">
        <v>45.477361710671623</v>
      </c>
      <c r="AP31" s="319">
        <v>9961</v>
      </c>
      <c r="AQ31" s="319">
        <v>909</v>
      </c>
      <c r="AR31" s="319">
        <v>7440</v>
      </c>
      <c r="AS31" s="319">
        <v>2521</v>
      </c>
      <c r="AT31" s="319">
        <v>307</v>
      </c>
      <c r="AU31" s="319">
        <v>306</v>
      </c>
      <c r="AV31" s="319">
        <v>1100</v>
      </c>
      <c r="AW31" s="319">
        <v>618</v>
      </c>
      <c r="AX31" s="319">
        <v>479</v>
      </c>
      <c r="AY31" s="319">
        <v>374</v>
      </c>
      <c r="AZ31" s="319">
        <v>1058</v>
      </c>
      <c r="BA31" s="319">
        <v>340</v>
      </c>
      <c r="BB31" s="319">
        <v>104</v>
      </c>
      <c r="BC31" s="319">
        <v>1476</v>
      </c>
      <c r="BD31" s="319">
        <v>283</v>
      </c>
      <c r="BE31" s="319">
        <v>36</v>
      </c>
      <c r="BF31" s="319">
        <v>2794</v>
      </c>
      <c r="BG31" s="319">
        <v>197</v>
      </c>
      <c r="BH31" s="319">
        <v>21</v>
      </c>
      <c r="BI31" s="320">
        <v>16.414014657162934</v>
      </c>
      <c r="BJ31" s="321">
        <v>4.2</v>
      </c>
      <c r="BK31" s="321">
        <v>4.7</v>
      </c>
      <c r="BL31" s="321">
        <v>5.5</v>
      </c>
      <c r="BM31" s="321">
        <v>6.7</v>
      </c>
      <c r="BN31" s="321">
        <v>6.9</v>
      </c>
      <c r="BO31" s="321">
        <v>5.0999999999999996</v>
      </c>
      <c r="BP31" s="321">
        <v>4.4000000000000004</v>
      </c>
      <c r="BQ31" s="321">
        <v>4.5999999999999996</v>
      </c>
      <c r="BR31" s="321">
        <v>6.7</v>
      </c>
      <c r="BS31" s="321">
        <v>6.2</v>
      </c>
      <c r="BT31" s="321">
        <v>7.1</v>
      </c>
      <c r="BU31" s="321">
        <v>8.4</v>
      </c>
      <c r="BV31" s="321">
        <v>7.7</v>
      </c>
      <c r="BW31" s="321">
        <v>8.1</v>
      </c>
      <c r="BX31" s="321">
        <v>4.0999999999999996</v>
      </c>
      <c r="BY31" s="321">
        <v>4.5999999999999996</v>
      </c>
      <c r="BZ31" s="321">
        <v>2.5</v>
      </c>
      <c r="CA31" s="321">
        <v>2.5</v>
      </c>
      <c r="CB31" s="321">
        <v>14.4</v>
      </c>
      <c r="CC31" s="321">
        <v>63.800000000000011</v>
      </c>
      <c r="CD31" s="321">
        <v>21.799999999999997</v>
      </c>
    </row>
    <row r="32" spans="1:82" s="308" customFormat="1" x14ac:dyDescent="0.25">
      <c r="A32" s="301" t="s">
        <v>371</v>
      </c>
      <c r="B32" s="301" t="s">
        <v>12</v>
      </c>
      <c r="C32" s="301" t="s">
        <v>4377</v>
      </c>
      <c r="D32" s="301" t="s">
        <v>13</v>
      </c>
      <c r="E32" s="301" t="s">
        <v>4378</v>
      </c>
      <c r="F32" s="301" t="s">
        <v>4272</v>
      </c>
      <c r="G32" s="301" t="s">
        <v>4379</v>
      </c>
      <c r="H32" s="302">
        <v>540016</v>
      </c>
      <c r="I32" s="303" t="s">
        <v>1411</v>
      </c>
      <c r="J32" s="301" t="s">
        <v>488</v>
      </c>
      <c r="K32" s="301" t="s">
        <v>488</v>
      </c>
      <c r="L32" s="304">
        <v>265.03821272465291</v>
      </c>
      <c r="M32" s="305">
        <v>44781</v>
      </c>
      <c r="N32" s="306">
        <v>168.96054172581822</v>
      </c>
      <c r="O32" s="305">
        <v>18533</v>
      </c>
      <c r="P32" s="306">
        <v>2.3975611072141585</v>
      </c>
      <c r="Q32" s="305">
        <v>44434</v>
      </c>
      <c r="R32" s="305">
        <v>1632</v>
      </c>
      <c r="S32" s="305">
        <v>1611</v>
      </c>
      <c r="T32" s="305">
        <v>1051</v>
      </c>
      <c r="U32" s="305">
        <v>1138</v>
      </c>
      <c r="V32" s="305">
        <v>1055</v>
      </c>
      <c r="W32" s="305">
        <v>880</v>
      </c>
      <c r="X32" s="305">
        <v>891</v>
      </c>
      <c r="Y32" s="305">
        <v>665</v>
      </c>
      <c r="Z32" s="305">
        <v>916</v>
      </c>
      <c r="AA32" s="305">
        <v>1219</v>
      </c>
      <c r="AB32" s="305">
        <v>1855</v>
      </c>
      <c r="AC32" s="305">
        <v>2201</v>
      </c>
      <c r="AD32" s="305">
        <v>1420</v>
      </c>
      <c r="AE32" s="305">
        <v>716</v>
      </c>
      <c r="AF32" s="305">
        <v>690</v>
      </c>
      <c r="AG32" s="305">
        <v>592</v>
      </c>
      <c r="AH32" s="306">
        <v>23.169481465493984</v>
      </c>
      <c r="AI32" s="306">
        <v>11.832946635730858</v>
      </c>
      <c r="AJ32" s="306">
        <v>18.086656234824368</v>
      </c>
      <c r="AK32" s="306">
        <v>6.5774564290724644</v>
      </c>
      <c r="AL32" s="306">
        <v>40.328063454378679</v>
      </c>
      <c r="AM32" s="305">
        <v>24646</v>
      </c>
      <c r="AN32" s="305">
        <v>37816</v>
      </c>
      <c r="AO32" s="306">
        <v>48.146549398370475</v>
      </c>
      <c r="AP32" s="305">
        <v>18533</v>
      </c>
      <c r="AQ32" s="305">
        <v>1973</v>
      </c>
      <c r="AR32" s="305">
        <v>13498</v>
      </c>
      <c r="AS32" s="305">
        <v>5035</v>
      </c>
      <c r="AT32" s="305">
        <v>608</v>
      </c>
      <c r="AU32" s="305">
        <v>698</v>
      </c>
      <c r="AV32" s="305">
        <v>2302</v>
      </c>
      <c r="AW32" s="305">
        <v>1038</v>
      </c>
      <c r="AX32" s="305">
        <v>850</v>
      </c>
      <c r="AY32" s="305">
        <v>1084</v>
      </c>
      <c r="AZ32" s="305">
        <v>1422</v>
      </c>
      <c r="BA32" s="305">
        <v>650</v>
      </c>
      <c r="BB32" s="305">
        <v>357</v>
      </c>
      <c r="BC32" s="305">
        <v>2263</v>
      </c>
      <c r="BD32" s="305">
        <v>566</v>
      </c>
      <c r="BE32" s="305">
        <v>118</v>
      </c>
      <c r="BF32" s="305">
        <v>4877</v>
      </c>
      <c r="BG32" s="305">
        <v>661</v>
      </c>
      <c r="BH32" s="305">
        <v>51</v>
      </c>
      <c r="BI32" s="306">
        <v>21.108293314627961</v>
      </c>
      <c r="BJ32" s="307">
        <v>5.8</v>
      </c>
      <c r="BK32" s="307">
        <v>5.0999999999999996</v>
      </c>
      <c r="BL32" s="307">
        <v>5.8</v>
      </c>
      <c r="BM32" s="307">
        <v>6.8</v>
      </c>
      <c r="BN32" s="307">
        <v>10.1</v>
      </c>
      <c r="BO32" s="307">
        <v>6.2</v>
      </c>
      <c r="BP32" s="307">
        <v>6.5</v>
      </c>
      <c r="BQ32" s="307">
        <v>5.6</v>
      </c>
      <c r="BR32" s="307">
        <v>6</v>
      </c>
      <c r="BS32" s="307">
        <v>5.8</v>
      </c>
      <c r="BT32" s="307">
        <v>6.1</v>
      </c>
      <c r="BU32" s="307">
        <v>6.6</v>
      </c>
      <c r="BV32" s="307">
        <v>6.3</v>
      </c>
      <c r="BW32" s="307">
        <v>5.7</v>
      </c>
      <c r="BX32" s="307">
        <v>4.0999999999999996</v>
      </c>
      <c r="BY32" s="307">
        <v>3.3</v>
      </c>
      <c r="BZ32" s="307">
        <v>2</v>
      </c>
      <c r="CA32" s="307">
        <v>2.2999999999999998</v>
      </c>
      <c r="CB32" s="307">
        <v>16.7</v>
      </c>
      <c r="CC32" s="307">
        <v>66</v>
      </c>
      <c r="CD32" s="307">
        <v>17.400000000000002</v>
      </c>
    </row>
    <row r="33" spans="1:82" x14ac:dyDescent="0.25">
      <c r="A33" s="130" t="s">
        <v>4380</v>
      </c>
      <c r="B33" s="130" t="s">
        <v>126</v>
      </c>
      <c r="C33" s="130" t="s">
        <v>4381</v>
      </c>
      <c r="D33" s="130" t="s">
        <v>13</v>
      </c>
      <c r="E33" s="130" t="s">
        <v>4378</v>
      </c>
      <c r="F33" s="130" t="s">
        <v>4272</v>
      </c>
      <c r="G33" s="130" t="s">
        <v>4382</v>
      </c>
      <c r="H33" s="309">
        <v>540017</v>
      </c>
      <c r="I33" s="277" t="s">
        <v>1412</v>
      </c>
      <c r="J33" s="130">
        <v>5404276</v>
      </c>
      <c r="K33" s="130" t="s">
        <v>4383</v>
      </c>
      <c r="L33" s="310">
        <v>4.1844626244946816</v>
      </c>
      <c r="M33" s="311">
        <v>4186</v>
      </c>
      <c r="N33" s="312">
        <v>1000.3674009408804</v>
      </c>
      <c r="O33" s="311">
        <v>1680</v>
      </c>
      <c r="P33" s="312">
        <v>2.08</v>
      </c>
      <c r="Q33" s="311">
        <v>3491</v>
      </c>
      <c r="R33" s="311">
        <v>87</v>
      </c>
      <c r="S33" s="311">
        <v>24</v>
      </c>
      <c r="T33" s="311">
        <v>96</v>
      </c>
      <c r="U33" s="311">
        <v>236</v>
      </c>
      <c r="V33" s="311">
        <v>148</v>
      </c>
      <c r="W33" s="311">
        <v>166</v>
      </c>
      <c r="X33" s="311">
        <v>100</v>
      </c>
      <c r="Y33" s="311">
        <v>79</v>
      </c>
      <c r="Z33" s="311">
        <v>52</v>
      </c>
      <c r="AA33" s="311">
        <v>139</v>
      </c>
      <c r="AB33" s="311">
        <v>105</v>
      </c>
      <c r="AC33" s="311">
        <v>153</v>
      </c>
      <c r="AD33" s="311">
        <v>132</v>
      </c>
      <c r="AE33" s="311">
        <v>51</v>
      </c>
      <c r="AF33" s="311">
        <v>18</v>
      </c>
      <c r="AG33" s="311">
        <v>94</v>
      </c>
      <c r="AH33" s="312">
        <v>12.321428571428573</v>
      </c>
      <c r="AI33" s="312">
        <v>22.857142857142858</v>
      </c>
      <c r="AJ33" s="312">
        <v>23.63095238095238</v>
      </c>
      <c r="AK33" s="312">
        <v>8.2738095238095237</v>
      </c>
      <c r="AL33" s="312">
        <v>32.916666666666664</v>
      </c>
      <c r="AM33" s="311">
        <v>30382</v>
      </c>
      <c r="AN33" s="311">
        <v>38629</v>
      </c>
      <c r="AO33" s="312">
        <v>55.714285714285715</v>
      </c>
      <c r="AP33" s="311">
        <v>1680</v>
      </c>
      <c r="AQ33" s="311">
        <v>111</v>
      </c>
      <c r="AR33" s="311">
        <v>870</v>
      </c>
      <c r="AS33" s="311">
        <v>810</v>
      </c>
      <c r="AT33" s="311">
        <v>30</v>
      </c>
      <c r="AU33" s="311">
        <v>15</v>
      </c>
      <c r="AV33" s="311">
        <v>151</v>
      </c>
      <c r="AW33" s="311">
        <v>95</v>
      </c>
      <c r="AX33" s="311">
        <v>44</v>
      </c>
      <c r="AY33" s="311">
        <v>378</v>
      </c>
      <c r="AZ33" s="311">
        <v>105</v>
      </c>
      <c r="BA33" s="311">
        <v>67</v>
      </c>
      <c r="BB33" s="311">
        <v>59</v>
      </c>
      <c r="BC33" s="311">
        <v>179</v>
      </c>
      <c r="BD33" s="311">
        <v>19</v>
      </c>
      <c r="BE33" s="311">
        <v>32</v>
      </c>
      <c r="BF33" s="311">
        <v>431</v>
      </c>
      <c r="BG33" s="311">
        <v>17</v>
      </c>
      <c r="BH33" s="311">
        <v>0</v>
      </c>
      <c r="BI33" s="312">
        <v>36.904761904761905</v>
      </c>
      <c r="BJ33" s="313">
        <v>5.5</v>
      </c>
      <c r="BK33" s="313">
        <v>2.2999999999999998</v>
      </c>
      <c r="BL33" s="313">
        <v>6.4</v>
      </c>
      <c r="BM33" s="313">
        <v>4.0999999999999996</v>
      </c>
      <c r="BN33" s="313">
        <v>10.1</v>
      </c>
      <c r="BO33" s="313">
        <v>10.3</v>
      </c>
      <c r="BP33" s="313">
        <v>9.9</v>
      </c>
      <c r="BQ33" s="313">
        <v>8.1999999999999993</v>
      </c>
      <c r="BR33" s="313">
        <v>5.2</v>
      </c>
      <c r="BS33" s="313">
        <v>3.1</v>
      </c>
      <c r="BT33" s="313">
        <v>5</v>
      </c>
      <c r="BU33" s="313">
        <v>9.3000000000000007</v>
      </c>
      <c r="BV33" s="313">
        <v>5.5</v>
      </c>
      <c r="BW33" s="313">
        <v>3.7</v>
      </c>
      <c r="BX33" s="313">
        <v>4.8</v>
      </c>
      <c r="BY33" s="313">
        <v>1.8</v>
      </c>
      <c r="BZ33" s="313">
        <v>2.6</v>
      </c>
      <c r="CA33" s="313">
        <v>2.2000000000000002</v>
      </c>
      <c r="CB33" s="313">
        <v>14.2</v>
      </c>
      <c r="CC33" s="313">
        <v>70.7</v>
      </c>
      <c r="CD33" s="313">
        <v>15.100000000000001</v>
      </c>
    </row>
    <row r="34" spans="1:82" s="330" customFormat="1" x14ac:dyDescent="0.25">
      <c r="A34" s="323" t="s">
        <v>4384</v>
      </c>
      <c r="B34" s="323" t="s">
        <v>127</v>
      </c>
      <c r="C34" s="323" t="s">
        <v>4385</v>
      </c>
      <c r="D34" s="323" t="s">
        <v>618</v>
      </c>
      <c r="E34" s="323" t="s">
        <v>4378</v>
      </c>
      <c r="F34" s="323" t="s">
        <v>4272</v>
      </c>
      <c r="G34" s="323" t="s">
        <v>4386</v>
      </c>
      <c r="H34" s="324">
        <v>540018</v>
      </c>
      <c r="I34" s="325" t="s">
        <v>4387</v>
      </c>
      <c r="J34" s="323">
        <v>5439460</v>
      </c>
      <c r="K34" s="323" t="s">
        <v>4388</v>
      </c>
      <c r="L34" s="326">
        <v>17.068851532910667</v>
      </c>
      <c r="M34" s="327">
        <v>44534</v>
      </c>
      <c r="N34" s="328">
        <v>2609.0800493597026</v>
      </c>
      <c r="O34" s="327">
        <v>18829</v>
      </c>
      <c r="P34" s="328">
        <v>2.21</v>
      </c>
      <c r="Q34" s="327">
        <v>41653</v>
      </c>
      <c r="R34" s="327">
        <v>3207</v>
      </c>
      <c r="S34" s="327">
        <v>2190</v>
      </c>
      <c r="T34" s="327">
        <v>1538</v>
      </c>
      <c r="U34" s="327">
        <v>1402</v>
      </c>
      <c r="V34" s="327">
        <v>994</v>
      </c>
      <c r="W34" s="327">
        <v>950</v>
      </c>
      <c r="X34" s="327">
        <v>817</v>
      </c>
      <c r="Y34" s="327">
        <v>833</v>
      </c>
      <c r="Z34" s="327">
        <v>754</v>
      </c>
      <c r="AA34" s="327">
        <v>1165</v>
      </c>
      <c r="AB34" s="327">
        <v>1348</v>
      </c>
      <c r="AC34" s="327">
        <v>1695</v>
      </c>
      <c r="AD34" s="327">
        <v>751</v>
      </c>
      <c r="AE34" s="327">
        <v>406</v>
      </c>
      <c r="AF34" s="327">
        <v>284</v>
      </c>
      <c r="AG34" s="327">
        <v>496</v>
      </c>
      <c r="AH34" s="328">
        <v>36.831483350151359</v>
      </c>
      <c r="AI34" s="328">
        <v>12.725051781825908</v>
      </c>
      <c r="AJ34" s="328">
        <v>17.812948111954963</v>
      </c>
      <c r="AK34" s="328">
        <v>6.1872643263051676</v>
      </c>
      <c r="AL34" s="328">
        <v>26.448563386265867</v>
      </c>
      <c r="AM34" s="327">
        <v>21690</v>
      </c>
      <c r="AN34" s="327">
        <v>30359</v>
      </c>
      <c r="AO34" s="328">
        <v>63.365022040469491</v>
      </c>
      <c r="AP34" s="327">
        <v>18829</v>
      </c>
      <c r="AQ34" s="327">
        <v>3916</v>
      </c>
      <c r="AR34" s="327">
        <v>9440</v>
      </c>
      <c r="AS34" s="327">
        <v>9389</v>
      </c>
      <c r="AT34" s="327">
        <v>719</v>
      </c>
      <c r="AU34" s="327">
        <v>653</v>
      </c>
      <c r="AV34" s="327">
        <v>4656</v>
      </c>
      <c r="AW34" s="327">
        <v>964</v>
      </c>
      <c r="AX34" s="327">
        <v>855</v>
      </c>
      <c r="AY34" s="327">
        <v>1460</v>
      </c>
      <c r="AZ34" s="327">
        <v>1180</v>
      </c>
      <c r="BA34" s="327">
        <v>715</v>
      </c>
      <c r="BB34" s="327">
        <v>337</v>
      </c>
      <c r="BC34" s="327">
        <v>1767</v>
      </c>
      <c r="BD34" s="327">
        <v>561</v>
      </c>
      <c r="BE34" s="327">
        <v>113</v>
      </c>
      <c r="BF34" s="327">
        <v>3319</v>
      </c>
      <c r="BG34" s="327">
        <v>231</v>
      </c>
      <c r="BH34" s="327">
        <v>34</v>
      </c>
      <c r="BI34" s="328">
        <v>35.041691008550643</v>
      </c>
      <c r="BJ34" s="329">
        <v>6</v>
      </c>
      <c r="BK34" s="329">
        <v>5.3</v>
      </c>
      <c r="BL34" s="329">
        <v>5.2</v>
      </c>
      <c r="BM34" s="329">
        <v>7.7</v>
      </c>
      <c r="BN34" s="329">
        <v>13.9</v>
      </c>
      <c r="BO34" s="329">
        <v>7</v>
      </c>
      <c r="BP34" s="329">
        <v>6</v>
      </c>
      <c r="BQ34" s="329">
        <v>5.5</v>
      </c>
      <c r="BR34" s="329">
        <v>5.6</v>
      </c>
      <c r="BS34" s="329">
        <v>5.0999999999999996</v>
      </c>
      <c r="BT34" s="329">
        <v>5.6</v>
      </c>
      <c r="BU34" s="329">
        <v>5.9</v>
      </c>
      <c r="BV34" s="329">
        <v>6</v>
      </c>
      <c r="BW34" s="329">
        <v>5.3</v>
      </c>
      <c r="BX34" s="329">
        <v>3.4</v>
      </c>
      <c r="BY34" s="329">
        <v>2.8</v>
      </c>
      <c r="BZ34" s="329">
        <v>1.7</v>
      </c>
      <c r="CA34" s="329">
        <v>2.1</v>
      </c>
      <c r="CB34" s="329">
        <v>16.5</v>
      </c>
      <c r="CC34" s="329">
        <v>68.300000000000011</v>
      </c>
      <c r="CD34" s="329">
        <v>15.299999999999999</v>
      </c>
    </row>
    <row r="35" spans="1:82" x14ac:dyDescent="0.25">
      <c r="A35" s="130" t="s">
        <v>4389</v>
      </c>
      <c r="B35" s="130" t="s">
        <v>128</v>
      </c>
      <c r="C35" s="130" t="s">
        <v>4390</v>
      </c>
      <c r="D35" s="130" t="s">
        <v>13</v>
      </c>
      <c r="E35" s="130" t="s">
        <v>4378</v>
      </c>
      <c r="F35" s="130" t="s">
        <v>4272</v>
      </c>
      <c r="G35" s="130" t="s">
        <v>4391</v>
      </c>
      <c r="H35" s="309">
        <v>540019</v>
      </c>
      <c r="I35" s="277" t="s">
        <v>1414</v>
      </c>
      <c r="J35" s="130">
        <v>5454484</v>
      </c>
      <c r="K35" s="130" t="s">
        <v>4392</v>
      </c>
      <c r="L35" s="310">
        <v>1.5694563158958368</v>
      </c>
      <c r="M35" s="311">
        <v>2599</v>
      </c>
      <c r="N35" s="312">
        <v>1655.9874739275592</v>
      </c>
      <c r="O35" s="311">
        <v>1197</v>
      </c>
      <c r="P35" s="312">
        <v>2.17</v>
      </c>
      <c r="Q35" s="311">
        <v>2599</v>
      </c>
      <c r="R35" s="311">
        <v>128</v>
      </c>
      <c r="S35" s="311">
        <v>105</v>
      </c>
      <c r="T35" s="311">
        <v>91</v>
      </c>
      <c r="U35" s="311">
        <v>74</v>
      </c>
      <c r="V35" s="311">
        <v>41</v>
      </c>
      <c r="W35" s="311">
        <v>103</v>
      </c>
      <c r="X35" s="311">
        <v>81</v>
      </c>
      <c r="Y35" s="311">
        <v>34</v>
      </c>
      <c r="Z35" s="311">
        <v>69</v>
      </c>
      <c r="AA35" s="311">
        <v>105</v>
      </c>
      <c r="AB35" s="311">
        <v>127</v>
      </c>
      <c r="AC35" s="311">
        <v>109</v>
      </c>
      <c r="AD35" s="311">
        <v>62</v>
      </c>
      <c r="AE35" s="311">
        <v>36</v>
      </c>
      <c r="AF35" s="311">
        <v>20</v>
      </c>
      <c r="AG35" s="311">
        <v>12</v>
      </c>
      <c r="AH35" s="312">
        <v>27.06766917293233</v>
      </c>
      <c r="AI35" s="312">
        <v>9.6073517126148698</v>
      </c>
      <c r="AJ35" s="312">
        <v>23.976608187134502</v>
      </c>
      <c r="AK35" s="312">
        <v>8.7719298245614024</v>
      </c>
      <c r="AL35" s="312">
        <v>30.576441102756892</v>
      </c>
      <c r="AM35" s="311">
        <v>22841</v>
      </c>
      <c r="AN35" s="311">
        <v>38299</v>
      </c>
      <c r="AO35" s="312">
        <v>54.887218045112782</v>
      </c>
      <c r="AP35" s="311">
        <v>1197</v>
      </c>
      <c r="AQ35" s="311">
        <v>168</v>
      </c>
      <c r="AR35" s="311">
        <v>715</v>
      </c>
      <c r="AS35" s="311">
        <v>482</v>
      </c>
      <c r="AT35" s="311">
        <v>11</v>
      </c>
      <c r="AU35" s="311">
        <v>47</v>
      </c>
      <c r="AV35" s="311">
        <v>208</v>
      </c>
      <c r="AW35" s="311">
        <v>74</v>
      </c>
      <c r="AX35" s="311">
        <v>66</v>
      </c>
      <c r="AY35" s="311">
        <v>78</v>
      </c>
      <c r="AZ35" s="311">
        <v>98</v>
      </c>
      <c r="BA35" s="311">
        <v>61</v>
      </c>
      <c r="BB35" s="311">
        <v>18</v>
      </c>
      <c r="BC35" s="311">
        <v>198</v>
      </c>
      <c r="BD35" s="311">
        <v>27</v>
      </c>
      <c r="BE35" s="311">
        <v>7</v>
      </c>
      <c r="BF35" s="311">
        <v>205</v>
      </c>
      <c r="BG35" s="311">
        <v>13</v>
      </c>
      <c r="BH35" s="311">
        <v>0</v>
      </c>
      <c r="BI35" s="312">
        <v>25.981620718462821</v>
      </c>
      <c r="BJ35" s="313">
        <v>2.7</v>
      </c>
      <c r="BK35" s="313">
        <v>6</v>
      </c>
      <c r="BL35" s="313">
        <v>5.8</v>
      </c>
      <c r="BM35" s="313">
        <v>6.8</v>
      </c>
      <c r="BN35" s="313">
        <v>7.1</v>
      </c>
      <c r="BO35" s="313">
        <v>6.7</v>
      </c>
      <c r="BP35" s="313">
        <v>3.9</v>
      </c>
      <c r="BQ35" s="313">
        <v>3.5</v>
      </c>
      <c r="BR35" s="313">
        <v>6.7</v>
      </c>
      <c r="BS35" s="313">
        <v>7.3</v>
      </c>
      <c r="BT35" s="313">
        <v>8.9</v>
      </c>
      <c r="BU35" s="313">
        <v>8.6999999999999993</v>
      </c>
      <c r="BV35" s="313">
        <v>6.8</v>
      </c>
      <c r="BW35" s="313">
        <v>6.5</v>
      </c>
      <c r="BX35" s="313">
        <v>3.6</v>
      </c>
      <c r="BY35" s="313">
        <v>3.2</v>
      </c>
      <c r="BZ35" s="313">
        <v>3.3</v>
      </c>
      <c r="CA35" s="313">
        <v>2.6</v>
      </c>
      <c r="CB35" s="313">
        <v>14.5</v>
      </c>
      <c r="CC35" s="313">
        <v>66.399999999999991</v>
      </c>
      <c r="CD35" s="313">
        <v>19.200000000000003</v>
      </c>
    </row>
    <row r="36" spans="1:82" s="322" customFormat="1" x14ac:dyDescent="0.25">
      <c r="A36" s="314" t="s">
        <v>4393</v>
      </c>
      <c r="B36" s="315" t="s">
        <v>348</v>
      </c>
      <c r="C36" s="314"/>
      <c r="D36" s="314"/>
      <c r="E36" s="314"/>
      <c r="F36" s="314"/>
      <c r="G36" s="314"/>
      <c r="H36" s="316"/>
      <c r="I36" s="317"/>
      <c r="J36" s="314">
        <v>54011</v>
      </c>
      <c r="K36" s="314" t="s">
        <v>4394</v>
      </c>
      <c r="L36" s="318">
        <v>287.86098319795411</v>
      </c>
      <c r="M36" s="319">
        <v>96100</v>
      </c>
      <c r="N36" s="320">
        <v>333.84170001918829</v>
      </c>
      <c r="O36" s="319">
        <v>40239</v>
      </c>
      <c r="P36" s="320">
        <v>2.29</v>
      </c>
      <c r="Q36" s="319">
        <v>92177</v>
      </c>
      <c r="R36" s="319">
        <v>5054</v>
      </c>
      <c r="S36" s="319">
        <v>3930</v>
      </c>
      <c r="T36" s="319">
        <v>2776</v>
      </c>
      <c r="U36" s="319">
        <v>2850</v>
      </c>
      <c r="V36" s="319">
        <v>2238</v>
      </c>
      <c r="W36" s="319">
        <v>2099</v>
      </c>
      <c r="X36" s="319">
        <v>1889</v>
      </c>
      <c r="Y36" s="319">
        <v>1611</v>
      </c>
      <c r="Z36" s="319">
        <v>1791</v>
      </c>
      <c r="AA36" s="319">
        <v>2628</v>
      </c>
      <c r="AB36" s="319">
        <v>3435</v>
      </c>
      <c r="AC36" s="319">
        <v>4158</v>
      </c>
      <c r="AD36" s="319">
        <v>2365</v>
      </c>
      <c r="AE36" s="319">
        <v>1209</v>
      </c>
      <c r="AF36" s="319">
        <v>1012</v>
      </c>
      <c r="AG36" s="319">
        <v>1194</v>
      </c>
      <c r="AH36" s="320">
        <v>29.225378364273467</v>
      </c>
      <c r="AI36" s="320">
        <v>12.644449414746886</v>
      </c>
      <c r="AJ36" s="320">
        <v>18.365267526528989</v>
      </c>
      <c r="AK36" s="320">
        <v>6.5309774099753968</v>
      </c>
      <c r="AL36" s="320">
        <v>33.233927284475264</v>
      </c>
      <c r="AM36" s="319">
        <v>24646</v>
      </c>
      <c r="AN36" s="319">
        <v>37816</v>
      </c>
      <c r="AO36" s="320">
        <v>55.784189467929124</v>
      </c>
      <c r="AP36" s="319">
        <v>40239</v>
      </c>
      <c r="AQ36" s="319">
        <v>6168</v>
      </c>
      <c r="AR36" s="319">
        <v>24523</v>
      </c>
      <c r="AS36" s="319">
        <v>15716</v>
      </c>
      <c r="AT36" s="319">
        <v>1368</v>
      </c>
      <c r="AU36" s="319">
        <v>1413</v>
      </c>
      <c r="AV36" s="319">
        <v>7317</v>
      </c>
      <c r="AW36" s="319">
        <v>2171</v>
      </c>
      <c r="AX36" s="319">
        <v>1815</v>
      </c>
      <c r="AY36" s="319">
        <v>3000</v>
      </c>
      <c r="AZ36" s="319">
        <v>2805</v>
      </c>
      <c r="BA36" s="319">
        <v>1493</v>
      </c>
      <c r="BB36" s="319">
        <v>771</v>
      </c>
      <c r="BC36" s="319">
        <v>4407</v>
      </c>
      <c r="BD36" s="319">
        <v>1173</v>
      </c>
      <c r="BE36" s="319">
        <v>270</v>
      </c>
      <c r="BF36" s="319">
        <v>8832</v>
      </c>
      <c r="BG36" s="319">
        <v>922</v>
      </c>
      <c r="BH36" s="319">
        <v>85</v>
      </c>
      <c r="BI36" s="320">
        <v>28.437585427073238</v>
      </c>
      <c r="BJ36" s="321">
        <v>5.8</v>
      </c>
      <c r="BK36" s="321">
        <v>5.0999999999999996</v>
      </c>
      <c r="BL36" s="321">
        <v>5.8</v>
      </c>
      <c r="BM36" s="321">
        <v>6.8</v>
      </c>
      <c r="BN36" s="321">
        <v>10.1</v>
      </c>
      <c r="BO36" s="321">
        <v>6.2</v>
      </c>
      <c r="BP36" s="321">
        <v>6.5</v>
      </c>
      <c r="BQ36" s="321">
        <v>5.6</v>
      </c>
      <c r="BR36" s="321">
        <v>6</v>
      </c>
      <c r="BS36" s="321">
        <v>5.8</v>
      </c>
      <c r="BT36" s="321">
        <v>6.1</v>
      </c>
      <c r="BU36" s="321">
        <v>6.6</v>
      </c>
      <c r="BV36" s="321">
        <v>6.3</v>
      </c>
      <c r="BW36" s="321">
        <v>5.7</v>
      </c>
      <c r="BX36" s="321">
        <v>4.0999999999999996</v>
      </c>
      <c r="BY36" s="321">
        <v>3.3</v>
      </c>
      <c r="BZ36" s="321">
        <v>2</v>
      </c>
      <c r="CA36" s="321">
        <v>2.2999999999999998</v>
      </c>
      <c r="CB36" s="321">
        <v>16.7</v>
      </c>
      <c r="CC36" s="321">
        <v>66</v>
      </c>
      <c r="CD36" s="321">
        <v>17.400000000000002</v>
      </c>
    </row>
    <row r="37" spans="1:82" s="308" customFormat="1" x14ac:dyDescent="0.25">
      <c r="A37" s="301" t="s">
        <v>4395</v>
      </c>
      <c r="B37" s="301" t="s">
        <v>14</v>
      </c>
      <c r="C37" s="301" t="s">
        <v>4396</v>
      </c>
      <c r="D37" s="301" t="s">
        <v>15</v>
      </c>
      <c r="E37" s="301" t="s">
        <v>4397</v>
      </c>
      <c r="F37" s="301" t="s">
        <v>4272</v>
      </c>
      <c r="G37" s="301" t="s">
        <v>4398</v>
      </c>
      <c r="H37" s="302">
        <v>540020</v>
      </c>
      <c r="I37" s="303" t="s">
        <v>1415</v>
      </c>
      <c r="J37" s="301" t="s">
        <v>488</v>
      </c>
      <c r="K37" s="301" t="s">
        <v>488</v>
      </c>
      <c r="L37" s="304">
        <v>279.81012937132573</v>
      </c>
      <c r="M37" s="305">
        <v>6860</v>
      </c>
      <c r="N37" s="306">
        <v>24.516624953546074</v>
      </c>
      <c r="O37" s="305">
        <v>2598</v>
      </c>
      <c r="P37" s="306">
        <v>2.6404926866820633</v>
      </c>
      <c r="Q37" s="305">
        <v>6860</v>
      </c>
      <c r="R37" s="305">
        <v>292</v>
      </c>
      <c r="S37" s="305">
        <v>125</v>
      </c>
      <c r="T37" s="305">
        <v>236</v>
      </c>
      <c r="U37" s="305">
        <v>277</v>
      </c>
      <c r="V37" s="305">
        <v>112</v>
      </c>
      <c r="W37" s="305">
        <v>217</v>
      </c>
      <c r="X37" s="305">
        <v>109</v>
      </c>
      <c r="Y37" s="305">
        <v>85</v>
      </c>
      <c r="Z37" s="305">
        <v>152</v>
      </c>
      <c r="AA37" s="305">
        <v>161</v>
      </c>
      <c r="AB37" s="305">
        <v>242</v>
      </c>
      <c r="AC37" s="305">
        <v>355</v>
      </c>
      <c r="AD37" s="305">
        <v>94</v>
      </c>
      <c r="AE37" s="305">
        <v>56</v>
      </c>
      <c r="AF37" s="305">
        <v>59</v>
      </c>
      <c r="AG37" s="305">
        <v>26</v>
      </c>
      <c r="AH37" s="306">
        <v>25.13471901462664</v>
      </c>
      <c r="AI37" s="306">
        <v>14.973056197074671</v>
      </c>
      <c r="AJ37" s="306">
        <v>21.670515781370284</v>
      </c>
      <c r="AK37" s="306">
        <v>6.1970746728252504</v>
      </c>
      <c r="AL37" s="306">
        <v>32.024634334103155</v>
      </c>
      <c r="AM37" s="305">
        <v>19696</v>
      </c>
      <c r="AN37" s="305">
        <v>36279</v>
      </c>
      <c r="AO37" s="306">
        <v>55.927636643571979</v>
      </c>
      <c r="AP37" s="305">
        <v>2598</v>
      </c>
      <c r="AQ37" s="305">
        <v>1064</v>
      </c>
      <c r="AR37" s="305">
        <v>2235</v>
      </c>
      <c r="AS37" s="305">
        <v>363</v>
      </c>
      <c r="AT37" s="305">
        <v>259</v>
      </c>
      <c r="AU37" s="305">
        <v>95</v>
      </c>
      <c r="AV37" s="305">
        <v>188</v>
      </c>
      <c r="AW37" s="305">
        <v>405</v>
      </c>
      <c r="AX37" s="305">
        <v>102</v>
      </c>
      <c r="AY37" s="305">
        <v>65</v>
      </c>
      <c r="AZ37" s="305">
        <v>260</v>
      </c>
      <c r="BA37" s="305">
        <v>86</v>
      </c>
      <c r="BB37" s="305">
        <v>0</v>
      </c>
      <c r="BC37" s="305">
        <v>362</v>
      </c>
      <c r="BD37" s="305">
        <v>41</v>
      </c>
      <c r="BE37" s="305">
        <v>0</v>
      </c>
      <c r="BF37" s="305">
        <v>530</v>
      </c>
      <c r="BG37" s="305">
        <v>52</v>
      </c>
      <c r="BH37" s="305">
        <v>0</v>
      </c>
      <c r="BI37" s="306">
        <v>9.7382602001539649</v>
      </c>
      <c r="BJ37" s="307">
        <v>5</v>
      </c>
      <c r="BK37" s="307">
        <v>4.5999999999999996</v>
      </c>
      <c r="BL37" s="307">
        <v>6.5</v>
      </c>
      <c r="BM37" s="307">
        <v>5.0999999999999996</v>
      </c>
      <c r="BN37" s="307">
        <v>4.2</v>
      </c>
      <c r="BO37" s="307">
        <v>4.8</v>
      </c>
      <c r="BP37" s="307">
        <v>5.0999999999999996</v>
      </c>
      <c r="BQ37" s="307">
        <v>4.3</v>
      </c>
      <c r="BR37" s="307">
        <v>7.2</v>
      </c>
      <c r="BS37" s="307">
        <v>6.6</v>
      </c>
      <c r="BT37" s="307">
        <v>7.8</v>
      </c>
      <c r="BU37" s="307">
        <v>8.1999999999999993</v>
      </c>
      <c r="BV37" s="307">
        <v>8.3000000000000007</v>
      </c>
      <c r="BW37" s="307">
        <v>7.2</v>
      </c>
      <c r="BX37" s="307">
        <v>6</v>
      </c>
      <c r="BY37" s="307">
        <v>3.4</v>
      </c>
      <c r="BZ37" s="307">
        <v>1.9</v>
      </c>
      <c r="CA37" s="307">
        <v>3.7</v>
      </c>
      <c r="CB37" s="307">
        <v>16.100000000000001</v>
      </c>
      <c r="CC37" s="307">
        <v>61.599999999999994</v>
      </c>
      <c r="CD37" s="307">
        <v>22.199999999999996</v>
      </c>
    </row>
    <row r="38" spans="1:82" x14ac:dyDescent="0.25">
      <c r="A38" s="130" t="s">
        <v>4399</v>
      </c>
      <c r="B38" s="130" t="s">
        <v>129</v>
      </c>
      <c r="C38" s="130" t="s">
        <v>4400</v>
      </c>
      <c r="D38" s="130" t="s">
        <v>15</v>
      </c>
      <c r="E38" s="130" t="s">
        <v>4397</v>
      </c>
      <c r="F38" s="130" t="s">
        <v>4272</v>
      </c>
      <c r="G38" s="130" t="s">
        <v>4401</v>
      </c>
      <c r="H38" s="309">
        <v>540021</v>
      </c>
      <c r="I38" s="277" t="s">
        <v>1416</v>
      </c>
      <c r="J38" s="130">
        <v>5432884</v>
      </c>
      <c r="K38" s="130" t="s">
        <v>4402</v>
      </c>
      <c r="L38" s="310">
        <v>0.46144171353345187</v>
      </c>
      <c r="M38" s="311">
        <v>590</v>
      </c>
      <c r="N38" s="312">
        <v>1278.6013546155671</v>
      </c>
      <c r="O38" s="311">
        <v>210</v>
      </c>
      <c r="P38" s="312">
        <v>2.7</v>
      </c>
      <c r="Q38" s="311">
        <v>567</v>
      </c>
      <c r="R38" s="311">
        <v>35</v>
      </c>
      <c r="S38" s="311">
        <v>15</v>
      </c>
      <c r="T38" s="311">
        <v>29</v>
      </c>
      <c r="U38" s="311">
        <v>18</v>
      </c>
      <c r="V38" s="311">
        <v>10</v>
      </c>
      <c r="W38" s="311">
        <v>16</v>
      </c>
      <c r="X38" s="311">
        <v>4</v>
      </c>
      <c r="Y38" s="311">
        <v>8</v>
      </c>
      <c r="Z38" s="311">
        <v>2</v>
      </c>
      <c r="AA38" s="311">
        <v>2</v>
      </c>
      <c r="AB38" s="311">
        <v>30</v>
      </c>
      <c r="AC38" s="311">
        <v>16</v>
      </c>
      <c r="AD38" s="311">
        <v>17</v>
      </c>
      <c r="AE38" s="311">
        <v>2</v>
      </c>
      <c r="AF38" s="311">
        <v>4</v>
      </c>
      <c r="AG38" s="311">
        <v>2</v>
      </c>
      <c r="AH38" s="312">
        <v>37.61904761904762</v>
      </c>
      <c r="AI38" s="312">
        <v>13.333333333333334</v>
      </c>
      <c r="AJ38" s="312">
        <v>14.285714285714285</v>
      </c>
      <c r="AK38" s="312">
        <v>0.95238095238095244</v>
      </c>
      <c r="AL38" s="312">
        <v>33.80952380952381</v>
      </c>
      <c r="AM38" s="311">
        <v>18152</v>
      </c>
      <c r="AN38" s="311">
        <v>29167</v>
      </c>
      <c r="AO38" s="312">
        <v>64.285714285714292</v>
      </c>
      <c r="AP38" s="311">
        <v>210</v>
      </c>
      <c r="AQ38" s="311">
        <v>101</v>
      </c>
      <c r="AR38" s="311">
        <v>120</v>
      </c>
      <c r="AS38" s="311">
        <v>90</v>
      </c>
      <c r="AT38" s="311">
        <v>0</v>
      </c>
      <c r="AU38" s="311">
        <v>2</v>
      </c>
      <c r="AV38" s="311">
        <v>62</v>
      </c>
      <c r="AW38" s="311">
        <v>10</v>
      </c>
      <c r="AX38" s="311">
        <v>11</v>
      </c>
      <c r="AY38" s="311">
        <v>23</v>
      </c>
      <c r="AZ38" s="311">
        <v>10</v>
      </c>
      <c r="BA38" s="311">
        <v>2</v>
      </c>
      <c r="BB38" s="311">
        <v>2</v>
      </c>
      <c r="BC38" s="311">
        <v>30</v>
      </c>
      <c r="BD38" s="311">
        <v>2</v>
      </c>
      <c r="BE38" s="311">
        <v>0</v>
      </c>
      <c r="BF38" s="311">
        <v>37</v>
      </c>
      <c r="BG38" s="311">
        <v>0</v>
      </c>
      <c r="BH38" s="311">
        <v>0</v>
      </c>
      <c r="BI38" s="312">
        <v>41.428571428571431</v>
      </c>
      <c r="BJ38" s="313">
        <v>6.6</v>
      </c>
      <c r="BK38" s="313">
        <v>3.7</v>
      </c>
      <c r="BL38" s="313">
        <v>14.9</v>
      </c>
      <c r="BM38" s="313">
        <v>5.6</v>
      </c>
      <c r="BN38" s="313">
        <v>1.5</v>
      </c>
      <c r="BO38" s="313">
        <v>8.3000000000000007</v>
      </c>
      <c r="BP38" s="313">
        <v>5.0999999999999996</v>
      </c>
      <c r="BQ38" s="313">
        <v>3.1</v>
      </c>
      <c r="BR38" s="313">
        <v>5.4</v>
      </c>
      <c r="BS38" s="313">
        <v>5.4</v>
      </c>
      <c r="BT38" s="313">
        <v>7.5</v>
      </c>
      <c r="BU38" s="313">
        <v>5.0999999999999996</v>
      </c>
      <c r="BV38" s="313">
        <v>5.4</v>
      </c>
      <c r="BW38" s="313">
        <v>3.1</v>
      </c>
      <c r="BX38" s="313">
        <v>4.9000000000000004</v>
      </c>
      <c r="BY38" s="313">
        <v>3.7</v>
      </c>
      <c r="BZ38" s="313">
        <v>2.7</v>
      </c>
      <c r="CA38" s="313">
        <v>8</v>
      </c>
      <c r="CB38" s="313">
        <v>25.200000000000003</v>
      </c>
      <c r="CC38" s="313">
        <v>52.4</v>
      </c>
      <c r="CD38" s="313">
        <v>22.4</v>
      </c>
    </row>
    <row r="39" spans="1:82" s="322" customFormat="1" x14ac:dyDescent="0.25">
      <c r="A39" s="314" t="s">
        <v>4403</v>
      </c>
      <c r="B39" s="315" t="s">
        <v>348</v>
      </c>
      <c r="C39" s="314"/>
      <c r="D39" s="314"/>
      <c r="E39" s="314"/>
      <c r="F39" s="314"/>
      <c r="G39" s="314"/>
      <c r="H39" s="316"/>
      <c r="I39" s="317"/>
      <c r="J39" s="314">
        <v>54013</v>
      </c>
      <c r="K39" s="314" t="s">
        <v>4404</v>
      </c>
      <c r="L39" s="318">
        <v>280.2715710848592</v>
      </c>
      <c r="M39" s="319">
        <v>7450</v>
      </c>
      <c r="N39" s="320">
        <v>26.5813616813256</v>
      </c>
      <c r="O39" s="319">
        <v>2808</v>
      </c>
      <c r="P39" s="320">
        <v>2.64</v>
      </c>
      <c r="Q39" s="319">
        <v>7427</v>
      </c>
      <c r="R39" s="319">
        <v>327</v>
      </c>
      <c r="S39" s="319">
        <v>140</v>
      </c>
      <c r="T39" s="319">
        <v>265</v>
      </c>
      <c r="U39" s="319">
        <v>295</v>
      </c>
      <c r="V39" s="319">
        <v>122</v>
      </c>
      <c r="W39" s="319">
        <v>233</v>
      </c>
      <c r="X39" s="319">
        <v>113</v>
      </c>
      <c r="Y39" s="319">
        <v>93</v>
      </c>
      <c r="Z39" s="319">
        <v>154</v>
      </c>
      <c r="AA39" s="319">
        <v>163</v>
      </c>
      <c r="AB39" s="319">
        <v>272</v>
      </c>
      <c r="AC39" s="319">
        <v>371</v>
      </c>
      <c r="AD39" s="319">
        <v>111</v>
      </c>
      <c r="AE39" s="319">
        <v>58</v>
      </c>
      <c r="AF39" s="319">
        <v>63</v>
      </c>
      <c r="AG39" s="319">
        <v>28</v>
      </c>
      <c r="AH39" s="320">
        <v>26.068376068376072</v>
      </c>
      <c r="AI39" s="320">
        <v>14.850427350427351</v>
      </c>
      <c r="AJ39" s="320">
        <v>21.118233618233617</v>
      </c>
      <c r="AK39" s="320">
        <v>5.8048433048433044</v>
      </c>
      <c r="AL39" s="320">
        <v>32.158119658119659</v>
      </c>
      <c r="AM39" s="319">
        <v>19696</v>
      </c>
      <c r="AN39" s="319">
        <v>36279</v>
      </c>
      <c r="AO39" s="320">
        <v>56.552706552706553</v>
      </c>
      <c r="AP39" s="319">
        <v>2808</v>
      </c>
      <c r="AQ39" s="319">
        <v>1165</v>
      </c>
      <c r="AR39" s="319">
        <v>2355</v>
      </c>
      <c r="AS39" s="319">
        <v>453</v>
      </c>
      <c r="AT39" s="319">
        <v>259</v>
      </c>
      <c r="AU39" s="319">
        <v>97</v>
      </c>
      <c r="AV39" s="319">
        <v>250</v>
      </c>
      <c r="AW39" s="319">
        <v>415</v>
      </c>
      <c r="AX39" s="319">
        <v>113</v>
      </c>
      <c r="AY39" s="319">
        <v>88</v>
      </c>
      <c r="AZ39" s="319">
        <v>270</v>
      </c>
      <c r="BA39" s="319">
        <v>88</v>
      </c>
      <c r="BB39" s="319">
        <v>2</v>
      </c>
      <c r="BC39" s="319">
        <v>392</v>
      </c>
      <c r="BD39" s="319">
        <v>43</v>
      </c>
      <c r="BE39" s="319">
        <v>0</v>
      </c>
      <c r="BF39" s="319">
        <v>567</v>
      </c>
      <c r="BG39" s="319">
        <v>52</v>
      </c>
      <c r="BH39" s="319">
        <v>0</v>
      </c>
      <c r="BI39" s="320">
        <v>12.108262108262108</v>
      </c>
      <c r="BJ39" s="321">
        <v>5</v>
      </c>
      <c r="BK39" s="321">
        <v>4.5999999999999996</v>
      </c>
      <c r="BL39" s="321">
        <v>6.5</v>
      </c>
      <c r="BM39" s="321">
        <v>5.0999999999999996</v>
      </c>
      <c r="BN39" s="321">
        <v>4.2</v>
      </c>
      <c r="BO39" s="321">
        <v>4.8</v>
      </c>
      <c r="BP39" s="321">
        <v>5.0999999999999996</v>
      </c>
      <c r="BQ39" s="321">
        <v>4.3</v>
      </c>
      <c r="BR39" s="321">
        <v>7.2</v>
      </c>
      <c r="BS39" s="321">
        <v>6.6</v>
      </c>
      <c r="BT39" s="321">
        <v>7.8</v>
      </c>
      <c r="BU39" s="321">
        <v>8.1999999999999993</v>
      </c>
      <c r="BV39" s="321">
        <v>8.3000000000000007</v>
      </c>
      <c r="BW39" s="321">
        <v>7.2</v>
      </c>
      <c r="BX39" s="321">
        <v>6</v>
      </c>
      <c r="BY39" s="321">
        <v>3.4</v>
      </c>
      <c r="BZ39" s="321">
        <v>1.9</v>
      </c>
      <c r="CA39" s="321">
        <v>3.7</v>
      </c>
      <c r="CB39" s="321">
        <v>16.100000000000001</v>
      </c>
      <c r="CC39" s="321">
        <v>61.599999999999994</v>
      </c>
      <c r="CD39" s="321">
        <v>22.199999999999996</v>
      </c>
    </row>
    <row r="40" spans="1:82" s="308" customFormat="1" x14ac:dyDescent="0.25">
      <c r="A40" s="301" t="s">
        <v>4405</v>
      </c>
      <c r="B40" s="301" t="s">
        <v>16</v>
      </c>
      <c r="C40" s="301" t="s">
        <v>4406</v>
      </c>
      <c r="D40" s="301" t="s">
        <v>17</v>
      </c>
      <c r="E40" s="301" t="s">
        <v>4407</v>
      </c>
      <c r="F40" s="301" t="s">
        <v>4272</v>
      </c>
      <c r="G40" s="301" t="s">
        <v>4408</v>
      </c>
      <c r="H40" s="302">
        <v>540022</v>
      </c>
      <c r="I40" s="303" t="s">
        <v>1417</v>
      </c>
      <c r="J40" s="301" t="s">
        <v>488</v>
      </c>
      <c r="K40" s="301" t="s">
        <v>488</v>
      </c>
      <c r="L40" s="304">
        <v>342.98739680840686</v>
      </c>
      <c r="M40" s="305">
        <v>8248</v>
      </c>
      <c r="N40" s="306">
        <v>24.047530832765094</v>
      </c>
      <c r="O40" s="305">
        <v>3112</v>
      </c>
      <c r="P40" s="306">
        <v>2.6323907455012852</v>
      </c>
      <c r="Q40" s="305">
        <v>8192</v>
      </c>
      <c r="R40" s="305">
        <v>347</v>
      </c>
      <c r="S40" s="305">
        <v>323</v>
      </c>
      <c r="T40" s="305">
        <v>293</v>
      </c>
      <c r="U40" s="305">
        <v>230</v>
      </c>
      <c r="V40" s="305">
        <v>210</v>
      </c>
      <c r="W40" s="305">
        <v>160</v>
      </c>
      <c r="X40" s="305">
        <v>233</v>
      </c>
      <c r="Y40" s="305">
        <v>178</v>
      </c>
      <c r="Z40" s="305">
        <v>166</v>
      </c>
      <c r="AA40" s="305">
        <v>233</v>
      </c>
      <c r="AB40" s="305">
        <v>283</v>
      </c>
      <c r="AC40" s="305">
        <v>284</v>
      </c>
      <c r="AD40" s="305">
        <v>89</v>
      </c>
      <c r="AE40" s="305">
        <v>61</v>
      </c>
      <c r="AF40" s="305">
        <v>12</v>
      </c>
      <c r="AG40" s="305">
        <v>10</v>
      </c>
      <c r="AH40" s="306">
        <v>30.944730077120823</v>
      </c>
      <c r="AI40" s="306">
        <v>14.138817480719796</v>
      </c>
      <c r="AJ40" s="306">
        <v>23.682519280205653</v>
      </c>
      <c r="AK40" s="306">
        <v>7.4871465295629829</v>
      </c>
      <c r="AL40" s="306">
        <v>23.746786632390744</v>
      </c>
      <c r="AM40" s="305">
        <v>16229</v>
      </c>
      <c r="AN40" s="305">
        <v>34242</v>
      </c>
      <c r="AO40" s="306">
        <v>63.431876606683801</v>
      </c>
      <c r="AP40" s="305">
        <v>3112</v>
      </c>
      <c r="AQ40" s="305">
        <v>1163</v>
      </c>
      <c r="AR40" s="305">
        <v>2599</v>
      </c>
      <c r="AS40" s="305">
        <v>513</v>
      </c>
      <c r="AT40" s="305">
        <v>351</v>
      </c>
      <c r="AU40" s="305">
        <v>82</v>
      </c>
      <c r="AV40" s="305">
        <v>391</v>
      </c>
      <c r="AW40" s="305">
        <v>402</v>
      </c>
      <c r="AX40" s="305">
        <v>20</v>
      </c>
      <c r="AY40" s="305">
        <v>118</v>
      </c>
      <c r="AZ40" s="305">
        <v>427</v>
      </c>
      <c r="BA40" s="305">
        <v>70</v>
      </c>
      <c r="BB40" s="305">
        <v>9</v>
      </c>
      <c r="BC40" s="305">
        <v>356</v>
      </c>
      <c r="BD40" s="305">
        <v>130</v>
      </c>
      <c r="BE40" s="305">
        <v>30</v>
      </c>
      <c r="BF40" s="305">
        <v>444</v>
      </c>
      <c r="BG40" s="305">
        <v>12</v>
      </c>
      <c r="BH40" s="305">
        <v>0</v>
      </c>
      <c r="BI40" s="306">
        <v>17.609254498714652</v>
      </c>
      <c r="BJ40" s="307">
        <v>5.7</v>
      </c>
      <c r="BK40" s="307">
        <v>6</v>
      </c>
      <c r="BL40" s="307">
        <v>6.8</v>
      </c>
      <c r="BM40" s="307">
        <v>6.4</v>
      </c>
      <c r="BN40" s="307">
        <v>5</v>
      </c>
      <c r="BO40" s="307">
        <v>4.4000000000000004</v>
      </c>
      <c r="BP40" s="307">
        <v>5</v>
      </c>
      <c r="BQ40" s="307">
        <v>5</v>
      </c>
      <c r="BR40" s="307">
        <v>7.5</v>
      </c>
      <c r="BS40" s="307">
        <v>6.4</v>
      </c>
      <c r="BT40" s="307">
        <v>7.6</v>
      </c>
      <c r="BU40" s="307">
        <v>9.1</v>
      </c>
      <c r="BV40" s="307">
        <v>6.2</v>
      </c>
      <c r="BW40" s="307">
        <v>7</v>
      </c>
      <c r="BX40" s="307">
        <v>4.2</v>
      </c>
      <c r="BY40" s="307">
        <v>3.5</v>
      </c>
      <c r="BZ40" s="307">
        <v>2.6</v>
      </c>
      <c r="CA40" s="307">
        <v>1.6</v>
      </c>
      <c r="CB40" s="307">
        <v>18.5</v>
      </c>
      <c r="CC40" s="307">
        <v>62.6</v>
      </c>
      <c r="CD40" s="307">
        <v>18.900000000000002</v>
      </c>
    </row>
    <row r="41" spans="1:82" x14ac:dyDescent="0.25">
      <c r="A41" s="130" t="s">
        <v>4409</v>
      </c>
      <c r="B41" s="130" t="s">
        <v>130</v>
      </c>
      <c r="C41" s="130" t="s">
        <v>4410</v>
      </c>
      <c r="D41" s="130" t="s">
        <v>17</v>
      </c>
      <c r="E41" s="130" t="s">
        <v>4407</v>
      </c>
      <c r="F41" s="130" t="s">
        <v>4272</v>
      </c>
      <c r="G41" s="130" t="s">
        <v>4411</v>
      </c>
      <c r="H41" s="309">
        <v>540023</v>
      </c>
      <c r="I41" s="277" t="s">
        <v>1418</v>
      </c>
      <c r="J41" s="130">
        <v>5415676</v>
      </c>
      <c r="K41" s="130" t="s">
        <v>4412</v>
      </c>
      <c r="L41" s="310">
        <v>0.61435526202115986</v>
      </c>
      <c r="M41" s="311">
        <v>653</v>
      </c>
      <c r="N41" s="312">
        <v>1062.9029168753325</v>
      </c>
      <c r="O41" s="311">
        <v>253</v>
      </c>
      <c r="P41" s="312">
        <v>2.52</v>
      </c>
      <c r="Q41" s="311">
        <v>638</v>
      </c>
      <c r="R41" s="311">
        <v>65</v>
      </c>
      <c r="S41" s="311">
        <v>31</v>
      </c>
      <c r="T41" s="311">
        <v>22</v>
      </c>
      <c r="U41" s="311">
        <v>3</v>
      </c>
      <c r="V41" s="311">
        <v>21</v>
      </c>
      <c r="W41" s="311">
        <v>6</v>
      </c>
      <c r="X41" s="311">
        <v>8</v>
      </c>
      <c r="Y41" s="311">
        <v>10</v>
      </c>
      <c r="Z41" s="311">
        <v>33</v>
      </c>
      <c r="AA41" s="311">
        <v>23</v>
      </c>
      <c r="AB41" s="311">
        <v>14</v>
      </c>
      <c r="AC41" s="311">
        <v>0</v>
      </c>
      <c r="AD41" s="311">
        <v>0</v>
      </c>
      <c r="AE41" s="311">
        <v>0</v>
      </c>
      <c r="AF41" s="311">
        <v>4</v>
      </c>
      <c r="AG41" s="311">
        <v>13</v>
      </c>
      <c r="AH41" s="312">
        <v>46.640316205533601</v>
      </c>
      <c r="AI41" s="312">
        <v>9.4861660079051369</v>
      </c>
      <c r="AJ41" s="312">
        <v>22.529644268774703</v>
      </c>
      <c r="AK41" s="312">
        <v>9.0909090909090917</v>
      </c>
      <c r="AL41" s="312">
        <v>12.252964426877471</v>
      </c>
      <c r="AM41" s="311">
        <v>17372</v>
      </c>
      <c r="AN41" s="311">
        <v>28155</v>
      </c>
      <c r="AO41" s="312">
        <v>65.612648221343875</v>
      </c>
      <c r="AP41" s="311">
        <v>253</v>
      </c>
      <c r="AQ41" s="311">
        <v>102</v>
      </c>
      <c r="AR41" s="311">
        <v>140</v>
      </c>
      <c r="AS41" s="311">
        <v>113</v>
      </c>
      <c r="AT41" s="311">
        <v>3</v>
      </c>
      <c r="AU41" s="311">
        <v>22</v>
      </c>
      <c r="AV41" s="311">
        <v>89</v>
      </c>
      <c r="AW41" s="311">
        <v>7</v>
      </c>
      <c r="AX41" s="311">
        <v>15</v>
      </c>
      <c r="AY41" s="311">
        <v>3</v>
      </c>
      <c r="AZ41" s="311">
        <v>38</v>
      </c>
      <c r="BA41" s="311">
        <v>10</v>
      </c>
      <c r="BB41" s="311">
        <v>0</v>
      </c>
      <c r="BC41" s="311">
        <v>31</v>
      </c>
      <c r="BD41" s="311">
        <v>4</v>
      </c>
      <c r="BE41" s="311">
        <v>0</v>
      </c>
      <c r="BF41" s="311">
        <v>17</v>
      </c>
      <c r="BG41" s="311">
        <v>0</v>
      </c>
      <c r="BH41" s="311">
        <v>0</v>
      </c>
      <c r="BI41" s="312">
        <v>36.363636363636367</v>
      </c>
      <c r="BJ41" s="313">
        <v>5.7</v>
      </c>
      <c r="BK41" s="313">
        <v>9.1999999999999993</v>
      </c>
      <c r="BL41" s="313">
        <v>8.3000000000000007</v>
      </c>
      <c r="BM41" s="313">
        <v>4.5999999999999996</v>
      </c>
      <c r="BN41" s="313">
        <v>9.1999999999999993</v>
      </c>
      <c r="BO41" s="313">
        <v>8.4</v>
      </c>
      <c r="BP41" s="313">
        <v>2.6</v>
      </c>
      <c r="BQ41" s="313">
        <v>3.4</v>
      </c>
      <c r="BR41" s="313">
        <v>6.9</v>
      </c>
      <c r="BS41" s="313">
        <v>4.9000000000000004</v>
      </c>
      <c r="BT41" s="313">
        <v>5.0999999999999996</v>
      </c>
      <c r="BU41" s="313">
        <v>10.3</v>
      </c>
      <c r="BV41" s="313">
        <v>5.5</v>
      </c>
      <c r="BW41" s="313">
        <v>5.7</v>
      </c>
      <c r="BX41" s="313">
        <v>3.2</v>
      </c>
      <c r="BY41" s="313">
        <v>3.8</v>
      </c>
      <c r="BZ41" s="313">
        <v>1.7</v>
      </c>
      <c r="CA41" s="313">
        <v>1.7</v>
      </c>
      <c r="CB41" s="313">
        <v>23.2</v>
      </c>
      <c r="CC41" s="313">
        <v>60.900000000000006</v>
      </c>
      <c r="CD41" s="313">
        <v>16.099999999999998</v>
      </c>
    </row>
    <row r="42" spans="1:82" s="322" customFormat="1" x14ac:dyDescent="0.25">
      <c r="A42" s="314" t="s">
        <v>4413</v>
      </c>
      <c r="B42" s="315" t="s">
        <v>348</v>
      </c>
      <c r="C42" s="314"/>
      <c r="D42" s="314"/>
      <c r="E42" s="314"/>
      <c r="F42" s="314"/>
      <c r="G42" s="314"/>
      <c r="H42" s="316"/>
      <c r="I42" s="317"/>
      <c r="J42" s="314">
        <v>54015</v>
      </c>
      <c r="K42" s="314" t="s">
        <v>4414</v>
      </c>
      <c r="L42" s="318">
        <v>343.60175207042801</v>
      </c>
      <c r="M42" s="319">
        <v>8901</v>
      </c>
      <c r="N42" s="320">
        <v>25.904990141539102</v>
      </c>
      <c r="O42" s="319">
        <v>3365</v>
      </c>
      <c r="P42" s="320">
        <v>2.62</v>
      </c>
      <c r="Q42" s="319">
        <v>8830</v>
      </c>
      <c r="R42" s="319">
        <v>412</v>
      </c>
      <c r="S42" s="319">
        <v>354</v>
      </c>
      <c r="T42" s="319">
        <v>315</v>
      </c>
      <c r="U42" s="319">
        <v>233</v>
      </c>
      <c r="V42" s="319">
        <v>231</v>
      </c>
      <c r="W42" s="319">
        <v>166</v>
      </c>
      <c r="X42" s="319">
        <v>241</v>
      </c>
      <c r="Y42" s="319">
        <v>188</v>
      </c>
      <c r="Z42" s="319">
        <v>199</v>
      </c>
      <c r="AA42" s="319">
        <v>256</v>
      </c>
      <c r="AB42" s="319">
        <v>297</v>
      </c>
      <c r="AC42" s="319">
        <v>284</v>
      </c>
      <c r="AD42" s="319">
        <v>89</v>
      </c>
      <c r="AE42" s="319">
        <v>61</v>
      </c>
      <c r="AF42" s="319">
        <v>16</v>
      </c>
      <c r="AG42" s="319">
        <v>23</v>
      </c>
      <c r="AH42" s="320">
        <v>32.12481426448737</v>
      </c>
      <c r="AI42" s="320">
        <v>13.789004457652304</v>
      </c>
      <c r="AJ42" s="320">
        <v>23.595839524517086</v>
      </c>
      <c r="AK42" s="320">
        <v>7.6077265973254082</v>
      </c>
      <c r="AL42" s="320">
        <v>22.882615156017831</v>
      </c>
      <c r="AM42" s="319">
        <v>16229</v>
      </c>
      <c r="AN42" s="319">
        <v>34242</v>
      </c>
      <c r="AO42" s="320">
        <v>63.595839524517082</v>
      </c>
      <c r="AP42" s="319">
        <v>3365</v>
      </c>
      <c r="AQ42" s="319">
        <v>1265</v>
      </c>
      <c r="AR42" s="319">
        <v>2739</v>
      </c>
      <c r="AS42" s="319">
        <v>626</v>
      </c>
      <c r="AT42" s="319">
        <v>354</v>
      </c>
      <c r="AU42" s="319">
        <v>104</v>
      </c>
      <c r="AV42" s="319">
        <v>480</v>
      </c>
      <c r="AW42" s="319">
        <v>409</v>
      </c>
      <c r="AX42" s="319">
        <v>35</v>
      </c>
      <c r="AY42" s="319">
        <v>121</v>
      </c>
      <c r="AZ42" s="319">
        <v>465</v>
      </c>
      <c r="BA42" s="319">
        <v>80</v>
      </c>
      <c r="BB42" s="319">
        <v>9</v>
      </c>
      <c r="BC42" s="319">
        <v>387</v>
      </c>
      <c r="BD42" s="319">
        <v>134</v>
      </c>
      <c r="BE42" s="319">
        <v>30</v>
      </c>
      <c r="BF42" s="319">
        <v>461</v>
      </c>
      <c r="BG42" s="319">
        <v>12</v>
      </c>
      <c r="BH42" s="319">
        <v>0</v>
      </c>
      <c r="BI42" s="320">
        <v>19.019316493313521</v>
      </c>
      <c r="BJ42" s="321">
        <v>5.7</v>
      </c>
      <c r="BK42" s="321">
        <v>6</v>
      </c>
      <c r="BL42" s="321">
        <v>6.8</v>
      </c>
      <c r="BM42" s="321">
        <v>6.4</v>
      </c>
      <c r="BN42" s="321">
        <v>5</v>
      </c>
      <c r="BO42" s="321">
        <v>4.4000000000000004</v>
      </c>
      <c r="BP42" s="321">
        <v>5</v>
      </c>
      <c r="BQ42" s="321">
        <v>5</v>
      </c>
      <c r="BR42" s="321">
        <v>7.5</v>
      </c>
      <c r="BS42" s="321">
        <v>6.4</v>
      </c>
      <c r="BT42" s="321">
        <v>7.6</v>
      </c>
      <c r="BU42" s="321">
        <v>9.1</v>
      </c>
      <c r="BV42" s="321">
        <v>6.2</v>
      </c>
      <c r="BW42" s="321">
        <v>7</v>
      </c>
      <c r="BX42" s="321">
        <v>4.2</v>
      </c>
      <c r="BY42" s="321">
        <v>3.5</v>
      </c>
      <c r="BZ42" s="321">
        <v>2.6</v>
      </c>
      <c r="CA42" s="321">
        <v>1.6</v>
      </c>
      <c r="CB42" s="321">
        <v>18.5</v>
      </c>
      <c r="CC42" s="321">
        <v>62.6</v>
      </c>
      <c r="CD42" s="321">
        <v>18.900000000000002</v>
      </c>
    </row>
    <row r="43" spans="1:82" s="308" customFormat="1" x14ac:dyDescent="0.25">
      <c r="A43" s="301" t="s">
        <v>4415</v>
      </c>
      <c r="B43" s="301" t="s">
        <v>18</v>
      </c>
      <c r="C43" s="301" t="s">
        <v>4416</v>
      </c>
      <c r="D43" s="301" t="s">
        <v>19</v>
      </c>
      <c r="E43" s="301" t="s">
        <v>4417</v>
      </c>
      <c r="F43" s="301" t="s">
        <v>4272</v>
      </c>
      <c r="G43" s="301" t="s">
        <v>4418</v>
      </c>
      <c r="H43" s="302">
        <v>540024</v>
      </c>
      <c r="I43" s="303" t="s">
        <v>1419</v>
      </c>
      <c r="J43" s="301" t="s">
        <v>488</v>
      </c>
      <c r="K43" s="301" t="s">
        <v>488</v>
      </c>
      <c r="L43" s="304">
        <v>319.80611426508415</v>
      </c>
      <c r="M43" s="305">
        <v>7591</v>
      </c>
      <c r="N43" s="306">
        <v>23.736256629877609</v>
      </c>
      <c r="O43" s="305">
        <v>2340</v>
      </c>
      <c r="P43" s="306">
        <v>2.970940170940171</v>
      </c>
      <c r="Q43" s="305">
        <v>6952</v>
      </c>
      <c r="R43" s="305">
        <v>142</v>
      </c>
      <c r="S43" s="305">
        <v>162</v>
      </c>
      <c r="T43" s="305">
        <v>104</v>
      </c>
      <c r="U43" s="305">
        <v>135</v>
      </c>
      <c r="V43" s="305">
        <v>112</v>
      </c>
      <c r="W43" s="305">
        <v>185</v>
      </c>
      <c r="X43" s="305">
        <v>194</v>
      </c>
      <c r="Y43" s="305">
        <v>124</v>
      </c>
      <c r="Z43" s="305">
        <v>89</v>
      </c>
      <c r="AA43" s="305">
        <v>179</v>
      </c>
      <c r="AB43" s="305">
        <v>246</v>
      </c>
      <c r="AC43" s="305">
        <v>297</v>
      </c>
      <c r="AD43" s="305">
        <v>203</v>
      </c>
      <c r="AE43" s="305">
        <v>85</v>
      </c>
      <c r="AF43" s="305">
        <v>63</v>
      </c>
      <c r="AG43" s="305">
        <v>20</v>
      </c>
      <c r="AH43" s="306">
        <v>17.435897435897434</v>
      </c>
      <c r="AI43" s="306">
        <v>10.555555555555555</v>
      </c>
      <c r="AJ43" s="306">
        <v>25.299145299145298</v>
      </c>
      <c r="AK43" s="306">
        <v>7.6495726495726499</v>
      </c>
      <c r="AL43" s="306">
        <v>39.059829059829063</v>
      </c>
      <c r="AM43" s="305">
        <v>21164</v>
      </c>
      <c r="AN43" s="305">
        <v>44437</v>
      </c>
      <c r="AO43" s="306">
        <v>49.487179487179489</v>
      </c>
      <c r="AP43" s="305">
        <v>2340</v>
      </c>
      <c r="AQ43" s="305">
        <v>1121</v>
      </c>
      <c r="AR43" s="305">
        <v>2022</v>
      </c>
      <c r="AS43" s="305">
        <v>318</v>
      </c>
      <c r="AT43" s="305">
        <v>164</v>
      </c>
      <c r="AU43" s="305">
        <v>61</v>
      </c>
      <c r="AV43" s="305">
        <v>137</v>
      </c>
      <c r="AW43" s="305">
        <v>198</v>
      </c>
      <c r="AX43" s="305">
        <v>59</v>
      </c>
      <c r="AY43" s="305">
        <v>133</v>
      </c>
      <c r="AZ43" s="305">
        <v>319</v>
      </c>
      <c r="BA43" s="305">
        <v>9</v>
      </c>
      <c r="BB43" s="305">
        <v>12</v>
      </c>
      <c r="BC43" s="305">
        <v>330</v>
      </c>
      <c r="BD43" s="305">
        <v>72</v>
      </c>
      <c r="BE43" s="305">
        <v>0</v>
      </c>
      <c r="BF43" s="305">
        <v>586</v>
      </c>
      <c r="BG43" s="305">
        <v>24</v>
      </c>
      <c r="BH43" s="305">
        <v>0</v>
      </c>
      <c r="BI43" s="306">
        <v>12.051282051282051</v>
      </c>
      <c r="BJ43" s="307">
        <v>4</v>
      </c>
      <c r="BK43" s="307">
        <v>5.5</v>
      </c>
      <c r="BL43" s="307">
        <v>3.9</v>
      </c>
      <c r="BM43" s="307">
        <v>6.7</v>
      </c>
      <c r="BN43" s="307">
        <v>7</v>
      </c>
      <c r="BO43" s="307">
        <v>5.0999999999999996</v>
      </c>
      <c r="BP43" s="307">
        <v>5.6</v>
      </c>
      <c r="BQ43" s="307">
        <v>6.1</v>
      </c>
      <c r="BR43" s="307">
        <v>6.3</v>
      </c>
      <c r="BS43" s="307">
        <v>7.7</v>
      </c>
      <c r="BT43" s="307">
        <v>7.7</v>
      </c>
      <c r="BU43" s="307">
        <v>5.5</v>
      </c>
      <c r="BV43" s="307">
        <v>9.3000000000000007</v>
      </c>
      <c r="BW43" s="307">
        <v>7.6</v>
      </c>
      <c r="BX43" s="307">
        <v>4.4000000000000004</v>
      </c>
      <c r="BY43" s="307">
        <v>3</v>
      </c>
      <c r="BZ43" s="307">
        <v>3</v>
      </c>
      <c r="CA43" s="307">
        <v>1.4</v>
      </c>
      <c r="CB43" s="307">
        <v>13.4</v>
      </c>
      <c r="CC43" s="307">
        <v>67</v>
      </c>
      <c r="CD43" s="307">
        <v>19.399999999999999</v>
      </c>
    </row>
    <row r="44" spans="1:82" x14ac:dyDescent="0.25">
      <c r="A44" s="130" t="s">
        <v>4419</v>
      </c>
      <c r="B44" s="130" t="s">
        <v>131</v>
      </c>
      <c r="C44" s="130" t="s">
        <v>4420</v>
      </c>
      <c r="D44" s="130" t="s">
        <v>19</v>
      </c>
      <c r="E44" s="130" t="s">
        <v>4417</v>
      </c>
      <c r="F44" s="130" t="s">
        <v>4272</v>
      </c>
      <c r="G44" s="130" t="s">
        <v>4421</v>
      </c>
      <c r="H44" s="309">
        <v>540025</v>
      </c>
      <c r="I44" s="277" t="s">
        <v>1420</v>
      </c>
      <c r="J44" s="130">
        <v>5486116</v>
      </c>
      <c r="K44" s="130" t="s">
        <v>4422</v>
      </c>
      <c r="L44" s="310">
        <v>0.37511695623768293</v>
      </c>
      <c r="M44" s="311">
        <v>979</v>
      </c>
      <c r="N44" s="312">
        <v>2609.852697193679</v>
      </c>
      <c r="O44" s="311">
        <v>322</v>
      </c>
      <c r="P44" s="312">
        <v>3.04</v>
      </c>
      <c r="Q44" s="311">
        <v>979</v>
      </c>
      <c r="R44" s="311">
        <v>51</v>
      </c>
      <c r="S44" s="311">
        <v>18</v>
      </c>
      <c r="T44" s="311">
        <v>30</v>
      </c>
      <c r="U44" s="311">
        <v>15</v>
      </c>
      <c r="V44" s="311">
        <v>21</v>
      </c>
      <c r="W44" s="311">
        <v>19</v>
      </c>
      <c r="X44" s="311">
        <v>14</v>
      </c>
      <c r="Y44" s="311">
        <v>21</v>
      </c>
      <c r="Z44" s="311">
        <v>9</v>
      </c>
      <c r="AA44" s="311">
        <v>22</v>
      </c>
      <c r="AB44" s="311">
        <v>57</v>
      </c>
      <c r="AC44" s="311">
        <v>33</v>
      </c>
      <c r="AD44" s="311">
        <v>5</v>
      </c>
      <c r="AE44" s="311">
        <v>0</v>
      </c>
      <c r="AF44" s="311">
        <v>2</v>
      </c>
      <c r="AG44" s="311">
        <v>5</v>
      </c>
      <c r="AH44" s="312">
        <v>30.745341614906835</v>
      </c>
      <c r="AI44" s="312">
        <v>11.180124223602485</v>
      </c>
      <c r="AJ44" s="312">
        <v>19.565217391304348</v>
      </c>
      <c r="AK44" s="312">
        <v>6.8322981366459627</v>
      </c>
      <c r="AL44" s="312">
        <v>31.677018633540371</v>
      </c>
      <c r="AM44" s="311">
        <v>17985</v>
      </c>
      <c r="AN44" s="311">
        <v>38250</v>
      </c>
      <c r="AO44" s="312">
        <v>58.695652173913047</v>
      </c>
      <c r="AP44" s="311">
        <v>322</v>
      </c>
      <c r="AQ44" s="311">
        <v>147</v>
      </c>
      <c r="AR44" s="311">
        <v>215</v>
      </c>
      <c r="AS44" s="311">
        <v>107</v>
      </c>
      <c r="AT44" s="311">
        <v>21</v>
      </c>
      <c r="AU44" s="311">
        <v>13</v>
      </c>
      <c r="AV44" s="311">
        <v>43</v>
      </c>
      <c r="AW44" s="311">
        <v>23</v>
      </c>
      <c r="AX44" s="311">
        <v>7</v>
      </c>
      <c r="AY44" s="311">
        <v>25</v>
      </c>
      <c r="AZ44" s="311">
        <v>39</v>
      </c>
      <c r="BA44" s="311">
        <v>2</v>
      </c>
      <c r="BB44" s="311">
        <v>3</v>
      </c>
      <c r="BC44" s="311">
        <v>74</v>
      </c>
      <c r="BD44" s="311">
        <v>3</v>
      </c>
      <c r="BE44" s="311">
        <v>0</v>
      </c>
      <c r="BF44" s="311">
        <v>42</v>
      </c>
      <c r="BG44" s="311">
        <v>3</v>
      </c>
      <c r="BH44" s="311">
        <v>0</v>
      </c>
      <c r="BI44" s="312">
        <v>22.049689440993788</v>
      </c>
      <c r="BJ44" s="313">
        <v>3.8</v>
      </c>
      <c r="BK44" s="313">
        <v>6.4</v>
      </c>
      <c r="BL44" s="313">
        <v>5.5</v>
      </c>
      <c r="BM44" s="313">
        <v>6.1</v>
      </c>
      <c r="BN44" s="313">
        <v>6.5</v>
      </c>
      <c r="BO44" s="313">
        <v>6.6</v>
      </c>
      <c r="BP44" s="313">
        <v>11.2</v>
      </c>
      <c r="BQ44" s="313">
        <v>9.1</v>
      </c>
      <c r="BR44" s="313">
        <v>5</v>
      </c>
      <c r="BS44" s="313">
        <v>7.2</v>
      </c>
      <c r="BT44" s="313">
        <v>5.7</v>
      </c>
      <c r="BU44" s="313">
        <v>3.9</v>
      </c>
      <c r="BV44" s="313">
        <v>5.4</v>
      </c>
      <c r="BW44" s="313">
        <v>4.0999999999999996</v>
      </c>
      <c r="BX44" s="313">
        <v>3.9</v>
      </c>
      <c r="BY44" s="313">
        <v>2.1</v>
      </c>
      <c r="BZ44" s="313">
        <v>3.8</v>
      </c>
      <c r="CA44" s="313">
        <v>3.6</v>
      </c>
      <c r="CB44" s="313">
        <v>15.7</v>
      </c>
      <c r="CC44" s="313">
        <v>66.7</v>
      </c>
      <c r="CD44" s="313">
        <v>17.5</v>
      </c>
    </row>
    <row r="45" spans="1:82" s="322" customFormat="1" x14ac:dyDescent="0.25">
      <c r="A45" s="314" t="s">
        <v>4423</v>
      </c>
      <c r="B45" s="315" t="s">
        <v>348</v>
      </c>
      <c r="C45" s="314"/>
      <c r="D45" s="314"/>
      <c r="E45" s="314"/>
      <c r="F45" s="314"/>
      <c r="G45" s="314"/>
      <c r="H45" s="316"/>
      <c r="I45" s="317"/>
      <c r="J45" s="314">
        <v>54017</v>
      </c>
      <c r="K45" s="314" t="s">
        <v>4424</v>
      </c>
      <c r="L45" s="318">
        <v>320.18123122132181</v>
      </c>
      <c r="M45" s="319">
        <v>8570</v>
      </c>
      <c r="N45" s="320">
        <v>26.766091089443279</v>
      </c>
      <c r="O45" s="319">
        <v>2662</v>
      </c>
      <c r="P45" s="320">
        <v>2.98</v>
      </c>
      <c r="Q45" s="319">
        <v>7931</v>
      </c>
      <c r="R45" s="319">
        <v>193</v>
      </c>
      <c r="S45" s="319">
        <v>180</v>
      </c>
      <c r="T45" s="319">
        <v>134</v>
      </c>
      <c r="U45" s="319">
        <v>150</v>
      </c>
      <c r="V45" s="319">
        <v>133</v>
      </c>
      <c r="W45" s="319">
        <v>204</v>
      </c>
      <c r="X45" s="319">
        <v>208</v>
      </c>
      <c r="Y45" s="319">
        <v>145</v>
      </c>
      <c r="Z45" s="319">
        <v>98</v>
      </c>
      <c r="AA45" s="319">
        <v>201</v>
      </c>
      <c r="AB45" s="319">
        <v>303</v>
      </c>
      <c r="AC45" s="319">
        <v>330</v>
      </c>
      <c r="AD45" s="319">
        <v>208</v>
      </c>
      <c r="AE45" s="319">
        <v>85</v>
      </c>
      <c r="AF45" s="319">
        <v>65</v>
      </c>
      <c r="AG45" s="319">
        <v>25</v>
      </c>
      <c r="AH45" s="320">
        <v>19.045830202854997</v>
      </c>
      <c r="AI45" s="320">
        <v>10.631104432757326</v>
      </c>
      <c r="AJ45" s="320">
        <v>24.605559729526671</v>
      </c>
      <c r="AK45" s="320">
        <v>7.5507137490608569</v>
      </c>
      <c r="AL45" s="320">
        <v>38.166791885800151</v>
      </c>
      <c r="AM45" s="319">
        <v>21164</v>
      </c>
      <c r="AN45" s="319">
        <v>44437</v>
      </c>
      <c r="AO45" s="320">
        <v>50.601051840721269</v>
      </c>
      <c r="AP45" s="319">
        <v>2662</v>
      </c>
      <c r="AQ45" s="319">
        <v>1268</v>
      </c>
      <c r="AR45" s="319">
        <v>2237</v>
      </c>
      <c r="AS45" s="319">
        <v>425</v>
      </c>
      <c r="AT45" s="319">
        <v>185</v>
      </c>
      <c r="AU45" s="319">
        <v>74</v>
      </c>
      <c r="AV45" s="319">
        <v>180</v>
      </c>
      <c r="AW45" s="319">
        <v>221</v>
      </c>
      <c r="AX45" s="319">
        <v>66</v>
      </c>
      <c r="AY45" s="319">
        <v>158</v>
      </c>
      <c r="AZ45" s="319">
        <v>358</v>
      </c>
      <c r="BA45" s="319">
        <v>11</v>
      </c>
      <c r="BB45" s="319">
        <v>15</v>
      </c>
      <c r="BC45" s="319">
        <v>404</v>
      </c>
      <c r="BD45" s="319">
        <v>75</v>
      </c>
      <c r="BE45" s="319">
        <v>0</v>
      </c>
      <c r="BF45" s="319">
        <v>628</v>
      </c>
      <c r="BG45" s="319">
        <v>27</v>
      </c>
      <c r="BH45" s="319">
        <v>0</v>
      </c>
      <c r="BI45" s="320">
        <v>13.260706235912847</v>
      </c>
      <c r="BJ45" s="321">
        <v>4</v>
      </c>
      <c r="BK45" s="321">
        <v>5.5</v>
      </c>
      <c r="BL45" s="321">
        <v>3.9</v>
      </c>
      <c r="BM45" s="321">
        <v>6.7</v>
      </c>
      <c r="BN45" s="321">
        <v>7</v>
      </c>
      <c r="BO45" s="321">
        <v>5.0999999999999996</v>
      </c>
      <c r="BP45" s="321">
        <v>5.6</v>
      </c>
      <c r="BQ45" s="321">
        <v>6.1</v>
      </c>
      <c r="BR45" s="321">
        <v>6.3</v>
      </c>
      <c r="BS45" s="321">
        <v>7.7</v>
      </c>
      <c r="BT45" s="321">
        <v>7.7</v>
      </c>
      <c r="BU45" s="321">
        <v>5.5</v>
      </c>
      <c r="BV45" s="321">
        <v>9.3000000000000007</v>
      </c>
      <c r="BW45" s="321">
        <v>7.6</v>
      </c>
      <c r="BX45" s="321">
        <v>4.4000000000000004</v>
      </c>
      <c r="BY45" s="321">
        <v>3</v>
      </c>
      <c r="BZ45" s="321">
        <v>3</v>
      </c>
      <c r="CA45" s="321">
        <v>1.4</v>
      </c>
      <c r="CB45" s="321">
        <v>13.4</v>
      </c>
      <c r="CC45" s="321">
        <v>67</v>
      </c>
      <c r="CD45" s="321">
        <v>19.399999999999999</v>
      </c>
    </row>
    <row r="46" spans="1:82" s="308" customFormat="1" x14ac:dyDescent="0.25">
      <c r="A46" s="301" t="s">
        <v>368</v>
      </c>
      <c r="B46" s="301" t="s">
        <v>20</v>
      </c>
      <c r="C46" s="301" t="s">
        <v>4425</v>
      </c>
      <c r="D46" s="301" t="s">
        <v>21</v>
      </c>
      <c r="E46" s="301" t="s">
        <v>4426</v>
      </c>
      <c r="F46" s="301" t="s">
        <v>4272</v>
      </c>
      <c r="G46" s="301" t="s">
        <v>4427</v>
      </c>
      <c r="H46" s="302">
        <v>540026</v>
      </c>
      <c r="I46" s="303" t="s">
        <v>1665</v>
      </c>
      <c r="J46" s="301" t="s">
        <v>488</v>
      </c>
      <c r="K46" s="301" t="s">
        <v>488</v>
      </c>
      <c r="L46" s="304">
        <v>645.80234122743434</v>
      </c>
      <c r="M46" s="305">
        <v>27205</v>
      </c>
      <c r="N46" s="306">
        <v>42.125892495671714</v>
      </c>
      <c r="O46" s="305">
        <v>10523</v>
      </c>
      <c r="P46" s="306">
        <v>2.4737242231302861</v>
      </c>
      <c r="Q46" s="305">
        <v>26031</v>
      </c>
      <c r="R46" s="305">
        <v>870</v>
      </c>
      <c r="S46" s="305">
        <v>727</v>
      </c>
      <c r="T46" s="305">
        <v>675</v>
      </c>
      <c r="U46" s="305">
        <v>815</v>
      </c>
      <c r="V46" s="305">
        <v>676</v>
      </c>
      <c r="W46" s="305">
        <v>551</v>
      </c>
      <c r="X46" s="305">
        <v>798</v>
      </c>
      <c r="Y46" s="305">
        <v>646</v>
      </c>
      <c r="Z46" s="305">
        <v>533</v>
      </c>
      <c r="AA46" s="305">
        <v>1095</v>
      </c>
      <c r="AB46" s="305">
        <v>840</v>
      </c>
      <c r="AC46" s="305">
        <v>1012</v>
      </c>
      <c r="AD46" s="305">
        <v>644</v>
      </c>
      <c r="AE46" s="305">
        <v>328</v>
      </c>
      <c r="AF46" s="305">
        <v>188</v>
      </c>
      <c r="AG46" s="305">
        <v>125</v>
      </c>
      <c r="AH46" s="306">
        <v>21.590801102347239</v>
      </c>
      <c r="AI46" s="306">
        <v>14.168963223415377</v>
      </c>
      <c r="AJ46" s="306">
        <v>24.023567423738477</v>
      </c>
      <c r="AK46" s="306">
        <v>10.405777820013304</v>
      </c>
      <c r="AL46" s="306">
        <v>29.810890430485603</v>
      </c>
      <c r="AM46" s="305">
        <v>20758</v>
      </c>
      <c r="AN46" s="305">
        <v>39297</v>
      </c>
      <c r="AO46" s="306">
        <v>54.718236244416993</v>
      </c>
      <c r="AP46" s="305">
        <v>10523</v>
      </c>
      <c r="AQ46" s="305">
        <v>2615</v>
      </c>
      <c r="AR46" s="305">
        <v>9110</v>
      </c>
      <c r="AS46" s="305">
        <v>1412</v>
      </c>
      <c r="AT46" s="305">
        <v>542</v>
      </c>
      <c r="AU46" s="305">
        <v>284</v>
      </c>
      <c r="AV46" s="305">
        <v>1122</v>
      </c>
      <c r="AW46" s="305">
        <v>1114</v>
      </c>
      <c r="AX46" s="305">
        <v>461</v>
      </c>
      <c r="AY46" s="305">
        <v>460</v>
      </c>
      <c r="AZ46" s="305">
        <v>1383</v>
      </c>
      <c r="BA46" s="305">
        <v>416</v>
      </c>
      <c r="BB46" s="305">
        <v>137</v>
      </c>
      <c r="BC46" s="305">
        <v>1723</v>
      </c>
      <c r="BD46" s="305">
        <v>140</v>
      </c>
      <c r="BE46" s="305">
        <v>42</v>
      </c>
      <c r="BF46" s="305">
        <v>2108</v>
      </c>
      <c r="BG46" s="305">
        <v>184</v>
      </c>
      <c r="BH46" s="305">
        <v>0</v>
      </c>
      <c r="BI46" s="306">
        <v>16.734771453007696</v>
      </c>
      <c r="BJ46" s="307">
        <v>5.9</v>
      </c>
      <c r="BK46" s="307">
        <v>5.6</v>
      </c>
      <c r="BL46" s="307">
        <v>5.9</v>
      </c>
      <c r="BM46" s="307">
        <v>5.6</v>
      </c>
      <c r="BN46" s="307">
        <v>5.2</v>
      </c>
      <c r="BO46" s="307">
        <v>5.9</v>
      </c>
      <c r="BP46" s="307">
        <v>5.5</v>
      </c>
      <c r="BQ46" s="307">
        <v>6.4</v>
      </c>
      <c r="BR46" s="307">
        <v>6.3</v>
      </c>
      <c r="BS46" s="307">
        <v>6.4</v>
      </c>
      <c r="BT46" s="307">
        <v>6.7</v>
      </c>
      <c r="BU46" s="307">
        <v>7.5</v>
      </c>
      <c r="BV46" s="307">
        <v>8.1999999999999993</v>
      </c>
      <c r="BW46" s="307">
        <v>7.4</v>
      </c>
      <c r="BX46" s="307">
        <v>3.8</v>
      </c>
      <c r="BY46" s="307">
        <v>2.9</v>
      </c>
      <c r="BZ46" s="307">
        <v>2.5</v>
      </c>
      <c r="CA46" s="307">
        <v>2.5</v>
      </c>
      <c r="CB46" s="307">
        <v>17.399999999999999</v>
      </c>
      <c r="CC46" s="307">
        <v>63.7</v>
      </c>
      <c r="CD46" s="307">
        <v>19.100000000000001</v>
      </c>
    </row>
    <row r="47" spans="1:82" x14ac:dyDescent="0.25">
      <c r="A47" s="130" t="s">
        <v>4428</v>
      </c>
      <c r="B47" s="130" t="s">
        <v>132</v>
      </c>
      <c r="C47" s="130" t="s">
        <v>4429</v>
      </c>
      <c r="D47" s="130" t="s">
        <v>21</v>
      </c>
      <c r="E47" s="130" t="s">
        <v>4426</v>
      </c>
      <c r="F47" s="130" t="s">
        <v>4272</v>
      </c>
      <c r="G47" s="130" t="s">
        <v>4430</v>
      </c>
      <c r="H47" s="309">
        <v>540027</v>
      </c>
      <c r="I47" s="277" t="s">
        <v>1657</v>
      </c>
      <c r="J47" s="130">
        <v>5401996</v>
      </c>
      <c r="K47" s="130" t="s">
        <v>4431</v>
      </c>
      <c r="L47" s="310">
        <v>1.6625905258673119</v>
      </c>
      <c r="M47" s="311">
        <v>1472</v>
      </c>
      <c r="N47" s="312">
        <v>885.3653242322622</v>
      </c>
      <c r="O47" s="311">
        <v>569</v>
      </c>
      <c r="P47" s="312">
        <v>2.5499999999999998</v>
      </c>
      <c r="Q47" s="311">
        <v>1450</v>
      </c>
      <c r="R47" s="311">
        <v>43</v>
      </c>
      <c r="S47" s="311">
        <v>43</v>
      </c>
      <c r="T47" s="311">
        <v>21</v>
      </c>
      <c r="U47" s="311">
        <v>53</v>
      </c>
      <c r="V47" s="311">
        <v>69</v>
      </c>
      <c r="W47" s="311">
        <v>33</v>
      </c>
      <c r="X47" s="311">
        <v>47</v>
      </c>
      <c r="Y47" s="311">
        <v>66</v>
      </c>
      <c r="Z47" s="311">
        <v>33</v>
      </c>
      <c r="AA47" s="311">
        <v>29</v>
      </c>
      <c r="AB47" s="311">
        <v>67</v>
      </c>
      <c r="AC47" s="311">
        <v>39</v>
      </c>
      <c r="AD47" s="311">
        <v>24</v>
      </c>
      <c r="AE47" s="311">
        <v>0</v>
      </c>
      <c r="AF47" s="311">
        <v>0</v>
      </c>
      <c r="AG47" s="311">
        <v>2</v>
      </c>
      <c r="AH47" s="312">
        <v>18.804920913884008</v>
      </c>
      <c r="AI47" s="312">
        <v>21.441124780316343</v>
      </c>
      <c r="AJ47" s="312">
        <v>31.458699472759228</v>
      </c>
      <c r="AK47" s="312">
        <v>5.0966608084358525</v>
      </c>
      <c r="AL47" s="312">
        <v>23.198594024604567</v>
      </c>
      <c r="AM47" s="311">
        <v>17080</v>
      </c>
      <c r="AN47" s="311">
        <v>36815</v>
      </c>
      <c r="AO47" s="312">
        <v>65.905096660808439</v>
      </c>
      <c r="AP47" s="311">
        <v>569</v>
      </c>
      <c r="AQ47" s="311">
        <v>178</v>
      </c>
      <c r="AR47" s="311">
        <v>449</v>
      </c>
      <c r="AS47" s="311">
        <v>120</v>
      </c>
      <c r="AT47" s="311">
        <v>15</v>
      </c>
      <c r="AU47" s="311">
        <v>22</v>
      </c>
      <c r="AV47" s="311">
        <v>57</v>
      </c>
      <c r="AW47" s="311">
        <v>52</v>
      </c>
      <c r="AX47" s="311">
        <v>52</v>
      </c>
      <c r="AY47" s="311">
        <v>46</v>
      </c>
      <c r="AZ47" s="311">
        <v>102</v>
      </c>
      <c r="BA47" s="311">
        <v>16</v>
      </c>
      <c r="BB47" s="311">
        <v>21</v>
      </c>
      <c r="BC47" s="311">
        <v>92</v>
      </c>
      <c r="BD47" s="311">
        <v>4</v>
      </c>
      <c r="BE47" s="311">
        <v>0</v>
      </c>
      <c r="BF47" s="311">
        <v>65</v>
      </c>
      <c r="BG47" s="311">
        <v>0</v>
      </c>
      <c r="BH47" s="311">
        <v>0</v>
      </c>
      <c r="BI47" s="312">
        <v>21.79261862917399</v>
      </c>
      <c r="BJ47" s="313">
        <v>7</v>
      </c>
      <c r="BK47" s="313">
        <v>4</v>
      </c>
      <c r="BL47" s="313">
        <v>7.9</v>
      </c>
      <c r="BM47" s="313">
        <v>6.1</v>
      </c>
      <c r="BN47" s="313">
        <v>4.7</v>
      </c>
      <c r="BO47" s="313">
        <v>4.7</v>
      </c>
      <c r="BP47" s="313">
        <v>3.7</v>
      </c>
      <c r="BQ47" s="313">
        <v>5.2</v>
      </c>
      <c r="BR47" s="313">
        <v>9.4</v>
      </c>
      <c r="BS47" s="313">
        <v>5.0999999999999996</v>
      </c>
      <c r="BT47" s="313">
        <v>7.3</v>
      </c>
      <c r="BU47" s="313">
        <v>7.2</v>
      </c>
      <c r="BV47" s="313">
        <v>6</v>
      </c>
      <c r="BW47" s="313">
        <v>8.4</v>
      </c>
      <c r="BX47" s="313">
        <v>6.3</v>
      </c>
      <c r="BY47" s="313">
        <v>2.7</v>
      </c>
      <c r="BZ47" s="313">
        <v>1</v>
      </c>
      <c r="CA47" s="313">
        <v>3.3</v>
      </c>
      <c r="CB47" s="313">
        <v>18.899999999999999</v>
      </c>
      <c r="CC47" s="313">
        <v>59.4</v>
      </c>
      <c r="CD47" s="313">
        <v>21.7</v>
      </c>
    </row>
    <row r="48" spans="1:82" x14ac:dyDescent="0.25">
      <c r="A48" s="130" t="s">
        <v>4432</v>
      </c>
      <c r="B48" s="130" t="s">
        <v>330</v>
      </c>
      <c r="C48" s="130" t="s">
        <v>4433</v>
      </c>
      <c r="D48" s="130" t="s">
        <v>21</v>
      </c>
      <c r="E48" s="130" t="s">
        <v>4426</v>
      </c>
      <c r="F48" s="130" t="s">
        <v>4272</v>
      </c>
      <c r="G48" s="130" t="s">
        <v>4434</v>
      </c>
      <c r="H48" s="309">
        <v>540293</v>
      </c>
      <c r="I48" s="277" t="s">
        <v>1662</v>
      </c>
      <c r="J48" s="130">
        <v>5427028</v>
      </c>
      <c r="K48" s="130" t="s">
        <v>4435</v>
      </c>
      <c r="L48" s="310">
        <v>5.5801743854668189</v>
      </c>
      <c r="M48" s="311">
        <v>2844</v>
      </c>
      <c r="N48" s="312">
        <v>509.6614914772203</v>
      </c>
      <c r="O48" s="311">
        <v>1166</v>
      </c>
      <c r="P48" s="312">
        <v>2.41</v>
      </c>
      <c r="Q48" s="311">
        <v>2805</v>
      </c>
      <c r="R48" s="311">
        <v>47</v>
      </c>
      <c r="S48" s="311">
        <v>187</v>
      </c>
      <c r="T48" s="311">
        <v>60</v>
      </c>
      <c r="U48" s="311">
        <v>71</v>
      </c>
      <c r="V48" s="311">
        <v>44</v>
      </c>
      <c r="W48" s="311">
        <v>60</v>
      </c>
      <c r="X48" s="311">
        <v>108</v>
      </c>
      <c r="Y48" s="311">
        <v>123</v>
      </c>
      <c r="Z48" s="311">
        <v>61</v>
      </c>
      <c r="AA48" s="311">
        <v>92</v>
      </c>
      <c r="AB48" s="311">
        <v>58</v>
      </c>
      <c r="AC48" s="311">
        <v>83</v>
      </c>
      <c r="AD48" s="311">
        <v>12</v>
      </c>
      <c r="AE48" s="311">
        <v>42</v>
      </c>
      <c r="AF48" s="311">
        <v>62</v>
      </c>
      <c r="AG48" s="311">
        <v>56</v>
      </c>
      <c r="AH48" s="312">
        <v>25.21440823327616</v>
      </c>
      <c r="AI48" s="312">
        <v>9.8627787307032584</v>
      </c>
      <c r="AJ48" s="312">
        <v>30.188679245283019</v>
      </c>
      <c r="AK48" s="312">
        <v>7.8902229845626071</v>
      </c>
      <c r="AL48" s="312">
        <v>26.843910806174957</v>
      </c>
      <c r="AM48" s="311">
        <v>25240</v>
      </c>
      <c r="AN48" s="311">
        <v>41154</v>
      </c>
      <c r="AO48" s="312">
        <v>60.03430531732419</v>
      </c>
      <c r="AP48" s="311">
        <v>1166</v>
      </c>
      <c r="AQ48" s="311">
        <v>73</v>
      </c>
      <c r="AR48" s="311">
        <v>828</v>
      </c>
      <c r="AS48" s="311">
        <v>338</v>
      </c>
      <c r="AT48" s="311">
        <v>37</v>
      </c>
      <c r="AU48" s="311">
        <v>57</v>
      </c>
      <c r="AV48" s="311">
        <v>188</v>
      </c>
      <c r="AW48" s="311">
        <v>38</v>
      </c>
      <c r="AX48" s="311">
        <v>88</v>
      </c>
      <c r="AY48" s="311">
        <v>32</v>
      </c>
      <c r="AZ48" s="311">
        <v>111</v>
      </c>
      <c r="BA48" s="311">
        <v>71</v>
      </c>
      <c r="BB48" s="311">
        <v>13</v>
      </c>
      <c r="BC48" s="311">
        <v>142</v>
      </c>
      <c r="BD48" s="311">
        <v>8</v>
      </c>
      <c r="BE48" s="311">
        <v>0</v>
      </c>
      <c r="BF48" s="311">
        <v>249</v>
      </c>
      <c r="BG48" s="311">
        <v>6</v>
      </c>
      <c r="BH48" s="311">
        <v>0</v>
      </c>
      <c r="BI48" s="312">
        <v>19.982847341337909</v>
      </c>
      <c r="BJ48" s="313">
        <v>5.6</v>
      </c>
      <c r="BK48" s="313">
        <v>4.7</v>
      </c>
      <c r="BL48" s="313">
        <v>9.9</v>
      </c>
      <c r="BM48" s="313">
        <v>4.0999999999999996</v>
      </c>
      <c r="BN48" s="313">
        <v>4.8</v>
      </c>
      <c r="BO48" s="313">
        <v>2.6</v>
      </c>
      <c r="BP48" s="313">
        <v>6.9</v>
      </c>
      <c r="BQ48" s="313">
        <v>12.3</v>
      </c>
      <c r="BR48" s="313">
        <v>5.8</v>
      </c>
      <c r="BS48" s="313">
        <v>4.9000000000000004</v>
      </c>
      <c r="BT48" s="313">
        <v>4</v>
      </c>
      <c r="BU48" s="313">
        <v>4.8</v>
      </c>
      <c r="BV48" s="313">
        <v>9.6999999999999993</v>
      </c>
      <c r="BW48" s="313">
        <v>8.9</v>
      </c>
      <c r="BX48" s="313">
        <v>4.3</v>
      </c>
      <c r="BY48" s="313">
        <v>2.9</v>
      </c>
      <c r="BZ48" s="313">
        <v>1.8</v>
      </c>
      <c r="CA48" s="313">
        <v>1.9</v>
      </c>
      <c r="CB48" s="313">
        <v>20.200000000000003</v>
      </c>
      <c r="CC48" s="313">
        <v>59.899999999999991</v>
      </c>
      <c r="CD48" s="313">
        <v>19.799999999999997</v>
      </c>
    </row>
    <row r="49" spans="1:82" x14ac:dyDescent="0.25">
      <c r="A49" s="130" t="s">
        <v>4436</v>
      </c>
      <c r="B49" s="130" t="s">
        <v>331</v>
      </c>
      <c r="C49" s="130" t="s">
        <v>4437</v>
      </c>
      <c r="D49" s="130" t="s">
        <v>21</v>
      </c>
      <c r="E49" s="130" t="s">
        <v>4426</v>
      </c>
      <c r="F49" s="130" t="s">
        <v>4272</v>
      </c>
      <c r="G49" s="130" t="s">
        <v>4438</v>
      </c>
      <c r="H49" s="309">
        <v>540294</v>
      </c>
      <c r="I49" s="277" t="s">
        <v>1663</v>
      </c>
      <c r="J49" s="130">
        <v>5430364</v>
      </c>
      <c r="K49" s="130" t="s">
        <v>4439</v>
      </c>
      <c r="L49" s="310">
        <v>1.627237878215593</v>
      </c>
      <c r="M49" s="311">
        <v>726</v>
      </c>
      <c r="N49" s="312">
        <v>446.15480607919585</v>
      </c>
      <c r="O49" s="311">
        <v>298</v>
      </c>
      <c r="P49" s="312">
        <v>2.44</v>
      </c>
      <c r="Q49" s="311">
        <v>726</v>
      </c>
      <c r="R49" s="311">
        <v>72</v>
      </c>
      <c r="S49" s="311">
        <v>6</v>
      </c>
      <c r="T49" s="311">
        <v>22</v>
      </c>
      <c r="U49" s="311">
        <v>24</v>
      </c>
      <c r="V49" s="311">
        <v>17</v>
      </c>
      <c r="W49" s="311">
        <v>24</v>
      </c>
      <c r="X49" s="311">
        <v>12</v>
      </c>
      <c r="Y49" s="311">
        <v>15</v>
      </c>
      <c r="Z49" s="311">
        <v>20</v>
      </c>
      <c r="AA49" s="311">
        <v>54</v>
      </c>
      <c r="AB49" s="311">
        <v>7</v>
      </c>
      <c r="AC49" s="311">
        <v>13</v>
      </c>
      <c r="AD49" s="311">
        <v>12</v>
      </c>
      <c r="AE49" s="311">
        <v>0</v>
      </c>
      <c r="AF49" s="311">
        <v>0</v>
      </c>
      <c r="AG49" s="311">
        <v>0</v>
      </c>
      <c r="AH49" s="312">
        <v>33.557046979865774</v>
      </c>
      <c r="AI49" s="312">
        <v>13.758389261744966</v>
      </c>
      <c r="AJ49" s="312">
        <v>23.825503355704697</v>
      </c>
      <c r="AK49" s="312">
        <v>18.120805369127517</v>
      </c>
      <c r="AL49" s="312">
        <v>10.738255033557047</v>
      </c>
      <c r="AM49" s="311">
        <v>14428</v>
      </c>
      <c r="AN49" s="311">
        <v>33333</v>
      </c>
      <c r="AO49" s="312">
        <v>64.429530201342274</v>
      </c>
      <c r="AP49" s="311">
        <v>298</v>
      </c>
      <c r="AQ49" s="311">
        <v>97</v>
      </c>
      <c r="AR49" s="311">
        <v>129</v>
      </c>
      <c r="AS49" s="311">
        <v>169</v>
      </c>
      <c r="AT49" s="311">
        <v>3</v>
      </c>
      <c r="AU49" s="311">
        <v>9</v>
      </c>
      <c r="AV49" s="311">
        <v>63</v>
      </c>
      <c r="AW49" s="311">
        <v>20</v>
      </c>
      <c r="AX49" s="311">
        <v>21</v>
      </c>
      <c r="AY49" s="311">
        <v>24</v>
      </c>
      <c r="AZ49" s="311">
        <v>39</v>
      </c>
      <c r="BA49" s="311">
        <v>8</v>
      </c>
      <c r="BB49" s="311">
        <v>0</v>
      </c>
      <c r="BC49" s="311">
        <v>53</v>
      </c>
      <c r="BD49" s="311">
        <v>8</v>
      </c>
      <c r="BE49" s="311">
        <v>0</v>
      </c>
      <c r="BF49" s="311">
        <v>21</v>
      </c>
      <c r="BG49" s="311">
        <v>0</v>
      </c>
      <c r="BH49" s="311">
        <v>0</v>
      </c>
      <c r="BI49" s="312">
        <v>29.194630872483224</v>
      </c>
      <c r="BJ49" s="313">
        <v>14.3</v>
      </c>
      <c r="BK49" s="313">
        <v>6.3</v>
      </c>
      <c r="BL49" s="313">
        <v>2.9</v>
      </c>
      <c r="BM49" s="313">
        <v>5.2</v>
      </c>
      <c r="BN49" s="313">
        <v>10.6</v>
      </c>
      <c r="BO49" s="313">
        <v>6.1</v>
      </c>
      <c r="BP49" s="313">
        <v>6.2</v>
      </c>
      <c r="BQ49" s="313">
        <v>5.0999999999999996</v>
      </c>
      <c r="BR49" s="313">
        <v>5.5</v>
      </c>
      <c r="BS49" s="313">
        <v>11.3</v>
      </c>
      <c r="BT49" s="313">
        <v>8.1</v>
      </c>
      <c r="BU49" s="313">
        <v>4</v>
      </c>
      <c r="BV49" s="313">
        <v>4.3</v>
      </c>
      <c r="BW49" s="313">
        <v>3.2</v>
      </c>
      <c r="BX49" s="313">
        <v>2.2999999999999998</v>
      </c>
      <c r="BY49" s="313">
        <v>2.5</v>
      </c>
      <c r="BZ49" s="313">
        <v>0.8</v>
      </c>
      <c r="CA49" s="313">
        <v>1.2</v>
      </c>
      <c r="CB49" s="313">
        <v>23.5</v>
      </c>
      <c r="CC49" s="313">
        <v>66.400000000000006</v>
      </c>
      <c r="CD49" s="313">
        <v>10</v>
      </c>
    </row>
    <row r="50" spans="1:82" x14ac:dyDescent="0.25">
      <c r="A50" s="130" t="s">
        <v>4440</v>
      </c>
      <c r="B50" s="130" t="s">
        <v>133</v>
      </c>
      <c r="C50" s="130" t="s">
        <v>4441</v>
      </c>
      <c r="D50" s="130" t="s">
        <v>21</v>
      </c>
      <c r="E50" s="130" t="s">
        <v>4426</v>
      </c>
      <c r="F50" s="130" t="s">
        <v>4272</v>
      </c>
      <c r="G50" s="130" t="s">
        <v>4442</v>
      </c>
      <c r="H50" s="309">
        <v>540028</v>
      </c>
      <c r="I50" s="277" t="s">
        <v>1658</v>
      </c>
      <c r="J50" s="130">
        <v>5452780</v>
      </c>
      <c r="K50" s="130" t="s">
        <v>4443</v>
      </c>
      <c r="L50" s="310">
        <v>0.40584699649928635</v>
      </c>
      <c r="M50" s="311">
        <v>318</v>
      </c>
      <c r="N50" s="312">
        <v>783.54651566470113</v>
      </c>
      <c r="O50" s="311">
        <v>135</v>
      </c>
      <c r="P50" s="312">
        <v>2.36</v>
      </c>
      <c r="Q50" s="311">
        <v>318</v>
      </c>
      <c r="R50" s="311">
        <v>6</v>
      </c>
      <c r="S50" s="311">
        <v>17</v>
      </c>
      <c r="T50" s="311">
        <v>15</v>
      </c>
      <c r="U50" s="311">
        <v>9</v>
      </c>
      <c r="V50" s="311">
        <v>5</v>
      </c>
      <c r="W50" s="311">
        <v>19</v>
      </c>
      <c r="X50" s="311">
        <v>21</v>
      </c>
      <c r="Y50" s="311">
        <v>9</v>
      </c>
      <c r="Z50" s="311">
        <v>6</v>
      </c>
      <c r="AA50" s="311">
        <v>15</v>
      </c>
      <c r="AB50" s="311">
        <v>5</v>
      </c>
      <c r="AC50" s="311">
        <v>4</v>
      </c>
      <c r="AD50" s="311">
        <v>4</v>
      </c>
      <c r="AE50" s="311">
        <v>0</v>
      </c>
      <c r="AF50" s="311">
        <v>0</v>
      </c>
      <c r="AG50" s="311">
        <v>0</v>
      </c>
      <c r="AH50" s="312">
        <v>28.148148148148149</v>
      </c>
      <c r="AI50" s="312">
        <v>10.37037037037037</v>
      </c>
      <c r="AJ50" s="312">
        <v>40.74074074074074</v>
      </c>
      <c r="AK50" s="312">
        <v>11.111111111111111</v>
      </c>
      <c r="AL50" s="312">
        <v>9.6296296296296298</v>
      </c>
      <c r="AM50" s="311">
        <v>16185</v>
      </c>
      <c r="AN50" s="311">
        <v>34327</v>
      </c>
      <c r="AO50" s="312">
        <v>74.81481481481481</v>
      </c>
      <c r="AP50" s="311">
        <v>135</v>
      </c>
      <c r="AQ50" s="311">
        <v>27</v>
      </c>
      <c r="AR50" s="311">
        <v>100</v>
      </c>
      <c r="AS50" s="311">
        <v>35</v>
      </c>
      <c r="AT50" s="311">
        <v>4</v>
      </c>
      <c r="AU50" s="311">
        <v>7</v>
      </c>
      <c r="AV50" s="311">
        <v>20</v>
      </c>
      <c r="AW50" s="311">
        <v>16</v>
      </c>
      <c r="AX50" s="311">
        <v>10</v>
      </c>
      <c r="AY50" s="311">
        <v>7</v>
      </c>
      <c r="AZ50" s="311">
        <v>15</v>
      </c>
      <c r="BA50" s="311">
        <v>16</v>
      </c>
      <c r="BB50" s="311">
        <v>5</v>
      </c>
      <c r="BC50" s="311">
        <v>18</v>
      </c>
      <c r="BD50" s="311">
        <v>2</v>
      </c>
      <c r="BE50" s="311">
        <v>0</v>
      </c>
      <c r="BF50" s="311">
        <v>8</v>
      </c>
      <c r="BG50" s="311">
        <v>0</v>
      </c>
      <c r="BH50" s="311">
        <v>0</v>
      </c>
      <c r="BI50" s="312">
        <v>23.703703703703706</v>
      </c>
      <c r="BJ50" s="313">
        <v>11</v>
      </c>
      <c r="BK50" s="313">
        <v>11.3</v>
      </c>
      <c r="BL50" s="313">
        <v>4.4000000000000004</v>
      </c>
      <c r="BM50" s="313">
        <v>3.5</v>
      </c>
      <c r="BN50" s="313">
        <v>5.3</v>
      </c>
      <c r="BO50" s="313">
        <v>7.5</v>
      </c>
      <c r="BP50" s="313">
        <v>6</v>
      </c>
      <c r="BQ50" s="313">
        <v>6.9</v>
      </c>
      <c r="BR50" s="313">
        <v>2.8</v>
      </c>
      <c r="BS50" s="313">
        <v>7.5</v>
      </c>
      <c r="BT50" s="313">
        <v>4.7</v>
      </c>
      <c r="BU50" s="313">
        <v>4.0999999999999996</v>
      </c>
      <c r="BV50" s="313">
        <v>8.8000000000000007</v>
      </c>
      <c r="BW50" s="313">
        <v>5</v>
      </c>
      <c r="BX50" s="313">
        <v>5.7</v>
      </c>
      <c r="BY50" s="313">
        <v>0.9</v>
      </c>
      <c r="BZ50" s="313">
        <v>1.6</v>
      </c>
      <c r="CA50" s="313">
        <v>2.8</v>
      </c>
      <c r="CB50" s="313">
        <v>26.700000000000003</v>
      </c>
      <c r="CC50" s="313">
        <v>57.100000000000009</v>
      </c>
      <c r="CD50" s="313">
        <v>16</v>
      </c>
    </row>
    <row r="51" spans="1:82" s="330" customFormat="1" x14ac:dyDescent="0.25">
      <c r="A51" s="323" t="s">
        <v>4444</v>
      </c>
      <c r="B51" s="323" t="s">
        <v>134</v>
      </c>
      <c r="C51" s="323" t="s">
        <v>4445</v>
      </c>
      <c r="D51" s="323" t="s">
        <v>623</v>
      </c>
      <c r="E51" s="323" t="s">
        <v>4426</v>
      </c>
      <c r="F51" s="323" t="s">
        <v>4272</v>
      </c>
      <c r="G51" s="323" t="s">
        <v>4446</v>
      </c>
      <c r="H51" s="324">
        <v>540029</v>
      </c>
      <c r="I51" s="325" t="s">
        <v>4447</v>
      </c>
      <c r="J51" s="323">
        <v>5455468</v>
      </c>
      <c r="K51" s="323" t="s">
        <v>4448</v>
      </c>
      <c r="L51" s="326">
        <v>1.2139037221606599</v>
      </c>
      <c r="M51" s="327">
        <v>1273</v>
      </c>
      <c r="N51" s="328">
        <v>1048.6828376587832</v>
      </c>
      <c r="O51" s="327">
        <v>485</v>
      </c>
      <c r="P51" s="328">
        <v>2.0099999999999998</v>
      </c>
      <c r="Q51" s="327">
        <v>975</v>
      </c>
      <c r="R51" s="327">
        <v>136</v>
      </c>
      <c r="S51" s="327">
        <v>60</v>
      </c>
      <c r="T51" s="327">
        <v>48</v>
      </c>
      <c r="U51" s="327">
        <v>31</v>
      </c>
      <c r="V51" s="327">
        <v>24</v>
      </c>
      <c r="W51" s="327">
        <v>16</v>
      </c>
      <c r="X51" s="327">
        <v>15</v>
      </c>
      <c r="Y51" s="327">
        <v>15</v>
      </c>
      <c r="Z51" s="327">
        <v>15</v>
      </c>
      <c r="AA51" s="327">
        <v>11</v>
      </c>
      <c r="AB51" s="327">
        <v>29</v>
      </c>
      <c r="AC51" s="327">
        <v>29</v>
      </c>
      <c r="AD51" s="327">
        <v>24</v>
      </c>
      <c r="AE51" s="327">
        <v>10</v>
      </c>
      <c r="AF51" s="327">
        <v>10</v>
      </c>
      <c r="AG51" s="327">
        <v>10</v>
      </c>
      <c r="AH51" s="328">
        <v>50.309278350515463</v>
      </c>
      <c r="AI51" s="328">
        <v>11.340206185567011</v>
      </c>
      <c r="AJ51" s="328">
        <v>12.577319587628866</v>
      </c>
      <c r="AK51" s="328">
        <v>2.268041237113402</v>
      </c>
      <c r="AL51" s="328">
        <v>23.092783505154639</v>
      </c>
      <c r="AM51" s="327">
        <v>18832</v>
      </c>
      <c r="AN51" s="327">
        <v>19786</v>
      </c>
      <c r="AO51" s="328">
        <v>71.134020618556704</v>
      </c>
      <c r="AP51" s="327">
        <v>485</v>
      </c>
      <c r="AQ51" s="327">
        <v>129</v>
      </c>
      <c r="AR51" s="327">
        <v>202</v>
      </c>
      <c r="AS51" s="327">
        <v>283</v>
      </c>
      <c r="AT51" s="327">
        <v>14</v>
      </c>
      <c r="AU51" s="327">
        <v>49</v>
      </c>
      <c r="AV51" s="327">
        <v>148</v>
      </c>
      <c r="AW51" s="327">
        <v>24</v>
      </c>
      <c r="AX51" s="327">
        <v>22</v>
      </c>
      <c r="AY51" s="327">
        <v>18</v>
      </c>
      <c r="AZ51" s="327">
        <v>24</v>
      </c>
      <c r="BA51" s="327">
        <v>13</v>
      </c>
      <c r="BB51" s="327">
        <v>2</v>
      </c>
      <c r="BC51" s="327">
        <v>41</v>
      </c>
      <c r="BD51" s="327">
        <v>0</v>
      </c>
      <c r="BE51" s="327">
        <v>0</v>
      </c>
      <c r="BF51" s="327">
        <v>83</v>
      </c>
      <c r="BG51" s="327">
        <v>0</v>
      </c>
      <c r="BH51" s="327">
        <v>0</v>
      </c>
      <c r="BI51" s="328">
        <v>34.639175257731956</v>
      </c>
      <c r="BJ51" s="329">
        <v>1.9</v>
      </c>
      <c r="BK51" s="329">
        <v>8</v>
      </c>
      <c r="BL51" s="329">
        <v>5.7</v>
      </c>
      <c r="BM51" s="329">
        <v>13.5</v>
      </c>
      <c r="BN51" s="329">
        <v>16.899999999999999</v>
      </c>
      <c r="BO51" s="329">
        <v>5.0999999999999996</v>
      </c>
      <c r="BP51" s="329">
        <v>2.9</v>
      </c>
      <c r="BQ51" s="329">
        <v>6.7</v>
      </c>
      <c r="BR51" s="329">
        <v>3.3</v>
      </c>
      <c r="BS51" s="329">
        <v>3.5</v>
      </c>
      <c r="BT51" s="329">
        <v>4.5999999999999996</v>
      </c>
      <c r="BU51" s="329">
        <v>6</v>
      </c>
      <c r="BV51" s="329">
        <v>6.1</v>
      </c>
      <c r="BW51" s="329">
        <v>4.4000000000000004</v>
      </c>
      <c r="BX51" s="329">
        <v>3.7</v>
      </c>
      <c r="BY51" s="329">
        <v>2.2999999999999998</v>
      </c>
      <c r="BZ51" s="329">
        <v>2.7</v>
      </c>
      <c r="CA51" s="329">
        <v>2.6</v>
      </c>
      <c r="CB51" s="329">
        <v>15.600000000000001</v>
      </c>
      <c r="CC51" s="329">
        <v>68.599999999999994</v>
      </c>
      <c r="CD51" s="329">
        <v>15.700000000000001</v>
      </c>
    </row>
    <row r="52" spans="1:82" x14ac:dyDescent="0.25">
      <c r="A52" s="130" t="s">
        <v>4449</v>
      </c>
      <c r="B52" s="130" t="s">
        <v>321</v>
      </c>
      <c r="C52" s="130" t="s">
        <v>4450</v>
      </c>
      <c r="D52" s="130" t="s">
        <v>21</v>
      </c>
      <c r="E52" s="130" t="s">
        <v>4426</v>
      </c>
      <c r="F52" s="130" t="s">
        <v>4272</v>
      </c>
      <c r="G52" s="130" t="s">
        <v>4451</v>
      </c>
      <c r="H52" s="309">
        <v>540280</v>
      </c>
      <c r="I52" s="277" t="s">
        <v>1664</v>
      </c>
      <c r="J52" s="130">
        <v>5456404</v>
      </c>
      <c r="K52" s="130" t="s">
        <v>4452</v>
      </c>
      <c r="L52" s="310">
        <v>1.3983466896374823</v>
      </c>
      <c r="M52" s="311">
        <v>1101</v>
      </c>
      <c r="N52" s="312">
        <v>787.35839127665213</v>
      </c>
      <c r="O52" s="311">
        <v>518</v>
      </c>
      <c r="P52" s="312">
        <v>2.13</v>
      </c>
      <c r="Q52" s="311">
        <v>1101</v>
      </c>
      <c r="R52" s="311">
        <v>99</v>
      </c>
      <c r="S52" s="311">
        <v>69</v>
      </c>
      <c r="T52" s="311">
        <v>79</v>
      </c>
      <c r="U52" s="311">
        <v>16</v>
      </c>
      <c r="V52" s="311">
        <v>22</v>
      </c>
      <c r="W52" s="311">
        <v>34</v>
      </c>
      <c r="X52" s="311">
        <v>10</v>
      </c>
      <c r="Y52" s="311">
        <v>30</v>
      </c>
      <c r="Z52" s="311">
        <v>27</v>
      </c>
      <c r="AA52" s="311">
        <v>19</v>
      </c>
      <c r="AB52" s="311">
        <v>22</v>
      </c>
      <c r="AC52" s="311">
        <v>49</v>
      </c>
      <c r="AD52" s="311">
        <v>23</v>
      </c>
      <c r="AE52" s="311">
        <v>3</v>
      </c>
      <c r="AF52" s="311">
        <v>13</v>
      </c>
      <c r="AG52" s="311">
        <v>3</v>
      </c>
      <c r="AH52" s="312">
        <v>47.683397683397679</v>
      </c>
      <c r="AI52" s="312">
        <v>7.3359073359073363</v>
      </c>
      <c r="AJ52" s="312">
        <v>19.498069498069498</v>
      </c>
      <c r="AK52" s="312">
        <v>3.6679536679536682</v>
      </c>
      <c r="AL52" s="312">
        <v>21.814671814671815</v>
      </c>
      <c r="AM52" s="311">
        <v>19257</v>
      </c>
      <c r="AN52" s="311">
        <v>22308</v>
      </c>
      <c r="AO52" s="312">
        <v>69.3050193050193</v>
      </c>
      <c r="AP52" s="311">
        <v>518</v>
      </c>
      <c r="AQ52" s="311">
        <v>112</v>
      </c>
      <c r="AR52" s="311">
        <v>294</v>
      </c>
      <c r="AS52" s="311">
        <v>224</v>
      </c>
      <c r="AT52" s="311">
        <v>41</v>
      </c>
      <c r="AU52" s="311">
        <v>45</v>
      </c>
      <c r="AV52" s="311">
        <v>150</v>
      </c>
      <c r="AW52" s="311">
        <v>45</v>
      </c>
      <c r="AX52" s="311">
        <v>13</v>
      </c>
      <c r="AY52" s="311">
        <v>11</v>
      </c>
      <c r="AZ52" s="311">
        <v>53</v>
      </c>
      <c r="BA52" s="311">
        <v>14</v>
      </c>
      <c r="BB52" s="311">
        <v>0</v>
      </c>
      <c r="BC52" s="311">
        <v>41</v>
      </c>
      <c r="BD52" s="311">
        <v>0</v>
      </c>
      <c r="BE52" s="311">
        <v>0</v>
      </c>
      <c r="BF52" s="311">
        <v>77</v>
      </c>
      <c r="BG52" s="311">
        <v>14</v>
      </c>
      <c r="BH52" s="311">
        <v>0</v>
      </c>
      <c r="BI52" s="312">
        <v>31.081081081081081</v>
      </c>
      <c r="BJ52" s="313">
        <v>11.4</v>
      </c>
      <c r="BK52" s="313">
        <v>6.2</v>
      </c>
      <c r="BL52" s="313">
        <v>0.9</v>
      </c>
      <c r="BM52" s="313">
        <v>3.8</v>
      </c>
      <c r="BN52" s="313">
        <v>4</v>
      </c>
      <c r="BO52" s="313">
        <v>9.1</v>
      </c>
      <c r="BP52" s="313">
        <v>7.9</v>
      </c>
      <c r="BQ52" s="313">
        <v>5.0999999999999996</v>
      </c>
      <c r="BR52" s="313">
        <v>3.3</v>
      </c>
      <c r="BS52" s="313">
        <v>6</v>
      </c>
      <c r="BT52" s="313">
        <v>7.9</v>
      </c>
      <c r="BU52" s="313">
        <v>7.1</v>
      </c>
      <c r="BV52" s="313">
        <v>5.3</v>
      </c>
      <c r="BW52" s="313">
        <v>8.4</v>
      </c>
      <c r="BX52" s="313">
        <v>4.5</v>
      </c>
      <c r="BY52" s="313">
        <v>3.2</v>
      </c>
      <c r="BZ52" s="313">
        <v>2</v>
      </c>
      <c r="CA52" s="313">
        <v>3.9</v>
      </c>
      <c r="CB52" s="313">
        <v>18.5</v>
      </c>
      <c r="CC52" s="313">
        <v>59.499999999999993</v>
      </c>
      <c r="CD52" s="313">
        <v>22</v>
      </c>
    </row>
    <row r="53" spans="1:82" x14ac:dyDescent="0.25">
      <c r="A53" s="130" t="s">
        <v>4453</v>
      </c>
      <c r="B53" s="130" t="s">
        <v>136</v>
      </c>
      <c r="C53" s="130" t="s">
        <v>4454</v>
      </c>
      <c r="D53" s="130" t="s">
        <v>21</v>
      </c>
      <c r="E53" s="130" t="s">
        <v>4426</v>
      </c>
      <c r="F53" s="130" t="s">
        <v>4272</v>
      </c>
      <c r="G53" s="130" t="s">
        <v>4455</v>
      </c>
      <c r="H53" s="309">
        <v>540031</v>
      </c>
      <c r="I53" s="277" t="s">
        <v>1659</v>
      </c>
      <c r="J53" s="130">
        <v>5460028</v>
      </c>
      <c r="K53" s="130" t="s">
        <v>4456</v>
      </c>
      <c r="L53" s="310">
        <v>9.6222691491939898</v>
      </c>
      <c r="M53" s="311">
        <v>8565</v>
      </c>
      <c r="N53" s="312">
        <v>890.12267971297058</v>
      </c>
      <c r="O53" s="311">
        <v>3574</v>
      </c>
      <c r="P53" s="312">
        <v>2.35</v>
      </c>
      <c r="Q53" s="311">
        <v>8387</v>
      </c>
      <c r="R53" s="311">
        <v>362</v>
      </c>
      <c r="S53" s="311">
        <v>326</v>
      </c>
      <c r="T53" s="311">
        <v>268</v>
      </c>
      <c r="U53" s="311">
        <v>390</v>
      </c>
      <c r="V53" s="311">
        <v>155</v>
      </c>
      <c r="W53" s="311">
        <v>159</v>
      </c>
      <c r="X53" s="311">
        <v>123</v>
      </c>
      <c r="Y53" s="311">
        <v>125</v>
      </c>
      <c r="Z53" s="311">
        <v>163</v>
      </c>
      <c r="AA53" s="311">
        <v>509</v>
      </c>
      <c r="AB53" s="311">
        <v>327</v>
      </c>
      <c r="AC53" s="311">
        <v>353</v>
      </c>
      <c r="AD53" s="311">
        <v>166</v>
      </c>
      <c r="AE53" s="311">
        <v>103</v>
      </c>
      <c r="AF53" s="311">
        <v>28</v>
      </c>
      <c r="AG53" s="311">
        <v>17</v>
      </c>
      <c r="AH53" s="312">
        <v>26.748740906547287</v>
      </c>
      <c r="AI53" s="312">
        <v>15.249020705092335</v>
      </c>
      <c r="AJ53" s="312">
        <v>15.948517067711249</v>
      </c>
      <c r="AK53" s="312">
        <v>14.241745942921098</v>
      </c>
      <c r="AL53" s="312">
        <v>27.811975377728039</v>
      </c>
      <c r="AM53" s="311">
        <v>20501</v>
      </c>
      <c r="AN53" s="311">
        <v>40110</v>
      </c>
      <c r="AO53" s="312">
        <v>53.385562395075546</v>
      </c>
      <c r="AP53" s="311">
        <v>3574</v>
      </c>
      <c r="AQ53" s="311">
        <v>528</v>
      </c>
      <c r="AR53" s="311">
        <v>2533</v>
      </c>
      <c r="AS53" s="311">
        <v>1041</v>
      </c>
      <c r="AT53" s="311">
        <v>82</v>
      </c>
      <c r="AU53" s="311">
        <v>142</v>
      </c>
      <c r="AV53" s="311">
        <v>655</v>
      </c>
      <c r="AW53" s="311">
        <v>229</v>
      </c>
      <c r="AX53" s="311">
        <v>165</v>
      </c>
      <c r="AY53" s="311">
        <v>280</v>
      </c>
      <c r="AZ53" s="311">
        <v>269</v>
      </c>
      <c r="BA53" s="311">
        <v>45</v>
      </c>
      <c r="BB53" s="311">
        <v>97</v>
      </c>
      <c r="BC53" s="311">
        <v>678</v>
      </c>
      <c r="BD53" s="311">
        <v>133</v>
      </c>
      <c r="BE53" s="311">
        <v>25</v>
      </c>
      <c r="BF53" s="311">
        <v>614</v>
      </c>
      <c r="BG53" s="311">
        <v>30</v>
      </c>
      <c r="BH53" s="311">
        <v>0</v>
      </c>
      <c r="BI53" s="312">
        <v>29.574706211527701</v>
      </c>
      <c r="BJ53" s="313">
        <v>6.2</v>
      </c>
      <c r="BK53" s="313">
        <v>5</v>
      </c>
      <c r="BL53" s="313">
        <v>8.3000000000000007</v>
      </c>
      <c r="BM53" s="313">
        <v>6</v>
      </c>
      <c r="BN53" s="313">
        <v>5.5</v>
      </c>
      <c r="BO53" s="313">
        <v>4.9000000000000004</v>
      </c>
      <c r="BP53" s="313">
        <v>5.9</v>
      </c>
      <c r="BQ53" s="313">
        <v>5.2</v>
      </c>
      <c r="BR53" s="313">
        <v>7.5</v>
      </c>
      <c r="BS53" s="313">
        <v>3.6</v>
      </c>
      <c r="BT53" s="313">
        <v>5.7</v>
      </c>
      <c r="BU53" s="313">
        <v>7.2</v>
      </c>
      <c r="BV53" s="313">
        <v>9.1</v>
      </c>
      <c r="BW53" s="313">
        <v>7.1</v>
      </c>
      <c r="BX53" s="313">
        <v>5.4</v>
      </c>
      <c r="BY53" s="313">
        <v>2.5</v>
      </c>
      <c r="BZ53" s="313">
        <v>2.2999999999999998</v>
      </c>
      <c r="CA53" s="313">
        <v>2.7</v>
      </c>
      <c r="CB53" s="313">
        <v>19.5</v>
      </c>
      <c r="CC53" s="313">
        <v>60.600000000000009</v>
      </c>
      <c r="CD53" s="313">
        <v>20</v>
      </c>
    </row>
    <row r="54" spans="1:82" x14ac:dyDescent="0.25">
      <c r="A54" s="130" t="s">
        <v>4457</v>
      </c>
      <c r="B54" s="130" t="s">
        <v>137</v>
      </c>
      <c r="C54" s="130" t="s">
        <v>4458</v>
      </c>
      <c r="D54" s="130" t="s">
        <v>21</v>
      </c>
      <c r="E54" s="130" t="s">
        <v>4426</v>
      </c>
      <c r="F54" s="130" t="s">
        <v>4272</v>
      </c>
      <c r="G54" s="130" t="s">
        <v>4459</v>
      </c>
      <c r="H54" s="309">
        <v>540032</v>
      </c>
      <c r="I54" s="277" t="s">
        <v>1660</v>
      </c>
      <c r="J54" s="130">
        <v>5462356</v>
      </c>
      <c r="K54" s="130" t="s">
        <v>4460</v>
      </c>
      <c r="L54" s="310">
        <v>0.29967247953424159</v>
      </c>
      <c r="M54" s="311">
        <v>176</v>
      </c>
      <c r="N54" s="312">
        <v>587.30785113649267</v>
      </c>
      <c r="O54" s="311">
        <v>74</v>
      </c>
      <c r="P54" s="312">
        <v>2.38</v>
      </c>
      <c r="Q54" s="311">
        <v>176</v>
      </c>
      <c r="R54" s="311">
        <v>10</v>
      </c>
      <c r="S54" s="311">
        <v>2</v>
      </c>
      <c r="T54" s="311">
        <v>12</v>
      </c>
      <c r="U54" s="311">
        <v>19</v>
      </c>
      <c r="V54" s="311">
        <v>0</v>
      </c>
      <c r="W54" s="311">
        <v>0</v>
      </c>
      <c r="X54" s="311">
        <v>13</v>
      </c>
      <c r="Y54" s="311">
        <v>0</v>
      </c>
      <c r="Z54" s="311">
        <v>0</v>
      </c>
      <c r="AA54" s="311">
        <v>6</v>
      </c>
      <c r="AB54" s="311">
        <v>7</v>
      </c>
      <c r="AC54" s="311">
        <v>0</v>
      </c>
      <c r="AD54" s="311">
        <v>0</v>
      </c>
      <c r="AE54" s="311">
        <v>0</v>
      </c>
      <c r="AF54" s="311">
        <v>0</v>
      </c>
      <c r="AG54" s="311">
        <v>5</v>
      </c>
      <c r="AH54" s="312">
        <v>32.432432432432435</v>
      </c>
      <c r="AI54" s="312">
        <v>25.675675675675674</v>
      </c>
      <c r="AJ54" s="312">
        <v>17.567567567567568</v>
      </c>
      <c r="AK54" s="312">
        <v>8.1081081081081088</v>
      </c>
      <c r="AL54" s="312">
        <v>16.216216216216218</v>
      </c>
      <c r="AM54" s="311">
        <v>18508</v>
      </c>
      <c r="AN54" s="311">
        <v>22857</v>
      </c>
      <c r="AO54" s="312">
        <v>75.675675675675677</v>
      </c>
      <c r="AP54" s="311">
        <v>74</v>
      </c>
      <c r="AQ54" s="311">
        <v>20</v>
      </c>
      <c r="AR54" s="311">
        <v>52</v>
      </c>
      <c r="AS54" s="311">
        <v>22</v>
      </c>
      <c r="AT54" s="311">
        <v>5</v>
      </c>
      <c r="AU54" s="311">
        <v>4</v>
      </c>
      <c r="AV54" s="311">
        <v>9</v>
      </c>
      <c r="AW54" s="311">
        <v>2</v>
      </c>
      <c r="AX54" s="311">
        <v>12</v>
      </c>
      <c r="AY54" s="311">
        <v>5</v>
      </c>
      <c r="AZ54" s="311">
        <v>5</v>
      </c>
      <c r="BA54" s="311">
        <v>8</v>
      </c>
      <c r="BB54" s="311">
        <v>0</v>
      </c>
      <c r="BC54" s="311">
        <v>11</v>
      </c>
      <c r="BD54" s="311">
        <v>0</v>
      </c>
      <c r="BE54" s="311">
        <v>2</v>
      </c>
      <c r="BF54" s="311">
        <v>5</v>
      </c>
      <c r="BG54" s="311">
        <v>0</v>
      </c>
      <c r="BH54" s="311">
        <v>0</v>
      </c>
      <c r="BI54" s="312">
        <v>21.621621621621621</v>
      </c>
      <c r="BJ54" s="313">
        <v>1.7</v>
      </c>
      <c r="BK54" s="313">
        <v>3.4</v>
      </c>
      <c r="BL54" s="313">
        <v>10.199999999999999</v>
      </c>
      <c r="BM54" s="313">
        <v>2.8</v>
      </c>
      <c r="BN54" s="313">
        <v>2.8</v>
      </c>
      <c r="BO54" s="313">
        <v>5.0999999999999996</v>
      </c>
      <c r="BP54" s="313">
        <v>12.5</v>
      </c>
      <c r="BQ54" s="313">
        <v>6.3</v>
      </c>
      <c r="BR54" s="313">
        <v>8.5</v>
      </c>
      <c r="BS54" s="313">
        <v>9.6999999999999993</v>
      </c>
      <c r="BT54" s="313">
        <v>8</v>
      </c>
      <c r="BU54" s="313">
        <v>10.8</v>
      </c>
      <c r="BV54" s="313">
        <v>0</v>
      </c>
      <c r="BW54" s="313">
        <v>6.3</v>
      </c>
      <c r="BX54" s="313">
        <v>2.8</v>
      </c>
      <c r="BY54" s="313">
        <v>2.8</v>
      </c>
      <c r="BZ54" s="313">
        <v>2.2999999999999998</v>
      </c>
      <c r="CA54" s="313">
        <v>4</v>
      </c>
      <c r="CB54" s="313">
        <v>15.299999999999999</v>
      </c>
      <c r="CC54" s="313">
        <v>66.5</v>
      </c>
      <c r="CD54" s="313">
        <v>18.2</v>
      </c>
    </row>
    <row r="55" spans="1:82" s="330" customFormat="1" x14ac:dyDescent="0.25">
      <c r="A55" s="323" t="s">
        <v>4461</v>
      </c>
      <c r="B55" s="323" t="s">
        <v>138</v>
      </c>
      <c r="C55" s="323" t="s">
        <v>4462</v>
      </c>
      <c r="D55" s="323" t="s">
        <v>21</v>
      </c>
      <c r="E55" s="323" t="s">
        <v>4463</v>
      </c>
      <c r="F55" s="323" t="s">
        <v>4272</v>
      </c>
      <c r="G55" s="323" t="s">
        <v>4464</v>
      </c>
      <c r="H55" s="324">
        <v>540033</v>
      </c>
      <c r="I55" s="325" t="s">
        <v>4465</v>
      </c>
      <c r="J55" s="323">
        <v>5474740</v>
      </c>
      <c r="K55" s="323" t="s">
        <v>4466</v>
      </c>
      <c r="L55" s="326">
        <v>0.49741281841510315</v>
      </c>
      <c r="M55" s="327">
        <v>915</v>
      </c>
      <c r="N55" s="328">
        <v>1839.5183359275838</v>
      </c>
      <c r="O55" s="327">
        <v>351</v>
      </c>
      <c r="P55" s="328">
        <v>2.6068376068376069</v>
      </c>
      <c r="Q55" s="327">
        <v>915</v>
      </c>
      <c r="R55" s="327">
        <v>19</v>
      </c>
      <c r="S55" s="327">
        <v>48</v>
      </c>
      <c r="T55" s="327">
        <v>15</v>
      </c>
      <c r="U55" s="327">
        <v>23</v>
      </c>
      <c r="V55" s="327">
        <v>24</v>
      </c>
      <c r="W55" s="327">
        <v>30</v>
      </c>
      <c r="X55" s="327">
        <v>53</v>
      </c>
      <c r="Y55" s="327">
        <v>31</v>
      </c>
      <c r="Z55" s="327">
        <v>5</v>
      </c>
      <c r="AA55" s="327">
        <v>21</v>
      </c>
      <c r="AB55" s="327">
        <v>43</v>
      </c>
      <c r="AC55" s="327">
        <v>16</v>
      </c>
      <c r="AD55" s="327">
        <v>18</v>
      </c>
      <c r="AE55" s="327">
        <v>7</v>
      </c>
      <c r="AF55" s="327">
        <v>0</v>
      </c>
      <c r="AG55" s="327">
        <v>0</v>
      </c>
      <c r="AH55" s="328">
        <v>23.361823361823362</v>
      </c>
      <c r="AI55" s="328">
        <v>13.390313390313391</v>
      </c>
      <c r="AJ55" s="328">
        <v>33.903133903133906</v>
      </c>
      <c r="AK55" s="328">
        <v>5.982905982905983</v>
      </c>
      <c r="AL55" s="328">
        <v>23.931623931623932</v>
      </c>
      <c r="AM55" s="327">
        <v>16820</v>
      </c>
      <c r="AN55" s="327">
        <v>36731</v>
      </c>
      <c r="AO55" s="328">
        <v>69.230769230769226</v>
      </c>
      <c r="AP55" s="327">
        <v>351</v>
      </c>
      <c r="AQ55" s="327">
        <v>83</v>
      </c>
      <c r="AR55" s="327">
        <v>188</v>
      </c>
      <c r="AS55" s="327">
        <v>164</v>
      </c>
      <c r="AT55" s="327">
        <v>12</v>
      </c>
      <c r="AU55" s="327">
        <v>27</v>
      </c>
      <c r="AV55" s="327">
        <v>25</v>
      </c>
      <c r="AW55" s="327">
        <v>21</v>
      </c>
      <c r="AX55" s="327">
        <v>45</v>
      </c>
      <c r="AY55" s="327">
        <v>7</v>
      </c>
      <c r="AZ55" s="327">
        <v>38</v>
      </c>
      <c r="BA55" s="327">
        <v>17</v>
      </c>
      <c r="BB55" s="327">
        <v>12</v>
      </c>
      <c r="BC55" s="327">
        <v>53</v>
      </c>
      <c r="BD55" s="327">
        <v>0</v>
      </c>
      <c r="BE55" s="327">
        <v>11</v>
      </c>
      <c r="BF55" s="327">
        <v>40</v>
      </c>
      <c r="BG55" s="327">
        <v>0</v>
      </c>
      <c r="BH55" s="327">
        <v>0</v>
      </c>
      <c r="BI55" s="328">
        <v>15.669515669515668</v>
      </c>
      <c r="BJ55" s="329">
        <v>7.1</v>
      </c>
      <c r="BK55" s="329">
        <v>8.4</v>
      </c>
      <c r="BL55" s="329">
        <v>5.5</v>
      </c>
      <c r="BM55" s="329">
        <v>7.3</v>
      </c>
      <c r="BN55" s="329">
        <v>4.5</v>
      </c>
      <c r="BO55" s="329">
        <v>11.7</v>
      </c>
      <c r="BP55" s="329">
        <v>4.2</v>
      </c>
      <c r="BQ55" s="329">
        <v>1.6</v>
      </c>
      <c r="BR55" s="329">
        <v>5.7</v>
      </c>
      <c r="BS55" s="329">
        <v>6.8</v>
      </c>
      <c r="BT55" s="329">
        <v>4.0999999999999996</v>
      </c>
      <c r="BU55" s="329">
        <v>7</v>
      </c>
      <c r="BV55" s="329">
        <v>6.9</v>
      </c>
      <c r="BW55" s="329">
        <v>6.7</v>
      </c>
      <c r="BX55" s="329">
        <v>1.7</v>
      </c>
      <c r="BY55" s="329">
        <v>1.7</v>
      </c>
      <c r="BZ55" s="329">
        <v>5.6</v>
      </c>
      <c r="CA55" s="329">
        <v>3.3</v>
      </c>
      <c r="CB55" s="329">
        <v>21</v>
      </c>
      <c r="CC55" s="329">
        <v>59.8</v>
      </c>
      <c r="CD55" s="329">
        <v>19</v>
      </c>
    </row>
    <row r="56" spans="1:82" x14ac:dyDescent="0.25">
      <c r="A56" s="130" t="s">
        <v>4467</v>
      </c>
      <c r="B56" s="130" t="s">
        <v>150</v>
      </c>
      <c r="C56" s="130" t="s">
        <v>4468</v>
      </c>
      <c r="D56" s="130" t="s">
        <v>21</v>
      </c>
      <c r="E56" s="130" t="s">
        <v>4426</v>
      </c>
      <c r="F56" s="130" t="s">
        <v>4272</v>
      </c>
      <c r="G56" s="130" t="s">
        <v>4469</v>
      </c>
      <c r="H56" s="309">
        <v>540050</v>
      </c>
      <c r="I56" s="277" t="s">
        <v>1661</v>
      </c>
      <c r="J56" s="130">
        <v>5480284</v>
      </c>
      <c r="K56" s="130" t="s">
        <v>4470</v>
      </c>
      <c r="L56" s="310">
        <v>9.4192843463469136E-2</v>
      </c>
      <c r="M56" s="311">
        <v>7</v>
      </c>
      <c r="N56" s="312">
        <v>74.315624654805262</v>
      </c>
      <c r="O56" s="311">
        <v>4</v>
      </c>
      <c r="P56" s="312">
        <v>1.75</v>
      </c>
      <c r="Q56" s="311">
        <v>7</v>
      </c>
      <c r="R56" s="311">
        <v>0</v>
      </c>
      <c r="S56" s="311">
        <v>0</v>
      </c>
      <c r="T56" s="311">
        <v>0</v>
      </c>
      <c r="U56" s="311">
        <v>0</v>
      </c>
      <c r="V56" s="311">
        <v>0</v>
      </c>
      <c r="W56" s="311">
        <v>0</v>
      </c>
      <c r="X56" s="311">
        <v>0</v>
      </c>
      <c r="Y56" s="311">
        <v>1</v>
      </c>
      <c r="Z56" s="311">
        <v>0</v>
      </c>
      <c r="AA56" s="311">
        <v>0</v>
      </c>
      <c r="AB56" s="311">
        <v>2</v>
      </c>
      <c r="AC56" s="311">
        <v>0</v>
      </c>
      <c r="AD56" s="311">
        <v>0</v>
      </c>
      <c r="AE56" s="311">
        <v>0</v>
      </c>
      <c r="AF56" s="311">
        <v>1</v>
      </c>
      <c r="AG56" s="311">
        <v>0</v>
      </c>
      <c r="AH56" s="312">
        <v>0</v>
      </c>
      <c r="AI56" s="312">
        <v>0</v>
      </c>
      <c r="AJ56" s="312">
        <v>25</v>
      </c>
      <c r="AK56" s="312">
        <v>0</v>
      </c>
      <c r="AL56" s="312">
        <v>75</v>
      </c>
      <c r="AM56" s="311">
        <v>81300</v>
      </c>
      <c r="AN56" s="311" t="s">
        <v>488</v>
      </c>
      <c r="AO56" s="312">
        <v>25</v>
      </c>
      <c r="AP56" s="311">
        <v>4</v>
      </c>
      <c r="AQ56" s="311">
        <v>4</v>
      </c>
      <c r="AR56" s="311">
        <v>4</v>
      </c>
      <c r="AS56" s="311">
        <v>0</v>
      </c>
      <c r="AT56" s="311">
        <v>0</v>
      </c>
      <c r="AU56" s="311">
        <v>0</v>
      </c>
      <c r="AV56" s="311">
        <v>0</v>
      </c>
      <c r="AW56" s="311">
        <v>0</v>
      </c>
      <c r="AX56" s="311">
        <v>0</v>
      </c>
      <c r="AY56" s="311">
        <v>0</v>
      </c>
      <c r="AZ56" s="311">
        <v>1</v>
      </c>
      <c r="BA56" s="311">
        <v>0</v>
      </c>
      <c r="BB56" s="311">
        <v>0</v>
      </c>
      <c r="BC56" s="311">
        <v>2</v>
      </c>
      <c r="BD56" s="311">
        <v>0</v>
      </c>
      <c r="BE56" s="311">
        <v>0</v>
      </c>
      <c r="BF56" s="311">
        <v>1</v>
      </c>
      <c r="BG56" s="311">
        <v>0</v>
      </c>
      <c r="BH56" s="311">
        <v>0</v>
      </c>
      <c r="BI56" s="312">
        <v>0</v>
      </c>
      <c r="BJ56" s="313">
        <v>0</v>
      </c>
      <c r="BK56" s="313">
        <v>0</v>
      </c>
      <c r="BL56" s="313">
        <v>0</v>
      </c>
      <c r="BM56" s="313">
        <v>0</v>
      </c>
      <c r="BN56" s="313">
        <v>0</v>
      </c>
      <c r="BO56" s="313">
        <v>0</v>
      </c>
      <c r="BP56" s="313">
        <v>0</v>
      </c>
      <c r="BQ56" s="313">
        <v>0</v>
      </c>
      <c r="BR56" s="313">
        <v>0</v>
      </c>
      <c r="BS56" s="313">
        <v>0</v>
      </c>
      <c r="BT56" s="313">
        <v>0</v>
      </c>
      <c r="BU56" s="313">
        <v>42.9</v>
      </c>
      <c r="BV56" s="313">
        <v>28.6</v>
      </c>
      <c r="BW56" s="313">
        <v>0</v>
      </c>
      <c r="BX56" s="313">
        <v>28.6</v>
      </c>
      <c r="BY56" s="313">
        <v>0</v>
      </c>
      <c r="BZ56" s="313">
        <v>0</v>
      </c>
      <c r="CA56" s="313">
        <v>0</v>
      </c>
      <c r="CB56" s="313">
        <v>0</v>
      </c>
      <c r="CC56" s="313">
        <v>71.5</v>
      </c>
      <c r="CD56" s="313">
        <v>28.6</v>
      </c>
    </row>
    <row r="57" spans="1:82" s="322" customFormat="1" x14ac:dyDescent="0.25">
      <c r="A57" s="314" t="s">
        <v>4471</v>
      </c>
      <c r="B57" s="315" t="s">
        <v>348</v>
      </c>
      <c r="C57" s="314"/>
      <c r="D57" s="314"/>
      <c r="E57" s="314"/>
      <c r="F57" s="314"/>
      <c r="G57" s="314"/>
      <c r="H57" s="316"/>
      <c r="I57" s="317"/>
      <c r="J57" s="314">
        <v>54019</v>
      </c>
      <c r="K57" s="314" t="s">
        <v>4472</v>
      </c>
      <c r="L57" s="318">
        <v>668.20398871588839</v>
      </c>
      <c r="M57" s="319">
        <v>44602</v>
      </c>
      <c r="N57" s="320">
        <v>66.749077756499574</v>
      </c>
      <c r="O57" s="319">
        <v>17697</v>
      </c>
      <c r="P57" s="320">
        <v>2.42</v>
      </c>
      <c r="Q57" s="319">
        <v>42891</v>
      </c>
      <c r="R57" s="319">
        <v>1664</v>
      </c>
      <c r="S57" s="319">
        <v>1485</v>
      </c>
      <c r="T57" s="319">
        <v>1215</v>
      </c>
      <c r="U57" s="319">
        <v>1451</v>
      </c>
      <c r="V57" s="319">
        <v>1036</v>
      </c>
      <c r="W57" s="319">
        <v>926</v>
      </c>
      <c r="X57" s="319">
        <v>1200</v>
      </c>
      <c r="Y57" s="319">
        <v>1061</v>
      </c>
      <c r="Z57" s="319">
        <v>863</v>
      </c>
      <c r="AA57" s="319">
        <v>1851</v>
      </c>
      <c r="AB57" s="319">
        <v>1407</v>
      </c>
      <c r="AC57" s="319">
        <v>1598</v>
      </c>
      <c r="AD57" s="319">
        <v>927</v>
      </c>
      <c r="AE57" s="319">
        <v>493</v>
      </c>
      <c r="AF57" s="319">
        <v>302</v>
      </c>
      <c r="AG57" s="319">
        <v>218</v>
      </c>
      <c r="AH57" s="320">
        <v>24.659546815844493</v>
      </c>
      <c r="AI57" s="320">
        <v>14.053229360908629</v>
      </c>
      <c r="AJ57" s="320">
        <v>22.885234785556875</v>
      </c>
      <c r="AK57" s="320">
        <v>10.459399898287845</v>
      </c>
      <c r="AL57" s="320">
        <v>27.942589139402159</v>
      </c>
      <c r="AM57" s="319">
        <v>20758</v>
      </c>
      <c r="AN57" s="319">
        <v>39297</v>
      </c>
      <c r="AO57" s="320">
        <v>56.721478216646894</v>
      </c>
      <c r="AP57" s="319">
        <v>17697</v>
      </c>
      <c r="AQ57" s="319">
        <v>3866</v>
      </c>
      <c r="AR57" s="319">
        <v>13889</v>
      </c>
      <c r="AS57" s="319">
        <v>3808</v>
      </c>
      <c r="AT57" s="319">
        <v>755</v>
      </c>
      <c r="AU57" s="319">
        <v>646</v>
      </c>
      <c r="AV57" s="319">
        <v>2437</v>
      </c>
      <c r="AW57" s="319">
        <v>1561</v>
      </c>
      <c r="AX57" s="319">
        <v>889</v>
      </c>
      <c r="AY57" s="319">
        <v>890</v>
      </c>
      <c r="AZ57" s="319">
        <v>2040</v>
      </c>
      <c r="BA57" s="319">
        <v>624</v>
      </c>
      <c r="BB57" s="319">
        <v>287</v>
      </c>
      <c r="BC57" s="319">
        <v>2854</v>
      </c>
      <c r="BD57" s="319">
        <v>295</v>
      </c>
      <c r="BE57" s="319">
        <v>80</v>
      </c>
      <c r="BF57" s="319">
        <v>3271</v>
      </c>
      <c r="BG57" s="319">
        <v>234</v>
      </c>
      <c r="BH57" s="319">
        <v>0</v>
      </c>
      <c r="BI57" s="320">
        <v>20.873594394530144</v>
      </c>
      <c r="BJ57" s="321">
        <v>5.9</v>
      </c>
      <c r="BK57" s="321">
        <v>5.6</v>
      </c>
      <c r="BL57" s="321">
        <v>5.9</v>
      </c>
      <c r="BM57" s="321">
        <v>5.6</v>
      </c>
      <c r="BN57" s="321">
        <v>5.2</v>
      </c>
      <c r="BO57" s="321">
        <v>5.9</v>
      </c>
      <c r="BP57" s="321">
        <v>5.5</v>
      </c>
      <c r="BQ57" s="321">
        <v>6.4</v>
      </c>
      <c r="BR57" s="321">
        <v>6.3</v>
      </c>
      <c r="BS57" s="321">
        <v>6.4</v>
      </c>
      <c r="BT57" s="321">
        <v>6.7</v>
      </c>
      <c r="BU57" s="321">
        <v>7.5</v>
      </c>
      <c r="BV57" s="321">
        <v>8.1999999999999993</v>
      </c>
      <c r="BW57" s="321">
        <v>7.4</v>
      </c>
      <c r="BX57" s="321">
        <v>3.8</v>
      </c>
      <c r="BY57" s="321">
        <v>2.9</v>
      </c>
      <c r="BZ57" s="321">
        <v>2.5</v>
      </c>
      <c r="CA57" s="321">
        <v>2.5</v>
      </c>
      <c r="CB57" s="321">
        <v>17.399999999999999</v>
      </c>
      <c r="CC57" s="321">
        <v>63.7</v>
      </c>
      <c r="CD57" s="321">
        <v>19.100000000000001</v>
      </c>
    </row>
    <row r="58" spans="1:82" s="308" customFormat="1" x14ac:dyDescent="0.25">
      <c r="A58" s="301" t="s">
        <v>4473</v>
      </c>
      <c r="B58" s="301" t="s">
        <v>22</v>
      </c>
      <c r="C58" s="301" t="s">
        <v>4474</v>
      </c>
      <c r="D58" s="301" t="s">
        <v>23</v>
      </c>
      <c r="E58" s="301" t="s">
        <v>4475</v>
      </c>
      <c r="F58" s="301" t="s">
        <v>4272</v>
      </c>
      <c r="G58" s="301" t="s">
        <v>4476</v>
      </c>
      <c r="H58" s="302">
        <v>540035</v>
      </c>
      <c r="I58" s="303" t="s">
        <v>1421</v>
      </c>
      <c r="J58" s="301" t="s">
        <v>488</v>
      </c>
      <c r="K58" s="301" t="s">
        <v>488</v>
      </c>
      <c r="L58" s="304">
        <v>337.97915340146409</v>
      </c>
      <c r="M58" s="305">
        <v>6202</v>
      </c>
      <c r="N58" s="306">
        <v>18.350244201697954</v>
      </c>
      <c r="O58" s="305">
        <v>1968</v>
      </c>
      <c r="P58" s="306">
        <v>2.4375</v>
      </c>
      <c r="Q58" s="305">
        <v>4797</v>
      </c>
      <c r="R58" s="305">
        <v>131</v>
      </c>
      <c r="S58" s="305">
        <v>209</v>
      </c>
      <c r="T58" s="305">
        <v>140</v>
      </c>
      <c r="U58" s="305">
        <v>159</v>
      </c>
      <c r="V58" s="305">
        <v>99</v>
      </c>
      <c r="W58" s="305">
        <v>122</v>
      </c>
      <c r="X58" s="305">
        <v>93</v>
      </c>
      <c r="Y58" s="305">
        <v>136</v>
      </c>
      <c r="Z58" s="305">
        <v>83</v>
      </c>
      <c r="AA58" s="305">
        <v>146</v>
      </c>
      <c r="AB58" s="305">
        <v>196</v>
      </c>
      <c r="AC58" s="305">
        <v>152</v>
      </c>
      <c r="AD58" s="305">
        <v>101</v>
      </c>
      <c r="AE58" s="305">
        <v>125</v>
      </c>
      <c r="AF58" s="305">
        <v>53</v>
      </c>
      <c r="AG58" s="305">
        <v>23</v>
      </c>
      <c r="AH58" s="306">
        <v>24.390243902439025</v>
      </c>
      <c r="AI58" s="306">
        <v>13.109756097560975</v>
      </c>
      <c r="AJ58" s="306">
        <v>22.052845528455283</v>
      </c>
      <c r="AK58" s="306">
        <v>7.4186991869918701</v>
      </c>
      <c r="AL58" s="306">
        <v>33.028455284552841</v>
      </c>
      <c r="AM58" s="305">
        <v>18207</v>
      </c>
      <c r="AN58" s="305">
        <v>37175</v>
      </c>
      <c r="AO58" s="306">
        <v>55.335365853658537</v>
      </c>
      <c r="AP58" s="305">
        <v>1968</v>
      </c>
      <c r="AQ58" s="305">
        <v>673</v>
      </c>
      <c r="AR58" s="305">
        <v>1722</v>
      </c>
      <c r="AS58" s="305">
        <v>246</v>
      </c>
      <c r="AT58" s="305">
        <v>177</v>
      </c>
      <c r="AU58" s="305">
        <v>43</v>
      </c>
      <c r="AV58" s="305">
        <v>157</v>
      </c>
      <c r="AW58" s="305">
        <v>254</v>
      </c>
      <c r="AX58" s="305">
        <v>12</v>
      </c>
      <c r="AY58" s="305">
        <v>70</v>
      </c>
      <c r="AZ58" s="305">
        <v>250</v>
      </c>
      <c r="BA58" s="305">
        <v>25</v>
      </c>
      <c r="BB58" s="305">
        <v>20</v>
      </c>
      <c r="BC58" s="305">
        <v>315</v>
      </c>
      <c r="BD58" s="305">
        <v>27</v>
      </c>
      <c r="BE58" s="305">
        <v>0</v>
      </c>
      <c r="BF58" s="305">
        <v>445</v>
      </c>
      <c r="BG58" s="305">
        <v>9</v>
      </c>
      <c r="BH58" s="305">
        <v>0</v>
      </c>
      <c r="BI58" s="306">
        <v>12.550813008130083</v>
      </c>
      <c r="BJ58" s="307">
        <v>4.9000000000000004</v>
      </c>
      <c r="BK58" s="307">
        <v>4.9000000000000004</v>
      </c>
      <c r="BL58" s="307">
        <v>2.8</v>
      </c>
      <c r="BM58" s="307">
        <v>8.6</v>
      </c>
      <c r="BN58" s="307">
        <v>10.199999999999999</v>
      </c>
      <c r="BO58" s="307">
        <v>6.3</v>
      </c>
      <c r="BP58" s="307">
        <v>6.9</v>
      </c>
      <c r="BQ58" s="307">
        <v>7.5</v>
      </c>
      <c r="BR58" s="307">
        <v>6.6</v>
      </c>
      <c r="BS58" s="307">
        <v>7</v>
      </c>
      <c r="BT58" s="307">
        <v>6.2</v>
      </c>
      <c r="BU58" s="307">
        <v>6.1</v>
      </c>
      <c r="BV58" s="307">
        <v>6.4</v>
      </c>
      <c r="BW58" s="307">
        <v>4.7</v>
      </c>
      <c r="BX58" s="307">
        <v>3.6</v>
      </c>
      <c r="BY58" s="307">
        <v>3.3</v>
      </c>
      <c r="BZ58" s="307">
        <v>2.2999999999999998</v>
      </c>
      <c r="CA58" s="307">
        <v>1.6</v>
      </c>
      <c r="CB58" s="307">
        <v>12.600000000000001</v>
      </c>
      <c r="CC58" s="307">
        <v>71.800000000000011</v>
      </c>
      <c r="CD58" s="307">
        <v>15.500000000000002</v>
      </c>
    </row>
    <row r="59" spans="1:82" x14ac:dyDescent="0.25">
      <c r="A59" s="130" t="s">
        <v>4477</v>
      </c>
      <c r="B59" s="130" t="s">
        <v>139</v>
      </c>
      <c r="C59" s="130" t="s">
        <v>4478</v>
      </c>
      <c r="D59" s="130" t="s">
        <v>23</v>
      </c>
      <c r="E59" s="130" t="s">
        <v>4475</v>
      </c>
      <c r="F59" s="130" t="s">
        <v>4272</v>
      </c>
      <c r="G59" s="130" t="s">
        <v>4479</v>
      </c>
      <c r="H59" s="309">
        <v>540036</v>
      </c>
      <c r="I59" s="277" t="s">
        <v>1422</v>
      </c>
      <c r="J59" s="130">
        <v>5432044</v>
      </c>
      <c r="K59" s="130" t="s">
        <v>4480</v>
      </c>
      <c r="L59" s="310">
        <v>1.0333316465859355</v>
      </c>
      <c r="M59" s="311">
        <v>1906</v>
      </c>
      <c r="N59" s="312">
        <v>1844.5191399076061</v>
      </c>
      <c r="O59" s="311">
        <v>672</v>
      </c>
      <c r="P59" s="312">
        <v>2.41</v>
      </c>
      <c r="Q59" s="311">
        <v>1622</v>
      </c>
      <c r="R59" s="311">
        <v>194</v>
      </c>
      <c r="S59" s="311">
        <v>58</v>
      </c>
      <c r="T59" s="311">
        <v>56</v>
      </c>
      <c r="U59" s="311">
        <v>51</v>
      </c>
      <c r="V59" s="311">
        <v>32</v>
      </c>
      <c r="W59" s="311">
        <v>41</v>
      </c>
      <c r="X59" s="311">
        <v>2</v>
      </c>
      <c r="Y59" s="311">
        <v>19</v>
      </c>
      <c r="Z59" s="311">
        <v>30</v>
      </c>
      <c r="AA59" s="311">
        <v>35</v>
      </c>
      <c r="AB59" s="311">
        <v>40</v>
      </c>
      <c r="AC59" s="311">
        <v>66</v>
      </c>
      <c r="AD59" s="311">
        <v>22</v>
      </c>
      <c r="AE59" s="311">
        <v>6</v>
      </c>
      <c r="AF59" s="311">
        <v>16</v>
      </c>
      <c r="AG59" s="311">
        <v>4</v>
      </c>
      <c r="AH59" s="312">
        <v>45.833333333333329</v>
      </c>
      <c r="AI59" s="312">
        <v>12.351190476190476</v>
      </c>
      <c r="AJ59" s="312">
        <v>13.690476190476192</v>
      </c>
      <c r="AK59" s="312">
        <v>5.2083333333333339</v>
      </c>
      <c r="AL59" s="312">
        <v>22.916666666666664</v>
      </c>
      <c r="AM59" s="311">
        <v>16369</v>
      </c>
      <c r="AN59" s="311">
        <v>22788</v>
      </c>
      <c r="AO59" s="312">
        <v>67.410714285714292</v>
      </c>
      <c r="AP59" s="311">
        <v>672</v>
      </c>
      <c r="AQ59" s="311">
        <v>121</v>
      </c>
      <c r="AR59" s="311">
        <v>248</v>
      </c>
      <c r="AS59" s="311">
        <v>424</v>
      </c>
      <c r="AT59" s="311">
        <v>10</v>
      </c>
      <c r="AU59" s="311">
        <v>32</v>
      </c>
      <c r="AV59" s="311">
        <v>172</v>
      </c>
      <c r="AW59" s="311">
        <v>53</v>
      </c>
      <c r="AX59" s="311">
        <v>41</v>
      </c>
      <c r="AY59" s="311">
        <v>30</v>
      </c>
      <c r="AZ59" s="311">
        <v>37</v>
      </c>
      <c r="BA59" s="311">
        <v>14</v>
      </c>
      <c r="BB59" s="311">
        <v>0</v>
      </c>
      <c r="BC59" s="311">
        <v>64</v>
      </c>
      <c r="BD59" s="311">
        <v>11</v>
      </c>
      <c r="BE59" s="311">
        <v>0</v>
      </c>
      <c r="BF59" s="311">
        <v>105</v>
      </c>
      <c r="BG59" s="311">
        <v>5</v>
      </c>
      <c r="BH59" s="311">
        <v>0</v>
      </c>
      <c r="BI59" s="312">
        <v>30.059523809523807</v>
      </c>
      <c r="BJ59" s="313">
        <v>10.5</v>
      </c>
      <c r="BK59" s="313">
        <v>1</v>
      </c>
      <c r="BL59" s="313">
        <v>4.9000000000000004</v>
      </c>
      <c r="BM59" s="313">
        <v>14.8</v>
      </c>
      <c r="BN59" s="313">
        <v>27.7</v>
      </c>
      <c r="BO59" s="313">
        <v>6.8</v>
      </c>
      <c r="BP59" s="313">
        <v>3.5</v>
      </c>
      <c r="BQ59" s="313">
        <v>5</v>
      </c>
      <c r="BR59" s="313">
        <v>3.1</v>
      </c>
      <c r="BS59" s="313">
        <v>3</v>
      </c>
      <c r="BT59" s="313">
        <v>1.9</v>
      </c>
      <c r="BU59" s="313">
        <v>1</v>
      </c>
      <c r="BV59" s="313">
        <v>5.4</v>
      </c>
      <c r="BW59" s="313">
        <v>3.1</v>
      </c>
      <c r="BX59" s="313">
        <v>1.6</v>
      </c>
      <c r="BY59" s="313">
        <v>1.8</v>
      </c>
      <c r="BZ59" s="313">
        <v>1.9</v>
      </c>
      <c r="CA59" s="313">
        <v>2.8</v>
      </c>
      <c r="CB59" s="313">
        <v>16.399999999999999</v>
      </c>
      <c r="CC59" s="313">
        <v>72.2</v>
      </c>
      <c r="CD59" s="313">
        <v>11.2</v>
      </c>
    </row>
    <row r="60" spans="1:82" x14ac:dyDescent="0.25">
      <c r="A60" s="130" t="s">
        <v>4481</v>
      </c>
      <c r="B60" s="130" t="s">
        <v>140</v>
      </c>
      <c r="C60" s="130" t="s">
        <v>4482</v>
      </c>
      <c r="D60" s="130" t="s">
        <v>23</v>
      </c>
      <c r="E60" s="130" t="s">
        <v>4475</v>
      </c>
      <c r="F60" s="130" t="s">
        <v>4272</v>
      </c>
      <c r="G60" s="130" t="s">
        <v>4483</v>
      </c>
      <c r="H60" s="309">
        <v>540037</v>
      </c>
      <c r="I60" s="277" t="s">
        <v>1423</v>
      </c>
      <c r="J60" s="130">
        <v>5471620</v>
      </c>
      <c r="K60" s="130" t="s">
        <v>4484</v>
      </c>
      <c r="L60" s="310">
        <v>0.34856505414426586</v>
      </c>
      <c r="M60" s="311">
        <v>197</v>
      </c>
      <c r="N60" s="312">
        <v>565.17426993259244</v>
      </c>
      <c r="O60" s="311">
        <v>63</v>
      </c>
      <c r="P60" s="312">
        <v>3.13</v>
      </c>
      <c r="Q60" s="311">
        <v>197</v>
      </c>
      <c r="R60" s="311">
        <v>0</v>
      </c>
      <c r="S60" s="311">
        <v>2</v>
      </c>
      <c r="T60" s="311">
        <v>0</v>
      </c>
      <c r="U60" s="311">
        <v>1</v>
      </c>
      <c r="V60" s="311">
        <v>5</v>
      </c>
      <c r="W60" s="311">
        <v>8</v>
      </c>
      <c r="X60" s="311">
        <v>2</v>
      </c>
      <c r="Y60" s="311">
        <v>0</v>
      </c>
      <c r="Z60" s="311">
        <v>14</v>
      </c>
      <c r="AA60" s="311">
        <v>8</v>
      </c>
      <c r="AB60" s="311">
        <v>4</v>
      </c>
      <c r="AC60" s="311">
        <v>9</v>
      </c>
      <c r="AD60" s="311">
        <v>10</v>
      </c>
      <c r="AE60" s="311">
        <v>0</v>
      </c>
      <c r="AF60" s="311">
        <v>0</v>
      </c>
      <c r="AG60" s="311">
        <v>0</v>
      </c>
      <c r="AH60" s="312">
        <v>3.1746031746031744</v>
      </c>
      <c r="AI60" s="312">
        <v>9.5238095238095237</v>
      </c>
      <c r="AJ60" s="312">
        <v>38.095238095238095</v>
      </c>
      <c r="AK60" s="312">
        <v>12.698412698412698</v>
      </c>
      <c r="AL60" s="312">
        <v>36.507936507936506</v>
      </c>
      <c r="AM60" s="311">
        <v>20281</v>
      </c>
      <c r="AN60" s="311">
        <v>47411</v>
      </c>
      <c r="AO60" s="312">
        <v>28.571428571428569</v>
      </c>
      <c r="AP60" s="311">
        <v>63</v>
      </c>
      <c r="AQ60" s="311">
        <v>14</v>
      </c>
      <c r="AR60" s="311">
        <v>38</v>
      </c>
      <c r="AS60" s="311">
        <v>25</v>
      </c>
      <c r="AT60" s="311">
        <v>0</v>
      </c>
      <c r="AU60" s="311">
        <v>0</v>
      </c>
      <c r="AV60" s="311">
        <v>2</v>
      </c>
      <c r="AW60" s="311">
        <v>2</v>
      </c>
      <c r="AX60" s="311">
        <v>9</v>
      </c>
      <c r="AY60" s="311">
        <v>0</v>
      </c>
      <c r="AZ60" s="311">
        <v>16</v>
      </c>
      <c r="BA60" s="311">
        <v>0</v>
      </c>
      <c r="BB60" s="311">
        <v>0</v>
      </c>
      <c r="BC60" s="311">
        <v>6</v>
      </c>
      <c r="BD60" s="311">
        <v>5</v>
      </c>
      <c r="BE60" s="311">
        <v>0</v>
      </c>
      <c r="BF60" s="311">
        <v>17</v>
      </c>
      <c r="BG60" s="311">
        <v>2</v>
      </c>
      <c r="BH60" s="311">
        <v>0</v>
      </c>
      <c r="BI60" s="312">
        <v>3.1746031746031744</v>
      </c>
      <c r="BJ60" s="313">
        <v>10.7</v>
      </c>
      <c r="BK60" s="313">
        <v>9.6</v>
      </c>
      <c r="BL60" s="313">
        <v>1</v>
      </c>
      <c r="BM60" s="313">
        <v>3</v>
      </c>
      <c r="BN60" s="313">
        <v>19.3</v>
      </c>
      <c r="BO60" s="313">
        <v>6.1</v>
      </c>
      <c r="BP60" s="313">
        <v>6.1</v>
      </c>
      <c r="BQ60" s="313">
        <v>1.5</v>
      </c>
      <c r="BR60" s="313">
        <v>9.6</v>
      </c>
      <c r="BS60" s="313">
        <v>2.5</v>
      </c>
      <c r="BT60" s="313">
        <v>14.7</v>
      </c>
      <c r="BU60" s="313">
        <v>2.5</v>
      </c>
      <c r="BV60" s="313">
        <v>5.6</v>
      </c>
      <c r="BW60" s="313">
        <v>0</v>
      </c>
      <c r="BX60" s="313">
        <v>2.5</v>
      </c>
      <c r="BY60" s="313">
        <v>1.5</v>
      </c>
      <c r="BZ60" s="313">
        <v>0</v>
      </c>
      <c r="CA60" s="313">
        <v>3.6</v>
      </c>
      <c r="CB60" s="313">
        <v>21.299999999999997</v>
      </c>
      <c r="CC60" s="313">
        <v>70.899999999999991</v>
      </c>
      <c r="CD60" s="313">
        <v>7.6</v>
      </c>
    </row>
    <row r="61" spans="1:82" s="322" customFormat="1" x14ac:dyDescent="0.25">
      <c r="A61" s="314" t="s">
        <v>4485</v>
      </c>
      <c r="B61" s="315" t="s">
        <v>348</v>
      </c>
      <c r="C61" s="314"/>
      <c r="D61" s="314"/>
      <c r="E61" s="314"/>
      <c r="F61" s="314"/>
      <c r="G61" s="314"/>
      <c r="H61" s="316"/>
      <c r="I61" s="317"/>
      <c r="J61" s="314">
        <v>54021</v>
      </c>
      <c r="K61" s="314" t="s">
        <v>4486</v>
      </c>
      <c r="L61" s="318">
        <v>339.36105010219433</v>
      </c>
      <c r="M61" s="319">
        <v>8305</v>
      </c>
      <c r="N61" s="320">
        <v>24.472460812751059</v>
      </c>
      <c r="O61" s="319">
        <v>2703</v>
      </c>
      <c r="P61" s="320">
        <v>2.4500000000000002</v>
      </c>
      <c r="Q61" s="319">
        <v>6616</v>
      </c>
      <c r="R61" s="319">
        <v>325</v>
      </c>
      <c r="S61" s="319">
        <v>269</v>
      </c>
      <c r="T61" s="319">
        <v>196</v>
      </c>
      <c r="U61" s="319">
        <v>211</v>
      </c>
      <c r="V61" s="319">
        <v>136</v>
      </c>
      <c r="W61" s="319">
        <v>171</v>
      </c>
      <c r="X61" s="319">
        <v>97</v>
      </c>
      <c r="Y61" s="319">
        <v>155</v>
      </c>
      <c r="Z61" s="319">
        <v>127</v>
      </c>
      <c r="AA61" s="319">
        <v>189</v>
      </c>
      <c r="AB61" s="319">
        <v>240</v>
      </c>
      <c r="AC61" s="319">
        <v>227</v>
      </c>
      <c r="AD61" s="319">
        <v>133</v>
      </c>
      <c r="AE61" s="319">
        <v>131</v>
      </c>
      <c r="AF61" s="319">
        <v>69</v>
      </c>
      <c r="AG61" s="319">
        <v>27</v>
      </c>
      <c r="AH61" s="320">
        <v>29.2267850536441</v>
      </c>
      <c r="AI61" s="320">
        <v>12.837587865334813</v>
      </c>
      <c r="AJ61" s="320">
        <v>20.347761746207919</v>
      </c>
      <c r="AK61" s="320">
        <v>6.9922308546059933</v>
      </c>
      <c r="AL61" s="320">
        <v>30.595634480207178</v>
      </c>
      <c r="AM61" s="319">
        <v>18207</v>
      </c>
      <c r="AN61" s="319">
        <v>37175</v>
      </c>
      <c r="AO61" s="320">
        <v>57.713651498335182</v>
      </c>
      <c r="AP61" s="319">
        <v>2703</v>
      </c>
      <c r="AQ61" s="319">
        <v>808</v>
      </c>
      <c r="AR61" s="319">
        <v>2008</v>
      </c>
      <c r="AS61" s="319">
        <v>695</v>
      </c>
      <c r="AT61" s="319">
        <v>187</v>
      </c>
      <c r="AU61" s="319">
        <v>75</v>
      </c>
      <c r="AV61" s="319">
        <v>331</v>
      </c>
      <c r="AW61" s="319">
        <v>309</v>
      </c>
      <c r="AX61" s="319">
        <v>62</v>
      </c>
      <c r="AY61" s="319">
        <v>100</v>
      </c>
      <c r="AZ61" s="319">
        <v>303</v>
      </c>
      <c r="BA61" s="319">
        <v>39</v>
      </c>
      <c r="BB61" s="319">
        <v>20</v>
      </c>
      <c r="BC61" s="319">
        <v>385</v>
      </c>
      <c r="BD61" s="319">
        <v>43</v>
      </c>
      <c r="BE61" s="319">
        <v>0</v>
      </c>
      <c r="BF61" s="319">
        <v>567</v>
      </c>
      <c r="BG61" s="319">
        <v>16</v>
      </c>
      <c r="BH61" s="319">
        <v>0</v>
      </c>
      <c r="BI61" s="320">
        <v>16.685164631890494</v>
      </c>
      <c r="BJ61" s="321">
        <v>4.9000000000000004</v>
      </c>
      <c r="BK61" s="321">
        <v>4.9000000000000004</v>
      </c>
      <c r="BL61" s="321">
        <v>2.8</v>
      </c>
      <c r="BM61" s="321">
        <v>8.6</v>
      </c>
      <c r="BN61" s="321">
        <v>10.199999999999999</v>
      </c>
      <c r="BO61" s="321">
        <v>6.3</v>
      </c>
      <c r="BP61" s="321">
        <v>6.9</v>
      </c>
      <c r="BQ61" s="321">
        <v>7.5</v>
      </c>
      <c r="BR61" s="321">
        <v>6.6</v>
      </c>
      <c r="BS61" s="321">
        <v>7</v>
      </c>
      <c r="BT61" s="321">
        <v>6.2</v>
      </c>
      <c r="BU61" s="321">
        <v>6.1</v>
      </c>
      <c r="BV61" s="321">
        <v>6.4</v>
      </c>
      <c r="BW61" s="321">
        <v>4.7</v>
      </c>
      <c r="BX61" s="321">
        <v>3.6</v>
      </c>
      <c r="BY61" s="321">
        <v>3.3</v>
      </c>
      <c r="BZ61" s="321">
        <v>2.2999999999999998</v>
      </c>
      <c r="CA61" s="321">
        <v>1.6</v>
      </c>
      <c r="CB61" s="321">
        <v>12.600000000000001</v>
      </c>
      <c r="CC61" s="321">
        <v>71.800000000000011</v>
      </c>
      <c r="CD61" s="321">
        <v>15.500000000000002</v>
      </c>
    </row>
    <row r="62" spans="1:82" s="308" customFormat="1" x14ac:dyDescent="0.25">
      <c r="A62" s="301" t="s">
        <v>4487</v>
      </c>
      <c r="B62" s="301" t="s">
        <v>24</v>
      </c>
      <c r="C62" s="301" t="s">
        <v>4488</v>
      </c>
      <c r="D62" s="301" t="s">
        <v>25</v>
      </c>
      <c r="E62" s="301" t="s">
        <v>4489</v>
      </c>
      <c r="F62" s="301" t="s">
        <v>4272</v>
      </c>
      <c r="G62" s="301" t="s">
        <v>4490</v>
      </c>
      <c r="H62" s="302">
        <v>540038</v>
      </c>
      <c r="I62" s="303" t="s">
        <v>1424</v>
      </c>
      <c r="J62" s="301" t="s">
        <v>488</v>
      </c>
      <c r="K62" s="301" t="s">
        <v>488</v>
      </c>
      <c r="L62" s="304">
        <v>478.08018286196523</v>
      </c>
      <c r="M62" s="305">
        <v>8923</v>
      </c>
      <c r="N62" s="306">
        <v>18.6642331555841</v>
      </c>
      <c r="O62" s="305">
        <v>3251</v>
      </c>
      <c r="P62" s="306">
        <v>2.7410027683789604</v>
      </c>
      <c r="Q62" s="305">
        <v>8911</v>
      </c>
      <c r="R62" s="305">
        <v>150</v>
      </c>
      <c r="S62" s="305">
        <v>327</v>
      </c>
      <c r="T62" s="305">
        <v>186</v>
      </c>
      <c r="U62" s="305">
        <v>226</v>
      </c>
      <c r="V62" s="305">
        <v>175</v>
      </c>
      <c r="W62" s="305">
        <v>233</v>
      </c>
      <c r="X62" s="305">
        <v>273</v>
      </c>
      <c r="Y62" s="305">
        <v>111</v>
      </c>
      <c r="Z62" s="305">
        <v>172</v>
      </c>
      <c r="AA62" s="305">
        <v>210</v>
      </c>
      <c r="AB62" s="305">
        <v>400</v>
      </c>
      <c r="AC62" s="305">
        <v>414</v>
      </c>
      <c r="AD62" s="305">
        <v>187</v>
      </c>
      <c r="AE62" s="305">
        <v>80</v>
      </c>
      <c r="AF62" s="305">
        <v>47</v>
      </c>
      <c r="AG62" s="305">
        <v>60</v>
      </c>
      <c r="AH62" s="306">
        <v>20.393725007689941</v>
      </c>
      <c r="AI62" s="306">
        <v>12.334666256536449</v>
      </c>
      <c r="AJ62" s="306">
        <v>24.269455552137803</v>
      </c>
      <c r="AK62" s="306">
        <v>6.459550907413103</v>
      </c>
      <c r="AL62" s="306">
        <v>36.542602276222702</v>
      </c>
      <c r="AM62" s="305">
        <v>21705</v>
      </c>
      <c r="AN62" s="305">
        <v>40093</v>
      </c>
      <c r="AO62" s="306">
        <v>51.707167025530609</v>
      </c>
      <c r="AP62" s="305">
        <v>3251</v>
      </c>
      <c r="AQ62" s="305">
        <v>1833</v>
      </c>
      <c r="AR62" s="305">
        <v>2807</v>
      </c>
      <c r="AS62" s="305">
        <v>444</v>
      </c>
      <c r="AT62" s="305">
        <v>145</v>
      </c>
      <c r="AU62" s="305">
        <v>179</v>
      </c>
      <c r="AV62" s="305">
        <v>306</v>
      </c>
      <c r="AW62" s="305">
        <v>385</v>
      </c>
      <c r="AX62" s="305">
        <v>173</v>
      </c>
      <c r="AY62" s="305">
        <v>76</v>
      </c>
      <c r="AZ62" s="305">
        <v>365</v>
      </c>
      <c r="BA62" s="305">
        <v>145</v>
      </c>
      <c r="BB62" s="305">
        <v>18</v>
      </c>
      <c r="BC62" s="305">
        <v>502</v>
      </c>
      <c r="BD62" s="305">
        <v>90</v>
      </c>
      <c r="BE62" s="305">
        <v>18</v>
      </c>
      <c r="BF62" s="305">
        <v>746</v>
      </c>
      <c r="BG62" s="305">
        <v>42</v>
      </c>
      <c r="BH62" s="305">
        <v>0</v>
      </c>
      <c r="BI62" s="306">
        <v>12.857582282374654</v>
      </c>
      <c r="BJ62" s="307">
        <v>5.2</v>
      </c>
      <c r="BK62" s="307">
        <v>5.0999999999999996</v>
      </c>
      <c r="BL62" s="307">
        <v>5.5</v>
      </c>
      <c r="BM62" s="307">
        <v>5.7</v>
      </c>
      <c r="BN62" s="307">
        <v>5.7</v>
      </c>
      <c r="BO62" s="307">
        <v>5</v>
      </c>
      <c r="BP62" s="307">
        <v>4.7</v>
      </c>
      <c r="BQ62" s="307">
        <v>6.1</v>
      </c>
      <c r="BR62" s="307">
        <v>5.2</v>
      </c>
      <c r="BS62" s="307">
        <v>6.8</v>
      </c>
      <c r="BT62" s="307">
        <v>7.5</v>
      </c>
      <c r="BU62" s="307">
        <v>7.8</v>
      </c>
      <c r="BV62" s="307">
        <v>6.9</v>
      </c>
      <c r="BW62" s="307">
        <v>7.5</v>
      </c>
      <c r="BX62" s="307">
        <v>6.4</v>
      </c>
      <c r="BY62" s="307">
        <v>3.9</v>
      </c>
      <c r="BZ62" s="307">
        <v>2.1</v>
      </c>
      <c r="CA62" s="307">
        <v>2.9</v>
      </c>
      <c r="CB62" s="307">
        <v>15.8</v>
      </c>
      <c r="CC62" s="307">
        <v>61.399999999999991</v>
      </c>
      <c r="CD62" s="307">
        <v>22.8</v>
      </c>
    </row>
    <row r="63" spans="1:82" x14ac:dyDescent="0.25">
      <c r="A63" s="130" t="s">
        <v>4491</v>
      </c>
      <c r="B63" s="130" t="s">
        <v>141</v>
      </c>
      <c r="C63" s="130" t="s">
        <v>4492</v>
      </c>
      <c r="D63" s="130" t="s">
        <v>25</v>
      </c>
      <c r="E63" s="130" t="s">
        <v>4489</v>
      </c>
      <c r="F63" s="130" t="s">
        <v>4272</v>
      </c>
      <c r="G63" s="130" t="s">
        <v>4493</v>
      </c>
      <c r="H63" s="309">
        <v>540039</v>
      </c>
      <c r="I63" s="277" t="s">
        <v>1425</v>
      </c>
      <c r="J63" s="130">
        <v>5462956</v>
      </c>
      <c r="K63" s="130" t="s">
        <v>4494</v>
      </c>
      <c r="L63" s="310">
        <v>1.6170087740928973</v>
      </c>
      <c r="M63" s="311">
        <v>2495</v>
      </c>
      <c r="N63" s="312">
        <v>1542.9724562871556</v>
      </c>
      <c r="O63" s="311">
        <v>1017</v>
      </c>
      <c r="P63" s="312">
        <v>2.34</v>
      </c>
      <c r="Q63" s="311">
        <v>2378</v>
      </c>
      <c r="R63" s="311">
        <v>71</v>
      </c>
      <c r="S63" s="311">
        <v>132</v>
      </c>
      <c r="T63" s="311">
        <v>122</v>
      </c>
      <c r="U63" s="311">
        <v>98</v>
      </c>
      <c r="V63" s="311">
        <v>47</v>
      </c>
      <c r="W63" s="311">
        <v>21</v>
      </c>
      <c r="X63" s="311">
        <v>53</v>
      </c>
      <c r="Y63" s="311">
        <v>86</v>
      </c>
      <c r="Z63" s="311">
        <v>57</v>
      </c>
      <c r="AA63" s="311">
        <v>76</v>
      </c>
      <c r="AB63" s="311">
        <v>67</v>
      </c>
      <c r="AC63" s="311">
        <v>92</v>
      </c>
      <c r="AD63" s="311">
        <v>61</v>
      </c>
      <c r="AE63" s="311">
        <v>9</v>
      </c>
      <c r="AF63" s="311">
        <v>20</v>
      </c>
      <c r="AG63" s="311">
        <v>5</v>
      </c>
      <c r="AH63" s="312">
        <v>31.956735496558501</v>
      </c>
      <c r="AI63" s="312">
        <v>14.257620452310718</v>
      </c>
      <c r="AJ63" s="312">
        <v>21.337266470009833</v>
      </c>
      <c r="AK63" s="312">
        <v>7.4729596853490659</v>
      </c>
      <c r="AL63" s="312">
        <v>24.97541789577188</v>
      </c>
      <c r="AM63" s="311">
        <v>21047</v>
      </c>
      <c r="AN63" s="311">
        <v>36823</v>
      </c>
      <c r="AO63" s="312">
        <v>61.946902654867252</v>
      </c>
      <c r="AP63" s="311">
        <v>1017</v>
      </c>
      <c r="AQ63" s="311">
        <v>314</v>
      </c>
      <c r="AR63" s="311">
        <v>590</v>
      </c>
      <c r="AS63" s="311">
        <v>427</v>
      </c>
      <c r="AT63" s="311">
        <v>27</v>
      </c>
      <c r="AU63" s="311">
        <v>68</v>
      </c>
      <c r="AV63" s="311">
        <v>209</v>
      </c>
      <c r="AW63" s="311">
        <v>51</v>
      </c>
      <c r="AX63" s="311">
        <v>46</v>
      </c>
      <c r="AY63" s="311">
        <v>63</v>
      </c>
      <c r="AZ63" s="311">
        <v>93</v>
      </c>
      <c r="BA63" s="311">
        <v>75</v>
      </c>
      <c r="BB63" s="311">
        <v>19</v>
      </c>
      <c r="BC63" s="311">
        <v>121</v>
      </c>
      <c r="BD63" s="311">
        <v>0</v>
      </c>
      <c r="BE63" s="311">
        <v>11</v>
      </c>
      <c r="BF63" s="311">
        <v>165</v>
      </c>
      <c r="BG63" s="311">
        <v>10</v>
      </c>
      <c r="BH63" s="311">
        <v>0</v>
      </c>
      <c r="BI63" s="312">
        <v>29.695181907571289</v>
      </c>
      <c r="BJ63" s="313">
        <v>3.5</v>
      </c>
      <c r="BK63" s="313">
        <v>3.3</v>
      </c>
      <c r="BL63" s="313">
        <v>4.8</v>
      </c>
      <c r="BM63" s="313">
        <v>4.0999999999999996</v>
      </c>
      <c r="BN63" s="313">
        <v>7.1</v>
      </c>
      <c r="BO63" s="313">
        <v>6.9</v>
      </c>
      <c r="BP63" s="313">
        <v>6.5</v>
      </c>
      <c r="BQ63" s="313">
        <v>3.2</v>
      </c>
      <c r="BR63" s="313">
        <v>3.5</v>
      </c>
      <c r="BS63" s="313">
        <v>3.6</v>
      </c>
      <c r="BT63" s="313">
        <v>9.9</v>
      </c>
      <c r="BU63" s="313">
        <v>8.6999999999999993</v>
      </c>
      <c r="BV63" s="313">
        <v>8.3000000000000007</v>
      </c>
      <c r="BW63" s="313">
        <v>5.9</v>
      </c>
      <c r="BX63" s="313">
        <v>6.5</v>
      </c>
      <c r="BY63" s="313">
        <v>6.3</v>
      </c>
      <c r="BZ63" s="313">
        <v>3.2</v>
      </c>
      <c r="CA63" s="313">
        <v>4.5999999999999996</v>
      </c>
      <c r="CB63" s="313">
        <v>11.6</v>
      </c>
      <c r="CC63" s="313">
        <v>61.8</v>
      </c>
      <c r="CD63" s="313">
        <v>26.5</v>
      </c>
    </row>
    <row r="64" spans="1:82" x14ac:dyDescent="0.25">
      <c r="A64" s="130" t="s">
        <v>4495</v>
      </c>
      <c r="B64" s="130" t="s">
        <v>287</v>
      </c>
      <c r="C64" s="130" t="s">
        <v>4496</v>
      </c>
      <c r="D64" s="130" t="s">
        <v>25</v>
      </c>
      <c r="E64" s="130" t="s">
        <v>4489</v>
      </c>
      <c r="F64" s="130" t="s">
        <v>4272</v>
      </c>
      <c r="G64" s="130" t="s">
        <v>4497</v>
      </c>
      <c r="H64" s="309">
        <v>540240</v>
      </c>
      <c r="I64" s="277" t="s">
        <v>1426</v>
      </c>
      <c r="J64" s="130">
        <v>5404924</v>
      </c>
      <c r="K64" s="130" t="s">
        <v>4498</v>
      </c>
      <c r="L64" s="310">
        <v>0.30455001998465342</v>
      </c>
      <c r="M64" s="311">
        <v>255</v>
      </c>
      <c r="N64" s="312">
        <v>837.30088086301782</v>
      </c>
      <c r="O64" s="311">
        <v>104</v>
      </c>
      <c r="P64" s="312">
        <v>2.4500000000000002</v>
      </c>
      <c r="Q64" s="311">
        <v>255</v>
      </c>
      <c r="R64" s="311">
        <v>5</v>
      </c>
      <c r="S64" s="311">
        <v>17</v>
      </c>
      <c r="T64" s="311">
        <v>11</v>
      </c>
      <c r="U64" s="311">
        <v>6</v>
      </c>
      <c r="V64" s="311">
        <v>4</v>
      </c>
      <c r="W64" s="311">
        <v>15</v>
      </c>
      <c r="X64" s="311">
        <v>9</v>
      </c>
      <c r="Y64" s="311">
        <v>5</v>
      </c>
      <c r="Z64" s="311">
        <v>7</v>
      </c>
      <c r="AA64" s="311">
        <v>2</v>
      </c>
      <c r="AB64" s="311">
        <v>14</v>
      </c>
      <c r="AC64" s="311">
        <v>4</v>
      </c>
      <c r="AD64" s="311">
        <v>4</v>
      </c>
      <c r="AE64" s="311">
        <v>0</v>
      </c>
      <c r="AF64" s="311">
        <v>0</v>
      </c>
      <c r="AG64" s="311">
        <v>1</v>
      </c>
      <c r="AH64" s="312">
        <v>31.73076923076923</v>
      </c>
      <c r="AI64" s="312">
        <v>9.6153846153846168</v>
      </c>
      <c r="AJ64" s="312">
        <v>34.615384615384613</v>
      </c>
      <c r="AK64" s="312">
        <v>1.9230769230769231</v>
      </c>
      <c r="AL64" s="312">
        <v>22.115384615384613</v>
      </c>
      <c r="AM64" s="311">
        <v>19243</v>
      </c>
      <c r="AN64" s="311">
        <v>32045</v>
      </c>
      <c r="AO64" s="312">
        <v>69.230769230769226</v>
      </c>
      <c r="AP64" s="311">
        <v>104</v>
      </c>
      <c r="AQ64" s="311">
        <v>39</v>
      </c>
      <c r="AR64" s="311">
        <v>89</v>
      </c>
      <c r="AS64" s="311">
        <v>15</v>
      </c>
      <c r="AT64" s="311">
        <v>13</v>
      </c>
      <c r="AU64" s="311">
        <v>8</v>
      </c>
      <c r="AV64" s="311">
        <v>10</v>
      </c>
      <c r="AW64" s="311">
        <v>18</v>
      </c>
      <c r="AX64" s="311">
        <v>7</v>
      </c>
      <c r="AY64" s="311">
        <v>0</v>
      </c>
      <c r="AZ64" s="311">
        <v>16</v>
      </c>
      <c r="BA64" s="311">
        <v>3</v>
      </c>
      <c r="BB64" s="311">
        <v>2</v>
      </c>
      <c r="BC64" s="311">
        <v>16</v>
      </c>
      <c r="BD64" s="311">
        <v>0</v>
      </c>
      <c r="BE64" s="311">
        <v>0</v>
      </c>
      <c r="BF64" s="311">
        <v>9</v>
      </c>
      <c r="BG64" s="311">
        <v>0</v>
      </c>
      <c r="BH64" s="311">
        <v>0</v>
      </c>
      <c r="BI64" s="312">
        <v>11.538461538461538</v>
      </c>
      <c r="BJ64" s="313">
        <v>4.3</v>
      </c>
      <c r="BK64" s="313">
        <v>5.0999999999999996</v>
      </c>
      <c r="BL64" s="313">
        <v>2.4</v>
      </c>
      <c r="BM64" s="313">
        <v>3.5</v>
      </c>
      <c r="BN64" s="313">
        <v>3.1</v>
      </c>
      <c r="BO64" s="313">
        <v>6.3</v>
      </c>
      <c r="BP64" s="313">
        <v>12.9</v>
      </c>
      <c r="BQ64" s="313">
        <v>5.0999999999999996</v>
      </c>
      <c r="BR64" s="313">
        <v>3.1</v>
      </c>
      <c r="BS64" s="313">
        <v>6.3</v>
      </c>
      <c r="BT64" s="313">
        <v>5.5</v>
      </c>
      <c r="BU64" s="313">
        <v>3.1</v>
      </c>
      <c r="BV64" s="313">
        <v>15.7</v>
      </c>
      <c r="BW64" s="313">
        <v>6.7</v>
      </c>
      <c r="BX64" s="313">
        <v>6.7</v>
      </c>
      <c r="BY64" s="313">
        <v>3.5</v>
      </c>
      <c r="BZ64" s="313">
        <v>1.2</v>
      </c>
      <c r="CA64" s="313">
        <v>5.5</v>
      </c>
      <c r="CB64" s="313">
        <v>11.799999999999999</v>
      </c>
      <c r="CC64" s="313">
        <v>64.599999999999994</v>
      </c>
      <c r="CD64" s="313">
        <v>23.599999999999998</v>
      </c>
    </row>
    <row r="65" spans="1:82" s="322" customFormat="1" x14ac:dyDescent="0.25">
      <c r="A65" s="314" t="s">
        <v>4499</v>
      </c>
      <c r="B65" s="315" t="s">
        <v>348</v>
      </c>
      <c r="C65" s="314"/>
      <c r="D65" s="314"/>
      <c r="E65" s="314"/>
      <c r="F65" s="314"/>
      <c r="G65" s="314"/>
      <c r="H65" s="316"/>
      <c r="I65" s="317"/>
      <c r="J65" s="314">
        <v>54023</v>
      </c>
      <c r="K65" s="314" t="s">
        <v>4500</v>
      </c>
      <c r="L65" s="318">
        <v>480.00174165604278</v>
      </c>
      <c r="M65" s="319">
        <v>11673</v>
      </c>
      <c r="N65" s="320">
        <v>24.318661760949567</v>
      </c>
      <c r="O65" s="319">
        <v>4372</v>
      </c>
      <c r="P65" s="320">
        <v>2.64</v>
      </c>
      <c r="Q65" s="319">
        <v>11544</v>
      </c>
      <c r="R65" s="319">
        <v>226</v>
      </c>
      <c r="S65" s="319">
        <v>476</v>
      </c>
      <c r="T65" s="319">
        <v>319</v>
      </c>
      <c r="U65" s="319">
        <v>330</v>
      </c>
      <c r="V65" s="319">
        <v>226</v>
      </c>
      <c r="W65" s="319">
        <v>269</v>
      </c>
      <c r="X65" s="319">
        <v>335</v>
      </c>
      <c r="Y65" s="319">
        <v>202</v>
      </c>
      <c r="Z65" s="319">
        <v>236</v>
      </c>
      <c r="AA65" s="319">
        <v>288</v>
      </c>
      <c r="AB65" s="319">
        <v>481</v>
      </c>
      <c r="AC65" s="319">
        <v>510</v>
      </c>
      <c r="AD65" s="319">
        <v>252</v>
      </c>
      <c r="AE65" s="319">
        <v>89</v>
      </c>
      <c r="AF65" s="319">
        <v>67</v>
      </c>
      <c r="AG65" s="319">
        <v>66</v>
      </c>
      <c r="AH65" s="320">
        <v>23.353156450137234</v>
      </c>
      <c r="AI65" s="320">
        <v>12.717291857273558</v>
      </c>
      <c r="AJ65" s="320">
        <v>23.833485818847208</v>
      </c>
      <c r="AK65" s="320">
        <v>6.5873741994510517</v>
      </c>
      <c r="AL65" s="320">
        <v>33.508691674290944</v>
      </c>
      <c r="AM65" s="319">
        <v>21705</v>
      </c>
      <c r="AN65" s="319">
        <v>40093</v>
      </c>
      <c r="AO65" s="320">
        <v>54.505946935041173</v>
      </c>
      <c r="AP65" s="319">
        <v>4372</v>
      </c>
      <c r="AQ65" s="319">
        <v>2186</v>
      </c>
      <c r="AR65" s="319">
        <v>3486</v>
      </c>
      <c r="AS65" s="319">
        <v>886</v>
      </c>
      <c r="AT65" s="319">
        <v>185</v>
      </c>
      <c r="AU65" s="319">
        <v>255</v>
      </c>
      <c r="AV65" s="319">
        <v>525</v>
      </c>
      <c r="AW65" s="319">
        <v>454</v>
      </c>
      <c r="AX65" s="319">
        <v>226</v>
      </c>
      <c r="AY65" s="319">
        <v>139</v>
      </c>
      <c r="AZ65" s="319">
        <v>474</v>
      </c>
      <c r="BA65" s="319">
        <v>223</v>
      </c>
      <c r="BB65" s="319">
        <v>39</v>
      </c>
      <c r="BC65" s="319">
        <v>639</v>
      </c>
      <c r="BD65" s="319">
        <v>90</v>
      </c>
      <c r="BE65" s="319">
        <v>29</v>
      </c>
      <c r="BF65" s="319">
        <v>920</v>
      </c>
      <c r="BG65" s="319">
        <v>52</v>
      </c>
      <c r="BH65" s="319">
        <v>0</v>
      </c>
      <c r="BI65" s="320">
        <v>16.742909423604758</v>
      </c>
      <c r="BJ65" s="321">
        <v>5.2</v>
      </c>
      <c r="BK65" s="321">
        <v>5.0999999999999996</v>
      </c>
      <c r="BL65" s="321">
        <v>5.5</v>
      </c>
      <c r="BM65" s="321">
        <v>5.7</v>
      </c>
      <c r="BN65" s="321">
        <v>5.7</v>
      </c>
      <c r="BO65" s="321">
        <v>5</v>
      </c>
      <c r="BP65" s="321">
        <v>4.7</v>
      </c>
      <c r="BQ65" s="321">
        <v>6.1</v>
      </c>
      <c r="BR65" s="321">
        <v>5.2</v>
      </c>
      <c r="BS65" s="321">
        <v>6.8</v>
      </c>
      <c r="BT65" s="321">
        <v>7.5</v>
      </c>
      <c r="BU65" s="321">
        <v>7.8</v>
      </c>
      <c r="BV65" s="321">
        <v>6.9</v>
      </c>
      <c r="BW65" s="321">
        <v>7.5</v>
      </c>
      <c r="BX65" s="321">
        <v>6.4</v>
      </c>
      <c r="BY65" s="321">
        <v>3.9</v>
      </c>
      <c r="BZ65" s="321">
        <v>2.1</v>
      </c>
      <c r="CA65" s="321">
        <v>2.9</v>
      </c>
      <c r="CB65" s="321">
        <v>15.8</v>
      </c>
      <c r="CC65" s="321">
        <v>61.399999999999991</v>
      </c>
      <c r="CD65" s="321">
        <v>22.8</v>
      </c>
    </row>
    <row r="66" spans="1:82" s="308" customFormat="1" x14ac:dyDescent="0.25">
      <c r="A66" s="301" t="s">
        <v>367</v>
      </c>
      <c r="B66" s="301" t="s">
        <v>26</v>
      </c>
      <c r="C66" s="301" t="s">
        <v>4501</v>
      </c>
      <c r="D66" s="301" t="s">
        <v>27</v>
      </c>
      <c r="E66" s="301" t="s">
        <v>4502</v>
      </c>
      <c r="F66" s="301" t="s">
        <v>4272</v>
      </c>
      <c r="G66" s="301" t="s">
        <v>4503</v>
      </c>
      <c r="H66" s="302">
        <v>540040</v>
      </c>
      <c r="I66" s="303" t="s">
        <v>1427</v>
      </c>
      <c r="J66" s="301" t="s">
        <v>488</v>
      </c>
      <c r="K66" s="301" t="s">
        <v>488</v>
      </c>
      <c r="L66" s="304">
        <v>1012.870577843085</v>
      </c>
      <c r="M66" s="305">
        <v>23726</v>
      </c>
      <c r="N66" s="306">
        <v>23.424512982225906</v>
      </c>
      <c r="O66" s="305">
        <v>9852</v>
      </c>
      <c r="P66" s="306">
        <v>2.3670320747056435</v>
      </c>
      <c r="Q66" s="305">
        <v>23320</v>
      </c>
      <c r="R66" s="305">
        <v>797</v>
      </c>
      <c r="S66" s="305">
        <v>457</v>
      </c>
      <c r="T66" s="305">
        <v>860</v>
      </c>
      <c r="U66" s="305">
        <v>748</v>
      </c>
      <c r="V66" s="305">
        <v>697</v>
      </c>
      <c r="W66" s="305">
        <v>586</v>
      </c>
      <c r="X66" s="305">
        <v>525</v>
      </c>
      <c r="Y66" s="305">
        <v>494</v>
      </c>
      <c r="Z66" s="305">
        <v>688</v>
      </c>
      <c r="AA66" s="305">
        <v>889</v>
      </c>
      <c r="AB66" s="305">
        <v>1034</v>
      </c>
      <c r="AC66" s="305">
        <v>972</v>
      </c>
      <c r="AD66" s="305">
        <v>499</v>
      </c>
      <c r="AE66" s="305">
        <v>235</v>
      </c>
      <c r="AF66" s="305">
        <v>220</v>
      </c>
      <c r="AG66" s="305">
        <v>153</v>
      </c>
      <c r="AH66" s="306">
        <v>21.457572066585463</v>
      </c>
      <c r="AI66" s="306">
        <v>14.667072675598863</v>
      </c>
      <c r="AJ66" s="306">
        <v>23.274462038164838</v>
      </c>
      <c r="AK66" s="306">
        <v>9.0235485180673987</v>
      </c>
      <c r="AL66" s="306">
        <v>31.597645148193259</v>
      </c>
      <c r="AM66" s="305">
        <v>23777</v>
      </c>
      <c r="AN66" s="305">
        <v>40483</v>
      </c>
      <c r="AO66" s="306">
        <v>52.415753146569223</v>
      </c>
      <c r="AP66" s="305">
        <v>9852</v>
      </c>
      <c r="AQ66" s="305">
        <v>2965</v>
      </c>
      <c r="AR66" s="305">
        <v>7780</v>
      </c>
      <c r="AS66" s="305">
        <v>2073</v>
      </c>
      <c r="AT66" s="305">
        <v>445</v>
      </c>
      <c r="AU66" s="305">
        <v>365</v>
      </c>
      <c r="AV66" s="305">
        <v>939</v>
      </c>
      <c r="AW66" s="305">
        <v>1005</v>
      </c>
      <c r="AX66" s="305">
        <v>282</v>
      </c>
      <c r="AY66" s="305">
        <v>686</v>
      </c>
      <c r="AZ66" s="305">
        <v>1155</v>
      </c>
      <c r="BA66" s="305">
        <v>329</v>
      </c>
      <c r="BB66" s="305">
        <v>150</v>
      </c>
      <c r="BC66" s="305">
        <v>1380</v>
      </c>
      <c r="BD66" s="305">
        <v>466</v>
      </c>
      <c r="BE66" s="305">
        <v>76</v>
      </c>
      <c r="BF66" s="305">
        <v>1940</v>
      </c>
      <c r="BG66" s="305">
        <v>94</v>
      </c>
      <c r="BH66" s="305">
        <v>30</v>
      </c>
      <c r="BI66" s="306">
        <v>19.092570036540803</v>
      </c>
      <c r="BJ66" s="307">
        <v>5.2</v>
      </c>
      <c r="BK66" s="307">
        <v>4.9000000000000004</v>
      </c>
      <c r="BL66" s="307">
        <v>6</v>
      </c>
      <c r="BM66" s="307">
        <v>5.3</v>
      </c>
      <c r="BN66" s="307">
        <v>5.3</v>
      </c>
      <c r="BO66" s="307">
        <v>5.6</v>
      </c>
      <c r="BP66" s="307">
        <v>5.6</v>
      </c>
      <c r="BQ66" s="307">
        <v>5</v>
      </c>
      <c r="BR66" s="307">
        <v>6.6</v>
      </c>
      <c r="BS66" s="307">
        <v>6.6</v>
      </c>
      <c r="BT66" s="307">
        <v>7</v>
      </c>
      <c r="BU66" s="307">
        <v>7.4</v>
      </c>
      <c r="BV66" s="307">
        <v>7.8</v>
      </c>
      <c r="BW66" s="307">
        <v>7.7</v>
      </c>
      <c r="BX66" s="307">
        <v>4.7</v>
      </c>
      <c r="BY66" s="307">
        <v>4.7</v>
      </c>
      <c r="BZ66" s="307">
        <v>2.7</v>
      </c>
      <c r="CA66" s="307">
        <v>2.1</v>
      </c>
      <c r="CB66" s="307">
        <v>16.100000000000001</v>
      </c>
      <c r="CC66" s="307">
        <v>62.199999999999996</v>
      </c>
      <c r="CD66" s="307">
        <v>21.900000000000002</v>
      </c>
    </row>
    <row r="67" spans="1:82" s="330" customFormat="1" x14ac:dyDescent="0.25">
      <c r="A67" s="323" t="s">
        <v>4504</v>
      </c>
      <c r="B67" s="323" t="s">
        <v>142</v>
      </c>
      <c r="C67" s="323" t="s">
        <v>4505</v>
      </c>
      <c r="D67" s="323" t="s">
        <v>620</v>
      </c>
      <c r="E67" s="323" t="s">
        <v>4502</v>
      </c>
      <c r="F67" s="323" t="s">
        <v>4272</v>
      </c>
      <c r="G67" s="323" t="s">
        <v>4506</v>
      </c>
      <c r="H67" s="324">
        <v>540041</v>
      </c>
      <c r="I67" s="325" t="s">
        <v>4507</v>
      </c>
      <c r="J67" s="323">
        <v>5400772</v>
      </c>
      <c r="K67" s="323" t="s">
        <v>4508</v>
      </c>
      <c r="L67" s="326">
        <v>0.65208017480021607</v>
      </c>
      <c r="M67" s="327">
        <v>864</v>
      </c>
      <c r="N67" s="328">
        <v>1324.9904434906518</v>
      </c>
      <c r="O67" s="327">
        <v>408</v>
      </c>
      <c r="P67" s="328">
        <v>2.12</v>
      </c>
      <c r="Q67" s="327">
        <v>864</v>
      </c>
      <c r="R67" s="327">
        <v>42</v>
      </c>
      <c r="S67" s="327">
        <v>55</v>
      </c>
      <c r="T67" s="327">
        <v>59</v>
      </c>
      <c r="U67" s="327">
        <v>29</v>
      </c>
      <c r="V67" s="327">
        <v>18</v>
      </c>
      <c r="W67" s="327">
        <v>16</v>
      </c>
      <c r="X67" s="327">
        <v>24</v>
      </c>
      <c r="Y67" s="327">
        <v>29</v>
      </c>
      <c r="Z67" s="327">
        <v>21</v>
      </c>
      <c r="AA67" s="327">
        <v>21</v>
      </c>
      <c r="AB67" s="327">
        <v>36</v>
      </c>
      <c r="AC67" s="327">
        <v>27</v>
      </c>
      <c r="AD67" s="327">
        <v>6</v>
      </c>
      <c r="AE67" s="327">
        <v>23</v>
      </c>
      <c r="AF67" s="327">
        <v>0</v>
      </c>
      <c r="AG67" s="327">
        <v>0</v>
      </c>
      <c r="AH67" s="328">
        <v>26</v>
      </c>
      <c r="AI67" s="328">
        <v>8</v>
      </c>
      <c r="AJ67" s="328">
        <v>15</v>
      </c>
      <c r="AK67" s="328">
        <v>3</v>
      </c>
      <c r="AL67" s="328">
        <v>15</v>
      </c>
      <c r="AM67" s="327">
        <v>19066</v>
      </c>
      <c r="AN67" s="327">
        <v>27407</v>
      </c>
      <c r="AO67" s="328">
        <v>66.666666666666657</v>
      </c>
      <c r="AP67" s="327">
        <v>408</v>
      </c>
      <c r="AQ67" s="327">
        <v>62</v>
      </c>
      <c r="AR67" s="327">
        <v>229</v>
      </c>
      <c r="AS67" s="327">
        <v>178</v>
      </c>
      <c r="AT67" s="327">
        <v>0</v>
      </c>
      <c r="AU67" s="327">
        <v>19</v>
      </c>
      <c r="AV67" s="327">
        <v>100</v>
      </c>
      <c r="AW67" s="327">
        <v>38</v>
      </c>
      <c r="AX67" s="327">
        <v>2</v>
      </c>
      <c r="AY67" s="327">
        <v>23</v>
      </c>
      <c r="AZ67" s="327">
        <v>24</v>
      </c>
      <c r="BA67" s="327">
        <v>39</v>
      </c>
      <c r="BB67" s="327">
        <v>12</v>
      </c>
      <c r="BC67" s="327">
        <v>47</v>
      </c>
      <c r="BD67" s="327">
        <v>8</v>
      </c>
      <c r="BE67" s="327">
        <v>3</v>
      </c>
      <c r="BF67" s="327">
        <v>47</v>
      </c>
      <c r="BG67" s="327">
        <v>10</v>
      </c>
      <c r="BH67" s="327">
        <v>0</v>
      </c>
      <c r="BI67" s="328">
        <v>33.82352941176471</v>
      </c>
      <c r="BJ67" s="329">
        <v>8.5</v>
      </c>
      <c r="BK67" s="329">
        <v>6.8</v>
      </c>
      <c r="BL67" s="329">
        <v>5.6</v>
      </c>
      <c r="BM67" s="329">
        <v>2.5</v>
      </c>
      <c r="BN67" s="329">
        <v>3.2</v>
      </c>
      <c r="BO67" s="329">
        <v>9.4</v>
      </c>
      <c r="BP67" s="329">
        <v>8.6</v>
      </c>
      <c r="BQ67" s="329">
        <v>4</v>
      </c>
      <c r="BR67" s="329">
        <v>7.2</v>
      </c>
      <c r="BS67" s="329">
        <v>4.5999999999999996</v>
      </c>
      <c r="BT67" s="329">
        <v>3.2</v>
      </c>
      <c r="BU67" s="329">
        <v>9.4</v>
      </c>
      <c r="BV67" s="329">
        <v>4</v>
      </c>
      <c r="BW67" s="329">
        <v>7.8</v>
      </c>
      <c r="BX67" s="329">
        <v>8.3000000000000007</v>
      </c>
      <c r="BY67" s="329">
        <v>3.3</v>
      </c>
      <c r="BZ67" s="329">
        <v>2.1</v>
      </c>
      <c r="CA67" s="329">
        <v>1.3</v>
      </c>
      <c r="CB67" s="329">
        <v>20.9</v>
      </c>
      <c r="CC67" s="329">
        <v>56.100000000000009</v>
      </c>
      <c r="CD67" s="329">
        <v>22.800000000000004</v>
      </c>
    </row>
    <row r="68" spans="1:82" x14ac:dyDescent="0.25">
      <c r="A68" s="130" t="s">
        <v>4509</v>
      </c>
      <c r="B68" s="130" t="s">
        <v>290</v>
      </c>
      <c r="C68" s="130" t="s">
        <v>4510</v>
      </c>
      <c r="D68" s="130" t="s">
        <v>27</v>
      </c>
      <c r="E68" s="130" t="s">
        <v>4502</v>
      </c>
      <c r="F68" s="130" t="s">
        <v>4272</v>
      </c>
      <c r="G68" s="130" t="s">
        <v>4511</v>
      </c>
      <c r="H68" s="309">
        <v>540243</v>
      </c>
      <c r="I68" s="277" t="s">
        <v>1434</v>
      </c>
      <c r="J68" s="130">
        <v>5426692</v>
      </c>
      <c r="K68" s="130" t="s">
        <v>4512</v>
      </c>
      <c r="L68" s="310">
        <v>0.52707964902439042</v>
      </c>
      <c r="M68" s="311">
        <v>173</v>
      </c>
      <c r="N68" s="312">
        <v>328.22363815453343</v>
      </c>
      <c r="O68" s="311">
        <v>70</v>
      </c>
      <c r="P68" s="312">
        <v>2.4700000000000002</v>
      </c>
      <c r="Q68" s="311">
        <v>173</v>
      </c>
      <c r="R68" s="311">
        <v>3</v>
      </c>
      <c r="S68" s="311">
        <v>2</v>
      </c>
      <c r="T68" s="311">
        <v>7</v>
      </c>
      <c r="U68" s="311">
        <v>2</v>
      </c>
      <c r="V68" s="311">
        <v>6</v>
      </c>
      <c r="W68" s="311">
        <v>9</v>
      </c>
      <c r="X68" s="311">
        <v>1</v>
      </c>
      <c r="Y68" s="311">
        <v>0</v>
      </c>
      <c r="Z68" s="311">
        <v>7</v>
      </c>
      <c r="AA68" s="311">
        <v>8</v>
      </c>
      <c r="AB68" s="311">
        <v>8</v>
      </c>
      <c r="AC68" s="311">
        <v>6</v>
      </c>
      <c r="AD68" s="311">
        <v>6</v>
      </c>
      <c r="AE68" s="311">
        <v>0</v>
      </c>
      <c r="AF68" s="311">
        <v>5</v>
      </c>
      <c r="AG68" s="311">
        <v>0</v>
      </c>
      <c r="AH68" s="312">
        <v>17.142857142857142</v>
      </c>
      <c r="AI68" s="312">
        <v>11.428571428571429</v>
      </c>
      <c r="AJ68" s="312">
        <v>24.285714285714285</v>
      </c>
      <c r="AK68" s="312">
        <v>11.428571428571429</v>
      </c>
      <c r="AL68" s="312">
        <v>35.714285714285715</v>
      </c>
      <c r="AM68" s="311">
        <v>23228</v>
      </c>
      <c r="AN68" s="311">
        <v>47500</v>
      </c>
      <c r="AO68" s="312">
        <v>42.857142857142854</v>
      </c>
      <c r="AP68" s="311">
        <v>70</v>
      </c>
      <c r="AQ68" s="311">
        <v>31</v>
      </c>
      <c r="AR68" s="311">
        <v>58</v>
      </c>
      <c r="AS68" s="311">
        <v>12</v>
      </c>
      <c r="AT68" s="311">
        <v>4</v>
      </c>
      <c r="AU68" s="311">
        <v>2</v>
      </c>
      <c r="AV68" s="311">
        <v>6</v>
      </c>
      <c r="AW68" s="311">
        <v>2</v>
      </c>
      <c r="AX68" s="311">
        <v>7</v>
      </c>
      <c r="AY68" s="311">
        <v>2</v>
      </c>
      <c r="AZ68" s="311">
        <v>7</v>
      </c>
      <c r="BA68" s="311">
        <v>0</v>
      </c>
      <c r="BB68" s="311">
        <v>0</v>
      </c>
      <c r="BC68" s="311">
        <v>15</v>
      </c>
      <c r="BD68" s="311">
        <v>1</v>
      </c>
      <c r="BE68" s="311">
        <v>0</v>
      </c>
      <c r="BF68" s="311">
        <v>16</v>
      </c>
      <c r="BG68" s="311">
        <v>0</v>
      </c>
      <c r="BH68" s="311">
        <v>0</v>
      </c>
      <c r="BI68" s="312">
        <v>11.428571428571429</v>
      </c>
      <c r="BJ68" s="313">
        <v>7.5</v>
      </c>
      <c r="BK68" s="313">
        <v>2.9</v>
      </c>
      <c r="BL68" s="313">
        <v>2.9</v>
      </c>
      <c r="BM68" s="313">
        <v>6.4</v>
      </c>
      <c r="BN68" s="313">
        <v>1.2</v>
      </c>
      <c r="BO68" s="313">
        <v>2.9</v>
      </c>
      <c r="BP68" s="313">
        <v>7.5</v>
      </c>
      <c r="BQ68" s="313">
        <v>4</v>
      </c>
      <c r="BR68" s="313">
        <v>0.6</v>
      </c>
      <c r="BS68" s="313">
        <v>6.9</v>
      </c>
      <c r="BT68" s="313">
        <v>19.7</v>
      </c>
      <c r="BU68" s="313">
        <v>13.9</v>
      </c>
      <c r="BV68" s="313">
        <v>9.1999999999999993</v>
      </c>
      <c r="BW68" s="313">
        <v>5.8</v>
      </c>
      <c r="BX68" s="313">
        <v>4.5999999999999996</v>
      </c>
      <c r="BY68" s="313">
        <v>1.2</v>
      </c>
      <c r="BZ68" s="313">
        <v>1.7</v>
      </c>
      <c r="CA68" s="313">
        <v>1.2</v>
      </c>
      <c r="CB68" s="313">
        <v>13.3</v>
      </c>
      <c r="CC68" s="313">
        <v>72.3</v>
      </c>
      <c r="CD68" s="313">
        <v>14.499999999999996</v>
      </c>
    </row>
    <row r="69" spans="1:82" x14ac:dyDescent="0.25">
      <c r="A69" s="130" t="s">
        <v>4513</v>
      </c>
      <c r="B69" s="130" t="s">
        <v>322</v>
      </c>
      <c r="C69" s="130" t="s">
        <v>4514</v>
      </c>
      <c r="D69" s="130" t="s">
        <v>27</v>
      </c>
      <c r="E69" s="130" t="s">
        <v>4502</v>
      </c>
      <c r="F69" s="130" t="s">
        <v>4272</v>
      </c>
      <c r="G69" s="130" t="s">
        <v>4515</v>
      </c>
      <c r="H69" s="309">
        <v>540281</v>
      </c>
      <c r="I69" s="277" t="s">
        <v>1436</v>
      </c>
      <c r="J69" s="130">
        <v>5446636</v>
      </c>
      <c r="K69" s="130" t="s">
        <v>4516</v>
      </c>
      <c r="L69" s="310">
        <v>3.8065896998189359</v>
      </c>
      <c r="M69" s="311">
        <v>3923</v>
      </c>
      <c r="N69" s="312">
        <v>1030.5812575982648</v>
      </c>
      <c r="O69" s="311">
        <v>2001</v>
      </c>
      <c r="P69" s="312">
        <v>1.94</v>
      </c>
      <c r="Q69" s="311">
        <v>3888</v>
      </c>
      <c r="R69" s="311">
        <v>242</v>
      </c>
      <c r="S69" s="311">
        <v>153</v>
      </c>
      <c r="T69" s="311">
        <v>155</v>
      </c>
      <c r="U69" s="311">
        <v>131</v>
      </c>
      <c r="V69" s="311">
        <v>133</v>
      </c>
      <c r="W69" s="311">
        <v>124</v>
      </c>
      <c r="X69" s="311">
        <v>72</v>
      </c>
      <c r="Y69" s="311">
        <v>32</v>
      </c>
      <c r="Z69" s="311">
        <v>65</v>
      </c>
      <c r="AA69" s="311">
        <v>71</v>
      </c>
      <c r="AB69" s="311">
        <v>150</v>
      </c>
      <c r="AC69" s="311">
        <v>165</v>
      </c>
      <c r="AD69" s="311">
        <v>213</v>
      </c>
      <c r="AE69" s="311">
        <v>50</v>
      </c>
      <c r="AF69" s="311">
        <v>160</v>
      </c>
      <c r="AG69" s="311">
        <v>85</v>
      </c>
      <c r="AH69" s="312">
        <v>27.486256871564219</v>
      </c>
      <c r="AI69" s="312">
        <v>13.193403298350825</v>
      </c>
      <c r="AJ69" s="312">
        <v>14.642678660669665</v>
      </c>
      <c r="AK69" s="312">
        <v>3.5482258870564722</v>
      </c>
      <c r="AL69" s="312">
        <v>41.12943528235882</v>
      </c>
      <c r="AM69" s="311">
        <v>33544</v>
      </c>
      <c r="AN69" s="311">
        <v>39448</v>
      </c>
      <c r="AO69" s="312">
        <v>52.073963018490751</v>
      </c>
      <c r="AP69" s="311">
        <v>2001</v>
      </c>
      <c r="AQ69" s="311">
        <v>168</v>
      </c>
      <c r="AR69" s="311">
        <v>1163</v>
      </c>
      <c r="AS69" s="311">
        <v>838</v>
      </c>
      <c r="AT69" s="311">
        <v>27</v>
      </c>
      <c r="AU69" s="311">
        <v>42</v>
      </c>
      <c r="AV69" s="311">
        <v>381</v>
      </c>
      <c r="AW69" s="311">
        <v>66</v>
      </c>
      <c r="AX69" s="311">
        <v>167</v>
      </c>
      <c r="AY69" s="311">
        <v>155</v>
      </c>
      <c r="AZ69" s="311">
        <v>76</v>
      </c>
      <c r="BA69" s="311">
        <v>93</v>
      </c>
      <c r="BB69" s="311">
        <v>0</v>
      </c>
      <c r="BC69" s="311">
        <v>157</v>
      </c>
      <c r="BD69" s="311">
        <v>25</v>
      </c>
      <c r="BE69" s="311">
        <v>15</v>
      </c>
      <c r="BF69" s="311">
        <v>531</v>
      </c>
      <c r="BG69" s="311">
        <v>132</v>
      </c>
      <c r="BH69" s="311">
        <v>10</v>
      </c>
      <c r="BI69" s="312">
        <v>28.035982008995504</v>
      </c>
      <c r="BJ69" s="313">
        <v>8.5</v>
      </c>
      <c r="BK69" s="313">
        <v>3.4</v>
      </c>
      <c r="BL69" s="313">
        <v>4.5</v>
      </c>
      <c r="BM69" s="313">
        <v>2.9</v>
      </c>
      <c r="BN69" s="313">
        <v>7</v>
      </c>
      <c r="BO69" s="313">
        <v>4.5999999999999996</v>
      </c>
      <c r="BP69" s="313">
        <v>6.7</v>
      </c>
      <c r="BQ69" s="313">
        <v>3.8</v>
      </c>
      <c r="BR69" s="313">
        <v>9.6999999999999993</v>
      </c>
      <c r="BS69" s="313">
        <v>5</v>
      </c>
      <c r="BT69" s="313">
        <v>5.7</v>
      </c>
      <c r="BU69" s="313">
        <v>3.4</v>
      </c>
      <c r="BV69" s="313">
        <v>8.1999999999999993</v>
      </c>
      <c r="BW69" s="313">
        <v>11.5</v>
      </c>
      <c r="BX69" s="313">
        <v>3.3</v>
      </c>
      <c r="BY69" s="313">
        <v>5.3</v>
      </c>
      <c r="BZ69" s="313">
        <v>4.0999999999999996</v>
      </c>
      <c r="CA69" s="313">
        <v>2.5</v>
      </c>
      <c r="CB69" s="313">
        <v>16.399999999999999</v>
      </c>
      <c r="CC69" s="313">
        <v>57</v>
      </c>
      <c r="CD69" s="313">
        <v>26.700000000000003</v>
      </c>
    </row>
    <row r="70" spans="1:82" x14ac:dyDescent="0.25">
      <c r="A70" s="130" t="s">
        <v>4517</v>
      </c>
      <c r="B70" s="130" t="s">
        <v>291</v>
      </c>
      <c r="C70" s="130" t="s">
        <v>4518</v>
      </c>
      <c r="D70" s="130" t="s">
        <v>27</v>
      </c>
      <c r="E70" s="130" t="s">
        <v>4502</v>
      </c>
      <c r="F70" s="130" t="s">
        <v>4272</v>
      </c>
      <c r="G70" s="130" t="s">
        <v>4519</v>
      </c>
      <c r="H70" s="309">
        <v>540244</v>
      </c>
      <c r="I70" s="277" t="s">
        <v>1435</v>
      </c>
      <c r="J70" s="130">
        <v>5466412</v>
      </c>
      <c r="K70" s="130" t="s">
        <v>4520</v>
      </c>
      <c r="L70" s="310">
        <v>0.34529447937626484</v>
      </c>
      <c r="M70" s="311">
        <v>157</v>
      </c>
      <c r="N70" s="312">
        <v>454.68436183399928</v>
      </c>
      <c r="O70" s="311">
        <v>72</v>
      </c>
      <c r="P70" s="312">
        <v>2.1800000000000002</v>
      </c>
      <c r="Q70" s="311">
        <v>157</v>
      </c>
      <c r="R70" s="311">
        <v>9</v>
      </c>
      <c r="S70" s="311">
        <v>4</v>
      </c>
      <c r="T70" s="311">
        <v>14</v>
      </c>
      <c r="U70" s="311">
        <v>7</v>
      </c>
      <c r="V70" s="311">
        <v>4</v>
      </c>
      <c r="W70" s="311">
        <v>6</v>
      </c>
      <c r="X70" s="311">
        <v>0</v>
      </c>
      <c r="Y70" s="311">
        <v>5</v>
      </c>
      <c r="Z70" s="311">
        <v>5</v>
      </c>
      <c r="AA70" s="311">
        <v>0</v>
      </c>
      <c r="AB70" s="311">
        <v>4</v>
      </c>
      <c r="AC70" s="311">
        <v>7</v>
      </c>
      <c r="AD70" s="311">
        <v>7</v>
      </c>
      <c r="AE70" s="311">
        <v>0</v>
      </c>
      <c r="AF70" s="311">
        <v>0</v>
      </c>
      <c r="AG70" s="311">
        <v>0</v>
      </c>
      <c r="AH70" s="312">
        <v>37.5</v>
      </c>
      <c r="AI70" s="312">
        <v>15.277777777777779</v>
      </c>
      <c r="AJ70" s="312">
        <v>22.222222222222221</v>
      </c>
      <c r="AK70" s="312">
        <v>0</v>
      </c>
      <c r="AL70" s="312">
        <v>25</v>
      </c>
      <c r="AM70" s="311">
        <v>18403</v>
      </c>
      <c r="AN70" s="311">
        <v>26250</v>
      </c>
      <c r="AO70" s="312">
        <v>68.055555555555557</v>
      </c>
      <c r="AP70" s="311">
        <v>72</v>
      </c>
      <c r="AQ70" s="311">
        <v>51</v>
      </c>
      <c r="AR70" s="311">
        <v>58</v>
      </c>
      <c r="AS70" s="311">
        <v>14</v>
      </c>
      <c r="AT70" s="311">
        <v>10</v>
      </c>
      <c r="AU70" s="311">
        <v>5</v>
      </c>
      <c r="AV70" s="311">
        <v>4</v>
      </c>
      <c r="AW70" s="311">
        <v>12</v>
      </c>
      <c r="AX70" s="311">
        <v>5</v>
      </c>
      <c r="AY70" s="311">
        <v>0</v>
      </c>
      <c r="AZ70" s="311">
        <v>10</v>
      </c>
      <c r="BA70" s="311">
        <v>0</v>
      </c>
      <c r="BB70" s="311">
        <v>0</v>
      </c>
      <c r="BC70" s="311">
        <v>4</v>
      </c>
      <c r="BD70" s="311">
        <v>0</v>
      </c>
      <c r="BE70" s="311">
        <v>0</v>
      </c>
      <c r="BF70" s="311">
        <v>14</v>
      </c>
      <c r="BG70" s="311">
        <v>0</v>
      </c>
      <c r="BH70" s="311">
        <v>0</v>
      </c>
      <c r="BI70" s="312">
        <v>5.5555555555555554</v>
      </c>
      <c r="BJ70" s="313">
        <v>0</v>
      </c>
      <c r="BK70" s="313">
        <v>5.0999999999999996</v>
      </c>
      <c r="BL70" s="313">
        <v>3.2</v>
      </c>
      <c r="BM70" s="313">
        <v>4.5</v>
      </c>
      <c r="BN70" s="313">
        <v>5.7</v>
      </c>
      <c r="BO70" s="313">
        <v>6.4</v>
      </c>
      <c r="BP70" s="313">
        <v>1.3</v>
      </c>
      <c r="BQ70" s="313">
        <v>7</v>
      </c>
      <c r="BR70" s="313">
        <v>1.3</v>
      </c>
      <c r="BS70" s="313">
        <v>12.7</v>
      </c>
      <c r="BT70" s="313">
        <v>3.8</v>
      </c>
      <c r="BU70" s="313">
        <v>15.9</v>
      </c>
      <c r="BV70" s="313">
        <v>11.5</v>
      </c>
      <c r="BW70" s="313">
        <v>8.3000000000000007</v>
      </c>
      <c r="BX70" s="313">
        <v>5.0999999999999996</v>
      </c>
      <c r="BY70" s="313">
        <v>8.3000000000000007</v>
      </c>
      <c r="BZ70" s="313">
        <v>0</v>
      </c>
      <c r="CA70" s="313">
        <v>0</v>
      </c>
      <c r="CB70" s="313">
        <v>8.3000000000000007</v>
      </c>
      <c r="CC70" s="313">
        <v>70.099999999999994</v>
      </c>
      <c r="CD70" s="313">
        <v>21.700000000000003</v>
      </c>
    </row>
    <row r="71" spans="1:82" x14ac:dyDescent="0.25">
      <c r="A71" s="130" t="s">
        <v>4521</v>
      </c>
      <c r="B71" s="130" t="s">
        <v>278</v>
      </c>
      <c r="C71" s="130" t="s">
        <v>4522</v>
      </c>
      <c r="D71" s="130" t="s">
        <v>27</v>
      </c>
      <c r="E71" s="130" t="s">
        <v>4502</v>
      </c>
      <c r="F71" s="130" t="s">
        <v>4272</v>
      </c>
      <c r="G71" s="130" t="s">
        <v>4523</v>
      </c>
      <c r="H71" s="309">
        <v>540228</v>
      </c>
      <c r="I71" s="277" t="s">
        <v>1433</v>
      </c>
      <c r="J71" s="130">
        <v>5466652</v>
      </c>
      <c r="K71" s="130" t="s">
        <v>4524</v>
      </c>
      <c r="L71" s="310">
        <v>1.1154165403172291</v>
      </c>
      <c r="M71" s="311">
        <v>1339</v>
      </c>
      <c r="N71" s="312">
        <v>1200.4483989624027</v>
      </c>
      <c r="O71" s="311">
        <v>608</v>
      </c>
      <c r="P71" s="312">
        <v>2.11</v>
      </c>
      <c r="Q71" s="311">
        <v>1280</v>
      </c>
      <c r="R71" s="311">
        <v>99</v>
      </c>
      <c r="S71" s="311">
        <v>62</v>
      </c>
      <c r="T71" s="311">
        <v>61</v>
      </c>
      <c r="U71" s="311">
        <v>62</v>
      </c>
      <c r="V71" s="311">
        <v>52</v>
      </c>
      <c r="W71" s="311">
        <v>8</v>
      </c>
      <c r="X71" s="311">
        <v>39</v>
      </c>
      <c r="Y71" s="311">
        <v>32</v>
      </c>
      <c r="Z71" s="311">
        <v>35</v>
      </c>
      <c r="AA71" s="311">
        <v>52</v>
      </c>
      <c r="AB71" s="311">
        <v>28</v>
      </c>
      <c r="AC71" s="311">
        <v>36</v>
      </c>
      <c r="AD71" s="311">
        <v>27</v>
      </c>
      <c r="AE71" s="311">
        <v>0</v>
      </c>
      <c r="AF71" s="311">
        <v>15</v>
      </c>
      <c r="AG71" s="311">
        <v>0</v>
      </c>
      <c r="AH71" s="312">
        <v>36.513157894736842</v>
      </c>
      <c r="AI71" s="312">
        <v>18.75</v>
      </c>
      <c r="AJ71" s="312">
        <v>18.75</v>
      </c>
      <c r="AK71" s="312">
        <v>8.5526315789473681</v>
      </c>
      <c r="AL71" s="312">
        <v>17.434210526315788</v>
      </c>
      <c r="AM71" s="311">
        <v>17818</v>
      </c>
      <c r="AN71" s="311">
        <v>27576</v>
      </c>
      <c r="AO71" s="312">
        <v>68.256578947368425</v>
      </c>
      <c r="AP71" s="311">
        <v>608</v>
      </c>
      <c r="AQ71" s="311">
        <v>179</v>
      </c>
      <c r="AR71" s="311">
        <v>368</v>
      </c>
      <c r="AS71" s="311">
        <v>240</v>
      </c>
      <c r="AT71" s="311">
        <v>20</v>
      </c>
      <c r="AU71" s="311">
        <v>30</v>
      </c>
      <c r="AV71" s="311">
        <v>152</v>
      </c>
      <c r="AW71" s="311">
        <v>20</v>
      </c>
      <c r="AX71" s="311">
        <v>51</v>
      </c>
      <c r="AY71" s="311">
        <v>51</v>
      </c>
      <c r="AZ71" s="311">
        <v>71</v>
      </c>
      <c r="BA71" s="311">
        <v>18</v>
      </c>
      <c r="BB71" s="311">
        <v>6</v>
      </c>
      <c r="BC71" s="311">
        <v>58</v>
      </c>
      <c r="BD71" s="311">
        <v>10</v>
      </c>
      <c r="BE71" s="311">
        <v>8</v>
      </c>
      <c r="BF71" s="311">
        <v>75</v>
      </c>
      <c r="BG71" s="311">
        <v>3</v>
      </c>
      <c r="BH71" s="311">
        <v>0</v>
      </c>
      <c r="BI71" s="312">
        <v>35.690789473684212</v>
      </c>
      <c r="BJ71" s="313">
        <v>4.5999999999999996</v>
      </c>
      <c r="BK71" s="313">
        <v>3.9</v>
      </c>
      <c r="BL71" s="313">
        <v>5.7</v>
      </c>
      <c r="BM71" s="313">
        <v>5.3</v>
      </c>
      <c r="BN71" s="313">
        <v>3.4</v>
      </c>
      <c r="BO71" s="313">
        <v>3.4</v>
      </c>
      <c r="BP71" s="313">
        <v>6.7</v>
      </c>
      <c r="BQ71" s="313">
        <v>5.2</v>
      </c>
      <c r="BR71" s="313">
        <v>5.8</v>
      </c>
      <c r="BS71" s="313">
        <v>5.5</v>
      </c>
      <c r="BT71" s="313">
        <v>9.3000000000000007</v>
      </c>
      <c r="BU71" s="313">
        <v>8.4</v>
      </c>
      <c r="BV71" s="313">
        <v>7.2</v>
      </c>
      <c r="BW71" s="313">
        <v>7.8</v>
      </c>
      <c r="BX71" s="313">
        <v>4.7</v>
      </c>
      <c r="BY71" s="313">
        <v>4.7</v>
      </c>
      <c r="BZ71" s="313">
        <v>3.4</v>
      </c>
      <c r="CA71" s="313">
        <v>5</v>
      </c>
      <c r="CB71" s="313">
        <v>14.2</v>
      </c>
      <c r="CC71" s="313">
        <v>60.199999999999996</v>
      </c>
      <c r="CD71" s="313">
        <v>25.599999999999998</v>
      </c>
    </row>
    <row r="72" spans="1:82" x14ac:dyDescent="0.25">
      <c r="A72" s="130" t="s">
        <v>4525</v>
      </c>
      <c r="B72" s="130" t="s">
        <v>144</v>
      </c>
      <c r="C72" s="130" t="s">
        <v>4526</v>
      </c>
      <c r="D72" s="130" t="s">
        <v>27</v>
      </c>
      <c r="E72" s="130" t="s">
        <v>4502</v>
      </c>
      <c r="F72" s="130" t="s">
        <v>4272</v>
      </c>
      <c r="G72" s="130" t="s">
        <v>4527</v>
      </c>
      <c r="H72" s="309">
        <v>540043</v>
      </c>
      <c r="I72" s="277" t="s">
        <v>1430</v>
      </c>
      <c r="J72" s="130">
        <v>5470156</v>
      </c>
      <c r="K72" s="130" t="s">
        <v>4528</v>
      </c>
      <c r="L72" s="310">
        <v>1.7267242854880276</v>
      </c>
      <c r="M72" s="311">
        <v>1808</v>
      </c>
      <c r="N72" s="312">
        <v>1047.0693064289655</v>
      </c>
      <c r="O72" s="311">
        <v>735</v>
      </c>
      <c r="P72" s="312">
        <v>2.34</v>
      </c>
      <c r="Q72" s="311">
        <v>1718</v>
      </c>
      <c r="R72" s="311">
        <v>56</v>
      </c>
      <c r="S72" s="311">
        <v>79</v>
      </c>
      <c r="T72" s="311">
        <v>30</v>
      </c>
      <c r="U72" s="311">
        <v>20</v>
      </c>
      <c r="V72" s="311">
        <v>70</v>
      </c>
      <c r="W72" s="311">
        <v>25</v>
      </c>
      <c r="X72" s="311">
        <v>44</v>
      </c>
      <c r="Y72" s="311">
        <v>66</v>
      </c>
      <c r="Z72" s="311">
        <v>57</v>
      </c>
      <c r="AA72" s="311">
        <v>84</v>
      </c>
      <c r="AB72" s="311">
        <v>77</v>
      </c>
      <c r="AC72" s="311">
        <v>60</v>
      </c>
      <c r="AD72" s="311">
        <v>24</v>
      </c>
      <c r="AE72" s="311">
        <v>26</v>
      </c>
      <c r="AF72" s="311">
        <v>15</v>
      </c>
      <c r="AG72" s="311">
        <v>2</v>
      </c>
      <c r="AH72" s="312">
        <v>22.448979591836736</v>
      </c>
      <c r="AI72" s="312">
        <v>12.244897959183673</v>
      </c>
      <c r="AJ72" s="312">
        <v>26.122448979591837</v>
      </c>
      <c r="AK72" s="312">
        <v>11.428571428571429</v>
      </c>
      <c r="AL72" s="312">
        <v>27.755102040816325</v>
      </c>
      <c r="AM72" s="311">
        <v>20979</v>
      </c>
      <c r="AN72" s="311">
        <v>43918</v>
      </c>
      <c r="AO72" s="312">
        <v>53.061224489795919</v>
      </c>
      <c r="AP72" s="311">
        <v>735</v>
      </c>
      <c r="AQ72" s="311">
        <v>81</v>
      </c>
      <c r="AR72" s="311">
        <v>533</v>
      </c>
      <c r="AS72" s="311">
        <v>202</v>
      </c>
      <c r="AT72" s="311">
        <v>19</v>
      </c>
      <c r="AU72" s="311">
        <v>15</v>
      </c>
      <c r="AV72" s="311">
        <v>109</v>
      </c>
      <c r="AW72" s="311">
        <v>33</v>
      </c>
      <c r="AX72" s="311">
        <v>28</v>
      </c>
      <c r="AY72" s="311">
        <v>41</v>
      </c>
      <c r="AZ72" s="311">
        <v>92</v>
      </c>
      <c r="BA72" s="311">
        <v>49</v>
      </c>
      <c r="BB72" s="311">
        <v>26</v>
      </c>
      <c r="BC72" s="311">
        <v>121</v>
      </c>
      <c r="BD72" s="311">
        <v>35</v>
      </c>
      <c r="BE72" s="311">
        <v>5</v>
      </c>
      <c r="BF72" s="311">
        <v>101</v>
      </c>
      <c r="BG72" s="311">
        <v>7</v>
      </c>
      <c r="BH72" s="311">
        <v>6</v>
      </c>
      <c r="BI72" s="312">
        <v>25.442176870748302</v>
      </c>
      <c r="BJ72" s="313">
        <v>6.1</v>
      </c>
      <c r="BK72" s="313">
        <v>5.9</v>
      </c>
      <c r="BL72" s="313">
        <v>6.5</v>
      </c>
      <c r="BM72" s="313">
        <v>4</v>
      </c>
      <c r="BN72" s="313">
        <v>5</v>
      </c>
      <c r="BO72" s="313">
        <v>6.3</v>
      </c>
      <c r="BP72" s="313">
        <v>6.5</v>
      </c>
      <c r="BQ72" s="313">
        <v>4.3</v>
      </c>
      <c r="BR72" s="313">
        <v>4.2</v>
      </c>
      <c r="BS72" s="313">
        <v>8.1</v>
      </c>
      <c r="BT72" s="313">
        <v>5.7</v>
      </c>
      <c r="BU72" s="313">
        <v>7.8</v>
      </c>
      <c r="BV72" s="313">
        <v>5.5</v>
      </c>
      <c r="BW72" s="313">
        <v>7</v>
      </c>
      <c r="BX72" s="313">
        <v>3.6</v>
      </c>
      <c r="BY72" s="313">
        <v>4</v>
      </c>
      <c r="BZ72" s="313">
        <v>4.3</v>
      </c>
      <c r="CA72" s="313">
        <v>5.2</v>
      </c>
      <c r="CB72" s="313">
        <v>18.5</v>
      </c>
      <c r="CC72" s="313">
        <v>57.4</v>
      </c>
      <c r="CD72" s="313">
        <v>24.099999999999998</v>
      </c>
    </row>
    <row r="73" spans="1:82" x14ac:dyDescent="0.25">
      <c r="A73" s="130" t="s">
        <v>4529</v>
      </c>
      <c r="B73" s="130" t="s">
        <v>145</v>
      </c>
      <c r="C73" s="130" t="s">
        <v>4530</v>
      </c>
      <c r="D73" s="130" t="s">
        <v>27</v>
      </c>
      <c r="E73" s="130" t="s">
        <v>4502</v>
      </c>
      <c r="F73" s="130" t="s">
        <v>4272</v>
      </c>
      <c r="G73" s="130" t="s">
        <v>4531</v>
      </c>
      <c r="H73" s="309">
        <v>540044</v>
      </c>
      <c r="I73" s="277" t="s">
        <v>1431</v>
      </c>
      <c r="J73" s="130">
        <v>5470828</v>
      </c>
      <c r="K73" s="130" t="s">
        <v>4532</v>
      </c>
      <c r="L73" s="310">
        <v>0.7821781402963206</v>
      </c>
      <c r="M73" s="311">
        <v>866</v>
      </c>
      <c r="N73" s="312">
        <v>1107.1646666984636</v>
      </c>
      <c r="O73" s="311">
        <v>363</v>
      </c>
      <c r="P73" s="312">
        <v>2.39</v>
      </c>
      <c r="Q73" s="311">
        <v>866</v>
      </c>
      <c r="R73" s="311">
        <v>67</v>
      </c>
      <c r="S73" s="311">
        <v>32</v>
      </c>
      <c r="T73" s="311">
        <v>20</v>
      </c>
      <c r="U73" s="311">
        <v>12</v>
      </c>
      <c r="V73" s="311">
        <v>36</v>
      </c>
      <c r="W73" s="311">
        <v>17</v>
      </c>
      <c r="X73" s="311">
        <v>25</v>
      </c>
      <c r="Y73" s="311">
        <v>5</v>
      </c>
      <c r="Z73" s="311">
        <v>28</v>
      </c>
      <c r="AA73" s="311">
        <v>36</v>
      </c>
      <c r="AB73" s="311">
        <v>52</v>
      </c>
      <c r="AC73" s="311">
        <v>10</v>
      </c>
      <c r="AD73" s="311">
        <v>15</v>
      </c>
      <c r="AE73" s="311">
        <v>8</v>
      </c>
      <c r="AF73" s="311">
        <v>0</v>
      </c>
      <c r="AG73" s="311">
        <v>0</v>
      </c>
      <c r="AH73" s="312">
        <v>32.782369146005507</v>
      </c>
      <c r="AI73" s="312">
        <v>13.223140495867769</v>
      </c>
      <c r="AJ73" s="312">
        <v>20.66115702479339</v>
      </c>
      <c r="AK73" s="312">
        <v>9.9173553719008272</v>
      </c>
      <c r="AL73" s="312">
        <v>23.415977961432507</v>
      </c>
      <c r="AM73" s="311">
        <v>17011</v>
      </c>
      <c r="AN73" s="311">
        <v>34306</v>
      </c>
      <c r="AO73" s="312">
        <v>58.953168044077131</v>
      </c>
      <c r="AP73" s="311">
        <v>363</v>
      </c>
      <c r="AQ73" s="311">
        <v>87</v>
      </c>
      <c r="AR73" s="311">
        <v>223</v>
      </c>
      <c r="AS73" s="311">
        <v>140</v>
      </c>
      <c r="AT73" s="311">
        <v>4</v>
      </c>
      <c r="AU73" s="311">
        <v>12</v>
      </c>
      <c r="AV73" s="311">
        <v>82</v>
      </c>
      <c r="AW73" s="311">
        <v>19</v>
      </c>
      <c r="AX73" s="311">
        <v>44</v>
      </c>
      <c r="AY73" s="311">
        <v>2</v>
      </c>
      <c r="AZ73" s="311">
        <v>40</v>
      </c>
      <c r="BA73" s="311">
        <v>8</v>
      </c>
      <c r="BB73" s="311">
        <v>10</v>
      </c>
      <c r="BC73" s="311">
        <v>69</v>
      </c>
      <c r="BD73" s="311">
        <v>19</v>
      </c>
      <c r="BE73" s="311">
        <v>0</v>
      </c>
      <c r="BF73" s="311">
        <v>33</v>
      </c>
      <c r="BG73" s="311">
        <v>0</v>
      </c>
      <c r="BH73" s="311">
        <v>0</v>
      </c>
      <c r="BI73" s="312">
        <v>25.895316804407713</v>
      </c>
      <c r="BJ73" s="313">
        <v>6.1</v>
      </c>
      <c r="BK73" s="313">
        <v>8.8000000000000007</v>
      </c>
      <c r="BL73" s="313">
        <v>4</v>
      </c>
      <c r="BM73" s="313">
        <v>4.2</v>
      </c>
      <c r="BN73" s="313">
        <v>3.6</v>
      </c>
      <c r="BO73" s="313">
        <v>8</v>
      </c>
      <c r="BP73" s="313">
        <v>4.4000000000000004</v>
      </c>
      <c r="BQ73" s="313">
        <v>7.5</v>
      </c>
      <c r="BR73" s="313">
        <v>4.8</v>
      </c>
      <c r="BS73" s="313">
        <v>3.7</v>
      </c>
      <c r="BT73" s="313">
        <v>5.4</v>
      </c>
      <c r="BU73" s="313">
        <v>6.6</v>
      </c>
      <c r="BV73" s="313">
        <v>10.6</v>
      </c>
      <c r="BW73" s="313">
        <v>12.6</v>
      </c>
      <c r="BX73" s="313">
        <v>4.5999999999999996</v>
      </c>
      <c r="BY73" s="313">
        <v>1.3</v>
      </c>
      <c r="BZ73" s="313">
        <v>2.4</v>
      </c>
      <c r="CA73" s="313">
        <v>1.4</v>
      </c>
      <c r="CB73" s="313">
        <v>18.899999999999999</v>
      </c>
      <c r="CC73" s="313">
        <v>58.800000000000004</v>
      </c>
      <c r="CD73" s="313">
        <v>22.299999999999997</v>
      </c>
    </row>
    <row r="74" spans="1:82" x14ac:dyDescent="0.25">
      <c r="A74" s="130" t="s">
        <v>4533</v>
      </c>
      <c r="B74" s="130" t="s">
        <v>146</v>
      </c>
      <c r="C74" s="130" t="s">
        <v>4534</v>
      </c>
      <c r="D74" s="130" t="s">
        <v>27</v>
      </c>
      <c r="E74" s="130" t="s">
        <v>4502</v>
      </c>
      <c r="F74" s="130" t="s">
        <v>4272</v>
      </c>
      <c r="G74" s="130" t="s">
        <v>4535</v>
      </c>
      <c r="H74" s="309">
        <v>540045</v>
      </c>
      <c r="I74" s="277" t="s">
        <v>1432</v>
      </c>
      <c r="J74" s="130">
        <v>5486812</v>
      </c>
      <c r="K74" s="130" t="s">
        <v>4536</v>
      </c>
      <c r="L74" s="310">
        <v>1.8961093395570863</v>
      </c>
      <c r="M74" s="311">
        <v>2667</v>
      </c>
      <c r="N74" s="312">
        <v>1406.5644550978197</v>
      </c>
      <c r="O74" s="311">
        <v>1146</v>
      </c>
      <c r="P74" s="312">
        <v>2.27</v>
      </c>
      <c r="Q74" s="311">
        <v>2605</v>
      </c>
      <c r="R74" s="311">
        <v>98</v>
      </c>
      <c r="S74" s="311">
        <v>59</v>
      </c>
      <c r="T74" s="311">
        <v>73</v>
      </c>
      <c r="U74" s="311">
        <v>212</v>
      </c>
      <c r="V74" s="311">
        <v>94</v>
      </c>
      <c r="W74" s="311">
        <v>78</v>
      </c>
      <c r="X74" s="311">
        <v>34</v>
      </c>
      <c r="Y74" s="311">
        <v>32</v>
      </c>
      <c r="Z74" s="311">
        <v>53</v>
      </c>
      <c r="AA74" s="311">
        <v>123</v>
      </c>
      <c r="AB74" s="311">
        <v>99</v>
      </c>
      <c r="AC74" s="311">
        <v>103</v>
      </c>
      <c r="AD74" s="311">
        <v>67</v>
      </c>
      <c r="AE74" s="311">
        <v>7</v>
      </c>
      <c r="AF74" s="311">
        <v>7</v>
      </c>
      <c r="AG74" s="311">
        <v>7</v>
      </c>
      <c r="AH74" s="312">
        <v>20.069808027923212</v>
      </c>
      <c r="AI74" s="312">
        <v>26.701570680628272</v>
      </c>
      <c r="AJ74" s="312">
        <v>17.190226876090751</v>
      </c>
      <c r="AK74" s="312">
        <v>10.732984293193718</v>
      </c>
      <c r="AL74" s="312">
        <v>25.305410122164052</v>
      </c>
      <c r="AM74" s="311">
        <v>19462</v>
      </c>
      <c r="AN74" s="311">
        <v>31968</v>
      </c>
      <c r="AO74" s="312">
        <v>59.336823734729492</v>
      </c>
      <c r="AP74" s="311">
        <v>1146</v>
      </c>
      <c r="AQ74" s="311">
        <v>342</v>
      </c>
      <c r="AR74" s="311">
        <v>665</v>
      </c>
      <c r="AS74" s="311">
        <v>481</v>
      </c>
      <c r="AT74" s="311">
        <v>11</v>
      </c>
      <c r="AU74" s="311">
        <v>0</v>
      </c>
      <c r="AV74" s="311">
        <v>192</v>
      </c>
      <c r="AW74" s="311">
        <v>102</v>
      </c>
      <c r="AX74" s="311">
        <v>64</v>
      </c>
      <c r="AY74" s="311">
        <v>203</v>
      </c>
      <c r="AZ74" s="311">
        <v>75</v>
      </c>
      <c r="BA74" s="311">
        <v>9</v>
      </c>
      <c r="BB74" s="311">
        <v>35</v>
      </c>
      <c r="BC74" s="311">
        <v>185</v>
      </c>
      <c r="BD74" s="311">
        <v>23</v>
      </c>
      <c r="BE74" s="311">
        <v>0</v>
      </c>
      <c r="BF74" s="311">
        <v>181</v>
      </c>
      <c r="BG74" s="311">
        <v>5</v>
      </c>
      <c r="BH74" s="311">
        <v>0</v>
      </c>
      <c r="BI74" s="312">
        <v>37.521815008726009</v>
      </c>
      <c r="BJ74" s="313">
        <v>5.7</v>
      </c>
      <c r="BK74" s="313">
        <v>4.4000000000000004</v>
      </c>
      <c r="BL74" s="313">
        <v>7.9</v>
      </c>
      <c r="BM74" s="313">
        <v>7.3</v>
      </c>
      <c r="BN74" s="313">
        <v>6.6</v>
      </c>
      <c r="BO74" s="313">
        <v>5.2</v>
      </c>
      <c r="BP74" s="313">
        <v>5.0999999999999996</v>
      </c>
      <c r="BQ74" s="313">
        <v>5.7</v>
      </c>
      <c r="BR74" s="313">
        <v>5.7</v>
      </c>
      <c r="BS74" s="313">
        <v>6.4</v>
      </c>
      <c r="BT74" s="313">
        <v>7.3</v>
      </c>
      <c r="BU74" s="313">
        <v>6.5</v>
      </c>
      <c r="BV74" s="313">
        <v>4.2</v>
      </c>
      <c r="BW74" s="313">
        <v>5.3</v>
      </c>
      <c r="BX74" s="313">
        <v>5</v>
      </c>
      <c r="BY74" s="313">
        <v>5.9</v>
      </c>
      <c r="BZ74" s="313">
        <v>2.4</v>
      </c>
      <c r="CA74" s="313">
        <v>3.4</v>
      </c>
      <c r="CB74" s="313">
        <v>18</v>
      </c>
      <c r="CC74" s="313">
        <v>59.999999999999993</v>
      </c>
      <c r="CD74" s="313">
        <v>22</v>
      </c>
    </row>
    <row r="75" spans="1:82" s="322" customFormat="1" x14ac:dyDescent="0.25">
      <c r="A75" s="314" t="s">
        <v>4537</v>
      </c>
      <c r="B75" s="315" t="s">
        <v>348</v>
      </c>
      <c r="C75" s="314"/>
      <c r="D75" s="314"/>
      <c r="E75" s="314"/>
      <c r="F75" s="314"/>
      <c r="G75" s="314"/>
      <c r="H75" s="316"/>
      <c r="I75" s="317"/>
      <c r="J75" s="314">
        <v>54025</v>
      </c>
      <c r="K75" s="314" t="s">
        <v>4538</v>
      </c>
      <c r="L75" s="318">
        <v>1023.7220501517635</v>
      </c>
      <c r="M75" s="319">
        <v>35523</v>
      </c>
      <c r="N75" s="320">
        <v>34.699848454699037</v>
      </c>
      <c r="O75" s="319">
        <v>15255</v>
      </c>
      <c r="P75" s="320">
        <v>2.29</v>
      </c>
      <c r="Q75" s="319">
        <v>34871</v>
      </c>
      <c r="R75" s="319">
        <v>1413</v>
      </c>
      <c r="S75" s="319">
        <v>903</v>
      </c>
      <c r="T75" s="319">
        <v>1279</v>
      </c>
      <c r="U75" s="319">
        <v>1223</v>
      </c>
      <c r="V75" s="319">
        <v>1110</v>
      </c>
      <c r="W75" s="319">
        <v>869</v>
      </c>
      <c r="X75" s="319">
        <v>764</v>
      </c>
      <c r="Y75" s="319">
        <v>695</v>
      </c>
      <c r="Z75" s="319">
        <v>959</v>
      </c>
      <c r="AA75" s="319">
        <v>1284</v>
      </c>
      <c r="AB75" s="319">
        <v>1488</v>
      </c>
      <c r="AC75" s="319">
        <v>1386</v>
      </c>
      <c r="AD75" s="319">
        <v>864</v>
      </c>
      <c r="AE75" s="319">
        <v>349</v>
      </c>
      <c r="AF75" s="319">
        <v>422</v>
      </c>
      <c r="AG75" s="319">
        <v>247</v>
      </c>
      <c r="AH75" s="320">
        <v>23.566043920026221</v>
      </c>
      <c r="AI75" s="320">
        <v>15.293346443788922</v>
      </c>
      <c r="AJ75" s="320">
        <v>21.54703375942314</v>
      </c>
      <c r="AK75" s="320">
        <v>8.4169124877089487</v>
      </c>
      <c r="AL75" s="320">
        <v>31.176663389052774</v>
      </c>
      <c r="AM75" s="319">
        <v>23777</v>
      </c>
      <c r="AN75" s="319">
        <v>40483</v>
      </c>
      <c r="AO75" s="320">
        <v>54.11996066863324</v>
      </c>
      <c r="AP75" s="319">
        <v>15255</v>
      </c>
      <c r="AQ75" s="319">
        <v>3966</v>
      </c>
      <c r="AR75" s="319">
        <v>11077</v>
      </c>
      <c r="AS75" s="319">
        <v>4178</v>
      </c>
      <c r="AT75" s="319">
        <v>540</v>
      </c>
      <c r="AU75" s="319">
        <v>490</v>
      </c>
      <c r="AV75" s="319">
        <v>1965</v>
      </c>
      <c r="AW75" s="319">
        <v>1297</v>
      </c>
      <c r="AX75" s="319">
        <v>650</v>
      </c>
      <c r="AY75" s="319">
        <v>1163</v>
      </c>
      <c r="AZ75" s="319">
        <v>1550</v>
      </c>
      <c r="BA75" s="319">
        <v>545</v>
      </c>
      <c r="BB75" s="319">
        <v>239</v>
      </c>
      <c r="BC75" s="319">
        <v>2036</v>
      </c>
      <c r="BD75" s="319">
        <v>587</v>
      </c>
      <c r="BE75" s="319">
        <v>107</v>
      </c>
      <c r="BF75" s="319">
        <v>2938</v>
      </c>
      <c r="BG75" s="319">
        <v>251</v>
      </c>
      <c r="BH75" s="319">
        <v>46</v>
      </c>
      <c r="BI75" s="320">
        <v>23.074401835463782</v>
      </c>
      <c r="BJ75" s="321">
        <v>5.2</v>
      </c>
      <c r="BK75" s="321">
        <v>4.9000000000000004</v>
      </c>
      <c r="BL75" s="321">
        <v>6</v>
      </c>
      <c r="BM75" s="321">
        <v>5.3</v>
      </c>
      <c r="BN75" s="321">
        <v>5.3</v>
      </c>
      <c r="BO75" s="321">
        <v>5.6</v>
      </c>
      <c r="BP75" s="321">
        <v>5.6</v>
      </c>
      <c r="BQ75" s="321">
        <v>5</v>
      </c>
      <c r="BR75" s="321">
        <v>6.6</v>
      </c>
      <c r="BS75" s="321">
        <v>6.6</v>
      </c>
      <c r="BT75" s="321">
        <v>7</v>
      </c>
      <c r="BU75" s="321">
        <v>7.4</v>
      </c>
      <c r="BV75" s="321">
        <v>7.8</v>
      </c>
      <c r="BW75" s="321">
        <v>7.7</v>
      </c>
      <c r="BX75" s="321">
        <v>4.7</v>
      </c>
      <c r="BY75" s="321">
        <v>4.7</v>
      </c>
      <c r="BZ75" s="321">
        <v>2.7</v>
      </c>
      <c r="CA75" s="321">
        <v>2.1</v>
      </c>
      <c r="CB75" s="321">
        <v>16.100000000000001</v>
      </c>
      <c r="CC75" s="321">
        <v>62.199999999999996</v>
      </c>
      <c r="CD75" s="321">
        <v>21.900000000000002</v>
      </c>
    </row>
    <row r="76" spans="1:82" s="308" customFormat="1" x14ac:dyDescent="0.25">
      <c r="A76" s="301" t="s">
        <v>4539</v>
      </c>
      <c r="B76" s="301" t="s">
        <v>100</v>
      </c>
      <c r="C76" s="301" t="s">
        <v>4540</v>
      </c>
      <c r="D76" s="301" t="s">
        <v>101</v>
      </c>
      <c r="E76" s="301" t="s">
        <v>4541</v>
      </c>
      <c r="F76" s="301" t="s">
        <v>4272</v>
      </c>
      <c r="G76" s="301" t="s">
        <v>4542</v>
      </c>
      <c r="H76" s="302">
        <v>540226</v>
      </c>
      <c r="I76" s="303" t="s">
        <v>1628</v>
      </c>
      <c r="J76" s="301" t="s">
        <v>488</v>
      </c>
      <c r="K76" s="301" t="s">
        <v>488</v>
      </c>
      <c r="L76" s="304">
        <v>643.10431715894629</v>
      </c>
      <c r="M76" s="305">
        <v>20836</v>
      </c>
      <c r="N76" s="306">
        <v>32.399098317435623</v>
      </c>
      <c r="O76" s="305">
        <v>8625</v>
      </c>
      <c r="P76" s="306">
        <v>2.3707826086956523</v>
      </c>
      <c r="Q76" s="305">
        <v>20448</v>
      </c>
      <c r="R76" s="305">
        <v>643</v>
      </c>
      <c r="S76" s="305">
        <v>720</v>
      </c>
      <c r="T76" s="305">
        <v>663</v>
      </c>
      <c r="U76" s="305">
        <v>646</v>
      </c>
      <c r="V76" s="305">
        <v>575</v>
      </c>
      <c r="W76" s="305">
        <v>761</v>
      </c>
      <c r="X76" s="305">
        <v>501</v>
      </c>
      <c r="Y76" s="305">
        <v>406</v>
      </c>
      <c r="Z76" s="305">
        <v>370</v>
      </c>
      <c r="AA76" s="305">
        <v>683</v>
      </c>
      <c r="AB76" s="305">
        <v>976</v>
      </c>
      <c r="AC76" s="305">
        <v>751</v>
      </c>
      <c r="AD76" s="305">
        <v>378</v>
      </c>
      <c r="AE76" s="305">
        <v>302</v>
      </c>
      <c r="AF76" s="305">
        <v>235</v>
      </c>
      <c r="AG76" s="305">
        <v>15</v>
      </c>
      <c r="AH76" s="306">
        <v>23.489855072463769</v>
      </c>
      <c r="AI76" s="306">
        <v>14.156521739130435</v>
      </c>
      <c r="AJ76" s="306">
        <v>23.628985507246377</v>
      </c>
      <c r="AK76" s="306">
        <v>7.9188405797101442</v>
      </c>
      <c r="AL76" s="306">
        <v>30.805797101449272</v>
      </c>
      <c r="AM76" s="305">
        <v>21771</v>
      </c>
      <c r="AN76" s="305">
        <v>36575</v>
      </c>
      <c r="AO76" s="306">
        <v>56.985507246376812</v>
      </c>
      <c r="AP76" s="305">
        <v>8625</v>
      </c>
      <c r="AQ76" s="305">
        <v>4042</v>
      </c>
      <c r="AR76" s="305">
        <v>5747</v>
      </c>
      <c r="AS76" s="305">
        <v>2878</v>
      </c>
      <c r="AT76" s="305">
        <v>303</v>
      </c>
      <c r="AU76" s="305">
        <v>163</v>
      </c>
      <c r="AV76" s="305">
        <v>882</v>
      </c>
      <c r="AW76" s="305">
        <v>615</v>
      </c>
      <c r="AX76" s="305">
        <v>483</v>
      </c>
      <c r="AY76" s="305">
        <v>599</v>
      </c>
      <c r="AZ76" s="305">
        <v>780</v>
      </c>
      <c r="BA76" s="305">
        <v>346</v>
      </c>
      <c r="BB76" s="305">
        <v>95</v>
      </c>
      <c r="BC76" s="305">
        <v>1079</v>
      </c>
      <c r="BD76" s="305">
        <v>316</v>
      </c>
      <c r="BE76" s="305">
        <v>140</v>
      </c>
      <c r="BF76" s="305">
        <v>1513</v>
      </c>
      <c r="BG76" s="305">
        <v>107</v>
      </c>
      <c r="BH76" s="305">
        <v>8</v>
      </c>
      <c r="BI76" s="306">
        <v>19.98840579710145</v>
      </c>
      <c r="BJ76" s="307">
        <v>4.5999999999999996</v>
      </c>
      <c r="BK76" s="307">
        <v>6.4</v>
      </c>
      <c r="BL76" s="307">
        <v>5.0999999999999996</v>
      </c>
      <c r="BM76" s="307">
        <v>6.1</v>
      </c>
      <c r="BN76" s="307">
        <v>5.2</v>
      </c>
      <c r="BO76" s="307">
        <v>5.0999999999999996</v>
      </c>
      <c r="BP76" s="307">
        <v>4.9000000000000004</v>
      </c>
      <c r="BQ76" s="307">
        <v>4.5</v>
      </c>
      <c r="BR76" s="307">
        <v>7</v>
      </c>
      <c r="BS76" s="307">
        <v>7</v>
      </c>
      <c r="BT76" s="307">
        <v>7.7</v>
      </c>
      <c r="BU76" s="307">
        <v>7.2</v>
      </c>
      <c r="BV76" s="307">
        <v>8.9</v>
      </c>
      <c r="BW76" s="307">
        <v>7.2</v>
      </c>
      <c r="BX76" s="307">
        <v>5.4</v>
      </c>
      <c r="BY76" s="307">
        <v>3.9</v>
      </c>
      <c r="BZ76" s="307">
        <v>1.5</v>
      </c>
      <c r="CA76" s="307">
        <v>2.2000000000000002</v>
      </c>
      <c r="CB76" s="307">
        <v>16.100000000000001</v>
      </c>
      <c r="CC76" s="307">
        <v>63.6</v>
      </c>
      <c r="CD76" s="307">
        <v>20.2</v>
      </c>
    </row>
    <row r="77" spans="1:82" x14ac:dyDescent="0.25">
      <c r="A77" s="130" t="s">
        <v>4543</v>
      </c>
      <c r="B77" s="130" t="s">
        <v>147</v>
      </c>
      <c r="C77" s="130" t="s">
        <v>4544</v>
      </c>
      <c r="D77" s="130" t="s">
        <v>101</v>
      </c>
      <c r="E77" s="130" t="s">
        <v>4541</v>
      </c>
      <c r="F77" s="130" t="s">
        <v>4272</v>
      </c>
      <c r="G77" s="130" t="s">
        <v>4545</v>
      </c>
      <c r="H77" s="309">
        <v>540046</v>
      </c>
      <c r="I77" s="277" t="s">
        <v>1629</v>
      </c>
      <c r="J77" s="130">
        <v>5413108</v>
      </c>
      <c r="K77" s="130" t="s">
        <v>4546</v>
      </c>
      <c r="L77" s="310">
        <v>0.69716080127657487</v>
      </c>
      <c r="M77" s="311">
        <v>358</v>
      </c>
      <c r="N77" s="312">
        <v>513.51137261943632</v>
      </c>
      <c r="O77" s="311">
        <v>153</v>
      </c>
      <c r="P77" s="312">
        <v>2.34</v>
      </c>
      <c r="Q77" s="311">
        <v>358</v>
      </c>
      <c r="R77" s="311">
        <v>3</v>
      </c>
      <c r="S77" s="311">
        <v>15</v>
      </c>
      <c r="T77" s="311">
        <v>8</v>
      </c>
      <c r="U77" s="311">
        <v>19</v>
      </c>
      <c r="V77" s="311">
        <v>20</v>
      </c>
      <c r="W77" s="311">
        <v>8</v>
      </c>
      <c r="X77" s="311">
        <v>14</v>
      </c>
      <c r="Y77" s="311">
        <v>4</v>
      </c>
      <c r="Z77" s="311">
        <v>11</v>
      </c>
      <c r="AA77" s="311">
        <v>10</v>
      </c>
      <c r="AB77" s="311">
        <v>9</v>
      </c>
      <c r="AC77" s="311">
        <v>15</v>
      </c>
      <c r="AD77" s="311">
        <v>9</v>
      </c>
      <c r="AE77" s="311">
        <v>7</v>
      </c>
      <c r="AF77" s="311">
        <v>1</v>
      </c>
      <c r="AG77" s="311">
        <v>0</v>
      </c>
      <c r="AH77" s="312">
        <v>16.993464052287582</v>
      </c>
      <c r="AI77" s="312">
        <v>25.490196078431371</v>
      </c>
      <c r="AJ77" s="312">
        <v>24.183006535947712</v>
      </c>
      <c r="AK77" s="312">
        <v>6.5359477124183014</v>
      </c>
      <c r="AL77" s="312">
        <v>26.797385620915033</v>
      </c>
      <c r="AM77" s="311">
        <v>20327</v>
      </c>
      <c r="AN77" s="311">
        <v>36094</v>
      </c>
      <c r="AO77" s="312">
        <v>59.477124183006538</v>
      </c>
      <c r="AP77" s="311">
        <v>153</v>
      </c>
      <c r="AQ77" s="311">
        <v>37</v>
      </c>
      <c r="AR77" s="311">
        <v>61</v>
      </c>
      <c r="AS77" s="311">
        <v>92</v>
      </c>
      <c r="AT77" s="311">
        <v>0</v>
      </c>
      <c r="AU77" s="311">
        <v>7</v>
      </c>
      <c r="AV77" s="311">
        <v>19</v>
      </c>
      <c r="AW77" s="311">
        <v>3</v>
      </c>
      <c r="AX77" s="311">
        <v>8</v>
      </c>
      <c r="AY77" s="311">
        <v>36</v>
      </c>
      <c r="AZ77" s="311">
        <v>8</v>
      </c>
      <c r="BA77" s="311">
        <v>13</v>
      </c>
      <c r="BB77" s="311">
        <v>8</v>
      </c>
      <c r="BC77" s="311">
        <v>14</v>
      </c>
      <c r="BD77" s="311">
        <v>3</v>
      </c>
      <c r="BE77" s="311">
        <v>2</v>
      </c>
      <c r="BF77" s="311">
        <v>28</v>
      </c>
      <c r="BG77" s="311">
        <v>4</v>
      </c>
      <c r="BH77" s="311">
        <v>0</v>
      </c>
      <c r="BI77" s="312">
        <v>42.483660130718953</v>
      </c>
      <c r="BJ77" s="313">
        <v>10.1</v>
      </c>
      <c r="BK77" s="313">
        <v>7.3</v>
      </c>
      <c r="BL77" s="313">
        <v>5</v>
      </c>
      <c r="BM77" s="313">
        <v>3.4</v>
      </c>
      <c r="BN77" s="313">
        <v>2.8</v>
      </c>
      <c r="BO77" s="313">
        <v>2.2000000000000002</v>
      </c>
      <c r="BP77" s="313">
        <v>15.4</v>
      </c>
      <c r="BQ77" s="313">
        <v>3.6</v>
      </c>
      <c r="BR77" s="313">
        <v>7.3</v>
      </c>
      <c r="BS77" s="313">
        <v>3.4</v>
      </c>
      <c r="BT77" s="313">
        <v>8.1</v>
      </c>
      <c r="BU77" s="313">
        <v>9.8000000000000007</v>
      </c>
      <c r="BV77" s="313">
        <v>5.3</v>
      </c>
      <c r="BW77" s="313">
        <v>5.6</v>
      </c>
      <c r="BX77" s="313">
        <v>7.5</v>
      </c>
      <c r="BY77" s="313">
        <v>1.7</v>
      </c>
      <c r="BZ77" s="313">
        <v>0</v>
      </c>
      <c r="CA77" s="313">
        <v>1.7</v>
      </c>
      <c r="CB77" s="313">
        <v>22.4</v>
      </c>
      <c r="CC77" s="313">
        <v>61.3</v>
      </c>
      <c r="CD77" s="313">
        <v>16.5</v>
      </c>
    </row>
    <row r="78" spans="1:82" x14ac:dyDescent="0.25">
      <c r="A78" s="130" t="s">
        <v>4547</v>
      </c>
      <c r="B78" s="130" t="s">
        <v>319</v>
      </c>
      <c r="C78" s="130" t="s">
        <v>4548</v>
      </c>
      <c r="D78" s="130" t="s">
        <v>101</v>
      </c>
      <c r="E78" s="130" t="s">
        <v>4541</v>
      </c>
      <c r="F78" s="130" t="s">
        <v>4272</v>
      </c>
      <c r="G78" s="130" t="s">
        <v>4549</v>
      </c>
      <c r="H78" s="309">
        <v>540276</v>
      </c>
      <c r="I78" s="277" t="s">
        <v>1630</v>
      </c>
      <c r="J78" s="130">
        <v>5470084</v>
      </c>
      <c r="K78" s="130" t="s">
        <v>4550</v>
      </c>
      <c r="L78" s="310">
        <v>0.96080804981222823</v>
      </c>
      <c r="M78" s="311">
        <v>2218</v>
      </c>
      <c r="N78" s="312">
        <v>2308.4735816206644</v>
      </c>
      <c r="O78" s="311">
        <v>898</v>
      </c>
      <c r="P78" s="312">
        <v>2.29</v>
      </c>
      <c r="Q78" s="311">
        <v>2054</v>
      </c>
      <c r="R78" s="311">
        <v>96</v>
      </c>
      <c r="S78" s="311">
        <v>99</v>
      </c>
      <c r="T78" s="311">
        <v>33</v>
      </c>
      <c r="U78" s="311">
        <v>176</v>
      </c>
      <c r="V78" s="311">
        <v>57</v>
      </c>
      <c r="W78" s="311">
        <v>78</v>
      </c>
      <c r="X78" s="311">
        <v>54</v>
      </c>
      <c r="Y78" s="311">
        <v>27</v>
      </c>
      <c r="Z78" s="311">
        <v>13</v>
      </c>
      <c r="AA78" s="311">
        <v>83</v>
      </c>
      <c r="AB78" s="311">
        <v>54</v>
      </c>
      <c r="AC78" s="311">
        <v>47</v>
      </c>
      <c r="AD78" s="311">
        <v>32</v>
      </c>
      <c r="AE78" s="311">
        <v>9</v>
      </c>
      <c r="AF78" s="311">
        <v>12</v>
      </c>
      <c r="AG78" s="311">
        <v>28</v>
      </c>
      <c r="AH78" s="312">
        <v>25.389755011135858</v>
      </c>
      <c r="AI78" s="312">
        <v>25.946547884187083</v>
      </c>
      <c r="AJ78" s="312">
        <v>19.153674832962139</v>
      </c>
      <c r="AK78" s="312">
        <v>9.2427616926503333</v>
      </c>
      <c r="AL78" s="312">
        <v>20.26726057906459</v>
      </c>
      <c r="AM78" s="311">
        <v>21139</v>
      </c>
      <c r="AN78" s="311">
        <v>27206</v>
      </c>
      <c r="AO78" s="312">
        <v>69.042316258351889</v>
      </c>
      <c r="AP78" s="311">
        <v>898</v>
      </c>
      <c r="AQ78" s="311">
        <v>181</v>
      </c>
      <c r="AR78" s="311">
        <v>436</v>
      </c>
      <c r="AS78" s="311">
        <v>462</v>
      </c>
      <c r="AT78" s="311">
        <v>35</v>
      </c>
      <c r="AU78" s="311">
        <v>43</v>
      </c>
      <c r="AV78" s="311">
        <v>118</v>
      </c>
      <c r="AW78" s="311">
        <v>102</v>
      </c>
      <c r="AX78" s="311">
        <v>92</v>
      </c>
      <c r="AY78" s="311">
        <v>108</v>
      </c>
      <c r="AZ78" s="311">
        <v>74</v>
      </c>
      <c r="BA78" s="311">
        <v>17</v>
      </c>
      <c r="BB78" s="311">
        <v>3</v>
      </c>
      <c r="BC78" s="311">
        <v>88</v>
      </c>
      <c r="BD78" s="311">
        <v>28</v>
      </c>
      <c r="BE78" s="311">
        <v>21</v>
      </c>
      <c r="BF78" s="311">
        <v>108</v>
      </c>
      <c r="BG78" s="311">
        <v>20</v>
      </c>
      <c r="BH78" s="311">
        <v>0</v>
      </c>
      <c r="BI78" s="312">
        <v>27.839643652561247</v>
      </c>
      <c r="BJ78" s="313">
        <v>8.5</v>
      </c>
      <c r="BK78" s="313">
        <v>7.3</v>
      </c>
      <c r="BL78" s="313">
        <v>6.4</v>
      </c>
      <c r="BM78" s="313">
        <v>8.1</v>
      </c>
      <c r="BN78" s="313">
        <v>5.9</v>
      </c>
      <c r="BO78" s="313">
        <v>3.9</v>
      </c>
      <c r="BP78" s="313">
        <v>3.7</v>
      </c>
      <c r="BQ78" s="313">
        <v>7</v>
      </c>
      <c r="BR78" s="313">
        <v>1.4</v>
      </c>
      <c r="BS78" s="313">
        <v>4.9000000000000004</v>
      </c>
      <c r="BT78" s="313">
        <v>6.1</v>
      </c>
      <c r="BU78" s="313">
        <v>5.7</v>
      </c>
      <c r="BV78" s="313">
        <v>6.5</v>
      </c>
      <c r="BW78" s="313">
        <v>3.8</v>
      </c>
      <c r="BX78" s="313">
        <v>6.8</v>
      </c>
      <c r="BY78" s="313">
        <v>6.8</v>
      </c>
      <c r="BZ78" s="313">
        <v>3.5</v>
      </c>
      <c r="CA78" s="313">
        <v>3.8</v>
      </c>
      <c r="CB78" s="313">
        <v>22.200000000000003</v>
      </c>
      <c r="CC78" s="313">
        <v>53.2</v>
      </c>
      <c r="CD78" s="313">
        <v>24.7</v>
      </c>
    </row>
    <row r="79" spans="1:82" s="322" customFormat="1" x14ac:dyDescent="0.25">
      <c r="A79" s="314" t="s">
        <v>4551</v>
      </c>
      <c r="B79" s="315" t="s">
        <v>348</v>
      </c>
      <c r="C79" s="314"/>
      <c r="D79" s="314"/>
      <c r="E79" s="314"/>
      <c r="F79" s="314"/>
      <c r="G79" s="314"/>
      <c r="H79" s="316"/>
      <c r="I79" s="317"/>
      <c r="J79" s="314">
        <v>54027</v>
      </c>
      <c r="K79" s="314" t="s">
        <v>4552</v>
      </c>
      <c r="L79" s="318">
        <v>644.76228601003515</v>
      </c>
      <c r="M79" s="319">
        <v>23412</v>
      </c>
      <c r="N79" s="320">
        <v>36.311056815807014</v>
      </c>
      <c r="O79" s="319">
        <v>9676</v>
      </c>
      <c r="P79" s="320">
        <v>2.36</v>
      </c>
      <c r="Q79" s="319">
        <v>22860</v>
      </c>
      <c r="R79" s="319">
        <v>742</v>
      </c>
      <c r="S79" s="319">
        <v>834</v>
      </c>
      <c r="T79" s="319">
        <v>704</v>
      </c>
      <c r="U79" s="319">
        <v>841</v>
      </c>
      <c r="V79" s="319">
        <v>652</v>
      </c>
      <c r="W79" s="319">
        <v>847</v>
      </c>
      <c r="X79" s="319">
        <v>569</v>
      </c>
      <c r="Y79" s="319">
        <v>437</v>
      </c>
      <c r="Z79" s="319">
        <v>394</v>
      </c>
      <c r="AA79" s="319">
        <v>776</v>
      </c>
      <c r="AB79" s="319">
        <v>1039</v>
      </c>
      <c r="AC79" s="319">
        <v>813</v>
      </c>
      <c r="AD79" s="319">
        <v>419</v>
      </c>
      <c r="AE79" s="319">
        <v>318</v>
      </c>
      <c r="AF79" s="319">
        <v>248</v>
      </c>
      <c r="AG79" s="319">
        <v>43</v>
      </c>
      <c r="AH79" s="320">
        <v>23.563455973542784</v>
      </c>
      <c r="AI79" s="320">
        <v>15.429929723026046</v>
      </c>
      <c r="AJ79" s="320">
        <v>23.222405952873089</v>
      </c>
      <c r="AK79" s="320">
        <v>8.0198429102935087</v>
      </c>
      <c r="AL79" s="320">
        <v>29.764365440264573</v>
      </c>
      <c r="AM79" s="319">
        <v>21771</v>
      </c>
      <c r="AN79" s="319">
        <v>36575</v>
      </c>
      <c r="AO79" s="320">
        <v>58.143861099627948</v>
      </c>
      <c r="AP79" s="319">
        <v>9676</v>
      </c>
      <c r="AQ79" s="319">
        <v>4260</v>
      </c>
      <c r="AR79" s="319">
        <v>6244</v>
      </c>
      <c r="AS79" s="319">
        <v>3432</v>
      </c>
      <c r="AT79" s="319">
        <v>338</v>
      </c>
      <c r="AU79" s="319">
        <v>213</v>
      </c>
      <c r="AV79" s="319">
        <v>1019</v>
      </c>
      <c r="AW79" s="319">
        <v>720</v>
      </c>
      <c r="AX79" s="319">
        <v>583</v>
      </c>
      <c r="AY79" s="319">
        <v>743</v>
      </c>
      <c r="AZ79" s="319">
        <v>862</v>
      </c>
      <c r="BA79" s="319">
        <v>376</v>
      </c>
      <c r="BB79" s="319">
        <v>106</v>
      </c>
      <c r="BC79" s="319">
        <v>1181</v>
      </c>
      <c r="BD79" s="319">
        <v>347</v>
      </c>
      <c r="BE79" s="319">
        <v>163</v>
      </c>
      <c r="BF79" s="319">
        <v>1649</v>
      </c>
      <c r="BG79" s="319">
        <v>131</v>
      </c>
      <c r="BH79" s="319">
        <v>8</v>
      </c>
      <c r="BI79" s="320">
        <v>21.072757337742871</v>
      </c>
      <c r="BJ79" s="321">
        <v>4.5999999999999996</v>
      </c>
      <c r="BK79" s="321">
        <v>6.4</v>
      </c>
      <c r="BL79" s="321">
        <v>5.0999999999999996</v>
      </c>
      <c r="BM79" s="321">
        <v>6.1</v>
      </c>
      <c r="BN79" s="321">
        <v>5.2</v>
      </c>
      <c r="BO79" s="321">
        <v>5.0999999999999996</v>
      </c>
      <c r="BP79" s="321">
        <v>4.9000000000000004</v>
      </c>
      <c r="BQ79" s="321">
        <v>4.5</v>
      </c>
      <c r="BR79" s="321">
        <v>7</v>
      </c>
      <c r="BS79" s="321">
        <v>7</v>
      </c>
      <c r="BT79" s="321">
        <v>7.7</v>
      </c>
      <c r="BU79" s="321">
        <v>7.2</v>
      </c>
      <c r="BV79" s="321">
        <v>8.9</v>
      </c>
      <c r="BW79" s="321">
        <v>7.2</v>
      </c>
      <c r="BX79" s="321">
        <v>5.4</v>
      </c>
      <c r="BY79" s="321">
        <v>3.9</v>
      </c>
      <c r="BZ79" s="321">
        <v>1.5</v>
      </c>
      <c r="CA79" s="321">
        <v>2.2000000000000002</v>
      </c>
      <c r="CB79" s="321">
        <v>16.100000000000001</v>
      </c>
      <c r="CC79" s="321">
        <v>63.6</v>
      </c>
      <c r="CD79" s="321">
        <v>20.2</v>
      </c>
    </row>
    <row r="80" spans="1:82" s="308" customFormat="1" x14ac:dyDescent="0.25">
      <c r="A80" s="301" t="s">
        <v>366</v>
      </c>
      <c r="B80" s="301" t="s">
        <v>28</v>
      </c>
      <c r="C80" s="301" t="s">
        <v>4553</v>
      </c>
      <c r="D80" s="301" t="s">
        <v>29</v>
      </c>
      <c r="E80" s="301" t="s">
        <v>4363</v>
      </c>
      <c r="F80" s="301" t="s">
        <v>4272</v>
      </c>
      <c r="G80" s="301" t="s">
        <v>4554</v>
      </c>
      <c r="H80" s="302">
        <v>540047</v>
      </c>
      <c r="I80" s="303" t="s">
        <v>1437</v>
      </c>
      <c r="J80" s="301" t="s">
        <v>488</v>
      </c>
      <c r="K80" s="301" t="s">
        <v>488</v>
      </c>
      <c r="L80" s="304">
        <v>73.101951165605442</v>
      </c>
      <c r="M80" s="305">
        <v>13928</v>
      </c>
      <c r="N80" s="306">
        <v>190.52843019808671</v>
      </c>
      <c r="O80" s="305">
        <v>5624</v>
      </c>
      <c r="P80" s="306">
        <v>2.4535917496443811</v>
      </c>
      <c r="Q80" s="305">
        <v>13799</v>
      </c>
      <c r="R80" s="305">
        <v>432</v>
      </c>
      <c r="S80" s="305">
        <v>138</v>
      </c>
      <c r="T80" s="305">
        <v>464</v>
      </c>
      <c r="U80" s="305">
        <v>263</v>
      </c>
      <c r="V80" s="305">
        <v>418</v>
      </c>
      <c r="W80" s="305">
        <v>358</v>
      </c>
      <c r="X80" s="305">
        <v>356</v>
      </c>
      <c r="Y80" s="305">
        <v>377</v>
      </c>
      <c r="Z80" s="305">
        <v>270</v>
      </c>
      <c r="AA80" s="305">
        <v>446</v>
      </c>
      <c r="AB80" s="305">
        <v>626</v>
      </c>
      <c r="AC80" s="305">
        <v>521</v>
      </c>
      <c r="AD80" s="305">
        <v>449</v>
      </c>
      <c r="AE80" s="305">
        <v>224</v>
      </c>
      <c r="AF80" s="305">
        <v>150</v>
      </c>
      <c r="AG80" s="305">
        <v>91</v>
      </c>
      <c r="AH80" s="306">
        <v>18.385490753911807</v>
      </c>
      <c r="AI80" s="306">
        <v>12.10881934566145</v>
      </c>
      <c r="AJ80" s="306">
        <v>24.199857752489333</v>
      </c>
      <c r="AK80" s="306">
        <v>7.930298719772404</v>
      </c>
      <c r="AL80" s="306">
        <v>36.64651493598862</v>
      </c>
      <c r="AM80" s="305">
        <v>25157</v>
      </c>
      <c r="AN80" s="305">
        <v>43634</v>
      </c>
      <c r="AO80" s="306">
        <v>49.893314366998574</v>
      </c>
      <c r="AP80" s="305">
        <v>5624</v>
      </c>
      <c r="AQ80" s="305">
        <v>902</v>
      </c>
      <c r="AR80" s="305">
        <v>4525</v>
      </c>
      <c r="AS80" s="305">
        <v>1099</v>
      </c>
      <c r="AT80" s="305">
        <v>156</v>
      </c>
      <c r="AU80" s="305">
        <v>181</v>
      </c>
      <c r="AV80" s="305">
        <v>652</v>
      </c>
      <c r="AW80" s="305">
        <v>603</v>
      </c>
      <c r="AX80" s="305">
        <v>146</v>
      </c>
      <c r="AY80" s="305">
        <v>263</v>
      </c>
      <c r="AZ80" s="305">
        <v>687</v>
      </c>
      <c r="BA80" s="305">
        <v>194</v>
      </c>
      <c r="BB80" s="305">
        <v>120</v>
      </c>
      <c r="BC80" s="305">
        <v>873</v>
      </c>
      <c r="BD80" s="305">
        <v>117</v>
      </c>
      <c r="BE80" s="305">
        <v>50</v>
      </c>
      <c r="BF80" s="305">
        <v>1348</v>
      </c>
      <c r="BG80" s="305">
        <v>67</v>
      </c>
      <c r="BH80" s="305">
        <v>46</v>
      </c>
      <c r="BI80" s="306">
        <v>20.110241820768138</v>
      </c>
      <c r="BJ80" s="307">
        <v>4.9000000000000004</v>
      </c>
      <c r="BK80" s="307">
        <v>4.9000000000000004</v>
      </c>
      <c r="BL80" s="307">
        <v>6</v>
      </c>
      <c r="BM80" s="307">
        <v>5.4</v>
      </c>
      <c r="BN80" s="307">
        <v>4.9000000000000004</v>
      </c>
      <c r="BO80" s="307">
        <v>5</v>
      </c>
      <c r="BP80" s="307">
        <v>5.0999999999999996</v>
      </c>
      <c r="BQ80" s="307">
        <v>4.5999999999999996</v>
      </c>
      <c r="BR80" s="307">
        <v>7.3</v>
      </c>
      <c r="BS80" s="307">
        <v>6.7</v>
      </c>
      <c r="BT80" s="307">
        <v>7.5</v>
      </c>
      <c r="BU80" s="307">
        <v>8.6</v>
      </c>
      <c r="BV80" s="307">
        <v>7.7</v>
      </c>
      <c r="BW80" s="307">
        <v>6.7</v>
      </c>
      <c r="BX80" s="307">
        <v>4.8</v>
      </c>
      <c r="BY80" s="307">
        <v>3.5</v>
      </c>
      <c r="BZ80" s="307">
        <v>3.4</v>
      </c>
      <c r="CA80" s="307">
        <v>2.9</v>
      </c>
      <c r="CB80" s="307">
        <v>15.8</v>
      </c>
      <c r="CC80" s="307">
        <v>62.800000000000004</v>
      </c>
      <c r="CD80" s="307">
        <v>21.299999999999997</v>
      </c>
    </row>
    <row r="81" spans="1:82" x14ac:dyDescent="0.25">
      <c r="A81" s="130" t="s">
        <v>4555</v>
      </c>
      <c r="B81" s="130" t="s">
        <v>148</v>
      </c>
      <c r="C81" s="130" t="s">
        <v>4556</v>
      </c>
      <c r="D81" s="130" t="s">
        <v>29</v>
      </c>
      <c r="E81" s="130" t="s">
        <v>4363</v>
      </c>
      <c r="F81" s="130" t="s">
        <v>4272</v>
      </c>
      <c r="G81" s="130" t="s">
        <v>4557</v>
      </c>
      <c r="H81" s="309">
        <v>540048</v>
      </c>
      <c r="I81" s="277" t="s">
        <v>1438</v>
      </c>
      <c r="J81" s="130">
        <v>5415076</v>
      </c>
      <c r="K81" s="130" t="s">
        <v>4558</v>
      </c>
      <c r="L81" s="310">
        <v>0.99830776386882492</v>
      </c>
      <c r="M81" s="311">
        <v>2713</v>
      </c>
      <c r="N81" s="312">
        <v>2717.5988189114005</v>
      </c>
      <c r="O81" s="311">
        <v>1318</v>
      </c>
      <c r="P81" s="312">
        <v>2.06</v>
      </c>
      <c r="Q81" s="311">
        <v>2713</v>
      </c>
      <c r="R81" s="311">
        <v>57</v>
      </c>
      <c r="S81" s="311">
        <v>62</v>
      </c>
      <c r="T81" s="311">
        <v>98</v>
      </c>
      <c r="U81" s="311">
        <v>144</v>
      </c>
      <c r="V81" s="311">
        <v>76</v>
      </c>
      <c r="W81" s="311">
        <v>49</v>
      </c>
      <c r="X81" s="311">
        <v>187</v>
      </c>
      <c r="Y81" s="311">
        <v>87</v>
      </c>
      <c r="Z81" s="311">
        <v>177</v>
      </c>
      <c r="AA81" s="311">
        <v>69</v>
      </c>
      <c r="AB81" s="311">
        <v>129</v>
      </c>
      <c r="AC81" s="311">
        <v>96</v>
      </c>
      <c r="AD81" s="311">
        <v>18</v>
      </c>
      <c r="AE81" s="311">
        <v>53</v>
      </c>
      <c r="AF81" s="311">
        <v>16</v>
      </c>
      <c r="AG81" s="311">
        <v>0</v>
      </c>
      <c r="AH81" s="312">
        <v>16.464339908952962</v>
      </c>
      <c r="AI81" s="312">
        <v>16.691957511380881</v>
      </c>
      <c r="AJ81" s="312">
        <v>37.936267071320188</v>
      </c>
      <c r="AK81" s="312">
        <v>5.2352048558421851</v>
      </c>
      <c r="AL81" s="312">
        <v>23.672230652503792</v>
      </c>
      <c r="AM81" s="311">
        <v>22549</v>
      </c>
      <c r="AN81" s="311">
        <v>39375</v>
      </c>
      <c r="AO81" s="312">
        <v>57.66312594840668</v>
      </c>
      <c r="AP81" s="311">
        <v>1318</v>
      </c>
      <c r="AQ81" s="311">
        <v>158</v>
      </c>
      <c r="AR81" s="311">
        <v>786</v>
      </c>
      <c r="AS81" s="311">
        <v>532</v>
      </c>
      <c r="AT81" s="311">
        <v>61</v>
      </c>
      <c r="AU81" s="311">
        <v>61</v>
      </c>
      <c r="AV81" s="311">
        <v>78</v>
      </c>
      <c r="AW81" s="311">
        <v>91</v>
      </c>
      <c r="AX81" s="311">
        <v>83</v>
      </c>
      <c r="AY81" s="311">
        <v>95</v>
      </c>
      <c r="AZ81" s="311">
        <v>314</v>
      </c>
      <c r="BA81" s="311">
        <v>89</v>
      </c>
      <c r="BB81" s="311">
        <v>0</v>
      </c>
      <c r="BC81" s="311">
        <v>182</v>
      </c>
      <c r="BD81" s="311">
        <v>16</v>
      </c>
      <c r="BE81" s="311">
        <v>0</v>
      </c>
      <c r="BF81" s="311">
        <v>167</v>
      </c>
      <c r="BG81" s="311">
        <v>0</v>
      </c>
      <c r="BH81" s="311">
        <v>0</v>
      </c>
      <c r="BI81" s="312">
        <v>13.125948406676782</v>
      </c>
      <c r="BJ81" s="313">
        <v>3.9</v>
      </c>
      <c r="BK81" s="313">
        <v>8.8000000000000007</v>
      </c>
      <c r="BL81" s="313">
        <v>10.3</v>
      </c>
      <c r="BM81" s="313">
        <v>3.5</v>
      </c>
      <c r="BN81" s="313">
        <v>1.9</v>
      </c>
      <c r="BO81" s="313">
        <v>3.5</v>
      </c>
      <c r="BP81" s="313">
        <v>6.3</v>
      </c>
      <c r="BQ81" s="313">
        <v>4.7</v>
      </c>
      <c r="BR81" s="313">
        <v>5.5</v>
      </c>
      <c r="BS81" s="313">
        <v>7.9</v>
      </c>
      <c r="BT81" s="313">
        <v>4.3</v>
      </c>
      <c r="BU81" s="313">
        <v>10.8</v>
      </c>
      <c r="BV81" s="313">
        <v>7.3</v>
      </c>
      <c r="BW81" s="313">
        <v>8.9</v>
      </c>
      <c r="BX81" s="313">
        <v>4.5999999999999996</v>
      </c>
      <c r="BY81" s="313">
        <v>3.4</v>
      </c>
      <c r="BZ81" s="313">
        <v>0</v>
      </c>
      <c r="CA81" s="313">
        <v>4.3</v>
      </c>
      <c r="CB81" s="313">
        <v>23</v>
      </c>
      <c r="CC81" s="313">
        <v>55.699999999999989</v>
      </c>
      <c r="CD81" s="313">
        <v>21.2</v>
      </c>
    </row>
    <row r="82" spans="1:82" x14ac:dyDescent="0.25">
      <c r="A82" s="130" t="s">
        <v>4559</v>
      </c>
      <c r="B82" s="130" t="s">
        <v>149</v>
      </c>
      <c r="C82" s="130" t="s">
        <v>4560</v>
      </c>
      <c r="D82" s="130" t="s">
        <v>29</v>
      </c>
      <c r="E82" s="130" t="s">
        <v>4363</v>
      </c>
      <c r="F82" s="130" t="s">
        <v>4272</v>
      </c>
      <c r="G82" s="130" t="s">
        <v>4561</v>
      </c>
      <c r="H82" s="309">
        <v>540049</v>
      </c>
      <c r="I82" s="277" t="s">
        <v>1439</v>
      </c>
      <c r="J82" s="130">
        <v>5458372</v>
      </c>
      <c r="K82" s="130" t="s">
        <v>4562</v>
      </c>
      <c r="L82" s="310">
        <v>1.8573361329802296</v>
      </c>
      <c r="M82" s="311">
        <v>1102</v>
      </c>
      <c r="N82" s="312">
        <v>593.32286732168484</v>
      </c>
      <c r="O82" s="311">
        <v>515</v>
      </c>
      <c r="P82" s="312">
        <v>2.14</v>
      </c>
      <c r="Q82" s="311">
        <v>1102</v>
      </c>
      <c r="R82" s="311">
        <v>96</v>
      </c>
      <c r="S82" s="311">
        <v>39</v>
      </c>
      <c r="T82" s="311">
        <v>50</v>
      </c>
      <c r="U82" s="311">
        <v>40</v>
      </c>
      <c r="V82" s="311">
        <v>39</v>
      </c>
      <c r="W82" s="311">
        <v>12</v>
      </c>
      <c r="X82" s="311">
        <v>26</v>
      </c>
      <c r="Y82" s="311">
        <v>17</v>
      </c>
      <c r="Z82" s="311">
        <v>28</v>
      </c>
      <c r="AA82" s="311">
        <v>47</v>
      </c>
      <c r="AB82" s="311">
        <v>53</v>
      </c>
      <c r="AC82" s="311">
        <v>41</v>
      </c>
      <c r="AD82" s="311">
        <v>19</v>
      </c>
      <c r="AE82" s="311">
        <v>3</v>
      </c>
      <c r="AF82" s="311">
        <v>0</v>
      </c>
      <c r="AG82" s="311">
        <v>5</v>
      </c>
      <c r="AH82" s="312">
        <v>35.922330097087382</v>
      </c>
      <c r="AI82" s="312">
        <v>15.339805825242719</v>
      </c>
      <c r="AJ82" s="312">
        <v>16.116504854368934</v>
      </c>
      <c r="AK82" s="312">
        <v>9.1262135922330092</v>
      </c>
      <c r="AL82" s="312">
        <v>23.495145631067963</v>
      </c>
      <c r="AM82" s="311">
        <v>19105</v>
      </c>
      <c r="AN82" s="311">
        <v>29476</v>
      </c>
      <c r="AO82" s="312">
        <v>61.94174757281553</v>
      </c>
      <c r="AP82" s="311">
        <v>515</v>
      </c>
      <c r="AQ82" s="311">
        <v>48</v>
      </c>
      <c r="AR82" s="311">
        <v>355</v>
      </c>
      <c r="AS82" s="311">
        <v>160</v>
      </c>
      <c r="AT82" s="311">
        <v>15</v>
      </c>
      <c r="AU82" s="311">
        <v>38</v>
      </c>
      <c r="AV82" s="311">
        <v>98</v>
      </c>
      <c r="AW82" s="311">
        <v>50</v>
      </c>
      <c r="AX82" s="311">
        <v>13</v>
      </c>
      <c r="AY82" s="311">
        <v>28</v>
      </c>
      <c r="AZ82" s="311">
        <v>63</v>
      </c>
      <c r="BA82" s="311">
        <v>8</v>
      </c>
      <c r="BB82" s="311">
        <v>0</v>
      </c>
      <c r="BC82" s="311">
        <v>63</v>
      </c>
      <c r="BD82" s="311">
        <v>37</v>
      </c>
      <c r="BE82" s="311">
        <v>0</v>
      </c>
      <c r="BF82" s="311">
        <v>64</v>
      </c>
      <c r="BG82" s="311">
        <v>2</v>
      </c>
      <c r="BH82" s="311">
        <v>0</v>
      </c>
      <c r="BI82" s="312">
        <v>24.466019417475728</v>
      </c>
      <c r="BJ82" s="313">
        <v>5.8</v>
      </c>
      <c r="BK82" s="313">
        <v>2.6</v>
      </c>
      <c r="BL82" s="313">
        <v>1.7</v>
      </c>
      <c r="BM82" s="313">
        <v>6.2</v>
      </c>
      <c r="BN82" s="313">
        <v>7.2</v>
      </c>
      <c r="BO82" s="313">
        <v>4.9000000000000004</v>
      </c>
      <c r="BP82" s="313">
        <v>5.0999999999999996</v>
      </c>
      <c r="BQ82" s="313">
        <v>1.3</v>
      </c>
      <c r="BR82" s="313">
        <v>8.1999999999999993</v>
      </c>
      <c r="BS82" s="313">
        <v>5.7</v>
      </c>
      <c r="BT82" s="313">
        <v>9.9</v>
      </c>
      <c r="BU82" s="313">
        <v>8.3000000000000007</v>
      </c>
      <c r="BV82" s="313">
        <v>5.0999999999999996</v>
      </c>
      <c r="BW82" s="313">
        <v>8</v>
      </c>
      <c r="BX82" s="313">
        <v>5.8</v>
      </c>
      <c r="BY82" s="313">
        <v>6.8</v>
      </c>
      <c r="BZ82" s="313">
        <v>3.1</v>
      </c>
      <c r="CA82" s="313">
        <v>4.4000000000000004</v>
      </c>
      <c r="CB82" s="313">
        <v>10.1</v>
      </c>
      <c r="CC82" s="313">
        <v>61.9</v>
      </c>
      <c r="CD82" s="313">
        <v>28.1</v>
      </c>
    </row>
    <row r="83" spans="1:82" s="330" customFormat="1" x14ac:dyDescent="0.25">
      <c r="A83" s="323" t="s">
        <v>4361</v>
      </c>
      <c r="B83" s="323" t="s">
        <v>124</v>
      </c>
      <c r="C83" s="323" t="s">
        <v>4563</v>
      </c>
      <c r="D83" s="323" t="s">
        <v>621</v>
      </c>
      <c r="E83" s="323" t="s">
        <v>4363</v>
      </c>
      <c r="F83" s="323" t="s">
        <v>4272</v>
      </c>
      <c r="G83" s="323" t="s">
        <v>4364</v>
      </c>
      <c r="H83" s="324">
        <v>540014</v>
      </c>
      <c r="I83" s="325" t="s">
        <v>4564</v>
      </c>
      <c r="J83" s="323">
        <v>5485156</v>
      </c>
      <c r="K83" s="323" t="s">
        <v>4366</v>
      </c>
      <c r="L83" s="326">
        <v>12.147294450029518</v>
      </c>
      <c r="M83" s="327">
        <v>12178</v>
      </c>
      <c r="N83" s="328">
        <v>1002.5277686399054</v>
      </c>
      <c r="O83" s="327">
        <v>5303</v>
      </c>
      <c r="P83" s="328">
        <v>2.2730529888742224</v>
      </c>
      <c r="Q83" s="327">
        <v>12054</v>
      </c>
      <c r="R83" s="327">
        <v>435</v>
      </c>
      <c r="S83" s="327">
        <v>345</v>
      </c>
      <c r="T83" s="327">
        <v>366</v>
      </c>
      <c r="U83" s="327">
        <v>290</v>
      </c>
      <c r="V83" s="327">
        <v>434</v>
      </c>
      <c r="W83" s="327">
        <v>224</v>
      </c>
      <c r="X83" s="327">
        <v>334</v>
      </c>
      <c r="Y83" s="327">
        <v>220</v>
      </c>
      <c r="Z83" s="327">
        <v>331</v>
      </c>
      <c r="AA83" s="327">
        <v>473</v>
      </c>
      <c r="AB83" s="327">
        <v>514</v>
      </c>
      <c r="AC83" s="327">
        <v>652</v>
      </c>
      <c r="AD83" s="327">
        <v>295</v>
      </c>
      <c r="AE83" s="327">
        <v>144</v>
      </c>
      <c r="AF83" s="327">
        <v>100</v>
      </c>
      <c r="AG83" s="327">
        <v>187</v>
      </c>
      <c r="AH83" s="328">
        <v>21.6104092023383</v>
      </c>
      <c r="AI83" s="328">
        <v>13.652649443711107</v>
      </c>
      <c r="AJ83" s="328">
        <v>20.912690929662457</v>
      </c>
      <c r="AK83" s="328">
        <v>8.9194795398830848</v>
      </c>
      <c r="AL83" s="328">
        <v>35.677918159532339</v>
      </c>
      <c r="AM83" s="327">
        <v>26014</v>
      </c>
      <c r="AN83" s="327">
        <v>45058</v>
      </c>
      <c r="AO83" s="328">
        <v>49.933999622854984</v>
      </c>
      <c r="AP83" s="327">
        <v>5303</v>
      </c>
      <c r="AQ83" s="327">
        <v>545</v>
      </c>
      <c r="AR83" s="327">
        <v>3483</v>
      </c>
      <c r="AS83" s="327">
        <v>1820</v>
      </c>
      <c r="AT83" s="327">
        <v>114</v>
      </c>
      <c r="AU83" s="327">
        <v>151</v>
      </c>
      <c r="AV83" s="327">
        <v>777</v>
      </c>
      <c r="AW83" s="327">
        <v>343</v>
      </c>
      <c r="AX83" s="327">
        <v>313</v>
      </c>
      <c r="AY83" s="327">
        <v>246</v>
      </c>
      <c r="AZ83" s="327">
        <v>573</v>
      </c>
      <c r="BA83" s="327">
        <v>239</v>
      </c>
      <c r="BB83" s="327">
        <v>68</v>
      </c>
      <c r="BC83" s="327">
        <v>749</v>
      </c>
      <c r="BD83" s="327">
        <v>198</v>
      </c>
      <c r="BE83" s="327">
        <v>45</v>
      </c>
      <c r="BF83" s="327">
        <v>1257</v>
      </c>
      <c r="BG83" s="327">
        <v>80</v>
      </c>
      <c r="BH83" s="327">
        <v>0</v>
      </c>
      <c r="BI83" s="328">
        <v>21.421836696209692</v>
      </c>
      <c r="BJ83" s="329">
        <v>5.6</v>
      </c>
      <c r="BK83" s="329">
        <v>4.3</v>
      </c>
      <c r="BL83" s="329">
        <v>5.3</v>
      </c>
      <c r="BM83" s="329">
        <v>4.9000000000000004</v>
      </c>
      <c r="BN83" s="329">
        <v>6</v>
      </c>
      <c r="BO83" s="329">
        <v>6</v>
      </c>
      <c r="BP83" s="329">
        <v>4.8</v>
      </c>
      <c r="BQ83" s="329">
        <v>4.4000000000000004</v>
      </c>
      <c r="BR83" s="329">
        <v>7.2</v>
      </c>
      <c r="BS83" s="329">
        <v>6.6</v>
      </c>
      <c r="BT83" s="329">
        <v>7.8</v>
      </c>
      <c r="BU83" s="329">
        <v>8.5</v>
      </c>
      <c r="BV83" s="329">
        <v>7.2</v>
      </c>
      <c r="BW83" s="329">
        <v>6.1</v>
      </c>
      <c r="BX83" s="329">
        <v>3.3</v>
      </c>
      <c r="BY83" s="329">
        <v>4</v>
      </c>
      <c r="BZ83" s="329">
        <v>3.7</v>
      </c>
      <c r="CA83" s="329">
        <v>4.2</v>
      </c>
      <c r="CB83" s="329">
        <v>15.2</v>
      </c>
      <c r="CC83" s="329">
        <v>63.400000000000006</v>
      </c>
      <c r="CD83" s="329">
        <v>21.299999999999997</v>
      </c>
    </row>
    <row r="84" spans="1:82" s="322" customFormat="1" x14ac:dyDescent="0.25">
      <c r="A84" s="314" t="s">
        <v>4565</v>
      </c>
      <c r="B84" s="315" t="s">
        <v>348</v>
      </c>
      <c r="C84" s="314"/>
      <c r="D84" s="314"/>
      <c r="E84" s="314"/>
      <c r="F84" s="314"/>
      <c r="G84" s="314"/>
      <c r="H84" s="316"/>
      <c r="I84" s="317"/>
      <c r="J84" s="314">
        <v>54029</v>
      </c>
      <c r="K84" s="314" t="s">
        <v>4566</v>
      </c>
      <c r="L84" s="318">
        <v>88.104889512484007</v>
      </c>
      <c r="M84" s="319">
        <v>29921</v>
      </c>
      <c r="N84" s="320">
        <v>339.60657763222491</v>
      </c>
      <c r="O84" s="319">
        <v>12760</v>
      </c>
      <c r="P84" s="320">
        <v>2.33</v>
      </c>
      <c r="Q84" s="319">
        <v>29668</v>
      </c>
      <c r="R84" s="319">
        <v>1020</v>
      </c>
      <c r="S84" s="319">
        <v>584</v>
      </c>
      <c r="T84" s="319">
        <v>978</v>
      </c>
      <c r="U84" s="319">
        <v>737</v>
      </c>
      <c r="V84" s="319">
        <v>967</v>
      </c>
      <c r="W84" s="319">
        <v>643</v>
      </c>
      <c r="X84" s="319">
        <v>903</v>
      </c>
      <c r="Y84" s="319">
        <v>701</v>
      </c>
      <c r="Z84" s="319">
        <v>806</v>
      </c>
      <c r="AA84" s="319">
        <v>1035</v>
      </c>
      <c r="AB84" s="319">
        <v>1322</v>
      </c>
      <c r="AC84" s="319">
        <v>1310</v>
      </c>
      <c r="AD84" s="319">
        <v>781</v>
      </c>
      <c r="AE84" s="319">
        <v>424</v>
      </c>
      <c r="AF84" s="319">
        <v>266</v>
      </c>
      <c r="AG84" s="319">
        <v>283</v>
      </c>
      <c r="AH84" s="320">
        <v>20.235109717868337</v>
      </c>
      <c r="AI84" s="320">
        <v>13.35423197492163</v>
      </c>
      <c r="AJ84" s="320">
        <v>23.926332288401252</v>
      </c>
      <c r="AK84" s="320">
        <v>8.1112852664576813</v>
      </c>
      <c r="AL84" s="320">
        <v>34.373040752351095</v>
      </c>
      <c r="AM84" s="319">
        <v>25157</v>
      </c>
      <c r="AN84" s="319">
        <v>43634</v>
      </c>
      <c r="AO84" s="320">
        <v>51.199059561128522</v>
      </c>
      <c r="AP84" s="319">
        <v>12760</v>
      </c>
      <c r="AQ84" s="319">
        <v>1653</v>
      </c>
      <c r="AR84" s="319">
        <v>9149</v>
      </c>
      <c r="AS84" s="319">
        <v>3611</v>
      </c>
      <c r="AT84" s="319">
        <v>346</v>
      </c>
      <c r="AU84" s="319">
        <v>431</v>
      </c>
      <c r="AV84" s="319">
        <v>1605</v>
      </c>
      <c r="AW84" s="319">
        <v>1087</v>
      </c>
      <c r="AX84" s="319">
        <v>555</v>
      </c>
      <c r="AY84" s="319">
        <v>632</v>
      </c>
      <c r="AZ84" s="319">
        <v>1637</v>
      </c>
      <c r="BA84" s="319">
        <v>530</v>
      </c>
      <c r="BB84" s="319">
        <v>188</v>
      </c>
      <c r="BC84" s="319">
        <v>1867</v>
      </c>
      <c r="BD84" s="319">
        <v>368</v>
      </c>
      <c r="BE84" s="319">
        <v>95</v>
      </c>
      <c r="BF84" s="319">
        <v>2836</v>
      </c>
      <c r="BG84" s="319">
        <v>149</v>
      </c>
      <c r="BH84" s="319">
        <v>46</v>
      </c>
      <c r="BI84" s="320">
        <v>20.10971786833856</v>
      </c>
      <c r="BJ84" s="321">
        <v>4.9000000000000004</v>
      </c>
      <c r="BK84" s="321">
        <v>4.9000000000000004</v>
      </c>
      <c r="BL84" s="321">
        <v>6</v>
      </c>
      <c r="BM84" s="321">
        <v>5.4</v>
      </c>
      <c r="BN84" s="321">
        <v>4.9000000000000004</v>
      </c>
      <c r="BO84" s="321">
        <v>5</v>
      </c>
      <c r="BP84" s="321">
        <v>5.0999999999999996</v>
      </c>
      <c r="BQ84" s="321">
        <v>4.5999999999999996</v>
      </c>
      <c r="BR84" s="321">
        <v>7.3</v>
      </c>
      <c r="BS84" s="321">
        <v>6.7</v>
      </c>
      <c r="BT84" s="321">
        <v>7.5</v>
      </c>
      <c r="BU84" s="321">
        <v>8.6</v>
      </c>
      <c r="BV84" s="321">
        <v>7.7</v>
      </c>
      <c r="BW84" s="321">
        <v>6.7</v>
      </c>
      <c r="BX84" s="321">
        <v>4.8</v>
      </c>
      <c r="BY84" s="321">
        <v>3.5</v>
      </c>
      <c r="BZ84" s="321">
        <v>3.4</v>
      </c>
      <c r="CA84" s="321">
        <v>2.9</v>
      </c>
      <c r="CB84" s="321">
        <v>15.8</v>
      </c>
      <c r="CC84" s="321">
        <v>62.800000000000004</v>
      </c>
      <c r="CD84" s="321">
        <v>21.299999999999997</v>
      </c>
    </row>
    <row r="85" spans="1:82" s="308" customFormat="1" x14ac:dyDescent="0.25">
      <c r="A85" s="301" t="s">
        <v>4567</v>
      </c>
      <c r="B85" s="301" t="s">
        <v>30</v>
      </c>
      <c r="C85" s="301" t="s">
        <v>4568</v>
      </c>
      <c r="D85" s="301" t="s">
        <v>31</v>
      </c>
      <c r="E85" s="301" t="s">
        <v>4569</v>
      </c>
      <c r="F85" s="301" t="s">
        <v>4272</v>
      </c>
      <c r="G85" s="301" t="s">
        <v>4570</v>
      </c>
      <c r="H85" s="302">
        <v>540051</v>
      </c>
      <c r="I85" s="303" t="s">
        <v>1440</v>
      </c>
      <c r="J85" s="301" t="s">
        <v>488</v>
      </c>
      <c r="K85" s="301" t="s">
        <v>488</v>
      </c>
      <c r="L85" s="304">
        <v>581.33069259981585</v>
      </c>
      <c r="M85" s="305">
        <v>10387</v>
      </c>
      <c r="N85" s="306">
        <v>17.867627036080719</v>
      </c>
      <c r="O85" s="305">
        <v>4052</v>
      </c>
      <c r="P85" s="306">
        <v>2.5491115498519248</v>
      </c>
      <c r="Q85" s="305">
        <v>10329</v>
      </c>
      <c r="R85" s="305">
        <v>127</v>
      </c>
      <c r="S85" s="305">
        <v>205</v>
      </c>
      <c r="T85" s="305">
        <v>263</v>
      </c>
      <c r="U85" s="305">
        <v>384</v>
      </c>
      <c r="V85" s="305">
        <v>184</v>
      </c>
      <c r="W85" s="305">
        <v>298</v>
      </c>
      <c r="X85" s="305">
        <v>177</v>
      </c>
      <c r="Y85" s="305">
        <v>325</v>
      </c>
      <c r="Z85" s="305">
        <v>207</v>
      </c>
      <c r="AA85" s="305">
        <v>318</v>
      </c>
      <c r="AB85" s="305">
        <v>412</v>
      </c>
      <c r="AC85" s="305">
        <v>612</v>
      </c>
      <c r="AD85" s="305">
        <v>279</v>
      </c>
      <c r="AE85" s="305">
        <v>114</v>
      </c>
      <c r="AF85" s="305">
        <v>91</v>
      </c>
      <c r="AG85" s="305">
        <v>56</v>
      </c>
      <c r="AH85" s="306">
        <v>14.68410661401777</v>
      </c>
      <c r="AI85" s="306">
        <v>14.017769002961501</v>
      </c>
      <c r="AJ85" s="306">
        <v>24.851924975320831</v>
      </c>
      <c r="AK85" s="306">
        <v>7.8479763079960518</v>
      </c>
      <c r="AL85" s="306">
        <v>38.598223099703851</v>
      </c>
      <c r="AM85" s="305">
        <v>23446</v>
      </c>
      <c r="AN85" s="305">
        <v>42573</v>
      </c>
      <c r="AO85" s="306">
        <v>48.445212240868706</v>
      </c>
      <c r="AP85" s="305">
        <v>4052</v>
      </c>
      <c r="AQ85" s="305">
        <v>2516</v>
      </c>
      <c r="AR85" s="305">
        <v>3339</v>
      </c>
      <c r="AS85" s="305">
        <v>713</v>
      </c>
      <c r="AT85" s="305">
        <v>157</v>
      </c>
      <c r="AU85" s="305">
        <v>111</v>
      </c>
      <c r="AV85" s="305">
        <v>263</v>
      </c>
      <c r="AW85" s="305">
        <v>345</v>
      </c>
      <c r="AX85" s="305">
        <v>176</v>
      </c>
      <c r="AY85" s="305">
        <v>333</v>
      </c>
      <c r="AZ85" s="305">
        <v>407</v>
      </c>
      <c r="BA85" s="305">
        <v>269</v>
      </c>
      <c r="BB85" s="305">
        <v>21</v>
      </c>
      <c r="BC85" s="305">
        <v>462</v>
      </c>
      <c r="BD85" s="305">
        <v>182</v>
      </c>
      <c r="BE85" s="305">
        <v>75</v>
      </c>
      <c r="BF85" s="305">
        <v>996</v>
      </c>
      <c r="BG85" s="305">
        <v>71</v>
      </c>
      <c r="BH85" s="305">
        <v>59</v>
      </c>
      <c r="BI85" s="306">
        <v>18.53405725567621</v>
      </c>
      <c r="BJ85" s="307">
        <v>4.9000000000000004</v>
      </c>
      <c r="BK85" s="307">
        <v>5.8</v>
      </c>
      <c r="BL85" s="307">
        <v>5.3</v>
      </c>
      <c r="BM85" s="307">
        <v>5.9</v>
      </c>
      <c r="BN85" s="307">
        <v>4.9000000000000004</v>
      </c>
      <c r="BO85" s="307">
        <v>5.5</v>
      </c>
      <c r="BP85" s="307">
        <v>5.8</v>
      </c>
      <c r="BQ85" s="307">
        <v>5.8</v>
      </c>
      <c r="BR85" s="307">
        <v>6.3</v>
      </c>
      <c r="BS85" s="307">
        <v>7.7</v>
      </c>
      <c r="BT85" s="307">
        <v>7.4</v>
      </c>
      <c r="BU85" s="307">
        <v>7.9</v>
      </c>
      <c r="BV85" s="307">
        <v>6.7</v>
      </c>
      <c r="BW85" s="307">
        <v>6.1</v>
      </c>
      <c r="BX85" s="307">
        <v>6</v>
      </c>
      <c r="BY85" s="307">
        <v>3</v>
      </c>
      <c r="BZ85" s="307">
        <v>2.6</v>
      </c>
      <c r="CA85" s="307">
        <v>2.4</v>
      </c>
      <c r="CB85" s="307">
        <v>16</v>
      </c>
      <c r="CC85" s="307">
        <v>63.900000000000006</v>
      </c>
      <c r="CD85" s="307">
        <v>20.099999999999998</v>
      </c>
    </row>
    <row r="86" spans="1:82" x14ac:dyDescent="0.25">
      <c r="A86" s="130" t="s">
        <v>4571</v>
      </c>
      <c r="B86" s="130" t="s">
        <v>151</v>
      </c>
      <c r="C86" s="130" t="s">
        <v>4572</v>
      </c>
      <c r="D86" s="130" t="s">
        <v>31</v>
      </c>
      <c r="E86" s="130" t="s">
        <v>4569</v>
      </c>
      <c r="F86" s="130" t="s">
        <v>4272</v>
      </c>
      <c r="G86" s="130" t="s">
        <v>4573</v>
      </c>
      <c r="H86" s="309">
        <v>540052</v>
      </c>
      <c r="I86" s="277" t="s">
        <v>1441</v>
      </c>
      <c r="J86" s="130">
        <v>5455588</v>
      </c>
      <c r="K86" s="130" t="s">
        <v>4574</v>
      </c>
      <c r="L86" s="310">
        <v>2.7859930845312904</v>
      </c>
      <c r="M86" s="311">
        <v>3174</v>
      </c>
      <c r="N86" s="312">
        <v>1139.2705953302777</v>
      </c>
      <c r="O86" s="311">
        <v>1404</v>
      </c>
      <c r="P86" s="312">
        <v>2.2599999999999998</v>
      </c>
      <c r="Q86" s="311">
        <v>3174</v>
      </c>
      <c r="R86" s="311">
        <v>124</v>
      </c>
      <c r="S86" s="311">
        <v>152</v>
      </c>
      <c r="T86" s="311">
        <v>89</v>
      </c>
      <c r="U86" s="311">
        <v>142</v>
      </c>
      <c r="V86" s="311">
        <v>160</v>
      </c>
      <c r="W86" s="311">
        <v>86</v>
      </c>
      <c r="X86" s="311">
        <v>63</v>
      </c>
      <c r="Y86" s="311">
        <v>165</v>
      </c>
      <c r="Z86" s="311">
        <v>64</v>
      </c>
      <c r="AA86" s="311">
        <v>64</v>
      </c>
      <c r="AB86" s="311">
        <v>126</v>
      </c>
      <c r="AC86" s="311">
        <v>72</v>
      </c>
      <c r="AD86" s="311">
        <v>56</v>
      </c>
      <c r="AE86" s="311">
        <v>23</v>
      </c>
      <c r="AF86" s="311">
        <v>0</v>
      </c>
      <c r="AG86" s="311">
        <v>18</v>
      </c>
      <c r="AH86" s="312">
        <v>25.997150997150996</v>
      </c>
      <c r="AI86" s="312">
        <v>21.509971509971511</v>
      </c>
      <c r="AJ86" s="312">
        <v>26.923076923076923</v>
      </c>
      <c r="AK86" s="312">
        <v>4.5584045584045585</v>
      </c>
      <c r="AL86" s="312">
        <v>21.011396011396009</v>
      </c>
      <c r="AM86" s="311">
        <v>19388</v>
      </c>
      <c r="AN86" s="311">
        <v>31862</v>
      </c>
      <c r="AO86" s="312">
        <v>69.871794871794862</v>
      </c>
      <c r="AP86" s="311">
        <v>1404</v>
      </c>
      <c r="AQ86" s="311">
        <v>114</v>
      </c>
      <c r="AR86" s="311">
        <v>650</v>
      </c>
      <c r="AS86" s="311">
        <v>754</v>
      </c>
      <c r="AT86" s="311">
        <v>26</v>
      </c>
      <c r="AU86" s="311">
        <v>88</v>
      </c>
      <c r="AV86" s="311">
        <v>190</v>
      </c>
      <c r="AW86" s="311">
        <v>136</v>
      </c>
      <c r="AX86" s="311">
        <v>47</v>
      </c>
      <c r="AY86" s="311">
        <v>205</v>
      </c>
      <c r="AZ86" s="311">
        <v>253</v>
      </c>
      <c r="BA86" s="311">
        <v>26</v>
      </c>
      <c r="BB86" s="311">
        <v>13</v>
      </c>
      <c r="BC86" s="311">
        <v>148</v>
      </c>
      <c r="BD86" s="311">
        <v>16</v>
      </c>
      <c r="BE86" s="311">
        <v>21</v>
      </c>
      <c r="BF86" s="311">
        <v>152</v>
      </c>
      <c r="BG86" s="311">
        <v>7</v>
      </c>
      <c r="BH86" s="311">
        <v>10</v>
      </c>
      <c r="BI86" s="312">
        <v>31.267806267806268</v>
      </c>
      <c r="BJ86" s="313">
        <v>7.8</v>
      </c>
      <c r="BK86" s="313">
        <v>5.7</v>
      </c>
      <c r="BL86" s="313">
        <v>4.4000000000000004</v>
      </c>
      <c r="BM86" s="313">
        <v>3.9</v>
      </c>
      <c r="BN86" s="313">
        <v>4.5</v>
      </c>
      <c r="BO86" s="313">
        <v>7.9</v>
      </c>
      <c r="BP86" s="313">
        <v>8.8000000000000007</v>
      </c>
      <c r="BQ86" s="313">
        <v>7.2</v>
      </c>
      <c r="BR86" s="313">
        <v>6</v>
      </c>
      <c r="BS86" s="313">
        <v>8.1</v>
      </c>
      <c r="BT86" s="313">
        <v>4.8</v>
      </c>
      <c r="BU86" s="313">
        <v>5.9</v>
      </c>
      <c r="BV86" s="313">
        <v>4.2</v>
      </c>
      <c r="BW86" s="313">
        <v>6.9</v>
      </c>
      <c r="BX86" s="313">
        <v>5.3</v>
      </c>
      <c r="BY86" s="313">
        <v>3.3</v>
      </c>
      <c r="BZ86" s="313">
        <v>2.7</v>
      </c>
      <c r="CA86" s="313">
        <v>2.6</v>
      </c>
      <c r="CB86" s="313">
        <v>17.899999999999999</v>
      </c>
      <c r="CC86" s="313">
        <v>61.300000000000004</v>
      </c>
      <c r="CD86" s="313">
        <v>20.8</v>
      </c>
    </row>
    <row r="87" spans="1:82" x14ac:dyDescent="0.25">
      <c r="A87" s="130" t="s">
        <v>4575</v>
      </c>
      <c r="B87" s="130" t="s">
        <v>292</v>
      </c>
      <c r="C87" s="130" t="s">
        <v>4576</v>
      </c>
      <c r="D87" s="130" t="s">
        <v>31</v>
      </c>
      <c r="E87" s="130" t="s">
        <v>4569</v>
      </c>
      <c r="F87" s="130" t="s">
        <v>4272</v>
      </c>
      <c r="G87" s="130" t="s">
        <v>4577</v>
      </c>
      <c r="H87" s="309">
        <v>540245</v>
      </c>
      <c r="I87" s="277" t="s">
        <v>1442</v>
      </c>
      <c r="J87" s="130">
        <v>5484580</v>
      </c>
      <c r="K87" s="130" t="s">
        <v>4578</v>
      </c>
      <c r="L87" s="310">
        <v>0.32999273336183688</v>
      </c>
      <c r="M87" s="311">
        <v>251</v>
      </c>
      <c r="N87" s="312">
        <v>760.62280960829105</v>
      </c>
      <c r="O87" s="311">
        <v>105</v>
      </c>
      <c r="P87" s="312">
        <v>2.16</v>
      </c>
      <c r="Q87" s="311">
        <v>227</v>
      </c>
      <c r="R87" s="311">
        <v>1</v>
      </c>
      <c r="S87" s="311">
        <v>5</v>
      </c>
      <c r="T87" s="311">
        <v>8</v>
      </c>
      <c r="U87" s="311">
        <v>10</v>
      </c>
      <c r="V87" s="311">
        <v>13</v>
      </c>
      <c r="W87" s="311">
        <v>2</v>
      </c>
      <c r="X87" s="311">
        <v>8</v>
      </c>
      <c r="Y87" s="311">
        <v>5</v>
      </c>
      <c r="Z87" s="311">
        <v>4</v>
      </c>
      <c r="AA87" s="311">
        <v>14</v>
      </c>
      <c r="AB87" s="311">
        <v>9</v>
      </c>
      <c r="AC87" s="311">
        <v>12</v>
      </c>
      <c r="AD87" s="311">
        <v>6</v>
      </c>
      <c r="AE87" s="311">
        <v>7</v>
      </c>
      <c r="AF87" s="311">
        <v>1</v>
      </c>
      <c r="AG87" s="311">
        <v>0</v>
      </c>
      <c r="AH87" s="312">
        <v>13.333333333333334</v>
      </c>
      <c r="AI87" s="312">
        <v>21.904761904761905</v>
      </c>
      <c r="AJ87" s="312">
        <v>18.095238095238095</v>
      </c>
      <c r="AK87" s="312">
        <v>13.333333333333334</v>
      </c>
      <c r="AL87" s="312">
        <v>33.333333333333329</v>
      </c>
      <c r="AM87" s="311">
        <v>23154</v>
      </c>
      <c r="AN87" s="311">
        <v>45313</v>
      </c>
      <c r="AO87" s="312">
        <v>49.523809523809526</v>
      </c>
      <c r="AP87" s="311">
        <v>105</v>
      </c>
      <c r="AQ87" s="311">
        <v>26</v>
      </c>
      <c r="AR87" s="311">
        <v>62</v>
      </c>
      <c r="AS87" s="311">
        <v>43</v>
      </c>
      <c r="AT87" s="311">
        <v>0</v>
      </c>
      <c r="AU87" s="311">
        <v>8</v>
      </c>
      <c r="AV87" s="311">
        <v>5</v>
      </c>
      <c r="AW87" s="311">
        <v>6</v>
      </c>
      <c r="AX87" s="311">
        <v>8</v>
      </c>
      <c r="AY87" s="311">
        <v>11</v>
      </c>
      <c r="AZ87" s="311">
        <v>9</v>
      </c>
      <c r="BA87" s="311">
        <v>2</v>
      </c>
      <c r="BB87" s="311">
        <v>3</v>
      </c>
      <c r="BC87" s="311">
        <v>12</v>
      </c>
      <c r="BD87" s="311">
        <v>3</v>
      </c>
      <c r="BE87" s="311">
        <v>4</v>
      </c>
      <c r="BF87" s="311">
        <v>20</v>
      </c>
      <c r="BG87" s="311">
        <v>6</v>
      </c>
      <c r="BH87" s="311">
        <v>0</v>
      </c>
      <c r="BI87" s="312">
        <v>21.904761904761905</v>
      </c>
      <c r="BJ87" s="313">
        <v>4</v>
      </c>
      <c r="BK87" s="313">
        <v>6.8</v>
      </c>
      <c r="BL87" s="313">
        <v>9.1999999999999993</v>
      </c>
      <c r="BM87" s="313">
        <v>2.4</v>
      </c>
      <c r="BN87" s="313">
        <v>2.4</v>
      </c>
      <c r="BO87" s="313">
        <v>3.2</v>
      </c>
      <c r="BP87" s="313">
        <v>4.4000000000000004</v>
      </c>
      <c r="BQ87" s="313">
        <v>6</v>
      </c>
      <c r="BR87" s="313">
        <v>5.6</v>
      </c>
      <c r="BS87" s="313">
        <v>13.1</v>
      </c>
      <c r="BT87" s="313">
        <v>6.8</v>
      </c>
      <c r="BU87" s="313">
        <v>4.8</v>
      </c>
      <c r="BV87" s="313">
        <v>9.6</v>
      </c>
      <c r="BW87" s="313">
        <v>12</v>
      </c>
      <c r="BX87" s="313">
        <v>4.4000000000000004</v>
      </c>
      <c r="BY87" s="313">
        <v>2.4</v>
      </c>
      <c r="BZ87" s="313">
        <v>2.8</v>
      </c>
      <c r="CA87" s="313">
        <v>0.4</v>
      </c>
      <c r="CB87" s="313">
        <v>20</v>
      </c>
      <c r="CC87" s="313">
        <v>58.3</v>
      </c>
      <c r="CD87" s="313">
        <v>21.999999999999996</v>
      </c>
    </row>
    <row r="88" spans="1:82" s="322" customFormat="1" x14ac:dyDescent="0.25">
      <c r="A88" s="314" t="s">
        <v>4579</v>
      </c>
      <c r="B88" s="315" t="s">
        <v>348</v>
      </c>
      <c r="C88" s="314"/>
      <c r="D88" s="314"/>
      <c r="E88" s="314"/>
      <c r="F88" s="314"/>
      <c r="G88" s="314"/>
      <c r="H88" s="316"/>
      <c r="I88" s="317"/>
      <c r="J88" s="314">
        <v>54031</v>
      </c>
      <c r="K88" s="314" t="s">
        <v>4580</v>
      </c>
      <c r="L88" s="318">
        <v>584.44667841770888</v>
      </c>
      <c r="M88" s="319">
        <v>13812</v>
      </c>
      <c r="N88" s="320">
        <v>23.632609286776457</v>
      </c>
      <c r="O88" s="319">
        <v>5561</v>
      </c>
      <c r="P88" s="320">
        <v>2.4700000000000002</v>
      </c>
      <c r="Q88" s="319">
        <v>13730</v>
      </c>
      <c r="R88" s="319">
        <v>252</v>
      </c>
      <c r="S88" s="319">
        <v>362</v>
      </c>
      <c r="T88" s="319">
        <v>360</v>
      </c>
      <c r="U88" s="319">
        <v>536</v>
      </c>
      <c r="V88" s="319">
        <v>357</v>
      </c>
      <c r="W88" s="319">
        <v>386</v>
      </c>
      <c r="X88" s="319">
        <v>248</v>
      </c>
      <c r="Y88" s="319">
        <v>495</v>
      </c>
      <c r="Z88" s="319">
        <v>275</v>
      </c>
      <c r="AA88" s="319">
        <v>396</v>
      </c>
      <c r="AB88" s="319">
        <v>547</v>
      </c>
      <c r="AC88" s="319">
        <v>696</v>
      </c>
      <c r="AD88" s="319">
        <v>341</v>
      </c>
      <c r="AE88" s="319">
        <v>144</v>
      </c>
      <c r="AF88" s="319">
        <v>92</v>
      </c>
      <c r="AG88" s="319">
        <v>74</v>
      </c>
      <c r="AH88" s="320">
        <v>17.514835461247976</v>
      </c>
      <c r="AI88" s="320">
        <v>16.05826290235569</v>
      </c>
      <c r="AJ88" s="320">
        <v>25.247257687466284</v>
      </c>
      <c r="AK88" s="320">
        <v>7.121021399028951</v>
      </c>
      <c r="AL88" s="320">
        <v>34.058622549901095</v>
      </c>
      <c r="AM88" s="319">
        <v>23446</v>
      </c>
      <c r="AN88" s="319">
        <v>42573</v>
      </c>
      <c r="AO88" s="320">
        <v>53.875202301744295</v>
      </c>
      <c r="AP88" s="319">
        <v>5561</v>
      </c>
      <c r="AQ88" s="319">
        <v>2656</v>
      </c>
      <c r="AR88" s="319">
        <v>4051</v>
      </c>
      <c r="AS88" s="319">
        <v>1510</v>
      </c>
      <c r="AT88" s="319">
        <v>183</v>
      </c>
      <c r="AU88" s="319">
        <v>207</v>
      </c>
      <c r="AV88" s="319">
        <v>458</v>
      </c>
      <c r="AW88" s="319">
        <v>487</v>
      </c>
      <c r="AX88" s="319">
        <v>231</v>
      </c>
      <c r="AY88" s="319">
        <v>549</v>
      </c>
      <c r="AZ88" s="319">
        <v>669</v>
      </c>
      <c r="BA88" s="319">
        <v>297</v>
      </c>
      <c r="BB88" s="319">
        <v>37</v>
      </c>
      <c r="BC88" s="319">
        <v>622</v>
      </c>
      <c r="BD88" s="319">
        <v>201</v>
      </c>
      <c r="BE88" s="319">
        <v>100</v>
      </c>
      <c r="BF88" s="319">
        <v>1168</v>
      </c>
      <c r="BG88" s="319">
        <v>84</v>
      </c>
      <c r="BH88" s="319">
        <v>69</v>
      </c>
      <c r="BI88" s="320">
        <v>21.812623628843735</v>
      </c>
      <c r="BJ88" s="321">
        <v>4.9000000000000004</v>
      </c>
      <c r="BK88" s="321">
        <v>5.8</v>
      </c>
      <c r="BL88" s="321">
        <v>5.3</v>
      </c>
      <c r="BM88" s="321">
        <v>5.9</v>
      </c>
      <c r="BN88" s="321">
        <v>4.9000000000000004</v>
      </c>
      <c r="BO88" s="321">
        <v>5.5</v>
      </c>
      <c r="BP88" s="321">
        <v>5.8</v>
      </c>
      <c r="BQ88" s="321">
        <v>5.8</v>
      </c>
      <c r="BR88" s="321">
        <v>6.3</v>
      </c>
      <c r="BS88" s="321">
        <v>7.7</v>
      </c>
      <c r="BT88" s="321">
        <v>7.4</v>
      </c>
      <c r="BU88" s="321">
        <v>7.9</v>
      </c>
      <c r="BV88" s="321">
        <v>6.7</v>
      </c>
      <c r="BW88" s="321">
        <v>6.1</v>
      </c>
      <c r="BX88" s="321">
        <v>6</v>
      </c>
      <c r="BY88" s="321">
        <v>3</v>
      </c>
      <c r="BZ88" s="321">
        <v>2.6</v>
      </c>
      <c r="CA88" s="321">
        <v>2.4</v>
      </c>
      <c r="CB88" s="321">
        <v>16</v>
      </c>
      <c r="CC88" s="321">
        <v>63.900000000000006</v>
      </c>
      <c r="CD88" s="321">
        <v>20.099999999999998</v>
      </c>
    </row>
    <row r="89" spans="1:82" s="308" customFormat="1" x14ac:dyDescent="0.25">
      <c r="A89" s="301" t="s">
        <v>4581</v>
      </c>
      <c r="B89" s="301" t="s">
        <v>32</v>
      </c>
      <c r="C89" s="301" t="s">
        <v>4582</v>
      </c>
      <c r="D89" s="301" t="s">
        <v>33</v>
      </c>
      <c r="E89" s="301" t="s">
        <v>4583</v>
      </c>
      <c r="F89" s="301" t="s">
        <v>4272</v>
      </c>
      <c r="G89" s="301" t="s">
        <v>4584</v>
      </c>
      <c r="H89" s="302">
        <v>540053</v>
      </c>
      <c r="I89" s="303" t="s">
        <v>1443</v>
      </c>
      <c r="J89" s="301" t="s">
        <v>488</v>
      </c>
      <c r="K89" s="301" t="s">
        <v>488</v>
      </c>
      <c r="L89" s="304">
        <v>388.15250562300741</v>
      </c>
      <c r="M89" s="305">
        <v>33750</v>
      </c>
      <c r="N89" s="306">
        <v>86.950359745402864</v>
      </c>
      <c r="O89" s="305">
        <v>13549</v>
      </c>
      <c r="P89" s="306">
        <v>2.4691859177799098</v>
      </c>
      <c r="Q89" s="305">
        <v>33455</v>
      </c>
      <c r="R89" s="305">
        <v>1103</v>
      </c>
      <c r="S89" s="305">
        <v>827</v>
      </c>
      <c r="T89" s="305">
        <v>914</v>
      </c>
      <c r="U89" s="305">
        <v>788</v>
      </c>
      <c r="V89" s="305">
        <v>639</v>
      </c>
      <c r="W89" s="305">
        <v>889</v>
      </c>
      <c r="X89" s="305">
        <v>564</v>
      </c>
      <c r="Y89" s="305">
        <v>803</v>
      </c>
      <c r="Z89" s="305">
        <v>689</v>
      </c>
      <c r="AA89" s="305">
        <v>829</v>
      </c>
      <c r="AB89" s="305">
        <v>1367</v>
      </c>
      <c r="AC89" s="305">
        <v>1479</v>
      </c>
      <c r="AD89" s="305">
        <v>1075</v>
      </c>
      <c r="AE89" s="305">
        <v>610</v>
      </c>
      <c r="AF89" s="305">
        <v>615</v>
      </c>
      <c r="AG89" s="305">
        <v>358</v>
      </c>
      <c r="AH89" s="306">
        <v>20.990479002140379</v>
      </c>
      <c r="AI89" s="306">
        <v>10.53214259354934</v>
      </c>
      <c r="AJ89" s="306">
        <v>21.735921470219203</v>
      </c>
      <c r="AK89" s="306">
        <v>6.118532733043029</v>
      </c>
      <c r="AL89" s="306">
        <v>40.62292420104805</v>
      </c>
      <c r="AM89" s="305">
        <v>27162</v>
      </c>
      <c r="AN89" s="305">
        <v>48315</v>
      </c>
      <c r="AO89" s="306">
        <v>48.173296922282091</v>
      </c>
      <c r="AP89" s="305">
        <v>13549</v>
      </c>
      <c r="AQ89" s="305">
        <v>2084</v>
      </c>
      <c r="AR89" s="305">
        <v>10544</v>
      </c>
      <c r="AS89" s="305">
        <v>3005</v>
      </c>
      <c r="AT89" s="305">
        <v>452</v>
      </c>
      <c r="AU89" s="305">
        <v>421</v>
      </c>
      <c r="AV89" s="305">
        <v>1498</v>
      </c>
      <c r="AW89" s="305">
        <v>996</v>
      </c>
      <c r="AX89" s="305">
        <v>627</v>
      </c>
      <c r="AY89" s="305">
        <v>578</v>
      </c>
      <c r="AZ89" s="305">
        <v>1248</v>
      </c>
      <c r="BA89" s="305">
        <v>493</v>
      </c>
      <c r="BB89" s="305">
        <v>211</v>
      </c>
      <c r="BC89" s="305">
        <v>1662</v>
      </c>
      <c r="BD89" s="305">
        <v>429</v>
      </c>
      <c r="BE89" s="305">
        <v>53</v>
      </c>
      <c r="BF89" s="305">
        <v>3827</v>
      </c>
      <c r="BG89" s="305">
        <v>203</v>
      </c>
      <c r="BH89" s="305">
        <v>70</v>
      </c>
      <c r="BI89" s="306">
        <v>17.78729057495018</v>
      </c>
      <c r="BJ89" s="307">
        <v>5.8</v>
      </c>
      <c r="BK89" s="307">
        <v>5.9</v>
      </c>
      <c r="BL89" s="307">
        <v>6.1</v>
      </c>
      <c r="BM89" s="307">
        <v>5.7</v>
      </c>
      <c r="BN89" s="307">
        <v>5.5</v>
      </c>
      <c r="BO89" s="307">
        <v>5.7</v>
      </c>
      <c r="BP89" s="307">
        <v>6.5</v>
      </c>
      <c r="BQ89" s="307">
        <v>6.2</v>
      </c>
      <c r="BR89" s="307">
        <v>6.2</v>
      </c>
      <c r="BS89" s="307">
        <v>6.5</v>
      </c>
      <c r="BT89" s="307">
        <v>7.2</v>
      </c>
      <c r="BU89" s="307">
        <v>7.5</v>
      </c>
      <c r="BV89" s="307">
        <v>7</v>
      </c>
      <c r="BW89" s="307">
        <v>6.5</v>
      </c>
      <c r="BX89" s="307">
        <v>3.8</v>
      </c>
      <c r="BY89" s="307">
        <v>3.5</v>
      </c>
      <c r="BZ89" s="307">
        <v>2</v>
      </c>
      <c r="CA89" s="307">
        <v>2.4</v>
      </c>
      <c r="CB89" s="307">
        <v>17.799999999999997</v>
      </c>
      <c r="CC89" s="307">
        <v>64</v>
      </c>
      <c r="CD89" s="307">
        <v>18.2</v>
      </c>
    </row>
    <row r="90" spans="1:82" x14ac:dyDescent="0.25">
      <c r="A90" s="130" t="s">
        <v>4585</v>
      </c>
      <c r="B90" s="130" t="s">
        <v>152</v>
      </c>
      <c r="C90" s="130" t="s">
        <v>4586</v>
      </c>
      <c r="D90" s="130" t="s">
        <v>33</v>
      </c>
      <c r="E90" s="130" t="s">
        <v>4583</v>
      </c>
      <c r="F90" s="130" t="s">
        <v>4272</v>
      </c>
      <c r="G90" s="130" t="s">
        <v>4587</v>
      </c>
      <c r="H90" s="309">
        <v>540054</v>
      </c>
      <c r="I90" s="277" t="s">
        <v>1444</v>
      </c>
      <c r="J90" s="130">
        <v>5401900</v>
      </c>
      <c r="K90" s="130" t="s">
        <v>4588</v>
      </c>
      <c r="L90" s="310">
        <v>1.0560446847504454</v>
      </c>
      <c r="M90" s="311">
        <v>604</v>
      </c>
      <c r="N90" s="312">
        <v>571.94549503625558</v>
      </c>
      <c r="O90" s="311">
        <v>242</v>
      </c>
      <c r="P90" s="312">
        <v>2.5</v>
      </c>
      <c r="Q90" s="311">
        <v>604</v>
      </c>
      <c r="R90" s="311">
        <v>27</v>
      </c>
      <c r="S90" s="311">
        <v>28</v>
      </c>
      <c r="T90" s="311">
        <v>25</v>
      </c>
      <c r="U90" s="311">
        <v>14</v>
      </c>
      <c r="V90" s="311">
        <v>27</v>
      </c>
      <c r="W90" s="311">
        <v>22</v>
      </c>
      <c r="X90" s="311">
        <v>12</v>
      </c>
      <c r="Y90" s="311">
        <v>7</v>
      </c>
      <c r="Z90" s="311">
        <v>3</v>
      </c>
      <c r="AA90" s="311">
        <v>34</v>
      </c>
      <c r="AB90" s="311">
        <v>9</v>
      </c>
      <c r="AC90" s="311">
        <v>22</v>
      </c>
      <c r="AD90" s="311">
        <v>8</v>
      </c>
      <c r="AE90" s="311">
        <v>0</v>
      </c>
      <c r="AF90" s="311">
        <v>4</v>
      </c>
      <c r="AG90" s="311">
        <v>0</v>
      </c>
      <c r="AH90" s="312">
        <v>33.057851239669425</v>
      </c>
      <c r="AI90" s="312">
        <v>16.942148760330578</v>
      </c>
      <c r="AJ90" s="312">
        <v>18.181818181818183</v>
      </c>
      <c r="AK90" s="312">
        <v>14.049586776859504</v>
      </c>
      <c r="AL90" s="312">
        <v>17.768595041322314</v>
      </c>
      <c r="AM90" s="311">
        <v>16231</v>
      </c>
      <c r="AN90" s="311">
        <v>30000</v>
      </c>
      <c r="AO90" s="312">
        <v>66.942148760330582</v>
      </c>
      <c r="AP90" s="311">
        <v>242</v>
      </c>
      <c r="AQ90" s="311">
        <v>56</v>
      </c>
      <c r="AR90" s="311">
        <v>102</v>
      </c>
      <c r="AS90" s="311">
        <v>140</v>
      </c>
      <c r="AT90" s="311">
        <v>7</v>
      </c>
      <c r="AU90" s="311">
        <v>3</v>
      </c>
      <c r="AV90" s="311">
        <v>68</v>
      </c>
      <c r="AW90" s="311">
        <v>9</v>
      </c>
      <c r="AX90" s="311">
        <v>25</v>
      </c>
      <c r="AY90" s="311">
        <v>17</v>
      </c>
      <c r="AZ90" s="311">
        <v>12</v>
      </c>
      <c r="BA90" s="311">
        <v>7</v>
      </c>
      <c r="BB90" s="311">
        <v>3</v>
      </c>
      <c r="BC90" s="311">
        <v>35</v>
      </c>
      <c r="BD90" s="311">
        <v>0</v>
      </c>
      <c r="BE90" s="311">
        <v>0</v>
      </c>
      <c r="BF90" s="311">
        <v>34</v>
      </c>
      <c r="BG90" s="311">
        <v>0</v>
      </c>
      <c r="BH90" s="311">
        <v>0</v>
      </c>
      <c r="BI90" s="312">
        <v>36.363636363636367</v>
      </c>
      <c r="BJ90" s="313">
        <v>5</v>
      </c>
      <c r="BK90" s="313">
        <v>13.4</v>
      </c>
      <c r="BL90" s="313">
        <v>3.5</v>
      </c>
      <c r="BM90" s="313">
        <v>3.8</v>
      </c>
      <c r="BN90" s="313">
        <v>4.0999999999999996</v>
      </c>
      <c r="BO90" s="313">
        <v>12.7</v>
      </c>
      <c r="BP90" s="313">
        <v>10.4</v>
      </c>
      <c r="BQ90" s="313">
        <v>5.0999999999999996</v>
      </c>
      <c r="BR90" s="313">
        <v>9.6</v>
      </c>
      <c r="BS90" s="313">
        <v>4.3</v>
      </c>
      <c r="BT90" s="313">
        <v>7.3</v>
      </c>
      <c r="BU90" s="313">
        <v>7.1</v>
      </c>
      <c r="BV90" s="313">
        <v>5.5</v>
      </c>
      <c r="BW90" s="313">
        <v>4.8</v>
      </c>
      <c r="BX90" s="313">
        <v>0.5</v>
      </c>
      <c r="BY90" s="313">
        <v>0.7</v>
      </c>
      <c r="BZ90" s="313">
        <v>1.3</v>
      </c>
      <c r="CA90" s="313">
        <v>0.8</v>
      </c>
      <c r="CB90" s="313">
        <v>21.9</v>
      </c>
      <c r="CC90" s="313">
        <v>69.899999999999991</v>
      </c>
      <c r="CD90" s="313">
        <v>8.1</v>
      </c>
    </row>
    <row r="91" spans="1:82" x14ac:dyDescent="0.25">
      <c r="A91" s="130" t="s">
        <v>4589</v>
      </c>
      <c r="B91" s="130" t="s">
        <v>153</v>
      </c>
      <c r="C91" s="130" t="s">
        <v>4590</v>
      </c>
      <c r="D91" s="130" t="s">
        <v>33</v>
      </c>
      <c r="E91" s="130" t="s">
        <v>4583</v>
      </c>
      <c r="F91" s="130" t="s">
        <v>4272</v>
      </c>
      <c r="G91" s="130" t="s">
        <v>4591</v>
      </c>
      <c r="H91" s="309">
        <v>540055</v>
      </c>
      <c r="I91" s="277" t="s">
        <v>1445</v>
      </c>
      <c r="J91" s="130">
        <v>5410180</v>
      </c>
      <c r="K91" s="130" t="s">
        <v>4592</v>
      </c>
      <c r="L91" s="310">
        <v>10.779450606306675</v>
      </c>
      <c r="M91" s="311">
        <v>8382</v>
      </c>
      <c r="N91" s="312">
        <v>777.59064966594758</v>
      </c>
      <c r="O91" s="311">
        <v>3449</v>
      </c>
      <c r="P91" s="312">
        <v>2.4</v>
      </c>
      <c r="Q91" s="311">
        <v>8281</v>
      </c>
      <c r="R91" s="311">
        <v>79</v>
      </c>
      <c r="S91" s="311">
        <v>19</v>
      </c>
      <c r="T91" s="311">
        <v>87</v>
      </c>
      <c r="U91" s="311">
        <v>115</v>
      </c>
      <c r="V91" s="311">
        <v>75</v>
      </c>
      <c r="W91" s="311">
        <v>137</v>
      </c>
      <c r="X91" s="311">
        <v>79</v>
      </c>
      <c r="Y91" s="311">
        <v>178</v>
      </c>
      <c r="Z91" s="311">
        <v>132</v>
      </c>
      <c r="AA91" s="311">
        <v>307</v>
      </c>
      <c r="AB91" s="311">
        <v>372</v>
      </c>
      <c r="AC91" s="311">
        <v>522</v>
      </c>
      <c r="AD91" s="311">
        <v>324</v>
      </c>
      <c r="AE91" s="311">
        <v>420</v>
      </c>
      <c r="AF91" s="311">
        <v>261</v>
      </c>
      <c r="AG91" s="311">
        <v>342</v>
      </c>
      <c r="AH91" s="312">
        <v>5.3638735865468252</v>
      </c>
      <c r="AI91" s="312">
        <v>5.5088431429399831</v>
      </c>
      <c r="AJ91" s="312">
        <v>15.250797332560161</v>
      </c>
      <c r="AK91" s="312">
        <v>8.9011307625398661</v>
      </c>
      <c r="AL91" s="312">
        <v>64.975355175413156</v>
      </c>
      <c r="AM91" s="311">
        <v>43156</v>
      </c>
      <c r="AN91" s="311">
        <v>82359</v>
      </c>
      <c r="AO91" s="312">
        <v>22.296317773267614</v>
      </c>
      <c r="AP91" s="311">
        <v>3449</v>
      </c>
      <c r="AQ91" s="311">
        <v>399</v>
      </c>
      <c r="AR91" s="311">
        <v>2849</v>
      </c>
      <c r="AS91" s="311">
        <v>600</v>
      </c>
      <c r="AT91" s="311">
        <v>9</v>
      </c>
      <c r="AU91" s="311">
        <v>14</v>
      </c>
      <c r="AV91" s="311">
        <v>133</v>
      </c>
      <c r="AW91" s="311">
        <v>117</v>
      </c>
      <c r="AX91" s="311">
        <v>63</v>
      </c>
      <c r="AY91" s="311">
        <v>144</v>
      </c>
      <c r="AZ91" s="311">
        <v>209</v>
      </c>
      <c r="BA91" s="311">
        <v>121</v>
      </c>
      <c r="BB91" s="311">
        <v>59</v>
      </c>
      <c r="BC91" s="311">
        <v>351</v>
      </c>
      <c r="BD91" s="311">
        <v>218</v>
      </c>
      <c r="BE91" s="311">
        <v>95</v>
      </c>
      <c r="BF91" s="311">
        <v>1557</v>
      </c>
      <c r="BG91" s="311">
        <v>250</v>
      </c>
      <c r="BH91" s="311">
        <v>12</v>
      </c>
      <c r="BI91" s="312">
        <v>12.844302696433749</v>
      </c>
      <c r="BJ91" s="313">
        <v>6.6</v>
      </c>
      <c r="BK91" s="313">
        <v>3.6</v>
      </c>
      <c r="BL91" s="313">
        <v>6.4</v>
      </c>
      <c r="BM91" s="313">
        <v>5.8</v>
      </c>
      <c r="BN91" s="313">
        <v>3.4</v>
      </c>
      <c r="BO91" s="313">
        <v>4.7</v>
      </c>
      <c r="BP91" s="313">
        <v>7.2</v>
      </c>
      <c r="BQ91" s="313">
        <v>6.3</v>
      </c>
      <c r="BR91" s="313">
        <v>6.5</v>
      </c>
      <c r="BS91" s="313">
        <v>6.5</v>
      </c>
      <c r="BT91" s="313">
        <v>7.2</v>
      </c>
      <c r="BU91" s="313">
        <v>7</v>
      </c>
      <c r="BV91" s="313">
        <v>7.7</v>
      </c>
      <c r="BW91" s="313">
        <v>6.4</v>
      </c>
      <c r="BX91" s="313">
        <v>2.9</v>
      </c>
      <c r="BY91" s="313">
        <v>4.7</v>
      </c>
      <c r="BZ91" s="313">
        <v>2.5</v>
      </c>
      <c r="CA91" s="313">
        <v>4.4000000000000004</v>
      </c>
      <c r="CB91" s="313">
        <v>16.600000000000001</v>
      </c>
      <c r="CC91" s="313">
        <v>62.300000000000004</v>
      </c>
      <c r="CD91" s="313">
        <v>20.9</v>
      </c>
    </row>
    <row r="92" spans="1:82" x14ac:dyDescent="0.25">
      <c r="A92" s="130" t="s">
        <v>4593</v>
      </c>
      <c r="B92" s="130" t="s">
        <v>154</v>
      </c>
      <c r="C92" s="130" t="s">
        <v>4594</v>
      </c>
      <c r="D92" s="130" t="s">
        <v>33</v>
      </c>
      <c r="E92" s="130" t="s">
        <v>4583</v>
      </c>
      <c r="F92" s="130" t="s">
        <v>4272</v>
      </c>
      <c r="G92" s="130" t="s">
        <v>4595</v>
      </c>
      <c r="H92" s="309">
        <v>540056</v>
      </c>
      <c r="I92" s="277" t="s">
        <v>1446</v>
      </c>
      <c r="J92" s="130">
        <v>5415628</v>
      </c>
      <c r="K92" s="130" t="s">
        <v>4596</v>
      </c>
      <c r="L92" s="310">
        <v>9.7251786293455069</v>
      </c>
      <c r="M92" s="311">
        <v>15963</v>
      </c>
      <c r="N92" s="312">
        <v>1641.409439188295</v>
      </c>
      <c r="O92" s="311">
        <v>6371</v>
      </c>
      <c r="P92" s="312">
        <v>2.46</v>
      </c>
      <c r="Q92" s="311">
        <v>15645</v>
      </c>
      <c r="R92" s="311">
        <v>752</v>
      </c>
      <c r="S92" s="311">
        <v>440</v>
      </c>
      <c r="T92" s="311">
        <v>532</v>
      </c>
      <c r="U92" s="311">
        <v>327</v>
      </c>
      <c r="V92" s="311">
        <v>414</v>
      </c>
      <c r="W92" s="311">
        <v>390</v>
      </c>
      <c r="X92" s="311">
        <v>328</v>
      </c>
      <c r="Y92" s="311">
        <v>391</v>
      </c>
      <c r="Z92" s="311">
        <v>294</v>
      </c>
      <c r="AA92" s="311">
        <v>420</v>
      </c>
      <c r="AB92" s="311">
        <v>686</v>
      </c>
      <c r="AC92" s="311">
        <v>607</v>
      </c>
      <c r="AD92" s="311">
        <v>413</v>
      </c>
      <c r="AE92" s="311">
        <v>136</v>
      </c>
      <c r="AF92" s="311">
        <v>112</v>
      </c>
      <c r="AG92" s="311">
        <v>129</v>
      </c>
      <c r="AH92" s="312">
        <v>27.060116151310627</v>
      </c>
      <c r="AI92" s="312">
        <v>11.630827185685137</v>
      </c>
      <c r="AJ92" s="312">
        <v>22.021660649819495</v>
      </c>
      <c r="AK92" s="312">
        <v>6.5923716841940037</v>
      </c>
      <c r="AL92" s="312">
        <v>32.695024328990741</v>
      </c>
      <c r="AM92" s="311">
        <v>22083</v>
      </c>
      <c r="AN92" s="311">
        <v>40068</v>
      </c>
      <c r="AO92" s="312">
        <v>56.09794380787946</v>
      </c>
      <c r="AP92" s="311">
        <v>6371</v>
      </c>
      <c r="AQ92" s="311">
        <v>1024</v>
      </c>
      <c r="AR92" s="311">
        <v>4016</v>
      </c>
      <c r="AS92" s="311">
        <v>2355</v>
      </c>
      <c r="AT92" s="311">
        <v>129</v>
      </c>
      <c r="AU92" s="311">
        <v>267</v>
      </c>
      <c r="AV92" s="311">
        <v>1161</v>
      </c>
      <c r="AW92" s="311">
        <v>515</v>
      </c>
      <c r="AX92" s="311">
        <v>286</v>
      </c>
      <c r="AY92" s="311">
        <v>322</v>
      </c>
      <c r="AZ92" s="311">
        <v>642</v>
      </c>
      <c r="BA92" s="311">
        <v>283</v>
      </c>
      <c r="BB92" s="311">
        <v>46</v>
      </c>
      <c r="BC92" s="311">
        <v>851</v>
      </c>
      <c r="BD92" s="311">
        <v>181</v>
      </c>
      <c r="BE92" s="311">
        <v>19</v>
      </c>
      <c r="BF92" s="311">
        <v>1369</v>
      </c>
      <c r="BG92" s="311">
        <v>11</v>
      </c>
      <c r="BH92" s="311">
        <v>0</v>
      </c>
      <c r="BI92" s="312">
        <v>24.297598493172188</v>
      </c>
      <c r="BJ92" s="313">
        <v>5.7</v>
      </c>
      <c r="BK92" s="313">
        <v>6.8</v>
      </c>
      <c r="BL92" s="313">
        <v>6.5</v>
      </c>
      <c r="BM92" s="313">
        <v>4.9000000000000004</v>
      </c>
      <c r="BN92" s="313">
        <v>5.7</v>
      </c>
      <c r="BO92" s="313">
        <v>7.2</v>
      </c>
      <c r="BP92" s="313">
        <v>8.8000000000000007</v>
      </c>
      <c r="BQ92" s="313">
        <v>7</v>
      </c>
      <c r="BR92" s="313">
        <v>5</v>
      </c>
      <c r="BS92" s="313">
        <v>6.3</v>
      </c>
      <c r="BT92" s="313">
        <v>6.2</v>
      </c>
      <c r="BU92" s="313">
        <v>8.6</v>
      </c>
      <c r="BV92" s="313">
        <v>6.3</v>
      </c>
      <c r="BW92" s="313">
        <v>5.3</v>
      </c>
      <c r="BX92" s="313">
        <v>2.5</v>
      </c>
      <c r="BY92" s="313">
        <v>2.4</v>
      </c>
      <c r="BZ92" s="313">
        <v>1.7</v>
      </c>
      <c r="CA92" s="313">
        <v>3.2</v>
      </c>
      <c r="CB92" s="313">
        <v>19</v>
      </c>
      <c r="CC92" s="313">
        <v>66</v>
      </c>
      <c r="CD92" s="313">
        <v>15.099999999999998</v>
      </c>
    </row>
    <row r="93" spans="1:82" x14ac:dyDescent="0.25">
      <c r="A93" s="130" t="s">
        <v>4597</v>
      </c>
      <c r="B93" s="130" t="s">
        <v>155</v>
      </c>
      <c r="C93" s="130" t="s">
        <v>4598</v>
      </c>
      <c r="D93" s="130" t="s">
        <v>33</v>
      </c>
      <c r="E93" s="130" t="s">
        <v>4583</v>
      </c>
      <c r="F93" s="130" t="s">
        <v>4272</v>
      </c>
      <c r="G93" s="130" t="s">
        <v>4599</v>
      </c>
      <c r="H93" s="309">
        <v>540057</v>
      </c>
      <c r="I93" s="277" t="s">
        <v>1447</v>
      </c>
      <c r="J93" s="130">
        <v>5448748</v>
      </c>
      <c r="K93" s="130" t="s">
        <v>4600</v>
      </c>
      <c r="L93" s="310">
        <v>0.97024933903641974</v>
      </c>
      <c r="M93" s="311">
        <v>500</v>
      </c>
      <c r="N93" s="312">
        <v>515.33145129123534</v>
      </c>
      <c r="O93" s="311">
        <v>175</v>
      </c>
      <c r="P93" s="312">
        <v>2.86</v>
      </c>
      <c r="Q93" s="311">
        <v>500</v>
      </c>
      <c r="R93" s="311">
        <v>10</v>
      </c>
      <c r="S93" s="311">
        <v>0</v>
      </c>
      <c r="T93" s="311">
        <v>8</v>
      </c>
      <c r="U93" s="311">
        <v>4</v>
      </c>
      <c r="V93" s="311">
        <v>7</v>
      </c>
      <c r="W93" s="311">
        <v>11</v>
      </c>
      <c r="X93" s="311">
        <v>10</v>
      </c>
      <c r="Y93" s="311">
        <v>7</v>
      </c>
      <c r="Z93" s="311">
        <v>15</v>
      </c>
      <c r="AA93" s="311">
        <v>19</v>
      </c>
      <c r="AB93" s="311">
        <v>20</v>
      </c>
      <c r="AC93" s="311">
        <v>34</v>
      </c>
      <c r="AD93" s="311">
        <v>6</v>
      </c>
      <c r="AE93" s="311">
        <v>8</v>
      </c>
      <c r="AF93" s="311">
        <v>13</v>
      </c>
      <c r="AG93" s="311">
        <v>3</v>
      </c>
      <c r="AH93" s="312">
        <v>10.285714285714285</v>
      </c>
      <c r="AI93" s="312">
        <v>6.2857142857142865</v>
      </c>
      <c r="AJ93" s="312">
        <v>24.571428571428573</v>
      </c>
      <c r="AK93" s="312">
        <v>10.857142857142858</v>
      </c>
      <c r="AL93" s="312">
        <v>48</v>
      </c>
      <c r="AM93" s="311">
        <v>24628</v>
      </c>
      <c r="AN93" s="311">
        <v>58250</v>
      </c>
      <c r="AO93" s="312">
        <v>32.571428571428577</v>
      </c>
      <c r="AP93" s="311">
        <v>175</v>
      </c>
      <c r="AQ93" s="311">
        <v>43</v>
      </c>
      <c r="AR93" s="311">
        <v>145</v>
      </c>
      <c r="AS93" s="311">
        <v>30</v>
      </c>
      <c r="AT93" s="311">
        <v>4</v>
      </c>
      <c r="AU93" s="311">
        <v>4</v>
      </c>
      <c r="AV93" s="311">
        <v>5</v>
      </c>
      <c r="AW93" s="311">
        <v>9</v>
      </c>
      <c r="AX93" s="311">
        <v>6</v>
      </c>
      <c r="AY93" s="311">
        <v>7</v>
      </c>
      <c r="AZ93" s="311">
        <v>20</v>
      </c>
      <c r="BA93" s="311">
        <v>10</v>
      </c>
      <c r="BB93" s="311">
        <v>2</v>
      </c>
      <c r="BC93" s="311">
        <v>18</v>
      </c>
      <c r="BD93" s="311">
        <v>14</v>
      </c>
      <c r="BE93" s="311">
        <v>0</v>
      </c>
      <c r="BF93" s="311">
        <v>60</v>
      </c>
      <c r="BG93" s="311">
        <v>4</v>
      </c>
      <c r="BH93" s="311">
        <v>0</v>
      </c>
      <c r="BI93" s="312">
        <v>8</v>
      </c>
      <c r="BJ93" s="313">
        <v>6.8</v>
      </c>
      <c r="BK93" s="313">
        <v>7.6</v>
      </c>
      <c r="BL93" s="313">
        <v>4.8</v>
      </c>
      <c r="BM93" s="313">
        <v>7</v>
      </c>
      <c r="BN93" s="313">
        <v>6.8</v>
      </c>
      <c r="BO93" s="313">
        <v>6.2</v>
      </c>
      <c r="BP93" s="313">
        <v>5.8</v>
      </c>
      <c r="BQ93" s="313">
        <v>7</v>
      </c>
      <c r="BR93" s="313">
        <v>6.8</v>
      </c>
      <c r="BS93" s="313">
        <v>4.8</v>
      </c>
      <c r="BT93" s="313">
        <v>5</v>
      </c>
      <c r="BU93" s="313">
        <v>9.4</v>
      </c>
      <c r="BV93" s="313">
        <v>6.2</v>
      </c>
      <c r="BW93" s="313">
        <v>3.4</v>
      </c>
      <c r="BX93" s="313">
        <v>6</v>
      </c>
      <c r="BY93" s="313">
        <v>5</v>
      </c>
      <c r="BZ93" s="313">
        <v>0.4</v>
      </c>
      <c r="CA93" s="313">
        <v>1</v>
      </c>
      <c r="CB93" s="313">
        <v>19.2</v>
      </c>
      <c r="CC93" s="313">
        <v>64.999999999999986</v>
      </c>
      <c r="CD93" s="313">
        <v>15.8</v>
      </c>
    </row>
    <row r="94" spans="1:82" x14ac:dyDescent="0.25">
      <c r="A94" s="130" t="s">
        <v>4601</v>
      </c>
      <c r="B94" s="130" t="s">
        <v>156</v>
      </c>
      <c r="C94" s="130" t="s">
        <v>4602</v>
      </c>
      <c r="D94" s="130" t="s">
        <v>33</v>
      </c>
      <c r="E94" s="130" t="s">
        <v>4583</v>
      </c>
      <c r="F94" s="130" t="s">
        <v>4272</v>
      </c>
      <c r="G94" s="130" t="s">
        <v>4603</v>
      </c>
      <c r="H94" s="309">
        <v>540058</v>
      </c>
      <c r="I94" s="277" t="s">
        <v>1448</v>
      </c>
      <c r="J94" s="130">
        <v>5449252</v>
      </c>
      <c r="K94" s="130" t="s">
        <v>4604</v>
      </c>
      <c r="L94" s="310">
        <v>0.5029356275558956</v>
      </c>
      <c r="M94" s="311">
        <v>863</v>
      </c>
      <c r="N94" s="312">
        <v>1715.9253644326227</v>
      </c>
      <c r="O94" s="311">
        <v>331</v>
      </c>
      <c r="P94" s="312">
        <v>2.61</v>
      </c>
      <c r="Q94" s="311">
        <v>863</v>
      </c>
      <c r="R94" s="311">
        <v>28</v>
      </c>
      <c r="S94" s="311">
        <v>30</v>
      </c>
      <c r="T94" s="311">
        <v>8</v>
      </c>
      <c r="U94" s="311">
        <v>14</v>
      </c>
      <c r="V94" s="311">
        <v>13</v>
      </c>
      <c r="W94" s="311">
        <v>38</v>
      </c>
      <c r="X94" s="311">
        <v>17</v>
      </c>
      <c r="Y94" s="311">
        <v>6</v>
      </c>
      <c r="Z94" s="311">
        <v>15</v>
      </c>
      <c r="AA94" s="311">
        <v>29</v>
      </c>
      <c r="AB94" s="311">
        <v>25</v>
      </c>
      <c r="AC94" s="311">
        <v>46</v>
      </c>
      <c r="AD94" s="311">
        <v>18</v>
      </c>
      <c r="AE94" s="311">
        <v>20</v>
      </c>
      <c r="AF94" s="311">
        <v>21</v>
      </c>
      <c r="AG94" s="311">
        <v>3</v>
      </c>
      <c r="AH94" s="312">
        <v>19.939577039274926</v>
      </c>
      <c r="AI94" s="312">
        <v>8.1570996978851973</v>
      </c>
      <c r="AJ94" s="312">
        <v>22.9607250755287</v>
      </c>
      <c r="AK94" s="312">
        <v>8.761329305135952</v>
      </c>
      <c r="AL94" s="312">
        <v>40.181268882175225</v>
      </c>
      <c r="AM94" s="311">
        <v>25213</v>
      </c>
      <c r="AN94" s="311">
        <v>49417</v>
      </c>
      <c r="AO94" s="312">
        <v>46.525679758308158</v>
      </c>
      <c r="AP94" s="311">
        <v>331</v>
      </c>
      <c r="AQ94" s="311">
        <v>39</v>
      </c>
      <c r="AR94" s="311">
        <v>255</v>
      </c>
      <c r="AS94" s="311">
        <v>76</v>
      </c>
      <c r="AT94" s="311">
        <v>5</v>
      </c>
      <c r="AU94" s="311">
        <v>13</v>
      </c>
      <c r="AV94" s="311">
        <v>31</v>
      </c>
      <c r="AW94" s="311">
        <v>29</v>
      </c>
      <c r="AX94" s="311">
        <v>20</v>
      </c>
      <c r="AY94" s="311">
        <v>15</v>
      </c>
      <c r="AZ94" s="311">
        <v>31</v>
      </c>
      <c r="BA94" s="311">
        <v>1</v>
      </c>
      <c r="BB94" s="311">
        <v>0</v>
      </c>
      <c r="BC94" s="311">
        <v>45</v>
      </c>
      <c r="BD94" s="311">
        <v>9</v>
      </c>
      <c r="BE94" s="311">
        <v>0</v>
      </c>
      <c r="BF94" s="311">
        <v>102</v>
      </c>
      <c r="BG94" s="311">
        <v>6</v>
      </c>
      <c r="BH94" s="311">
        <v>0</v>
      </c>
      <c r="BI94" s="312">
        <v>13.897280966767372</v>
      </c>
      <c r="BJ94" s="313">
        <v>8.6999999999999993</v>
      </c>
      <c r="BK94" s="313">
        <v>4.2</v>
      </c>
      <c r="BL94" s="313">
        <v>4.5999999999999996</v>
      </c>
      <c r="BM94" s="313">
        <v>6.5</v>
      </c>
      <c r="BN94" s="313">
        <v>9.3000000000000007</v>
      </c>
      <c r="BO94" s="313">
        <v>6.4</v>
      </c>
      <c r="BP94" s="313">
        <v>3.1</v>
      </c>
      <c r="BQ94" s="313">
        <v>6.7</v>
      </c>
      <c r="BR94" s="313">
        <v>3</v>
      </c>
      <c r="BS94" s="313">
        <v>6.7</v>
      </c>
      <c r="BT94" s="313">
        <v>10.4</v>
      </c>
      <c r="BU94" s="313">
        <v>9.3000000000000007</v>
      </c>
      <c r="BV94" s="313">
        <v>6.4</v>
      </c>
      <c r="BW94" s="313">
        <v>3.6</v>
      </c>
      <c r="BX94" s="313">
        <v>4.4000000000000004</v>
      </c>
      <c r="BY94" s="313">
        <v>3.6</v>
      </c>
      <c r="BZ94" s="313">
        <v>2.1</v>
      </c>
      <c r="CA94" s="313">
        <v>1</v>
      </c>
      <c r="CB94" s="313">
        <v>17.5</v>
      </c>
      <c r="CC94" s="313">
        <v>67.800000000000011</v>
      </c>
      <c r="CD94" s="313">
        <v>14.7</v>
      </c>
    </row>
    <row r="95" spans="1:82" x14ac:dyDescent="0.25">
      <c r="A95" s="130" t="s">
        <v>4605</v>
      </c>
      <c r="B95" s="130" t="s">
        <v>157</v>
      </c>
      <c r="C95" s="130" t="s">
        <v>4606</v>
      </c>
      <c r="D95" s="130" t="s">
        <v>33</v>
      </c>
      <c r="E95" s="130" t="s">
        <v>4583</v>
      </c>
      <c r="F95" s="130" t="s">
        <v>4272</v>
      </c>
      <c r="G95" s="130" t="s">
        <v>4607</v>
      </c>
      <c r="H95" s="309">
        <v>540059</v>
      </c>
      <c r="I95" s="277" t="s">
        <v>1449</v>
      </c>
      <c r="J95" s="130">
        <v>5459836</v>
      </c>
      <c r="K95" s="130" t="s">
        <v>4608</v>
      </c>
      <c r="L95" s="310">
        <v>0.88875572881486486</v>
      </c>
      <c r="M95" s="311">
        <v>1520</v>
      </c>
      <c r="N95" s="312">
        <v>1710.2562050732261</v>
      </c>
      <c r="O95" s="311">
        <v>702</v>
      </c>
      <c r="P95" s="312">
        <v>2.15</v>
      </c>
      <c r="Q95" s="311">
        <v>1510</v>
      </c>
      <c r="R95" s="311">
        <v>50</v>
      </c>
      <c r="S95" s="311">
        <v>28</v>
      </c>
      <c r="T95" s="311">
        <v>58</v>
      </c>
      <c r="U95" s="311">
        <v>36</v>
      </c>
      <c r="V95" s="311">
        <v>46</v>
      </c>
      <c r="W95" s="311">
        <v>31</v>
      </c>
      <c r="X95" s="311">
        <v>48</v>
      </c>
      <c r="Y95" s="311">
        <v>39</v>
      </c>
      <c r="Z95" s="311">
        <v>20</v>
      </c>
      <c r="AA95" s="311">
        <v>72</v>
      </c>
      <c r="AB95" s="311">
        <v>95</v>
      </c>
      <c r="AC95" s="311">
        <v>58</v>
      </c>
      <c r="AD95" s="311">
        <v>61</v>
      </c>
      <c r="AE95" s="311">
        <v>28</v>
      </c>
      <c r="AF95" s="311">
        <v>17</v>
      </c>
      <c r="AG95" s="311">
        <v>15</v>
      </c>
      <c r="AH95" s="312">
        <v>19.373219373219371</v>
      </c>
      <c r="AI95" s="312">
        <v>11.680911680911681</v>
      </c>
      <c r="AJ95" s="312">
        <v>19.658119658119659</v>
      </c>
      <c r="AK95" s="312">
        <v>10.256410256410255</v>
      </c>
      <c r="AL95" s="312">
        <v>39.03133903133903</v>
      </c>
      <c r="AM95" s="311">
        <v>28238</v>
      </c>
      <c r="AN95" s="311">
        <v>49219</v>
      </c>
      <c r="AO95" s="312">
        <v>47.863247863247864</v>
      </c>
      <c r="AP95" s="311">
        <v>702</v>
      </c>
      <c r="AQ95" s="311">
        <v>113</v>
      </c>
      <c r="AR95" s="311">
        <v>482</v>
      </c>
      <c r="AS95" s="311">
        <v>220</v>
      </c>
      <c r="AT95" s="311">
        <v>27</v>
      </c>
      <c r="AU95" s="311">
        <v>12</v>
      </c>
      <c r="AV95" s="311">
        <v>84</v>
      </c>
      <c r="AW95" s="311">
        <v>35</v>
      </c>
      <c r="AX95" s="311">
        <v>38</v>
      </c>
      <c r="AY95" s="311">
        <v>31</v>
      </c>
      <c r="AZ95" s="311">
        <v>58</v>
      </c>
      <c r="BA95" s="311">
        <v>25</v>
      </c>
      <c r="BB95" s="311">
        <v>21</v>
      </c>
      <c r="BC95" s="311">
        <v>129</v>
      </c>
      <c r="BD95" s="311">
        <v>36</v>
      </c>
      <c r="BE95" s="311">
        <v>0</v>
      </c>
      <c r="BF95" s="311">
        <v>172</v>
      </c>
      <c r="BG95" s="311">
        <v>7</v>
      </c>
      <c r="BH95" s="311">
        <v>0</v>
      </c>
      <c r="BI95" s="312">
        <v>19.373219373219371</v>
      </c>
      <c r="BJ95" s="313">
        <v>5.3</v>
      </c>
      <c r="BK95" s="313">
        <v>4</v>
      </c>
      <c r="BL95" s="313">
        <v>4.0999999999999996</v>
      </c>
      <c r="BM95" s="313">
        <v>6.7</v>
      </c>
      <c r="BN95" s="313">
        <v>8</v>
      </c>
      <c r="BO95" s="313">
        <v>6.3</v>
      </c>
      <c r="BP95" s="313">
        <v>5.5</v>
      </c>
      <c r="BQ95" s="313">
        <v>3.8</v>
      </c>
      <c r="BR95" s="313">
        <v>5.8</v>
      </c>
      <c r="BS95" s="313">
        <v>8.5</v>
      </c>
      <c r="BT95" s="313">
        <v>5.3</v>
      </c>
      <c r="BU95" s="313">
        <v>7.4</v>
      </c>
      <c r="BV95" s="313">
        <v>9</v>
      </c>
      <c r="BW95" s="313">
        <v>7.1</v>
      </c>
      <c r="BX95" s="313">
        <v>5.3</v>
      </c>
      <c r="BY95" s="313">
        <v>3.4</v>
      </c>
      <c r="BZ95" s="313">
        <v>1.9</v>
      </c>
      <c r="CA95" s="313">
        <v>2.6</v>
      </c>
      <c r="CB95" s="313">
        <v>13.4</v>
      </c>
      <c r="CC95" s="313">
        <v>66.3</v>
      </c>
      <c r="CD95" s="313">
        <v>20.3</v>
      </c>
    </row>
    <row r="96" spans="1:82" x14ac:dyDescent="0.25">
      <c r="A96" s="130" t="s">
        <v>4609</v>
      </c>
      <c r="B96" s="130" t="s">
        <v>289</v>
      </c>
      <c r="C96" s="130" t="s">
        <v>4610</v>
      </c>
      <c r="D96" s="130" t="s">
        <v>33</v>
      </c>
      <c r="E96" s="130" t="s">
        <v>4583</v>
      </c>
      <c r="F96" s="130" t="s">
        <v>4272</v>
      </c>
      <c r="G96" s="130" t="s">
        <v>4611</v>
      </c>
      <c r="H96" s="309">
        <v>540242</v>
      </c>
      <c r="I96" s="277" t="s">
        <v>1453</v>
      </c>
      <c r="J96" s="130">
        <v>5471380</v>
      </c>
      <c r="K96" s="130" t="s">
        <v>4612</v>
      </c>
      <c r="L96" s="310">
        <v>1.3336279602740515</v>
      </c>
      <c r="M96" s="311">
        <v>1625</v>
      </c>
      <c r="N96" s="312">
        <v>1218.4807520577729</v>
      </c>
      <c r="O96" s="311">
        <v>561</v>
      </c>
      <c r="P96" s="312">
        <v>2.59</v>
      </c>
      <c r="Q96" s="311">
        <v>1452</v>
      </c>
      <c r="R96" s="311">
        <v>42</v>
      </c>
      <c r="S96" s="311">
        <v>50</v>
      </c>
      <c r="T96" s="311">
        <v>30</v>
      </c>
      <c r="U96" s="311">
        <v>54</v>
      </c>
      <c r="V96" s="311">
        <v>32</v>
      </c>
      <c r="W96" s="311">
        <v>37</v>
      </c>
      <c r="X96" s="311">
        <v>41</v>
      </c>
      <c r="Y96" s="311">
        <v>36</v>
      </c>
      <c r="Z96" s="311">
        <v>40</v>
      </c>
      <c r="AA96" s="311">
        <v>29</v>
      </c>
      <c r="AB96" s="311">
        <v>85</v>
      </c>
      <c r="AC96" s="311">
        <v>36</v>
      </c>
      <c r="AD96" s="311">
        <v>19</v>
      </c>
      <c r="AE96" s="311">
        <v>12</v>
      </c>
      <c r="AF96" s="311">
        <v>14</v>
      </c>
      <c r="AG96" s="311">
        <v>4</v>
      </c>
      <c r="AH96" s="312">
        <v>21.746880570409981</v>
      </c>
      <c r="AI96" s="312">
        <v>15.32976827094474</v>
      </c>
      <c r="AJ96" s="312">
        <v>27.450980392156865</v>
      </c>
      <c r="AK96" s="312">
        <v>5.169340463458111</v>
      </c>
      <c r="AL96" s="312">
        <v>30.303030303030305</v>
      </c>
      <c r="AM96" s="311">
        <v>18061</v>
      </c>
      <c r="AN96" s="311">
        <v>39450</v>
      </c>
      <c r="AO96" s="312">
        <v>57.397504456327987</v>
      </c>
      <c r="AP96" s="311">
        <v>561</v>
      </c>
      <c r="AQ96" s="311">
        <v>197</v>
      </c>
      <c r="AR96" s="311">
        <v>413</v>
      </c>
      <c r="AS96" s="311">
        <v>148</v>
      </c>
      <c r="AT96" s="311">
        <v>10</v>
      </c>
      <c r="AU96" s="311">
        <v>25</v>
      </c>
      <c r="AV96" s="311">
        <v>63</v>
      </c>
      <c r="AW96" s="311">
        <v>60</v>
      </c>
      <c r="AX96" s="311">
        <v>27</v>
      </c>
      <c r="AY96" s="311">
        <v>31</v>
      </c>
      <c r="AZ96" s="311">
        <v>73</v>
      </c>
      <c r="BA96" s="311">
        <v>34</v>
      </c>
      <c r="BB96" s="311">
        <v>10</v>
      </c>
      <c r="BC96" s="311">
        <v>89</v>
      </c>
      <c r="BD96" s="311">
        <v>21</v>
      </c>
      <c r="BE96" s="311">
        <v>0</v>
      </c>
      <c r="BF96" s="311">
        <v>85</v>
      </c>
      <c r="BG96" s="311">
        <v>0</v>
      </c>
      <c r="BH96" s="311">
        <v>0</v>
      </c>
      <c r="BI96" s="312">
        <v>18.538324420677363</v>
      </c>
      <c r="BJ96" s="313">
        <v>7</v>
      </c>
      <c r="BK96" s="313">
        <v>5.9</v>
      </c>
      <c r="BL96" s="313">
        <v>6.2</v>
      </c>
      <c r="BM96" s="313">
        <v>15.3</v>
      </c>
      <c r="BN96" s="313">
        <v>11.5</v>
      </c>
      <c r="BO96" s="313">
        <v>2.2999999999999998</v>
      </c>
      <c r="BP96" s="313">
        <v>5.8</v>
      </c>
      <c r="BQ96" s="313">
        <v>6.5</v>
      </c>
      <c r="BR96" s="313">
        <v>4.4000000000000004</v>
      </c>
      <c r="BS96" s="313">
        <v>6.5</v>
      </c>
      <c r="BT96" s="313">
        <v>4.9000000000000004</v>
      </c>
      <c r="BU96" s="313">
        <v>3.8</v>
      </c>
      <c r="BV96" s="313">
        <v>7.5</v>
      </c>
      <c r="BW96" s="313">
        <v>4.4000000000000004</v>
      </c>
      <c r="BX96" s="313">
        <v>2.2000000000000002</v>
      </c>
      <c r="BY96" s="313">
        <v>3.1</v>
      </c>
      <c r="BZ96" s="313">
        <v>0.6</v>
      </c>
      <c r="CA96" s="313">
        <v>2.1</v>
      </c>
      <c r="CB96" s="313">
        <v>19.100000000000001</v>
      </c>
      <c r="CC96" s="313">
        <v>68.5</v>
      </c>
      <c r="CD96" s="313">
        <v>12.4</v>
      </c>
    </row>
    <row r="97" spans="1:82" x14ac:dyDescent="0.25">
      <c r="A97" s="130" t="s">
        <v>4613</v>
      </c>
      <c r="B97" s="130" t="s">
        <v>158</v>
      </c>
      <c r="C97" s="130" t="s">
        <v>4614</v>
      </c>
      <c r="D97" s="130" t="s">
        <v>33</v>
      </c>
      <c r="E97" s="130" t="s">
        <v>4583</v>
      </c>
      <c r="F97" s="130" t="s">
        <v>4272</v>
      </c>
      <c r="G97" s="130" t="s">
        <v>4615</v>
      </c>
      <c r="H97" s="309">
        <v>540060</v>
      </c>
      <c r="I97" s="277" t="s">
        <v>1450</v>
      </c>
      <c r="J97" s="130">
        <v>5473636</v>
      </c>
      <c r="K97" s="130" t="s">
        <v>4616</v>
      </c>
      <c r="L97" s="310">
        <v>1.6703914999404834</v>
      </c>
      <c r="M97" s="311">
        <v>2698</v>
      </c>
      <c r="N97" s="312">
        <v>1615.1902114540997</v>
      </c>
      <c r="O97" s="311">
        <v>1037</v>
      </c>
      <c r="P97" s="312">
        <v>2.6</v>
      </c>
      <c r="Q97" s="311">
        <v>2698</v>
      </c>
      <c r="R97" s="311">
        <v>77</v>
      </c>
      <c r="S97" s="311">
        <v>30</v>
      </c>
      <c r="T97" s="311">
        <v>19</v>
      </c>
      <c r="U97" s="311">
        <v>93</v>
      </c>
      <c r="V97" s="311">
        <v>64</v>
      </c>
      <c r="W97" s="311">
        <v>40</v>
      </c>
      <c r="X97" s="311">
        <v>65</v>
      </c>
      <c r="Y97" s="311">
        <v>31</v>
      </c>
      <c r="Z97" s="311">
        <v>41</v>
      </c>
      <c r="AA97" s="311">
        <v>118</v>
      </c>
      <c r="AB97" s="311">
        <v>162</v>
      </c>
      <c r="AC97" s="311">
        <v>143</v>
      </c>
      <c r="AD97" s="311">
        <v>77</v>
      </c>
      <c r="AE97" s="311">
        <v>8</v>
      </c>
      <c r="AF97" s="311">
        <v>53</v>
      </c>
      <c r="AG97" s="311">
        <v>16</v>
      </c>
      <c r="AH97" s="312">
        <v>12.150433944069432</v>
      </c>
      <c r="AI97" s="312">
        <v>15.139826422372227</v>
      </c>
      <c r="AJ97" s="312">
        <v>17.068466730954675</v>
      </c>
      <c r="AK97" s="312">
        <v>11.378977820636452</v>
      </c>
      <c r="AL97" s="312">
        <v>44.26229508196721</v>
      </c>
      <c r="AM97" s="311">
        <v>24818</v>
      </c>
      <c r="AN97" s="311">
        <v>55750</v>
      </c>
      <c r="AO97" s="312">
        <v>40.405014464802314</v>
      </c>
      <c r="AP97" s="311">
        <v>1037</v>
      </c>
      <c r="AQ97" s="311">
        <v>76</v>
      </c>
      <c r="AR97" s="311">
        <v>806</v>
      </c>
      <c r="AS97" s="311">
        <v>231</v>
      </c>
      <c r="AT97" s="311">
        <v>24</v>
      </c>
      <c r="AU97" s="311">
        <v>32</v>
      </c>
      <c r="AV97" s="311">
        <v>48</v>
      </c>
      <c r="AW97" s="311">
        <v>83</v>
      </c>
      <c r="AX97" s="311">
        <v>27</v>
      </c>
      <c r="AY97" s="311">
        <v>80</v>
      </c>
      <c r="AZ97" s="311">
        <v>99</v>
      </c>
      <c r="BA97" s="311">
        <v>26</v>
      </c>
      <c r="BB97" s="311">
        <v>5</v>
      </c>
      <c r="BC97" s="311">
        <v>221</v>
      </c>
      <c r="BD97" s="311">
        <v>59</v>
      </c>
      <c r="BE97" s="311">
        <v>0</v>
      </c>
      <c r="BF97" s="311">
        <v>284</v>
      </c>
      <c r="BG97" s="311">
        <v>8</v>
      </c>
      <c r="BH97" s="311">
        <v>0</v>
      </c>
      <c r="BI97" s="312">
        <v>12.825458052073287</v>
      </c>
      <c r="BJ97" s="313">
        <v>2.6</v>
      </c>
      <c r="BK97" s="313">
        <v>8.6999999999999993</v>
      </c>
      <c r="BL97" s="313">
        <v>7.7</v>
      </c>
      <c r="BM97" s="313">
        <v>6.6</v>
      </c>
      <c r="BN97" s="313">
        <v>6.6</v>
      </c>
      <c r="BO97" s="313">
        <v>4.2</v>
      </c>
      <c r="BP97" s="313">
        <v>5.8</v>
      </c>
      <c r="BQ97" s="313">
        <v>7.5</v>
      </c>
      <c r="BR97" s="313">
        <v>6.9</v>
      </c>
      <c r="BS97" s="313">
        <v>6</v>
      </c>
      <c r="BT97" s="313">
        <v>6.2</v>
      </c>
      <c r="BU97" s="313">
        <v>6.6</v>
      </c>
      <c r="BV97" s="313">
        <v>6.6</v>
      </c>
      <c r="BW97" s="313">
        <v>5.5</v>
      </c>
      <c r="BX97" s="313">
        <v>6.6</v>
      </c>
      <c r="BY97" s="313">
        <v>2</v>
      </c>
      <c r="BZ97" s="313">
        <v>1.5</v>
      </c>
      <c r="CA97" s="313">
        <v>2.2999999999999998</v>
      </c>
      <c r="CB97" s="313">
        <v>19</v>
      </c>
      <c r="CC97" s="313">
        <v>63.000000000000007</v>
      </c>
      <c r="CD97" s="313">
        <v>17.899999999999999</v>
      </c>
    </row>
    <row r="98" spans="1:82" x14ac:dyDescent="0.25">
      <c r="A98" s="130" t="s">
        <v>4617</v>
      </c>
      <c r="B98" s="130" t="s">
        <v>159</v>
      </c>
      <c r="C98" s="130" t="s">
        <v>4618</v>
      </c>
      <c r="D98" s="130" t="s">
        <v>33</v>
      </c>
      <c r="E98" s="130" t="s">
        <v>4583</v>
      </c>
      <c r="F98" s="130" t="s">
        <v>4272</v>
      </c>
      <c r="G98" s="130" t="s">
        <v>4619</v>
      </c>
      <c r="H98" s="309">
        <v>540061</v>
      </c>
      <c r="I98" s="277" t="s">
        <v>1451</v>
      </c>
      <c r="J98" s="130">
        <v>5477188</v>
      </c>
      <c r="K98" s="130" t="s">
        <v>4620</v>
      </c>
      <c r="L98" s="310">
        <v>0.84999346826833366</v>
      </c>
      <c r="M98" s="311">
        <v>1833</v>
      </c>
      <c r="N98" s="312">
        <v>2156.4871595240797</v>
      </c>
      <c r="O98" s="311">
        <v>857</v>
      </c>
      <c r="P98" s="312">
        <v>2.12</v>
      </c>
      <c r="Q98" s="311">
        <v>1817</v>
      </c>
      <c r="R98" s="311">
        <v>66</v>
      </c>
      <c r="S98" s="311">
        <v>51</v>
      </c>
      <c r="T98" s="311">
        <v>57</v>
      </c>
      <c r="U98" s="311">
        <v>42</v>
      </c>
      <c r="V98" s="311">
        <v>19</v>
      </c>
      <c r="W98" s="311">
        <v>37</v>
      </c>
      <c r="X98" s="311">
        <v>69</v>
      </c>
      <c r="Y98" s="311">
        <v>86</v>
      </c>
      <c r="Z98" s="311">
        <v>28</v>
      </c>
      <c r="AA98" s="311">
        <v>110</v>
      </c>
      <c r="AB98" s="311">
        <v>82</v>
      </c>
      <c r="AC98" s="311">
        <v>123</v>
      </c>
      <c r="AD98" s="311">
        <v>16</v>
      </c>
      <c r="AE98" s="311">
        <v>44</v>
      </c>
      <c r="AF98" s="311">
        <v>23</v>
      </c>
      <c r="AG98" s="311">
        <v>4</v>
      </c>
      <c r="AH98" s="312">
        <v>20.30338389731622</v>
      </c>
      <c r="AI98" s="312">
        <v>7.1178529754959152</v>
      </c>
      <c r="AJ98" s="312">
        <v>25.670945157526255</v>
      </c>
      <c r="AK98" s="312">
        <v>12.835472578763127</v>
      </c>
      <c r="AL98" s="312">
        <v>34.072345390898484</v>
      </c>
      <c r="AM98" s="311">
        <v>26350</v>
      </c>
      <c r="AN98" s="311">
        <v>45536</v>
      </c>
      <c r="AO98" s="312">
        <v>49.824970828471407</v>
      </c>
      <c r="AP98" s="311">
        <v>857</v>
      </c>
      <c r="AQ98" s="311">
        <v>35</v>
      </c>
      <c r="AR98" s="311">
        <v>664</v>
      </c>
      <c r="AS98" s="311">
        <v>193</v>
      </c>
      <c r="AT98" s="311">
        <v>17</v>
      </c>
      <c r="AU98" s="311">
        <v>35</v>
      </c>
      <c r="AV98" s="311">
        <v>91</v>
      </c>
      <c r="AW98" s="311">
        <v>67</v>
      </c>
      <c r="AX98" s="311">
        <v>20</v>
      </c>
      <c r="AY98" s="311">
        <v>6</v>
      </c>
      <c r="AZ98" s="311">
        <v>119</v>
      </c>
      <c r="BA98" s="311">
        <v>57</v>
      </c>
      <c r="BB98" s="311">
        <v>7</v>
      </c>
      <c r="BC98" s="311">
        <v>141</v>
      </c>
      <c r="BD98" s="311">
        <v>38</v>
      </c>
      <c r="BE98" s="311">
        <v>13</v>
      </c>
      <c r="BF98" s="311">
        <v>174</v>
      </c>
      <c r="BG98" s="311">
        <v>33</v>
      </c>
      <c r="BH98" s="311">
        <v>3</v>
      </c>
      <c r="BI98" s="312">
        <v>14.002333722287046</v>
      </c>
      <c r="BJ98" s="313">
        <v>2.2999999999999998</v>
      </c>
      <c r="BK98" s="313">
        <v>3.1</v>
      </c>
      <c r="BL98" s="313">
        <v>5.2</v>
      </c>
      <c r="BM98" s="313">
        <v>3.8</v>
      </c>
      <c r="BN98" s="313">
        <v>4.3</v>
      </c>
      <c r="BO98" s="313">
        <v>6.4</v>
      </c>
      <c r="BP98" s="313">
        <v>6.7</v>
      </c>
      <c r="BQ98" s="313">
        <v>6.2</v>
      </c>
      <c r="BR98" s="313">
        <v>5.4</v>
      </c>
      <c r="BS98" s="313">
        <v>5.3</v>
      </c>
      <c r="BT98" s="313">
        <v>10.7</v>
      </c>
      <c r="BU98" s="313">
        <v>7.7</v>
      </c>
      <c r="BV98" s="313">
        <v>9.9</v>
      </c>
      <c r="BW98" s="313">
        <v>8.3000000000000007</v>
      </c>
      <c r="BX98" s="313">
        <v>5.9</v>
      </c>
      <c r="BY98" s="313">
        <v>5</v>
      </c>
      <c r="BZ98" s="313">
        <v>1.9</v>
      </c>
      <c r="CA98" s="313">
        <v>2</v>
      </c>
      <c r="CB98" s="313">
        <v>10.600000000000001</v>
      </c>
      <c r="CC98" s="313">
        <v>66.400000000000006</v>
      </c>
      <c r="CD98" s="313">
        <v>23.1</v>
      </c>
    </row>
    <row r="99" spans="1:82" x14ac:dyDescent="0.25">
      <c r="A99" s="130" t="s">
        <v>4621</v>
      </c>
      <c r="B99" s="130" t="s">
        <v>160</v>
      </c>
      <c r="C99" s="130" t="s">
        <v>4622</v>
      </c>
      <c r="D99" s="130" t="s">
        <v>33</v>
      </c>
      <c r="E99" s="130" t="s">
        <v>4583</v>
      </c>
      <c r="F99" s="130" t="s">
        <v>4272</v>
      </c>
      <c r="G99" s="130" t="s">
        <v>4623</v>
      </c>
      <c r="H99" s="309">
        <v>540062</v>
      </c>
      <c r="I99" s="277" t="s">
        <v>1452</v>
      </c>
      <c r="J99" s="130">
        <v>5485924</v>
      </c>
      <c r="K99" s="130" t="s">
        <v>4624</v>
      </c>
      <c r="L99" s="310">
        <v>0.53099039498445177</v>
      </c>
      <c r="M99" s="311">
        <v>700</v>
      </c>
      <c r="N99" s="312">
        <v>1318.2912659286371</v>
      </c>
      <c r="O99" s="311">
        <v>268</v>
      </c>
      <c r="P99" s="312">
        <v>2.61</v>
      </c>
      <c r="Q99" s="311">
        <v>700</v>
      </c>
      <c r="R99" s="311">
        <v>9</v>
      </c>
      <c r="S99" s="311">
        <v>8</v>
      </c>
      <c r="T99" s="311">
        <v>18</v>
      </c>
      <c r="U99" s="311">
        <v>12</v>
      </c>
      <c r="V99" s="311">
        <v>2</v>
      </c>
      <c r="W99" s="311">
        <v>19</v>
      </c>
      <c r="X99" s="311">
        <v>19</v>
      </c>
      <c r="Y99" s="311">
        <v>23</v>
      </c>
      <c r="Z99" s="311">
        <v>11</v>
      </c>
      <c r="AA99" s="311">
        <v>21</v>
      </c>
      <c r="AB99" s="311">
        <v>52</v>
      </c>
      <c r="AC99" s="311">
        <v>42</v>
      </c>
      <c r="AD99" s="311">
        <v>20</v>
      </c>
      <c r="AE99" s="311">
        <v>0</v>
      </c>
      <c r="AF99" s="311">
        <v>7</v>
      </c>
      <c r="AG99" s="311">
        <v>5</v>
      </c>
      <c r="AH99" s="312">
        <v>13.059701492537313</v>
      </c>
      <c r="AI99" s="312">
        <v>5.2238805970149249</v>
      </c>
      <c r="AJ99" s="312">
        <v>26.865671641791046</v>
      </c>
      <c r="AK99" s="312">
        <v>7.8358208955223887</v>
      </c>
      <c r="AL99" s="312">
        <v>47.014925373134332</v>
      </c>
      <c r="AM99" s="311">
        <v>23307</v>
      </c>
      <c r="AN99" s="311">
        <v>57143</v>
      </c>
      <c r="AO99" s="312">
        <v>41.044776119402989</v>
      </c>
      <c r="AP99" s="311">
        <v>268</v>
      </c>
      <c r="AQ99" s="311">
        <v>23</v>
      </c>
      <c r="AR99" s="311">
        <v>237</v>
      </c>
      <c r="AS99" s="311">
        <v>31</v>
      </c>
      <c r="AT99" s="311">
        <v>15</v>
      </c>
      <c r="AU99" s="311">
        <v>4</v>
      </c>
      <c r="AV99" s="311">
        <v>14</v>
      </c>
      <c r="AW99" s="311">
        <v>14</v>
      </c>
      <c r="AX99" s="311">
        <v>14</v>
      </c>
      <c r="AY99" s="311">
        <v>5</v>
      </c>
      <c r="AZ99" s="311">
        <v>17</v>
      </c>
      <c r="BA99" s="311">
        <v>19</v>
      </c>
      <c r="BB99" s="311">
        <v>13</v>
      </c>
      <c r="BC99" s="311">
        <v>62</v>
      </c>
      <c r="BD99" s="311">
        <v>11</v>
      </c>
      <c r="BE99" s="311">
        <v>0</v>
      </c>
      <c r="BF99" s="311">
        <v>74</v>
      </c>
      <c r="BG99" s="311">
        <v>0</v>
      </c>
      <c r="BH99" s="311">
        <v>0</v>
      </c>
      <c r="BI99" s="312">
        <v>11.940298507462686</v>
      </c>
      <c r="BJ99" s="313">
        <v>3.1</v>
      </c>
      <c r="BK99" s="313">
        <v>8.6</v>
      </c>
      <c r="BL99" s="313">
        <v>7</v>
      </c>
      <c r="BM99" s="313">
        <v>6.9</v>
      </c>
      <c r="BN99" s="313">
        <v>3.1</v>
      </c>
      <c r="BO99" s="313">
        <v>6.1</v>
      </c>
      <c r="BP99" s="313">
        <v>2.7</v>
      </c>
      <c r="BQ99" s="313">
        <v>8.9</v>
      </c>
      <c r="BR99" s="313">
        <v>9.3000000000000007</v>
      </c>
      <c r="BS99" s="313">
        <v>8.3000000000000007</v>
      </c>
      <c r="BT99" s="313">
        <v>8</v>
      </c>
      <c r="BU99" s="313">
        <v>7.4</v>
      </c>
      <c r="BV99" s="313">
        <v>8.3000000000000007</v>
      </c>
      <c r="BW99" s="313">
        <v>4.3</v>
      </c>
      <c r="BX99" s="313">
        <v>2.4</v>
      </c>
      <c r="BY99" s="313">
        <v>3.7</v>
      </c>
      <c r="BZ99" s="313">
        <v>0.9</v>
      </c>
      <c r="CA99" s="313">
        <v>1</v>
      </c>
      <c r="CB99" s="313">
        <v>18.7</v>
      </c>
      <c r="CC99" s="313">
        <v>69</v>
      </c>
      <c r="CD99" s="313">
        <v>12.299999999999999</v>
      </c>
    </row>
    <row r="100" spans="1:82" s="322" customFormat="1" x14ac:dyDescent="0.25">
      <c r="A100" s="314" t="s">
        <v>4625</v>
      </c>
      <c r="B100" s="315" t="s">
        <v>348</v>
      </c>
      <c r="C100" s="314"/>
      <c r="D100" s="314"/>
      <c r="E100" s="314"/>
      <c r="F100" s="314"/>
      <c r="G100" s="314"/>
      <c r="H100" s="316"/>
      <c r="I100" s="317"/>
      <c r="J100" s="314">
        <v>54033</v>
      </c>
      <c r="K100" s="314" t="s">
        <v>4626</v>
      </c>
      <c r="L100" s="318">
        <v>416.46012356228448</v>
      </c>
      <c r="M100" s="319">
        <v>68438</v>
      </c>
      <c r="N100" s="320">
        <v>164.33266026672689</v>
      </c>
      <c r="O100" s="319">
        <v>27542</v>
      </c>
      <c r="P100" s="320">
        <v>2.4500000000000002</v>
      </c>
      <c r="Q100" s="319">
        <v>67525</v>
      </c>
      <c r="R100" s="319">
        <v>2243</v>
      </c>
      <c r="S100" s="319">
        <v>1511</v>
      </c>
      <c r="T100" s="319">
        <v>1756</v>
      </c>
      <c r="U100" s="319">
        <v>1499</v>
      </c>
      <c r="V100" s="319">
        <v>1338</v>
      </c>
      <c r="W100" s="319">
        <v>1651</v>
      </c>
      <c r="X100" s="319">
        <v>1252</v>
      </c>
      <c r="Y100" s="319">
        <v>1607</v>
      </c>
      <c r="Z100" s="319">
        <v>1288</v>
      </c>
      <c r="AA100" s="319">
        <v>1988</v>
      </c>
      <c r="AB100" s="319">
        <v>2955</v>
      </c>
      <c r="AC100" s="319">
        <v>3112</v>
      </c>
      <c r="AD100" s="319">
        <v>2037</v>
      </c>
      <c r="AE100" s="319">
        <v>1286</v>
      </c>
      <c r="AF100" s="319">
        <v>1140</v>
      </c>
      <c r="AG100" s="319">
        <v>879</v>
      </c>
      <c r="AH100" s="320">
        <v>20.005809309418343</v>
      </c>
      <c r="AI100" s="320">
        <v>10.300631762399243</v>
      </c>
      <c r="AJ100" s="320">
        <v>21.051485004720064</v>
      </c>
      <c r="AK100" s="320">
        <v>7.2180669522910463</v>
      </c>
      <c r="AL100" s="320">
        <v>41.424006971171302</v>
      </c>
      <c r="AM100" s="319">
        <v>27162</v>
      </c>
      <c r="AN100" s="319">
        <v>48315</v>
      </c>
      <c r="AO100" s="320">
        <v>46.681431994771621</v>
      </c>
      <c r="AP100" s="319">
        <v>27542</v>
      </c>
      <c r="AQ100" s="319">
        <v>4089</v>
      </c>
      <c r="AR100" s="319">
        <v>20513</v>
      </c>
      <c r="AS100" s="319">
        <v>7029</v>
      </c>
      <c r="AT100" s="319">
        <v>699</v>
      </c>
      <c r="AU100" s="319">
        <v>830</v>
      </c>
      <c r="AV100" s="319">
        <v>3196</v>
      </c>
      <c r="AW100" s="319">
        <v>1934</v>
      </c>
      <c r="AX100" s="319">
        <v>1153</v>
      </c>
      <c r="AY100" s="319">
        <v>1236</v>
      </c>
      <c r="AZ100" s="319">
        <v>2528</v>
      </c>
      <c r="BA100" s="319">
        <v>1076</v>
      </c>
      <c r="BB100" s="319">
        <v>377</v>
      </c>
      <c r="BC100" s="319">
        <v>3604</v>
      </c>
      <c r="BD100" s="319">
        <v>1016</v>
      </c>
      <c r="BE100" s="319">
        <v>180</v>
      </c>
      <c r="BF100" s="319">
        <v>7738</v>
      </c>
      <c r="BG100" s="319">
        <v>522</v>
      </c>
      <c r="BH100" s="319">
        <v>85</v>
      </c>
      <c r="BI100" s="320">
        <v>18.422772492919904</v>
      </c>
      <c r="BJ100" s="321">
        <v>5.8</v>
      </c>
      <c r="BK100" s="321">
        <v>5.9</v>
      </c>
      <c r="BL100" s="321">
        <v>6.1</v>
      </c>
      <c r="BM100" s="321">
        <v>5.7</v>
      </c>
      <c r="BN100" s="321">
        <v>5.5</v>
      </c>
      <c r="BO100" s="321">
        <v>5.7</v>
      </c>
      <c r="BP100" s="321">
        <v>6.5</v>
      </c>
      <c r="BQ100" s="321">
        <v>6.2</v>
      </c>
      <c r="BR100" s="321">
        <v>6.2</v>
      </c>
      <c r="BS100" s="321">
        <v>6.5</v>
      </c>
      <c r="BT100" s="321">
        <v>7.2</v>
      </c>
      <c r="BU100" s="321">
        <v>7.5</v>
      </c>
      <c r="BV100" s="321">
        <v>7</v>
      </c>
      <c r="BW100" s="321">
        <v>6.5</v>
      </c>
      <c r="BX100" s="321">
        <v>3.8</v>
      </c>
      <c r="BY100" s="321">
        <v>3.5</v>
      </c>
      <c r="BZ100" s="321">
        <v>2</v>
      </c>
      <c r="CA100" s="321">
        <v>2.4</v>
      </c>
      <c r="CB100" s="321">
        <v>17.799999999999997</v>
      </c>
      <c r="CC100" s="321">
        <v>64</v>
      </c>
      <c r="CD100" s="321">
        <v>18.2</v>
      </c>
    </row>
    <row r="101" spans="1:82" s="308" customFormat="1" x14ac:dyDescent="0.25">
      <c r="A101" s="301" t="s">
        <v>4627</v>
      </c>
      <c r="B101" s="301" t="s">
        <v>34</v>
      </c>
      <c r="C101" s="301" t="s">
        <v>4628</v>
      </c>
      <c r="D101" s="301" t="s">
        <v>35</v>
      </c>
      <c r="E101" s="301" t="s">
        <v>4629</v>
      </c>
      <c r="F101" s="301" t="s">
        <v>4272</v>
      </c>
      <c r="G101" s="301" t="s">
        <v>4630</v>
      </c>
      <c r="H101" s="302">
        <v>540063</v>
      </c>
      <c r="I101" s="303" t="s">
        <v>1454</v>
      </c>
      <c r="J101" s="301" t="s">
        <v>488</v>
      </c>
      <c r="K101" s="301" t="s">
        <v>488</v>
      </c>
      <c r="L101" s="304">
        <v>466.09004721627451</v>
      </c>
      <c r="M101" s="305">
        <v>22107</v>
      </c>
      <c r="N101" s="306">
        <v>47.430748912220253</v>
      </c>
      <c r="O101" s="305">
        <v>8314</v>
      </c>
      <c r="P101" s="306">
        <v>2.659008900649507</v>
      </c>
      <c r="Q101" s="305">
        <v>22107</v>
      </c>
      <c r="R101" s="305">
        <v>762</v>
      </c>
      <c r="S101" s="305">
        <v>424</v>
      </c>
      <c r="T101" s="305">
        <v>295</v>
      </c>
      <c r="U101" s="305">
        <v>711</v>
      </c>
      <c r="V101" s="305">
        <v>548</v>
      </c>
      <c r="W101" s="305">
        <v>473</v>
      </c>
      <c r="X101" s="305">
        <v>538</v>
      </c>
      <c r="Y101" s="305">
        <v>408</v>
      </c>
      <c r="Z101" s="305">
        <v>447</v>
      </c>
      <c r="AA101" s="305">
        <v>600</v>
      </c>
      <c r="AB101" s="305">
        <v>952</v>
      </c>
      <c r="AC101" s="305">
        <v>980</v>
      </c>
      <c r="AD101" s="305">
        <v>556</v>
      </c>
      <c r="AE101" s="305">
        <v>267</v>
      </c>
      <c r="AF101" s="305">
        <v>169</v>
      </c>
      <c r="AG101" s="305">
        <v>184</v>
      </c>
      <c r="AH101" s="306">
        <v>17.813326918450805</v>
      </c>
      <c r="AI101" s="306">
        <v>15.143132066394035</v>
      </c>
      <c r="AJ101" s="306">
        <v>22.444070242963676</v>
      </c>
      <c r="AK101" s="306">
        <v>7.2167428433966796</v>
      </c>
      <c r="AL101" s="306">
        <v>37.382727928794807</v>
      </c>
      <c r="AM101" s="305">
        <v>23246</v>
      </c>
      <c r="AN101" s="305">
        <v>41731</v>
      </c>
      <c r="AO101" s="306">
        <v>50.024055809477986</v>
      </c>
      <c r="AP101" s="305">
        <v>8314</v>
      </c>
      <c r="AQ101" s="305">
        <v>2043</v>
      </c>
      <c r="AR101" s="305">
        <v>6993</v>
      </c>
      <c r="AS101" s="305">
        <v>1321</v>
      </c>
      <c r="AT101" s="305">
        <v>263</v>
      </c>
      <c r="AU101" s="305">
        <v>207</v>
      </c>
      <c r="AV101" s="305">
        <v>804</v>
      </c>
      <c r="AW101" s="305">
        <v>911</v>
      </c>
      <c r="AX101" s="305">
        <v>246</v>
      </c>
      <c r="AY101" s="305">
        <v>435</v>
      </c>
      <c r="AZ101" s="305">
        <v>959</v>
      </c>
      <c r="BA101" s="305">
        <v>251</v>
      </c>
      <c r="BB101" s="305">
        <v>152</v>
      </c>
      <c r="BC101" s="305">
        <v>1321</v>
      </c>
      <c r="BD101" s="305">
        <v>132</v>
      </c>
      <c r="BE101" s="305">
        <v>70</v>
      </c>
      <c r="BF101" s="305">
        <v>1851</v>
      </c>
      <c r="BG101" s="305">
        <v>124</v>
      </c>
      <c r="BH101" s="305">
        <v>89</v>
      </c>
      <c r="BI101" s="306">
        <v>18.643252345441425</v>
      </c>
      <c r="BJ101" s="307">
        <v>5.7</v>
      </c>
      <c r="BK101" s="307">
        <v>6.8</v>
      </c>
      <c r="BL101" s="307">
        <v>5.6</v>
      </c>
      <c r="BM101" s="307">
        <v>6.2</v>
      </c>
      <c r="BN101" s="307">
        <v>5.3</v>
      </c>
      <c r="BO101" s="307">
        <v>5.2</v>
      </c>
      <c r="BP101" s="307">
        <v>5.8</v>
      </c>
      <c r="BQ101" s="307">
        <v>5.5</v>
      </c>
      <c r="BR101" s="307">
        <v>6.6</v>
      </c>
      <c r="BS101" s="307">
        <v>6.4</v>
      </c>
      <c r="BT101" s="307">
        <v>7.5</v>
      </c>
      <c r="BU101" s="307">
        <v>6.6</v>
      </c>
      <c r="BV101" s="307">
        <v>7.9</v>
      </c>
      <c r="BW101" s="307">
        <v>4.7</v>
      </c>
      <c r="BX101" s="307">
        <v>5.7</v>
      </c>
      <c r="BY101" s="307">
        <v>3.6</v>
      </c>
      <c r="BZ101" s="307">
        <v>2.1</v>
      </c>
      <c r="CA101" s="307">
        <v>2.9</v>
      </c>
      <c r="CB101" s="307">
        <v>18.100000000000001</v>
      </c>
      <c r="CC101" s="307">
        <v>63</v>
      </c>
      <c r="CD101" s="307">
        <v>19</v>
      </c>
    </row>
    <row r="102" spans="1:82" x14ac:dyDescent="0.25">
      <c r="A102" s="130" t="s">
        <v>4631</v>
      </c>
      <c r="B102" s="130" t="s">
        <v>288</v>
      </c>
      <c r="C102" s="130" t="s">
        <v>4632</v>
      </c>
      <c r="D102" s="130" t="s">
        <v>35</v>
      </c>
      <c r="E102" s="130" t="s">
        <v>4629</v>
      </c>
      <c r="F102" s="130" t="s">
        <v>4272</v>
      </c>
      <c r="G102" s="130" t="s">
        <v>4633</v>
      </c>
      <c r="H102" s="309">
        <v>540241</v>
      </c>
      <c r="I102" s="277" t="s">
        <v>1456</v>
      </c>
      <c r="J102" s="130">
        <v>5467108</v>
      </c>
      <c r="K102" s="130" t="s">
        <v>4634</v>
      </c>
      <c r="L102" s="310">
        <v>1.88718718671837</v>
      </c>
      <c r="M102" s="311">
        <v>3796</v>
      </c>
      <c r="N102" s="312">
        <v>2011.4591847144027</v>
      </c>
      <c r="O102" s="311">
        <v>1377</v>
      </c>
      <c r="P102" s="312">
        <v>2.71</v>
      </c>
      <c r="Q102" s="311">
        <v>3735</v>
      </c>
      <c r="R102" s="311">
        <v>229</v>
      </c>
      <c r="S102" s="311">
        <v>109</v>
      </c>
      <c r="T102" s="311">
        <v>108</v>
      </c>
      <c r="U102" s="311">
        <v>50</v>
      </c>
      <c r="V102" s="311">
        <v>78</v>
      </c>
      <c r="W102" s="311">
        <v>60</v>
      </c>
      <c r="X102" s="311">
        <v>70</v>
      </c>
      <c r="Y102" s="311">
        <v>66</v>
      </c>
      <c r="Z102" s="311">
        <v>98</v>
      </c>
      <c r="AA102" s="311">
        <v>50</v>
      </c>
      <c r="AB102" s="311">
        <v>96</v>
      </c>
      <c r="AC102" s="311">
        <v>100</v>
      </c>
      <c r="AD102" s="311">
        <v>152</v>
      </c>
      <c r="AE102" s="311">
        <v>44</v>
      </c>
      <c r="AF102" s="311">
        <v>15</v>
      </c>
      <c r="AG102" s="311">
        <v>52</v>
      </c>
      <c r="AH102" s="312">
        <v>32.389251997095137</v>
      </c>
      <c r="AI102" s="312">
        <v>9.2955700798838059</v>
      </c>
      <c r="AJ102" s="312">
        <v>21.350762527233115</v>
      </c>
      <c r="AK102" s="312">
        <v>3.6310820624546118</v>
      </c>
      <c r="AL102" s="312">
        <v>33.333333333333329</v>
      </c>
      <c r="AM102" s="311">
        <v>21785</v>
      </c>
      <c r="AN102" s="311">
        <v>38239</v>
      </c>
      <c r="AO102" s="312">
        <v>55.918663761801014</v>
      </c>
      <c r="AP102" s="311">
        <v>1377</v>
      </c>
      <c r="AQ102" s="311">
        <v>147</v>
      </c>
      <c r="AR102" s="311">
        <v>868</v>
      </c>
      <c r="AS102" s="311">
        <v>509</v>
      </c>
      <c r="AT102" s="311">
        <v>60</v>
      </c>
      <c r="AU102" s="311">
        <v>82</v>
      </c>
      <c r="AV102" s="311">
        <v>236</v>
      </c>
      <c r="AW102" s="311">
        <v>63</v>
      </c>
      <c r="AX102" s="311">
        <v>30</v>
      </c>
      <c r="AY102" s="311">
        <v>81</v>
      </c>
      <c r="AZ102" s="311">
        <v>145</v>
      </c>
      <c r="BA102" s="311">
        <v>50</v>
      </c>
      <c r="BB102" s="311">
        <v>24</v>
      </c>
      <c r="BC102" s="311">
        <v>139</v>
      </c>
      <c r="BD102" s="311">
        <v>7</v>
      </c>
      <c r="BE102" s="311">
        <v>0</v>
      </c>
      <c r="BF102" s="311">
        <v>234</v>
      </c>
      <c r="BG102" s="311">
        <v>59</v>
      </c>
      <c r="BH102" s="311">
        <v>10</v>
      </c>
      <c r="BI102" s="312">
        <v>25.490196078431371</v>
      </c>
      <c r="BJ102" s="313">
        <v>2.4</v>
      </c>
      <c r="BK102" s="313">
        <v>12.1</v>
      </c>
      <c r="BL102" s="313">
        <v>9.1</v>
      </c>
      <c r="BM102" s="313">
        <v>6.3</v>
      </c>
      <c r="BN102" s="313">
        <v>8</v>
      </c>
      <c r="BO102" s="313">
        <v>3.6</v>
      </c>
      <c r="BP102" s="313">
        <v>7.2</v>
      </c>
      <c r="BQ102" s="313">
        <v>5.4</v>
      </c>
      <c r="BR102" s="313">
        <v>5.8</v>
      </c>
      <c r="BS102" s="313">
        <v>5.6</v>
      </c>
      <c r="BT102" s="313">
        <v>6.1</v>
      </c>
      <c r="BU102" s="313">
        <v>7</v>
      </c>
      <c r="BV102" s="313">
        <v>3.4</v>
      </c>
      <c r="BW102" s="313">
        <v>2.8</v>
      </c>
      <c r="BX102" s="313">
        <v>4.3</v>
      </c>
      <c r="BY102" s="313">
        <v>4.2</v>
      </c>
      <c r="BZ102" s="313">
        <v>3.2</v>
      </c>
      <c r="CA102" s="313">
        <v>3.6</v>
      </c>
      <c r="CB102" s="313">
        <v>23.6</v>
      </c>
      <c r="CC102" s="313">
        <v>58.4</v>
      </c>
      <c r="CD102" s="313">
        <v>18.100000000000001</v>
      </c>
    </row>
    <row r="103" spans="1:82" x14ac:dyDescent="0.25">
      <c r="A103" s="130" t="s">
        <v>4635</v>
      </c>
      <c r="B103" s="130" t="s">
        <v>161</v>
      </c>
      <c r="C103" s="130" t="s">
        <v>4636</v>
      </c>
      <c r="D103" s="130" t="s">
        <v>35</v>
      </c>
      <c r="E103" s="130" t="s">
        <v>4629</v>
      </c>
      <c r="F103" s="130" t="s">
        <v>4272</v>
      </c>
      <c r="G103" s="130" t="s">
        <v>4637</v>
      </c>
      <c r="H103" s="309">
        <v>540064</v>
      </c>
      <c r="I103" s="277" t="s">
        <v>1455</v>
      </c>
      <c r="J103" s="130">
        <v>5468596</v>
      </c>
      <c r="K103" s="130" t="s">
        <v>4638</v>
      </c>
      <c r="L103" s="310">
        <v>3.2822317105139143</v>
      </c>
      <c r="M103" s="311">
        <v>3220</v>
      </c>
      <c r="N103" s="312">
        <v>981.03981802547071</v>
      </c>
      <c r="O103" s="311">
        <v>1458</v>
      </c>
      <c r="P103" s="312">
        <v>2.13</v>
      </c>
      <c r="Q103" s="311">
        <v>3105</v>
      </c>
      <c r="R103" s="311">
        <v>281</v>
      </c>
      <c r="S103" s="311">
        <v>48</v>
      </c>
      <c r="T103" s="311">
        <v>254</v>
      </c>
      <c r="U103" s="311">
        <v>91</v>
      </c>
      <c r="V103" s="311">
        <v>74</v>
      </c>
      <c r="W103" s="311">
        <v>150</v>
      </c>
      <c r="X103" s="311">
        <v>11</v>
      </c>
      <c r="Y103" s="311">
        <v>35</v>
      </c>
      <c r="Z103" s="311">
        <v>66</v>
      </c>
      <c r="AA103" s="311">
        <v>53</v>
      </c>
      <c r="AB103" s="311">
        <v>141</v>
      </c>
      <c r="AC103" s="311">
        <v>135</v>
      </c>
      <c r="AD103" s="311">
        <v>57</v>
      </c>
      <c r="AE103" s="311">
        <v>16</v>
      </c>
      <c r="AF103" s="311">
        <v>12</v>
      </c>
      <c r="AG103" s="311">
        <v>34</v>
      </c>
      <c r="AH103" s="312">
        <v>39.986282578875169</v>
      </c>
      <c r="AI103" s="312">
        <v>11.316872427983538</v>
      </c>
      <c r="AJ103" s="312">
        <v>17.969821673525377</v>
      </c>
      <c r="AK103" s="312">
        <v>3.635116598079561</v>
      </c>
      <c r="AL103" s="312">
        <v>27.09190672153635</v>
      </c>
      <c r="AM103" s="311">
        <v>21346</v>
      </c>
      <c r="AN103" s="311">
        <v>29181</v>
      </c>
      <c r="AO103" s="312">
        <v>64.746227709190677</v>
      </c>
      <c r="AP103" s="311">
        <v>1458</v>
      </c>
      <c r="AQ103" s="311">
        <v>39</v>
      </c>
      <c r="AR103" s="311">
        <v>782</v>
      </c>
      <c r="AS103" s="311">
        <v>676</v>
      </c>
      <c r="AT103" s="311">
        <v>36</v>
      </c>
      <c r="AU103" s="311">
        <v>200</v>
      </c>
      <c r="AV103" s="311">
        <v>299</v>
      </c>
      <c r="AW103" s="311">
        <v>78</v>
      </c>
      <c r="AX103" s="311">
        <v>90</v>
      </c>
      <c r="AY103" s="311">
        <v>147</v>
      </c>
      <c r="AZ103" s="311">
        <v>97</v>
      </c>
      <c r="BA103" s="311">
        <v>15</v>
      </c>
      <c r="BB103" s="311">
        <v>0</v>
      </c>
      <c r="BC103" s="311">
        <v>153</v>
      </c>
      <c r="BD103" s="311">
        <v>41</v>
      </c>
      <c r="BE103" s="311">
        <v>0</v>
      </c>
      <c r="BF103" s="311">
        <v>254</v>
      </c>
      <c r="BG103" s="311">
        <v>0</v>
      </c>
      <c r="BH103" s="311">
        <v>0</v>
      </c>
      <c r="BI103" s="312">
        <v>30.589849108367627</v>
      </c>
      <c r="BJ103" s="313">
        <v>4.0999999999999996</v>
      </c>
      <c r="BK103" s="313">
        <v>6.7</v>
      </c>
      <c r="BL103" s="313">
        <v>3.6</v>
      </c>
      <c r="BM103" s="313">
        <v>11</v>
      </c>
      <c r="BN103" s="313">
        <v>6.1</v>
      </c>
      <c r="BO103" s="313">
        <v>5.6</v>
      </c>
      <c r="BP103" s="313">
        <v>4.9000000000000004</v>
      </c>
      <c r="BQ103" s="313">
        <v>4.9000000000000004</v>
      </c>
      <c r="BR103" s="313">
        <v>7.9</v>
      </c>
      <c r="BS103" s="313">
        <v>6.1</v>
      </c>
      <c r="BT103" s="313">
        <v>5.2</v>
      </c>
      <c r="BU103" s="313">
        <v>3.2</v>
      </c>
      <c r="BV103" s="313">
        <v>9</v>
      </c>
      <c r="BW103" s="313">
        <v>2.6</v>
      </c>
      <c r="BX103" s="313">
        <v>5.9</v>
      </c>
      <c r="BY103" s="313">
        <v>5.0999999999999996</v>
      </c>
      <c r="BZ103" s="313">
        <v>3.1</v>
      </c>
      <c r="CA103" s="313">
        <v>5.0999999999999996</v>
      </c>
      <c r="CB103" s="313">
        <v>14.4</v>
      </c>
      <c r="CC103" s="313">
        <v>63.900000000000006</v>
      </c>
      <c r="CD103" s="313">
        <v>21.799999999999997</v>
      </c>
    </row>
    <row r="104" spans="1:82" s="322" customFormat="1" x14ac:dyDescent="0.25">
      <c r="A104" s="314" t="s">
        <v>4639</v>
      </c>
      <c r="B104" s="315" t="s">
        <v>348</v>
      </c>
      <c r="C104" s="314"/>
      <c r="D104" s="314"/>
      <c r="E104" s="314"/>
      <c r="F104" s="314"/>
      <c r="G104" s="314"/>
      <c r="H104" s="316"/>
      <c r="I104" s="317"/>
      <c r="J104" s="314">
        <v>54035</v>
      </c>
      <c r="K104" s="314" t="s">
        <v>4640</v>
      </c>
      <c r="L104" s="318">
        <v>471.25946611350685</v>
      </c>
      <c r="M104" s="319">
        <v>29123</v>
      </c>
      <c r="N104" s="320">
        <v>61.798228139963726</v>
      </c>
      <c r="O104" s="319">
        <v>11149</v>
      </c>
      <c r="P104" s="320">
        <v>2.6</v>
      </c>
      <c r="Q104" s="319">
        <v>28947</v>
      </c>
      <c r="R104" s="319">
        <v>1272</v>
      </c>
      <c r="S104" s="319">
        <v>581</v>
      </c>
      <c r="T104" s="319">
        <v>657</v>
      </c>
      <c r="U104" s="319">
        <v>852</v>
      </c>
      <c r="V104" s="319">
        <v>700</v>
      </c>
      <c r="W104" s="319">
        <v>683</v>
      </c>
      <c r="X104" s="319">
        <v>619</v>
      </c>
      <c r="Y104" s="319">
        <v>509</v>
      </c>
      <c r="Z104" s="319">
        <v>611</v>
      </c>
      <c r="AA104" s="319">
        <v>703</v>
      </c>
      <c r="AB104" s="319">
        <v>1189</v>
      </c>
      <c r="AC104" s="319">
        <v>1215</v>
      </c>
      <c r="AD104" s="319">
        <v>765</v>
      </c>
      <c r="AE104" s="319">
        <v>327</v>
      </c>
      <c r="AF104" s="319">
        <v>196</v>
      </c>
      <c r="AG104" s="319">
        <v>270</v>
      </c>
      <c r="AH104" s="320">
        <v>22.513229886088439</v>
      </c>
      <c r="AI104" s="320">
        <v>13.920530989326396</v>
      </c>
      <c r="AJ104" s="320">
        <v>21.723921427930755</v>
      </c>
      <c r="AK104" s="320">
        <v>6.3054982509642112</v>
      </c>
      <c r="AL104" s="320">
        <v>35.536819445690199</v>
      </c>
      <c r="AM104" s="319">
        <v>23246</v>
      </c>
      <c r="AN104" s="319">
        <v>41731</v>
      </c>
      <c r="AO104" s="320">
        <v>52.677370167728043</v>
      </c>
      <c r="AP104" s="319">
        <v>11149</v>
      </c>
      <c r="AQ104" s="319">
        <v>2229</v>
      </c>
      <c r="AR104" s="319">
        <v>8643</v>
      </c>
      <c r="AS104" s="319">
        <v>2506</v>
      </c>
      <c r="AT104" s="319">
        <v>359</v>
      </c>
      <c r="AU104" s="319">
        <v>489</v>
      </c>
      <c r="AV104" s="319">
        <v>1339</v>
      </c>
      <c r="AW104" s="319">
        <v>1052</v>
      </c>
      <c r="AX104" s="319">
        <v>366</v>
      </c>
      <c r="AY104" s="319">
        <v>663</v>
      </c>
      <c r="AZ104" s="319">
        <v>1201</v>
      </c>
      <c r="BA104" s="319">
        <v>316</v>
      </c>
      <c r="BB104" s="319">
        <v>176</v>
      </c>
      <c r="BC104" s="319">
        <v>1613</v>
      </c>
      <c r="BD104" s="319">
        <v>180</v>
      </c>
      <c r="BE104" s="319">
        <v>70</v>
      </c>
      <c r="BF104" s="319">
        <v>2339</v>
      </c>
      <c r="BG104" s="319">
        <v>183</v>
      </c>
      <c r="BH104" s="319">
        <v>99</v>
      </c>
      <c r="BI104" s="320">
        <v>21.051215355637275</v>
      </c>
      <c r="BJ104" s="321">
        <v>5.7</v>
      </c>
      <c r="BK104" s="321">
        <v>6.8</v>
      </c>
      <c r="BL104" s="321">
        <v>5.6</v>
      </c>
      <c r="BM104" s="321">
        <v>6.2</v>
      </c>
      <c r="BN104" s="321">
        <v>5.3</v>
      </c>
      <c r="BO104" s="321">
        <v>5.2</v>
      </c>
      <c r="BP104" s="321">
        <v>5.8</v>
      </c>
      <c r="BQ104" s="321">
        <v>5.5</v>
      </c>
      <c r="BR104" s="321">
        <v>6.6</v>
      </c>
      <c r="BS104" s="321">
        <v>6.4</v>
      </c>
      <c r="BT104" s="321">
        <v>7.5</v>
      </c>
      <c r="BU104" s="321">
        <v>6.6</v>
      </c>
      <c r="BV104" s="321">
        <v>7.9</v>
      </c>
      <c r="BW104" s="321">
        <v>4.7</v>
      </c>
      <c r="BX104" s="321">
        <v>5.7</v>
      </c>
      <c r="BY104" s="321">
        <v>3.6</v>
      </c>
      <c r="BZ104" s="321">
        <v>2.1</v>
      </c>
      <c r="CA104" s="321">
        <v>2.9</v>
      </c>
      <c r="CB104" s="321">
        <v>18.100000000000001</v>
      </c>
      <c r="CC104" s="321">
        <v>63</v>
      </c>
      <c r="CD104" s="321">
        <v>19</v>
      </c>
    </row>
    <row r="105" spans="1:82" s="338" customFormat="1" x14ac:dyDescent="0.25">
      <c r="A105" s="331" t="s">
        <v>4641</v>
      </c>
      <c r="B105" s="331" t="s">
        <v>36</v>
      </c>
      <c r="C105" s="331" t="s">
        <v>4642</v>
      </c>
      <c r="D105" s="331" t="s">
        <v>37</v>
      </c>
      <c r="E105" s="331" t="s">
        <v>4643</v>
      </c>
      <c r="F105" s="331" t="s">
        <v>4272</v>
      </c>
      <c r="G105" s="331" t="s">
        <v>4644</v>
      </c>
      <c r="H105" s="332">
        <v>540065</v>
      </c>
      <c r="I105" s="333" t="s">
        <v>1457</v>
      </c>
      <c r="J105" s="331" t="s">
        <v>488</v>
      </c>
      <c r="K105" s="331" t="s">
        <v>488</v>
      </c>
      <c r="L105" s="334">
        <v>196.43136917970148</v>
      </c>
      <c r="M105" s="335">
        <v>41907</v>
      </c>
      <c r="N105" s="336">
        <v>213.34168862643412</v>
      </c>
      <c r="O105" s="335">
        <v>15700</v>
      </c>
      <c r="P105" s="336">
        <v>2.6456687898089171</v>
      </c>
      <c r="Q105" s="335">
        <v>41537</v>
      </c>
      <c r="R105" s="335">
        <v>757</v>
      </c>
      <c r="S105" s="335">
        <v>325</v>
      </c>
      <c r="T105" s="335">
        <v>421</v>
      </c>
      <c r="U105" s="335">
        <v>491</v>
      </c>
      <c r="V105" s="335">
        <v>453</v>
      </c>
      <c r="W105" s="335">
        <v>520</v>
      </c>
      <c r="X105" s="335">
        <v>535</v>
      </c>
      <c r="Y105" s="335">
        <v>555</v>
      </c>
      <c r="Z105" s="335">
        <v>504</v>
      </c>
      <c r="AA105" s="335">
        <v>1454</v>
      </c>
      <c r="AB105" s="335">
        <v>1569</v>
      </c>
      <c r="AC105" s="335">
        <v>2098</v>
      </c>
      <c r="AD105" s="335">
        <v>2074</v>
      </c>
      <c r="AE105" s="335">
        <v>1486</v>
      </c>
      <c r="AF105" s="335">
        <v>1255</v>
      </c>
      <c r="AG105" s="335">
        <v>1203</v>
      </c>
      <c r="AH105" s="336">
        <v>9.5732484076433124</v>
      </c>
      <c r="AI105" s="336">
        <v>6.0127388535031852</v>
      </c>
      <c r="AJ105" s="336">
        <v>13.464968152866241</v>
      </c>
      <c r="AK105" s="336">
        <v>9.2611464968152859</v>
      </c>
      <c r="AL105" s="336">
        <v>61.687898089171981</v>
      </c>
      <c r="AM105" s="335">
        <v>33241</v>
      </c>
      <c r="AN105" s="335">
        <v>72526</v>
      </c>
      <c r="AO105" s="336">
        <v>25.840764331210192</v>
      </c>
      <c r="AP105" s="335">
        <v>15700</v>
      </c>
      <c r="AQ105" s="335">
        <v>1478</v>
      </c>
      <c r="AR105" s="335">
        <v>12477</v>
      </c>
      <c r="AS105" s="335">
        <v>3223</v>
      </c>
      <c r="AT105" s="335">
        <v>75</v>
      </c>
      <c r="AU105" s="335">
        <v>143</v>
      </c>
      <c r="AV105" s="335">
        <v>1025</v>
      </c>
      <c r="AW105" s="335">
        <v>500</v>
      </c>
      <c r="AX105" s="335">
        <v>253</v>
      </c>
      <c r="AY105" s="335">
        <v>664</v>
      </c>
      <c r="AZ105" s="335">
        <v>560</v>
      </c>
      <c r="BA105" s="335">
        <v>477</v>
      </c>
      <c r="BB105" s="335">
        <v>525</v>
      </c>
      <c r="BC105" s="335">
        <v>1276</v>
      </c>
      <c r="BD105" s="335">
        <v>854</v>
      </c>
      <c r="BE105" s="335">
        <v>847</v>
      </c>
      <c r="BF105" s="335">
        <v>6038</v>
      </c>
      <c r="BG105" s="335">
        <v>1577</v>
      </c>
      <c r="BH105" s="335">
        <v>448</v>
      </c>
      <c r="BI105" s="336">
        <v>22.35031847133758</v>
      </c>
      <c r="BJ105" s="337">
        <v>5.6</v>
      </c>
      <c r="BK105" s="337">
        <v>6.6</v>
      </c>
      <c r="BL105" s="337">
        <v>6.6</v>
      </c>
      <c r="BM105" s="337">
        <v>6.9</v>
      </c>
      <c r="BN105" s="337">
        <v>5.8</v>
      </c>
      <c r="BO105" s="337">
        <v>5.4</v>
      </c>
      <c r="BP105" s="337">
        <v>6</v>
      </c>
      <c r="BQ105" s="337">
        <v>6.7</v>
      </c>
      <c r="BR105" s="337">
        <v>6.5</v>
      </c>
      <c r="BS105" s="337">
        <v>7.6</v>
      </c>
      <c r="BT105" s="337">
        <v>8</v>
      </c>
      <c r="BU105" s="337">
        <v>6.9</v>
      </c>
      <c r="BV105" s="337">
        <v>6.8</v>
      </c>
      <c r="BW105" s="337">
        <v>5.3</v>
      </c>
      <c r="BX105" s="337">
        <v>3.9</v>
      </c>
      <c r="BY105" s="337">
        <v>2.7</v>
      </c>
      <c r="BZ105" s="337">
        <v>1.5</v>
      </c>
      <c r="CA105" s="337">
        <v>1.2</v>
      </c>
      <c r="CB105" s="337">
        <v>18.799999999999997</v>
      </c>
      <c r="CC105" s="337">
        <v>66.599999999999994</v>
      </c>
      <c r="CD105" s="337">
        <v>14.599999999999998</v>
      </c>
    </row>
    <row r="106" spans="1:82" s="16" customFormat="1" x14ac:dyDescent="0.25">
      <c r="A106" s="211" t="s">
        <v>4645</v>
      </c>
      <c r="B106" s="211" t="s">
        <v>135</v>
      </c>
      <c r="C106" s="211" t="s">
        <v>4646</v>
      </c>
      <c r="D106" s="211" t="s">
        <v>37</v>
      </c>
      <c r="E106" s="211" t="s">
        <v>4643</v>
      </c>
      <c r="F106" s="211" t="s">
        <v>4272</v>
      </c>
      <c r="G106" s="211" t="s">
        <v>4647</v>
      </c>
      <c r="H106" s="339">
        <v>540030</v>
      </c>
      <c r="I106" s="340" t="s">
        <v>1458</v>
      </c>
      <c r="J106" s="211">
        <v>5408932</v>
      </c>
      <c r="K106" s="211" t="s">
        <v>4648</v>
      </c>
      <c r="L106" s="341">
        <v>0.43364688009156149</v>
      </c>
      <c r="M106" s="342">
        <v>1246</v>
      </c>
      <c r="N106" s="343">
        <v>2873.305579269741</v>
      </c>
      <c r="O106" s="342">
        <v>526</v>
      </c>
      <c r="P106" s="343">
        <v>2.37</v>
      </c>
      <c r="Q106" s="342">
        <v>1246</v>
      </c>
      <c r="R106" s="342">
        <v>23</v>
      </c>
      <c r="S106" s="342">
        <v>13</v>
      </c>
      <c r="T106" s="342">
        <v>30</v>
      </c>
      <c r="U106" s="342">
        <v>10</v>
      </c>
      <c r="V106" s="342">
        <v>28</v>
      </c>
      <c r="W106" s="342">
        <v>9</v>
      </c>
      <c r="X106" s="342">
        <v>40</v>
      </c>
      <c r="Y106" s="342">
        <v>21</v>
      </c>
      <c r="Z106" s="342">
        <v>49</v>
      </c>
      <c r="AA106" s="342">
        <v>42</v>
      </c>
      <c r="AB106" s="342">
        <v>58</v>
      </c>
      <c r="AC106" s="342">
        <v>38</v>
      </c>
      <c r="AD106" s="342">
        <v>60</v>
      </c>
      <c r="AE106" s="342">
        <v>53</v>
      </c>
      <c r="AF106" s="342">
        <v>33</v>
      </c>
      <c r="AG106" s="342">
        <v>19</v>
      </c>
      <c r="AH106" s="343">
        <v>12.547528517110266</v>
      </c>
      <c r="AI106" s="343">
        <v>7.2243346007604554</v>
      </c>
      <c r="AJ106" s="343">
        <v>22.623574144486692</v>
      </c>
      <c r="AK106" s="343">
        <v>7.9847908745247151</v>
      </c>
      <c r="AL106" s="343">
        <v>49.619771863117876</v>
      </c>
      <c r="AM106" s="342">
        <v>33264</v>
      </c>
      <c r="AN106" s="342">
        <v>59722</v>
      </c>
      <c r="AO106" s="343">
        <v>33.079847908745244</v>
      </c>
      <c r="AP106" s="342">
        <v>526</v>
      </c>
      <c r="AQ106" s="342">
        <v>94</v>
      </c>
      <c r="AR106" s="342">
        <v>400</v>
      </c>
      <c r="AS106" s="342">
        <v>126</v>
      </c>
      <c r="AT106" s="342">
        <v>13</v>
      </c>
      <c r="AU106" s="342">
        <v>21</v>
      </c>
      <c r="AV106" s="342">
        <v>29</v>
      </c>
      <c r="AW106" s="342">
        <v>15</v>
      </c>
      <c r="AX106" s="342">
        <v>7</v>
      </c>
      <c r="AY106" s="342">
        <v>20</v>
      </c>
      <c r="AZ106" s="342">
        <v>57</v>
      </c>
      <c r="BA106" s="342">
        <v>12</v>
      </c>
      <c r="BB106" s="342">
        <v>37</v>
      </c>
      <c r="BC106" s="342">
        <v>58</v>
      </c>
      <c r="BD106" s="342">
        <v>25</v>
      </c>
      <c r="BE106" s="342">
        <v>17</v>
      </c>
      <c r="BF106" s="342">
        <v>187</v>
      </c>
      <c r="BG106" s="342">
        <v>10</v>
      </c>
      <c r="BH106" s="342">
        <v>0</v>
      </c>
      <c r="BI106" s="343">
        <v>19.581749049429657</v>
      </c>
      <c r="BJ106" s="344">
        <v>8.5</v>
      </c>
      <c r="BK106" s="344">
        <v>4.9000000000000004</v>
      </c>
      <c r="BL106" s="344">
        <v>4.7</v>
      </c>
      <c r="BM106" s="344">
        <v>4.4000000000000004</v>
      </c>
      <c r="BN106" s="344">
        <v>4</v>
      </c>
      <c r="BO106" s="344">
        <v>9.6</v>
      </c>
      <c r="BP106" s="344">
        <v>6.3</v>
      </c>
      <c r="BQ106" s="344">
        <v>6.5</v>
      </c>
      <c r="BR106" s="344">
        <v>7.4</v>
      </c>
      <c r="BS106" s="344">
        <v>6.3</v>
      </c>
      <c r="BT106" s="344">
        <v>9.1</v>
      </c>
      <c r="BU106" s="344">
        <v>5</v>
      </c>
      <c r="BV106" s="344">
        <v>4.5999999999999996</v>
      </c>
      <c r="BW106" s="344">
        <v>6</v>
      </c>
      <c r="BX106" s="344">
        <v>5.9</v>
      </c>
      <c r="BY106" s="344">
        <v>2.4</v>
      </c>
      <c r="BZ106" s="344">
        <v>3</v>
      </c>
      <c r="CA106" s="344">
        <v>1.4</v>
      </c>
      <c r="CB106" s="344">
        <v>18.100000000000001</v>
      </c>
      <c r="CC106" s="344">
        <v>63.2</v>
      </c>
      <c r="CD106" s="344">
        <v>18.7</v>
      </c>
    </row>
    <row r="107" spans="1:82" s="16" customFormat="1" x14ac:dyDescent="0.25">
      <c r="A107" s="211" t="s">
        <v>4649</v>
      </c>
      <c r="B107" s="211" t="s">
        <v>162</v>
      </c>
      <c r="C107" s="211" t="s">
        <v>4650</v>
      </c>
      <c r="D107" s="211" t="s">
        <v>37</v>
      </c>
      <c r="E107" s="211" t="s">
        <v>4643</v>
      </c>
      <c r="F107" s="211" t="s">
        <v>4272</v>
      </c>
      <c r="G107" s="211" t="s">
        <v>4651</v>
      </c>
      <c r="H107" s="339">
        <v>540066</v>
      </c>
      <c r="I107" s="340" t="s">
        <v>1459</v>
      </c>
      <c r="J107" s="211">
        <v>5414610</v>
      </c>
      <c r="K107" s="211" t="s">
        <v>4652</v>
      </c>
      <c r="L107" s="341">
        <v>5.849104431974772</v>
      </c>
      <c r="M107" s="342">
        <v>5766</v>
      </c>
      <c r="N107" s="343">
        <v>985.79193910088657</v>
      </c>
      <c r="O107" s="342">
        <v>2279</v>
      </c>
      <c r="P107" s="343">
        <v>2.4900000000000002</v>
      </c>
      <c r="Q107" s="342">
        <v>5673</v>
      </c>
      <c r="R107" s="342">
        <v>212</v>
      </c>
      <c r="S107" s="342">
        <v>60</v>
      </c>
      <c r="T107" s="342">
        <v>104</v>
      </c>
      <c r="U107" s="342">
        <v>226</v>
      </c>
      <c r="V107" s="342">
        <v>62</v>
      </c>
      <c r="W107" s="342">
        <v>57</v>
      </c>
      <c r="X107" s="342">
        <v>118</v>
      </c>
      <c r="Y107" s="342">
        <v>49</v>
      </c>
      <c r="Z107" s="342">
        <v>4</v>
      </c>
      <c r="AA107" s="342">
        <v>173</v>
      </c>
      <c r="AB107" s="342">
        <v>135</v>
      </c>
      <c r="AC107" s="342">
        <v>378</v>
      </c>
      <c r="AD107" s="342">
        <v>303</v>
      </c>
      <c r="AE107" s="342">
        <v>148</v>
      </c>
      <c r="AF107" s="342">
        <v>126</v>
      </c>
      <c r="AG107" s="342">
        <v>124</v>
      </c>
      <c r="AH107" s="343">
        <v>16.498464238701185</v>
      </c>
      <c r="AI107" s="343">
        <v>12.637121544537077</v>
      </c>
      <c r="AJ107" s="343">
        <v>10.004387889425187</v>
      </c>
      <c r="AK107" s="343">
        <v>7.5910487055726197</v>
      </c>
      <c r="AL107" s="343">
        <v>53.268977621763938</v>
      </c>
      <c r="AM107" s="342">
        <v>30604</v>
      </c>
      <c r="AN107" s="342">
        <v>70708</v>
      </c>
      <c r="AO107" s="343">
        <v>38.964458095655992</v>
      </c>
      <c r="AP107" s="342">
        <v>2279</v>
      </c>
      <c r="AQ107" s="342">
        <v>142</v>
      </c>
      <c r="AR107" s="342">
        <v>1296</v>
      </c>
      <c r="AS107" s="342">
        <v>983</v>
      </c>
      <c r="AT107" s="342">
        <v>9</v>
      </c>
      <c r="AU107" s="342">
        <v>42</v>
      </c>
      <c r="AV107" s="342">
        <v>249</v>
      </c>
      <c r="AW107" s="342">
        <v>147</v>
      </c>
      <c r="AX107" s="342">
        <v>60</v>
      </c>
      <c r="AY107" s="342">
        <v>138</v>
      </c>
      <c r="AZ107" s="342">
        <v>19</v>
      </c>
      <c r="BA107" s="342">
        <v>17</v>
      </c>
      <c r="BB107" s="342">
        <v>113</v>
      </c>
      <c r="BC107" s="342">
        <v>120</v>
      </c>
      <c r="BD107" s="342">
        <v>58</v>
      </c>
      <c r="BE107" s="342">
        <v>117</v>
      </c>
      <c r="BF107" s="342">
        <v>646</v>
      </c>
      <c r="BG107" s="342">
        <v>360</v>
      </c>
      <c r="BH107" s="342">
        <v>62</v>
      </c>
      <c r="BI107" s="343">
        <v>29.793769197016235</v>
      </c>
      <c r="BJ107" s="344">
        <v>5.7</v>
      </c>
      <c r="BK107" s="344">
        <v>10.199999999999999</v>
      </c>
      <c r="BL107" s="344">
        <v>8.5</v>
      </c>
      <c r="BM107" s="344">
        <v>5.6</v>
      </c>
      <c r="BN107" s="344">
        <v>4.5999999999999996</v>
      </c>
      <c r="BO107" s="344">
        <v>3</v>
      </c>
      <c r="BP107" s="344">
        <v>7.6</v>
      </c>
      <c r="BQ107" s="344">
        <v>8.6999999999999993</v>
      </c>
      <c r="BR107" s="344">
        <v>7.9</v>
      </c>
      <c r="BS107" s="344">
        <v>6.6</v>
      </c>
      <c r="BT107" s="344">
        <v>7.1</v>
      </c>
      <c r="BU107" s="344">
        <v>5.6</v>
      </c>
      <c r="BV107" s="344">
        <v>5.5</v>
      </c>
      <c r="BW107" s="344">
        <v>3.6</v>
      </c>
      <c r="BX107" s="344">
        <v>4.3</v>
      </c>
      <c r="BY107" s="344">
        <v>3.5</v>
      </c>
      <c r="BZ107" s="344">
        <v>0.8</v>
      </c>
      <c r="CA107" s="344">
        <v>1.3</v>
      </c>
      <c r="CB107" s="344">
        <v>24.4</v>
      </c>
      <c r="CC107" s="344">
        <v>62.2</v>
      </c>
      <c r="CD107" s="344">
        <v>13.500000000000002</v>
      </c>
    </row>
    <row r="108" spans="1:82" s="16" customFormat="1" x14ac:dyDescent="0.25">
      <c r="A108" s="211" t="s">
        <v>4653</v>
      </c>
      <c r="B108" s="211" t="s">
        <v>163</v>
      </c>
      <c r="C108" s="211" t="s">
        <v>4654</v>
      </c>
      <c r="D108" s="211" t="s">
        <v>37</v>
      </c>
      <c r="E108" s="211" t="s">
        <v>4643</v>
      </c>
      <c r="F108" s="211" t="s">
        <v>4272</v>
      </c>
      <c r="G108" s="211" t="s">
        <v>4655</v>
      </c>
      <c r="H108" s="339">
        <v>540067</v>
      </c>
      <c r="I108" s="340" t="s">
        <v>1460</v>
      </c>
      <c r="J108" s="211">
        <v>5435284</v>
      </c>
      <c r="K108" s="211" t="s">
        <v>4656</v>
      </c>
      <c r="L108" s="341">
        <v>0.62393899224125271</v>
      </c>
      <c r="M108" s="342">
        <v>236</v>
      </c>
      <c r="N108" s="343">
        <v>378.24210849888362</v>
      </c>
      <c r="O108" s="342">
        <v>113</v>
      </c>
      <c r="P108" s="343">
        <v>2.09</v>
      </c>
      <c r="Q108" s="342">
        <v>236</v>
      </c>
      <c r="R108" s="342">
        <v>4</v>
      </c>
      <c r="S108" s="342">
        <v>2</v>
      </c>
      <c r="T108" s="342">
        <v>7</v>
      </c>
      <c r="U108" s="342">
        <v>0</v>
      </c>
      <c r="V108" s="342">
        <v>4</v>
      </c>
      <c r="W108" s="342">
        <v>3</v>
      </c>
      <c r="X108" s="342">
        <v>0</v>
      </c>
      <c r="Y108" s="342">
        <v>2</v>
      </c>
      <c r="Z108" s="342">
        <v>6</v>
      </c>
      <c r="AA108" s="342">
        <v>10</v>
      </c>
      <c r="AB108" s="342">
        <v>16</v>
      </c>
      <c r="AC108" s="342">
        <v>7</v>
      </c>
      <c r="AD108" s="342">
        <v>16</v>
      </c>
      <c r="AE108" s="342">
        <v>10</v>
      </c>
      <c r="AF108" s="342">
        <v>13</v>
      </c>
      <c r="AG108" s="342">
        <v>13</v>
      </c>
      <c r="AH108" s="343">
        <v>11.504424778761061</v>
      </c>
      <c r="AI108" s="343">
        <v>3.5398230088495577</v>
      </c>
      <c r="AJ108" s="343">
        <v>9.7345132743362832</v>
      </c>
      <c r="AK108" s="343">
        <v>8.8495575221238933</v>
      </c>
      <c r="AL108" s="343">
        <v>66.371681415929203</v>
      </c>
      <c r="AM108" s="342">
        <v>49642</v>
      </c>
      <c r="AN108" s="342">
        <v>88393</v>
      </c>
      <c r="AO108" s="343">
        <v>19.469026548672566</v>
      </c>
      <c r="AP108" s="342">
        <v>113</v>
      </c>
      <c r="AQ108" s="342">
        <v>52</v>
      </c>
      <c r="AR108" s="342">
        <v>92</v>
      </c>
      <c r="AS108" s="342">
        <v>21</v>
      </c>
      <c r="AT108" s="342">
        <v>0</v>
      </c>
      <c r="AU108" s="342">
        <v>4</v>
      </c>
      <c r="AV108" s="342">
        <v>9</v>
      </c>
      <c r="AW108" s="342">
        <v>0</v>
      </c>
      <c r="AX108" s="342">
        <v>4</v>
      </c>
      <c r="AY108" s="342">
        <v>3</v>
      </c>
      <c r="AZ108" s="342">
        <v>8</v>
      </c>
      <c r="BA108" s="342">
        <v>0</v>
      </c>
      <c r="BB108" s="342">
        <v>0</v>
      </c>
      <c r="BC108" s="342">
        <v>5</v>
      </c>
      <c r="BD108" s="342">
        <v>16</v>
      </c>
      <c r="BE108" s="342">
        <v>5</v>
      </c>
      <c r="BF108" s="342">
        <v>41</v>
      </c>
      <c r="BG108" s="342">
        <v>10</v>
      </c>
      <c r="BH108" s="342">
        <v>8</v>
      </c>
      <c r="BI108" s="343">
        <v>22.123893805309734</v>
      </c>
      <c r="BJ108" s="344">
        <v>4.2</v>
      </c>
      <c r="BK108" s="344">
        <v>5.0999999999999996</v>
      </c>
      <c r="BL108" s="344">
        <v>3.8</v>
      </c>
      <c r="BM108" s="344">
        <v>5.9</v>
      </c>
      <c r="BN108" s="344">
        <v>7.2</v>
      </c>
      <c r="BO108" s="344">
        <v>0.4</v>
      </c>
      <c r="BP108" s="344">
        <v>3.8</v>
      </c>
      <c r="BQ108" s="344">
        <v>1.7</v>
      </c>
      <c r="BR108" s="344">
        <v>3.8</v>
      </c>
      <c r="BS108" s="344">
        <v>5.5</v>
      </c>
      <c r="BT108" s="344">
        <v>16.5</v>
      </c>
      <c r="BU108" s="344">
        <v>11.9</v>
      </c>
      <c r="BV108" s="344">
        <v>5.0999999999999996</v>
      </c>
      <c r="BW108" s="344">
        <v>5.9</v>
      </c>
      <c r="BX108" s="344">
        <v>10.6</v>
      </c>
      <c r="BY108" s="344">
        <v>1.3</v>
      </c>
      <c r="BZ108" s="344">
        <v>2.5</v>
      </c>
      <c r="CA108" s="344">
        <v>4.7</v>
      </c>
      <c r="CB108" s="344">
        <v>13.100000000000001</v>
      </c>
      <c r="CC108" s="344">
        <v>61.8</v>
      </c>
      <c r="CD108" s="344">
        <v>25</v>
      </c>
    </row>
    <row r="109" spans="1:82" s="16" customFormat="1" x14ac:dyDescent="0.25">
      <c r="A109" s="211" t="s">
        <v>4657</v>
      </c>
      <c r="B109" s="211" t="s">
        <v>164</v>
      </c>
      <c r="C109" s="211" t="s">
        <v>4658</v>
      </c>
      <c r="D109" s="211" t="s">
        <v>37</v>
      </c>
      <c r="E109" s="211" t="s">
        <v>4643</v>
      </c>
      <c r="F109" s="211" t="s">
        <v>4272</v>
      </c>
      <c r="G109" s="211" t="s">
        <v>4659</v>
      </c>
      <c r="H109" s="339">
        <v>540068</v>
      </c>
      <c r="I109" s="340" t="s">
        <v>1461</v>
      </c>
      <c r="J109" s="211">
        <v>5466988</v>
      </c>
      <c r="K109" s="211" t="s">
        <v>4660</v>
      </c>
      <c r="L109" s="341">
        <v>8.1002244999977293</v>
      </c>
      <c r="M109" s="342">
        <v>4945</v>
      </c>
      <c r="N109" s="343">
        <v>610.47690715255931</v>
      </c>
      <c r="O109" s="342">
        <v>1859</v>
      </c>
      <c r="P109" s="343">
        <v>2.66</v>
      </c>
      <c r="Q109" s="342">
        <v>4945</v>
      </c>
      <c r="R109" s="342">
        <v>169</v>
      </c>
      <c r="S109" s="342">
        <v>95</v>
      </c>
      <c r="T109" s="342">
        <v>111</v>
      </c>
      <c r="U109" s="342">
        <v>218</v>
      </c>
      <c r="V109" s="342">
        <v>87</v>
      </c>
      <c r="W109" s="342">
        <v>115</v>
      </c>
      <c r="X109" s="342">
        <v>43</v>
      </c>
      <c r="Y109" s="342">
        <v>99</v>
      </c>
      <c r="Z109" s="342">
        <v>37</v>
      </c>
      <c r="AA109" s="342">
        <v>194</v>
      </c>
      <c r="AB109" s="342">
        <v>142</v>
      </c>
      <c r="AC109" s="342">
        <v>185</v>
      </c>
      <c r="AD109" s="342">
        <v>185</v>
      </c>
      <c r="AE109" s="342">
        <v>51</v>
      </c>
      <c r="AF109" s="342">
        <v>103</v>
      </c>
      <c r="AG109" s="342">
        <v>25</v>
      </c>
      <c r="AH109" s="343">
        <v>20.172135556750941</v>
      </c>
      <c r="AI109" s="343">
        <v>16.4066702528241</v>
      </c>
      <c r="AJ109" s="343">
        <v>15.814954276492738</v>
      </c>
      <c r="AK109" s="343">
        <v>10.435718128025821</v>
      </c>
      <c r="AL109" s="343">
        <v>37.170521785906402</v>
      </c>
      <c r="AM109" s="342">
        <v>22008</v>
      </c>
      <c r="AN109" s="342">
        <v>44769</v>
      </c>
      <c r="AO109" s="343">
        <v>50.403442711135014</v>
      </c>
      <c r="AP109" s="342">
        <v>1859</v>
      </c>
      <c r="AQ109" s="342">
        <v>163</v>
      </c>
      <c r="AR109" s="342">
        <v>1024</v>
      </c>
      <c r="AS109" s="342">
        <v>835</v>
      </c>
      <c r="AT109" s="342">
        <v>0</v>
      </c>
      <c r="AU109" s="342">
        <v>7</v>
      </c>
      <c r="AV109" s="342">
        <v>319</v>
      </c>
      <c r="AW109" s="342">
        <v>95</v>
      </c>
      <c r="AX109" s="342">
        <v>59</v>
      </c>
      <c r="AY109" s="342">
        <v>266</v>
      </c>
      <c r="AZ109" s="342">
        <v>15</v>
      </c>
      <c r="BA109" s="342">
        <v>26</v>
      </c>
      <c r="BB109" s="342">
        <v>138</v>
      </c>
      <c r="BC109" s="342">
        <v>120</v>
      </c>
      <c r="BD109" s="342">
        <v>128</v>
      </c>
      <c r="BE109" s="342">
        <v>88</v>
      </c>
      <c r="BF109" s="342">
        <v>431</v>
      </c>
      <c r="BG109" s="342">
        <v>105</v>
      </c>
      <c r="BH109" s="342">
        <v>13</v>
      </c>
      <c r="BI109" s="343">
        <v>44.324905863367405</v>
      </c>
      <c r="BJ109" s="344">
        <v>8.4</v>
      </c>
      <c r="BK109" s="344">
        <v>8.4</v>
      </c>
      <c r="BL109" s="344">
        <v>5.7</v>
      </c>
      <c r="BM109" s="344">
        <v>6.6</v>
      </c>
      <c r="BN109" s="344">
        <v>3.2</v>
      </c>
      <c r="BO109" s="344">
        <v>11.1</v>
      </c>
      <c r="BP109" s="344">
        <v>9</v>
      </c>
      <c r="BQ109" s="344">
        <v>9.1</v>
      </c>
      <c r="BR109" s="344">
        <v>6.4</v>
      </c>
      <c r="BS109" s="344">
        <v>5.9</v>
      </c>
      <c r="BT109" s="344">
        <v>4.5999999999999996</v>
      </c>
      <c r="BU109" s="344">
        <v>6.2</v>
      </c>
      <c r="BV109" s="344">
        <v>5.7</v>
      </c>
      <c r="BW109" s="344">
        <v>3.6</v>
      </c>
      <c r="BX109" s="344">
        <v>2.6</v>
      </c>
      <c r="BY109" s="344">
        <v>2.2000000000000002</v>
      </c>
      <c r="BZ109" s="344">
        <v>0.6</v>
      </c>
      <c r="CA109" s="344">
        <v>0.8</v>
      </c>
      <c r="CB109" s="344">
        <v>22.5</v>
      </c>
      <c r="CC109" s="344">
        <v>67.8</v>
      </c>
      <c r="CD109" s="344">
        <v>9.8000000000000007</v>
      </c>
    </row>
    <row r="110" spans="1:82" s="16" customFormat="1" x14ac:dyDescent="0.25">
      <c r="A110" s="211" t="s">
        <v>4661</v>
      </c>
      <c r="B110" s="211" t="s">
        <v>165</v>
      </c>
      <c r="C110" s="211" t="s">
        <v>4662</v>
      </c>
      <c r="D110" s="211" t="s">
        <v>37</v>
      </c>
      <c r="E110" s="211" t="s">
        <v>4643</v>
      </c>
      <c r="F110" s="211" t="s">
        <v>4272</v>
      </c>
      <c r="G110" s="211" t="s">
        <v>4663</v>
      </c>
      <c r="H110" s="339">
        <v>540069</v>
      </c>
      <c r="I110" s="340" t="s">
        <v>1462</v>
      </c>
      <c r="J110" s="211">
        <v>5473468</v>
      </c>
      <c r="K110" s="211" t="s">
        <v>4664</v>
      </c>
      <c r="L110" s="341">
        <v>0.37474011271226443</v>
      </c>
      <c r="M110" s="342">
        <v>1573</v>
      </c>
      <c r="N110" s="343">
        <v>4197.5757241867295</v>
      </c>
      <c r="O110" s="342">
        <v>331</v>
      </c>
      <c r="P110" s="343">
        <v>1.7</v>
      </c>
      <c r="Q110" s="342">
        <v>563</v>
      </c>
      <c r="R110" s="342">
        <v>27</v>
      </c>
      <c r="S110" s="342">
        <v>30</v>
      </c>
      <c r="T110" s="342">
        <v>49</v>
      </c>
      <c r="U110" s="342">
        <v>6</v>
      </c>
      <c r="V110" s="342">
        <v>0</v>
      </c>
      <c r="W110" s="342">
        <v>34</v>
      </c>
      <c r="X110" s="342">
        <v>18</v>
      </c>
      <c r="Y110" s="342">
        <v>38</v>
      </c>
      <c r="Z110" s="342">
        <v>0</v>
      </c>
      <c r="AA110" s="342">
        <v>11</v>
      </c>
      <c r="AB110" s="342">
        <v>10</v>
      </c>
      <c r="AC110" s="342">
        <v>28</v>
      </c>
      <c r="AD110" s="342">
        <v>26</v>
      </c>
      <c r="AE110" s="342">
        <v>14</v>
      </c>
      <c r="AF110" s="342">
        <v>8</v>
      </c>
      <c r="AG110" s="342">
        <v>32</v>
      </c>
      <c r="AH110" s="343">
        <v>32.024169184290031</v>
      </c>
      <c r="AI110" s="343">
        <v>1.8126888217522661</v>
      </c>
      <c r="AJ110" s="343">
        <v>27.19033232628399</v>
      </c>
      <c r="AK110" s="343">
        <v>3.3232628398791544</v>
      </c>
      <c r="AL110" s="343">
        <v>35.649546827794559</v>
      </c>
      <c r="AM110" s="342">
        <v>17660</v>
      </c>
      <c r="AN110" s="342">
        <v>40417</v>
      </c>
      <c r="AO110" s="343">
        <v>61.027190332326285</v>
      </c>
      <c r="AP110" s="342">
        <v>331</v>
      </c>
      <c r="AQ110" s="342">
        <v>76</v>
      </c>
      <c r="AR110" s="342">
        <v>131</v>
      </c>
      <c r="AS110" s="342">
        <v>200</v>
      </c>
      <c r="AT110" s="342">
        <v>6</v>
      </c>
      <c r="AU110" s="342">
        <v>0</v>
      </c>
      <c r="AV110" s="342">
        <v>98</v>
      </c>
      <c r="AW110" s="342">
        <v>21</v>
      </c>
      <c r="AX110" s="342">
        <v>0</v>
      </c>
      <c r="AY110" s="342">
        <v>19</v>
      </c>
      <c r="AZ110" s="342">
        <v>0</v>
      </c>
      <c r="BA110" s="342">
        <v>36</v>
      </c>
      <c r="BB110" s="342">
        <v>20</v>
      </c>
      <c r="BC110" s="342">
        <v>14</v>
      </c>
      <c r="BD110" s="342">
        <v>0</v>
      </c>
      <c r="BE110" s="342">
        <v>7</v>
      </c>
      <c r="BF110" s="342">
        <v>86</v>
      </c>
      <c r="BG110" s="342">
        <v>19</v>
      </c>
      <c r="BH110" s="342">
        <v>3</v>
      </c>
      <c r="BI110" s="343">
        <v>44.410876132930518</v>
      </c>
      <c r="BJ110" s="344">
        <v>0</v>
      </c>
      <c r="BK110" s="344">
        <v>0</v>
      </c>
      <c r="BL110" s="344">
        <v>1.3</v>
      </c>
      <c r="BM110" s="344">
        <v>32.5</v>
      </c>
      <c r="BN110" s="344">
        <v>40.700000000000003</v>
      </c>
      <c r="BO110" s="344">
        <v>4.7</v>
      </c>
      <c r="BP110" s="344">
        <v>2.2000000000000002</v>
      </c>
      <c r="BQ110" s="344">
        <v>2.1</v>
      </c>
      <c r="BR110" s="344">
        <v>2</v>
      </c>
      <c r="BS110" s="344">
        <v>1.4</v>
      </c>
      <c r="BT110" s="344">
        <v>1.8</v>
      </c>
      <c r="BU110" s="344">
        <v>3.1</v>
      </c>
      <c r="BV110" s="344">
        <v>0.7</v>
      </c>
      <c r="BW110" s="344">
        <v>4.0999999999999996</v>
      </c>
      <c r="BX110" s="344">
        <v>1.8</v>
      </c>
      <c r="BY110" s="344">
        <v>0</v>
      </c>
      <c r="BZ110" s="344">
        <v>0.8</v>
      </c>
      <c r="CA110" s="344">
        <v>0.7</v>
      </c>
      <c r="CB110" s="344">
        <v>1.3</v>
      </c>
      <c r="CC110" s="344">
        <v>91.2</v>
      </c>
      <c r="CD110" s="344">
        <v>7.3999999999999995</v>
      </c>
    </row>
    <row r="111" spans="1:82" s="322" customFormat="1" x14ac:dyDescent="0.25">
      <c r="A111" s="314" t="s">
        <v>4665</v>
      </c>
      <c r="B111" s="315" t="s">
        <v>348</v>
      </c>
      <c r="C111" s="314"/>
      <c r="D111" s="314"/>
      <c r="E111" s="314"/>
      <c r="F111" s="314"/>
      <c r="G111" s="314"/>
      <c r="H111" s="316"/>
      <c r="I111" s="317"/>
      <c r="J111" s="314">
        <v>54037</v>
      </c>
      <c r="K111" s="314" t="s">
        <v>4666</v>
      </c>
      <c r="L111" s="318">
        <v>211.81302409671906</v>
      </c>
      <c r="M111" s="319">
        <v>55673</v>
      </c>
      <c r="N111" s="320">
        <v>262.84030567722942</v>
      </c>
      <c r="O111" s="319">
        <v>20808</v>
      </c>
      <c r="P111" s="320">
        <v>2.6</v>
      </c>
      <c r="Q111" s="319">
        <v>54200</v>
      </c>
      <c r="R111" s="319">
        <v>1192</v>
      </c>
      <c r="S111" s="319">
        <v>525</v>
      </c>
      <c r="T111" s="319">
        <v>722</v>
      </c>
      <c r="U111" s="319">
        <v>951</v>
      </c>
      <c r="V111" s="319">
        <v>634</v>
      </c>
      <c r="W111" s="319">
        <v>738</v>
      </c>
      <c r="X111" s="319">
        <v>754</v>
      </c>
      <c r="Y111" s="319">
        <v>764</v>
      </c>
      <c r="Z111" s="319">
        <v>600</v>
      </c>
      <c r="AA111" s="319">
        <v>1884</v>
      </c>
      <c r="AB111" s="319">
        <v>1930</v>
      </c>
      <c r="AC111" s="319">
        <v>2734</v>
      </c>
      <c r="AD111" s="319">
        <v>2664</v>
      </c>
      <c r="AE111" s="319">
        <v>1762</v>
      </c>
      <c r="AF111" s="319">
        <v>1538</v>
      </c>
      <c r="AG111" s="319">
        <v>1416</v>
      </c>
      <c r="AH111" s="320">
        <v>11.721453287197232</v>
      </c>
      <c r="AI111" s="320">
        <v>7.6172625913110341</v>
      </c>
      <c r="AJ111" s="320">
        <v>13.725490196078432</v>
      </c>
      <c r="AK111" s="320">
        <v>9.0542099192618224</v>
      </c>
      <c r="AL111" s="320">
        <v>57.881584006151478</v>
      </c>
      <c r="AM111" s="319">
        <v>33241</v>
      </c>
      <c r="AN111" s="319">
        <v>72526</v>
      </c>
      <c r="AO111" s="320">
        <v>30.180699730872739</v>
      </c>
      <c r="AP111" s="319">
        <v>20808</v>
      </c>
      <c r="AQ111" s="319">
        <v>2005</v>
      </c>
      <c r="AR111" s="319">
        <v>15420</v>
      </c>
      <c r="AS111" s="319">
        <v>5388</v>
      </c>
      <c r="AT111" s="319">
        <v>103</v>
      </c>
      <c r="AU111" s="319">
        <v>217</v>
      </c>
      <c r="AV111" s="319">
        <v>1729</v>
      </c>
      <c r="AW111" s="319">
        <v>778</v>
      </c>
      <c r="AX111" s="319">
        <v>383</v>
      </c>
      <c r="AY111" s="319">
        <v>1110</v>
      </c>
      <c r="AZ111" s="319">
        <v>659</v>
      </c>
      <c r="BA111" s="319">
        <v>568</v>
      </c>
      <c r="BB111" s="319">
        <v>833</v>
      </c>
      <c r="BC111" s="319">
        <v>1593</v>
      </c>
      <c r="BD111" s="319">
        <v>1081</v>
      </c>
      <c r="BE111" s="319">
        <v>1081</v>
      </c>
      <c r="BF111" s="319">
        <v>7429</v>
      </c>
      <c r="BG111" s="319">
        <v>2081</v>
      </c>
      <c r="BH111" s="319">
        <v>534</v>
      </c>
      <c r="BI111" s="320">
        <v>25.408496732026144</v>
      </c>
      <c r="BJ111" s="321">
        <v>5.6</v>
      </c>
      <c r="BK111" s="321">
        <v>6.6</v>
      </c>
      <c r="BL111" s="321">
        <v>6.6</v>
      </c>
      <c r="BM111" s="321">
        <v>6.9</v>
      </c>
      <c r="BN111" s="321">
        <v>5.8</v>
      </c>
      <c r="BO111" s="321">
        <v>5.4</v>
      </c>
      <c r="BP111" s="321">
        <v>6</v>
      </c>
      <c r="BQ111" s="321">
        <v>6.7</v>
      </c>
      <c r="BR111" s="321">
        <v>6.5</v>
      </c>
      <c r="BS111" s="321">
        <v>7.6</v>
      </c>
      <c r="BT111" s="321">
        <v>8</v>
      </c>
      <c r="BU111" s="321">
        <v>6.9</v>
      </c>
      <c r="BV111" s="321">
        <v>6.8</v>
      </c>
      <c r="BW111" s="321">
        <v>5.3</v>
      </c>
      <c r="BX111" s="321">
        <v>3.9</v>
      </c>
      <c r="BY111" s="321">
        <v>2.7</v>
      </c>
      <c r="BZ111" s="321">
        <v>1.5</v>
      </c>
      <c r="CA111" s="321">
        <v>1.2</v>
      </c>
      <c r="CB111" s="321">
        <v>18.799999999999997</v>
      </c>
      <c r="CC111" s="321">
        <v>66.599999999999994</v>
      </c>
      <c r="CD111" s="321">
        <v>14.599999999999998</v>
      </c>
    </row>
    <row r="112" spans="1:82" s="308" customFormat="1" x14ac:dyDescent="0.25">
      <c r="A112" s="301" t="s">
        <v>363</v>
      </c>
      <c r="B112" s="301" t="s">
        <v>38</v>
      </c>
      <c r="C112" s="301" t="s">
        <v>4667</v>
      </c>
      <c r="D112" s="301" t="s">
        <v>39</v>
      </c>
      <c r="E112" s="301" t="s">
        <v>4463</v>
      </c>
      <c r="F112" s="301" t="s">
        <v>4272</v>
      </c>
      <c r="G112" s="301" t="s">
        <v>4668</v>
      </c>
      <c r="H112" s="302">
        <v>540070</v>
      </c>
      <c r="I112" s="303" t="s">
        <v>1463</v>
      </c>
      <c r="J112" s="301" t="s">
        <v>488</v>
      </c>
      <c r="K112" s="301" t="s">
        <v>488</v>
      </c>
      <c r="L112" s="304">
        <v>849.76909217958337</v>
      </c>
      <c r="M112" s="305">
        <v>93222</v>
      </c>
      <c r="N112" s="306">
        <v>109.70274261316533</v>
      </c>
      <c r="O112" s="305">
        <v>38033</v>
      </c>
      <c r="P112" s="306">
        <v>2.4358320405963241</v>
      </c>
      <c r="Q112" s="305">
        <v>92642</v>
      </c>
      <c r="R112" s="305">
        <v>2520</v>
      </c>
      <c r="S112" s="305">
        <v>2280</v>
      </c>
      <c r="T112" s="305">
        <v>2372</v>
      </c>
      <c r="U112" s="305">
        <v>2405</v>
      </c>
      <c r="V112" s="305">
        <v>2193</v>
      </c>
      <c r="W112" s="305">
        <v>2029</v>
      </c>
      <c r="X112" s="305">
        <v>2223</v>
      </c>
      <c r="Y112" s="305">
        <v>2059</v>
      </c>
      <c r="Z112" s="305">
        <v>1831</v>
      </c>
      <c r="AA112" s="305">
        <v>2940</v>
      </c>
      <c r="AB112" s="305">
        <v>4504</v>
      </c>
      <c r="AC112" s="305">
        <v>4828</v>
      </c>
      <c r="AD112" s="305">
        <v>2624</v>
      </c>
      <c r="AE112" s="305">
        <v>1321</v>
      </c>
      <c r="AF112" s="305">
        <v>955</v>
      </c>
      <c r="AG112" s="305">
        <v>949</v>
      </c>
      <c r="AH112" s="306">
        <v>18.857308127152734</v>
      </c>
      <c r="AI112" s="306">
        <v>12.089501222622459</v>
      </c>
      <c r="AJ112" s="306">
        <v>21.407724870507192</v>
      </c>
      <c r="AK112" s="306">
        <v>7.7301290984145341</v>
      </c>
      <c r="AL112" s="306">
        <v>39.915336681303074</v>
      </c>
      <c r="AM112" s="305">
        <v>28201</v>
      </c>
      <c r="AN112" s="305">
        <v>46859</v>
      </c>
      <c r="AO112" s="306">
        <v>47.540293955249389</v>
      </c>
      <c r="AP112" s="305">
        <v>38033</v>
      </c>
      <c r="AQ112" s="305">
        <v>5870</v>
      </c>
      <c r="AR112" s="305">
        <v>29003</v>
      </c>
      <c r="AS112" s="305">
        <v>9031</v>
      </c>
      <c r="AT112" s="305">
        <v>1162</v>
      </c>
      <c r="AU112" s="305">
        <v>1101</v>
      </c>
      <c r="AV112" s="305">
        <v>3747</v>
      </c>
      <c r="AW112" s="305">
        <v>3138</v>
      </c>
      <c r="AX112" s="305">
        <v>1501</v>
      </c>
      <c r="AY112" s="305">
        <v>1620</v>
      </c>
      <c r="AZ112" s="305">
        <v>3294</v>
      </c>
      <c r="BA112" s="305">
        <v>1745</v>
      </c>
      <c r="BB112" s="305">
        <v>826</v>
      </c>
      <c r="BC112" s="305">
        <v>5727</v>
      </c>
      <c r="BD112" s="305">
        <v>1406</v>
      </c>
      <c r="BE112" s="305">
        <v>149</v>
      </c>
      <c r="BF112" s="305">
        <v>9715</v>
      </c>
      <c r="BG112" s="305">
        <v>728</v>
      </c>
      <c r="BH112" s="305">
        <v>88</v>
      </c>
      <c r="BI112" s="306">
        <v>16.906370783267164</v>
      </c>
      <c r="BJ112" s="307">
        <v>5.6</v>
      </c>
      <c r="BK112" s="307">
        <v>5.8</v>
      </c>
      <c r="BL112" s="307">
        <v>5.5</v>
      </c>
      <c r="BM112" s="307">
        <v>5.5</v>
      </c>
      <c r="BN112" s="307">
        <v>5.8</v>
      </c>
      <c r="BO112" s="307">
        <v>6.2</v>
      </c>
      <c r="BP112" s="307">
        <v>6</v>
      </c>
      <c r="BQ112" s="307">
        <v>5.9</v>
      </c>
      <c r="BR112" s="307">
        <v>6.3</v>
      </c>
      <c r="BS112" s="307">
        <v>6.3</v>
      </c>
      <c r="BT112" s="307">
        <v>7</v>
      </c>
      <c r="BU112" s="307">
        <v>7.7</v>
      </c>
      <c r="BV112" s="307">
        <v>7.7</v>
      </c>
      <c r="BW112" s="307">
        <v>6.4</v>
      </c>
      <c r="BX112" s="307">
        <v>4.3</v>
      </c>
      <c r="BY112" s="307">
        <v>3.4</v>
      </c>
      <c r="BZ112" s="307">
        <v>2.2999999999999998</v>
      </c>
      <c r="CA112" s="307">
        <v>2.4</v>
      </c>
      <c r="CB112" s="307">
        <v>16.899999999999999</v>
      </c>
      <c r="CC112" s="307">
        <v>64.399999999999991</v>
      </c>
      <c r="CD112" s="307">
        <v>18.799999999999997</v>
      </c>
    </row>
    <row r="113" spans="1:82" x14ac:dyDescent="0.25">
      <c r="A113" s="130" t="s">
        <v>4669</v>
      </c>
      <c r="B113" s="130" t="s">
        <v>166</v>
      </c>
      <c r="C113" s="130" t="s">
        <v>4670</v>
      </c>
      <c r="D113" s="130" t="s">
        <v>39</v>
      </c>
      <c r="E113" s="130" t="s">
        <v>4463</v>
      </c>
      <c r="F113" s="130" t="s">
        <v>4272</v>
      </c>
      <c r="G113" s="130" t="s">
        <v>4671</v>
      </c>
      <c r="H113" s="309">
        <v>540071</v>
      </c>
      <c r="I113" s="277" t="s">
        <v>1465</v>
      </c>
      <c r="J113" s="130">
        <v>5405836</v>
      </c>
      <c r="K113" s="130" t="s">
        <v>4672</v>
      </c>
      <c r="L113" s="310">
        <v>0.77968926282470452</v>
      </c>
      <c r="M113" s="311">
        <v>1185</v>
      </c>
      <c r="N113" s="312">
        <v>1519.8362431039664</v>
      </c>
      <c r="O113" s="311">
        <v>545</v>
      </c>
      <c r="P113" s="312">
        <v>2.17</v>
      </c>
      <c r="Q113" s="311">
        <v>1185</v>
      </c>
      <c r="R113" s="311">
        <v>37</v>
      </c>
      <c r="S113" s="311">
        <v>53</v>
      </c>
      <c r="T113" s="311">
        <v>37</v>
      </c>
      <c r="U113" s="311">
        <v>29</v>
      </c>
      <c r="V113" s="311">
        <v>28</v>
      </c>
      <c r="W113" s="311">
        <v>31</v>
      </c>
      <c r="X113" s="311">
        <v>32</v>
      </c>
      <c r="Y113" s="311">
        <v>31</v>
      </c>
      <c r="Z113" s="311">
        <v>29</v>
      </c>
      <c r="AA113" s="311">
        <v>68</v>
      </c>
      <c r="AB113" s="311">
        <v>69</v>
      </c>
      <c r="AC113" s="311">
        <v>51</v>
      </c>
      <c r="AD113" s="311">
        <v>24</v>
      </c>
      <c r="AE113" s="311">
        <v>10</v>
      </c>
      <c r="AF113" s="311">
        <v>10</v>
      </c>
      <c r="AG113" s="311">
        <v>6</v>
      </c>
      <c r="AH113" s="312">
        <v>23.302752293577981</v>
      </c>
      <c r="AI113" s="312">
        <v>10.458715596330276</v>
      </c>
      <c r="AJ113" s="312">
        <v>22.568807339449542</v>
      </c>
      <c r="AK113" s="312">
        <v>12.477064220183486</v>
      </c>
      <c r="AL113" s="312">
        <v>31.192660550458719</v>
      </c>
      <c r="AM113" s="311">
        <v>26335</v>
      </c>
      <c r="AN113" s="311">
        <v>44191</v>
      </c>
      <c r="AO113" s="312">
        <v>51.009174311926607</v>
      </c>
      <c r="AP113" s="311">
        <v>545</v>
      </c>
      <c r="AQ113" s="311">
        <v>62</v>
      </c>
      <c r="AR113" s="311">
        <v>337</v>
      </c>
      <c r="AS113" s="311">
        <v>208</v>
      </c>
      <c r="AT113" s="311">
        <v>14</v>
      </c>
      <c r="AU113" s="311">
        <v>15</v>
      </c>
      <c r="AV113" s="311">
        <v>79</v>
      </c>
      <c r="AW113" s="311">
        <v>23</v>
      </c>
      <c r="AX113" s="311">
        <v>10</v>
      </c>
      <c r="AY113" s="311">
        <v>45</v>
      </c>
      <c r="AZ113" s="311">
        <v>62</v>
      </c>
      <c r="BA113" s="311">
        <v>27</v>
      </c>
      <c r="BB113" s="311">
        <v>0</v>
      </c>
      <c r="BC113" s="311">
        <v>93</v>
      </c>
      <c r="BD113" s="311">
        <v>23</v>
      </c>
      <c r="BE113" s="311">
        <v>13</v>
      </c>
      <c r="BF113" s="311">
        <v>93</v>
      </c>
      <c r="BG113" s="311">
        <v>2</v>
      </c>
      <c r="BH113" s="311">
        <v>3</v>
      </c>
      <c r="BI113" s="312">
        <v>25.688073394495415</v>
      </c>
      <c r="BJ113" s="313">
        <v>7.6</v>
      </c>
      <c r="BK113" s="313">
        <v>4.9000000000000004</v>
      </c>
      <c r="BL113" s="313">
        <v>3.1</v>
      </c>
      <c r="BM113" s="313">
        <v>6.2</v>
      </c>
      <c r="BN113" s="313">
        <v>6.8</v>
      </c>
      <c r="BO113" s="313">
        <v>5.7</v>
      </c>
      <c r="BP113" s="313">
        <v>6.1</v>
      </c>
      <c r="BQ113" s="313">
        <v>5.4</v>
      </c>
      <c r="BR113" s="313">
        <v>4.7</v>
      </c>
      <c r="BS113" s="313">
        <v>5.4</v>
      </c>
      <c r="BT113" s="313">
        <v>5.2</v>
      </c>
      <c r="BU113" s="313">
        <v>5.6</v>
      </c>
      <c r="BV113" s="313">
        <v>9.8000000000000007</v>
      </c>
      <c r="BW113" s="313">
        <v>5.9</v>
      </c>
      <c r="BX113" s="313">
        <v>5.7</v>
      </c>
      <c r="BY113" s="313">
        <v>4.5999999999999996</v>
      </c>
      <c r="BZ113" s="313">
        <v>4.5999999999999996</v>
      </c>
      <c r="CA113" s="313">
        <v>2.6</v>
      </c>
      <c r="CB113" s="313">
        <v>15.6</v>
      </c>
      <c r="CC113" s="313">
        <v>60.900000000000006</v>
      </c>
      <c r="CD113" s="313">
        <v>23.400000000000006</v>
      </c>
    </row>
    <row r="114" spans="1:82" x14ac:dyDescent="0.25">
      <c r="A114" s="130" t="s">
        <v>4673</v>
      </c>
      <c r="B114" s="130" t="s">
        <v>167</v>
      </c>
      <c r="C114" s="130" t="s">
        <v>4674</v>
      </c>
      <c r="D114" s="130" t="s">
        <v>39</v>
      </c>
      <c r="E114" s="130" t="s">
        <v>4463</v>
      </c>
      <c r="F114" s="130" t="s">
        <v>4272</v>
      </c>
      <c r="G114" s="130" t="s">
        <v>4675</v>
      </c>
      <c r="H114" s="309">
        <v>540072</v>
      </c>
      <c r="I114" s="277" t="s">
        <v>1466</v>
      </c>
      <c r="J114" s="130">
        <v>5413924</v>
      </c>
      <c r="K114" s="130" t="s">
        <v>4676</v>
      </c>
      <c r="L114" s="310">
        <v>0.71615410414429803</v>
      </c>
      <c r="M114" s="311">
        <v>695</v>
      </c>
      <c r="N114" s="312">
        <v>970.46151935472858</v>
      </c>
      <c r="O114" s="311">
        <v>270</v>
      </c>
      <c r="P114" s="312">
        <v>2.57</v>
      </c>
      <c r="Q114" s="311">
        <v>695</v>
      </c>
      <c r="R114" s="311">
        <v>23</v>
      </c>
      <c r="S114" s="311">
        <v>6</v>
      </c>
      <c r="T114" s="311">
        <v>11</v>
      </c>
      <c r="U114" s="311">
        <v>11</v>
      </c>
      <c r="V114" s="311">
        <v>50</v>
      </c>
      <c r="W114" s="311">
        <v>20</v>
      </c>
      <c r="X114" s="311">
        <v>9</v>
      </c>
      <c r="Y114" s="311">
        <v>21</v>
      </c>
      <c r="Z114" s="311">
        <v>0</v>
      </c>
      <c r="AA114" s="311">
        <v>34</v>
      </c>
      <c r="AB114" s="311">
        <v>21</v>
      </c>
      <c r="AC114" s="311">
        <v>34</v>
      </c>
      <c r="AD114" s="311">
        <v>9</v>
      </c>
      <c r="AE114" s="311">
        <v>9</v>
      </c>
      <c r="AF114" s="311">
        <v>12</v>
      </c>
      <c r="AG114" s="311">
        <v>0</v>
      </c>
      <c r="AH114" s="312">
        <v>14.814814814814813</v>
      </c>
      <c r="AI114" s="312">
        <v>22.592592592592592</v>
      </c>
      <c r="AJ114" s="312">
        <v>18.518518518518519</v>
      </c>
      <c r="AK114" s="312">
        <v>12.592592592592592</v>
      </c>
      <c r="AL114" s="312">
        <v>31.481481481481481</v>
      </c>
      <c r="AM114" s="311">
        <v>21183</v>
      </c>
      <c r="AN114" s="311">
        <v>41563</v>
      </c>
      <c r="AO114" s="312">
        <v>55.925925925925924</v>
      </c>
      <c r="AP114" s="311">
        <v>270</v>
      </c>
      <c r="AQ114" s="311">
        <v>74</v>
      </c>
      <c r="AR114" s="311">
        <v>194</v>
      </c>
      <c r="AS114" s="311">
        <v>76</v>
      </c>
      <c r="AT114" s="311">
        <v>0</v>
      </c>
      <c r="AU114" s="311">
        <v>5</v>
      </c>
      <c r="AV114" s="311">
        <v>22</v>
      </c>
      <c r="AW114" s="311">
        <v>67</v>
      </c>
      <c r="AX114" s="311">
        <v>7</v>
      </c>
      <c r="AY114" s="311">
        <v>7</v>
      </c>
      <c r="AZ114" s="311">
        <v>20</v>
      </c>
      <c r="BA114" s="311">
        <v>3</v>
      </c>
      <c r="BB114" s="311">
        <v>4</v>
      </c>
      <c r="BC114" s="311">
        <v>46</v>
      </c>
      <c r="BD114" s="311">
        <v>9</v>
      </c>
      <c r="BE114" s="311">
        <v>0</v>
      </c>
      <c r="BF114" s="311">
        <v>56</v>
      </c>
      <c r="BG114" s="311">
        <v>0</v>
      </c>
      <c r="BH114" s="311">
        <v>0</v>
      </c>
      <c r="BI114" s="312">
        <v>12.222222222222221</v>
      </c>
      <c r="BJ114" s="313">
        <v>5.3</v>
      </c>
      <c r="BK114" s="313">
        <v>6.6</v>
      </c>
      <c r="BL114" s="313">
        <v>3</v>
      </c>
      <c r="BM114" s="313">
        <v>5.3</v>
      </c>
      <c r="BN114" s="313">
        <v>8.8000000000000007</v>
      </c>
      <c r="BO114" s="313">
        <v>3.3</v>
      </c>
      <c r="BP114" s="313">
        <v>4</v>
      </c>
      <c r="BQ114" s="313">
        <v>7.3</v>
      </c>
      <c r="BR114" s="313">
        <v>5.6</v>
      </c>
      <c r="BS114" s="313">
        <v>7.2</v>
      </c>
      <c r="BT114" s="313">
        <v>5.5</v>
      </c>
      <c r="BU114" s="313">
        <v>11.2</v>
      </c>
      <c r="BV114" s="313">
        <v>7.6</v>
      </c>
      <c r="BW114" s="313">
        <v>4.3</v>
      </c>
      <c r="BX114" s="313">
        <v>6</v>
      </c>
      <c r="BY114" s="313">
        <v>5</v>
      </c>
      <c r="BZ114" s="313">
        <v>0.4</v>
      </c>
      <c r="CA114" s="313">
        <v>3.3</v>
      </c>
      <c r="CB114" s="313">
        <v>14.899999999999999</v>
      </c>
      <c r="CC114" s="313">
        <v>65.8</v>
      </c>
      <c r="CD114" s="313">
        <v>19</v>
      </c>
    </row>
    <row r="115" spans="1:82" x14ac:dyDescent="0.25">
      <c r="A115" s="130" t="s">
        <v>4677</v>
      </c>
      <c r="B115" s="130" t="s">
        <v>168</v>
      </c>
      <c r="C115" s="130" t="s">
        <v>4678</v>
      </c>
      <c r="D115" s="130" t="s">
        <v>39</v>
      </c>
      <c r="E115" s="130" t="s">
        <v>4463</v>
      </c>
      <c r="F115" s="130" t="s">
        <v>4272</v>
      </c>
      <c r="G115" s="130" t="s">
        <v>4679</v>
      </c>
      <c r="H115" s="309">
        <v>540073</v>
      </c>
      <c r="I115" s="277" t="s">
        <v>1467</v>
      </c>
      <c r="J115" s="130">
        <v>5414600</v>
      </c>
      <c r="K115" s="130" t="s">
        <v>4680</v>
      </c>
      <c r="L115" s="310">
        <v>32.615639756100251</v>
      </c>
      <c r="M115" s="311">
        <v>49384</v>
      </c>
      <c r="N115" s="312">
        <v>1514.1202309472862</v>
      </c>
      <c r="O115" s="311">
        <v>22042</v>
      </c>
      <c r="P115" s="312">
        <v>2.14</v>
      </c>
      <c r="Q115" s="311">
        <v>47131</v>
      </c>
      <c r="R115" s="311">
        <v>2352</v>
      </c>
      <c r="S115" s="311">
        <v>1599</v>
      </c>
      <c r="T115" s="311">
        <v>1229</v>
      </c>
      <c r="U115" s="311">
        <v>1318</v>
      </c>
      <c r="V115" s="311">
        <v>1274</v>
      </c>
      <c r="W115" s="311">
        <v>1102</v>
      </c>
      <c r="X115" s="311">
        <v>1203</v>
      </c>
      <c r="Y115" s="311">
        <v>797</v>
      </c>
      <c r="Z115" s="311">
        <v>992</v>
      </c>
      <c r="AA115" s="311">
        <v>1630</v>
      </c>
      <c r="AB115" s="311">
        <v>1872</v>
      </c>
      <c r="AC115" s="311">
        <v>1925</v>
      </c>
      <c r="AD115" s="311">
        <v>1124</v>
      </c>
      <c r="AE115" s="311">
        <v>1141</v>
      </c>
      <c r="AF115" s="311">
        <v>916</v>
      </c>
      <c r="AG115" s="311">
        <v>1568</v>
      </c>
      <c r="AH115" s="312">
        <v>23.500589783141276</v>
      </c>
      <c r="AI115" s="312">
        <v>11.759368478359496</v>
      </c>
      <c r="AJ115" s="312">
        <v>18.573632156791582</v>
      </c>
      <c r="AK115" s="312">
        <v>7.3949732329189732</v>
      </c>
      <c r="AL115" s="312">
        <v>38.771436348788676</v>
      </c>
      <c r="AM115" s="311">
        <v>33833</v>
      </c>
      <c r="AN115" s="311">
        <v>45797</v>
      </c>
      <c r="AO115" s="312">
        <v>49.333091371018959</v>
      </c>
      <c r="AP115" s="311">
        <v>22042</v>
      </c>
      <c r="AQ115" s="311">
        <v>3308</v>
      </c>
      <c r="AR115" s="311">
        <v>12495</v>
      </c>
      <c r="AS115" s="311">
        <v>9547</v>
      </c>
      <c r="AT115" s="311">
        <v>391</v>
      </c>
      <c r="AU115" s="311">
        <v>730</v>
      </c>
      <c r="AV115" s="311">
        <v>3551</v>
      </c>
      <c r="AW115" s="311">
        <v>1106</v>
      </c>
      <c r="AX115" s="311">
        <v>868</v>
      </c>
      <c r="AY115" s="311">
        <v>1625</v>
      </c>
      <c r="AZ115" s="311">
        <v>1291</v>
      </c>
      <c r="BA115" s="311">
        <v>1072</v>
      </c>
      <c r="BB115" s="311">
        <v>539</v>
      </c>
      <c r="BC115" s="311">
        <v>2458</v>
      </c>
      <c r="BD115" s="311">
        <v>717</v>
      </c>
      <c r="BE115" s="311">
        <v>225</v>
      </c>
      <c r="BF115" s="311">
        <v>6156</v>
      </c>
      <c r="BG115" s="311">
        <v>365</v>
      </c>
      <c r="BH115" s="311">
        <v>121</v>
      </c>
      <c r="BI115" s="312">
        <v>27.497504763633064</v>
      </c>
      <c r="BJ115" s="313">
        <v>6.1</v>
      </c>
      <c r="BK115" s="313">
        <v>5.8</v>
      </c>
      <c r="BL115" s="313">
        <v>4.8</v>
      </c>
      <c r="BM115" s="313">
        <v>5.9</v>
      </c>
      <c r="BN115" s="313">
        <v>7.1</v>
      </c>
      <c r="BO115" s="313">
        <v>6.9</v>
      </c>
      <c r="BP115" s="313">
        <v>5.8</v>
      </c>
      <c r="BQ115" s="313">
        <v>6.3</v>
      </c>
      <c r="BR115" s="313">
        <v>6.1</v>
      </c>
      <c r="BS115" s="313">
        <v>6.3</v>
      </c>
      <c r="BT115" s="313">
        <v>6.3</v>
      </c>
      <c r="BU115" s="313">
        <v>7.4</v>
      </c>
      <c r="BV115" s="313">
        <v>7.9</v>
      </c>
      <c r="BW115" s="313">
        <v>5.7</v>
      </c>
      <c r="BX115" s="313">
        <v>4.0999999999999996</v>
      </c>
      <c r="BY115" s="313">
        <v>2.8</v>
      </c>
      <c r="BZ115" s="313">
        <v>2.1</v>
      </c>
      <c r="CA115" s="313">
        <v>2.6</v>
      </c>
      <c r="CB115" s="313">
        <v>16.7</v>
      </c>
      <c r="CC115" s="313">
        <v>66</v>
      </c>
      <c r="CD115" s="313">
        <v>17.3</v>
      </c>
    </row>
    <row r="116" spans="1:82" x14ac:dyDescent="0.25">
      <c r="A116" s="130" t="s">
        <v>4681</v>
      </c>
      <c r="B116" s="130" t="s">
        <v>169</v>
      </c>
      <c r="C116" s="130" t="s">
        <v>4682</v>
      </c>
      <c r="D116" s="130" t="s">
        <v>39</v>
      </c>
      <c r="E116" s="130" t="s">
        <v>4463</v>
      </c>
      <c r="F116" s="130" t="s">
        <v>4272</v>
      </c>
      <c r="G116" s="130" t="s">
        <v>4683</v>
      </c>
      <c r="H116" s="309">
        <v>540074</v>
      </c>
      <c r="I116" s="277" t="s">
        <v>1468</v>
      </c>
      <c r="J116" s="130">
        <v>5415028</v>
      </c>
      <c r="K116" s="130" t="s">
        <v>4684</v>
      </c>
      <c r="L116" s="310">
        <v>0.64163861050559146</v>
      </c>
      <c r="M116" s="311">
        <v>1820</v>
      </c>
      <c r="N116" s="312">
        <v>2836.4876586306054</v>
      </c>
      <c r="O116" s="311">
        <v>797</v>
      </c>
      <c r="P116" s="312">
        <v>2.2799999999999998</v>
      </c>
      <c r="Q116" s="311">
        <v>1820</v>
      </c>
      <c r="R116" s="311">
        <v>109</v>
      </c>
      <c r="S116" s="311">
        <v>42</v>
      </c>
      <c r="T116" s="311">
        <v>74</v>
      </c>
      <c r="U116" s="311">
        <v>46</v>
      </c>
      <c r="V116" s="311">
        <v>52</v>
      </c>
      <c r="W116" s="311">
        <v>63</v>
      </c>
      <c r="X116" s="311">
        <v>33</v>
      </c>
      <c r="Y116" s="311">
        <v>44</v>
      </c>
      <c r="Z116" s="311">
        <v>44</v>
      </c>
      <c r="AA116" s="311">
        <v>81</v>
      </c>
      <c r="AB116" s="311">
        <v>77</v>
      </c>
      <c r="AC116" s="311">
        <v>64</v>
      </c>
      <c r="AD116" s="311">
        <v>37</v>
      </c>
      <c r="AE116" s="311">
        <v>14</v>
      </c>
      <c r="AF116" s="311">
        <v>17</v>
      </c>
      <c r="AG116" s="311">
        <v>0</v>
      </c>
      <c r="AH116" s="312">
        <v>28.230865746549561</v>
      </c>
      <c r="AI116" s="312">
        <v>12.296110414052698</v>
      </c>
      <c r="AJ116" s="312">
        <v>23.086574654956085</v>
      </c>
      <c r="AK116" s="312">
        <v>10.163111668757843</v>
      </c>
      <c r="AL116" s="312">
        <v>26.223337515683813</v>
      </c>
      <c r="AM116" s="311">
        <v>20209</v>
      </c>
      <c r="AN116" s="311">
        <v>36736</v>
      </c>
      <c r="AO116" s="312">
        <v>58.092848180677535</v>
      </c>
      <c r="AP116" s="311">
        <v>797</v>
      </c>
      <c r="AQ116" s="311">
        <v>119</v>
      </c>
      <c r="AR116" s="311">
        <v>585</v>
      </c>
      <c r="AS116" s="311">
        <v>212</v>
      </c>
      <c r="AT116" s="311">
        <v>27</v>
      </c>
      <c r="AU116" s="311">
        <v>34</v>
      </c>
      <c r="AV116" s="311">
        <v>128</v>
      </c>
      <c r="AW116" s="311">
        <v>79</v>
      </c>
      <c r="AX116" s="311">
        <v>48</v>
      </c>
      <c r="AY116" s="311">
        <v>25</v>
      </c>
      <c r="AZ116" s="311">
        <v>99</v>
      </c>
      <c r="BA116" s="311">
        <v>22</v>
      </c>
      <c r="BB116" s="311">
        <v>0</v>
      </c>
      <c r="BC116" s="311">
        <v>113</v>
      </c>
      <c r="BD116" s="311">
        <v>28</v>
      </c>
      <c r="BE116" s="311">
        <v>11</v>
      </c>
      <c r="BF116" s="311">
        <v>118</v>
      </c>
      <c r="BG116" s="311">
        <v>14</v>
      </c>
      <c r="BH116" s="311">
        <v>0</v>
      </c>
      <c r="BI116" s="312">
        <v>20.5771643663739</v>
      </c>
      <c r="BJ116" s="313">
        <v>7</v>
      </c>
      <c r="BK116" s="313">
        <v>4.0999999999999996</v>
      </c>
      <c r="BL116" s="313">
        <v>5</v>
      </c>
      <c r="BM116" s="313">
        <v>4.5</v>
      </c>
      <c r="BN116" s="313">
        <v>6.9</v>
      </c>
      <c r="BO116" s="313">
        <v>4.4000000000000004</v>
      </c>
      <c r="BP116" s="313">
        <v>3.7</v>
      </c>
      <c r="BQ116" s="313">
        <v>4</v>
      </c>
      <c r="BR116" s="313">
        <v>9.4</v>
      </c>
      <c r="BS116" s="313">
        <v>6.3</v>
      </c>
      <c r="BT116" s="313">
        <v>7.2</v>
      </c>
      <c r="BU116" s="313">
        <v>6.1</v>
      </c>
      <c r="BV116" s="313">
        <v>8.6</v>
      </c>
      <c r="BW116" s="313">
        <v>8.5</v>
      </c>
      <c r="BX116" s="313">
        <v>5.9</v>
      </c>
      <c r="BY116" s="313">
        <v>3.4</v>
      </c>
      <c r="BZ116" s="313">
        <v>2.9</v>
      </c>
      <c r="CA116" s="313">
        <v>2.2000000000000002</v>
      </c>
      <c r="CB116" s="313">
        <v>16.100000000000001</v>
      </c>
      <c r="CC116" s="313">
        <v>61.1</v>
      </c>
      <c r="CD116" s="313">
        <v>22.9</v>
      </c>
    </row>
    <row r="117" spans="1:82" x14ac:dyDescent="0.25">
      <c r="A117" s="130" t="s">
        <v>4685</v>
      </c>
      <c r="B117" s="130" t="s">
        <v>170</v>
      </c>
      <c r="C117" s="130" t="s">
        <v>4686</v>
      </c>
      <c r="D117" s="130" t="s">
        <v>39</v>
      </c>
      <c r="E117" s="130" t="s">
        <v>4463</v>
      </c>
      <c r="F117" s="130" t="s">
        <v>4272</v>
      </c>
      <c r="G117" s="130" t="s">
        <v>4687</v>
      </c>
      <c r="H117" s="309">
        <v>540075</v>
      </c>
      <c r="I117" s="277" t="s">
        <v>1469</v>
      </c>
      <c r="J117" s="130">
        <v>5416012</v>
      </c>
      <c r="K117" s="130" t="s">
        <v>4688</v>
      </c>
      <c r="L117" s="310">
        <v>1.5206613352899572</v>
      </c>
      <c r="M117" s="311">
        <v>1050</v>
      </c>
      <c r="N117" s="312">
        <v>690.48904948963389</v>
      </c>
      <c r="O117" s="311">
        <v>429</v>
      </c>
      <c r="P117" s="312">
        <v>2.4500000000000002</v>
      </c>
      <c r="Q117" s="311">
        <v>1050</v>
      </c>
      <c r="R117" s="311">
        <v>37</v>
      </c>
      <c r="S117" s="311">
        <v>62</v>
      </c>
      <c r="T117" s="311">
        <v>24</v>
      </c>
      <c r="U117" s="311">
        <v>12</v>
      </c>
      <c r="V117" s="311">
        <v>15</v>
      </c>
      <c r="W117" s="311">
        <v>6</v>
      </c>
      <c r="X117" s="311">
        <v>48</v>
      </c>
      <c r="Y117" s="311">
        <v>43</v>
      </c>
      <c r="Z117" s="311">
        <v>32</v>
      </c>
      <c r="AA117" s="311">
        <v>23</v>
      </c>
      <c r="AB117" s="311">
        <v>34</v>
      </c>
      <c r="AC117" s="311">
        <v>62</v>
      </c>
      <c r="AD117" s="311">
        <v>5</v>
      </c>
      <c r="AE117" s="311">
        <v>8</v>
      </c>
      <c r="AF117" s="311">
        <v>18</v>
      </c>
      <c r="AG117" s="311">
        <v>0</v>
      </c>
      <c r="AH117" s="312">
        <v>28.671328671328673</v>
      </c>
      <c r="AI117" s="312">
        <v>6.2937062937062942</v>
      </c>
      <c r="AJ117" s="312">
        <v>30.069930069930066</v>
      </c>
      <c r="AK117" s="312">
        <v>5.3613053613053614</v>
      </c>
      <c r="AL117" s="312">
        <v>29.603729603729604</v>
      </c>
      <c r="AM117" s="311">
        <v>20370</v>
      </c>
      <c r="AN117" s="311">
        <v>40772</v>
      </c>
      <c r="AO117" s="312">
        <v>57.575757575757578</v>
      </c>
      <c r="AP117" s="311">
        <v>429</v>
      </c>
      <c r="AQ117" s="311">
        <v>53</v>
      </c>
      <c r="AR117" s="311">
        <v>303</v>
      </c>
      <c r="AS117" s="311">
        <v>126</v>
      </c>
      <c r="AT117" s="311">
        <v>20</v>
      </c>
      <c r="AU117" s="311">
        <v>17</v>
      </c>
      <c r="AV117" s="311">
        <v>80</v>
      </c>
      <c r="AW117" s="311">
        <v>15</v>
      </c>
      <c r="AX117" s="311">
        <v>5</v>
      </c>
      <c r="AY117" s="311">
        <v>13</v>
      </c>
      <c r="AZ117" s="311">
        <v>60</v>
      </c>
      <c r="BA117" s="311">
        <v>40</v>
      </c>
      <c r="BB117" s="311">
        <v>15</v>
      </c>
      <c r="BC117" s="311">
        <v>44</v>
      </c>
      <c r="BD117" s="311">
        <v>13</v>
      </c>
      <c r="BE117" s="311">
        <v>0</v>
      </c>
      <c r="BF117" s="311">
        <v>76</v>
      </c>
      <c r="BG117" s="311">
        <v>9</v>
      </c>
      <c r="BH117" s="311">
        <v>8</v>
      </c>
      <c r="BI117" s="312">
        <v>27.039627039627039</v>
      </c>
      <c r="BJ117" s="313">
        <v>8.4</v>
      </c>
      <c r="BK117" s="313">
        <v>7.5</v>
      </c>
      <c r="BL117" s="313">
        <v>4.4000000000000004</v>
      </c>
      <c r="BM117" s="313">
        <v>3.3</v>
      </c>
      <c r="BN117" s="313">
        <v>2.5</v>
      </c>
      <c r="BO117" s="313">
        <v>5.3</v>
      </c>
      <c r="BP117" s="313">
        <v>7</v>
      </c>
      <c r="BQ117" s="313">
        <v>6.7</v>
      </c>
      <c r="BR117" s="313">
        <v>2.2000000000000002</v>
      </c>
      <c r="BS117" s="313">
        <v>7</v>
      </c>
      <c r="BT117" s="313">
        <v>4.5999999999999996</v>
      </c>
      <c r="BU117" s="313">
        <v>7</v>
      </c>
      <c r="BV117" s="313">
        <v>6.3</v>
      </c>
      <c r="BW117" s="313">
        <v>6.3</v>
      </c>
      <c r="BX117" s="313">
        <v>8.6999999999999993</v>
      </c>
      <c r="BY117" s="313">
        <v>5.3</v>
      </c>
      <c r="BZ117" s="313">
        <v>2</v>
      </c>
      <c r="CA117" s="313">
        <v>5.4</v>
      </c>
      <c r="CB117" s="313">
        <v>20.3</v>
      </c>
      <c r="CC117" s="313">
        <v>51.9</v>
      </c>
      <c r="CD117" s="313">
        <v>27.700000000000003</v>
      </c>
    </row>
    <row r="118" spans="1:82" x14ac:dyDescent="0.25">
      <c r="A118" s="130" t="s">
        <v>4689</v>
      </c>
      <c r="B118" s="130" t="s">
        <v>171</v>
      </c>
      <c r="C118" s="130" t="s">
        <v>4690</v>
      </c>
      <c r="D118" s="130" t="s">
        <v>39</v>
      </c>
      <c r="E118" s="130" t="s">
        <v>4463</v>
      </c>
      <c r="F118" s="130" t="s">
        <v>4272</v>
      </c>
      <c r="G118" s="130" t="s">
        <v>4691</v>
      </c>
      <c r="H118" s="309">
        <v>540076</v>
      </c>
      <c r="I118" s="277" t="s">
        <v>1470</v>
      </c>
      <c r="J118" s="130">
        <v>5422564</v>
      </c>
      <c r="K118" s="130" t="s">
        <v>4692</v>
      </c>
      <c r="L118" s="310">
        <v>2.8041717662657706</v>
      </c>
      <c r="M118" s="311">
        <v>7571</v>
      </c>
      <c r="N118" s="312">
        <v>2699.9059369612255</v>
      </c>
      <c r="O118" s="311">
        <v>3757</v>
      </c>
      <c r="P118" s="312">
        <v>1.98</v>
      </c>
      <c r="Q118" s="311">
        <v>7444</v>
      </c>
      <c r="R118" s="311">
        <v>279</v>
      </c>
      <c r="S118" s="311">
        <v>257</v>
      </c>
      <c r="T118" s="311">
        <v>197</v>
      </c>
      <c r="U118" s="311">
        <v>234</v>
      </c>
      <c r="V118" s="311">
        <v>255</v>
      </c>
      <c r="W118" s="311">
        <v>312</v>
      </c>
      <c r="X118" s="311">
        <v>208</v>
      </c>
      <c r="Y118" s="311">
        <v>255</v>
      </c>
      <c r="Z118" s="311">
        <v>206</v>
      </c>
      <c r="AA118" s="311">
        <v>365</v>
      </c>
      <c r="AB118" s="311">
        <v>257</v>
      </c>
      <c r="AC118" s="311">
        <v>414</v>
      </c>
      <c r="AD118" s="311">
        <v>338</v>
      </c>
      <c r="AE118" s="311">
        <v>109</v>
      </c>
      <c r="AF118" s="311">
        <v>43</v>
      </c>
      <c r="AG118" s="311">
        <v>28</v>
      </c>
      <c r="AH118" s="312">
        <v>19.5102475379292</v>
      </c>
      <c r="AI118" s="312">
        <v>13.015704019164225</v>
      </c>
      <c r="AJ118" s="312">
        <v>26.111258983231302</v>
      </c>
      <c r="AK118" s="312">
        <v>9.7151982965131758</v>
      </c>
      <c r="AL118" s="312">
        <v>31.647591163162097</v>
      </c>
      <c r="AM118" s="311">
        <v>26788</v>
      </c>
      <c r="AN118" s="311">
        <v>42438</v>
      </c>
      <c r="AO118" s="312">
        <v>53.154112323662495</v>
      </c>
      <c r="AP118" s="311">
        <v>3757</v>
      </c>
      <c r="AQ118" s="311">
        <v>670</v>
      </c>
      <c r="AR118" s="311">
        <v>2213</v>
      </c>
      <c r="AS118" s="311">
        <v>1544</v>
      </c>
      <c r="AT118" s="311">
        <v>114</v>
      </c>
      <c r="AU118" s="311">
        <v>85</v>
      </c>
      <c r="AV118" s="311">
        <v>461</v>
      </c>
      <c r="AW118" s="311">
        <v>306</v>
      </c>
      <c r="AX118" s="311">
        <v>210</v>
      </c>
      <c r="AY118" s="311">
        <v>275</v>
      </c>
      <c r="AZ118" s="311">
        <v>272</v>
      </c>
      <c r="BA118" s="311">
        <v>346</v>
      </c>
      <c r="BB118" s="311">
        <v>49</v>
      </c>
      <c r="BC118" s="311">
        <v>471</v>
      </c>
      <c r="BD118" s="311">
        <v>139</v>
      </c>
      <c r="BE118" s="311">
        <v>0</v>
      </c>
      <c r="BF118" s="311">
        <v>925</v>
      </c>
      <c r="BG118" s="311">
        <v>7</v>
      </c>
      <c r="BH118" s="311">
        <v>0</v>
      </c>
      <c r="BI118" s="312">
        <v>20.894330582911898</v>
      </c>
      <c r="BJ118" s="313">
        <v>3.6</v>
      </c>
      <c r="BK118" s="313">
        <v>6.6</v>
      </c>
      <c r="BL118" s="313">
        <v>4.3</v>
      </c>
      <c r="BM118" s="313">
        <v>3.5</v>
      </c>
      <c r="BN118" s="313">
        <v>4.0999999999999996</v>
      </c>
      <c r="BO118" s="313">
        <v>9.5</v>
      </c>
      <c r="BP118" s="313">
        <v>5.5</v>
      </c>
      <c r="BQ118" s="313">
        <v>5.2</v>
      </c>
      <c r="BR118" s="313">
        <v>6.8</v>
      </c>
      <c r="BS118" s="313">
        <v>5.8</v>
      </c>
      <c r="BT118" s="313">
        <v>6.7</v>
      </c>
      <c r="BU118" s="313">
        <v>6.9</v>
      </c>
      <c r="BV118" s="313">
        <v>8.8000000000000007</v>
      </c>
      <c r="BW118" s="313">
        <v>5.4</v>
      </c>
      <c r="BX118" s="313">
        <v>5.5</v>
      </c>
      <c r="BY118" s="313">
        <v>4.2</v>
      </c>
      <c r="BZ118" s="313">
        <v>3.1</v>
      </c>
      <c r="CA118" s="313">
        <v>4.3</v>
      </c>
      <c r="CB118" s="313">
        <v>14.5</v>
      </c>
      <c r="CC118" s="313">
        <v>62.8</v>
      </c>
      <c r="CD118" s="313">
        <v>22.500000000000004</v>
      </c>
    </row>
    <row r="119" spans="1:82" x14ac:dyDescent="0.25">
      <c r="A119" s="130" t="s">
        <v>4693</v>
      </c>
      <c r="B119" s="130" t="s">
        <v>172</v>
      </c>
      <c r="C119" s="130" t="s">
        <v>4694</v>
      </c>
      <c r="D119" s="130" t="s">
        <v>39</v>
      </c>
      <c r="E119" s="130" t="s">
        <v>4463</v>
      </c>
      <c r="F119" s="130" t="s">
        <v>4272</v>
      </c>
      <c r="G119" s="130" t="s">
        <v>4695</v>
      </c>
      <c r="H119" s="309">
        <v>540077</v>
      </c>
      <c r="I119" s="277" t="s">
        <v>1471</v>
      </c>
      <c r="J119" s="130">
        <v>5423092</v>
      </c>
      <c r="K119" s="130" t="s">
        <v>4696</v>
      </c>
      <c r="L119" s="310">
        <v>0.4812420009062735</v>
      </c>
      <c r="M119" s="311">
        <v>794</v>
      </c>
      <c r="N119" s="312">
        <v>1649.8975536315234</v>
      </c>
      <c r="O119" s="311">
        <v>299</v>
      </c>
      <c r="P119" s="312">
        <v>2.58</v>
      </c>
      <c r="Q119" s="311">
        <v>770</v>
      </c>
      <c r="R119" s="311">
        <v>17</v>
      </c>
      <c r="S119" s="311">
        <v>21</v>
      </c>
      <c r="T119" s="311">
        <v>24</v>
      </c>
      <c r="U119" s="311">
        <v>11</v>
      </c>
      <c r="V119" s="311">
        <v>19</v>
      </c>
      <c r="W119" s="311">
        <v>3</v>
      </c>
      <c r="X119" s="311">
        <v>12</v>
      </c>
      <c r="Y119" s="311">
        <v>32</v>
      </c>
      <c r="Z119" s="311">
        <v>15</v>
      </c>
      <c r="AA119" s="311">
        <v>31</v>
      </c>
      <c r="AB119" s="311">
        <v>44</v>
      </c>
      <c r="AC119" s="311">
        <v>44</v>
      </c>
      <c r="AD119" s="311">
        <v>8</v>
      </c>
      <c r="AE119" s="311">
        <v>12</v>
      </c>
      <c r="AF119" s="311">
        <v>3</v>
      </c>
      <c r="AG119" s="311">
        <v>3</v>
      </c>
      <c r="AH119" s="312">
        <v>20.735785953177256</v>
      </c>
      <c r="AI119" s="312">
        <v>10.033444816053512</v>
      </c>
      <c r="AJ119" s="312">
        <v>20.735785953177256</v>
      </c>
      <c r="AK119" s="312">
        <v>10.367892976588628</v>
      </c>
      <c r="AL119" s="312">
        <v>38.127090301003349</v>
      </c>
      <c r="AM119" s="311">
        <v>22163</v>
      </c>
      <c r="AN119" s="311">
        <v>47750</v>
      </c>
      <c r="AO119" s="312">
        <v>46.488294314381271</v>
      </c>
      <c r="AP119" s="311">
        <v>299</v>
      </c>
      <c r="AQ119" s="311">
        <v>49</v>
      </c>
      <c r="AR119" s="311">
        <v>242</v>
      </c>
      <c r="AS119" s="311">
        <v>57</v>
      </c>
      <c r="AT119" s="311">
        <v>6</v>
      </c>
      <c r="AU119" s="311">
        <v>6</v>
      </c>
      <c r="AV119" s="311">
        <v>42</v>
      </c>
      <c r="AW119" s="311">
        <v>19</v>
      </c>
      <c r="AX119" s="311">
        <v>0</v>
      </c>
      <c r="AY119" s="311">
        <v>14</v>
      </c>
      <c r="AZ119" s="311">
        <v>33</v>
      </c>
      <c r="BA119" s="311">
        <v>16</v>
      </c>
      <c r="BB119" s="311">
        <v>0</v>
      </c>
      <c r="BC119" s="311">
        <v>69</v>
      </c>
      <c r="BD119" s="311">
        <v>6</v>
      </c>
      <c r="BE119" s="311">
        <v>0</v>
      </c>
      <c r="BF119" s="311">
        <v>68</v>
      </c>
      <c r="BG119" s="311">
        <v>2</v>
      </c>
      <c r="BH119" s="311">
        <v>0</v>
      </c>
      <c r="BI119" s="312">
        <v>18.729096989966553</v>
      </c>
      <c r="BJ119" s="313">
        <v>4.9000000000000004</v>
      </c>
      <c r="BK119" s="313">
        <v>6</v>
      </c>
      <c r="BL119" s="313">
        <v>4</v>
      </c>
      <c r="BM119" s="313">
        <v>4</v>
      </c>
      <c r="BN119" s="313">
        <v>5.7</v>
      </c>
      <c r="BO119" s="313">
        <v>7.2</v>
      </c>
      <c r="BP119" s="313">
        <v>8.6</v>
      </c>
      <c r="BQ119" s="313">
        <v>2.6</v>
      </c>
      <c r="BR119" s="313">
        <v>5.9</v>
      </c>
      <c r="BS119" s="313">
        <v>5.8</v>
      </c>
      <c r="BT119" s="313">
        <v>6.9</v>
      </c>
      <c r="BU119" s="313">
        <v>8.6</v>
      </c>
      <c r="BV119" s="313">
        <v>7.3</v>
      </c>
      <c r="BW119" s="313">
        <v>6</v>
      </c>
      <c r="BX119" s="313">
        <v>4.2</v>
      </c>
      <c r="BY119" s="313">
        <v>2.4</v>
      </c>
      <c r="BZ119" s="313">
        <v>6.2</v>
      </c>
      <c r="CA119" s="313">
        <v>3.7</v>
      </c>
      <c r="CB119" s="313">
        <v>14.9</v>
      </c>
      <c r="CC119" s="313">
        <v>62.599999999999994</v>
      </c>
      <c r="CD119" s="313">
        <v>22.5</v>
      </c>
    </row>
    <row r="120" spans="1:82" x14ac:dyDescent="0.25">
      <c r="A120" s="130" t="s">
        <v>4697</v>
      </c>
      <c r="B120" s="130" t="s">
        <v>173</v>
      </c>
      <c r="C120" s="130" t="s">
        <v>4698</v>
      </c>
      <c r="D120" s="130" t="s">
        <v>39</v>
      </c>
      <c r="E120" s="130" t="s">
        <v>4463</v>
      </c>
      <c r="F120" s="130" t="s">
        <v>4272</v>
      </c>
      <c r="G120" s="130" t="s">
        <v>4699</v>
      </c>
      <c r="H120" s="309">
        <v>540078</v>
      </c>
      <c r="I120" s="277" t="s">
        <v>1472</v>
      </c>
      <c r="J120" s="130">
        <v>5431324</v>
      </c>
      <c r="K120" s="130" t="s">
        <v>4700</v>
      </c>
      <c r="L120" s="310">
        <v>0.46903565755312443</v>
      </c>
      <c r="M120" s="311">
        <v>768</v>
      </c>
      <c r="N120" s="312">
        <v>1637.4021625701537</v>
      </c>
      <c r="O120" s="311">
        <v>290</v>
      </c>
      <c r="P120" s="312">
        <v>2.29</v>
      </c>
      <c r="Q120" s="311">
        <v>664</v>
      </c>
      <c r="R120" s="311">
        <v>22</v>
      </c>
      <c r="S120" s="311">
        <v>2</v>
      </c>
      <c r="T120" s="311">
        <v>26</v>
      </c>
      <c r="U120" s="311">
        <v>26</v>
      </c>
      <c r="V120" s="311">
        <v>12</v>
      </c>
      <c r="W120" s="311">
        <v>26</v>
      </c>
      <c r="X120" s="311">
        <v>7</v>
      </c>
      <c r="Y120" s="311">
        <v>20</v>
      </c>
      <c r="Z120" s="311">
        <v>25</v>
      </c>
      <c r="AA120" s="311">
        <v>35</v>
      </c>
      <c r="AB120" s="311">
        <v>34</v>
      </c>
      <c r="AC120" s="311">
        <v>23</v>
      </c>
      <c r="AD120" s="311">
        <v>14</v>
      </c>
      <c r="AE120" s="311">
        <v>10</v>
      </c>
      <c r="AF120" s="311">
        <v>3</v>
      </c>
      <c r="AG120" s="311">
        <v>5</v>
      </c>
      <c r="AH120" s="312">
        <v>17.241379310344829</v>
      </c>
      <c r="AI120" s="312">
        <v>13.103448275862069</v>
      </c>
      <c r="AJ120" s="312">
        <v>26.896551724137929</v>
      </c>
      <c r="AK120" s="312">
        <v>12.068965517241379</v>
      </c>
      <c r="AL120" s="312">
        <v>30.689655172413794</v>
      </c>
      <c r="AM120" s="311">
        <v>21259</v>
      </c>
      <c r="AN120" s="311">
        <v>45556</v>
      </c>
      <c r="AO120" s="312">
        <v>48.620689655172413</v>
      </c>
      <c r="AP120" s="311">
        <v>290</v>
      </c>
      <c r="AQ120" s="311">
        <v>40</v>
      </c>
      <c r="AR120" s="311">
        <v>235</v>
      </c>
      <c r="AS120" s="311">
        <v>55</v>
      </c>
      <c r="AT120" s="311">
        <v>20</v>
      </c>
      <c r="AU120" s="311">
        <v>0</v>
      </c>
      <c r="AV120" s="311">
        <v>30</v>
      </c>
      <c r="AW120" s="311">
        <v>27</v>
      </c>
      <c r="AX120" s="311">
        <v>4</v>
      </c>
      <c r="AY120" s="311">
        <v>33</v>
      </c>
      <c r="AZ120" s="311">
        <v>34</v>
      </c>
      <c r="BA120" s="311">
        <v>17</v>
      </c>
      <c r="BB120" s="311">
        <v>1</v>
      </c>
      <c r="BC120" s="311">
        <v>51</v>
      </c>
      <c r="BD120" s="311">
        <v>15</v>
      </c>
      <c r="BE120" s="311">
        <v>0</v>
      </c>
      <c r="BF120" s="311">
        <v>50</v>
      </c>
      <c r="BG120" s="311">
        <v>3</v>
      </c>
      <c r="BH120" s="311">
        <v>2</v>
      </c>
      <c r="BI120" s="312">
        <v>22.758620689655174</v>
      </c>
      <c r="BJ120" s="313">
        <v>5.2</v>
      </c>
      <c r="BK120" s="313">
        <v>6.4</v>
      </c>
      <c r="BL120" s="313">
        <v>2.5</v>
      </c>
      <c r="BM120" s="313">
        <v>3</v>
      </c>
      <c r="BN120" s="313">
        <v>3.5</v>
      </c>
      <c r="BO120" s="313">
        <v>4.2</v>
      </c>
      <c r="BP120" s="313">
        <v>5.6</v>
      </c>
      <c r="BQ120" s="313">
        <v>2.5</v>
      </c>
      <c r="BR120" s="313">
        <v>6.4</v>
      </c>
      <c r="BS120" s="313">
        <v>4.7</v>
      </c>
      <c r="BT120" s="313">
        <v>7.8</v>
      </c>
      <c r="BU120" s="313">
        <v>5.2</v>
      </c>
      <c r="BV120" s="313">
        <v>7.2</v>
      </c>
      <c r="BW120" s="313">
        <v>8.1999999999999993</v>
      </c>
      <c r="BX120" s="313">
        <v>8.5</v>
      </c>
      <c r="BY120" s="313">
        <v>3.8</v>
      </c>
      <c r="BZ120" s="313">
        <v>6.1</v>
      </c>
      <c r="CA120" s="313">
        <v>9.4</v>
      </c>
      <c r="CB120" s="313">
        <v>14.100000000000001</v>
      </c>
      <c r="CC120" s="313">
        <v>50.1</v>
      </c>
      <c r="CD120" s="313">
        <v>36</v>
      </c>
    </row>
    <row r="121" spans="1:82" x14ac:dyDescent="0.25">
      <c r="A121" s="130" t="s">
        <v>4701</v>
      </c>
      <c r="B121" s="130" t="s">
        <v>320</v>
      </c>
      <c r="C121" s="130" t="s">
        <v>4702</v>
      </c>
      <c r="D121" s="130" t="s">
        <v>39</v>
      </c>
      <c r="E121" s="130" t="s">
        <v>4463</v>
      </c>
      <c r="F121" s="130" t="s">
        <v>4272</v>
      </c>
      <c r="G121" s="130" t="s">
        <v>4703</v>
      </c>
      <c r="H121" s="309">
        <v>540279</v>
      </c>
      <c r="I121" s="277" t="s">
        <v>1478</v>
      </c>
      <c r="J121" s="130">
        <v>5434756</v>
      </c>
      <c r="K121" s="130" t="s">
        <v>4704</v>
      </c>
      <c r="L121" s="310">
        <v>0.97106410981637903</v>
      </c>
      <c r="M121" s="311">
        <v>185</v>
      </c>
      <c r="N121" s="312">
        <v>190.51265321193068</v>
      </c>
      <c r="O121" s="311">
        <v>66</v>
      </c>
      <c r="P121" s="312">
        <v>2.8</v>
      </c>
      <c r="Q121" s="311">
        <v>185</v>
      </c>
      <c r="R121" s="311">
        <v>3</v>
      </c>
      <c r="S121" s="311">
        <v>7</v>
      </c>
      <c r="T121" s="311">
        <v>2</v>
      </c>
      <c r="U121" s="311">
        <v>5</v>
      </c>
      <c r="V121" s="311">
        <v>0</v>
      </c>
      <c r="W121" s="311">
        <v>16</v>
      </c>
      <c r="X121" s="311">
        <v>2</v>
      </c>
      <c r="Y121" s="311">
        <v>3</v>
      </c>
      <c r="Z121" s="311">
        <v>2</v>
      </c>
      <c r="AA121" s="311">
        <v>8</v>
      </c>
      <c r="AB121" s="311">
        <v>4</v>
      </c>
      <c r="AC121" s="311">
        <v>9</v>
      </c>
      <c r="AD121" s="311">
        <v>0</v>
      </c>
      <c r="AE121" s="311">
        <v>5</v>
      </c>
      <c r="AF121" s="311">
        <v>0</v>
      </c>
      <c r="AG121" s="311">
        <v>0</v>
      </c>
      <c r="AH121" s="312">
        <v>18.181818181818183</v>
      </c>
      <c r="AI121" s="312">
        <v>7.5757575757575761</v>
      </c>
      <c r="AJ121" s="312">
        <v>34.848484848484851</v>
      </c>
      <c r="AK121" s="312">
        <v>12.121212121212121</v>
      </c>
      <c r="AL121" s="312">
        <v>27.27272727272727</v>
      </c>
      <c r="AM121" s="311">
        <v>18134</v>
      </c>
      <c r="AN121" s="311">
        <v>35000</v>
      </c>
      <c r="AO121" s="312">
        <v>57.575757575757578</v>
      </c>
      <c r="AP121" s="311">
        <v>66</v>
      </c>
      <c r="AQ121" s="311">
        <v>19</v>
      </c>
      <c r="AR121" s="311">
        <v>49</v>
      </c>
      <c r="AS121" s="311">
        <v>17</v>
      </c>
      <c r="AT121" s="311">
        <v>2</v>
      </c>
      <c r="AU121" s="311">
        <v>2</v>
      </c>
      <c r="AV121" s="311">
        <v>5</v>
      </c>
      <c r="AW121" s="311">
        <v>10</v>
      </c>
      <c r="AX121" s="311">
        <v>0</v>
      </c>
      <c r="AY121" s="311">
        <v>4</v>
      </c>
      <c r="AZ121" s="311">
        <v>6</v>
      </c>
      <c r="BA121" s="311">
        <v>1</v>
      </c>
      <c r="BB121" s="311">
        <v>0</v>
      </c>
      <c r="BC121" s="311">
        <v>10</v>
      </c>
      <c r="BD121" s="311">
        <v>0</v>
      </c>
      <c r="BE121" s="311">
        <v>2</v>
      </c>
      <c r="BF121" s="311">
        <v>10</v>
      </c>
      <c r="BG121" s="311">
        <v>4</v>
      </c>
      <c r="BH121" s="311">
        <v>0</v>
      </c>
      <c r="BI121" s="312">
        <v>16.666666666666664</v>
      </c>
      <c r="BJ121" s="313">
        <v>3.8</v>
      </c>
      <c r="BK121" s="313">
        <v>9.6999999999999993</v>
      </c>
      <c r="BL121" s="313">
        <v>4.9000000000000004</v>
      </c>
      <c r="BM121" s="313">
        <v>4.3</v>
      </c>
      <c r="BN121" s="313">
        <v>3.2</v>
      </c>
      <c r="BO121" s="313">
        <v>4.9000000000000004</v>
      </c>
      <c r="BP121" s="313">
        <v>8.1</v>
      </c>
      <c r="BQ121" s="313">
        <v>11.9</v>
      </c>
      <c r="BR121" s="313">
        <v>4.3</v>
      </c>
      <c r="BS121" s="313">
        <v>5.9</v>
      </c>
      <c r="BT121" s="313">
        <v>1.6</v>
      </c>
      <c r="BU121" s="313">
        <v>1.6</v>
      </c>
      <c r="BV121" s="313">
        <v>8.6</v>
      </c>
      <c r="BW121" s="313">
        <v>10.8</v>
      </c>
      <c r="BX121" s="313">
        <v>5.9</v>
      </c>
      <c r="BY121" s="313">
        <v>0.5</v>
      </c>
      <c r="BZ121" s="313">
        <v>7</v>
      </c>
      <c r="CA121" s="313">
        <v>2.7</v>
      </c>
      <c r="CB121" s="313">
        <v>18.399999999999999</v>
      </c>
      <c r="CC121" s="313">
        <v>54.4</v>
      </c>
      <c r="CD121" s="313">
        <v>26.900000000000002</v>
      </c>
    </row>
    <row r="122" spans="1:82" x14ac:dyDescent="0.25">
      <c r="A122" s="130" t="s">
        <v>4705</v>
      </c>
      <c r="B122" s="130" t="s">
        <v>174</v>
      </c>
      <c r="C122" s="130" t="s">
        <v>4706</v>
      </c>
      <c r="D122" s="130" t="s">
        <v>39</v>
      </c>
      <c r="E122" s="130" t="s">
        <v>4463</v>
      </c>
      <c r="F122" s="130" t="s">
        <v>4272</v>
      </c>
      <c r="G122" s="130" t="s">
        <v>4707</v>
      </c>
      <c r="H122" s="309">
        <v>540079</v>
      </c>
      <c r="I122" s="277" t="s">
        <v>1473</v>
      </c>
      <c r="J122" s="130">
        <v>5451724</v>
      </c>
      <c r="K122" s="130" t="s">
        <v>4708</v>
      </c>
      <c r="L122" s="310">
        <v>1.4072421862700168</v>
      </c>
      <c r="M122" s="311">
        <v>1381</v>
      </c>
      <c r="N122" s="312">
        <v>981.35204691413253</v>
      </c>
      <c r="O122" s="311">
        <v>574</v>
      </c>
      <c r="P122" s="312">
        <v>2.25</v>
      </c>
      <c r="Q122" s="311">
        <v>1290</v>
      </c>
      <c r="R122" s="311">
        <v>41</v>
      </c>
      <c r="S122" s="311">
        <v>69</v>
      </c>
      <c r="T122" s="311">
        <v>46</v>
      </c>
      <c r="U122" s="311">
        <v>52</v>
      </c>
      <c r="V122" s="311">
        <v>19</v>
      </c>
      <c r="W122" s="311">
        <v>39</v>
      </c>
      <c r="X122" s="311">
        <v>44</v>
      </c>
      <c r="Y122" s="311">
        <v>23</v>
      </c>
      <c r="Z122" s="311">
        <v>28</v>
      </c>
      <c r="AA122" s="311">
        <v>25</v>
      </c>
      <c r="AB122" s="311">
        <v>70</v>
      </c>
      <c r="AC122" s="311">
        <v>68</v>
      </c>
      <c r="AD122" s="311">
        <v>10</v>
      </c>
      <c r="AE122" s="311">
        <v>15</v>
      </c>
      <c r="AF122" s="311">
        <v>22</v>
      </c>
      <c r="AG122" s="311">
        <v>3</v>
      </c>
      <c r="AH122" s="312">
        <v>27.177700348432055</v>
      </c>
      <c r="AI122" s="312">
        <v>12.369337979094077</v>
      </c>
      <c r="AJ122" s="312">
        <v>23.344947735191639</v>
      </c>
      <c r="AK122" s="312">
        <v>4.3554006968641117</v>
      </c>
      <c r="AL122" s="312">
        <v>32.752613240418114</v>
      </c>
      <c r="AM122" s="311">
        <v>22024</v>
      </c>
      <c r="AN122" s="311">
        <v>36750</v>
      </c>
      <c r="AO122" s="312">
        <v>58.013937282229968</v>
      </c>
      <c r="AP122" s="311">
        <v>574</v>
      </c>
      <c r="AQ122" s="311">
        <v>121</v>
      </c>
      <c r="AR122" s="311">
        <v>361</v>
      </c>
      <c r="AS122" s="311">
        <v>213</v>
      </c>
      <c r="AT122" s="311">
        <v>6</v>
      </c>
      <c r="AU122" s="311">
        <v>6</v>
      </c>
      <c r="AV122" s="311">
        <v>117</v>
      </c>
      <c r="AW122" s="311">
        <v>59</v>
      </c>
      <c r="AX122" s="311">
        <v>12</v>
      </c>
      <c r="AY122" s="311">
        <v>20</v>
      </c>
      <c r="AZ122" s="311">
        <v>37</v>
      </c>
      <c r="BA122" s="311">
        <v>47</v>
      </c>
      <c r="BB122" s="311">
        <v>11</v>
      </c>
      <c r="BC122" s="311">
        <v>78</v>
      </c>
      <c r="BD122" s="311">
        <v>13</v>
      </c>
      <c r="BE122" s="311">
        <v>0</v>
      </c>
      <c r="BF122" s="311">
        <v>114</v>
      </c>
      <c r="BG122" s="311">
        <v>4</v>
      </c>
      <c r="BH122" s="311">
        <v>0</v>
      </c>
      <c r="BI122" s="312">
        <v>25.78397212543554</v>
      </c>
      <c r="BJ122" s="313">
        <v>3.5</v>
      </c>
      <c r="BK122" s="313">
        <v>4.7</v>
      </c>
      <c r="BL122" s="313">
        <v>3.5</v>
      </c>
      <c r="BM122" s="313">
        <v>7.9</v>
      </c>
      <c r="BN122" s="313">
        <v>5.4</v>
      </c>
      <c r="BO122" s="313">
        <v>4.3</v>
      </c>
      <c r="BP122" s="313">
        <v>4.9000000000000004</v>
      </c>
      <c r="BQ122" s="313">
        <v>7.2</v>
      </c>
      <c r="BR122" s="313">
        <v>3.9</v>
      </c>
      <c r="BS122" s="313">
        <v>9.4</v>
      </c>
      <c r="BT122" s="313">
        <v>7</v>
      </c>
      <c r="BU122" s="313">
        <v>4.5999999999999996</v>
      </c>
      <c r="BV122" s="313">
        <v>6.7</v>
      </c>
      <c r="BW122" s="313">
        <v>7.5</v>
      </c>
      <c r="BX122" s="313">
        <v>4.7</v>
      </c>
      <c r="BY122" s="313">
        <v>4.9000000000000004</v>
      </c>
      <c r="BZ122" s="313">
        <v>3.5</v>
      </c>
      <c r="CA122" s="313">
        <v>6.4</v>
      </c>
      <c r="CB122" s="313">
        <v>11.7</v>
      </c>
      <c r="CC122" s="313">
        <v>61.300000000000004</v>
      </c>
      <c r="CD122" s="313">
        <v>27</v>
      </c>
    </row>
    <row r="123" spans="1:82" s="330" customFormat="1" x14ac:dyDescent="0.25">
      <c r="A123" s="323" t="s">
        <v>4444</v>
      </c>
      <c r="B123" s="323" t="s">
        <v>134</v>
      </c>
      <c r="C123" s="323" t="s">
        <v>4709</v>
      </c>
      <c r="D123" s="323" t="s">
        <v>623</v>
      </c>
      <c r="E123" s="323" t="s">
        <v>4463</v>
      </c>
      <c r="F123" s="323" t="s">
        <v>4272</v>
      </c>
      <c r="G123" s="323" t="s">
        <v>4446</v>
      </c>
      <c r="H123" s="324">
        <v>540029</v>
      </c>
      <c r="I123" s="325" t="s">
        <v>4710</v>
      </c>
      <c r="J123" s="323">
        <v>5455468</v>
      </c>
      <c r="K123" s="323" t="s">
        <v>4448</v>
      </c>
      <c r="L123" s="326">
        <v>0.37259367273872201</v>
      </c>
      <c r="M123" s="327">
        <v>391</v>
      </c>
      <c r="N123" s="328">
        <v>1049.4005363160991</v>
      </c>
      <c r="O123" s="327">
        <v>149</v>
      </c>
      <c r="P123" s="328">
        <v>2.0099999999999998</v>
      </c>
      <c r="Q123" s="327">
        <v>299</v>
      </c>
      <c r="R123" s="327">
        <v>42</v>
      </c>
      <c r="S123" s="327">
        <v>19</v>
      </c>
      <c r="T123" s="327">
        <v>15</v>
      </c>
      <c r="U123" s="327">
        <v>10</v>
      </c>
      <c r="V123" s="327">
        <v>8</v>
      </c>
      <c r="W123" s="327">
        <v>5</v>
      </c>
      <c r="X123" s="327">
        <v>4</v>
      </c>
      <c r="Y123" s="327">
        <v>4</v>
      </c>
      <c r="Z123" s="327">
        <v>5</v>
      </c>
      <c r="AA123" s="327">
        <v>4</v>
      </c>
      <c r="AB123" s="327">
        <v>9</v>
      </c>
      <c r="AC123" s="327">
        <v>9</v>
      </c>
      <c r="AD123" s="327">
        <v>8</v>
      </c>
      <c r="AE123" s="327">
        <v>3</v>
      </c>
      <c r="AF123" s="327">
        <v>3</v>
      </c>
      <c r="AG123" s="327">
        <v>3</v>
      </c>
      <c r="AH123" s="328">
        <v>51.006711409395976</v>
      </c>
      <c r="AI123" s="328">
        <v>12.080536912751679</v>
      </c>
      <c r="AJ123" s="328">
        <v>12.080536912751679</v>
      </c>
      <c r="AK123" s="328">
        <v>2.6845637583892619</v>
      </c>
      <c r="AL123" s="328">
        <v>23.48993288590604</v>
      </c>
      <c r="AM123" s="327">
        <v>18832</v>
      </c>
      <c r="AN123" s="327">
        <v>19786</v>
      </c>
      <c r="AO123" s="328">
        <v>71.812080536912745</v>
      </c>
      <c r="AP123" s="327">
        <v>149</v>
      </c>
      <c r="AQ123" s="327">
        <v>39</v>
      </c>
      <c r="AR123" s="327">
        <v>62</v>
      </c>
      <c r="AS123" s="327">
        <v>87</v>
      </c>
      <c r="AT123" s="327">
        <v>4</v>
      </c>
      <c r="AU123" s="327">
        <v>15</v>
      </c>
      <c r="AV123" s="327">
        <v>45</v>
      </c>
      <c r="AW123" s="327">
        <v>7</v>
      </c>
      <c r="AX123" s="327">
        <v>7</v>
      </c>
      <c r="AY123" s="327">
        <v>5</v>
      </c>
      <c r="AZ123" s="327">
        <v>7</v>
      </c>
      <c r="BA123" s="327">
        <v>4</v>
      </c>
      <c r="BB123" s="327">
        <v>1</v>
      </c>
      <c r="BC123" s="327">
        <v>12</v>
      </c>
      <c r="BD123" s="327">
        <v>0</v>
      </c>
      <c r="BE123" s="327">
        <v>0</v>
      </c>
      <c r="BF123" s="327">
        <v>26</v>
      </c>
      <c r="BG123" s="327">
        <v>0</v>
      </c>
      <c r="BH123" s="327">
        <v>0</v>
      </c>
      <c r="BI123" s="328">
        <v>34.228187919463089</v>
      </c>
      <c r="BJ123" s="329">
        <v>1.9</v>
      </c>
      <c r="BK123" s="329">
        <v>8</v>
      </c>
      <c r="BL123" s="329">
        <v>5.7</v>
      </c>
      <c r="BM123" s="329">
        <v>13.5</v>
      </c>
      <c r="BN123" s="329">
        <v>16.899999999999999</v>
      </c>
      <c r="BO123" s="329">
        <v>5.0999999999999996</v>
      </c>
      <c r="BP123" s="329">
        <v>2.9</v>
      </c>
      <c r="BQ123" s="329">
        <v>6.7</v>
      </c>
      <c r="BR123" s="329">
        <v>3.3</v>
      </c>
      <c r="BS123" s="329">
        <v>3.5</v>
      </c>
      <c r="BT123" s="329">
        <v>4.5999999999999996</v>
      </c>
      <c r="BU123" s="329">
        <v>6</v>
      </c>
      <c r="BV123" s="329">
        <v>6.1</v>
      </c>
      <c r="BW123" s="329">
        <v>4.4000000000000004</v>
      </c>
      <c r="BX123" s="329">
        <v>3.7</v>
      </c>
      <c r="BY123" s="329">
        <v>2.2999999999999998</v>
      </c>
      <c r="BZ123" s="329">
        <v>2.7</v>
      </c>
      <c r="CA123" s="329">
        <v>2.6</v>
      </c>
      <c r="CB123" s="329">
        <v>15.600000000000001</v>
      </c>
      <c r="CC123" s="329">
        <v>68.599999999999994</v>
      </c>
      <c r="CD123" s="329">
        <v>15.700000000000001</v>
      </c>
    </row>
    <row r="124" spans="1:82" s="330" customFormat="1" x14ac:dyDescent="0.25">
      <c r="A124" s="323" t="s">
        <v>4711</v>
      </c>
      <c r="B124" s="323" t="s">
        <v>176</v>
      </c>
      <c r="C124" s="323" t="s">
        <v>4712</v>
      </c>
      <c r="D124" s="323" t="s">
        <v>619</v>
      </c>
      <c r="E124" s="323" t="s">
        <v>4463</v>
      </c>
      <c r="F124" s="323" t="s">
        <v>4272</v>
      </c>
      <c r="G124" s="323" t="s">
        <v>4713</v>
      </c>
      <c r="H124" s="324">
        <v>540081</v>
      </c>
      <c r="I124" s="325" t="s">
        <v>4714</v>
      </c>
      <c r="J124" s="323">
        <v>5459068</v>
      </c>
      <c r="K124" s="323" t="s">
        <v>4715</v>
      </c>
      <c r="L124" s="326">
        <v>4.8274068301185897</v>
      </c>
      <c r="M124" s="327">
        <v>5423</v>
      </c>
      <c r="N124" s="328">
        <v>1123.3774551930148</v>
      </c>
      <c r="O124" s="327">
        <v>2386</v>
      </c>
      <c r="P124" s="328">
        <v>2.27</v>
      </c>
      <c r="Q124" s="327">
        <v>5423</v>
      </c>
      <c r="R124" s="327">
        <v>183</v>
      </c>
      <c r="S124" s="327">
        <v>171</v>
      </c>
      <c r="T124" s="327">
        <v>159</v>
      </c>
      <c r="U124" s="327">
        <v>144</v>
      </c>
      <c r="V124" s="327">
        <v>48</v>
      </c>
      <c r="W124" s="327">
        <v>193</v>
      </c>
      <c r="X124" s="327">
        <v>134</v>
      </c>
      <c r="Y124" s="327">
        <v>184</v>
      </c>
      <c r="Z124" s="327">
        <v>78</v>
      </c>
      <c r="AA124" s="327">
        <v>189</v>
      </c>
      <c r="AB124" s="327">
        <v>353</v>
      </c>
      <c r="AC124" s="327">
        <v>147</v>
      </c>
      <c r="AD124" s="327">
        <v>197</v>
      </c>
      <c r="AE124" s="327">
        <v>31</v>
      </c>
      <c r="AF124" s="327">
        <v>127</v>
      </c>
      <c r="AG124" s="327">
        <v>48</v>
      </c>
      <c r="AH124" s="328">
        <v>21.500419111483655</v>
      </c>
      <c r="AI124" s="328">
        <v>8.046940486169321</v>
      </c>
      <c r="AJ124" s="328">
        <v>24.685666387259012</v>
      </c>
      <c r="AK124" s="328">
        <v>7.9212070410729254</v>
      </c>
      <c r="AL124" s="328">
        <v>37.845766974015085</v>
      </c>
      <c r="AM124" s="327">
        <v>29481</v>
      </c>
      <c r="AN124" s="327">
        <v>43952</v>
      </c>
      <c r="AO124" s="328">
        <v>50.9639564124057</v>
      </c>
      <c r="AP124" s="327">
        <v>2386</v>
      </c>
      <c r="AQ124" s="327">
        <v>358</v>
      </c>
      <c r="AR124" s="327">
        <v>1624</v>
      </c>
      <c r="AS124" s="327">
        <v>762</v>
      </c>
      <c r="AT124" s="327">
        <v>12</v>
      </c>
      <c r="AU124" s="327">
        <v>136</v>
      </c>
      <c r="AV124" s="327">
        <v>317</v>
      </c>
      <c r="AW124" s="327">
        <v>129</v>
      </c>
      <c r="AX124" s="327">
        <v>125</v>
      </c>
      <c r="AY124" s="327">
        <v>101</v>
      </c>
      <c r="AZ124" s="327">
        <v>198</v>
      </c>
      <c r="BA124" s="327">
        <v>95</v>
      </c>
      <c r="BB124" s="327">
        <v>73</v>
      </c>
      <c r="BC124" s="327">
        <v>379</v>
      </c>
      <c r="BD124" s="327">
        <v>116</v>
      </c>
      <c r="BE124" s="327">
        <v>46</v>
      </c>
      <c r="BF124" s="327">
        <v>544</v>
      </c>
      <c r="BG124" s="327">
        <v>0</v>
      </c>
      <c r="BH124" s="327">
        <v>0</v>
      </c>
      <c r="BI124" s="328">
        <v>22.50628667225482</v>
      </c>
      <c r="BJ124" s="329">
        <v>5.5</v>
      </c>
      <c r="BK124" s="329">
        <v>8.6</v>
      </c>
      <c r="BL124" s="329">
        <v>4.5</v>
      </c>
      <c r="BM124" s="329">
        <v>6.8</v>
      </c>
      <c r="BN124" s="329">
        <v>1.7</v>
      </c>
      <c r="BO124" s="329">
        <v>4.5</v>
      </c>
      <c r="BP124" s="329">
        <v>7.7</v>
      </c>
      <c r="BQ124" s="329">
        <v>6.4</v>
      </c>
      <c r="BR124" s="329">
        <v>6.6</v>
      </c>
      <c r="BS124" s="329">
        <v>5.7</v>
      </c>
      <c r="BT124" s="329">
        <v>4.3</v>
      </c>
      <c r="BU124" s="329">
        <v>11.4</v>
      </c>
      <c r="BV124" s="329">
        <v>9.1999999999999993</v>
      </c>
      <c r="BW124" s="329">
        <v>6.3</v>
      </c>
      <c r="BX124" s="329">
        <v>3.9</v>
      </c>
      <c r="BY124" s="329">
        <v>3.4</v>
      </c>
      <c r="BZ124" s="329">
        <v>1.8</v>
      </c>
      <c r="CA124" s="329">
        <v>1.8</v>
      </c>
      <c r="CB124" s="329">
        <v>18.600000000000001</v>
      </c>
      <c r="CC124" s="329">
        <v>64.3</v>
      </c>
      <c r="CD124" s="329">
        <v>17.2</v>
      </c>
    </row>
    <row r="125" spans="1:82" x14ac:dyDescent="0.25">
      <c r="A125" s="130" t="s">
        <v>4716</v>
      </c>
      <c r="B125" s="130" t="s">
        <v>177</v>
      </c>
      <c r="C125" s="130" t="s">
        <v>4717</v>
      </c>
      <c r="D125" s="130" t="s">
        <v>39</v>
      </c>
      <c r="E125" s="130" t="s">
        <v>4463</v>
      </c>
      <c r="F125" s="130" t="s">
        <v>4272</v>
      </c>
      <c r="G125" s="130" t="s">
        <v>4718</v>
      </c>
      <c r="H125" s="309">
        <v>540082</v>
      </c>
      <c r="I125" s="277" t="s">
        <v>1475</v>
      </c>
      <c r="J125" s="130">
        <v>5465356</v>
      </c>
      <c r="K125" s="130" t="s">
        <v>4719</v>
      </c>
      <c r="L125" s="310">
        <v>0.29181647834201641</v>
      </c>
      <c r="M125" s="311">
        <v>444</v>
      </c>
      <c r="N125" s="312">
        <v>1521.5042088186008</v>
      </c>
      <c r="O125" s="311">
        <v>175</v>
      </c>
      <c r="P125" s="312">
        <v>2.54</v>
      </c>
      <c r="Q125" s="311">
        <v>444</v>
      </c>
      <c r="R125" s="311">
        <v>8</v>
      </c>
      <c r="S125" s="311">
        <v>4</v>
      </c>
      <c r="T125" s="311">
        <v>5</v>
      </c>
      <c r="U125" s="311">
        <v>7</v>
      </c>
      <c r="V125" s="311">
        <v>4</v>
      </c>
      <c r="W125" s="311">
        <v>2</v>
      </c>
      <c r="X125" s="311">
        <v>3</v>
      </c>
      <c r="Y125" s="311">
        <v>9</v>
      </c>
      <c r="Z125" s="311">
        <v>24</v>
      </c>
      <c r="AA125" s="311">
        <v>17</v>
      </c>
      <c r="AB125" s="311">
        <v>18</v>
      </c>
      <c r="AC125" s="311">
        <v>20</v>
      </c>
      <c r="AD125" s="311">
        <v>17</v>
      </c>
      <c r="AE125" s="311">
        <v>18</v>
      </c>
      <c r="AF125" s="311">
        <v>15</v>
      </c>
      <c r="AG125" s="311">
        <v>4</v>
      </c>
      <c r="AH125" s="312">
        <v>9.7142857142857135</v>
      </c>
      <c r="AI125" s="312">
        <v>6.2857142857142865</v>
      </c>
      <c r="AJ125" s="312">
        <v>21.714285714285715</v>
      </c>
      <c r="AK125" s="312">
        <v>9.7142857142857135</v>
      </c>
      <c r="AL125" s="312">
        <v>52.571428571428569</v>
      </c>
      <c r="AM125" s="311">
        <v>32034</v>
      </c>
      <c r="AN125" s="311">
        <v>61607</v>
      </c>
      <c r="AO125" s="312">
        <v>24</v>
      </c>
      <c r="AP125" s="311">
        <v>175</v>
      </c>
      <c r="AQ125" s="311">
        <v>54</v>
      </c>
      <c r="AR125" s="311">
        <v>140</v>
      </c>
      <c r="AS125" s="311">
        <v>35</v>
      </c>
      <c r="AT125" s="311">
        <v>2</v>
      </c>
      <c r="AU125" s="311">
        <v>0</v>
      </c>
      <c r="AV125" s="311">
        <v>12</v>
      </c>
      <c r="AW125" s="311">
        <v>4</v>
      </c>
      <c r="AX125" s="311">
        <v>4</v>
      </c>
      <c r="AY125" s="311">
        <v>5</v>
      </c>
      <c r="AZ125" s="311">
        <v>27</v>
      </c>
      <c r="BA125" s="311">
        <v>0</v>
      </c>
      <c r="BB125" s="311">
        <v>0</v>
      </c>
      <c r="BC125" s="311">
        <v>23</v>
      </c>
      <c r="BD125" s="311">
        <v>10</v>
      </c>
      <c r="BE125" s="311">
        <v>2</v>
      </c>
      <c r="BF125" s="311">
        <v>66</v>
      </c>
      <c r="BG125" s="311">
        <v>6</v>
      </c>
      <c r="BH125" s="311">
        <v>0</v>
      </c>
      <c r="BI125" s="312">
        <v>10.857142857142858</v>
      </c>
      <c r="BJ125" s="313">
        <v>4.3</v>
      </c>
      <c r="BK125" s="313">
        <v>5.2</v>
      </c>
      <c r="BL125" s="313">
        <v>4.7</v>
      </c>
      <c r="BM125" s="313">
        <v>7</v>
      </c>
      <c r="BN125" s="313">
        <v>4.3</v>
      </c>
      <c r="BO125" s="313">
        <v>1.8</v>
      </c>
      <c r="BP125" s="313">
        <v>7.2</v>
      </c>
      <c r="BQ125" s="313">
        <v>2.9</v>
      </c>
      <c r="BR125" s="313">
        <v>10.6</v>
      </c>
      <c r="BS125" s="313">
        <v>10.4</v>
      </c>
      <c r="BT125" s="313">
        <v>7.2</v>
      </c>
      <c r="BU125" s="313">
        <v>10.6</v>
      </c>
      <c r="BV125" s="313">
        <v>4.7</v>
      </c>
      <c r="BW125" s="313">
        <v>7.2</v>
      </c>
      <c r="BX125" s="313">
        <v>4.0999999999999996</v>
      </c>
      <c r="BY125" s="313">
        <v>3.8</v>
      </c>
      <c r="BZ125" s="313">
        <v>1.8</v>
      </c>
      <c r="CA125" s="313">
        <v>2.2999999999999998</v>
      </c>
      <c r="CB125" s="313">
        <v>14.2</v>
      </c>
      <c r="CC125" s="313">
        <v>66.7</v>
      </c>
      <c r="CD125" s="313">
        <v>19.200000000000003</v>
      </c>
    </row>
    <row r="126" spans="1:82" s="330" customFormat="1" x14ac:dyDescent="0.25">
      <c r="A126" s="323" t="s">
        <v>4461</v>
      </c>
      <c r="B126" s="323" t="s">
        <v>138</v>
      </c>
      <c r="C126" s="323" t="s">
        <v>4720</v>
      </c>
      <c r="D126" s="323" t="s">
        <v>39</v>
      </c>
      <c r="E126" s="323" t="s">
        <v>4463</v>
      </c>
      <c r="F126" s="323" t="s">
        <v>4272</v>
      </c>
      <c r="G126" s="323" t="s">
        <v>4464</v>
      </c>
      <c r="H126" s="324">
        <v>540033</v>
      </c>
      <c r="I126" s="325" t="s">
        <v>4721</v>
      </c>
      <c r="J126" s="323">
        <v>5474740</v>
      </c>
      <c r="K126" s="323" t="s">
        <v>4466</v>
      </c>
      <c r="L126" s="326">
        <v>6.5776913898423876E-3</v>
      </c>
      <c r="M126" s="327">
        <v>12</v>
      </c>
      <c r="N126" s="328">
        <v>1824.3482840394463</v>
      </c>
      <c r="O126" s="327">
        <v>5</v>
      </c>
      <c r="P126" s="328">
        <v>2.4</v>
      </c>
      <c r="Q126" s="327">
        <v>12</v>
      </c>
      <c r="R126" s="327">
        <v>0</v>
      </c>
      <c r="S126" s="327">
        <v>1</v>
      </c>
      <c r="T126" s="327">
        <v>0</v>
      </c>
      <c r="U126" s="327">
        <v>0</v>
      </c>
      <c r="V126" s="327">
        <v>0</v>
      </c>
      <c r="W126" s="327">
        <v>0</v>
      </c>
      <c r="X126" s="327">
        <v>1</v>
      </c>
      <c r="Y126" s="327">
        <v>0</v>
      </c>
      <c r="Z126" s="327">
        <v>0</v>
      </c>
      <c r="AA126" s="327">
        <v>0</v>
      </c>
      <c r="AB126" s="327">
        <v>1</v>
      </c>
      <c r="AC126" s="327">
        <v>0</v>
      </c>
      <c r="AD126" s="327">
        <v>0</v>
      </c>
      <c r="AE126" s="327">
        <v>0</v>
      </c>
      <c r="AF126" s="327">
        <v>0</v>
      </c>
      <c r="AG126" s="327">
        <v>0</v>
      </c>
      <c r="AH126" s="328">
        <v>20</v>
      </c>
      <c r="AI126" s="328">
        <v>0</v>
      </c>
      <c r="AJ126" s="328">
        <v>20</v>
      </c>
      <c r="AK126" s="328">
        <v>0</v>
      </c>
      <c r="AL126" s="328">
        <v>20</v>
      </c>
      <c r="AM126" s="327">
        <v>16820</v>
      </c>
      <c r="AN126" s="327">
        <v>36731</v>
      </c>
      <c r="AO126" s="328">
        <v>40</v>
      </c>
      <c r="AP126" s="327">
        <v>5</v>
      </c>
      <c r="AQ126" s="327">
        <v>1</v>
      </c>
      <c r="AR126" s="327">
        <v>2</v>
      </c>
      <c r="AS126" s="327">
        <v>2</v>
      </c>
      <c r="AT126" s="327">
        <v>0</v>
      </c>
      <c r="AU126" s="327">
        <v>0</v>
      </c>
      <c r="AV126" s="327">
        <v>0</v>
      </c>
      <c r="AW126" s="327">
        <v>0</v>
      </c>
      <c r="AX126" s="327">
        <v>1</v>
      </c>
      <c r="AY126" s="327">
        <v>0</v>
      </c>
      <c r="AZ126" s="327">
        <v>0</v>
      </c>
      <c r="BA126" s="327">
        <v>0</v>
      </c>
      <c r="BB126" s="327">
        <v>0</v>
      </c>
      <c r="BC126" s="327">
        <v>1</v>
      </c>
      <c r="BD126" s="327">
        <v>0</v>
      </c>
      <c r="BE126" s="327">
        <v>0</v>
      </c>
      <c r="BF126" s="327">
        <v>1</v>
      </c>
      <c r="BG126" s="327">
        <v>0</v>
      </c>
      <c r="BH126" s="327">
        <v>0</v>
      </c>
      <c r="BI126" s="328">
        <v>0</v>
      </c>
      <c r="BJ126" s="329">
        <v>7.1</v>
      </c>
      <c r="BK126" s="329">
        <v>8.4</v>
      </c>
      <c r="BL126" s="329">
        <v>5.5</v>
      </c>
      <c r="BM126" s="329">
        <v>7.3</v>
      </c>
      <c r="BN126" s="329">
        <v>4.5</v>
      </c>
      <c r="BO126" s="329">
        <v>11.7</v>
      </c>
      <c r="BP126" s="329">
        <v>4.2</v>
      </c>
      <c r="BQ126" s="329">
        <v>1.6</v>
      </c>
      <c r="BR126" s="329">
        <v>5.7</v>
      </c>
      <c r="BS126" s="329">
        <v>6.8</v>
      </c>
      <c r="BT126" s="329">
        <v>4.0999999999999996</v>
      </c>
      <c r="BU126" s="329">
        <v>7</v>
      </c>
      <c r="BV126" s="329">
        <v>6.9</v>
      </c>
      <c r="BW126" s="329">
        <v>6.7</v>
      </c>
      <c r="BX126" s="329">
        <v>1.7</v>
      </c>
      <c r="BY126" s="329">
        <v>1.7</v>
      </c>
      <c r="BZ126" s="329">
        <v>5.6</v>
      </c>
      <c r="CA126" s="329">
        <v>3.3</v>
      </c>
      <c r="CB126" s="329">
        <v>21</v>
      </c>
      <c r="CC126" s="329">
        <v>59.8</v>
      </c>
      <c r="CD126" s="329">
        <v>19</v>
      </c>
    </row>
    <row r="127" spans="1:82" x14ac:dyDescent="0.25">
      <c r="A127" s="130" t="s">
        <v>4722</v>
      </c>
      <c r="B127" s="130" t="s">
        <v>277</v>
      </c>
      <c r="C127" s="130" t="s">
        <v>4723</v>
      </c>
      <c r="D127" s="130" t="s">
        <v>39</v>
      </c>
      <c r="E127" s="130" t="s">
        <v>4463</v>
      </c>
      <c r="F127" s="130" t="s">
        <v>4272</v>
      </c>
      <c r="G127" s="130" t="s">
        <v>4724</v>
      </c>
      <c r="H127" s="309">
        <v>540223</v>
      </c>
      <c r="I127" s="277" t="s">
        <v>1477</v>
      </c>
      <c r="J127" s="130">
        <v>5475292</v>
      </c>
      <c r="K127" s="130" t="s">
        <v>4725</v>
      </c>
      <c r="L127" s="310">
        <v>8.7749372478237433</v>
      </c>
      <c r="M127" s="311">
        <v>12902</v>
      </c>
      <c r="N127" s="312">
        <v>1470.3239049600957</v>
      </c>
      <c r="O127" s="311">
        <v>5841</v>
      </c>
      <c r="P127" s="312">
        <v>2.21</v>
      </c>
      <c r="Q127" s="311">
        <v>12890</v>
      </c>
      <c r="R127" s="311">
        <v>595</v>
      </c>
      <c r="S127" s="311">
        <v>235</v>
      </c>
      <c r="T127" s="311">
        <v>244</v>
      </c>
      <c r="U127" s="311">
        <v>427</v>
      </c>
      <c r="V127" s="311">
        <v>371</v>
      </c>
      <c r="W127" s="311">
        <v>203</v>
      </c>
      <c r="X127" s="311">
        <v>300</v>
      </c>
      <c r="Y127" s="311">
        <v>245</v>
      </c>
      <c r="Z127" s="311">
        <v>217</v>
      </c>
      <c r="AA127" s="311">
        <v>731</v>
      </c>
      <c r="AB127" s="311">
        <v>571</v>
      </c>
      <c r="AC127" s="311">
        <v>602</v>
      </c>
      <c r="AD127" s="311">
        <v>518</v>
      </c>
      <c r="AE127" s="311">
        <v>209</v>
      </c>
      <c r="AF127" s="311">
        <v>244</v>
      </c>
      <c r="AG127" s="311">
        <v>129</v>
      </c>
      <c r="AH127" s="312">
        <v>18.387262455059066</v>
      </c>
      <c r="AI127" s="312">
        <v>13.662044170518747</v>
      </c>
      <c r="AJ127" s="312">
        <v>16.521143639787709</v>
      </c>
      <c r="AK127" s="312">
        <v>12.514980311590481</v>
      </c>
      <c r="AL127" s="312">
        <v>38.914569423044</v>
      </c>
      <c r="AM127" s="311">
        <v>28838</v>
      </c>
      <c r="AN127" s="311">
        <v>50885</v>
      </c>
      <c r="AO127" s="312">
        <v>44.855332990926215</v>
      </c>
      <c r="AP127" s="311">
        <v>5841</v>
      </c>
      <c r="AQ127" s="311">
        <v>719</v>
      </c>
      <c r="AR127" s="311">
        <v>4189</v>
      </c>
      <c r="AS127" s="311">
        <v>1652</v>
      </c>
      <c r="AT127" s="311">
        <v>241</v>
      </c>
      <c r="AU127" s="311">
        <v>66</v>
      </c>
      <c r="AV127" s="311">
        <v>720</v>
      </c>
      <c r="AW127" s="311">
        <v>405</v>
      </c>
      <c r="AX127" s="311">
        <v>338</v>
      </c>
      <c r="AY127" s="311">
        <v>231</v>
      </c>
      <c r="AZ127" s="311">
        <v>409</v>
      </c>
      <c r="BA127" s="311">
        <v>298</v>
      </c>
      <c r="BB127" s="311">
        <v>55</v>
      </c>
      <c r="BC127" s="311">
        <v>924</v>
      </c>
      <c r="BD127" s="311">
        <v>312</v>
      </c>
      <c r="BE127" s="311">
        <v>47</v>
      </c>
      <c r="BF127" s="311">
        <v>1613</v>
      </c>
      <c r="BG127" s="311">
        <v>89</v>
      </c>
      <c r="BH127" s="311">
        <v>0</v>
      </c>
      <c r="BI127" s="312">
        <v>18.027734976887519</v>
      </c>
      <c r="BJ127" s="313">
        <v>4.9000000000000004</v>
      </c>
      <c r="BK127" s="313">
        <v>5.0999999999999996</v>
      </c>
      <c r="BL127" s="313">
        <v>6.7</v>
      </c>
      <c r="BM127" s="313">
        <v>6</v>
      </c>
      <c r="BN127" s="313">
        <v>4.8</v>
      </c>
      <c r="BO127" s="313">
        <v>5.8</v>
      </c>
      <c r="BP127" s="313">
        <v>5.7</v>
      </c>
      <c r="BQ127" s="313">
        <v>7.1</v>
      </c>
      <c r="BR127" s="313">
        <v>5.8</v>
      </c>
      <c r="BS127" s="313">
        <v>6</v>
      </c>
      <c r="BT127" s="313">
        <v>7.5</v>
      </c>
      <c r="BU127" s="313">
        <v>7.5</v>
      </c>
      <c r="BV127" s="313">
        <v>7.3</v>
      </c>
      <c r="BW127" s="313">
        <v>5.6</v>
      </c>
      <c r="BX127" s="313">
        <v>4.4000000000000004</v>
      </c>
      <c r="BY127" s="313">
        <v>4.5999999999999996</v>
      </c>
      <c r="BZ127" s="313">
        <v>1.2</v>
      </c>
      <c r="CA127" s="313">
        <v>3.9</v>
      </c>
      <c r="CB127" s="313">
        <v>16.7</v>
      </c>
      <c r="CC127" s="313">
        <v>63.499999999999993</v>
      </c>
      <c r="CD127" s="313">
        <v>19.7</v>
      </c>
    </row>
    <row r="128" spans="1:82" x14ac:dyDescent="0.25">
      <c r="A128" s="130" t="s">
        <v>4726</v>
      </c>
      <c r="B128" s="130" t="s">
        <v>178</v>
      </c>
      <c r="C128" s="130" t="s">
        <v>4727</v>
      </c>
      <c r="D128" s="130" t="s">
        <v>39</v>
      </c>
      <c r="E128" s="130" t="s">
        <v>4463</v>
      </c>
      <c r="F128" s="130" t="s">
        <v>4272</v>
      </c>
      <c r="G128" s="130" t="s">
        <v>4728</v>
      </c>
      <c r="H128" s="309">
        <v>540083</v>
      </c>
      <c r="I128" s="277" t="s">
        <v>1476</v>
      </c>
      <c r="J128" s="130">
        <v>5471212</v>
      </c>
      <c r="K128" s="130" t="s">
        <v>4729</v>
      </c>
      <c r="L128" s="310">
        <v>3.6884665204075309</v>
      </c>
      <c r="M128" s="311">
        <v>10600</v>
      </c>
      <c r="N128" s="312">
        <v>2873.8230213972033</v>
      </c>
      <c r="O128" s="311">
        <v>4609</v>
      </c>
      <c r="P128" s="312">
        <v>2.29</v>
      </c>
      <c r="Q128" s="311">
        <v>10547</v>
      </c>
      <c r="R128" s="311">
        <v>182</v>
      </c>
      <c r="S128" s="311">
        <v>209</v>
      </c>
      <c r="T128" s="311">
        <v>377</v>
      </c>
      <c r="U128" s="311">
        <v>248</v>
      </c>
      <c r="V128" s="311">
        <v>278</v>
      </c>
      <c r="W128" s="311">
        <v>273</v>
      </c>
      <c r="X128" s="311">
        <v>290</v>
      </c>
      <c r="Y128" s="311">
        <v>236</v>
      </c>
      <c r="Z128" s="311">
        <v>303</v>
      </c>
      <c r="AA128" s="311">
        <v>507</v>
      </c>
      <c r="AB128" s="311">
        <v>455</v>
      </c>
      <c r="AC128" s="311">
        <v>486</v>
      </c>
      <c r="AD128" s="311">
        <v>378</v>
      </c>
      <c r="AE128" s="311">
        <v>70</v>
      </c>
      <c r="AF128" s="311">
        <v>182</v>
      </c>
      <c r="AG128" s="311">
        <v>135</v>
      </c>
      <c r="AH128" s="312">
        <v>16.66305055326535</v>
      </c>
      <c r="AI128" s="312">
        <v>11.412453894554133</v>
      </c>
      <c r="AJ128" s="312">
        <v>23.909741809503146</v>
      </c>
      <c r="AK128" s="312">
        <v>11.000216966804079</v>
      </c>
      <c r="AL128" s="312">
        <v>37.014536775873289</v>
      </c>
      <c r="AM128" s="311">
        <v>28056</v>
      </c>
      <c r="AN128" s="311">
        <v>48475</v>
      </c>
      <c r="AO128" s="312">
        <v>45.411152093729662</v>
      </c>
      <c r="AP128" s="311">
        <v>4609</v>
      </c>
      <c r="AQ128" s="311">
        <v>664</v>
      </c>
      <c r="AR128" s="311">
        <v>3435</v>
      </c>
      <c r="AS128" s="311">
        <v>1174</v>
      </c>
      <c r="AT128" s="311">
        <v>67</v>
      </c>
      <c r="AU128" s="311">
        <v>160</v>
      </c>
      <c r="AV128" s="311">
        <v>489</v>
      </c>
      <c r="AW128" s="311">
        <v>316</v>
      </c>
      <c r="AX128" s="311">
        <v>164</v>
      </c>
      <c r="AY128" s="311">
        <v>272</v>
      </c>
      <c r="AZ128" s="311">
        <v>511</v>
      </c>
      <c r="BA128" s="311">
        <v>248</v>
      </c>
      <c r="BB128" s="311">
        <v>60</v>
      </c>
      <c r="BC128" s="311">
        <v>792</v>
      </c>
      <c r="BD128" s="311">
        <v>124</v>
      </c>
      <c r="BE128" s="311">
        <v>15</v>
      </c>
      <c r="BF128" s="311">
        <v>1142</v>
      </c>
      <c r="BG128" s="311">
        <v>109</v>
      </c>
      <c r="BH128" s="311">
        <v>0</v>
      </c>
      <c r="BI128" s="312">
        <v>18.138424821002385</v>
      </c>
      <c r="BJ128" s="313">
        <v>6.9</v>
      </c>
      <c r="BK128" s="313">
        <v>6.6</v>
      </c>
      <c r="BL128" s="313">
        <v>3.5</v>
      </c>
      <c r="BM128" s="313">
        <v>3.3</v>
      </c>
      <c r="BN128" s="313">
        <v>5.2</v>
      </c>
      <c r="BO128" s="313">
        <v>6</v>
      </c>
      <c r="BP128" s="313">
        <v>7.6</v>
      </c>
      <c r="BQ128" s="313">
        <v>3.6</v>
      </c>
      <c r="BR128" s="313">
        <v>5.4</v>
      </c>
      <c r="BS128" s="313">
        <v>7.2</v>
      </c>
      <c r="BT128" s="313">
        <v>6.3</v>
      </c>
      <c r="BU128" s="313">
        <v>7.2</v>
      </c>
      <c r="BV128" s="313">
        <v>8</v>
      </c>
      <c r="BW128" s="313">
        <v>8.6</v>
      </c>
      <c r="BX128" s="313">
        <v>4.7</v>
      </c>
      <c r="BY128" s="313">
        <v>4</v>
      </c>
      <c r="BZ128" s="313">
        <v>3.3</v>
      </c>
      <c r="CA128" s="313">
        <v>2.7</v>
      </c>
      <c r="CB128" s="313">
        <v>17</v>
      </c>
      <c r="CC128" s="313">
        <v>59.800000000000004</v>
      </c>
      <c r="CD128" s="313">
        <v>23.3</v>
      </c>
    </row>
    <row r="129" spans="1:82" s="322" customFormat="1" x14ac:dyDescent="0.25">
      <c r="A129" s="314" t="s">
        <v>4730</v>
      </c>
      <c r="B129" s="315" t="s">
        <v>348</v>
      </c>
      <c r="C129" s="314"/>
      <c r="D129" s="314"/>
      <c r="E129" s="314"/>
      <c r="F129" s="314"/>
      <c r="G129" s="314"/>
      <c r="H129" s="316"/>
      <c r="I129" s="317"/>
      <c r="J129" s="314">
        <v>54039</v>
      </c>
      <c r="K129" s="314" t="s">
        <v>4731</v>
      </c>
      <c r="L129" s="318">
        <v>910.13742941008002</v>
      </c>
      <c r="M129" s="319">
        <v>187827</v>
      </c>
      <c r="N129" s="320">
        <v>206.37213010978249</v>
      </c>
      <c r="O129" s="319">
        <v>80267</v>
      </c>
      <c r="P129" s="320">
        <v>2.2999999999999998</v>
      </c>
      <c r="Q129" s="319">
        <v>184491</v>
      </c>
      <c r="R129" s="319">
        <v>6450</v>
      </c>
      <c r="S129" s="319">
        <v>5037</v>
      </c>
      <c r="T129" s="319">
        <v>4842</v>
      </c>
      <c r="U129" s="319">
        <v>4985</v>
      </c>
      <c r="V129" s="319">
        <v>4626</v>
      </c>
      <c r="W129" s="319">
        <v>4323</v>
      </c>
      <c r="X129" s="319">
        <v>4553</v>
      </c>
      <c r="Y129" s="319">
        <v>4006</v>
      </c>
      <c r="Z129" s="319">
        <v>3831</v>
      </c>
      <c r="AA129" s="319">
        <v>6688</v>
      </c>
      <c r="AB129" s="319">
        <v>8393</v>
      </c>
      <c r="AC129" s="319">
        <v>8786</v>
      </c>
      <c r="AD129" s="319">
        <v>5311</v>
      </c>
      <c r="AE129" s="319">
        <v>2985</v>
      </c>
      <c r="AF129" s="319">
        <v>2570</v>
      </c>
      <c r="AG129" s="319">
        <v>2881</v>
      </c>
      <c r="AH129" s="320">
        <v>20.343354055838638</v>
      </c>
      <c r="AI129" s="320">
        <v>11.973787484271245</v>
      </c>
      <c r="AJ129" s="320">
        <v>20.821757384728468</v>
      </c>
      <c r="AK129" s="320">
        <v>8.3321913114978763</v>
      </c>
      <c r="AL129" s="320">
        <v>38.528909763663769</v>
      </c>
      <c r="AM129" s="319">
        <v>28201</v>
      </c>
      <c r="AN129" s="319">
        <v>46859</v>
      </c>
      <c r="AO129" s="320">
        <v>48.366078213960904</v>
      </c>
      <c r="AP129" s="319">
        <v>80267</v>
      </c>
      <c r="AQ129" s="319">
        <v>12220</v>
      </c>
      <c r="AR129" s="319">
        <v>55469</v>
      </c>
      <c r="AS129" s="319">
        <v>24798</v>
      </c>
      <c r="AT129" s="319">
        <v>2088</v>
      </c>
      <c r="AU129" s="319">
        <v>2378</v>
      </c>
      <c r="AV129" s="319">
        <v>9845</v>
      </c>
      <c r="AW129" s="319">
        <v>5710</v>
      </c>
      <c r="AX129" s="319">
        <v>3304</v>
      </c>
      <c r="AY129" s="319">
        <v>4295</v>
      </c>
      <c r="AZ129" s="319">
        <v>6360</v>
      </c>
      <c r="BA129" s="319">
        <v>3981</v>
      </c>
      <c r="BB129" s="319">
        <v>1634</v>
      </c>
      <c r="BC129" s="319">
        <v>11291</v>
      </c>
      <c r="BD129" s="319">
        <v>2931</v>
      </c>
      <c r="BE129" s="319">
        <v>510</v>
      </c>
      <c r="BF129" s="319">
        <v>20773</v>
      </c>
      <c r="BG129" s="319">
        <v>1342</v>
      </c>
      <c r="BH129" s="319">
        <v>222</v>
      </c>
      <c r="BI129" s="320">
        <v>20.563868090248793</v>
      </c>
      <c r="BJ129" s="321">
        <v>5.6</v>
      </c>
      <c r="BK129" s="321">
        <v>5.8</v>
      </c>
      <c r="BL129" s="321">
        <v>5.5</v>
      </c>
      <c r="BM129" s="321">
        <v>5.5</v>
      </c>
      <c r="BN129" s="321">
        <v>5.8</v>
      </c>
      <c r="BO129" s="321">
        <v>6.2</v>
      </c>
      <c r="BP129" s="321">
        <v>6</v>
      </c>
      <c r="BQ129" s="321">
        <v>5.9</v>
      </c>
      <c r="BR129" s="321">
        <v>6.3</v>
      </c>
      <c r="BS129" s="321">
        <v>6.3</v>
      </c>
      <c r="BT129" s="321">
        <v>7</v>
      </c>
      <c r="BU129" s="321">
        <v>7.7</v>
      </c>
      <c r="BV129" s="321">
        <v>7.7</v>
      </c>
      <c r="BW129" s="321">
        <v>6.4</v>
      </c>
      <c r="BX129" s="321">
        <v>4.3</v>
      </c>
      <c r="BY129" s="321">
        <v>3.4</v>
      </c>
      <c r="BZ129" s="321">
        <v>2.2999999999999998</v>
      </c>
      <c r="CA129" s="321">
        <v>2.4</v>
      </c>
      <c r="CB129" s="321">
        <v>16.899999999999999</v>
      </c>
      <c r="CC129" s="321">
        <v>64.399999999999991</v>
      </c>
      <c r="CD129" s="321">
        <v>18.799999999999997</v>
      </c>
    </row>
    <row r="130" spans="1:82" s="308" customFormat="1" x14ac:dyDescent="0.25">
      <c r="A130" s="301" t="s">
        <v>4732</v>
      </c>
      <c r="B130" s="301" t="s">
        <v>40</v>
      </c>
      <c r="C130" s="301" t="s">
        <v>4733</v>
      </c>
      <c r="D130" s="301" t="s">
        <v>41</v>
      </c>
      <c r="E130" s="301" t="s">
        <v>4734</v>
      </c>
      <c r="F130" s="301" t="s">
        <v>4272</v>
      </c>
      <c r="G130" s="301" t="s">
        <v>4735</v>
      </c>
      <c r="H130" s="302">
        <v>540085</v>
      </c>
      <c r="I130" s="303" t="s">
        <v>1480</v>
      </c>
      <c r="J130" s="301" t="s">
        <v>488</v>
      </c>
      <c r="K130" s="301" t="s">
        <v>488</v>
      </c>
      <c r="L130" s="304">
        <v>387.02395768547706</v>
      </c>
      <c r="M130" s="305">
        <v>11919</v>
      </c>
      <c r="N130" s="306">
        <v>30.796543116553572</v>
      </c>
      <c r="O130" s="305">
        <v>4701</v>
      </c>
      <c r="P130" s="306">
        <v>2.4803233354605405</v>
      </c>
      <c r="Q130" s="305">
        <v>11660</v>
      </c>
      <c r="R130" s="305">
        <v>509</v>
      </c>
      <c r="S130" s="305">
        <v>270</v>
      </c>
      <c r="T130" s="305">
        <v>205</v>
      </c>
      <c r="U130" s="305">
        <v>273</v>
      </c>
      <c r="V130" s="305">
        <v>319</v>
      </c>
      <c r="W130" s="305">
        <v>284</v>
      </c>
      <c r="X130" s="305">
        <v>353</v>
      </c>
      <c r="Y130" s="305">
        <v>240</v>
      </c>
      <c r="Z130" s="305">
        <v>180</v>
      </c>
      <c r="AA130" s="305">
        <v>467</v>
      </c>
      <c r="AB130" s="305">
        <v>505</v>
      </c>
      <c r="AC130" s="305">
        <v>459</v>
      </c>
      <c r="AD130" s="305">
        <v>305</v>
      </c>
      <c r="AE130" s="305">
        <v>168</v>
      </c>
      <c r="AF130" s="305">
        <v>92</v>
      </c>
      <c r="AG130" s="305">
        <v>72</v>
      </c>
      <c r="AH130" s="306">
        <v>20.931716656030634</v>
      </c>
      <c r="AI130" s="306">
        <v>12.5930653052542</v>
      </c>
      <c r="AJ130" s="306">
        <v>22.484577749415021</v>
      </c>
      <c r="AK130" s="306">
        <v>9.9340565837055941</v>
      </c>
      <c r="AL130" s="306">
        <v>34.056583705594555</v>
      </c>
      <c r="AM130" s="305">
        <v>21513</v>
      </c>
      <c r="AN130" s="305">
        <v>39793</v>
      </c>
      <c r="AO130" s="306">
        <v>52.180387151669862</v>
      </c>
      <c r="AP130" s="305">
        <v>4701</v>
      </c>
      <c r="AQ130" s="305">
        <v>883</v>
      </c>
      <c r="AR130" s="305">
        <v>3493</v>
      </c>
      <c r="AS130" s="305">
        <v>1208</v>
      </c>
      <c r="AT130" s="305">
        <v>166</v>
      </c>
      <c r="AU130" s="305">
        <v>138</v>
      </c>
      <c r="AV130" s="305">
        <v>563</v>
      </c>
      <c r="AW130" s="305">
        <v>460</v>
      </c>
      <c r="AX130" s="305">
        <v>128</v>
      </c>
      <c r="AY130" s="305">
        <v>235</v>
      </c>
      <c r="AZ130" s="305">
        <v>489</v>
      </c>
      <c r="BA130" s="305">
        <v>176</v>
      </c>
      <c r="BB130" s="305">
        <v>64</v>
      </c>
      <c r="BC130" s="305">
        <v>745</v>
      </c>
      <c r="BD130" s="305">
        <v>118</v>
      </c>
      <c r="BE130" s="305">
        <v>66</v>
      </c>
      <c r="BF130" s="305">
        <v>990</v>
      </c>
      <c r="BG130" s="305">
        <v>58</v>
      </c>
      <c r="BH130" s="305">
        <v>0</v>
      </c>
      <c r="BI130" s="306">
        <v>19.740480748776857</v>
      </c>
      <c r="BJ130" s="307">
        <v>6.2</v>
      </c>
      <c r="BK130" s="307">
        <v>5.4</v>
      </c>
      <c r="BL130" s="307">
        <v>5.9</v>
      </c>
      <c r="BM130" s="307">
        <v>5.0999999999999996</v>
      </c>
      <c r="BN130" s="307">
        <v>5.6</v>
      </c>
      <c r="BO130" s="307">
        <v>5.4</v>
      </c>
      <c r="BP130" s="307">
        <v>6.3</v>
      </c>
      <c r="BQ130" s="307">
        <v>6.5</v>
      </c>
      <c r="BR130" s="307">
        <v>5.5</v>
      </c>
      <c r="BS130" s="307">
        <v>6.9</v>
      </c>
      <c r="BT130" s="307">
        <v>7.3</v>
      </c>
      <c r="BU130" s="307">
        <v>6.9</v>
      </c>
      <c r="BV130" s="307">
        <v>7.3</v>
      </c>
      <c r="BW130" s="307">
        <v>5.6</v>
      </c>
      <c r="BX130" s="307">
        <v>5.9</v>
      </c>
      <c r="BY130" s="307">
        <v>3.4</v>
      </c>
      <c r="BZ130" s="307">
        <v>2.2000000000000002</v>
      </c>
      <c r="CA130" s="307">
        <v>2.4</v>
      </c>
      <c r="CB130" s="307">
        <v>17.5</v>
      </c>
      <c r="CC130" s="307">
        <v>62.8</v>
      </c>
      <c r="CD130" s="307">
        <v>19.5</v>
      </c>
    </row>
    <row r="131" spans="1:82" x14ac:dyDescent="0.25">
      <c r="A131" s="130" t="s">
        <v>4736</v>
      </c>
      <c r="B131" s="130" t="s">
        <v>179</v>
      </c>
      <c r="C131" s="130" t="s">
        <v>4737</v>
      </c>
      <c r="D131" s="130" t="s">
        <v>41</v>
      </c>
      <c r="E131" s="130" t="s">
        <v>4734</v>
      </c>
      <c r="F131" s="130" t="s">
        <v>4272</v>
      </c>
      <c r="G131" s="130" t="s">
        <v>4738</v>
      </c>
      <c r="H131" s="309">
        <v>540086</v>
      </c>
      <c r="I131" s="277" t="s">
        <v>1481</v>
      </c>
      <c r="J131" s="130">
        <v>5440828</v>
      </c>
      <c r="K131" s="130" t="s">
        <v>4739</v>
      </c>
      <c r="L131" s="310">
        <v>0.24566001897511316</v>
      </c>
      <c r="M131" s="311">
        <v>412</v>
      </c>
      <c r="N131" s="312">
        <v>1677.11458184711</v>
      </c>
      <c r="O131" s="311">
        <v>168</v>
      </c>
      <c r="P131" s="312">
        <v>2.4500000000000002</v>
      </c>
      <c r="Q131" s="311">
        <v>412</v>
      </c>
      <c r="R131" s="311">
        <v>11</v>
      </c>
      <c r="S131" s="311">
        <v>11</v>
      </c>
      <c r="T131" s="311">
        <v>5</v>
      </c>
      <c r="U131" s="311">
        <v>22</v>
      </c>
      <c r="V131" s="311">
        <v>9</v>
      </c>
      <c r="W131" s="311">
        <v>6</v>
      </c>
      <c r="X131" s="311">
        <v>19</v>
      </c>
      <c r="Y131" s="311">
        <v>13</v>
      </c>
      <c r="Z131" s="311">
        <v>6</v>
      </c>
      <c r="AA131" s="311">
        <v>8</v>
      </c>
      <c r="AB131" s="311">
        <v>5</v>
      </c>
      <c r="AC131" s="311">
        <v>35</v>
      </c>
      <c r="AD131" s="311">
        <v>13</v>
      </c>
      <c r="AE131" s="311">
        <v>2</v>
      </c>
      <c r="AF131" s="311">
        <v>3</v>
      </c>
      <c r="AG131" s="311">
        <v>0</v>
      </c>
      <c r="AH131" s="312">
        <v>16.071428571428573</v>
      </c>
      <c r="AI131" s="312">
        <v>18.452380952380953</v>
      </c>
      <c r="AJ131" s="312">
        <v>26.190476190476193</v>
      </c>
      <c r="AK131" s="312">
        <v>4.7619047619047619</v>
      </c>
      <c r="AL131" s="312">
        <v>34.523809523809526</v>
      </c>
      <c r="AM131" s="311">
        <v>21302</v>
      </c>
      <c r="AN131" s="311">
        <v>40417</v>
      </c>
      <c r="AO131" s="312">
        <v>57.142857142857139</v>
      </c>
      <c r="AP131" s="311">
        <v>168</v>
      </c>
      <c r="AQ131" s="311">
        <v>36</v>
      </c>
      <c r="AR131" s="311">
        <v>93</v>
      </c>
      <c r="AS131" s="311">
        <v>75</v>
      </c>
      <c r="AT131" s="311">
        <v>5</v>
      </c>
      <c r="AU131" s="311">
        <v>4</v>
      </c>
      <c r="AV131" s="311">
        <v>12</v>
      </c>
      <c r="AW131" s="311">
        <v>10</v>
      </c>
      <c r="AX131" s="311">
        <v>13</v>
      </c>
      <c r="AY131" s="311">
        <v>14</v>
      </c>
      <c r="AZ131" s="311">
        <v>24</v>
      </c>
      <c r="BA131" s="311">
        <v>6</v>
      </c>
      <c r="BB131" s="311">
        <v>8</v>
      </c>
      <c r="BC131" s="311">
        <v>9</v>
      </c>
      <c r="BD131" s="311">
        <v>4</v>
      </c>
      <c r="BE131" s="311">
        <v>0</v>
      </c>
      <c r="BF131" s="311">
        <v>53</v>
      </c>
      <c r="BG131" s="311">
        <v>0</v>
      </c>
      <c r="BH131" s="311">
        <v>0</v>
      </c>
      <c r="BI131" s="312">
        <v>20.238095238095237</v>
      </c>
      <c r="BJ131" s="313">
        <v>16</v>
      </c>
      <c r="BK131" s="313">
        <v>2.2000000000000002</v>
      </c>
      <c r="BL131" s="313">
        <v>4.0999999999999996</v>
      </c>
      <c r="BM131" s="313">
        <v>4.0999999999999996</v>
      </c>
      <c r="BN131" s="313">
        <v>8.3000000000000007</v>
      </c>
      <c r="BO131" s="313">
        <v>12.6</v>
      </c>
      <c r="BP131" s="313">
        <v>2.2000000000000002</v>
      </c>
      <c r="BQ131" s="313">
        <v>5.3</v>
      </c>
      <c r="BR131" s="313">
        <v>4.0999999999999996</v>
      </c>
      <c r="BS131" s="313">
        <v>7.5</v>
      </c>
      <c r="BT131" s="313">
        <v>7.8</v>
      </c>
      <c r="BU131" s="313">
        <v>3.4</v>
      </c>
      <c r="BV131" s="313">
        <v>4.4000000000000004</v>
      </c>
      <c r="BW131" s="313">
        <v>8</v>
      </c>
      <c r="BX131" s="313">
        <v>4.9000000000000004</v>
      </c>
      <c r="BY131" s="313">
        <v>0.2</v>
      </c>
      <c r="BZ131" s="313">
        <v>3.2</v>
      </c>
      <c r="CA131" s="313">
        <v>1.7</v>
      </c>
      <c r="CB131" s="313">
        <v>22.299999999999997</v>
      </c>
      <c r="CC131" s="313">
        <v>59.699999999999996</v>
      </c>
      <c r="CD131" s="313">
        <v>18</v>
      </c>
    </row>
    <row r="132" spans="1:82" x14ac:dyDescent="0.25">
      <c r="A132" s="130" t="s">
        <v>4740</v>
      </c>
      <c r="B132" s="130" t="s">
        <v>180</v>
      </c>
      <c r="C132" s="130" t="s">
        <v>4741</v>
      </c>
      <c r="D132" s="130" t="s">
        <v>41</v>
      </c>
      <c r="E132" s="130" t="s">
        <v>4734</v>
      </c>
      <c r="F132" s="130" t="s">
        <v>4272</v>
      </c>
      <c r="G132" s="130" t="s">
        <v>4742</v>
      </c>
      <c r="H132" s="309">
        <v>540087</v>
      </c>
      <c r="I132" s="277" t="s">
        <v>1482</v>
      </c>
      <c r="J132" s="130">
        <v>5485972</v>
      </c>
      <c r="K132" s="130" t="s">
        <v>4743</v>
      </c>
      <c r="L132" s="310">
        <v>1.9908150817723458</v>
      </c>
      <c r="M132" s="311">
        <v>4040</v>
      </c>
      <c r="N132" s="312">
        <v>2029.3195671409842</v>
      </c>
      <c r="O132" s="311">
        <v>1717</v>
      </c>
      <c r="P132" s="312">
        <v>2.35</v>
      </c>
      <c r="Q132" s="311">
        <v>4034</v>
      </c>
      <c r="R132" s="311">
        <v>206</v>
      </c>
      <c r="S132" s="311">
        <v>21</v>
      </c>
      <c r="T132" s="311">
        <v>130</v>
      </c>
      <c r="U132" s="311">
        <v>68</v>
      </c>
      <c r="V132" s="311">
        <v>268</v>
      </c>
      <c r="W132" s="311">
        <v>181</v>
      </c>
      <c r="X132" s="311">
        <v>142</v>
      </c>
      <c r="Y132" s="311">
        <v>61</v>
      </c>
      <c r="Z132" s="311">
        <v>88</v>
      </c>
      <c r="AA132" s="311">
        <v>138</v>
      </c>
      <c r="AB132" s="311">
        <v>164</v>
      </c>
      <c r="AC132" s="311">
        <v>121</v>
      </c>
      <c r="AD132" s="311">
        <v>62</v>
      </c>
      <c r="AE132" s="311">
        <v>19</v>
      </c>
      <c r="AF132" s="311">
        <v>34</v>
      </c>
      <c r="AG132" s="311">
        <v>14</v>
      </c>
      <c r="AH132" s="312">
        <v>20.792079207920793</v>
      </c>
      <c r="AI132" s="312">
        <v>19.56901572510192</v>
      </c>
      <c r="AJ132" s="312">
        <v>27.489807804309841</v>
      </c>
      <c r="AK132" s="312">
        <v>8.0372743156668598</v>
      </c>
      <c r="AL132" s="312">
        <v>24.111822947000583</v>
      </c>
      <c r="AM132" s="311">
        <v>19764</v>
      </c>
      <c r="AN132" s="311">
        <v>34592</v>
      </c>
      <c r="AO132" s="312">
        <v>62.725684333139199</v>
      </c>
      <c r="AP132" s="311">
        <v>1717</v>
      </c>
      <c r="AQ132" s="311">
        <v>452</v>
      </c>
      <c r="AR132" s="311">
        <v>1048</v>
      </c>
      <c r="AS132" s="311">
        <v>669</v>
      </c>
      <c r="AT132" s="311">
        <v>71</v>
      </c>
      <c r="AU132" s="311">
        <v>29</v>
      </c>
      <c r="AV132" s="311">
        <v>187</v>
      </c>
      <c r="AW132" s="311">
        <v>198</v>
      </c>
      <c r="AX132" s="311">
        <v>198</v>
      </c>
      <c r="AY132" s="311">
        <v>121</v>
      </c>
      <c r="AZ132" s="311">
        <v>214</v>
      </c>
      <c r="BA132" s="311">
        <v>51</v>
      </c>
      <c r="BB132" s="311">
        <v>0</v>
      </c>
      <c r="BC132" s="311">
        <v>225</v>
      </c>
      <c r="BD132" s="311">
        <v>17</v>
      </c>
      <c r="BE132" s="311">
        <v>11</v>
      </c>
      <c r="BF132" s="311">
        <v>234</v>
      </c>
      <c r="BG132" s="311">
        <v>8</v>
      </c>
      <c r="BH132" s="311">
        <v>0</v>
      </c>
      <c r="BI132" s="312">
        <v>18.578916715200933</v>
      </c>
      <c r="BJ132" s="313">
        <v>6.9</v>
      </c>
      <c r="BK132" s="313">
        <v>2.8</v>
      </c>
      <c r="BL132" s="313">
        <v>6.8</v>
      </c>
      <c r="BM132" s="313">
        <v>5.2</v>
      </c>
      <c r="BN132" s="313">
        <v>9.1</v>
      </c>
      <c r="BO132" s="313">
        <v>5.2</v>
      </c>
      <c r="BP132" s="313">
        <v>9.5</v>
      </c>
      <c r="BQ132" s="313">
        <v>4.5999999999999996</v>
      </c>
      <c r="BR132" s="313">
        <v>3.9</v>
      </c>
      <c r="BS132" s="313">
        <v>8.3000000000000007</v>
      </c>
      <c r="BT132" s="313">
        <v>5.6</v>
      </c>
      <c r="BU132" s="313">
        <v>7.3</v>
      </c>
      <c r="BV132" s="313">
        <v>5.5</v>
      </c>
      <c r="BW132" s="313">
        <v>5.2</v>
      </c>
      <c r="BX132" s="313">
        <v>5.2</v>
      </c>
      <c r="BY132" s="313">
        <v>3.6</v>
      </c>
      <c r="BZ132" s="313">
        <v>1.9</v>
      </c>
      <c r="CA132" s="313">
        <v>3.4</v>
      </c>
      <c r="CB132" s="313">
        <v>16.5</v>
      </c>
      <c r="CC132" s="313">
        <v>64.199999999999989</v>
      </c>
      <c r="CD132" s="313">
        <v>19.3</v>
      </c>
    </row>
    <row r="133" spans="1:82" s="322" customFormat="1" x14ac:dyDescent="0.25">
      <c r="A133" s="314" t="s">
        <v>4744</v>
      </c>
      <c r="B133" s="315" t="s">
        <v>348</v>
      </c>
      <c r="C133" s="314"/>
      <c r="D133" s="314"/>
      <c r="E133" s="314"/>
      <c r="F133" s="314"/>
      <c r="G133" s="314"/>
      <c r="H133" s="316"/>
      <c r="I133" s="317"/>
      <c r="J133" s="314">
        <v>54041</v>
      </c>
      <c r="K133" s="314" t="s">
        <v>4745</v>
      </c>
      <c r="L133" s="318">
        <v>389.2604327862245</v>
      </c>
      <c r="M133" s="319">
        <v>16371</v>
      </c>
      <c r="N133" s="320">
        <v>42.056676253532011</v>
      </c>
      <c r="O133" s="319">
        <v>6586</v>
      </c>
      <c r="P133" s="320">
        <v>2.4500000000000002</v>
      </c>
      <c r="Q133" s="319">
        <v>16106</v>
      </c>
      <c r="R133" s="319">
        <v>726</v>
      </c>
      <c r="S133" s="319">
        <v>302</v>
      </c>
      <c r="T133" s="319">
        <v>340</v>
      </c>
      <c r="U133" s="319">
        <v>363</v>
      </c>
      <c r="V133" s="319">
        <v>596</v>
      </c>
      <c r="W133" s="319">
        <v>471</v>
      </c>
      <c r="X133" s="319">
        <v>514</v>
      </c>
      <c r="Y133" s="319">
        <v>314</v>
      </c>
      <c r="Z133" s="319">
        <v>274</v>
      </c>
      <c r="AA133" s="319">
        <v>613</v>
      </c>
      <c r="AB133" s="319">
        <v>674</v>
      </c>
      <c r="AC133" s="319">
        <v>615</v>
      </c>
      <c r="AD133" s="319">
        <v>380</v>
      </c>
      <c r="AE133" s="319">
        <v>189</v>
      </c>
      <c r="AF133" s="319">
        <v>129</v>
      </c>
      <c r="AG133" s="319">
        <v>86</v>
      </c>
      <c r="AH133" s="320">
        <v>20.771333130883693</v>
      </c>
      <c r="AI133" s="320">
        <v>14.561190403887034</v>
      </c>
      <c r="AJ133" s="320">
        <v>23.883996355906469</v>
      </c>
      <c r="AK133" s="320">
        <v>9.3076222289705441</v>
      </c>
      <c r="AL133" s="320">
        <v>31.475857880352265</v>
      </c>
      <c r="AM133" s="319">
        <v>21513</v>
      </c>
      <c r="AN133" s="319">
        <v>39793</v>
      </c>
      <c r="AO133" s="320">
        <v>55.056179775280903</v>
      </c>
      <c r="AP133" s="319">
        <v>6586</v>
      </c>
      <c r="AQ133" s="319">
        <v>1371</v>
      </c>
      <c r="AR133" s="319">
        <v>4634</v>
      </c>
      <c r="AS133" s="319">
        <v>1952</v>
      </c>
      <c r="AT133" s="319">
        <v>242</v>
      </c>
      <c r="AU133" s="319">
        <v>171</v>
      </c>
      <c r="AV133" s="319">
        <v>762</v>
      </c>
      <c r="AW133" s="319">
        <v>668</v>
      </c>
      <c r="AX133" s="319">
        <v>339</v>
      </c>
      <c r="AY133" s="319">
        <v>370</v>
      </c>
      <c r="AZ133" s="319">
        <v>727</v>
      </c>
      <c r="BA133" s="319">
        <v>233</v>
      </c>
      <c r="BB133" s="319">
        <v>72</v>
      </c>
      <c r="BC133" s="319">
        <v>979</v>
      </c>
      <c r="BD133" s="319">
        <v>139</v>
      </c>
      <c r="BE133" s="319">
        <v>77</v>
      </c>
      <c r="BF133" s="319">
        <v>1277</v>
      </c>
      <c r="BG133" s="319">
        <v>66</v>
      </c>
      <c r="BH133" s="319">
        <v>0</v>
      </c>
      <c r="BI133" s="320">
        <v>19.450349225630127</v>
      </c>
      <c r="BJ133" s="321">
        <v>6.2</v>
      </c>
      <c r="BK133" s="321">
        <v>5.4</v>
      </c>
      <c r="BL133" s="321">
        <v>5.9</v>
      </c>
      <c r="BM133" s="321">
        <v>5.0999999999999996</v>
      </c>
      <c r="BN133" s="321">
        <v>5.6</v>
      </c>
      <c r="BO133" s="321">
        <v>5.4</v>
      </c>
      <c r="BP133" s="321">
        <v>6.3</v>
      </c>
      <c r="BQ133" s="321">
        <v>6.5</v>
      </c>
      <c r="BR133" s="321">
        <v>5.5</v>
      </c>
      <c r="BS133" s="321">
        <v>6.9</v>
      </c>
      <c r="BT133" s="321">
        <v>7.3</v>
      </c>
      <c r="BU133" s="321">
        <v>6.9</v>
      </c>
      <c r="BV133" s="321">
        <v>7.3</v>
      </c>
      <c r="BW133" s="321">
        <v>5.6</v>
      </c>
      <c r="BX133" s="321">
        <v>5.9</v>
      </c>
      <c r="BY133" s="321">
        <v>3.4</v>
      </c>
      <c r="BZ133" s="321">
        <v>2.2000000000000002</v>
      </c>
      <c r="CA133" s="321">
        <v>2.4</v>
      </c>
      <c r="CB133" s="321">
        <v>17.5</v>
      </c>
      <c r="CC133" s="321">
        <v>62.8</v>
      </c>
      <c r="CD133" s="321">
        <v>19.5</v>
      </c>
    </row>
    <row r="134" spans="1:82" s="308" customFormat="1" x14ac:dyDescent="0.25">
      <c r="A134" s="301" t="s">
        <v>4746</v>
      </c>
      <c r="B134" s="301" t="s">
        <v>42</v>
      </c>
      <c r="C134" s="301" t="s">
        <v>4747</v>
      </c>
      <c r="D134" s="301" t="s">
        <v>43</v>
      </c>
      <c r="E134" s="301" t="s">
        <v>4748</v>
      </c>
      <c r="F134" s="301" t="s">
        <v>4272</v>
      </c>
      <c r="G134" s="301" t="s">
        <v>4749</v>
      </c>
      <c r="H134" s="302">
        <v>540088</v>
      </c>
      <c r="I134" s="303" t="s">
        <v>1483</v>
      </c>
      <c r="J134" s="301" t="s">
        <v>488</v>
      </c>
      <c r="K134" s="301" t="s">
        <v>488</v>
      </c>
      <c r="L134" s="304">
        <v>437.55506483051818</v>
      </c>
      <c r="M134" s="305">
        <v>18917</v>
      </c>
      <c r="N134" s="306">
        <v>43.233415678383878</v>
      </c>
      <c r="O134" s="305">
        <v>7204</v>
      </c>
      <c r="P134" s="306">
        <v>2.6259022765130484</v>
      </c>
      <c r="Q134" s="305">
        <v>18917</v>
      </c>
      <c r="R134" s="305">
        <v>647</v>
      </c>
      <c r="S134" s="305">
        <v>617</v>
      </c>
      <c r="T134" s="305">
        <v>591</v>
      </c>
      <c r="U134" s="305">
        <v>653</v>
      </c>
      <c r="V134" s="305">
        <v>541</v>
      </c>
      <c r="W134" s="305">
        <v>374</v>
      </c>
      <c r="X134" s="305">
        <v>330</v>
      </c>
      <c r="Y134" s="305">
        <v>357</v>
      </c>
      <c r="Z134" s="305">
        <v>328</v>
      </c>
      <c r="AA134" s="305">
        <v>484</v>
      </c>
      <c r="AB134" s="305">
        <v>616</v>
      </c>
      <c r="AC134" s="305">
        <v>857</v>
      </c>
      <c r="AD134" s="305">
        <v>396</v>
      </c>
      <c r="AE134" s="305">
        <v>277</v>
      </c>
      <c r="AF134" s="305">
        <v>119</v>
      </c>
      <c r="AG134" s="305">
        <v>17</v>
      </c>
      <c r="AH134" s="306">
        <v>25.749583564686283</v>
      </c>
      <c r="AI134" s="306">
        <v>16.574125485841197</v>
      </c>
      <c r="AJ134" s="306">
        <v>19.280955024986117</v>
      </c>
      <c r="AK134" s="306">
        <v>6.7184897279289277</v>
      </c>
      <c r="AL134" s="306">
        <v>31.676846196557467</v>
      </c>
      <c r="AM134" s="305">
        <v>19321</v>
      </c>
      <c r="AN134" s="305">
        <v>37075</v>
      </c>
      <c r="AO134" s="306">
        <v>57.051637978900615</v>
      </c>
      <c r="AP134" s="305">
        <v>7204</v>
      </c>
      <c r="AQ134" s="305">
        <v>1749</v>
      </c>
      <c r="AR134" s="305">
        <v>5731</v>
      </c>
      <c r="AS134" s="305">
        <v>1473</v>
      </c>
      <c r="AT134" s="305">
        <v>369</v>
      </c>
      <c r="AU134" s="305">
        <v>269</v>
      </c>
      <c r="AV134" s="305">
        <v>913</v>
      </c>
      <c r="AW134" s="305">
        <v>959</v>
      </c>
      <c r="AX134" s="305">
        <v>239</v>
      </c>
      <c r="AY134" s="305">
        <v>167</v>
      </c>
      <c r="AZ134" s="305">
        <v>685</v>
      </c>
      <c r="BA134" s="305">
        <v>175</v>
      </c>
      <c r="BB134" s="305">
        <v>0</v>
      </c>
      <c r="BC134" s="305">
        <v>984</v>
      </c>
      <c r="BD134" s="305">
        <v>66</v>
      </c>
      <c r="BE134" s="305">
        <v>18</v>
      </c>
      <c r="BF134" s="305">
        <v>1544</v>
      </c>
      <c r="BG134" s="305">
        <v>37</v>
      </c>
      <c r="BH134" s="305">
        <v>20</v>
      </c>
      <c r="BI134" s="306">
        <v>15.519156024430872</v>
      </c>
      <c r="BJ134" s="307">
        <v>6.1</v>
      </c>
      <c r="BK134" s="307">
        <v>6.8</v>
      </c>
      <c r="BL134" s="307">
        <v>5.9</v>
      </c>
      <c r="BM134" s="307">
        <v>5.3</v>
      </c>
      <c r="BN134" s="307">
        <v>5.5</v>
      </c>
      <c r="BO134" s="307">
        <v>5.5</v>
      </c>
      <c r="BP134" s="307">
        <v>5.4</v>
      </c>
      <c r="BQ134" s="307">
        <v>6</v>
      </c>
      <c r="BR134" s="307">
        <v>7</v>
      </c>
      <c r="BS134" s="307">
        <v>7</v>
      </c>
      <c r="BT134" s="307">
        <v>7.2</v>
      </c>
      <c r="BU134" s="307">
        <v>7.8</v>
      </c>
      <c r="BV134" s="307">
        <v>7</v>
      </c>
      <c r="BW134" s="307">
        <v>6.3</v>
      </c>
      <c r="BX134" s="307">
        <v>4.0999999999999996</v>
      </c>
      <c r="BY134" s="307">
        <v>3.1</v>
      </c>
      <c r="BZ134" s="307">
        <v>2.2999999999999998</v>
      </c>
      <c r="CA134" s="307">
        <v>1.7</v>
      </c>
      <c r="CB134" s="307">
        <v>18.799999999999997</v>
      </c>
      <c r="CC134" s="307">
        <v>63.7</v>
      </c>
      <c r="CD134" s="307">
        <v>17.499999999999996</v>
      </c>
    </row>
    <row r="135" spans="1:82" x14ac:dyDescent="0.25">
      <c r="A135" s="130" t="s">
        <v>4750</v>
      </c>
      <c r="B135" s="130" t="s">
        <v>181</v>
      </c>
      <c r="C135" s="130" t="s">
        <v>4751</v>
      </c>
      <c r="D135" s="130" t="s">
        <v>43</v>
      </c>
      <c r="E135" s="130" t="s">
        <v>4748</v>
      </c>
      <c r="F135" s="130" t="s">
        <v>4272</v>
      </c>
      <c r="G135" s="130" t="s">
        <v>4752</v>
      </c>
      <c r="H135" s="309">
        <v>540089</v>
      </c>
      <c r="I135" s="277" t="s">
        <v>1484</v>
      </c>
      <c r="J135" s="130">
        <v>5434516</v>
      </c>
      <c r="K135" s="130" t="s">
        <v>4753</v>
      </c>
      <c r="L135" s="310">
        <v>0.6011200004226378</v>
      </c>
      <c r="M135" s="311">
        <v>1619</v>
      </c>
      <c r="N135" s="312">
        <v>2693.3058272253579</v>
      </c>
      <c r="O135" s="311">
        <v>568</v>
      </c>
      <c r="P135" s="312">
        <v>2.74</v>
      </c>
      <c r="Q135" s="311">
        <v>1559</v>
      </c>
      <c r="R135" s="311">
        <v>87</v>
      </c>
      <c r="S135" s="311">
        <v>45</v>
      </c>
      <c r="T135" s="311">
        <v>43</v>
      </c>
      <c r="U135" s="311">
        <v>41</v>
      </c>
      <c r="V135" s="311">
        <v>47</v>
      </c>
      <c r="W135" s="311">
        <v>37</v>
      </c>
      <c r="X135" s="311">
        <v>48</v>
      </c>
      <c r="Y135" s="311">
        <v>27</v>
      </c>
      <c r="Z135" s="311">
        <v>15</v>
      </c>
      <c r="AA135" s="311">
        <v>29</v>
      </c>
      <c r="AB135" s="311">
        <v>60</v>
      </c>
      <c r="AC135" s="311">
        <v>38</v>
      </c>
      <c r="AD135" s="311">
        <v>25</v>
      </c>
      <c r="AE135" s="311">
        <v>13</v>
      </c>
      <c r="AF135" s="311">
        <v>13</v>
      </c>
      <c r="AG135" s="311">
        <v>0</v>
      </c>
      <c r="AH135" s="312">
        <v>30.809859154929576</v>
      </c>
      <c r="AI135" s="312">
        <v>15.492957746478872</v>
      </c>
      <c r="AJ135" s="312">
        <v>22.359154929577464</v>
      </c>
      <c r="AK135" s="312">
        <v>5.1056338028169019</v>
      </c>
      <c r="AL135" s="312">
        <v>26.23239436619718</v>
      </c>
      <c r="AM135" s="311">
        <v>16826</v>
      </c>
      <c r="AN135" s="311">
        <v>33571</v>
      </c>
      <c r="AO135" s="312">
        <v>66.021126760563376</v>
      </c>
      <c r="AP135" s="311">
        <v>568</v>
      </c>
      <c r="AQ135" s="311">
        <v>83</v>
      </c>
      <c r="AR135" s="311">
        <v>349</v>
      </c>
      <c r="AS135" s="311">
        <v>219</v>
      </c>
      <c r="AT135" s="311">
        <v>16</v>
      </c>
      <c r="AU135" s="311">
        <v>11</v>
      </c>
      <c r="AV135" s="311">
        <v>117</v>
      </c>
      <c r="AW135" s="311">
        <v>73</v>
      </c>
      <c r="AX135" s="311">
        <v>6</v>
      </c>
      <c r="AY135" s="311">
        <v>46</v>
      </c>
      <c r="AZ135" s="311">
        <v>47</v>
      </c>
      <c r="BA135" s="311">
        <v>26</v>
      </c>
      <c r="BB135" s="311">
        <v>3</v>
      </c>
      <c r="BC135" s="311">
        <v>81</v>
      </c>
      <c r="BD135" s="311">
        <v>8</v>
      </c>
      <c r="BE135" s="311">
        <v>0</v>
      </c>
      <c r="BF135" s="311">
        <v>85</v>
      </c>
      <c r="BG135" s="311">
        <v>0</v>
      </c>
      <c r="BH135" s="311">
        <v>0</v>
      </c>
      <c r="BI135" s="312">
        <v>29.225352112676056</v>
      </c>
      <c r="BJ135" s="313">
        <v>4.5</v>
      </c>
      <c r="BK135" s="313">
        <v>4.4000000000000004</v>
      </c>
      <c r="BL135" s="313">
        <v>5.4</v>
      </c>
      <c r="BM135" s="313">
        <v>6.1</v>
      </c>
      <c r="BN135" s="313">
        <v>10.8</v>
      </c>
      <c r="BO135" s="313">
        <v>7.2</v>
      </c>
      <c r="BP135" s="313">
        <v>7.5</v>
      </c>
      <c r="BQ135" s="313">
        <v>3.7</v>
      </c>
      <c r="BR135" s="313">
        <v>7.9</v>
      </c>
      <c r="BS135" s="313">
        <v>6.1</v>
      </c>
      <c r="BT135" s="313">
        <v>5.9</v>
      </c>
      <c r="BU135" s="313">
        <v>7.9</v>
      </c>
      <c r="BV135" s="313">
        <v>5.3</v>
      </c>
      <c r="BW135" s="313">
        <v>5.2</v>
      </c>
      <c r="BX135" s="313">
        <v>3</v>
      </c>
      <c r="BY135" s="313">
        <v>2.8</v>
      </c>
      <c r="BZ135" s="313">
        <v>4</v>
      </c>
      <c r="CA135" s="313">
        <v>2.2999999999999998</v>
      </c>
      <c r="CB135" s="313">
        <v>14.3</v>
      </c>
      <c r="CC135" s="313">
        <v>68.399999999999991</v>
      </c>
      <c r="CD135" s="313">
        <v>17.3</v>
      </c>
    </row>
    <row r="136" spans="1:82" x14ac:dyDescent="0.25">
      <c r="A136" s="130" t="s">
        <v>4754</v>
      </c>
      <c r="B136" s="130" t="s">
        <v>182</v>
      </c>
      <c r="C136" s="130" t="s">
        <v>4755</v>
      </c>
      <c r="D136" s="130" t="s">
        <v>43</v>
      </c>
      <c r="E136" s="130" t="s">
        <v>4748</v>
      </c>
      <c r="F136" s="130" t="s">
        <v>4272</v>
      </c>
      <c r="G136" s="130" t="s">
        <v>4756</v>
      </c>
      <c r="H136" s="309">
        <v>540090</v>
      </c>
      <c r="I136" s="277" t="s">
        <v>1485</v>
      </c>
      <c r="J136" s="130">
        <v>5485804</v>
      </c>
      <c r="K136" s="130" t="s">
        <v>4757</v>
      </c>
      <c r="L136" s="310">
        <v>0.55265057842111154</v>
      </c>
      <c r="M136" s="311">
        <v>705</v>
      </c>
      <c r="N136" s="312">
        <v>1275.6704281648294</v>
      </c>
      <c r="O136" s="311">
        <v>274</v>
      </c>
      <c r="P136" s="312">
        <v>2.57</v>
      </c>
      <c r="Q136" s="311">
        <v>705</v>
      </c>
      <c r="R136" s="311">
        <v>40</v>
      </c>
      <c r="S136" s="311">
        <v>62</v>
      </c>
      <c r="T136" s="311">
        <v>24</v>
      </c>
      <c r="U136" s="311">
        <v>24</v>
      </c>
      <c r="V136" s="311">
        <v>11</v>
      </c>
      <c r="W136" s="311">
        <v>17</v>
      </c>
      <c r="X136" s="311">
        <v>19</v>
      </c>
      <c r="Y136" s="311">
        <v>12</v>
      </c>
      <c r="Z136" s="311">
        <v>2</v>
      </c>
      <c r="AA136" s="311">
        <v>16</v>
      </c>
      <c r="AB136" s="311">
        <v>20</v>
      </c>
      <c r="AC136" s="311">
        <v>9</v>
      </c>
      <c r="AD136" s="311">
        <v>10</v>
      </c>
      <c r="AE136" s="311">
        <v>8</v>
      </c>
      <c r="AF136" s="311">
        <v>0</v>
      </c>
      <c r="AG136" s="311">
        <v>0</v>
      </c>
      <c r="AH136" s="312">
        <v>45.985401459854018</v>
      </c>
      <c r="AI136" s="312">
        <v>12.773722627737227</v>
      </c>
      <c r="AJ136" s="312">
        <v>18.248175182481752</v>
      </c>
      <c r="AK136" s="312">
        <v>5.8394160583941606</v>
      </c>
      <c r="AL136" s="312">
        <v>17.153284671532848</v>
      </c>
      <c r="AM136" s="311">
        <v>13344</v>
      </c>
      <c r="AN136" s="311">
        <v>21146</v>
      </c>
      <c r="AO136" s="312">
        <v>76.277372262773724</v>
      </c>
      <c r="AP136" s="311">
        <v>274</v>
      </c>
      <c r="AQ136" s="311">
        <v>52</v>
      </c>
      <c r="AR136" s="311">
        <v>141</v>
      </c>
      <c r="AS136" s="311">
        <v>133</v>
      </c>
      <c r="AT136" s="311">
        <v>9</v>
      </c>
      <c r="AU136" s="311">
        <v>32</v>
      </c>
      <c r="AV136" s="311">
        <v>69</v>
      </c>
      <c r="AW136" s="311">
        <v>26</v>
      </c>
      <c r="AX136" s="311">
        <v>16</v>
      </c>
      <c r="AY136" s="311">
        <v>10</v>
      </c>
      <c r="AZ136" s="311">
        <v>33</v>
      </c>
      <c r="BA136" s="311">
        <v>0</v>
      </c>
      <c r="BB136" s="311">
        <v>0</v>
      </c>
      <c r="BC136" s="311">
        <v>36</v>
      </c>
      <c r="BD136" s="311">
        <v>0</v>
      </c>
      <c r="BE136" s="311">
        <v>0</v>
      </c>
      <c r="BF136" s="311">
        <v>17</v>
      </c>
      <c r="BG136" s="311">
        <v>6</v>
      </c>
      <c r="BH136" s="311">
        <v>0</v>
      </c>
      <c r="BI136" s="312">
        <v>28.832116788321166</v>
      </c>
      <c r="BJ136" s="313">
        <v>6.5</v>
      </c>
      <c r="BK136" s="313">
        <v>12.8</v>
      </c>
      <c r="BL136" s="313">
        <v>6.5</v>
      </c>
      <c r="BM136" s="313">
        <v>1.6</v>
      </c>
      <c r="BN136" s="313">
        <v>2.4</v>
      </c>
      <c r="BO136" s="313">
        <v>8.8000000000000007</v>
      </c>
      <c r="BP136" s="313">
        <v>7.5</v>
      </c>
      <c r="BQ136" s="313">
        <v>4.3</v>
      </c>
      <c r="BR136" s="313">
        <v>5.5</v>
      </c>
      <c r="BS136" s="313">
        <v>4.3</v>
      </c>
      <c r="BT136" s="313">
        <v>3</v>
      </c>
      <c r="BU136" s="313">
        <v>10.8</v>
      </c>
      <c r="BV136" s="313">
        <v>4</v>
      </c>
      <c r="BW136" s="313">
        <v>6</v>
      </c>
      <c r="BX136" s="313">
        <v>6.1</v>
      </c>
      <c r="BY136" s="313">
        <v>6.7</v>
      </c>
      <c r="BZ136" s="313">
        <v>2.8</v>
      </c>
      <c r="CA136" s="313">
        <v>0.6</v>
      </c>
      <c r="CB136" s="313">
        <v>25.8</v>
      </c>
      <c r="CC136" s="313">
        <v>52.2</v>
      </c>
      <c r="CD136" s="313">
        <v>22.200000000000003</v>
      </c>
    </row>
    <row r="137" spans="1:82" s="322" customFormat="1" x14ac:dyDescent="0.25">
      <c r="A137" s="314" t="s">
        <v>4758</v>
      </c>
      <c r="B137" s="315" t="s">
        <v>348</v>
      </c>
      <c r="C137" s="314"/>
      <c r="D137" s="314"/>
      <c r="E137" s="314"/>
      <c r="F137" s="314"/>
      <c r="G137" s="314"/>
      <c r="H137" s="316"/>
      <c r="I137" s="317"/>
      <c r="J137" s="314">
        <v>54043</v>
      </c>
      <c r="K137" s="314" t="s">
        <v>4759</v>
      </c>
      <c r="L137" s="318">
        <v>438.70883540936188</v>
      </c>
      <c r="M137" s="319">
        <v>21241</v>
      </c>
      <c r="N137" s="320">
        <v>48.417078220409884</v>
      </c>
      <c r="O137" s="319">
        <v>8046</v>
      </c>
      <c r="P137" s="320">
        <v>2.63</v>
      </c>
      <c r="Q137" s="319">
        <v>21181</v>
      </c>
      <c r="R137" s="319">
        <v>774</v>
      </c>
      <c r="S137" s="319">
        <v>724</v>
      </c>
      <c r="T137" s="319">
        <v>658</v>
      </c>
      <c r="U137" s="319">
        <v>718</v>
      </c>
      <c r="V137" s="319">
        <v>599</v>
      </c>
      <c r="W137" s="319">
        <v>428</v>
      </c>
      <c r="X137" s="319">
        <v>397</v>
      </c>
      <c r="Y137" s="319">
        <v>396</v>
      </c>
      <c r="Z137" s="319">
        <v>345</v>
      </c>
      <c r="AA137" s="319">
        <v>529</v>
      </c>
      <c r="AB137" s="319">
        <v>696</v>
      </c>
      <c r="AC137" s="319">
        <v>904</v>
      </c>
      <c r="AD137" s="319">
        <v>431</v>
      </c>
      <c r="AE137" s="319">
        <v>298</v>
      </c>
      <c r="AF137" s="319">
        <v>132</v>
      </c>
      <c r="AG137" s="319">
        <v>17</v>
      </c>
      <c r="AH137" s="320">
        <v>26.795923440218743</v>
      </c>
      <c r="AI137" s="320">
        <v>16.368381804623418</v>
      </c>
      <c r="AJ137" s="320">
        <v>19.463087248322147</v>
      </c>
      <c r="AK137" s="320">
        <v>6.5746955008699981</v>
      </c>
      <c r="AL137" s="320">
        <v>30.797912005965699</v>
      </c>
      <c r="AM137" s="319">
        <v>19321</v>
      </c>
      <c r="AN137" s="319">
        <v>37075</v>
      </c>
      <c r="AO137" s="320">
        <v>58.339547601292566</v>
      </c>
      <c r="AP137" s="319">
        <v>8046</v>
      </c>
      <c r="AQ137" s="319">
        <v>1884</v>
      </c>
      <c r="AR137" s="319">
        <v>6221</v>
      </c>
      <c r="AS137" s="319">
        <v>1825</v>
      </c>
      <c r="AT137" s="319">
        <v>394</v>
      </c>
      <c r="AU137" s="319">
        <v>312</v>
      </c>
      <c r="AV137" s="319">
        <v>1099</v>
      </c>
      <c r="AW137" s="319">
        <v>1058</v>
      </c>
      <c r="AX137" s="319">
        <v>261</v>
      </c>
      <c r="AY137" s="319">
        <v>223</v>
      </c>
      <c r="AZ137" s="319">
        <v>765</v>
      </c>
      <c r="BA137" s="319">
        <v>201</v>
      </c>
      <c r="BB137" s="319">
        <v>3</v>
      </c>
      <c r="BC137" s="319">
        <v>1101</v>
      </c>
      <c r="BD137" s="319">
        <v>74</v>
      </c>
      <c r="BE137" s="319">
        <v>18</v>
      </c>
      <c r="BF137" s="319">
        <v>1646</v>
      </c>
      <c r="BG137" s="319">
        <v>43</v>
      </c>
      <c r="BH137" s="319">
        <v>20</v>
      </c>
      <c r="BI137" s="320">
        <v>16.940094456872981</v>
      </c>
      <c r="BJ137" s="321">
        <v>6.1</v>
      </c>
      <c r="BK137" s="321">
        <v>6.8</v>
      </c>
      <c r="BL137" s="321">
        <v>5.9</v>
      </c>
      <c r="BM137" s="321">
        <v>5.3</v>
      </c>
      <c r="BN137" s="321">
        <v>5.5</v>
      </c>
      <c r="BO137" s="321">
        <v>5.5</v>
      </c>
      <c r="BP137" s="321">
        <v>5.4</v>
      </c>
      <c r="BQ137" s="321">
        <v>6</v>
      </c>
      <c r="BR137" s="321">
        <v>7</v>
      </c>
      <c r="BS137" s="321">
        <v>7</v>
      </c>
      <c r="BT137" s="321">
        <v>7.2</v>
      </c>
      <c r="BU137" s="321">
        <v>7.8</v>
      </c>
      <c r="BV137" s="321">
        <v>7</v>
      </c>
      <c r="BW137" s="321">
        <v>6.3</v>
      </c>
      <c r="BX137" s="321">
        <v>4.0999999999999996</v>
      </c>
      <c r="BY137" s="321">
        <v>3.1</v>
      </c>
      <c r="BZ137" s="321">
        <v>2.2999999999999998</v>
      </c>
      <c r="CA137" s="321">
        <v>1.7</v>
      </c>
      <c r="CB137" s="321">
        <v>18.799999999999997</v>
      </c>
      <c r="CC137" s="321">
        <v>63.7</v>
      </c>
      <c r="CD137" s="321">
        <v>17.499999999999996</v>
      </c>
    </row>
    <row r="138" spans="1:82" s="308" customFormat="1" x14ac:dyDescent="0.25">
      <c r="A138" s="301" t="s">
        <v>4760</v>
      </c>
      <c r="B138" s="301" t="s">
        <v>110</v>
      </c>
      <c r="C138" s="301" t="s">
        <v>4761</v>
      </c>
      <c r="D138" s="301" t="s">
        <v>111</v>
      </c>
      <c r="E138" s="301" t="s">
        <v>4762</v>
      </c>
      <c r="F138" s="301" t="s">
        <v>4272</v>
      </c>
      <c r="G138" s="301" t="s">
        <v>4763</v>
      </c>
      <c r="H138" s="302">
        <v>545536</v>
      </c>
      <c r="I138" s="303" t="s">
        <v>1645</v>
      </c>
      <c r="J138" s="301" t="s">
        <v>488</v>
      </c>
      <c r="K138" s="301" t="s">
        <v>488</v>
      </c>
      <c r="L138" s="304">
        <v>451.57999994563897</v>
      </c>
      <c r="M138" s="305">
        <v>29633</v>
      </c>
      <c r="N138" s="306">
        <v>65.620709516735033</v>
      </c>
      <c r="O138" s="305">
        <v>11932</v>
      </c>
      <c r="P138" s="306">
        <v>2.4349648005363727</v>
      </c>
      <c r="Q138" s="305">
        <v>29054</v>
      </c>
      <c r="R138" s="305">
        <v>1605</v>
      </c>
      <c r="S138" s="305">
        <v>819</v>
      </c>
      <c r="T138" s="305">
        <v>1005</v>
      </c>
      <c r="U138" s="305">
        <v>713</v>
      </c>
      <c r="V138" s="305">
        <v>975</v>
      </c>
      <c r="W138" s="305">
        <v>678</v>
      </c>
      <c r="X138" s="305">
        <v>620</v>
      </c>
      <c r="Y138" s="305">
        <v>311</v>
      </c>
      <c r="Z138" s="305">
        <v>564</v>
      </c>
      <c r="AA138" s="305">
        <v>1101</v>
      </c>
      <c r="AB138" s="305">
        <v>914</v>
      </c>
      <c r="AC138" s="305">
        <v>1426</v>
      </c>
      <c r="AD138" s="305">
        <v>452</v>
      </c>
      <c r="AE138" s="305">
        <v>395</v>
      </c>
      <c r="AF138" s="305">
        <v>189</v>
      </c>
      <c r="AG138" s="305">
        <v>165</v>
      </c>
      <c r="AH138" s="306">
        <v>28.737847804223936</v>
      </c>
      <c r="AI138" s="306">
        <v>14.14683204827355</v>
      </c>
      <c r="AJ138" s="306">
        <v>18.211532014750251</v>
      </c>
      <c r="AK138" s="306">
        <v>9.2272879651357691</v>
      </c>
      <c r="AL138" s="306">
        <v>29.676500167616492</v>
      </c>
      <c r="AM138" s="305">
        <v>21074</v>
      </c>
      <c r="AN138" s="305">
        <v>37859</v>
      </c>
      <c r="AO138" s="306">
        <v>56.369426751592357</v>
      </c>
      <c r="AP138" s="305">
        <v>11932</v>
      </c>
      <c r="AQ138" s="305">
        <v>2416</v>
      </c>
      <c r="AR138" s="305">
        <v>9089</v>
      </c>
      <c r="AS138" s="305">
        <v>2843</v>
      </c>
      <c r="AT138" s="305">
        <v>494</v>
      </c>
      <c r="AU138" s="305">
        <v>550</v>
      </c>
      <c r="AV138" s="305">
        <v>1678</v>
      </c>
      <c r="AW138" s="305">
        <v>1149</v>
      </c>
      <c r="AX138" s="305">
        <v>485</v>
      </c>
      <c r="AY138" s="305">
        <v>540</v>
      </c>
      <c r="AZ138" s="305">
        <v>942</v>
      </c>
      <c r="BA138" s="305">
        <v>372</v>
      </c>
      <c r="BB138" s="305">
        <v>105</v>
      </c>
      <c r="BC138" s="305">
        <v>1452</v>
      </c>
      <c r="BD138" s="305">
        <v>379</v>
      </c>
      <c r="BE138" s="305">
        <v>60</v>
      </c>
      <c r="BF138" s="305">
        <v>2458</v>
      </c>
      <c r="BG138" s="305">
        <v>75</v>
      </c>
      <c r="BH138" s="305">
        <v>0</v>
      </c>
      <c r="BI138" s="306">
        <v>19.971505196111298</v>
      </c>
      <c r="BJ138" s="307">
        <v>5.6</v>
      </c>
      <c r="BK138" s="307">
        <v>4.7</v>
      </c>
      <c r="BL138" s="307">
        <v>6.9</v>
      </c>
      <c r="BM138" s="307">
        <v>5.4</v>
      </c>
      <c r="BN138" s="307">
        <v>5.4</v>
      </c>
      <c r="BO138" s="307">
        <v>5.5</v>
      </c>
      <c r="BP138" s="307">
        <v>5.7</v>
      </c>
      <c r="BQ138" s="307">
        <v>6.2</v>
      </c>
      <c r="BR138" s="307">
        <v>7.6</v>
      </c>
      <c r="BS138" s="307">
        <v>6.5</v>
      </c>
      <c r="BT138" s="307">
        <v>6.6</v>
      </c>
      <c r="BU138" s="307">
        <v>9.1999999999999993</v>
      </c>
      <c r="BV138" s="307">
        <v>7.3</v>
      </c>
      <c r="BW138" s="307">
        <v>7.1</v>
      </c>
      <c r="BX138" s="307">
        <v>3.6</v>
      </c>
      <c r="BY138" s="307">
        <v>2.2000000000000002</v>
      </c>
      <c r="BZ138" s="307">
        <v>2.2999999999999998</v>
      </c>
      <c r="CA138" s="307">
        <v>2.2999999999999998</v>
      </c>
      <c r="CB138" s="307">
        <v>17.200000000000003</v>
      </c>
      <c r="CC138" s="307">
        <v>65.399999999999991</v>
      </c>
      <c r="CD138" s="307">
        <v>17.5</v>
      </c>
    </row>
    <row r="139" spans="1:82" x14ac:dyDescent="0.25">
      <c r="A139" s="130" t="s">
        <v>4764</v>
      </c>
      <c r="B139" s="130" t="s">
        <v>183</v>
      </c>
      <c r="C139" s="130" t="s">
        <v>4765</v>
      </c>
      <c r="D139" s="130" t="s">
        <v>111</v>
      </c>
      <c r="E139" s="130" t="s">
        <v>4762</v>
      </c>
      <c r="F139" s="130" t="s">
        <v>4272</v>
      </c>
      <c r="G139" s="130" t="s">
        <v>4766</v>
      </c>
      <c r="H139" s="309">
        <v>540092</v>
      </c>
      <c r="I139" s="277" t="s">
        <v>1646</v>
      </c>
      <c r="J139" s="130">
        <v>5414524</v>
      </c>
      <c r="K139" s="130" t="s">
        <v>4767</v>
      </c>
      <c r="L139" s="310">
        <v>0.6800730472555887</v>
      </c>
      <c r="M139" s="311">
        <v>1283</v>
      </c>
      <c r="N139" s="312">
        <v>1886.5620467940939</v>
      </c>
      <c r="O139" s="311">
        <v>584</v>
      </c>
      <c r="P139" s="312">
        <v>2.2000000000000002</v>
      </c>
      <c r="Q139" s="311">
        <v>1283</v>
      </c>
      <c r="R139" s="311">
        <v>73</v>
      </c>
      <c r="S139" s="311">
        <v>58</v>
      </c>
      <c r="T139" s="311">
        <v>62</v>
      </c>
      <c r="U139" s="311">
        <v>34</v>
      </c>
      <c r="V139" s="311">
        <v>33</v>
      </c>
      <c r="W139" s="311">
        <v>39</v>
      </c>
      <c r="X139" s="311">
        <v>16</v>
      </c>
      <c r="Y139" s="311">
        <v>18</v>
      </c>
      <c r="Z139" s="311">
        <v>6</v>
      </c>
      <c r="AA139" s="311">
        <v>51</v>
      </c>
      <c r="AB139" s="311">
        <v>57</v>
      </c>
      <c r="AC139" s="311">
        <v>48</v>
      </c>
      <c r="AD139" s="311">
        <v>74</v>
      </c>
      <c r="AE139" s="311">
        <v>0</v>
      </c>
      <c r="AF139" s="311">
        <v>9</v>
      </c>
      <c r="AG139" s="311">
        <v>6</v>
      </c>
      <c r="AH139" s="312">
        <v>33.047945205479451</v>
      </c>
      <c r="AI139" s="312">
        <v>11.472602739726028</v>
      </c>
      <c r="AJ139" s="312">
        <v>13.527397260273974</v>
      </c>
      <c r="AK139" s="312">
        <v>8.7328767123287676</v>
      </c>
      <c r="AL139" s="312">
        <v>33.219178082191782</v>
      </c>
      <c r="AM139" s="311">
        <v>24686</v>
      </c>
      <c r="AN139" s="311">
        <v>34167</v>
      </c>
      <c r="AO139" s="312">
        <v>57.020547945205479</v>
      </c>
      <c r="AP139" s="311">
        <v>584</v>
      </c>
      <c r="AQ139" s="311">
        <v>141</v>
      </c>
      <c r="AR139" s="311">
        <v>311</v>
      </c>
      <c r="AS139" s="311">
        <v>273</v>
      </c>
      <c r="AT139" s="311">
        <v>22</v>
      </c>
      <c r="AU139" s="311">
        <v>36</v>
      </c>
      <c r="AV139" s="311">
        <v>129</v>
      </c>
      <c r="AW139" s="311">
        <v>57</v>
      </c>
      <c r="AX139" s="311">
        <v>21</v>
      </c>
      <c r="AY139" s="311">
        <v>28</v>
      </c>
      <c r="AZ139" s="311">
        <v>37</v>
      </c>
      <c r="BA139" s="311">
        <v>3</v>
      </c>
      <c r="BB139" s="311">
        <v>0</v>
      </c>
      <c r="BC139" s="311">
        <v>93</v>
      </c>
      <c r="BD139" s="311">
        <v>15</v>
      </c>
      <c r="BE139" s="311">
        <v>0</v>
      </c>
      <c r="BF139" s="311">
        <v>127</v>
      </c>
      <c r="BG139" s="311">
        <v>10</v>
      </c>
      <c r="BH139" s="311">
        <v>0</v>
      </c>
      <c r="BI139" s="312">
        <v>26.88356164383562</v>
      </c>
      <c r="BJ139" s="313">
        <v>9.1999999999999993</v>
      </c>
      <c r="BK139" s="313">
        <v>4.0999999999999996</v>
      </c>
      <c r="BL139" s="313">
        <v>7.2</v>
      </c>
      <c r="BM139" s="313">
        <v>4.8</v>
      </c>
      <c r="BN139" s="313">
        <v>9</v>
      </c>
      <c r="BO139" s="313">
        <v>5.0999999999999996</v>
      </c>
      <c r="BP139" s="313">
        <v>5.2</v>
      </c>
      <c r="BQ139" s="313">
        <v>1.7</v>
      </c>
      <c r="BR139" s="313">
        <v>7.5</v>
      </c>
      <c r="BS139" s="313">
        <v>4.5</v>
      </c>
      <c r="BT139" s="313">
        <v>3.2</v>
      </c>
      <c r="BU139" s="313">
        <v>5.5</v>
      </c>
      <c r="BV139" s="313">
        <v>6.9</v>
      </c>
      <c r="BW139" s="313">
        <v>9.3000000000000007</v>
      </c>
      <c r="BX139" s="313">
        <v>6.2</v>
      </c>
      <c r="BY139" s="313">
        <v>5.9</v>
      </c>
      <c r="BZ139" s="313">
        <v>2.4</v>
      </c>
      <c r="CA139" s="313">
        <v>2.2999999999999998</v>
      </c>
      <c r="CB139" s="313">
        <v>20.5</v>
      </c>
      <c r="CC139" s="313">
        <v>53.4</v>
      </c>
      <c r="CD139" s="313">
        <v>26.099999999999998</v>
      </c>
    </row>
    <row r="140" spans="1:82" x14ac:dyDescent="0.25">
      <c r="A140" s="130" t="s">
        <v>4768</v>
      </c>
      <c r="B140" s="130" t="s">
        <v>332</v>
      </c>
      <c r="C140" s="130" t="s">
        <v>4769</v>
      </c>
      <c r="D140" s="130" t="s">
        <v>111</v>
      </c>
      <c r="E140" s="130" t="s">
        <v>4762</v>
      </c>
      <c r="F140" s="130" t="s">
        <v>4272</v>
      </c>
      <c r="G140" s="130" t="s">
        <v>4770</v>
      </c>
      <c r="H140" s="309">
        <v>545535</v>
      </c>
      <c r="I140" s="277" t="s">
        <v>1648</v>
      </c>
      <c r="J140" s="130">
        <v>5448148</v>
      </c>
      <c r="K140" s="130" t="s">
        <v>4771</v>
      </c>
      <c r="L140" s="310">
        <v>1.2335117387132903</v>
      </c>
      <c r="M140" s="311">
        <v>1662</v>
      </c>
      <c r="N140" s="312">
        <v>1347.3726660547854</v>
      </c>
      <c r="O140" s="311">
        <v>736</v>
      </c>
      <c r="P140" s="312">
        <v>2.2599999999999998</v>
      </c>
      <c r="Q140" s="311">
        <v>1662</v>
      </c>
      <c r="R140" s="311">
        <v>115</v>
      </c>
      <c r="S140" s="311">
        <v>67</v>
      </c>
      <c r="T140" s="311">
        <v>48</v>
      </c>
      <c r="U140" s="311">
        <v>54</v>
      </c>
      <c r="V140" s="311">
        <v>27</v>
      </c>
      <c r="W140" s="311">
        <v>9</v>
      </c>
      <c r="X140" s="311">
        <v>9</v>
      </c>
      <c r="Y140" s="311">
        <v>56</v>
      </c>
      <c r="Z140" s="311">
        <v>39</v>
      </c>
      <c r="AA140" s="311">
        <v>100</v>
      </c>
      <c r="AB140" s="311">
        <v>51</v>
      </c>
      <c r="AC140" s="311">
        <v>34</v>
      </c>
      <c r="AD140" s="311">
        <v>63</v>
      </c>
      <c r="AE140" s="311">
        <v>44</v>
      </c>
      <c r="AF140" s="311">
        <v>20</v>
      </c>
      <c r="AG140" s="311">
        <v>0</v>
      </c>
      <c r="AH140" s="312">
        <v>31.25</v>
      </c>
      <c r="AI140" s="312">
        <v>11.005434782608695</v>
      </c>
      <c r="AJ140" s="312">
        <v>15.353260869565217</v>
      </c>
      <c r="AK140" s="312">
        <v>13.586956521739129</v>
      </c>
      <c r="AL140" s="312">
        <v>28.804347826086957</v>
      </c>
      <c r="AM140" s="311">
        <v>22783</v>
      </c>
      <c r="AN140" s="311">
        <v>43672</v>
      </c>
      <c r="AO140" s="312">
        <v>52.309782608695656</v>
      </c>
      <c r="AP140" s="311">
        <v>736</v>
      </c>
      <c r="AQ140" s="311">
        <v>170</v>
      </c>
      <c r="AR140" s="311">
        <v>379</v>
      </c>
      <c r="AS140" s="311">
        <v>357</v>
      </c>
      <c r="AT140" s="311">
        <v>0</v>
      </c>
      <c r="AU140" s="311">
        <v>11</v>
      </c>
      <c r="AV140" s="311">
        <v>166</v>
      </c>
      <c r="AW140" s="311">
        <v>17</v>
      </c>
      <c r="AX140" s="311">
        <v>20</v>
      </c>
      <c r="AY140" s="311">
        <v>53</v>
      </c>
      <c r="AZ140" s="311">
        <v>55</v>
      </c>
      <c r="BA140" s="311">
        <v>16</v>
      </c>
      <c r="BB140" s="311">
        <v>33</v>
      </c>
      <c r="BC140" s="311">
        <v>139</v>
      </c>
      <c r="BD140" s="311">
        <v>12</v>
      </c>
      <c r="BE140" s="311">
        <v>0</v>
      </c>
      <c r="BF140" s="311">
        <v>144</v>
      </c>
      <c r="BG140" s="311">
        <v>17</v>
      </c>
      <c r="BH140" s="311">
        <v>0</v>
      </c>
      <c r="BI140" s="312">
        <v>34.239130434782609</v>
      </c>
      <c r="BJ140" s="313">
        <v>6.6</v>
      </c>
      <c r="BK140" s="313">
        <v>4.5999999999999996</v>
      </c>
      <c r="BL140" s="313">
        <v>2.1</v>
      </c>
      <c r="BM140" s="313">
        <v>3.9</v>
      </c>
      <c r="BN140" s="313">
        <v>8.4</v>
      </c>
      <c r="BO140" s="313">
        <v>10.199999999999999</v>
      </c>
      <c r="BP140" s="313">
        <v>5.7</v>
      </c>
      <c r="BQ140" s="313">
        <v>6.3</v>
      </c>
      <c r="BR140" s="313">
        <v>8.6999999999999993</v>
      </c>
      <c r="BS140" s="313">
        <v>8.1999999999999993</v>
      </c>
      <c r="BT140" s="313">
        <v>6.7</v>
      </c>
      <c r="BU140" s="313">
        <v>6.9</v>
      </c>
      <c r="BV140" s="313">
        <v>3.5</v>
      </c>
      <c r="BW140" s="313">
        <v>10</v>
      </c>
      <c r="BX140" s="313">
        <v>1.3</v>
      </c>
      <c r="BY140" s="313">
        <v>3.6</v>
      </c>
      <c r="BZ140" s="313">
        <v>1.1000000000000001</v>
      </c>
      <c r="CA140" s="313">
        <v>2.2000000000000002</v>
      </c>
      <c r="CB140" s="313">
        <v>13.299999999999999</v>
      </c>
      <c r="CC140" s="313">
        <v>68.500000000000014</v>
      </c>
      <c r="CD140" s="313">
        <v>18.2</v>
      </c>
    </row>
    <row r="141" spans="1:82" x14ac:dyDescent="0.25">
      <c r="A141" s="130" t="s">
        <v>4772</v>
      </c>
      <c r="B141" s="130" t="s">
        <v>333</v>
      </c>
      <c r="C141" s="130" t="s">
        <v>4773</v>
      </c>
      <c r="D141" s="130" t="s">
        <v>111</v>
      </c>
      <c r="E141" s="130" t="s">
        <v>4762</v>
      </c>
      <c r="F141" s="130" t="s">
        <v>4272</v>
      </c>
      <c r="G141" s="130" t="s">
        <v>4774</v>
      </c>
      <c r="H141" s="309">
        <v>545537</v>
      </c>
      <c r="I141" s="277" t="s">
        <v>1649</v>
      </c>
      <c r="J141" s="130">
        <v>5450932</v>
      </c>
      <c r="K141" s="130" t="s">
        <v>4775</v>
      </c>
      <c r="L141" s="310">
        <v>1.1507690548562817</v>
      </c>
      <c r="M141" s="311">
        <v>903</v>
      </c>
      <c r="N141" s="312">
        <v>784.69263332143976</v>
      </c>
      <c r="O141" s="311">
        <v>360</v>
      </c>
      <c r="P141" s="312">
        <v>2.5099999999999998</v>
      </c>
      <c r="Q141" s="311">
        <v>903</v>
      </c>
      <c r="R141" s="311">
        <v>41</v>
      </c>
      <c r="S141" s="311">
        <v>8</v>
      </c>
      <c r="T141" s="311">
        <v>30</v>
      </c>
      <c r="U141" s="311">
        <v>26</v>
      </c>
      <c r="V141" s="311">
        <v>7</v>
      </c>
      <c r="W141" s="311">
        <v>12</v>
      </c>
      <c r="X141" s="311">
        <v>1</v>
      </c>
      <c r="Y141" s="311">
        <v>37</v>
      </c>
      <c r="Z141" s="311">
        <v>13</v>
      </c>
      <c r="AA141" s="311">
        <v>38</v>
      </c>
      <c r="AB141" s="311">
        <v>59</v>
      </c>
      <c r="AC141" s="311">
        <v>30</v>
      </c>
      <c r="AD141" s="311">
        <v>36</v>
      </c>
      <c r="AE141" s="311">
        <v>16</v>
      </c>
      <c r="AF141" s="311">
        <v>6</v>
      </c>
      <c r="AG141" s="311">
        <v>0</v>
      </c>
      <c r="AH141" s="312">
        <v>21.944444444444443</v>
      </c>
      <c r="AI141" s="312">
        <v>9.1666666666666661</v>
      </c>
      <c r="AJ141" s="312">
        <v>17.5</v>
      </c>
      <c r="AK141" s="312">
        <v>10.555555555555555</v>
      </c>
      <c r="AL141" s="312">
        <v>40.833333333333336</v>
      </c>
      <c r="AM141" s="311">
        <v>22592</v>
      </c>
      <c r="AN141" s="311">
        <v>50781</v>
      </c>
      <c r="AO141" s="312">
        <v>45</v>
      </c>
      <c r="AP141" s="311">
        <v>360</v>
      </c>
      <c r="AQ141" s="311">
        <v>52</v>
      </c>
      <c r="AR141" s="311">
        <v>266</v>
      </c>
      <c r="AS141" s="311">
        <v>94</v>
      </c>
      <c r="AT141" s="311">
        <v>11</v>
      </c>
      <c r="AU141" s="311">
        <v>4</v>
      </c>
      <c r="AV141" s="311">
        <v>45</v>
      </c>
      <c r="AW141" s="311">
        <v>16</v>
      </c>
      <c r="AX141" s="311">
        <v>14</v>
      </c>
      <c r="AY141" s="311">
        <v>15</v>
      </c>
      <c r="AZ141" s="311">
        <v>25</v>
      </c>
      <c r="BA141" s="311">
        <v>6</v>
      </c>
      <c r="BB141" s="311">
        <v>9</v>
      </c>
      <c r="BC141" s="311">
        <v>97</v>
      </c>
      <c r="BD141" s="311">
        <v>0</v>
      </c>
      <c r="BE141" s="311">
        <v>0</v>
      </c>
      <c r="BF141" s="311">
        <v>86</v>
      </c>
      <c r="BG141" s="311">
        <v>2</v>
      </c>
      <c r="BH141" s="311">
        <v>0</v>
      </c>
      <c r="BI141" s="312">
        <v>19.166666666666668</v>
      </c>
      <c r="BJ141" s="313">
        <v>5.0999999999999996</v>
      </c>
      <c r="BK141" s="313">
        <v>3.4</v>
      </c>
      <c r="BL141" s="313">
        <v>7.3</v>
      </c>
      <c r="BM141" s="313">
        <v>8.1</v>
      </c>
      <c r="BN141" s="313">
        <v>6.1</v>
      </c>
      <c r="BO141" s="313">
        <v>5.2</v>
      </c>
      <c r="BP141" s="313">
        <v>6.5</v>
      </c>
      <c r="BQ141" s="313">
        <v>5.4</v>
      </c>
      <c r="BR141" s="313">
        <v>10.6</v>
      </c>
      <c r="BS141" s="313">
        <v>3.3</v>
      </c>
      <c r="BT141" s="313">
        <v>3</v>
      </c>
      <c r="BU141" s="313">
        <v>7.6</v>
      </c>
      <c r="BV141" s="313">
        <v>6.9</v>
      </c>
      <c r="BW141" s="313">
        <v>5.9</v>
      </c>
      <c r="BX141" s="313">
        <v>10.4</v>
      </c>
      <c r="BY141" s="313">
        <v>1.6</v>
      </c>
      <c r="BZ141" s="313">
        <v>0.3</v>
      </c>
      <c r="CA141" s="313">
        <v>3.2</v>
      </c>
      <c r="CB141" s="313">
        <v>15.8</v>
      </c>
      <c r="CC141" s="313">
        <v>62.699999999999996</v>
      </c>
      <c r="CD141" s="313">
        <v>21.400000000000002</v>
      </c>
    </row>
    <row r="142" spans="1:82" x14ac:dyDescent="0.25">
      <c r="A142" s="130" t="s">
        <v>4776</v>
      </c>
      <c r="B142" s="130" t="s">
        <v>186</v>
      </c>
      <c r="C142" s="130" t="s">
        <v>4777</v>
      </c>
      <c r="D142" s="130" t="s">
        <v>111</v>
      </c>
      <c r="E142" s="130" t="s">
        <v>4762</v>
      </c>
      <c r="F142" s="130" t="s">
        <v>4272</v>
      </c>
      <c r="G142" s="130" t="s">
        <v>4778</v>
      </c>
      <c r="H142" s="309">
        <v>540095</v>
      </c>
      <c r="I142" s="277" t="s">
        <v>1647</v>
      </c>
      <c r="J142" s="130">
        <v>5454892</v>
      </c>
      <c r="K142" s="130" t="s">
        <v>4779</v>
      </c>
      <c r="L142" s="310">
        <v>0.3357723566324074</v>
      </c>
      <c r="M142" s="311">
        <v>434</v>
      </c>
      <c r="N142" s="312">
        <v>1292.5423770817711</v>
      </c>
      <c r="O142" s="311">
        <v>167</v>
      </c>
      <c r="P142" s="312">
        <v>2.6</v>
      </c>
      <c r="Q142" s="311">
        <v>434</v>
      </c>
      <c r="R142" s="311">
        <v>3</v>
      </c>
      <c r="S142" s="311">
        <v>2</v>
      </c>
      <c r="T142" s="311">
        <v>2</v>
      </c>
      <c r="U142" s="311">
        <v>11</v>
      </c>
      <c r="V142" s="311">
        <v>3</v>
      </c>
      <c r="W142" s="311">
        <v>14</v>
      </c>
      <c r="X142" s="311">
        <v>5</v>
      </c>
      <c r="Y142" s="311">
        <v>1</v>
      </c>
      <c r="Z142" s="311">
        <v>5</v>
      </c>
      <c r="AA142" s="311">
        <v>3</v>
      </c>
      <c r="AB142" s="311">
        <v>21</v>
      </c>
      <c r="AC142" s="311">
        <v>34</v>
      </c>
      <c r="AD142" s="311">
        <v>12</v>
      </c>
      <c r="AE142" s="311">
        <v>13</v>
      </c>
      <c r="AF142" s="311">
        <v>19</v>
      </c>
      <c r="AG142" s="311">
        <v>19</v>
      </c>
      <c r="AH142" s="312">
        <v>4.1916167664670656</v>
      </c>
      <c r="AI142" s="312">
        <v>8.3832335329341312</v>
      </c>
      <c r="AJ142" s="312">
        <v>14.97005988023952</v>
      </c>
      <c r="AK142" s="312">
        <v>1.7964071856287425</v>
      </c>
      <c r="AL142" s="312">
        <v>70.658682634730539</v>
      </c>
      <c r="AM142" s="311">
        <v>41537</v>
      </c>
      <c r="AN142" s="311">
        <v>83750</v>
      </c>
      <c r="AO142" s="312">
        <v>24.550898203592812</v>
      </c>
      <c r="AP142" s="311">
        <v>167</v>
      </c>
      <c r="AQ142" s="311">
        <v>15</v>
      </c>
      <c r="AR142" s="311">
        <v>151</v>
      </c>
      <c r="AS142" s="311">
        <v>16</v>
      </c>
      <c r="AT142" s="311">
        <v>0</v>
      </c>
      <c r="AU142" s="311">
        <v>2</v>
      </c>
      <c r="AV142" s="311">
        <v>5</v>
      </c>
      <c r="AW142" s="311">
        <v>15</v>
      </c>
      <c r="AX142" s="311">
        <v>5</v>
      </c>
      <c r="AY142" s="311">
        <v>8</v>
      </c>
      <c r="AZ142" s="311">
        <v>5</v>
      </c>
      <c r="BA142" s="311">
        <v>0</v>
      </c>
      <c r="BB142" s="311">
        <v>6</v>
      </c>
      <c r="BC142" s="311">
        <v>18</v>
      </c>
      <c r="BD142" s="311">
        <v>3</v>
      </c>
      <c r="BE142" s="311">
        <v>2</v>
      </c>
      <c r="BF142" s="311">
        <v>92</v>
      </c>
      <c r="BG142" s="311">
        <v>5</v>
      </c>
      <c r="BH142" s="311">
        <v>0</v>
      </c>
      <c r="BI142" s="312">
        <v>12.574850299401197</v>
      </c>
      <c r="BJ142" s="313">
        <v>6.2</v>
      </c>
      <c r="BK142" s="313">
        <v>6.5</v>
      </c>
      <c r="BL142" s="313">
        <v>7.6</v>
      </c>
      <c r="BM142" s="313">
        <v>7.8</v>
      </c>
      <c r="BN142" s="313">
        <v>1.8</v>
      </c>
      <c r="BO142" s="313">
        <v>7.1</v>
      </c>
      <c r="BP142" s="313">
        <v>4.4000000000000004</v>
      </c>
      <c r="BQ142" s="313">
        <v>7.6</v>
      </c>
      <c r="BR142" s="313">
        <v>6.7</v>
      </c>
      <c r="BS142" s="313">
        <v>4.4000000000000004</v>
      </c>
      <c r="BT142" s="313">
        <v>4.8</v>
      </c>
      <c r="BU142" s="313">
        <v>10.4</v>
      </c>
      <c r="BV142" s="313">
        <v>5.5</v>
      </c>
      <c r="BW142" s="313">
        <v>3.5</v>
      </c>
      <c r="BX142" s="313">
        <v>5.3</v>
      </c>
      <c r="BY142" s="313">
        <v>4.4000000000000004</v>
      </c>
      <c r="BZ142" s="313">
        <v>3.9</v>
      </c>
      <c r="CA142" s="313">
        <v>2.1</v>
      </c>
      <c r="CB142" s="313">
        <v>20.299999999999997</v>
      </c>
      <c r="CC142" s="313">
        <v>60.5</v>
      </c>
      <c r="CD142" s="313">
        <v>19.200000000000003</v>
      </c>
    </row>
    <row r="143" spans="1:82" x14ac:dyDescent="0.25">
      <c r="A143" s="130" t="s">
        <v>4780</v>
      </c>
      <c r="B143" s="130" t="s">
        <v>335</v>
      </c>
      <c r="C143" s="130" t="s">
        <v>4781</v>
      </c>
      <c r="D143" s="130" t="s">
        <v>111</v>
      </c>
      <c r="E143" s="130" t="s">
        <v>4762</v>
      </c>
      <c r="F143" s="130" t="s">
        <v>4272</v>
      </c>
      <c r="G143" s="130" t="s">
        <v>4782</v>
      </c>
      <c r="H143" s="309">
        <v>545539</v>
      </c>
      <c r="I143" s="277" t="s">
        <v>1650</v>
      </c>
      <c r="J143" s="130">
        <v>5485900</v>
      </c>
      <c r="K143" s="130" t="s">
        <v>4783</v>
      </c>
      <c r="L143" s="310">
        <v>0.33734568175860447</v>
      </c>
      <c r="M143" s="311">
        <v>513</v>
      </c>
      <c r="N143" s="312">
        <v>1520.6953215636211</v>
      </c>
      <c r="O143" s="311">
        <v>199</v>
      </c>
      <c r="P143" s="312">
        <v>2.58</v>
      </c>
      <c r="Q143" s="311">
        <v>513</v>
      </c>
      <c r="R143" s="311">
        <v>17</v>
      </c>
      <c r="S143" s="311">
        <v>16</v>
      </c>
      <c r="T143" s="311">
        <v>14</v>
      </c>
      <c r="U143" s="311">
        <v>17</v>
      </c>
      <c r="V143" s="311">
        <v>9</v>
      </c>
      <c r="W143" s="311">
        <v>6</v>
      </c>
      <c r="X143" s="311">
        <v>8</v>
      </c>
      <c r="Y143" s="311">
        <v>9</v>
      </c>
      <c r="Z143" s="311">
        <v>0</v>
      </c>
      <c r="AA143" s="311">
        <v>24</v>
      </c>
      <c r="AB143" s="311">
        <v>40</v>
      </c>
      <c r="AC143" s="311">
        <v>17</v>
      </c>
      <c r="AD143" s="311">
        <v>20</v>
      </c>
      <c r="AE143" s="311">
        <v>1</v>
      </c>
      <c r="AF143" s="311">
        <v>1</v>
      </c>
      <c r="AG143" s="311">
        <v>0</v>
      </c>
      <c r="AH143" s="312">
        <v>23.618090452261306</v>
      </c>
      <c r="AI143" s="312">
        <v>13.06532663316583</v>
      </c>
      <c r="AJ143" s="312">
        <v>11.557788944723619</v>
      </c>
      <c r="AK143" s="312">
        <v>12.060301507537687</v>
      </c>
      <c r="AL143" s="312">
        <v>39.698492462311556</v>
      </c>
      <c r="AM143" s="311">
        <v>20195</v>
      </c>
      <c r="AN143" s="311">
        <v>52188</v>
      </c>
      <c r="AO143" s="312">
        <v>48.241206030150749</v>
      </c>
      <c r="AP143" s="311">
        <v>199</v>
      </c>
      <c r="AQ143" s="311">
        <v>68</v>
      </c>
      <c r="AR143" s="311">
        <v>141</v>
      </c>
      <c r="AS143" s="311">
        <v>58</v>
      </c>
      <c r="AT143" s="311">
        <v>7</v>
      </c>
      <c r="AU143" s="311">
        <v>11</v>
      </c>
      <c r="AV143" s="311">
        <v>25</v>
      </c>
      <c r="AW143" s="311">
        <v>8</v>
      </c>
      <c r="AX143" s="311">
        <v>9</v>
      </c>
      <c r="AY143" s="311">
        <v>13</v>
      </c>
      <c r="AZ143" s="311">
        <v>11</v>
      </c>
      <c r="BA143" s="311">
        <v>6</v>
      </c>
      <c r="BB143" s="311">
        <v>0</v>
      </c>
      <c r="BC143" s="311">
        <v>60</v>
      </c>
      <c r="BD143" s="311">
        <v>3</v>
      </c>
      <c r="BE143" s="311">
        <v>0</v>
      </c>
      <c r="BF143" s="311">
        <v>39</v>
      </c>
      <c r="BG143" s="311">
        <v>0</v>
      </c>
      <c r="BH143" s="311">
        <v>0</v>
      </c>
      <c r="BI143" s="312">
        <v>19.095477386934672</v>
      </c>
      <c r="BJ143" s="313">
        <v>5.0999999999999996</v>
      </c>
      <c r="BK143" s="313">
        <v>10.7</v>
      </c>
      <c r="BL143" s="313">
        <v>6.6</v>
      </c>
      <c r="BM143" s="313">
        <v>4.0999999999999996</v>
      </c>
      <c r="BN143" s="313">
        <v>6.4</v>
      </c>
      <c r="BO143" s="313">
        <v>7.2</v>
      </c>
      <c r="BP143" s="313">
        <v>10.3</v>
      </c>
      <c r="BQ143" s="313">
        <v>2.9</v>
      </c>
      <c r="BR143" s="313">
        <v>5.5</v>
      </c>
      <c r="BS143" s="313">
        <v>3.7</v>
      </c>
      <c r="BT143" s="313">
        <v>5.7</v>
      </c>
      <c r="BU143" s="313">
        <v>7.2</v>
      </c>
      <c r="BV143" s="313">
        <v>9.4</v>
      </c>
      <c r="BW143" s="313">
        <v>2.7</v>
      </c>
      <c r="BX143" s="313">
        <v>4.3</v>
      </c>
      <c r="BY143" s="313">
        <v>2.9</v>
      </c>
      <c r="BZ143" s="313">
        <v>2.2999999999999998</v>
      </c>
      <c r="CA143" s="313">
        <v>2.9</v>
      </c>
      <c r="CB143" s="313">
        <v>22.4</v>
      </c>
      <c r="CC143" s="313">
        <v>62.400000000000006</v>
      </c>
      <c r="CD143" s="313">
        <v>15.1</v>
      </c>
    </row>
    <row r="144" spans="1:82" s="322" customFormat="1" x14ac:dyDescent="0.25">
      <c r="A144" s="314" t="s">
        <v>4784</v>
      </c>
      <c r="B144" s="315" t="s">
        <v>348</v>
      </c>
      <c r="C144" s="314"/>
      <c r="D144" s="314"/>
      <c r="E144" s="314"/>
      <c r="F144" s="314"/>
      <c r="G144" s="314"/>
      <c r="H144" s="316"/>
      <c r="I144" s="317"/>
      <c r="J144" s="314">
        <v>54045</v>
      </c>
      <c r="K144" s="314" t="s">
        <v>4785</v>
      </c>
      <c r="L144" s="318">
        <v>455.31747182485509</v>
      </c>
      <c r="M144" s="319">
        <v>34428</v>
      </c>
      <c r="N144" s="320">
        <v>75.613175707966818</v>
      </c>
      <c r="O144" s="319">
        <v>13978</v>
      </c>
      <c r="P144" s="320">
        <v>2.42</v>
      </c>
      <c r="Q144" s="319">
        <v>33849</v>
      </c>
      <c r="R144" s="319">
        <v>1854</v>
      </c>
      <c r="S144" s="319">
        <v>970</v>
      </c>
      <c r="T144" s="319">
        <v>1161</v>
      </c>
      <c r="U144" s="319">
        <v>855</v>
      </c>
      <c r="V144" s="319">
        <v>1054</v>
      </c>
      <c r="W144" s="319">
        <v>758</v>
      </c>
      <c r="X144" s="319">
        <v>659</v>
      </c>
      <c r="Y144" s="319">
        <v>432</v>
      </c>
      <c r="Z144" s="319">
        <v>627</v>
      </c>
      <c r="AA144" s="319">
        <v>1317</v>
      </c>
      <c r="AB144" s="319">
        <v>1142</v>
      </c>
      <c r="AC144" s="319">
        <v>1589</v>
      </c>
      <c r="AD144" s="319">
        <v>657</v>
      </c>
      <c r="AE144" s="319">
        <v>469</v>
      </c>
      <c r="AF144" s="319">
        <v>244</v>
      </c>
      <c r="AG144" s="319">
        <v>190</v>
      </c>
      <c r="AH144" s="320">
        <v>28.509085706109598</v>
      </c>
      <c r="AI144" s="320">
        <v>13.657175561596796</v>
      </c>
      <c r="AJ144" s="320">
        <v>17.713549864072114</v>
      </c>
      <c r="AK144" s="320">
        <v>9.4219487766490193</v>
      </c>
      <c r="AL144" s="320">
        <v>30.698240091572472</v>
      </c>
      <c r="AM144" s="319">
        <v>21074</v>
      </c>
      <c r="AN144" s="319">
        <v>37859</v>
      </c>
      <c r="AO144" s="320">
        <v>55.394190871369297</v>
      </c>
      <c r="AP144" s="319">
        <v>13978</v>
      </c>
      <c r="AQ144" s="319">
        <v>2862</v>
      </c>
      <c r="AR144" s="319">
        <v>10337</v>
      </c>
      <c r="AS144" s="319">
        <v>3641</v>
      </c>
      <c r="AT144" s="319">
        <v>534</v>
      </c>
      <c r="AU144" s="319">
        <v>614</v>
      </c>
      <c r="AV144" s="319">
        <v>2048</v>
      </c>
      <c r="AW144" s="319">
        <v>1262</v>
      </c>
      <c r="AX144" s="319">
        <v>554</v>
      </c>
      <c r="AY144" s="319">
        <v>657</v>
      </c>
      <c r="AZ144" s="319">
        <v>1075</v>
      </c>
      <c r="BA144" s="319">
        <v>403</v>
      </c>
      <c r="BB144" s="319">
        <v>153</v>
      </c>
      <c r="BC144" s="319">
        <v>1859</v>
      </c>
      <c r="BD144" s="319">
        <v>412</v>
      </c>
      <c r="BE144" s="319">
        <v>62</v>
      </c>
      <c r="BF144" s="319">
        <v>2946</v>
      </c>
      <c r="BG144" s="319">
        <v>109</v>
      </c>
      <c r="BH144" s="319">
        <v>0</v>
      </c>
      <c r="BI144" s="320">
        <v>20.889969952782945</v>
      </c>
      <c r="BJ144" s="321">
        <v>5.6</v>
      </c>
      <c r="BK144" s="321">
        <v>4.7</v>
      </c>
      <c r="BL144" s="321">
        <v>6.9</v>
      </c>
      <c r="BM144" s="321">
        <v>5.4</v>
      </c>
      <c r="BN144" s="321">
        <v>5.4</v>
      </c>
      <c r="BO144" s="321">
        <v>5.5</v>
      </c>
      <c r="BP144" s="321">
        <v>5.7</v>
      </c>
      <c r="BQ144" s="321">
        <v>6.2</v>
      </c>
      <c r="BR144" s="321">
        <v>7.6</v>
      </c>
      <c r="BS144" s="321">
        <v>6.5</v>
      </c>
      <c r="BT144" s="321">
        <v>6.6</v>
      </c>
      <c r="BU144" s="321">
        <v>9.1999999999999993</v>
      </c>
      <c r="BV144" s="321">
        <v>7.3</v>
      </c>
      <c r="BW144" s="321">
        <v>7.1</v>
      </c>
      <c r="BX144" s="321">
        <v>3.6</v>
      </c>
      <c r="BY144" s="321">
        <v>2.2000000000000002</v>
      </c>
      <c r="BZ144" s="321">
        <v>2.2999999999999998</v>
      </c>
      <c r="CA144" s="321">
        <v>2.2999999999999998</v>
      </c>
      <c r="CB144" s="321">
        <v>17.200000000000003</v>
      </c>
      <c r="CC144" s="321">
        <v>65.399999999999991</v>
      </c>
      <c r="CD144" s="321">
        <v>17.5</v>
      </c>
    </row>
    <row r="145" spans="1:82" s="308" customFormat="1" x14ac:dyDescent="0.25">
      <c r="A145" s="301" t="s">
        <v>4786</v>
      </c>
      <c r="B145" s="301" t="s">
        <v>44</v>
      </c>
      <c r="C145" s="301" t="s">
        <v>4787</v>
      </c>
      <c r="D145" s="301" t="s">
        <v>45</v>
      </c>
      <c r="E145" s="301" t="s">
        <v>4788</v>
      </c>
      <c r="F145" s="301" t="s">
        <v>4272</v>
      </c>
      <c r="G145" s="301" t="s">
        <v>4789</v>
      </c>
      <c r="H145" s="302">
        <v>540097</v>
      </c>
      <c r="I145" s="303" t="s">
        <v>1486</v>
      </c>
      <c r="J145" s="301" t="s">
        <v>488</v>
      </c>
      <c r="K145" s="301" t="s">
        <v>488</v>
      </c>
      <c r="L145" s="304">
        <v>293.02215140405031</v>
      </c>
      <c r="M145" s="305">
        <v>27167</v>
      </c>
      <c r="N145" s="306">
        <v>92.713127215216005</v>
      </c>
      <c r="O145" s="305">
        <v>10860</v>
      </c>
      <c r="P145" s="306">
        <v>2.4825966850828731</v>
      </c>
      <c r="Q145" s="305">
        <v>26961</v>
      </c>
      <c r="R145" s="305">
        <v>692</v>
      </c>
      <c r="S145" s="305">
        <v>452</v>
      </c>
      <c r="T145" s="305">
        <v>571</v>
      </c>
      <c r="U145" s="305">
        <v>609</v>
      </c>
      <c r="V145" s="305">
        <v>739</v>
      </c>
      <c r="W145" s="305">
        <v>758</v>
      </c>
      <c r="X145" s="305">
        <v>517</v>
      </c>
      <c r="Y145" s="305">
        <v>358</v>
      </c>
      <c r="Z145" s="305">
        <v>365</v>
      </c>
      <c r="AA145" s="305">
        <v>932</v>
      </c>
      <c r="AB145" s="305">
        <v>1300</v>
      </c>
      <c r="AC145" s="305">
        <v>1360</v>
      </c>
      <c r="AD145" s="305">
        <v>905</v>
      </c>
      <c r="AE145" s="305">
        <v>491</v>
      </c>
      <c r="AF145" s="305">
        <v>535</v>
      </c>
      <c r="AG145" s="305">
        <v>276</v>
      </c>
      <c r="AH145" s="306">
        <v>15.791896869244937</v>
      </c>
      <c r="AI145" s="306">
        <v>12.412523020257826</v>
      </c>
      <c r="AJ145" s="306">
        <v>18.39779005524862</v>
      </c>
      <c r="AK145" s="306">
        <v>8.5819521178637199</v>
      </c>
      <c r="AL145" s="306">
        <v>44.815837937384899</v>
      </c>
      <c r="AM145" s="305">
        <v>25205</v>
      </c>
      <c r="AN145" s="305">
        <v>48158</v>
      </c>
      <c r="AO145" s="306">
        <v>43.241252302025785</v>
      </c>
      <c r="AP145" s="305">
        <v>10860</v>
      </c>
      <c r="AQ145" s="305">
        <v>1544</v>
      </c>
      <c r="AR145" s="305">
        <v>8983</v>
      </c>
      <c r="AS145" s="305">
        <v>1877</v>
      </c>
      <c r="AT145" s="305">
        <v>288</v>
      </c>
      <c r="AU145" s="305">
        <v>301</v>
      </c>
      <c r="AV145" s="305">
        <v>833</v>
      </c>
      <c r="AW145" s="305">
        <v>1085</v>
      </c>
      <c r="AX145" s="305">
        <v>361</v>
      </c>
      <c r="AY145" s="305">
        <v>607</v>
      </c>
      <c r="AZ145" s="305">
        <v>844</v>
      </c>
      <c r="BA145" s="305">
        <v>225</v>
      </c>
      <c r="BB145" s="305">
        <v>128</v>
      </c>
      <c r="BC145" s="305">
        <v>1772</v>
      </c>
      <c r="BD145" s="305">
        <v>342</v>
      </c>
      <c r="BE145" s="305">
        <v>56</v>
      </c>
      <c r="BF145" s="305">
        <v>3176</v>
      </c>
      <c r="BG145" s="305">
        <v>275</v>
      </c>
      <c r="BH145" s="305">
        <v>32</v>
      </c>
      <c r="BI145" s="306">
        <v>15.248618784530388</v>
      </c>
      <c r="BJ145" s="307">
        <v>5.9</v>
      </c>
      <c r="BK145" s="307">
        <v>5.6</v>
      </c>
      <c r="BL145" s="307">
        <v>5.3</v>
      </c>
      <c r="BM145" s="307">
        <v>6.5</v>
      </c>
      <c r="BN145" s="307">
        <v>8.1999999999999993</v>
      </c>
      <c r="BO145" s="307">
        <v>5.6</v>
      </c>
      <c r="BP145" s="307">
        <v>5.8</v>
      </c>
      <c r="BQ145" s="307">
        <v>5.7</v>
      </c>
      <c r="BR145" s="307">
        <v>6.5</v>
      </c>
      <c r="BS145" s="307">
        <v>6.5</v>
      </c>
      <c r="BT145" s="307">
        <v>6.3</v>
      </c>
      <c r="BU145" s="307">
        <v>6.4</v>
      </c>
      <c r="BV145" s="307">
        <v>7.5</v>
      </c>
      <c r="BW145" s="307">
        <v>6.6</v>
      </c>
      <c r="BX145" s="307">
        <v>4</v>
      </c>
      <c r="BY145" s="307">
        <v>2.9</v>
      </c>
      <c r="BZ145" s="307">
        <v>1.9</v>
      </c>
      <c r="CA145" s="307">
        <v>3</v>
      </c>
      <c r="CB145" s="307">
        <v>16.8</v>
      </c>
      <c r="CC145" s="307">
        <v>65</v>
      </c>
      <c r="CD145" s="307">
        <v>18.399999999999999</v>
      </c>
    </row>
    <row r="146" spans="1:82" x14ac:dyDescent="0.25">
      <c r="A146" s="130" t="s">
        <v>4790</v>
      </c>
      <c r="B146" s="130" t="s">
        <v>187</v>
      </c>
      <c r="C146" s="130" t="s">
        <v>4791</v>
      </c>
      <c r="D146" s="130" t="s">
        <v>45</v>
      </c>
      <c r="E146" s="130" t="s">
        <v>4788</v>
      </c>
      <c r="F146" s="130" t="s">
        <v>4272</v>
      </c>
      <c r="G146" s="130" t="s">
        <v>4792</v>
      </c>
      <c r="H146" s="309">
        <v>540098</v>
      </c>
      <c r="I146" s="277" t="s">
        <v>1487</v>
      </c>
      <c r="J146" s="130">
        <v>5404612</v>
      </c>
      <c r="K146" s="130" t="s">
        <v>4793</v>
      </c>
      <c r="L146" s="310">
        <v>0.70789840307260221</v>
      </c>
      <c r="M146" s="311">
        <v>1280</v>
      </c>
      <c r="N146" s="312">
        <v>1808.1690740425684</v>
      </c>
      <c r="O146" s="311">
        <v>539</v>
      </c>
      <c r="P146" s="312">
        <v>2.37</v>
      </c>
      <c r="Q146" s="311">
        <v>1280</v>
      </c>
      <c r="R146" s="311">
        <v>47</v>
      </c>
      <c r="S146" s="311">
        <v>17</v>
      </c>
      <c r="T146" s="311">
        <v>32</v>
      </c>
      <c r="U146" s="311">
        <v>23</v>
      </c>
      <c r="V146" s="311">
        <v>21</v>
      </c>
      <c r="W146" s="311">
        <v>30</v>
      </c>
      <c r="X146" s="311">
        <v>16</v>
      </c>
      <c r="Y146" s="311">
        <v>20</v>
      </c>
      <c r="Z146" s="311">
        <v>9</v>
      </c>
      <c r="AA146" s="311">
        <v>66</v>
      </c>
      <c r="AB146" s="311">
        <v>64</v>
      </c>
      <c r="AC146" s="311">
        <v>102</v>
      </c>
      <c r="AD146" s="311">
        <v>46</v>
      </c>
      <c r="AE146" s="311">
        <v>13</v>
      </c>
      <c r="AF146" s="311">
        <v>33</v>
      </c>
      <c r="AG146" s="311">
        <v>0</v>
      </c>
      <c r="AH146" s="312">
        <v>17.810760667903523</v>
      </c>
      <c r="AI146" s="312">
        <v>8.1632653061224492</v>
      </c>
      <c r="AJ146" s="312">
        <v>13.914656771799629</v>
      </c>
      <c r="AK146" s="312">
        <v>12.244897959183673</v>
      </c>
      <c r="AL146" s="312">
        <v>47.866419294990727</v>
      </c>
      <c r="AM146" s="311">
        <v>26880</v>
      </c>
      <c r="AN146" s="311">
        <v>58631</v>
      </c>
      <c r="AO146" s="312">
        <v>38.218923933209645</v>
      </c>
      <c r="AP146" s="311">
        <v>539</v>
      </c>
      <c r="AQ146" s="311">
        <v>54</v>
      </c>
      <c r="AR146" s="311">
        <v>440</v>
      </c>
      <c r="AS146" s="311">
        <v>99</v>
      </c>
      <c r="AT146" s="311">
        <v>4</v>
      </c>
      <c r="AU146" s="311">
        <v>14</v>
      </c>
      <c r="AV146" s="311">
        <v>59</v>
      </c>
      <c r="AW146" s="311">
        <v>29</v>
      </c>
      <c r="AX146" s="311">
        <v>4</v>
      </c>
      <c r="AY146" s="311">
        <v>41</v>
      </c>
      <c r="AZ146" s="311">
        <v>41</v>
      </c>
      <c r="BA146" s="311">
        <v>4</v>
      </c>
      <c r="BB146" s="311">
        <v>0</v>
      </c>
      <c r="BC146" s="311">
        <v>101</v>
      </c>
      <c r="BD146" s="311">
        <v>12</v>
      </c>
      <c r="BE146" s="311">
        <v>10</v>
      </c>
      <c r="BF146" s="311">
        <v>194</v>
      </c>
      <c r="BG146" s="311">
        <v>0</v>
      </c>
      <c r="BH146" s="311">
        <v>0</v>
      </c>
      <c r="BI146" s="312">
        <v>20.408163265306122</v>
      </c>
      <c r="BJ146" s="313">
        <v>4.9000000000000004</v>
      </c>
      <c r="BK146" s="313">
        <v>6.1</v>
      </c>
      <c r="BL146" s="313">
        <v>4.8</v>
      </c>
      <c r="BM146" s="313">
        <v>6.2</v>
      </c>
      <c r="BN146" s="313">
        <v>4.4000000000000004</v>
      </c>
      <c r="BO146" s="313">
        <v>5.9</v>
      </c>
      <c r="BP146" s="313">
        <v>4.5</v>
      </c>
      <c r="BQ146" s="313">
        <v>10.6</v>
      </c>
      <c r="BR146" s="313">
        <v>7.4</v>
      </c>
      <c r="BS146" s="313">
        <v>9.8000000000000007</v>
      </c>
      <c r="BT146" s="313">
        <v>7</v>
      </c>
      <c r="BU146" s="313">
        <v>4.5</v>
      </c>
      <c r="BV146" s="313">
        <v>5.3</v>
      </c>
      <c r="BW146" s="313">
        <v>4.5</v>
      </c>
      <c r="BX146" s="313">
        <v>3.4</v>
      </c>
      <c r="BY146" s="313">
        <v>4.5999999999999996</v>
      </c>
      <c r="BZ146" s="313">
        <v>4.7</v>
      </c>
      <c r="CA146" s="313">
        <v>1.4</v>
      </c>
      <c r="CB146" s="313">
        <v>15.8</v>
      </c>
      <c r="CC146" s="313">
        <v>65.599999999999994</v>
      </c>
      <c r="CD146" s="313">
        <v>18.599999999999998</v>
      </c>
    </row>
    <row r="147" spans="1:82" x14ac:dyDescent="0.25">
      <c r="A147" s="130" t="s">
        <v>4794</v>
      </c>
      <c r="B147" s="130" t="s">
        <v>188</v>
      </c>
      <c r="C147" s="130" t="s">
        <v>4795</v>
      </c>
      <c r="D147" s="130" t="s">
        <v>45</v>
      </c>
      <c r="E147" s="130" t="s">
        <v>4788</v>
      </c>
      <c r="F147" s="130" t="s">
        <v>4272</v>
      </c>
      <c r="G147" s="130" t="s">
        <v>4796</v>
      </c>
      <c r="H147" s="309">
        <v>540099</v>
      </c>
      <c r="I147" s="277" t="s">
        <v>1488</v>
      </c>
      <c r="J147" s="130">
        <v>5426452</v>
      </c>
      <c r="K147" s="130" t="s">
        <v>4797</v>
      </c>
      <c r="L147" s="310">
        <v>8.9676822129871372</v>
      </c>
      <c r="M147" s="311">
        <v>18575</v>
      </c>
      <c r="N147" s="312">
        <v>2071.3267440609566</v>
      </c>
      <c r="O147" s="311">
        <v>7490</v>
      </c>
      <c r="P147" s="312">
        <v>2.33</v>
      </c>
      <c r="Q147" s="311">
        <v>17488</v>
      </c>
      <c r="R147" s="311">
        <v>785</v>
      </c>
      <c r="S147" s="311">
        <v>681</v>
      </c>
      <c r="T147" s="311">
        <v>528</v>
      </c>
      <c r="U147" s="311">
        <v>509</v>
      </c>
      <c r="V147" s="311">
        <v>434</v>
      </c>
      <c r="W147" s="311">
        <v>485</v>
      </c>
      <c r="X147" s="311">
        <v>334</v>
      </c>
      <c r="Y147" s="311">
        <v>361</v>
      </c>
      <c r="Z147" s="311">
        <v>363</v>
      </c>
      <c r="AA147" s="311">
        <v>535</v>
      </c>
      <c r="AB147" s="311">
        <v>601</v>
      </c>
      <c r="AC147" s="311">
        <v>745</v>
      </c>
      <c r="AD147" s="311">
        <v>534</v>
      </c>
      <c r="AE147" s="311">
        <v>214</v>
      </c>
      <c r="AF147" s="311">
        <v>202</v>
      </c>
      <c r="AG147" s="311">
        <v>179</v>
      </c>
      <c r="AH147" s="312">
        <v>26.622162883845125</v>
      </c>
      <c r="AI147" s="312">
        <v>12.590120160213619</v>
      </c>
      <c r="AJ147" s="312">
        <v>20.600801068090789</v>
      </c>
      <c r="AK147" s="312">
        <v>7.1428571428571423</v>
      </c>
      <c r="AL147" s="312">
        <v>33.044058744993329</v>
      </c>
      <c r="AM147" s="311">
        <v>22718</v>
      </c>
      <c r="AN147" s="311">
        <v>39759</v>
      </c>
      <c r="AO147" s="312">
        <v>54.966622162883851</v>
      </c>
      <c r="AP147" s="311">
        <v>7490</v>
      </c>
      <c r="AQ147" s="311">
        <v>1421</v>
      </c>
      <c r="AR147" s="311">
        <v>4684</v>
      </c>
      <c r="AS147" s="311">
        <v>2806</v>
      </c>
      <c r="AT147" s="311">
        <v>174</v>
      </c>
      <c r="AU147" s="311">
        <v>239</v>
      </c>
      <c r="AV147" s="311">
        <v>1288</v>
      </c>
      <c r="AW147" s="311">
        <v>524</v>
      </c>
      <c r="AX147" s="311">
        <v>365</v>
      </c>
      <c r="AY147" s="311">
        <v>509</v>
      </c>
      <c r="AZ147" s="311">
        <v>529</v>
      </c>
      <c r="BA147" s="311">
        <v>350</v>
      </c>
      <c r="BB147" s="311">
        <v>136</v>
      </c>
      <c r="BC147" s="311">
        <v>846</v>
      </c>
      <c r="BD147" s="311">
        <v>238</v>
      </c>
      <c r="BE147" s="311">
        <v>29</v>
      </c>
      <c r="BF147" s="311">
        <v>1744</v>
      </c>
      <c r="BG147" s="311">
        <v>108</v>
      </c>
      <c r="BH147" s="311">
        <v>6</v>
      </c>
      <c r="BI147" s="312">
        <v>26.275033377837115</v>
      </c>
      <c r="BJ147" s="313">
        <v>7.3</v>
      </c>
      <c r="BK147" s="313">
        <v>6.5</v>
      </c>
      <c r="BL147" s="313">
        <v>3.7</v>
      </c>
      <c r="BM147" s="313">
        <v>7.5</v>
      </c>
      <c r="BN147" s="313">
        <v>13.1</v>
      </c>
      <c r="BO147" s="313">
        <v>6.4</v>
      </c>
      <c r="BP147" s="313">
        <v>6.3</v>
      </c>
      <c r="BQ147" s="313">
        <v>4.4000000000000004</v>
      </c>
      <c r="BR147" s="313">
        <v>6</v>
      </c>
      <c r="BS147" s="313">
        <v>5.9</v>
      </c>
      <c r="BT147" s="313">
        <v>4.9000000000000004</v>
      </c>
      <c r="BU147" s="313">
        <v>5.2</v>
      </c>
      <c r="BV147" s="313">
        <v>5.6</v>
      </c>
      <c r="BW147" s="313">
        <v>5</v>
      </c>
      <c r="BX147" s="313">
        <v>3.7</v>
      </c>
      <c r="BY147" s="313">
        <v>2.4</v>
      </c>
      <c r="BZ147" s="313">
        <v>2.4</v>
      </c>
      <c r="CA147" s="313">
        <v>3.8</v>
      </c>
      <c r="CB147" s="313">
        <v>17.5</v>
      </c>
      <c r="CC147" s="313">
        <v>65.3</v>
      </c>
      <c r="CD147" s="313">
        <v>17.3</v>
      </c>
    </row>
    <row r="148" spans="1:82" x14ac:dyDescent="0.25">
      <c r="A148" s="130" t="s">
        <v>4798</v>
      </c>
      <c r="B148" s="130" t="s">
        <v>189</v>
      </c>
      <c r="C148" s="130" t="s">
        <v>4799</v>
      </c>
      <c r="D148" s="130" t="s">
        <v>45</v>
      </c>
      <c r="E148" s="130" t="s">
        <v>4788</v>
      </c>
      <c r="F148" s="130" t="s">
        <v>4272</v>
      </c>
      <c r="G148" s="130" t="s">
        <v>4800</v>
      </c>
      <c r="H148" s="309">
        <v>540100</v>
      </c>
      <c r="I148" s="277" t="s">
        <v>1489</v>
      </c>
      <c r="J148" s="130">
        <v>5426524</v>
      </c>
      <c r="K148" s="130" t="s">
        <v>4801</v>
      </c>
      <c r="L148" s="310">
        <v>0.27949956599010178</v>
      </c>
      <c r="M148" s="311">
        <v>420</v>
      </c>
      <c r="N148" s="312">
        <v>1502.6856965311849</v>
      </c>
      <c r="O148" s="311">
        <v>147</v>
      </c>
      <c r="P148" s="312">
        <v>2.86</v>
      </c>
      <c r="Q148" s="311">
        <v>420</v>
      </c>
      <c r="R148" s="311">
        <v>5</v>
      </c>
      <c r="S148" s="311">
        <v>3</v>
      </c>
      <c r="T148" s="311">
        <v>11</v>
      </c>
      <c r="U148" s="311">
        <v>15</v>
      </c>
      <c r="V148" s="311">
        <v>2</v>
      </c>
      <c r="W148" s="311">
        <v>10</v>
      </c>
      <c r="X148" s="311">
        <v>7</v>
      </c>
      <c r="Y148" s="311">
        <v>10</v>
      </c>
      <c r="Z148" s="311">
        <v>4</v>
      </c>
      <c r="AA148" s="311">
        <v>25</v>
      </c>
      <c r="AB148" s="311">
        <v>29</v>
      </c>
      <c r="AC148" s="311">
        <v>17</v>
      </c>
      <c r="AD148" s="311">
        <v>9</v>
      </c>
      <c r="AE148" s="311">
        <v>0</v>
      </c>
      <c r="AF148" s="311">
        <v>0</v>
      </c>
      <c r="AG148" s="311">
        <v>0</v>
      </c>
      <c r="AH148" s="312">
        <v>12.925170068027212</v>
      </c>
      <c r="AI148" s="312">
        <v>11.564625850340136</v>
      </c>
      <c r="AJ148" s="312">
        <v>21.088435374149661</v>
      </c>
      <c r="AK148" s="312">
        <v>17.006802721088434</v>
      </c>
      <c r="AL148" s="312">
        <v>37.414965986394563</v>
      </c>
      <c r="AM148" s="311">
        <v>18429</v>
      </c>
      <c r="AN148" s="311">
        <v>51083</v>
      </c>
      <c r="AO148" s="312">
        <v>42.857142857142854</v>
      </c>
      <c r="AP148" s="311">
        <v>147</v>
      </c>
      <c r="AQ148" s="311">
        <v>35</v>
      </c>
      <c r="AR148" s="311">
        <v>123</v>
      </c>
      <c r="AS148" s="311">
        <v>24</v>
      </c>
      <c r="AT148" s="311">
        <v>7</v>
      </c>
      <c r="AU148" s="311">
        <v>3</v>
      </c>
      <c r="AV148" s="311">
        <v>4</v>
      </c>
      <c r="AW148" s="311">
        <v>19</v>
      </c>
      <c r="AX148" s="311">
        <v>3</v>
      </c>
      <c r="AY148" s="311">
        <v>5</v>
      </c>
      <c r="AZ148" s="311">
        <v>16</v>
      </c>
      <c r="BA148" s="311">
        <v>5</v>
      </c>
      <c r="BB148" s="311">
        <v>0</v>
      </c>
      <c r="BC148" s="311">
        <v>47</v>
      </c>
      <c r="BD148" s="311">
        <v>2</v>
      </c>
      <c r="BE148" s="311">
        <v>5</v>
      </c>
      <c r="BF148" s="311">
        <v>26</v>
      </c>
      <c r="BG148" s="311">
        <v>0</v>
      </c>
      <c r="BH148" s="311">
        <v>0</v>
      </c>
      <c r="BI148" s="312">
        <v>9.5238095238095237</v>
      </c>
      <c r="BJ148" s="313">
        <v>7.1</v>
      </c>
      <c r="BK148" s="313">
        <v>6.9</v>
      </c>
      <c r="BL148" s="313">
        <v>1.9</v>
      </c>
      <c r="BM148" s="313">
        <v>9</v>
      </c>
      <c r="BN148" s="313">
        <v>8.6</v>
      </c>
      <c r="BO148" s="313">
        <v>6</v>
      </c>
      <c r="BP148" s="313">
        <v>5.7</v>
      </c>
      <c r="BQ148" s="313">
        <v>4.5</v>
      </c>
      <c r="BR148" s="313">
        <v>6.9</v>
      </c>
      <c r="BS148" s="313">
        <v>6.4</v>
      </c>
      <c r="BT148" s="313">
        <v>4.8</v>
      </c>
      <c r="BU148" s="313">
        <v>2.1</v>
      </c>
      <c r="BV148" s="313">
        <v>6</v>
      </c>
      <c r="BW148" s="313">
        <v>7.6</v>
      </c>
      <c r="BX148" s="313">
        <v>3.8</v>
      </c>
      <c r="BY148" s="313">
        <v>5.2</v>
      </c>
      <c r="BZ148" s="313">
        <v>5.5</v>
      </c>
      <c r="CA148" s="313">
        <v>1.9</v>
      </c>
      <c r="CB148" s="313">
        <v>15.9</v>
      </c>
      <c r="CC148" s="313">
        <v>59.999999999999993</v>
      </c>
      <c r="CD148" s="313">
        <v>23.999999999999996</v>
      </c>
    </row>
    <row r="149" spans="1:82" x14ac:dyDescent="0.25">
      <c r="A149" s="130" t="s">
        <v>4802</v>
      </c>
      <c r="B149" s="130" t="s">
        <v>190</v>
      </c>
      <c r="C149" s="130" t="s">
        <v>4803</v>
      </c>
      <c r="D149" s="130" t="s">
        <v>45</v>
      </c>
      <c r="E149" s="130" t="s">
        <v>4788</v>
      </c>
      <c r="F149" s="130" t="s">
        <v>4272</v>
      </c>
      <c r="G149" s="130" t="s">
        <v>4804</v>
      </c>
      <c r="H149" s="309">
        <v>540101</v>
      </c>
      <c r="I149" s="277" t="s">
        <v>1490</v>
      </c>
      <c r="J149" s="130">
        <v>5426932</v>
      </c>
      <c r="K149" s="130" t="s">
        <v>4805</v>
      </c>
      <c r="L149" s="310">
        <v>0.42657561150347501</v>
      </c>
      <c r="M149" s="311">
        <v>425</v>
      </c>
      <c r="N149" s="312">
        <v>996.30637227964883</v>
      </c>
      <c r="O149" s="311">
        <v>147</v>
      </c>
      <c r="P149" s="312">
        <v>2.89</v>
      </c>
      <c r="Q149" s="311">
        <v>425</v>
      </c>
      <c r="R149" s="311">
        <v>4</v>
      </c>
      <c r="S149" s="311">
        <v>19</v>
      </c>
      <c r="T149" s="311">
        <v>16</v>
      </c>
      <c r="U149" s="311">
        <v>7</v>
      </c>
      <c r="V149" s="311">
        <v>5</v>
      </c>
      <c r="W149" s="311">
        <v>5</v>
      </c>
      <c r="X149" s="311">
        <v>9</v>
      </c>
      <c r="Y149" s="311">
        <v>12</v>
      </c>
      <c r="Z149" s="311">
        <v>9</v>
      </c>
      <c r="AA149" s="311">
        <v>6</v>
      </c>
      <c r="AB149" s="311">
        <v>13</v>
      </c>
      <c r="AC149" s="311">
        <v>19</v>
      </c>
      <c r="AD149" s="311">
        <v>5</v>
      </c>
      <c r="AE149" s="311">
        <v>3</v>
      </c>
      <c r="AF149" s="311">
        <v>13</v>
      </c>
      <c r="AG149" s="311">
        <v>2</v>
      </c>
      <c r="AH149" s="312">
        <v>26.530612244897959</v>
      </c>
      <c r="AI149" s="312">
        <v>8.1632653061224492</v>
      </c>
      <c r="AJ149" s="312">
        <v>23.809523809523807</v>
      </c>
      <c r="AK149" s="312">
        <v>4.0816326530612246</v>
      </c>
      <c r="AL149" s="312">
        <v>37.414965986394563</v>
      </c>
      <c r="AM149" s="311">
        <v>21489</v>
      </c>
      <c r="AN149" s="311">
        <v>43250</v>
      </c>
      <c r="AO149" s="312">
        <v>52.380952380952387</v>
      </c>
      <c r="AP149" s="311">
        <v>147</v>
      </c>
      <c r="AQ149" s="311">
        <v>31</v>
      </c>
      <c r="AR149" s="311">
        <v>124</v>
      </c>
      <c r="AS149" s="311">
        <v>23</v>
      </c>
      <c r="AT149" s="311">
        <v>5</v>
      </c>
      <c r="AU149" s="311">
        <v>7</v>
      </c>
      <c r="AV149" s="311">
        <v>27</v>
      </c>
      <c r="AW149" s="311">
        <v>8</v>
      </c>
      <c r="AX149" s="311">
        <v>5</v>
      </c>
      <c r="AY149" s="311">
        <v>4</v>
      </c>
      <c r="AZ149" s="311">
        <v>14</v>
      </c>
      <c r="BA149" s="311">
        <v>5</v>
      </c>
      <c r="BB149" s="311">
        <v>6</v>
      </c>
      <c r="BC149" s="311">
        <v>19</v>
      </c>
      <c r="BD149" s="311">
        <v>0</v>
      </c>
      <c r="BE149" s="311">
        <v>0</v>
      </c>
      <c r="BF149" s="311">
        <v>42</v>
      </c>
      <c r="BG149" s="311">
        <v>0</v>
      </c>
      <c r="BH149" s="311">
        <v>0</v>
      </c>
      <c r="BI149" s="312">
        <v>25.170068027210885</v>
      </c>
      <c r="BJ149" s="313">
        <v>8.1999999999999993</v>
      </c>
      <c r="BK149" s="313">
        <v>5.4</v>
      </c>
      <c r="BL149" s="313">
        <v>8.1999999999999993</v>
      </c>
      <c r="BM149" s="313">
        <v>9.1999999999999993</v>
      </c>
      <c r="BN149" s="313">
        <v>11.5</v>
      </c>
      <c r="BO149" s="313">
        <v>1.9</v>
      </c>
      <c r="BP149" s="313">
        <v>2.6</v>
      </c>
      <c r="BQ149" s="313">
        <v>9.6</v>
      </c>
      <c r="BR149" s="313">
        <v>7.3</v>
      </c>
      <c r="BS149" s="313">
        <v>11.8</v>
      </c>
      <c r="BT149" s="313">
        <v>2.1</v>
      </c>
      <c r="BU149" s="313">
        <v>2.8</v>
      </c>
      <c r="BV149" s="313">
        <v>4.5</v>
      </c>
      <c r="BW149" s="313">
        <v>5.2</v>
      </c>
      <c r="BX149" s="313">
        <v>2.6</v>
      </c>
      <c r="BY149" s="313">
        <v>3.1</v>
      </c>
      <c r="BZ149" s="313">
        <v>2.4</v>
      </c>
      <c r="CA149" s="313">
        <v>1.6</v>
      </c>
      <c r="CB149" s="313">
        <v>21.799999999999997</v>
      </c>
      <c r="CC149" s="313">
        <v>63.29999999999999</v>
      </c>
      <c r="CD149" s="313">
        <v>14.9</v>
      </c>
    </row>
    <row r="150" spans="1:82" x14ac:dyDescent="0.25">
      <c r="A150" s="130" t="s">
        <v>4806</v>
      </c>
      <c r="B150" s="130" t="s">
        <v>191</v>
      </c>
      <c r="C150" s="130" t="s">
        <v>4807</v>
      </c>
      <c r="D150" s="130" t="s">
        <v>45</v>
      </c>
      <c r="E150" s="130" t="s">
        <v>4788</v>
      </c>
      <c r="F150" s="130" t="s">
        <v>4272</v>
      </c>
      <c r="G150" s="130" t="s">
        <v>4808</v>
      </c>
      <c r="H150" s="309">
        <v>540102</v>
      </c>
      <c r="I150" s="277" t="s">
        <v>1491</v>
      </c>
      <c r="J150" s="130">
        <v>5432908</v>
      </c>
      <c r="K150" s="130" t="s">
        <v>4809</v>
      </c>
      <c r="L150" s="310">
        <v>0.54198775513836361</v>
      </c>
      <c r="M150" s="311">
        <v>541</v>
      </c>
      <c r="N150" s="312">
        <v>998.17753237227384</v>
      </c>
      <c r="O150" s="311">
        <v>236</v>
      </c>
      <c r="P150" s="312">
        <v>2.29</v>
      </c>
      <c r="Q150" s="311">
        <v>541</v>
      </c>
      <c r="R150" s="311">
        <v>25</v>
      </c>
      <c r="S150" s="311">
        <v>27</v>
      </c>
      <c r="T150" s="311">
        <v>33</v>
      </c>
      <c r="U150" s="311">
        <v>12</v>
      </c>
      <c r="V150" s="311">
        <v>14</v>
      </c>
      <c r="W150" s="311">
        <v>16</v>
      </c>
      <c r="X150" s="311">
        <v>10</v>
      </c>
      <c r="Y150" s="311">
        <v>7</v>
      </c>
      <c r="Z150" s="311">
        <v>15</v>
      </c>
      <c r="AA150" s="311">
        <v>31</v>
      </c>
      <c r="AB150" s="311">
        <v>28</v>
      </c>
      <c r="AC150" s="311">
        <v>4</v>
      </c>
      <c r="AD150" s="311">
        <v>10</v>
      </c>
      <c r="AE150" s="311">
        <v>2</v>
      </c>
      <c r="AF150" s="311">
        <v>0</v>
      </c>
      <c r="AG150" s="311">
        <v>2</v>
      </c>
      <c r="AH150" s="312">
        <v>36.016949152542374</v>
      </c>
      <c r="AI150" s="312">
        <v>11.016949152542372</v>
      </c>
      <c r="AJ150" s="312">
        <v>20.33898305084746</v>
      </c>
      <c r="AK150" s="312">
        <v>13.135593220338984</v>
      </c>
      <c r="AL150" s="312">
        <v>19.491525423728813</v>
      </c>
      <c r="AM150" s="311">
        <v>17364</v>
      </c>
      <c r="AN150" s="311">
        <v>33393</v>
      </c>
      <c r="AO150" s="312">
        <v>61.016949152542374</v>
      </c>
      <c r="AP150" s="311">
        <v>236</v>
      </c>
      <c r="AQ150" s="311">
        <v>20</v>
      </c>
      <c r="AR150" s="311">
        <v>196</v>
      </c>
      <c r="AS150" s="311">
        <v>40</v>
      </c>
      <c r="AT150" s="311">
        <v>20</v>
      </c>
      <c r="AU150" s="311">
        <v>24</v>
      </c>
      <c r="AV150" s="311">
        <v>39</v>
      </c>
      <c r="AW150" s="311">
        <v>30</v>
      </c>
      <c r="AX150" s="311">
        <v>3</v>
      </c>
      <c r="AY150" s="311">
        <v>9</v>
      </c>
      <c r="AZ150" s="311">
        <v>24</v>
      </c>
      <c r="BA150" s="311">
        <v>3</v>
      </c>
      <c r="BB150" s="311">
        <v>5</v>
      </c>
      <c r="BC150" s="311">
        <v>57</v>
      </c>
      <c r="BD150" s="311">
        <v>2</v>
      </c>
      <c r="BE150" s="311">
        <v>0</v>
      </c>
      <c r="BF150" s="311">
        <v>18</v>
      </c>
      <c r="BG150" s="311">
        <v>0</v>
      </c>
      <c r="BH150" s="311">
        <v>0</v>
      </c>
      <c r="BI150" s="312">
        <v>22.457627118644069</v>
      </c>
      <c r="BJ150" s="313">
        <v>4.8</v>
      </c>
      <c r="BK150" s="313">
        <v>7</v>
      </c>
      <c r="BL150" s="313">
        <v>6.7</v>
      </c>
      <c r="BM150" s="313">
        <v>6.5</v>
      </c>
      <c r="BN150" s="313">
        <v>4.3</v>
      </c>
      <c r="BO150" s="313">
        <v>3.7</v>
      </c>
      <c r="BP150" s="313">
        <v>5.5</v>
      </c>
      <c r="BQ150" s="313">
        <v>11.8</v>
      </c>
      <c r="BR150" s="313">
        <v>4.0999999999999996</v>
      </c>
      <c r="BS150" s="313">
        <v>3.9</v>
      </c>
      <c r="BT150" s="313">
        <v>4.5999999999999996</v>
      </c>
      <c r="BU150" s="313">
        <v>4.4000000000000004</v>
      </c>
      <c r="BV150" s="313">
        <v>13.1</v>
      </c>
      <c r="BW150" s="313">
        <v>7.8</v>
      </c>
      <c r="BX150" s="313">
        <v>5</v>
      </c>
      <c r="BY150" s="313">
        <v>2.2000000000000002</v>
      </c>
      <c r="BZ150" s="313">
        <v>1.3</v>
      </c>
      <c r="CA150" s="313">
        <v>3.3</v>
      </c>
      <c r="CB150" s="313">
        <v>18.5</v>
      </c>
      <c r="CC150" s="313">
        <v>61.9</v>
      </c>
      <c r="CD150" s="313">
        <v>19.600000000000001</v>
      </c>
    </row>
    <row r="151" spans="1:82" x14ac:dyDescent="0.25">
      <c r="A151" s="130" t="s">
        <v>4810</v>
      </c>
      <c r="B151" s="130" t="s">
        <v>192</v>
      </c>
      <c r="C151" s="130" t="s">
        <v>4811</v>
      </c>
      <c r="D151" s="130" t="s">
        <v>45</v>
      </c>
      <c r="E151" s="130" t="s">
        <v>4788</v>
      </c>
      <c r="F151" s="130" t="s">
        <v>4272</v>
      </c>
      <c r="G151" s="130" t="s">
        <v>4812</v>
      </c>
      <c r="H151" s="309">
        <v>540103</v>
      </c>
      <c r="I151" s="277" t="s">
        <v>1492</v>
      </c>
      <c r="J151" s="130">
        <v>5451100</v>
      </c>
      <c r="K151" s="130" t="s">
        <v>4813</v>
      </c>
      <c r="L151" s="310">
        <v>1.1383186508809959</v>
      </c>
      <c r="M151" s="311">
        <v>1822</v>
      </c>
      <c r="N151" s="312">
        <v>1600.6062964793491</v>
      </c>
      <c r="O151" s="311">
        <v>674</v>
      </c>
      <c r="P151" s="312">
        <v>2.7</v>
      </c>
      <c r="Q151" s="311">
        <v>1822</v>
      </c>
      <c r="R151" s="311">
        <v>25</v>
      </c>
      <c r="S151" s="311">
        <v>29</v>
      </c>
      <c r="T151" s="311">
        <v>51</v>
      </c>
      <c r="U151" s="311">
        <v>79</v>
      </c>
      <c r="V151" s="311">
        <v>61</v>
      </c>
      <c r="W151" s="311">
        <v>34</v>
      </c>
      <c r="X151" s="311">
        <v>24</v>
      </c>
      <c r="Y151" s="311">
        <v>8</v>
      </c>
      <c r="Z151" s="311">
        <v>25</v>
      </c>
      <c r="AA151" s="311">
        <v>126</v>
      </c>
      <c r="AB151" s="311">
        <v>33</v>
      </c>
      <c r="AC151" s="311">
        <v>96</v>
      </c>
      <c r="AD151" s="311">
        <v>55</v>
      </c>
      <c r="AE151" s="311">
        <v>16</v>
      </c>
      <c r="AF151" s="311">
        <v>8</v>
      </c>
      <c r="AG151" s="311">
        <v>4</v>
      </c>
      <c r="AH151" s="312">
        <v>15.578635014836795</v>
      </c>
      <c r="AI151" s="312">
        <v>20.771513353115729</v>
      </c>
      <c r="AJ151" s="312">
        <v>13.501483679525222</v>
      </c>
      <c r="AK151" s="312">
        <v>18.694362017804153</v>
      </c>
      <c r="AL151" s="312">
        <v>31.454005934718097</v>
      </c>
      <c r="AM151" s="311">
        <v>20421</v>
      </c>
      <c r="AN151" s="311">
        <v>50078</v>
      </c>
      <c r="AO151" s="312">
        <v>46.142433234421368</v>
      </c>
      <c r="AP151" s="311">
        <v>674</v>
      </c>
      <c r="AQ151" s="311">
        <v>149</v>
      </c>
      <c r="AR151" s="311">
        <v>531</v>
      </c>
      <c r="AS151" s="311">
        <v>143</v>
      </c>
      <c r="AT151" s="311">
        <v>17</v>
      </c>
      <c r="AU151" s="311">
        <v>10</v>
      </c>
      <c r="AV151" s="311">
        <v>43</v>
      </c>
      <c r="AW151" s="311">
        <v>97</v>
      </c>
      <c r="AX151" s="311">
        <v>33</v>
      </c>
      <c r="AY151" s="311">
        <v>44</v>
      </c>
      <c r="AZ151" s="311">
        <v>38</v>
      </c>
      <c r="BA151" s="311">
        <v>5</v>
      </c>
      <c r="BB151" s="311">
        <v>0</v>
      </c>
      <c r="BC151" s="311">
        <v>120</v>
      </c>
      <c r="BD151" s="311">
        <v>35</v>
      </c>
      <c r="BE151" s="311">
        <v>4</v>
      </c>
      <c r="BF151" s="311">
        <v>179</v>
      </c>
      <c r="BG151" s="311">
        <v>0</v>
      </c>
      <c r="BH151" s="311">
        <v>0</v>
      </c>
      <c r="BI151" s="312">
        <v>13.501483679525222</v>
      </c>
      <c r="BJ151" s="313">
        <v>6.3</v>
      </c>
      <c r="BK151" s="313">
        <v>6.4</v>
      </c>
      <c r="BL151" s="313">
        <v>4.2</v>
      </c>
      <c r="BM151" s="313">
        <v>7.5</v>
      </c>
      <c r="BN151" s="313">
        <v>4.8</v>
      </c>
      <c r="BO151" s="313">
        <v>4.5</v>
      </c>
      <c r="BP151" s="313">
        <v>5.3</v>
      </c>
      <c r="BQ151" s="313">
        <v>8</v>
      </c>
      <c r="BR151" s="313">
        <v>5.2</v>
      </c>
      <c r="BS151" s="313">
        <v>4.5</v>
      </c>
      <c r="BT151" s="313">
        <v>6.3</v>
      </c>
      <c r="BU151" s="313">
        <v>7.2</v>
      </c>
      <c r="BV151" s="313">
        <v>7.1</v>
      </c>
      <c r="BW151" s="313">
        <v>8.6999999999999993</v>
      </c>
      <c r="BX151" s="313">
        <v>4.4000000000000004</v>
      </c>
      <c r="BY151" s="313">
        <v>3.5</v>
      </c>
      <c r="BZ151" s="313">
        <v>2.6</v>
      </c>
      <c r="CA151" s="313">
        <v>3.6</v>
      </c>
      <c r="CB151" s="313">
        <v>16.899999999999999</v>
      </c>
      <c r="CC151" s="313">
        <v>60.400000000000006</v>
      </c>
      <c r="CD151" s="313">
        <v>22.800000000000004</v>
      </c>
    </row>
    <row r="152" spans="1:82" x14ac:dyDescent="0.25">
      <c r="A152" s="130" t="s">
        <v>4814</v>
      </c>
      <c r="B152" s="130" t="s">
        <v>193</v>
      </c>
      <c r="C152" s="130" t="s">
        <v>4815</v>
      </c>
      <c r="D152" s="130" t="s">
        <v>45</v>
      </c>
      <c r="E152" s="130" t="s">
        <v>4788</v>
      </c>
      <c r="F152" s="130" t="s">
        <v>4272</v>
      </c>
      <c r="G152" s="130" t="s">
        <v>4816</v>
      </c>
      <c r="H152" s="309">
        <v>540104</v>
      </c>
      <c r="I152" s="277" t="s">
        <v>1493</v>
      </c>
      <c r="J152" s="130">
        <v>5455276</v>
      </c>
      <c r="K152" s="130" t="s">
        <v>4817</v>
      </c>
      <c r="L152" s="310">
        <v>0.53212555544479379</v>
      </c>
      <c r="M152" s="311">
        <v>1131</v>
      </c>
      <c r="N152" s="312">
        <v>2125.4382324386174</v>
      </c>
      <c r="O152" s="311">
        <v>472</v>
      </c>
      <c r="P152" s="312">
        <v>2.39</v>
      </c>
      <c r="Q152" s="311">
        <v>1126</v>
      </c>
      <c r="R152" s="311">
        <v>17</v>
      </c>
      <c r="S152" s="311">
        <v>22</v>
      </c>
      <c r="T152" s="311">
        <v>26</v>
      </c>
      <c r="U152" s="311">
        <v>26</v>
      </c>
      <c r="V152" s="311">
        <v>42</v>
      </c>
      <c r="W152" s="311">
        <v>40</v>
      </c>
      <c r="X152" s="311">
        <v>25</v>
      </c>
      <c r="Y152" s="311">
        <v>47</v>
      </c>
      <c r="Z152" s="311">
        <v>32</v>
      </c>
      <c r="AA152" s="311">
        <v>24</v>
      </c>
      <c r="AB152" s="311">
        <v>55</v>
      </c>
      <c r="AC152" s="311">
        <v>60</v>
      </c>
      <c r="AD152" s="311">
        <v>39</v>
      </c>
      <c r="AE152" s="311">
        <v>12</v>
      </c>
      <c r="AF152" s="311">
        <v>0</v>
      </c>
      <c r="AG152" s="311">
        <v>5</v>
      </c>
      <c r="AH152" s="312">
        <v>13.771186440677965</v>
      </c>
      <c r="AI152" s="312">
        <v>14.40677966101695</v>
      </c>
      <c r="AJ152" s="312">
        <v>30.508474576271187</v>
      </c>
      <c r="AK152" s="312">
        <v>5.0847457627118651</v>
      </c>
      <c r="AL152" s="312">
        <v>36.228813559322035</v>
      </c>
      <c r="AM152" s="311">
        <v>26297</v>
      </c>
      <c r="AN152" s="311">
        <v>44196</v>
      </c>
      <c r="AO152" s="312">
        <v>51.906779661016941</v>
      </c>
      <c r="AP152" s="311">
        <v>472</v>
      </c>
      <c r="AQ152" s="311">
        <v>54</v>
      </c>
      <c r="AR152" s="311">
        <v>404</v>
      </c>
      <c r="AS152" s="311">
        <v>68</v>
      </c>
      <c r="AT152" s="311">
        <v>15</v>
      </c>
      <c r="AU152" s="311">
        <v>26</v>
      </c>
      <c r="AV152" s="311">
        <v>24</v>
      </c>
      <c r="AW152" s="311">
        <v>61</v>
      </c>
      <c r="AX152" s="311">
        <v>21</v>
      </c>
      <c r="AY152" s="311">
        <v>21</v>
      </c>
      <c r="AZ152" s="311">
        <v>74</v>
      </c>
      <c r="BA152" s="311">
        <v>20</v>
      </c>
      <c r="BB152" s="311">
        <v>6</v>
      </c>
      <c r="BC152" s="311">
        <v>77</v>
      </c>
      <c r="BD152" s="311">
        <v>2</v>
      </c>
      <c r="BE152" s="311">
        <v>0</v>
      </c>
      <c r="BF152" s="311">
        <v>98</v>
      </c>
      <c r="BG152" s="311">
        <v>18</v>
      </c>
      <c r="BH152" s="311">
        <v>0</v>
      </c>
      <c r="BI152" s="312">
        <v>10.805084745762713</v>
      </c>
      <c r="BJ152" s="313">
        <v>5.2</v>
      </c>
      <c r="BK152" s="313">
        <v>4.2</v>
      </c>
      <c r="BL152" s="313">
        <v>3.2</v>
      </c>
      <c r="BM152" s="313">
        <v>8.1999999999999993</v>
      </c>
      <c r="BN152" s="313">
        <v>8.6</v>
      </c>
      <c r="BO152" s="313">
        <v>3.8</v>
      </c>
      <c r="BP152" s="313">
        <v>6</v>
      </c>
      <c r="BQ152" s="313">
        <v>4.8</v>
      </c>
      <c r="BR152" s="313">
        <v>6.5</v>
      </c>
      <c r="BS152" s="313">
        <v>5.5</v>
      </c>
      <c r="BT152" s="313">
        <v>6.8</v>
      </c>
      <c r="BU152" s="313">
        <v>10.3</v>
      </c>
      <c r="BV152" s="313">
        <v>9.6</v>
      </c>
      <c r="BW152" s="313">
        <v>5.7</v>
      </c>
      <c r="BX152" s="313">
        <v>4.2</v>
      </c>
      <c r="BY152" s="313">
        <v>3.2</v>
      </c>
      <c r="BZ152" s="313">
        <v>2.9</v>
      </c>
      <c r="CA152" s="313">
        <v>1.2</v>
      </c>
      <c r="CB152" s="313">
        <v>12.600000000000001</v>
      </c>
      <c r="CC152" s="313">
        <v>70.099999999999994</v>
      </c>
      <c r="CD152" s="313">
        <v>17.2</v>
      </c>
    </row>
    <row r="153" spans="1:82" x14ac:dyDescent="0.25">
      <c r="A153" s="130" t="s">
        <v>4818</v>
      </c>
      <c r="B153" s="130" t="s">
        <v>329</v>
      </c>
      <c r="C153" s="130" t="s">
        <v>4819</v>
      </c>
      <c r="D153" s="130" t="s">
        <v>45</v>
      </c>
      <c r="E153" s="130" t="s">
        <v>4788</v>
      </c>
      <c r="F153" s="130" t="s">
        <v>4272</v>
      </c>
      <c r="G153" s="130" t="s">
        <v>4820</v>
      </c>
      <c r="H153" s="309">
        <v>540292</v>
      </c>
      <c r="I153" s="277" t="s">
        <v>1496</v>
      </c>
      <c r="J153" s="130">
        <v>5464228</v>
      </c>
      <c r="K153" s="130" t="s">
        <v>4821</v>
      </c>
      <c r="L153" s="310">
        <v>3.4043211429989064</v>
      </c>
      <c r="M153" s="311">
        <v>3175</v>
      </c>
      <c r="N153" s="312">
        <v>932.63821673507141</v>
      </c>
      <c r="O153" s="311">
        <v>1337</v>
      </c>
      <c r="P153" s="312">
        <v>2.34</v>
      </c>
      <c r="Q153" s="311">
        <v>3133</v>
      </c>
      <c r="R153" s="311">
        <v>58</v>
      </c>
      <c r="S153" s="311">
        <v>68</v>
      </c>
      <c r="T153" s="311">
        <v>98</v>
      </c>
      <c r="U153" s="311">
        <v>34</v>
      </c>
      <c r="V153" s="311">
        <v>67</v>
      </c>
      <c r="W153" s="311">
        <v>53</v>
      </c>
      <c r="X153" s="311">
        <v>105</v>
      </c>
      <c r="Y153" s="311">
        <v>75</v>
      </c>
      <c r="Z153" s="311">
        <v>92</v>
      </c>
      <c r="AA153" s="311">
        <v>125</v>
      </c>
      <c r="AB153" s="311">
        <v>95</v>
      </c>
      <c r="AC153" s="311">
        <v>173</v>
      </c>
      <c r="AD153" s="311">
        <v>104</v>
      </c>
      <c r="AE153" s="311">
        <v>35</v>
      </c>
      <c r="AF153" s="311">
        <v>79</v>
      </c>
      <c r="AG153" s="311">
        <v>76</v>
      </c>
      <c r="AH153" s="312">
        <v>16.753926701570681</v>
      </c>
      <c r="AI153" s="312">
        <v>7.5542258788332077</v>
      </c>
      <c r="AJ153" s="312">
        <v>24.308152580403888</v>
      </c>
      <c r="AK153" s="312">
        <v>9.3492894540014948</v>
      </c>
      <c r="AL153" s="312">
        <v>42.034405385190723</v>
      </c>
      <c r="AM153" s="311">
        <v>30074</v>
      </c>
      <c r="AN153" s="311">
        <v>51492</v>
      </c>
      <c r="AO153" s="312">
        <v>41.735228122662676</v>
      </c>
      <c r="AP153" s="311">
        <v>1337</v>
      </c>
      <c r="AQ153" s="311">
        <v>239</v>
      </c>
      <c r="AR153" s="311">
        <v>1039</v>
      </c>
      <c r="AS153" s="311">
        <v>298</v>
      </c>
      <c r="AT153" s="311">
        <v>32</v>
      </c>
      <c r="AU153" s="311">
        <v>51</v>
      </c>
      <c r="AV153" s="311">
        <v>141</v>
      </c>
      <c r="AW153" s="311">
        <v>90</v>
      </c>
      <c r="AX153" s="311">
        <v>33</v>
      </c>
      <c r="AY153" s="311">
        <v>22</v>
      </c>
      <c r="AZ153" s="311">
        <v>199</v>
      </c>
      <c r="BA153" s="311">
        <v>42</v>
      </c>
      <c r="BB153" s="311">
        <v>22</v>
      </c>
      <c r="BC153" s="311">
        <v>131</v>
      </c>
      <c r="BD153" s="311">
        <v>77</v>
      </c>
      <c r="BE153" s="311">
        <v>0</v>
      </c>
      <c r="BF153" s="311">
        <v>430</v>
      </c>
      <c r="BG153" s="311">
        <v>37</v>
      </c>
      <c r="BH153" s="311">
        <v>0</v>
      </c>
      <c r="BI153" s="312">
        <v>13.836948391922213</v>
      </c>
      <c r="BJ153" s="313">
        <v>5.4</v>
      </c>
      <c r="BK153" s="313">
        <v>5.3</v>
      </c>
      <c r="BL153" s="313">
        <v>3.5</v>
      </c>
      <c r="BM153" s="313">
        <v>8.9</v>
      </c>
      <c r="BN153" s="313">
        <v>5.8</v>
      </c>
      <c r="BO153" s="313">
        <v>7.3</v>
      </c>
      <c r="BP153" s="313">
        <v>8.3000000000000007</v>
      </c>
      <c r="BQ153" s="313">
        <v>3.1</v>
      </c>
      <c r="BR153" s="313">
        <v>4.9000000000000004</v>
      </c>
      <c r="BS153" s="313">
        <v>7.5</v>
      </c>
      <c r="BT153" s="313">
        <v>5.6</v>
      </c>
      <c r="BU153" s="313">
        <v>4.7</v>
      </c>
      <c r="BV153" s="313">
        <v>8</v>
      </c>
      <c r="BW153" s="313">
        <v>8.4</v>
      </c>
      <c r="BX153" s="313">
        <v>3.9</v>
      </c>
      <c r="BY153" s="313">
        <v>3.6</v>
      </c>
      <c r="BZ153" s="313">
        <v>2.2999999999999998</v>
      </c>
      <c r="CA153" s="313">
        <v>3.7</v>
      </c>
      <c r="CB153" s="313">
        <v>14.2</v>
      </c>
      <c r="CC153" s="313">
        <v>64.099999999999994</v>
      </c>
      <c r="CD153" s="313">
        <v>21.9</v>
      </c>
    </row>
    <row r="154" spans="1:82" x14ac:dyDescent="0.25">
      <c r="A154" s="130" t="s">
        <v>4822</v>
      </c>
      <c r="B154" s="130" t="s">
        <v>194</v>
      </c>
      <c r="C154" s="130" t="s">
        <v>4823</v>
      </c>
      <c r="D154" s="130" t="s">
        <v>45</v>
      </c>
      <c r="E154" s="130" t="s">
        <v>4788</v>
      </c>
      <c r="F154" s="130" t="s">
        <v>4272</v>
      </c>
      <c r="G154" s="130" t="s">
        <v>4824</v>
      </c>
      <c r="H154" s="309">
        <v>540105</v>
      </c>
      <c r="I154" s="277" t="s">
        <v>1494</v>
      </c>
      <c r="J154" s="130">
        <v>5468908</v>
      </c>
      <c r="K154" s="130" t="s">
        <v>4825</v>
      </c>
      <c r="L154" s="310">
        <v>0.59454182688220392</v>
      </c>
      <c r="M154" s="311">
        <v>1150</v>
      </c>
      <c r="N154" s="312">
        <v>1934.2625665727107</v>
      </c>
      <c r="O154" s="311">
        <v>408</v>
      </c>
      <c r="P154" s="312">
        <v>2.82</v>
      </c>
      <c r="Q154" s="311">
        <v>1150</v>
      </c>
      <c r="R154" s="311">
        <v>11</v>
      </c>
      <c r="S154" s="311">
        <v>15</v>
      </c>
      <c r="T154" s="311">
        <v>40</v>
      </c>
      <c r="U154" s="311">
        <v>56</v>
      </c>
      <c r="V154" s="311">
        <v>25</v>
      </c>
      <c r="W154" s="311">
        <v>7</v>
      </c>
      <c r="X154" s="311">
        <v>19</v>
      </c>
      <c r="Y154" s="311">
        <v>40</v>
      </c>
      <c r="Z154" s="311">
        <v>12</v>
      </c>
      <c r="AA154" s="311">
        <v>42</v>
      </c>
      <c r="AB154" s="311">
        <v>23</v>
      </c>
      <c r="AC154" s="311">
        <v>82</v>
      </c>
      <c r="AD154" s="311">
        <v>9</v>
      </c>
      <c r="AE154" s="311">
        <v>5</v>
      </c>
      <c r="AF154" s="311">
        <v>3</v>
      </c>
      <c r="AG154" s="311">
        <v>19</v>
      </c>
      <c r="AH154" s="312">
        <v>16.176470588235293</v>
      </c>
      <c r="AI154" s="312">
        <v>19.852941176470587</v>
      </c>
      <c r="AJ154" s="312">
        <v>19.117647058823529</v>
      </c>
      <c r="AK154" s="312">
        <v>10.294117647058822</v>
      </c>
      <c r="AL154" s="312">
        <v>34.558823529411761</v>
      </c>
      <c r="AM154" s="311">
        <v>19918</v>
      </c>
      <c r="AN154" s="311">
        <v>43125</v>
      </c>
      <c r="AO154" s="312">
        <v>52.205882352941181</v>
      </c>
      <c r="AP154" s="311">
        <v>408</v>
      </c>
      <c r="AQ154" s="311">
        <v>57</v>
      </c>
      <c r="AR154" s="311">
        <v>311</v>
      </c>
      <c r="AS154" s="311">
        <v>97</v>
      </c>
      <c r="AT154" s="311">
        <v>7</v>
      </c>
      <c r="AU154" s="311">
        <v>12</v>
      </c>
      <c r="AV154" s="311">
        <v>29</v>
      </c>
      <c r="AW154" s="311">
        <v>40</v>
      </c>
      <c r="AX154" s="311">
        <v>17</v>
      </c>
      <c r="AY154" s="311">
        <v>28</v>
      </c>
      <c r="AZ154" s="311">
        <v>39</v>
      </c>
      <c r="BA154" s="311">
        <v>23</v>
      </c>
      <c r="BB154" s="311">
        <v>3</v>
      </c>
      <c r="BC154" s="311">
        <v>47</v>
      </c>
      <c r="BD154" s="311">
        <v>0</v>
      </c>
      <c r="BE154" s="311">
        <v>18</v>
      </c>
      <c r="BF154" s="311">
        <v>101</v>
      </c>
      <c r="BG154" s="311">
        <v>17</v>
      </c>
      <c r="BH154" s="311">
        <v>0</v>
      </c>
      <c r="BI154" s="312">
        <v>19.117647058823529</v>
      </c>
      <c r="BJ154" s="313">
        <v>12.4</v>
      </c>
      <c r="BK154" s="313">
        <v>5.2</v>
      </c>
      <c r="BL154" s="313">
        <v>9.6999999999999993</v>
      </c>
      <c r="BM154" s="313">
        <v>7.1</v>
      </c>
      <c r="BN154" s="313">
        <v>6.2</v>
      </c>
      <c r="BO154" s="313">
        <v>3.9</v>
      </c>
      <c r="BP154" s="313">
        <v>5.5</v>
      </c>
      <c r="BQ154" s="313">
        <v>9.6999999999999993</v>
      </c>
      <c r="BR154" s="313">
        <v>5.2</v>
      </c>
      <c r="BS154" s="313">
        <v>5.2</v>
      </c>
      <c r="BT154" s="313">
        <v>5.6</v>
      </c>
      <c r="BU154" s="313">
        <v>7.6</v>
      </c>
      <c r="BV154" s="313">
        <v>3.7</v>
      </c>
      <c r="BW154" s="313">
        <v>5</v>
      </c>
      <c r="BX154" s="313">
        <v>3</v>
      </c>
      <c r="BY154" s="313">
        <v>2.9</v>
      </c>
      <c r="BZ154" s="313">
        <v>1.3</v>
      </c>
      <c r="CA154" s="313">
        <v>1</v>
      </c>
      <c r="CB154" s="313">
        <v>27.3</v>
      </c>
      <c r="CC154" s="313">
        <v>59.70000000000001</v>
      </c>
      <c r="CD154" s="313">
        <v>13.200000000000001</v>
      </c>
    </row>
    <row r="155" spans="1:82" x14ac:dyDescent="0.25">
      <c r="A155" s="130" t="s">
        <v>4826</v>
      </c>
      <c r="B155" s="130" t="s">
        <v>337</v>
      </c>
      <c r="C155" s="130" t="s">
        <v>4827</v>
      </c>
      <c r="D155" s="130" t="s">
        <v>45</v>
      </c>
      <c r="E155" s="130" t="s">
        <v>4788</v>
      </c>
      <c r="F155" s="130" t="s">
        <v>4272</v>
      </c>
      <c r="G155" s="130" t="s">
        <v>4828</v>
      </c>
      <c r="H155" s="309">
        <v>545556</v>
      </c>
      <c r="I155" s="277" t="s">
        <v>1497</v>
      </c>
      <c r="J155" s="130">
        <v>5486620</v>
      </c>
      <c r="K155" s="130" t="s">
        <v>4829</v>
      </c>
      <c r="L155" s="310">
        <v>1.052069572248042</v>
      </c>
      <c r="M155" s="311">
        <v>718</v>
      </c>
      <c r="N155" s="312">
        <v>682.46437207169811</v>
      </c>
      <c r="O155" s="311">
        <v>329</v>
      </c>
      <c r="P155" s="312">
        <v>2.1800000000000002</v>
      </c>
      <c r="Q155" s="311">
        <v>718</v>
      </c>
      <c r="R155" s="311">
        <v>9</v>
      </c>
      <c r="S155" s="311">
        <v>12</v>
      </c>
      <c r="T155" s="311">
        <v>14</v>
      </c>
      <c r="U155" s="311">
        <v>28</v>
      </c>
      <c r="V155" s="311">
        <v>11</v>
      </c>
      <c r="W155" s="311">
        <v>8</v>
      </c>
      <c r="X155" s="311">
        <v>29</v>
      </c>
      <c r="Y155" s="311">
        <v>21</v>
      </c>
      <c r="Z155" s="311">
        <v>23</v>
      </c>
      <c r="AA155" s="311">
        <v>14</v>
      </c>
      <c r="AB155" s="311">
        <v>42</v>
      </c>
      <c r="AC155" s="311">
        <v>62</v>
      </c>
      <c r="AD155" s="311">
        <v>13</v>
      </c>
      <c r="AE155" s="311">
        <v>30</v>
      </c>
      <c r="AF155" s="311">
        <v>12</v>
      </c>
      <c r="AG155" s="311">
        <v>1</v>
      </c>
      <c r="AH155" s="312">
        <v>10.638297872340425</v>
      </c>
      <c r="AI155" s="312">
        <v>11.854103343465045</v>
      </c>
      <c r="AJ155" s="312">
        <v>24.620060790273556</v>
      </c>
      <c r="AK155" s="312">
        <v>4.2553191489361701</v>
      </c>
      <c r="AL155" s="312">
        <v>48.632218844984806</v>
      </c>
      <c r="AM155" s="311">
        <v>31083</v>
      </c>
      <c r="AN155" s="311">
        <v>58125</v>
      </c>
      <c r="AO155" s="312">
        <v>40.121580547112465</v>
      </c>
      <c r="AP155" s="311">
        <v>329</v>
      </c>
      <c r="AQ155" s="311">
        <v>22</v>
      </c>
      <c r="AR155" s="311">
        <v>166</v>
      </c>
      <c r="AS155" s="311">
        <v>163</v>
      </c>
      <c r="AT155" s="311">
        <v>2</v>
      </c>
      <c r="AU155" s="311">
        <v>0</v>
      </c>
      <c r="AV155" s="311">
        <v>26</v>
      </c>
      <c r="AW155" s="311">
        <v>9</v>
      </c>
      <c r="AX155" s="311">
        <v>6</v>
      </c>
      <c r="AY155" s="311">
        <v>32</v>
      </c>
      <c r="AZ155" s="311">
        <v>15</v>
      </c>
      <c r="BA155" s="311">
        <v>50</v>
      </c>
      <c r="BB155" s="311">
        <v>5</v>
      </c>
      <c r="BC155" s="311">
        <v>38</v>
      </c>
      <c r="BD155" s="311">
        <v>10</v>
      </c>
      <c r="BE155" s="311">
        <v>8</v>
      </c>
      <c r="BF155" s="311">
        <v>115</v>
      </c>
      <c r="BG155" s="311">
        <v>3</v>
      </c>
      <c r="BH155" s="311">
        <v>0</v>
      </c>
      <c r="BI155" s="312">
        <v>21.580547112462007</v>
      </c>
      <c r="BJ155" s="313">
        <v>7.7</v>
      </c>
      <c r="BK155" s="313">
        <v>3.5</v>
      </c>
      <c r="BL155" s="313">
        <v>1.8</v>
      </c>
      <c r="BM155" s="313">
        <v>3.8</v>
      </c>
      <c r="BN155" s="313">
        <v>13.9</v>
      </c>
      <c r="BO155" s="313">
        <v>6.1</v>
      </c>
      <c r="BP155" s="313">
        <v>9.6999999999999993</v>
      </c>
      <c r="BQ155" s="313">
        <v>7.2</v>
      </c>
      <c r="BR155" s="313">
        <v>5.4</v>
      </c>
      <c r="BS155" s="313">
        <v>3.8</v>
      </c>
      <c r="BT155" s="313">
        <v>3.8</v>
      </c>
      <c r="BU155" s="313">
        <v>8.4</v>
      </c>
      <c r="BV155" s="313">
        <v>9.1</v>
      </c>
      <c r="BW155" s="313">
        <v>5.3</v>
      </c>
      <c r="BX155" s="313">
        <v>2.6</v>
      </c>
      <c r="BY155" s="313">
        <v>1.9</v>
      </c>
      <c r="BZ155" s="313">
        <v>2.5</v>
      </c>
      <c r="CA155" s="313">
        <v>3.5</v>
      </c>
      <c r="CB155" s="313">
        <v>13</v>
      </c>
      <c r="CC155" s="313">
        <v>71.199999999999989</v>
      </c>
      <c r="CD155" s="313">
        <v>15.8</v>
      </c>
    </row>
    <row r="156" spans="1:82" x14ac:dyDescent="0.25">
      <c r="A156" s="130" t="s">
        <v>4830</v>
      </c>
      <c r="B156" s="130" t="s">
        <v>195</v>
      </c>
      <c r="C156" s="130" t="s">
        <v>4831</v>
      </c>
      <c r="D156" s="130" t="s">
        <v>45</v>
      </c>
      <c r="E156" s="130" t="s">
        <v>4788</v>
      </c>
      <c r="F156" s="130" t="s">
        <v>4272</v>
      </c>
      <c r="G156" s="130" t="s">
        <v>4832</v>
      </c>
      <c r="H156" s="309">
        <v>540106</v>
      </c>
      <c r="I156" s="277" t="s">
        <v>1495</v>
      </c>
      <c r="J156" s="130">
        <v>5488708</v>
      </c>
      <c r="K156" s="130" t="s">
        <v>4833</v>
      </c>
      <c r="L156" s="310">
        <v>0.59805514893499434</v>
      </c>
      <c r="M156" s="311">
        <v>171</v>
      </c>
      <c r="N156" s="312">
        <v>285.926808429814</v>
      </c>
      <c r="O156" s="311">
        <v>79</v>
      </c>
      <c r="P156" s="312">
        <v>2.16</v>
      </c>
      <c r="Q156" s="311">
        <v>171</v>
      </c>
      <c r="R156" s="311">
        <v>7</v>
      </c>
      <c r="S156" s="311">
        <v>5</v>
      </c>
      <c r="T156" s="311">
        <v>22</v>
      </c>
      <c r="U156" s="311">
        <v>9</v>
      </c>
      <c r="V156" s="311">
        <v>13</v>
      </c>
      <c r="W156" s="311">
        <v>2</v>
      </c>
      <c r="X156" s="311">
        <v>7</v>
      </c>
      <c r="Y156" s="311">
        <v>0</v>
      </c>
      <c r="Z156" s="311">
        <v>0</v>
      </c>
      <c r="AA156" s="311">
        <v>9</v>
      </c>
      <c r="AB156" s="311">
        <v>5</v>
      </c>
      <c r="AC156" s="311">
        <v>0</v>
      </c>
      <c r="AD156" s="311">
        <v>0</v>
      </c>
      <c r="AE156" s="311">
        <v>0</v>
      </c>
      <c r="AF156" s="311">
        <v>0</v>
      </c>
      <c r="AG156" s="311">
        <v>0</v>
      </c>
      <c r="AH156" s="312">
        <v>43.037974683544306</v>
      </c>
      <c r="AI156" s="312">
        <v>27.848101265822784</v>
      </c>
      <c r="AJ156" s="312">
        <v>11.39240506329114</v>
      </c>
      <c r="AK156" s="312">
        <v>11.39240506329114</v>
      </c>
      <c r="AL156" s="312">
        <v>6.3291139240506329</v>
      </c>
      <c r="AM156" s="311">
        <v>12946</v>
      </c>
      <c r="AN156" s="311">
        <v>21719</v>
      </c>
      <c r="AO156" s="312">
        <v>82.278481012658233</v>
      </c>
      <c r="AP156" s="311">
        <v>79</v>
      </c>
      <c r="AQ156" s="311">
        <v>5</v>
      </c>
      <c r="AR156" s="311">
        <v>73</v>
      </c>
      <c r="AS156" s="311">
        <v>6</v>
      </c>
      <c r="AT156" s="311">
        <v>7</v>
      </c>
      <c r="AU156" s="311">
        <v>6</v>
      </c>
      <c r="AV156" s="311">
        <v>21</v>
      </c>
      <c r="AW156" s="311">
        <v>15</v>
      </c>
      <c r="AX156" s="311">
        <v>0</v>
      </c>
      <c r="AY156" s="311">
        <v>9</v>
      </c>
      <c r="AZ156" s="311">
        <v>5</v>
      </c>
      <c r="BA156" s="311">
        <v>2</v>
      </c>
      <c r="BB156" s="311">
        <v>0</v>
      </c>
      <c r="BC156" s="311">
        <v>12</v>
      </c>
      <c r="BD156" s="311">
        <v>2</v>
      </c>
      <c r="BE156" s="311">
        <v>0</v>
      </c>
      <c r="BF156" s="311">
        <v>0</v>
      </c>
      <c r="BG156" s="311">
        <v>0</v>
      </c>
      <c r="BH156" s="311">
        <v>0</v>
      </c>
      <c r="BI156" s="312">
        <v>37.974683544303801</v>
      </c>
      <c r="BJ156" s="313">
        <v>7</v>
      </c>
      <c r="BK156" s="313">
        <v>6.4</v>
      </c>
      <c r="BL156" s="313">
        <v>1.8</v>
      </c>
      <c r="BM156" s="313">
        <v>2.2999999999999998</v>
      </c>
      <c r="BN156" s="313">
        <v>3.5</v>
      </c>
      <c r="BO156" s="313">
        <v>4.7</v>
      </c>
      <c r="BP156" s="313">
        <v>7.6</v>
      </c>
      <c r="BQ156" s="313">
        <v>9.4</v>
      </c>
      <c r="BR156" s="313">
        <v>4.7</v>
      </c>
      <c r="BS156" s="313">
        <v>1.8</v>
      </c>
      <c r="BT156" s="313">
        <v>2.9</v>
      </c>
      <c r="BU156" s="313">
        <v>8.1999999999999993</v>
      </c>
      <c r="BV156" s="313">
        <v>6.4</v>
      </c>
      <c r="BW156" s="313">
        <v>12.3</v>
      </c>
      <c r="BX156" s="313">
        <v>11.1</v>
      </c>
      <c r="BY156" s="313">
        <v>4.0999999999999996</v>
      </c>
      <c r="BZ156" s="313">
        <v>1.8</v>
      </c>
      <c r="CA156" s="313">
        <v>4.0999999999999996</v>
      </c>
      <c r="CB156" s="313">
        <v>15.200000000000001</v>
      </c>
      <c r="CC156" s="313">
        <v>51.499999999999993</v>
      </c>
      <c r="CD156" s="313">
        <v>33.4</v>
      </c>
    </row>
    <row r="157" spans="1:82" s="322" customFormat="1" x14ac:dyDescent="0.25">
      <c r="A157" s="314" t="s">
        <v>4834</v>
      </c>
      <c r="B157" s="315" t="s">
        <v>348</v>
      </c>
      <c r="C157" s="314"/>
      <c r="D157" s="314"/>
      <c r="E157" s="314"/>
      <c r="F157" s="314"/>
      <c r="G157" s="314"/>
      <c r="H157" s="316"/>
      <c r="I157" s="317"/>
      <c r="J157" s="314">
        <v>54049</v>
      </c>
      <c r="K157" s="314" t="s">
        <v>4835</v>
      </c>
      <c r="L157" s="318">
        <v>311.26522685013191</v>
      </c>
      <c r="M157" s="319">
        <v>56575</v>
      </c>
      <c r="N157" s="320">
        <v>181.75817637104626</v>
      </c>
      <c r="O157" s="319">
        <v>22718</v>
      </c>
      <c r="P157" s="320">
        <v>2.4300000000000002</v>
      </c>
      <c r="Q157" s="319">
        <v>55235</v>
      </c>
      <c r="R157" s="319">
        <v>1685</v>
      </c>
      <c r="S157" s="319">
        <v>1350</v>
      </c>
      <c r="T157" s="319">
        <v>1442</v>
      </c>
      <c r="U157" s="319">
        <v>1407</v>
      </c>
      <c r="V157" s="319">
        <v>1434</v>
      </c>
      <c r="W157" s="319">
        <v>1448</v>
      </c>
      <c r="X157" s="319">
        <v>1102</v>
      </c>
      <c r="Y157" s="319">
        <v>959</v>
      </c>
      <c r="Z157" s="319">
        <v>949</v>
      </c>
      <c r="AA157" s="319">
        <v>1935</v>
      </c>
      <c r="AB157" s="319">
        <v>2288</v>
      </c>
      <c r="AC157" s="319">
        <v>2720</v>
      </c>
      <c r="AD157" s="319">
        <v>1729</v>
      </c>
      <c r="AE157" s="319">
        <v>821</v>
      </c>
      <c r="AF157" s="319">
        <v>885</v>
      </c>
      <c r="AG157" s="319">
        <v>564</v>
      </c>
      <c r="AH157" s="320">
        <v>19.706840390879478</v>
      </c>
      <c r="AI157" s="320">
        <v>12.505502244915926</v>
      </c>
      <c r="AJ157" s="320">
        <v>19.623206268157407</v>
      </c>
      <c r="AK157" s="320">
        <v>8.5174751298529809</v>
      </c>
      <c r="AL157" s="320">
        <v>39.646975966194212</v>
      </c>
      <c r="AM157" s="319">
        <v>25205</v>
      </c>
      <c r="AN157" s="319">
        <v>48158</v>
      </c>
      <c r="AO157" s="320">
        <v>47.65824456378202</v>
      </c>
      <c r="AP157" s="319">
        <v>22718</v>
      </c>
      <c r="AQ157" s="319">
        <v>3631</v>
      </c>
      <c r="AR157" s="319">
        <v>17074</v>
      </c>
      <c r="AS157" s="319">
        <v>5644</v>
      </c>
      <c r="AT157" s="319">
        <v>578</v>
      </c>
      <c r="AU157" s="319">
        <v>693</v>
      </c>
      <c r="AV157" s="319">
        <v>2534</v>
      </c>
      <c r="AW157" s="319">
        <v>2007</v>
      </c>
      <c r="AX157" s="319">
        <v>851</v>
      </c>
      <c r="AY157" s="319">
        <v>1331</v>
      </c>
      <c r="AZ157" s="319">
        <v>1838</v>
      </c>
      <c r="BA157" s="319">
        <v>734</v>
      </c>
      <c r="BB157" s="319">
        <v>311</v>
      </c>
      <c r="BC157" s="319">
        <v>3267</v>
      </c>
      <c r="BD157" s="319">
        <v>722</v>
      </c>
      <c r="BE157" s="319">
        <v>130</v>
      </c>
      <c r="BF157" s="319">
        <v>6123</v>
      </c>
      <c r="BG157" s="319">
        <v>458</v>
      </c>
      <c r="BH157" s="319">
        <v>38</v>
      </c>
      <c r="BI157" s="320">
        <v>19.121401531824986</v>
      </c>
      <c r="BJ157" s="321">
        <v>5.9</v>
      </c>
      <c r="BK157" s="321">
        <v>5.6</v>
      </c>
      <c r="BL157" s="321">
        <v>5.3</v>
      </c>
      <c r="BM157" s="321">
        <v>6.5</v>
      </c>
      <c r="BN157" s="321">
        <v>8.1999999999999993</v>
      </c>
      <c r="BO157" s="321">
        <v>5.6</v>
      </c>
      <c r="BP157" s="321">
        <v>5.8</v>
      </c>
      <c r="BQ157" s="321">
        <v>5.7</v>
      </c>
      <c r="BR157" s="321">
        <v>6.5</v>
      </c>
      <c r="BS157" s="321">
        <v>6.5</v>
      </c>
      <c r="BT157" s="321">
        <v>6.3</v>
      </c>
      <c r="BU157" s="321">
        <v>6.4</v>
      </c>
      <c r="BV157" s="321">
        <v>7.5</v>
      </c>
      <c r="BW157" s="321">
        <v>6.6</v>
      </c>
      <c r="BX157" s="321">
        <v>4</v>
      </c>
      <c r="BY157" s="321">
        <v>2.9</v>
      </c>
      <c r="BZ157" s="321">
        <v>1.9</v>
      </c>
      <c r="CA157" s="321">
        <v>3</v>
      </c>
      <c r="CB157" s="321">
        <v>16.8</v>
      </c>
      <c r="CC157" s="321">
        <v>65</v>
      </c>
      <c r="CD157" s="321">
        <v>18.399999999999999</v>
      </c>
    </row>
    <row r="158" spans="1:82" s="308" customFormat="1" x14ac:dyDescent="0.25">
      <c r="A158" s="301" t="s">
        <v>361</v>
      </c>
      <c r="B158" s="301" t="s">
        <v>46</v>
      </c>
      <c r="C158" s="301" t="s">
        <v>4836</v>
      </c>
      <c r="D158" s="301" t="s">
        <v>47</v>
      </c>
      <c r="E158" s="301" t="s">
        <v>4837</v>
      </c>
      <c r="F158" s="301" t="s">
        <v>4272</v>
      </c>
      <c r="G158" s="301" t="s">
        <v>4838</v>
      </c>
      <c r="H158" s="302">
        <v>540107</v>
      </c>
      <c r="I158" s="303" t="s">
        <v>1498</v>
      </c>
      <c r="J158" s="301" t="s">
        <v>488</v>
      </c>
      <c r="K158" s="301" t="s">
        <v>488</v>
      </c>
      <c r="L158" s="304">
        <v>303.51519883471241</v>
      </c>
      <c r="M158" s="305">
        <v>17512</v>
      </c>
      <c r="N158" s="306">
        <v>57.697275349748281</v>
      </c>
      <c r="O158" s="305">
        <v>6530</v>
      </c>
      <c r="P158" s="306">
        <v>2.6486983154670751</v>
      </c>
      <c r="Q158" s="305">
        <v>17296</v>
      </c>
      <c r="R158" s="305">
        <v>425</v>
      </c>
      <c r="S158" s="305">
        <v>173</v>
      </c>
      <c r="T158" s="305">
        <v>398</v>
      </c>
      <c r="U158" s="305">
        <v>347</v>
      </c>
      <c r="V158" s="305">
        <v>302</v>
      </c>
      <c r="W158" s="305">
        <v>279</v>
      </c>
      <c r="X158" s="305">
        <v>363</v>
      </c>
      <c r="Y158" s="305">
        <v>331</v>
      </c>
      <c r="Z158" s="305">
        <v>301</v>
      </c>
      <c r="AA158" s="305">
        <v>546</v>
      </c>
      <c r="AB158" s="305">
        <v>789</v>
      </c>
      <c r="AC158" s="305">
        <v>951</v>
      </c>
      <c r="AD158" s="305">
        <v>647</v>
      </c>
      <c r="AE158" s="305">
        <v>290</v>
      </c>
      <c r="AF158" s="305">
        <v>134</v>
      </c>
      <c r="AG158" s="305">
        <v>255</v>
      </c>
      <c r="AH158" s="306">
        <v>15.252679938744256</v>
      </c>
      <c r="AI158" s="306">
        <v>9.93874425727412</v>
      </c>
      <c r="AJ158" s="306">
        <v>19.509954058192953</v>
      </c>
      <c r="AK158" s="306">
        <v>8.3614088820826957</v>
      </c>
      <c r="AL158" s="306">
        <v>46.952526799387442</v>
      </c>
      <c r="AM158" s="305">
        <v>24043</v>
      </c>
      <c r="AN158" s="305">
        <v>42473</v>
      </c>
      <c r="AO158" s="306">
        <v>40.091883614088822</v>
      </c>
      <c r="AP158" s="305">
        <v>6530</v>
      </c>
      <c r="AQ158" s="305">
        <v>1790</v>
      </c>
      <c r="AR158" s="305">
        <v>5559</v>
      </c>
      <c r="AS158" s="305">
        <v>971</v>
      </c>
      <c r="AT158" s="305">
        <v>155</v>
      </c>
      <c r="AU158" s="305">
        <v>194</v>
      </c>
      <c r="AV158" s="305">
        <v>510</v>
      </c>
      <c r="AW158" s="305">
        <v>556</v>
      </c>
      <c r="AX158" s="305">
        <v>178</v>
      </c>
      <c r="AY158" s="305">
        <v>170</v>
      </c>
      <c r="AZ158" s="305">
        <v>731</v>
      </c>
      <c r="BA158" s="305">
        <v>137</v>
      </c>
      <c r="BB158" s="305">
        <v>77</v>
      </c>
      <c r="BC158" s="305">
        <v>1086</v>
      </c>
      <c r="BD158" s="305">
        <v>199</v>
      </c>
      <c r="BE158" s="305">
        <v>42</v>
      </c>
      <c r="BF158" s="305">
        <v>2073</v>
      </c>
      <c r="BG158" s="305">
        <v>188</v>
      </c>
      <c r="BH158" s="305">
        <v>0</v>
      </c>
      <c r="BI158" s="306">
        <v>12.23583460949464</v>
      </c>
      <c r="BJ158" s="307">
        <v>5.2</v>
      </c>
      <c r="BK158" s="307">
        <v>5.2</v>
      </c>
      <c r="BL158" s="307">
        <v>6.3</v>
      </c>
      <c r="BM158" s="307">
        <v>5.5</v>
      </c>
      <c r="BN158" s="307">
        <v>5.4</v>
      </c>
      <c r="BO158" s="307">
        <v>5.5</v>
      </c>
      <c r="BP158" s="307">
        <v>5.2</v>
      </c>
      <c r="BQ158" s="307">
        <v>5.9</v>
      </c>
      <c r="BR158" s="307">
        <v>5.8</v>
      </c>
      <c r="BS158" s="307">
        <v>6.3</v>
      </c>
      <c r="BT158" s="307">
        <v>7.3</v>
      </c>
      <c r="BU158" s="307">
        <v>7.4</v>
      </c>
      <c r="BV158" s="307">
        <v>8.8000000000000007</v>
      </c>
      <c r="BW158" s="307">
        <v>6.7</v>
      </c>
      <c r="BX158" s="307">
        <v>5.0999999999999996</v>
      </c>
      <c r="BY158" s="307">
        <v>3.6</v>
      </c>
      <c r="BZ158" s="307">
        <v>2.6</v>
      </c>
      <c r="CA158" s="307">
        <v>2.2000000000000002</v>
      </c>
      <c r="CB158" s="307">
        <v>16.7</v>
      </c>
      <c r="CC158" s="307">
        <v>63.099999999999994</v>
      </c>
      <c r="CD158" s="307">
        <v>20.2</v>
      </c>
    </row>
    <row r="159" spans="1:82" x14ac:dyDescent="0.25">
      <c r="A159" s="130" t="s">
        <v>4839</v>
      </c>
      <c r="B159" s="130" t="s">
        <v>196</v>
      </c>
      <c r="C159" s="130" t="s">
        <v>4840</v>
      </c>
      <c r="D159" s="130" t="s">
        <v>47</v>
      </c>
      <c r="E159" s="130" t="s">
        <v>4837</v>
      </c>
      <c r="F159" s="130" t="s">
        <v>4272</v>
      </c>
      <c r="G159" s="130" t="s">
        <v>4841</v>
      </c>
      <c r="H159" s="309">
        <v>540108</v>
      </c>
      <c r="I159" s="277" t="s">
        <v>1499</v>
      </c>
      <c r="J159" s="130">
        <v>5406340</v>
      </c>
      <c r="K159" s="130" t="s">
        <v>4842</v>
      </c>
      <c r="L159" s="310">
        <v>1.776338818004247</v>
      </c>
      <c r="M159" s="311">
        <v>1367</v>
      </c>
      <c r="N159" s="312">
        <v>769.56039362797492</v>
      </c>
      <c r="O159" s="311">
        <v>616</v>
      </c>
      <c r="P159" s="312">
        <v>2.2200000000000002</v>
      </c>
      <c r="Q159" s="311">
        <v>1367</v>
      </c>
      <c r="R159" s="311">
        <v>87</v>
      </c>
      <c r="S159" s="311">
        <v>50</v>
      </c>
      <c r="T159" s="311">
        <v>61</v>
      </c>
      <c r="U159" s="311">
        <v>69</v>
      </c>
      <c r="V159" s="311">
        <v>35</v>
      </c>
      <c r="W159" s="311">
        <v>48</v>
      </c>
      <c r="X159" s="311">
        <v>27</v>
      </c>
      <c r="Y159" s="311">
        <v>52</v>
      </c>
      <c r="Z159" s="311">
        <v>11</v>
      </c>
      <c r="AA159" s="311">
        <v>61</v>
      </c>
      <c r="AB159" s="311">
        <v>34</v>
      </c>
      <c r="AC159" s="311">
        <v>35</v>
      </c>
      <c r="AD159" s="311">
        <v>12</v>
      </c>
      <c r="AE159" s="311">
        <v>16</v>
      </c>
      <c r="AF159" s="311">
        <v>16</v>
      </c>
      <c r="AG159" s="311">
        <v>2</v>
      </c>
      <c r="AH159" s="312">
        <v>32.142857142857146</v>
      </c>
      <c r="AI159" s="312">
        <v>16.883116883116884</v>
      </c>
      <c r="AJ159" s="312">
        <v>22.402597402597401</v>
      </c>
      <c r="AK159" s="312">
        <v>9.9025974025974026</v>
      </c>
      <c r="AL159" s="312">
        <v>18.668831168831169</v>
      </c>
      <c r="AM159" s="311">
        <v>19303</v>
      </c>
      <c r="AN159" s="311">
        <v>30455</v>
      </c>
      <c r="AO159" s="312">
        <v>69.642857142857139</v>
      </c>
      <c r="AP159" s="311">
        <v>616</v>
      </c>
      <c r="AQ159" s="311">
        <v>145</v>
      </c>
      <c r="AR159" s="311">
        <v>332</v>
      </c>
      <c r="AS159" s="311">
        <v>284</v>
      </c>
      <c r="AT159" s="311">
        <v>17</v>
      </c>
      <c r="AU159" s="311">
        <v>51</v>
      </c>
      <c r="AV159" s="311">
        <v>100</v>
      </c>
      <c r="AW159" s="311">
        <v>75</v>
      </c>
      <c r="AX159" s="311">
        <v>47</v>
      </c>
      <c r="AY159" s="311">
        <v>24</v>
      </c>
      <c r="AZ159" s="311">
        <v>65</v>
      </c>
      <c r="BA159" s="311">
        <v>13</v>
      </c>
      <c r="BB159" s="311">
        <v>6</v>
      </c>
      <c r="BC159" s="311">
        <v>86</v>
      </c>
      <c r="BD159" s="311">
        <v>9</v>
      </c>
      <c r="BE159" s="311">
        <v>0</v>
      </c>
      <c r="BF159" s="311">
        <v>81</v>
      </c>
      <c r="BG159" s="311">
        <v>0</v>
      </c>
      <c r="BH159" s="311">
        <v>0</v>
      </c>
      <c r="BI159" s="312">
        <v>21.103896103896101</v>
      </c>
      <c r="BJ159" s="313">
        <v>6.2</v>
      </c>
      <c r="BK159" s="313">
        <v>5.9</v>
      </c>
      <c r="BL159" s="313">
        <v>7.7</v>
      </c>
      <c r="BM159" s="313">
        <v>3.7</v>
      </c>
      <c r="BN159" s="313">
        <v>5.0999999999999996</v>
      </c>
      <c r="BO159" s="313">
        <v>6.9</v>
      </c>
      <c r="BP159" s="313">
        <v>6.2</v>
      </c>
      <c r="BQ159" s="313">
        <v>8.6999999999999993</v>
      </c>
      <c r="BR159" s="313">
        <v>5.3</v>
      </c>
      <c r="BS159" s="313">
        <v>4.5</v>
      </c>
      <c r="BT159" s="313">
        <v>6.4</v>
      </c>
      <c r="BU159" s="313">
        <v>8.9</v>
      </c>
      <c r="BV159" s="313">
        <v>6.6</v>
      </c>
      <c r="BW159" s="313">
        <v>7.5</v>
      </c>
      <c r="BX159" s="313">
        <v>5</v>
      </c>
      <c r="BY159" s="313">
        <v>2</v>
      </c>
      <c r="BZ159" s="313">
        <v>1.2</v>
      </c>
      <c r="CA159" s="313">
        <v>2</v>
      </c>
      <c r="CB159" s="313">
        <v>19.8</v>
      </c>
      <c r="CC159" s="313">
        <v>62.3</v>
      </c>
      <c r="CD159" s="313">
        <v>17.7</v>
      </c>
    </row>
    <row r="160" spans="1:82" x14ac:dyDescent="0.25">
      <c r="A160" s="130" t="s">
        <v>4843</v>
      </c>
      <c r="B160" s="130" t="s">
        <v>326</v>
      </c>
      <c r="C160" s="130" t="s">
        <v>4844</v>
      </c>
      <c r="D160" s="130" t="s">
        <v>47</v>
      </c>
      <c r="E160" s="130" t="s">
        <v>4837</v>
      </c>
      <c r="F160" s="130" t="s">
        <v>4272</v>
      </c>
      <c r="G160" s="130" t="s">
        <v>4845</v>
      </c>
      <c r="H160" s="309">
        <v>540287</v>
      </c>
      <c r="I160" s="277" t="s">
        <v>1503</v>
      </c>
      <c r="J160" s="130">
        <v>5412484</v>
      </c>
      <c r="K160" s="130" t="s">
        <v>4846</v>
      </c>
      <c r="L160" s="310">
        <v>0.87011055267668258</v>
      </c>
      <c r="M160" s="311">
        <v>800</v>
      </c>
      <c r="N160" s="312">
        <v>919.4233968764031</v>
      </c>
      <c r="O160" s="311">
        <v>314</v>
      </c>
      <c r="P160" s="312">
        <v>2.5499999999999998</v>
      </c>
      <c r="Q160" s="311">
        <v>800</v>
      </c>
      <c r="R160" s="311">
        <v>54</v>
      </c>
      <c r="S160" s="311">
        <v>18</v>
      </c>
      <c r="T160" s="311">
        <v>35</v>
      </c>
      <c r="U160" s="311">
        <v>16</v>
      </c>
      <c r="V160" s="311">
        <v>36</v>
      </c>
      <c r="W160" s="311">
        <v>15</v>
      </c>
      <c r="X160" s="311">
        <v>18</v>
      </c>
      <c r="Y160" s="311">
        <v>12</v>
      </c>
      <c r="Z160" s="311">
        <v>6</v>
      </c>
      <c r="AA160" s="311">
        <v>49</v>
      </c>
      <c r="AB160" s="311">
        <v>16</v>
      </c>
      <c r="AC160" s="311">
        <v>14</v>
      </c>
      <c r="AD160" s="311">
        <v>16</v>
      </c>
      <c r="AE160" s="311">
        <v>5</v>
      </c>
      <c r="AF160" s="311">
        <v>4</v>
      </c>
      <c r="AG160" s="311">
        <v>0</v>
      </c>
      <c r="AH160" s="312">
        <v>34.076433121019107</v>
      </c>
      <c r="AI160" s="312">
        <v>16.560509554140125</v>
      </c>
      <c r="AJ160" s="312">
        <v>16.242038216560509</v>
      </c>
      <c r="AK160" s="312">
        <v>15.605095541401273</v>
      </c>
      <c r="AL160" s="312">
        <v>17.515923566878978</v>
      </c>
      <c r="AM160" s="311">
        <v>16142</v>
      </c>
      <c r="AN160" s="311">
        <v>29643</v>
      </c>
      <c r="AO160" s="312">
        <v>64.968152866242036</v>
      </c>
      <c r="AP160" s="311">
        <v>314</v>
      </c>
      <c r="AQ160" s="311">
        <v>247</v>
      </c>
      <c r="AR160" s="311">
        <v>239</v>
      </c>
      <c r="AS160" s="311">
        <v>75</v>
      </c>
      <c r="AT160" s="311">
        <v>28</v>
      </c>
      <c r="AU160" s="311">
        <v>19</v>
      </c>
      <c r="AV160" s="311">
        <v>43</v>
      </c>
      <c r="AW160" s="311">
        <v>28</v>
      </c>
      <c r="AX160" s="311">
        <v>28</v>
      </c>
      <c r="AY160" s="311">
        <v>11</v>
      </c>
      <c r="AZ160" s="311">
        <v>30</v>
      </c>
      <c r="BA160" s="311">
        <v>6</v>
      </c>
      <c r="BB160" s="311">
        <v>0</v>
      </c>
      <c r="BC160" s="311">
        <v>40</v>
      </c>
      <c r="BD160" s="311">
        <v>18</v>
      </c>
      <c r="BE160" s="311">
        <v>0</v>
      </c>
      <c r="BF160" s="311">
        <v>39</v>
      </c>
      <c r="BG160" s="311">
        <v>0</v>
      </c>
      <c r="BH160" s="311">
        <v>0</v>
      </c>
      <c r="BI160" s="312">
        <v>17.197452229299362</v>
      </c>
      <c r="BJ160" s="313">
        <v>2.4</v>
      </c>
      <c r="BK160" s="313">
        <v>10</v>
      </c>
      <c r="BL160" s="313">
        <v>8.5</v>
      </c>
      <c r="BM160" s="313">
        <v>6.5</v>
      </c>
      <c r="BN160" s="313">
        <v>4.0999999999999996</v>
      </c>
      <c r="BO160" s="313">
        <v>3.4</v>
      </c>
      <c r="BP160" s="313">
        <v>5.6</v>
      </c>
      <c r="BQ160" s="313">
        <v>8.9</v>
      </c>
      <c r="BR160" s="313">
        <v>5.4</v>
      </c>
      <c r="BS160" s="313">
        <v>7</v>
      </c>
      <c r="BT160" s="313">
        <v>8.9</v>
      </c>
      <c r="BU160" s="313">
        <v>5.9</v>
      </c>
      <c r="BV160" s="313">
        <v>7.4</v>
      </c>
      <c r="BW160" s="313">
        <v>3.8</v>
      </c>
      <c r="BX160" s="313">
        <v>3.5</v>
      </c>
      <c r="BY160" s="313">
        <v>3.8</v>
      </c>
      <c r="BZ160" s="313">
        <v>3.4</v>
      </c>
      <c r="CA160" s="313">
        <v>1.8</v>
      </c>
      <c r="CB160" s="313">
        <v>20.9</v>
      </c>
      <c r="CC160" s="313">
        <v>63.099999999999994</v>
      </c>
      <c r="CD160" s="313">
        <v>16.3</v>
      </c>
    </row>
    <row r="161" spans="1:82" x14ac:dyDescent="0.25">
      <c r="A161" s="130" t="s">
        <v>4847</v>
      </c>
      <c r="B161" s="130" t="s">
        <v>197</v>
      </c>
      <c r="C161" s="130" t="s">
        <v>4848</v>
      </c>
      <c r="D161" s="130" t="s">
        <v>47</v>
      </c>
      <c r="E161" s="130" t="s">
        <v>4837</v>
      </c>
      <c r="F161" s="130" t="s">
        <v>4272</v>
      </c>
      <c r="G161" s="130" t="s">
        <v>4849</v>
      </c>
      <c r="H161" s="309">
        <v>540109</v>
      </c>
      <c r="I161" s="277" t="s">
        <v>1500</v>
      </c>
      <c r="J161" s="130">
        <v>5431492</v>
      </c>
      <c r="K161" s="130" t="s">
        <v>4850</v>
      </c>
      <c r="L161" s="310">
        <v>1.1593245798632692</v>
      </c>
      <c r="M161" s="311">
        <v>1459</v>
      </c>
      <c r="N161" s="312">
        <v>1258.4913882978954</v>
      </c>
      <c r="O161" s="311">
        <v>648</v>
      </c>
      <c r="P161" s="312">
        <v>2.25</v>
      </c>
      <c r="Q161" s="311">
        <v>1459</v>
      </c>
      <c r="R161" s="311">
        <v>26</v>
      </c>
      <c r="S161" s="311">
        <v>28</v>
      </c>
      <c r="T161" s="311">
        <v>42</v>
      </c>
      <c r="U161" s="311">
        <v>61</v>
      </c>
      <c r="V161" s="311">
        <v>33</v>
      </c>
      <c r="W161" s="311">
        <v>39</v>
      </c>
      <c r="X161" s="311">
        <v>23</v>
      </c>
      <c r="Y161" s="311">
        <v>26</v>
      </c>
      <c r="Z161" s="311">
        <v>25</v>
      </c>
      <c r="AA161" s="311">
        <v>71</v>
      </c>
      <c r="AB161" s="311">
        <v>63</v>
      </c>
      <c r="AC161" s="311">
        <v>71</v>
      </c>
      <c r="AD161" s="311">
        <v>48</v>
      </c>
      <c r="AE161" s="311">
        <v>38</v>
      </c>
      <c r="AF161" s="311">
        <v>46</v>
      </c>
      <c r="AG161" s="311">
        <v>8</v>
      </c>
      <c r="AH161" s="312">
        <v>14.814814814814813</v>
      </c>
      <c r="AI161" s="312">
        <v>14.506172839506174</v>
      </c>
      <c r="AJ161" s="312">
        <v>17.438271604938272</v>
      </c>
      <c r="AK161" s="312">
        <v>10.956790123456789</v>
      </c>
      <c r="AL161" s="312">
        <v>42.283950617283949</v>
      </c>
      <c r="AM161" s="311">
        <v>30099</v>
      </c>
      <c r="AN161" s="311">
        <v>52625</v>
      </c>
      <c r="AO161" s="312">
        <v>42.901234567901234</v>
      </c>
      <c r="AP161" s="311">
        <v>648</v>
      </c>
      <c r="AQ161" s="311">
        <v>78</v>
      </c>
      <c r="AR161" s="311">
        <v>489</v>
      </c>
      <c r="AS161" s="311">
        <v>159</v>
      </c>
      <c r="AT161" s="311">
        <v>3</v>
      </c>
      <c r="AU161" s="311">
        <v>24</v>
      </c>
      <c r="AV161" s="311">
        <v>51</v>
      </c>
      <c r="AW161" s="311">
        <v>55</v>
      </c>
      <c r="AX161" s="311">
        <v>42</v>
      </c>
      <c r="AY161" s="311">
        <v>28</v>
      </c>
      <c r="AZ161" s="311">
        <v>61</v>
      </c>
      <c r="BA161" s="311">
        <v>3</v>
      </c>
      <c r="BB161" s="311">
        <v>6</v>
      </c>
      <c r="BC161" s="311">
        <v>115</v>
      </c>
      <c r="BD161" s="311">
        <v>19</v>
      </c>
      <c r="BE161" s="311">
        <v>0</v>
      </c>
      <c r="BF161" s="311">
        <v>206</v>
      </c>
      <c r="BG161" s="311">
        <v>2</v>
      </c>
      <c r="BH161" s="311">
        <v>0</v>
      </c>
      <c r="BI161" s="312">
        <v>13.117283950617283</v>
      </c>
      <c r="BJ161" s="313">
        <v>4.8</v>
      </c>
      <c r="BK161" s="313">
        <v>4.5999999999999996</v>
      </c>
      <c r="BL161" s="313">
        <v>3.6</v>
      </c>
      <c r="BM161" s="313">
        <v>3.6</v>
      </c>
      <c r="BN161" s="313">
        <v>4.7</v>
      </c>
      <c r="BO161" s="313">
        <v>6.4</v>
      </c>
      <c r="BP161" s="313">
        <v>5.7</v>
      </c>
      <c r="BQ161" s="313">
        <v>3.7</v>
      </c>
      <c r="BR161" s="313">
        <v>4</v>
      </c>
      <c r="BS161" s="313">
        <v>6.9</v>
      </c>
      <c r="BT161" s="313">
        <v>6.6</v>
      </c>
      <c r="BU161" s="313">
        <v>9.3000000000000007</v>
      </c>
      <c r="BV161" s="313">
        <v>9.9</v>
      </c>
      <c r="BW161" s="313">
        <v>9.9</v>
      </c>
      <c r="BX161" s="313">
        <v>3.9</v>
      </c>
      <c r="BY161" s="313">
        <v>6.2</v>
      </c>
      <c r="BZ161" s="313">
        <v>2.9</v>
      </c>
      <c r="CA161" s="313">
        <v>3.4</v>
      </c>
      <c r="CB161" s="313">
        <v>12.999999999999998</v>
      </c>
      <c r="CC161" s="313">
        <v>60.800000000000004</v>
      </c>
      <c r="CD161" s="313">
        <v>26.299999999999997</v>
      </c>
    </row>
    <row r="162" spans="1:82" x14ac:dyDescent="0.25">
      <c r="A162" s="130" t="s">
        <v>4851</v>
      </c>
      <c r="B162" s="130" t="s">
        <v>198</v>
      </c>
      <c r="C162" s="130" t="s">
        <v>4852</v>
      </c>
      <c r="D162" s="130" t="s">
        <v>47</v>
      </c>
      <c r="E162" s="130" t="s">
        <v>4837</v>
      </c>
      <c r="F162" s="130" t="s">
        <v>4272</v>
      </c>
      <c r="G162" s="130" t="s">
        <v>4853</v>
      </c>
      <c r="H162" s="309">
        <v>540110</v>
      </c>
      <c r="I162" s="277" t="s">
        <v>1501</v>
      </c>
      <c r="J162" s="130">
        <v>5450260</v>
      </c>
      <c r="K162" s="130" t="s">
        <v>4854</v>
      </c>
      <c r="L162" s="310">
        <v>0.807742840183577</v>
      </c>
      <c r="M162" s="311">
        <v>1772</v>
      </c>
      <c r="N162" s="312">
        <v>2193.7675109534548</v>
      </c>
      <c r="O162" s="311">
        <v>761</v>
      </c>
      <c r="P162" s="312">
        <v>2.33</v>
      </c>
      <c r="Q162" s="311">
        <v>1770</v>
      </c>
      <c r="R162" s="311">
        <v>61</v>
      </c>
      <c r="S162" s="311">
        <v>22</v>
      </c>
      <c r="T162" s="311">
        <v>74</v>
      </c>
      <c r="U162" s="311">
        <v>88</v>
      </c>
      <c r="V162" s="311">
        <v>56</v>
      </c>
      <c r="W162" s="311">
        <v>59</v>
      </c>
      <c r="X162" s="311">
        <v>46</v>
      </c>
      <c r="Y162" s="311">
        <v>40</v>
      </c>
      <c r="Z162" s="311">
        <v>55</v>
      </c>
      <c r="AA162" s="311">
        <v>64</v>
      </c>
      <c r="AB162" s="311">
        <v>64</v>
      </c>
      <c r="AC162" s="311">
        <v>60</v>
      </c>
      <c r="AD162" s="311">
        <v>36</v>
      </c>
      <c r="AE162" s="311">
        <v>7</v>
      </c>
      <c r="AF162" s="311">
        <v>17</v>
      </c>
      <c r="AG162" s="311">
        <v>12</v>
      </c>
      <c r="AH162" s="312">
        <v>20.630749014454665</v>
      </c>
      <c r="AI162" s="312">
        <v>18.922470433639948</v>
      </c>
      <c r="AJ162" s="312">
        <v>26.281208935611041</v>
      </c>
      <c r="AK162" s="312">
        <v>8.4099868593955325</v>
      </c>
      <c r="AL162" s="312">
        <v>25.75558475689882</v>
      </c>
      <c r="AM162" s="311">
        <v>24781</v>
      </c>
      <c r="AN162" s="311">
        <v>36349</v>
      </c>
      <c r="AO162" s="312">
        <v>58.607095926412612</v>
      </c>
      <c r="AP162" s="311">
        <v>761</v>
      </c>
      <c r="AQ162" s="311">
        <v>142</v>
      </c>
      <c r="AR162" s="311">
        <v>479</v>
      </c>
      <c r="AS162" s="311">
        <v>282</v>
      </c>
      <c r="AT162" s="311">
        <v>21</v>
      </c>
      <c r="AU162" s="311">
        <v>13</v>
      </c>
      <c r="AV162" s="311">
        <v>92</v>
      </c>
      <c r="AW162" s="311">
        <v>48</v>
      </c>
      <c r="AX162" s="311">
        <v>59</v>
      </c>
      <c r="AY162" s="311">
        <v>53</v>
      </c>
      <c r="AZ162" s="311">
        <v>72</v>
      </c>
      <c r="BA162" s="311">
        <v>69</v>
      </c>
      <c r="BB162" s="311">
        <v>0</v>
      </c>
      <c r="BC162" s="311">
        <v>108</v>
      </c>
      <c r="BD162" s="311">
        <v>15</v>
      </c>
      <c r="BE162" s="311">
        <v>0</v>
      </c>
      <c r="BF162" s="311">
        <v>111</v>
      </c>
      <c r="BG162" s="311">
        <v>0</v>
      </c>
      <c r="BH162" s="311">
        <v>0</v>
      </c>
      <c r="BI162" s="312">
        <v>19.053876478318003</v>
      </c>
      <c r="BJ162" s="313">
        <v>6.4</v>
      </c>
      <c r="BK162" s="313">
        <v>3.1</v>
      </c>
      <c r="BL162" s="313">
        <v>8.1999999999999993</v>
      </c>
      <c r="BM162" s="313">
        <v>7</v>
      </c>
      <c r="BN162" s="313">
        <v>7.8</v>
      </c>
      <c r="BO162" s="313">
        <v>6.5</v>
      </c>
      <c r="BP162" s="313">
        <v>7.4</v>
      </c>
      <c r="BQ162" s="313">
        <v>4</v>
      </c>
      <c r="BR162" s="313">
        <v>8.8000000000000007</v>
      </c>
      <c r="BS162" s="313">
        <v>7.9</v>
      </c>
      <c r="BT162" s="313">
        <v>4.3</v>
      </c>
      <c r="BU162" s="313">
        <v>8</v>
      </c>
      <c r="BV162" s="313">
        <v>4.9000000000000004</v>
      </c>
      <c r="BW162" s="313">
        <v>4.3</v>
      </c>
      <c r="BX162" s="313">
        <v>3.2</v>
      </c>
      <c r="BY162" s="313">
        <v>1.5</v>
      </c>
      <c r="BZ162" s="313">
        <v>3.3</v>
      </c>
      <c r="CA162" s="313">
        <v>3.4</v>
      </c>
      <c r="CB162" s="313">
        <v>17.7</v>
      </c>
      <c r="CC162" s="313">
        <v>66.599999999999994</v>
      </c>
      <c r="CD162" s="313">
        <v>15.700000000000001</v>
      </c>
    </row>
    <row r="163" spans="1:82" x14ac:dyDescent="0.25">
      <c r="A163" s="130" t="s">
        <v>4855</v>
      </c>
      <c r="B163" s="130" t="s">
        <v>199</v>
      </c>
      <c r="C163" s="130" t="s">
        <v>4856</v>
      </c>
      <c r="D163" s="130" t="s">
        <v>47</v>
      </c>
      <c r="E163" s="130" t="s">
        <v>4837</v>
      </c>
      <c r="F163" s="130" t="s">
        <v>4272</v>
      </c>
      <c r="G163" s="130" t="s">
        <v>4857</v>
      </c>
      <c r="H163" s="309">
        <v>540111</v>
      </c>
      <c r="I163" s="277" t="s">
        <v>1502</v>
      </c>
      <c r="J163" s="130">
        <v>5456020</v>
      </c>
      <c r="K163" s="130" t="s">
        <v>4858</v>
      </c>
      <c r="L163" s="310">
        <v>3.3176638774467127</v>
      </c>
      <c r="M163" s="311">
        <v>8737</v>
      </c>
      <c r="N163" s="312">
        <v>2633.4795575264934</v>
      </c>
      <c r="O163" s="311">
        <v>3666</v>
      </c>
      <c r="P163" s="312">
        <v>2.33</v>
      </c>
      <c r="Q163" s="311">
        <v>8552</v>
      </c>
      <c r="R163" s="311">
        <v>495</v>
      </c>
      <c r="S163" s="311">
        <v>183</v>
      </c>
      <c r="T163" s="311">
        <v>417</v>
      </c>
      <c r="U163" s="311">
        <v>513</v>
      </c>
      <c r="V163" s="311">
        <v>190</v>
      </c>
      <c r="W163" s="311">
        <v>270</v>
      </c>
      <c r="X163" s="311">
        <v>178</v>
      </c>
      <c r="Y163" s="311">
        <v>211</v>
      </c>
      <c r="Z163" s="311">
        <v>124</v>
      </c>
      <c r="AA163" s="311">
        <v>231</v>
      </c>
      <c r="AB163" s="311">
        <v>285</v>
      </c>
      <c r="AC163" s="311">
        <v>292</v>
      </c>
      <c r="AD163" s="311">
        <v>135</v>
      </c>
      <c r="AE163" s="311">
        <v>66</v>
      </c>
      <c r="AF163" s="311">
        <v>53</v>
      </c>
      <c r="AG163" s="311">
        <v>23</v>
      </c>
      <c r="AH163" s="312">
        <v>29.869067103109657</v>
      </c>
      <c r="AI163" s="312">
        <v>19.176213857064923</v>
      </c>
      <c r="AJ163" s="312">
        <v>21.358428805237317</v>
      </c>
      <c r="AK163" s="312">
        <v>6.30114566284779</v>
      </c>
      <c r="AL163" s="312">
        <v>23.295144571740316</v>
      </c>
      <c r="AM163" s="311">
        <v>19324</v>
      </c>
      <c r="AN163" s="311">
        <v>30409</v>
      </c>
      <c r="AO163" s="312">
        <v>67.021276595744681</v>
      </c>
      <c r="AP163" s="311">
        <v>3666</v>
      </c>
      <c r="AQ163" s="311">
        <v>656</v>
      </c>
      <c r="AR163" s="311">
        <v>2725</v>
      </c>
      <c r="AS163" s="311">
        <v>941</v>
      </c>
      <c r="AT163" s="311">
        <v>97</v>
      </c>
      <c r="AU163" s="311">
        <v>202</v>
      </c>
      <c r="AV163" s="311">
        <v>762</v>
      </c>
      <c r="AW163" s="311">
        <v>499</v>
      </c>
      <c r="AX163" s="311">
        <v>249</v>
      </c>
      <c r="AY163" s="311">
        <v>225</v>
      </c>
      <c r="AZ163" s="311">
        <v>332</v>
      </c>
      <c r="BA163" s="311">
        <v>159</v>
      </c>
      <c r="BB163" s="311">
        <v>22</v>
      </c>
      <c r="BC163" s="311">
        <v>396</v>
      </c>
      <c r="BD163" s="311">
        <v>113</v>
      </c>
      <c r="BE163" s="311">
        <v>7</v>
      </c>
      <c r="BF163" s="311">
        <v>569</v>
      </c>
      <c r="BG163" s="311">
        <v>0</v>
      </c>
      <c r="BH163" s="311">
        <v>0</v>
      </c>
      <c r="BI163" s="312">
        <v>27.714129841789415</v>
      </c>
      <c r="BJ163" s="313">
        <v>4.4000000000000004</v>
      </c>
      <c r="BK163" s="313">
        <v>4.9000000000000004</v>
      </c>
      <c r="BL163" s="313">
        <v>5.3</v>
      </c>
      <c r="BM163" s="313">
        <v>5.0999999999999996</v>
      </c>
      <c r="BN163" s="313">
        <v>5.2</v>
      </c>
      <c r="BO163" s="313">
        <v>5.6</v>
      </c>
      <c r="BP163" s="313">
        <v>3.2</v>
      </c>
      <c r="BQ163" s="313">
        <v>7.5</v>
      </c>
      <c r="BR163" s="313">
        <v>6.3</v>
      </c>
      <c r="BS163" s="313">
        <v>7.5</v>
      </c>
      <c r="BT163" s="313">
        <v>6</v>
      </c>
      <c r="BU163" s="313">
        <v>7</v>
      </c>
      <c r="BV163" s="313">
        <v>9.3000000000000007</v>
      </c>
      <c r="BW163" s="313">
        <v>7.7</v>
      </c>
      <c r="BX163" s="313">
        <v>4.3</v>
      </c>
      <c r="BY163" s="313">
        <v>4.0999999999999996</v>
      </c>
      <c r="BZ163" s="313">
        <v>3.5</v>
      </c>
      <c r="CA163" s="313">
        <v>2.9</v>
      </c>
      <c r="CB163" s="313">
        <v>14.600000000000001</v>
      </c>
      <c r="CC163" s="313">
        <v>62.7</v>
      </c>
      <c r="CD163" s="313">
        <v>22.5</v>
      </c>
    </row>
    <row r="164" spans="1:82" s="330" customFormat="1" x14ac:dyDescent="0.25">
      <c r="A164" s="345" t="s">
        <v>4859</v>
      </c>
      <c r="B164" s="323" t="s">
        <v>229</v>
      </c>
      <c r="C164" s="323" t="s">
        <v>4860</v>
      </c>
      <c r="D164" s="323" t="s">
        <v>47</v>
      </c>
      <c r="E164" s="323" t="s">
        <v>4837</v>
      </c>
      <c r="F164" s="323" t="s">
        <v>4272</v>
      </c>
      <c r="G164" s="323" t="s">
        <v>4861</v>
      </c>
      <c r="H164" s="324">
        <v>540152</v>
      </c>
      <c r="I164" s="325" t="s">
        <v>4862</v>
      </c>
      <c r="J164" s="323">
        <v>5486452</v>
      </c>
      <c r="K164" s="323" t="s">
        <v>4863</v>
      </c>
      <c r="L164" s="326">
        <v>0.20591243816744156</v>
      </c>
      <c r="M164" s="327">
        <v>359</v>
      </c>
      <c r="N164" s="328">
        <v>1743.4595170403081</v>
      </c>
      <c r="O164" s="327">
        <v>160</v>
      </c>
      <c r="P164" s="328">
        <v>2.14</v>
      </c>
      <c r="Q164" s="327">
        <v>342</v>
      </c>
      <c r="R164" s="327">
        <v>18</v>
      </c>
      <c r="S164" s="327">
        <v>12</v>
      </c>
      <c r="T164" s="327">
        <v>10</v>
      </c>
      <c r="U164" s="327">
        <v>10</v>
      </c>
      <c r="V164" s="327">
        <v>9</v>
      </c>
      <c r="W164" s="327">
        <v>10</v>
      </c>
      <c r="X164" s="327">
        <v>8</v>
      </c>
      <c r="Y164" s="327">
        <v>9</v>
      </c>
      <c r="Z164" s="327">
        <v>7</v>
      </c>
      <c r="AA164" s="327">
        <v>9</v>
      </c>
      <c r="AB164" s="327">
        <v>15</v>
      </c>
      <c r="AC164" s="327">
        <v>16</v>
      </c>
      <c r="AD164" s="327">
        <v>10</v>
      </c>
      <c r="AE164" s="327">
        <v>6</v>
      </c>
      <c r="AF164" s="327">
        <v>5</v>
      </c>
      <c r="AG164" s="327">
        <v>5</v>
      </c>
      <c r="AH164" s="328">
        <v>25</v>
      </c>
      <c r="AI164" s="328">
        <v>11.875</v>
      </c>
      <c r="AJ164" s="328">
        <v>21.25</v>
      </c>
      <c r="AK164" s="328">
        <v>5.625</v>
      </c>
      <c r="AL164" s="328">
        <v>35.625</v>
      </c>
      <c r="AM164" s="327">
        <v>28745</v>
      </c>
      <c r="AN164" s="327">
        <v>41171</v>
      </c>
      <c r="AO164" s="328">
        <v>53.75</v>
      </c>
      <c r="AP164" s="327">
        <v>160</v>
      </c>
      <c r="AQ164" s="327">
        <v>32</v>
      </c>
      <c r="AR164" s="327">
        <v>101</v>
      </c>
      <c r="AS164" s="327">
        <v>59</v>
      </c>
      <c r="AT164" s="327">
        <v>5</v>
      </c>
      <c r="AU164" s="327">
        <v>7</v>
      </c>
      <c r="AV164" s="327">
        <v>26</v>
      </c>
      <c r="AW164" s="327">
        <v>11</v>
      </c>
      <c r="AX164" s="327">
        <v>6</v>
      </c>
      <c r="AY164" s="327">
        <v>11</v>
      </c>
      <c r="AZ164" s="327">
        <v>12</v>
      </c>
      <c r="BA164" s="327">
        <v>9</v>
      </c>
      <c r="BB164" s="327">
        <v>2</v>
      </c>
      <c r="BC164" s="327">
        <v>21</v>
      </c>
      <c r="BD164" s="327">
        <v>3</v>
      </c>
      <c r="BE164" s="327">
        <v>1</v>
      </c>
      <c r="BF164" s="327">
        <v>39</v>
      </c>
      <c r="BG164" s="327">
        <v>2</v>
      </c>
      <c r="BH164" s="327">
        <v>0</v>
      </c>
      <c r="BI164" s="328">
        <v>25</v>
      </c>
      <c r="BJ164" s="329">
        <v>5.5</v>
      </c>
      <c r="BK164" s="329">
        <v>4.8</v>
      </c>
      <c r="BL164" s="329">
        <v>5.2</v>
      </c>
      <c r="BM164" s="329">
        <v>6</v>
      </c>
      <c r="BN164" s="329">
        <v>5.9</v>
      </c>
      <c r="BO164" s="329">
        <v>5.6</v>
      </c>
      <c r="BP164" s="329">
        <v>5.5</v>
      </c>
      <c r="BQ164" s="329">
        <v>5.8</v>
      </c>
      <c r="BR164" s="329">
        <v>5.7</v>
      </c>
      <c r="BS164" s="329">
        <v>5.4</v>
      </c>
      <c r="BT164" s="329">
        <v>6.6</v>
      </c>
      <c r="BU164" s="329">
        <v>7.3</v>
      </c>
      <c r="BV164" s="329">
        <v>8.3000000000000007</v>
      </c>
      <c r="BW164" s="329">
        <v>6.7</v>
      </c>
      <c r="BX164" s="329">
        <v>4.5999999999999996</v>
      </c>
      <c r="BY164" s="329">
        <v>4</v>
      </c>
      <c r="BZ164" s="329">
        <v>3.3</v>
      </c>
      <c r="CA164" s="329">
        <v>3.9</v>
      </c>
      <c r="CB164" s="329">
        <v>15.5</v>
      </c>
      <c r="CC164" s="329">
        <v>62.099999999999994</v>
      </c>
      <c r="CD164" s="329">
        <v>22.5</v>
      </c>
    </row>
    <row r="165" spans="1:82" s="322" customFormat="1" x14ac:dyDescent="0.25">
      <c r="A165" s="314" t="s">
        <v>4864</v>
      </c>
      <c r="B165" s="315" t="s">
        <v>348</v>
      </c>
      <c r="C165" s="314"/>
      <c r="D165" s="314"/>
      <c r="E165" s="314"/>
      <c r="F165" s="314"/>
      <c r="G165" s="314"/>
      <c r="H165" s="316"/>
      <c r="I165" s="317"/>
      <c r="J165" s="314">
        <v>54051</v>
      </c>
      <c r="K165" s="314" t="s">
        <v>4865</v>
      </c>
      <c r="L165" s="318">
        <v>311.65229194105433</v>
      </c>
      <c r="M165" s="319">
        <v>32006</v>
      </c>
      <c r="N165" s="320">
        <v>102.69778476730596</v>
      </c>
      <c r="O165" s="319">
        <v>12695</v>
      </c>
      <c r="P165" s="320">
        <v>2.4900000000000002</v>
      </c>
      <c r="Q165" s="319">
        <v>31586</v>
      </c>
      <c r="R165" s="319">
        <v>1166</v>
      </c>
      <c r="S165" s="319">
        <v>486</v>
      </c>
      <c r="T165" s="319">
        <v>1037</v>
      </c>
      <c r="U165" s="319">
        <v>1104</v>
      </c>
      <c r="V165" s="319">
        <v>661</v>
      </c>
      <c r="W165" s="319">
        <v>720</v>
      </c>
      <c r="X165" s="319">
        <v>663</v>
      </c>
      <c r="Y165" s="319">
        <v>681</v>
      </c>
      <c r="Z165" s="319">
        <v>529</v>
      </c>
      <c r="AA165" s="319">
        <v>1031</v>
      </c>
      <c r="AB165" s="319">
        <v>1266</v>
      </c>
      <c r="AC165" s="319">
        <v>1439</v>
      </c>
      <c r="AD165" s="319">
        <v>904</v>
      </c>
      <c r="AE165" s="319">
        <v>428</v>
      </c>
      <c r="AF165" s="319">
        <v>275</v>
      </c>
      <c r="AG165" s="319">
        <v>305</v>
      </c>
      <c r="AH165" s="320">
        <v>21.181567546278064</v>
      </c>
      <c r="AI165" s="320">
        <v>13.903111461205198</v>
      </c>
      <c r="AJ165" s="320">
        <v>20.425364316660101</v>
      </c>
      <c r="AK165" s="320">
        <v>8.1213076014178807</v>
      </c>
      <c r="AL165" s="320">
        <v>36.368649074438757</v>
      </c>
      <c r="AM165" s="319">
        <v>24043</v>
      </c>
      <c r="AN165" s="319">
        <v>42473</v>
      </c>
      <c r="AO165" s="320">
        <v>51.3430484442694</v>
      </c>
      <c r="AP165" s="319">
        <v>12695</v>
      </c>
      <c r="AQ165" s="319">
        <v>3090</v>
      </c>
      <c r="AR165" s="319">
        <v>9924</v>
      </c>
      <c r="AS165" s="319">
        <v>2771</v>
      </c>
      <c r="AT165" s="319">
        <v>326</v>
      </c>
      <c r="AU165" s="319">
        <v>510</v>
      </c>
      <c r="AV165" s="319">
        <v>1584</v>
      </c>
      <c r="AW165" s="319">
        <v>1272</v>
      </c>
      <c r="AX165" s="319">
        <v>609</v>
      </c>
      <c r="AY165" s="319">
        <v>522</v>
      </c>
      <c r="AZ165" s="319">
        <v>1303</v>
      </c>
      <c r="BA165" s="319">
        <v>396</v>
      </c>
      <c r="BB165" s="319">
        <v>113</v>
      </c>
      <c r="BC165" s="319">
        <v>1852</v>
      </c>
      <c r="BD165" s="319">
        <v>376</v>
      </c>
      <c r="BE165" s="319">
        <v>50</v>
      </c>
      <c r="BF165" s="319">
        <v>3118</v>
      </c>
      <c r="BG165" s="319">
        <v>192</v>
      </c>
      <c r="BH165" s="319">
        <v>0</v>
      </c>
      <c r="BI165" s="320">
        <v>17.873178416699488</v>
      </c>
      <c r="BJ165" s="321">
        <v>5.2</v>
      </c>
      <c r="BK165" s="321">
        <v>5.2</v>
      </c>
      <c r="BL165" s="321">
        <v>6.3</v>
      </c>
      <c r="BM165" s="321">
        <v>5.5</v>
      </c>
      <c r="BN165" s="321">
        <v>5.4</v>
      </c>
      <c r="BO165" s="321">
        <v>5.5</v>
      </c>
      <c r="BP165" s="321">
        <v>5.2</v>
      </c>
      <c r="BQ165" s="321">
        <v>5.9</v>
      </c>
      <c r="BR165" s="321">
        <v>5.8</v>
      </c>
      <c r="BS165" s="321">
        <v>6.3</v>
      </c>
      <c r="BT165" s="321">
        <v>7.3</v>
      </c>
      <c r="BU165" s="321">
        <v>7.4</v>
      </c>
      <c r="BV165" s="321">
        <v>8.8000000000000007</v>
      </c>
      <c r="BW165" s="321">
        <v>6.7</v>
      </c>
      <c r="BX165" s="321">
        <v>5.0999999999999996</v>
      </c>
      <c r="BY165" s="321">
        <v>3.6</v>
      </c>
      <c r="BZ165" s="321">
        <v>2.6</v>
      </c>
      <c r="CA165" s="321">
        <v>2.2000000000000002</v>
      </c>
      <c r="CB165" s="321">
        <v>16.7</v>
      </c>
      <c r="CC165" s="321">
        <v>63.099999999999994</v>
      </c>
      <c r="CD165" s="321">
        <v>20.2</v>
      </c>
    </row>
    <row r="166" spans="1:82" s="308" customFormat="1" x14ac:dyDescent="0.25">
      <c r="A166" s="301" t="s">
        <v>4866</v>
      </c>
      <c r="B166" s="301" t="s">
        <v>48</v>
      </c>
      <c r="C166" s="301" t="s">
        <v>4867</v>
      </c>
      <c r="D166" s="301" t="s">
        <v>49</v>
      </c>
      <c r="E166" s="301" t="s">
        <v>4868</v>
      </c>
      <c r="F166" s="301" t="s">
        <v>4272</v>
      </c>
      <c r="G166" s="301" t="s">
        <v>4869</v>
      </c>
      <c r="H166" s="302">
        <v>540112</v>
      </c>
      <c r="I166" s="303" t="s">
        <v>1505</v>
      </c>
      <c r="J166" s="301" t="s">
        <v>488</v>
      </c>
      <c r="K166" s="301" t="s">
        <v>488</v>
      </c>
      <c r="L166" s="304">
        <v>437.83433299290016</v>
      </c>
      <c r="M166" s="305">
        <v>19503</v>
      </c>
      <c r="N166" s="306">
        <v>44.54424546079683</v>
      </c>
      <c r="O166" s="305">
        <v>7728</v>
      </c>
      <c r="P166" s="306">
        <v>2.4407349896480333</v>
      </c>
      <c r="Q166" s="305">
        <v>18862</v>
      </c>
      <c r="R166" s="305">
        <v>570</v>
      </c>
      <c r="S166" s="305">
        <v>414</v>
      </c>
      <c r="T166" s="305">
        <v>608</v>
      </c>
      <c r="U166" s="305">
        <v>699</v>
      </c>
      <c r="V166" s="305">
        <v>473</v>
      </c>
      <c r="W166" s="305">
        <v>306</v>
      </c>
      <c r="X166" s="305">
        <v>482</v>
      </c>
      <c r="Y166" s="305">
        <v>302</v>
      </c>
      <c r="Z166" s="305">
        <v>405</v>
      </c>
      <c r="AA166" s="305">
        <v>797</v>
      </c>
      <c r="AB166" s="305">
        <v>849</v>
      </c>
      <c r="AC166" s="305">
        <v>740</v>
      </c>
      <c r="AD166" s="305">
        <v>438</v>
      </c>
      <c r="AE166" s="305">
        <v>323</v>
      </c>
      <c r="AF166" s="305">
        <v>267</v>
      </c>
      <c r="AG166" s="305">
        <v>55</v>
      </c>
      <c r="AH166" s="306">
        <v>20.600414078674948</v>
      </c>
      <c r="AI166" s="306">
        <v>15.165631469979296</v>
      </c>
      <c r="AJ166" s="306">
        <v>19.345238095238095</v>
      </c>
      <c r="AK166" s="306">
        <v>10.313146997929607</v>
      </c>
      <c r="AL166" s="306">
        <v>34.575569358178058</v>
      </c>
      <c r="AM166" s="305">
        <v>21094</v>
      </c>
      <c r="AN166" s="305">
        <v>38977</v>
      </c>
      <c r="AO166" s="306">
        <v>49.870600414078673</v>
      </c>
      <c r="AP166" s="305">
        <v>7728</v>
      </c>
      <c r="AQ166" s="305">
        <v>1341</v>
      </c>
      <c r="AR166" s="305">
        <v>6191</v>
      </c>
      <c r="AS166" s="305">
        <v>1537</v>
      </c>
      <c r="AT166" s="305">
        <v>359</v>
      </c>
      <c r="AU166" s="305">
        <v>201</v>
      </c>
      <c r="AV166" s="305">
        <v>731</v>
      </c>
      <c r="AW166" s="305">
        <v>556</v>
      </c>
      <c r="AX166" s="305">
        <v>399</v>
      </c>
      <c r="AY166" s="305">
        <v>370</v>
      </c>
      <c r="AZ166" s="305">
        <v>789</v>
      </c>
      <c r="BA166" s="305">
        <v>169</v>
      </c>
      <c r="BB166" s="305">
        <v>65</v>
      </c>
      <c r="BC166" s="305">
        <v>1371</v>
      </c>
      <c r="BD166" s="305">
        <v>186</v>
      </c>
      <c r="BE166" s="305">
        <v>0</v>
      </c>
      <c r="BF166" s="305">
        <v>1621</v>
      </c>
      <c r="BG166" s="305">
        <v>106</v>
      </c>
      <c r="BH166" s="305">
        <v>8</v>
      </c>
      <c r="BI166" s="306">
        <v>15.191511387163562</v>
      </c>
      <c r="BJ166" s="307">
        <v>5.4</v>
      </c>
      <c r="BK166" s="307">
        <v>6.5</v>
      </c>
      <c r="BL166" s="307">
        <v>5.3</v>
      </c>
      <c r="BM166" s="307">
        <v>5.6</v>
      </c>
      <c r="BN166" s="307">
        <v>5.2</v>
      </c>
      <c r="BO166" s="307">
        <v>5.5</v>
      </c>
      <c r="BP166" s="307">
        <v>5.5</v>
      </c>
      <c r="BQ166" s="307">
        <v>6.6</v>
      </c>
      <c r="BR166" s="307">
        <v>5.9</v>
      </c>
      <c r="BS166" s="307">
        <v>6.1</v>
      </c>
      <c r="BT166" s="307">
        <v>7.2</v>
      </c>
      <c r="BU166" s="307">
        <v>8.9</v>
      </c>
      <c r="BV166" s="307">
        <v>7.1</v>
      </c>
      <c r="BW166" s="307">
        <v>6</v>
      </c>
      <c r="BX166" s="307">
        <v>5.3</v>
      </c>
      <c r="BY166" s="307">
        <v>3.6</v>
      </c>
      <c r="BZ166" s="307">
        <v>2.6</v>
      </c>
      <c r="CA166" s="307">
        <v>2</v>
      </c>
      <c r="CB166" s="307">
        <v>17.2</v>
      </c>
      <c r="CC166" s="307">
        <v>63.6</v>
      </c>
      <c r="CD166" s="307">
        <v>19.5</v>
      </c>
    </row>
    <row r="167" spans="1:82" x14ac:dyDescent="0.25">
      <c r="A167" s="130" t="s">
        <v>4870</v>
      </c>
      <c r="B167" s="130" t="s">
        <v>293</v>
      </c>
      <c r="C167" s="130" t="s">
        <v>4871</v>
      </c>
      <c r="D167" s="130" t="s">
        <v>49</v>
      </c>
      <c r="E167" s="130" t="s">
        <v>4868</v>
      </c>
      <c r="F167" s="130" t="s">
        <v>4272</v>
      </c>
      <c r="G167" s="130" t="s">
        <v>4872</v>
      </c>
      <c r="H167" s="309">
        <v>540247</v>
      </c>
      <c r="I167" s="277" t="s">
        <v>1507</v>
      </c>
      <c r="J167" s="130">
        <v>5435500</v>
      </c>
      <c r="K167" s="130" t="s">
        <v>4873</v>
      </c>
      <c r="L167" s="310">
        <v>1.2378176346390917</v>
      </c>
      <c r="M167" s="311">
        <v>704</v>
      </c>
      <c r="N167" s="312">
        <v>568.74290711269759</v>
      </c>
      <c r="O167" s="311">
        <v>311</v>
      </c>
      <c r="P167" s="312">
        <v>2.2599999999999998</v>
      </c>
      <c r="Q167" s="311">
        <v>704</v>
      </c>
      <c r="R167" s="311">
        <v>28</v>
      </c>
      <c r="S167" s="311">
        <v>33</v>
      </c>
      <c r="T167" s="311">
        <v>27</v>
      </c>
      <c r="U167" s="311">
        <v>21</v>
      </c>
      <c r="V167" s="311">
        <v>4</v>
      </c>
      <c r="W167" s="311">
        <v>32</v>
      </c>
      <c r="X167" s="311">
        <v>39</v>
      </c>
      <c r="Y167" s="311">
        <v>22</v>
      </c>
      <c r="Z167" s="311">
        <v>5</v>
      </c>
      <c r="AA167" s="311">
        <v>32</v>
      </c>
      <c r="AB167" s="311">
        <v>35</v>
      </c>
      <c r="AC167" s="311">
        <v>18</v>
      </c>
      <c r="AD167" s="311">
        <v>8</v>
      </c>
      <c r="AE167" s="311">
        <v>4</v>
      </c>
      <c r="AF167" s="311">
        <v>3</v>
      </c>
      <c r="AG167" s="311">
        <v>0</v>
      </c>
      <c r="AH167" s="312">
        <v>28.29581993569132</v>
      </c>
      <c r="AI167" s="312">
        <v>8.0385852090032159</v>
      </c>
      <c r="AJ167" s="312">
        <v>31.511254019292608</v>
      </c>
      <c r="AK167" s="312">
        <v>10.289389067524116</v>
      </c>
      <c r="AL167" s="312">
        <v>21.864951768488748</v>
      </c>
      <c r="AM167" s="311">
        <v>18587</v>
      </c>
      <c r="AN167" s="311">
        <v>36193</v>
      </c>
      <c r="AO167" s="312">
        <v>66.237942122186496</v>
      </c>
      <c r="AP167" s="311">
        <v>311</v>
      </c>
      <c r="AQ167" s="311">
        <v>80</v>
      </c>
      <c r="AR167" s="311">
        <v>238</v>
      </c>
      <c r="AS167" s="311">
        <v>73</v>
      </c>
      <c r="AT167" s="311">
        <v>25</v>
      </c>
      <c r="AU167" s="311">
        <v>0</v>
      </c>
      <c r="AV167" s="311">
        <v>56</v>
      </c>
      <c r="AW167" s="311">
        <v>26</v>
      </c>
      <c r="AX167" s="311">
        <v>9</v>
      </c>
      <c r="AY167" s="311">
        <v>22</v>
      </c>
      <c r="AZ167" s="311">
        <v>33</v>
      </c>
      <c r="BA167" s="311">
        <v>4</v>
      </c>
      <c r="BB167" s="311">
        <v>18</v>
      </c>
      <c r="BC167" s="311">
        <v>60</v>
      </c>
      <c r="BD167" s="311">
        <v>7</v>
      </c>
      <c r="BE167" s="311">
        <v>0</v>
      </c>
      <c r="BF167" s="311">
        <v>23</v>
      </c>
      <c r="BG167" s="311">
        <v>0</v>
      </c>
      <c r="BH167" s="311">
        <v>0</v>
      </c>
      <c r="BI167" s="312">
        <v>30.868167202572351</v>
      </c>
      <c r="BJ167" s="313">
        <v>1.7</v>
      </c>
      <c r="BK167" s="313">
        <v>10.8</v>
      </c>
      <c r="BL167" s="313">
        <v>4</v>
      </c>
      <c r="BM167" s="313">
        <v>5.4</v>
      </c>
      <c r="BN167" s="313">
        <v>3.4</v>
      </c>
      <c r="BO167" s="313">
        <v>1.4</v>
      </c>
      <c r="BP167" s="313">
        <v>8.6999999999999993</v>
      </c>
      <c r="BQ167" s="313">
        <v>6.4</v>
      </c>
      <c r="BR167" s="313">
        <v>5.4</v>
      </c>
      <c r="BS167" s="313">
        <v>5.4</v>
      </c>
      <c r="BT167" s="313">
        <v>11.1</v>
      </c>
      <c r="BU167" s="313">
        <v>11.1</v>
      </c>
      <c r="BV167" s="313">
        <v>8.1999999999999993</v>
      </c>
      <c r="BW167" s="313">
        <v>1.7</v>
      </c>
      <c r="BX167" s="313">
        <v>4</v>
      </c>
      <c r="BY167" s="313">
        <v>7.4</v>
      </c>
      <c r="BZ167" s="313">
        <v>1.3</v>
      </c>
      <c r="CA167" s="313">
        <v>2.7</v>
      </c>
      <c r="CB167" s="313">
        <v>16.5</v>
      </c>
      <c r="CC167" s="313">
        <v>66.5</v>
      </c>
      <c r="CD167" s="313">
        <v>17.100000000000001</v>
      </c>
    </row>
    <row r="168" spans="1:82" x14ac:dyDescent="0.25">
      <c r="A168" s="130" t="s">
        <v>4874</v>
      </c>
      <c r="B168" s="130" t="s">
        <v>297</v>
      </c>
      <c r="C168" s="130" t="s">
        <v>4875</v>
      </c>
      <c r="D168" s="130" t="s">
        <v>49</v>
      </c>
      <c r="E168" s="130" t="s">
        <v>4868</v>
      </c>
      <c r="F168" s="130" t="s">
        <v>4272</v>
      </c>
      <c r="G168" s="130" t="s">
        <v>4876</v>
      </c>
      <c r="H168" s="309">
        <v>540251</v>
      </c>
      <c r="I168" s="277" t="s">
        <v>1511</v>
      </c>
      <c r="J168" s="130">
        <v>5436436</v>
      </c>
      <c r="K168" s="130" t="s">
        <v>4877</v>
      </c>
      <c r="L168" s="310">
        <v>0.46518608467543854</v>
      </c>
      <c r="M168" s="311">
        <v>231</v>
      </c>
      <c r="N168" s="312">
        <v>496.57547293395345</v>
      </c>
      <c r="O168" s="311">
        <v>85</v>
      </c>
      <c r="P168" s="312">
        <v>2.72</v>
      </c>
      <c r="Q168" s="311">
        <v>231</v>
      </c>
      <c r="R168" s="311">
        <v>5</v>
      </c>
      <c r="S168" s="311">
        <v>11</v>
      </c>
      <c r="T168" s="311">
        <v>13</v>
      </c>
      <c r="U168" s="311">
        <v>10</v>
      </c>
      <c r="V168" s="311">
        <v>5</v>
      </c>
      <c r="W168" s="311">
        <v>3</v>
      </c>
      <c r="X168" s="311">
        <v>7</v>
      </c>
      <c r="Y168" s="311">
        <v>7</v>
      </c>
      <c r="Z168" s="311">
        <v>8</v>
      </c>
      <c r="AA168" s="311">
        <v>8</v>
      </c>
      <c r="AB168" s="311">
        <v>6</v>
      </c>
      <c r="AC168" s="311">
        <v>2</v>
      </c>
      <c r="AD168" s="311">
        <v>0</v>
      </c>
      <c r="AE168" s="311">
        <v>0</v>
      </c>
      <c r="AF168" s="311">
        <v>0</v>
      </c>
      <c r="AG168" s="311">
        <v>0</v>
      </c>
      <c r="AH168" s="312">
        <v>34.117647058823529</v>
      </c>
      <c r="AI168" s="312">
        <v>17.647058823529413</v>
      </c>
      <c r="AJ168" s="312">
        <v>29.411764705882355</v>
      </c>
      <c r="AK168" s="312">
        <v>9.4117647058823533</v>
      </c>
      <c r="AL168" s="312">
        <v>9.4117647058823533</v>
      </c>
      <c r="AM168" s="311">
        <v>11563</v>
      </c>
      <c r="AN168" s="311">
        <v>26750</v>
      </c>
      <c r="AO168" s="312">
        <v>71.764705882352942</v>
      </c>
      <c r="AP168" s="311">
        <v>85</v>
      </c>
      <c r="AQ168" s="311">
        <v>21</v>
      </c>
      <c r="AR168" s="311">
        <v>63</v>
      </c>
      <c r="AS168" s="311">
        <v>22</v>
      </c>
      <c r="AT168" s="311">
        <v>0</v>
      </c>
      <c r="AU168" s="311">
        <v>11</v>
      </c>
      <c r="AV168" s="311">
        <v>18</v>
      </c>
      <c r="AW168" s="311">
        <v>6</v>
      </c>
      <c r="AX168" s="311">
        <v>5</v>
      </c>
      <c r="AY168" s="311">
        <v>4</v>
      </c>
      <c r="AZ168" s="311">
        <v>22</v>
      </c>
      <c r="BA168" s="311">
        <v>0</v>
      </c>
      <c r="BB168" s="311">
        <v>0</v>
      </c>
      <c r="BC168" s="311">
        <v>14</v>
      </c>
      <c r="BD168" s="311">
        <v>0</v>
      </c>
      <c r="BE168" s="311">
        <v>0</v>
      </c>
      <c r="BF168" s="311">
        <v>2</v>
      </c>
      <c r="BG168" s="311">
        <v>0</v>
      </c>
      <c r="BH168" s="311">
        <v>0</v>
      </c>
      <c r="BI168" s="312">
        <v>25.882352941176475</v>
      </c>
      <c r="BJ168" s="313">
        <v>8.6999999999999993</v>
      </c>
      <c r="BK168" s="313">
        <v>4.8</v>
      </c>
      <c r="BL168" s="313">
        <v>5.6</v>
      </c>
      <c r="BM168" s="313">
        <v>2.2000000000000002</v>
      </c>
      <c r="BN168" s="313">
        <v>9.5</v>
      </c>
      <c r="BO168" s="313">
        <v>7.8</v>
      </c>
      <c r="BP168" s="313">
        <v>5.2</v>
      </c>
      <c r="BQ168" s="313">
        <v>5.2</v>
      </c>
      <c r="BR168" s="313">
        <v>3.9</v>
      </c>
      <c r="BS168" s="313">
        <v>3</v>
      </c>
      <c r="BT168" s="313">
        <v>4.3</v>
      </c>
      <c r="BU168" s="313">
        <v>8.6999999999999993</v>
      </c>
      <c r="BV168" s="313">
        <v>7.8</v>
      </c>
      <c r="BW168" s="313">
        <v>10.4</v>
      </c>
      <c r="BX168" s="313">
        <v>3</v>
      </c>
      <c r="BY168" s="313">
        <v>3</v>
      </c>
      <c r="BZ168" s="313">
        <v>5.6</v>
      </c>
      <c r="CA168" s="313">
        <v>1.3</v>
      </c>
      <c r="CB168" s="313">
        <v>19.100000000000001</v>
      </c>
      <c r="CC168" s="313">
        <v>57.599999999999994</v>
      </c>
      <c r="CD168" s="313">
        <v>23.3</v>
      </c>
    </row>
    <row r="169" spans="1:82" x14ac:dyDescent="0.25">
      <c r="A169" s="130" t="s">
        <v>4878</v>
      </c>
      <c r="B169" s="130" t="s">
        <v>200</v>
      </c>
      <c r="C169" s="130" t="s">
        <v>4879</v>
      </c>
      <c r="D169" s="130" t="s">
        <v>49</v>
      </c>
      <c r="E169" s="130" t="s">
        <v>4868</v>
      </c>
      <c r="F169" s="130" t="s">
        <v>4272</v>
      </c>
      <c r="G169" s="130" t="s">
        <v>4880</v>
      </c>
      <c r="H169" s="309">
        <v>540113</v>
      </c>
      <c r="I169" s="277" t="s">
        <v>1506</v>
      </c>
      <c r="J169" s="130">
        <v>5446300</v>
      </c>
      <c r="K169" s="130" t="s">
        <v>4881</v>
      </c>
      <c r="L169" s="310">
        <v>0.37363055423005748</v>
      </c>
      <c r="M169" s="311">
        <v>205</v>
      </c>
      <c r="N169" s="312">
        <v>548.67033137170654</v>
      </c>
      <c r="O169" s="311">
        <v>77</v>
      </c>
      <c r="P169" s="312">
        <v>2.66</v>
      </c>
      <c r="Q169" s="311">
        <v>205</v>
      </c>
      <c r="R169" s="311">
        <v>6</v>
      </c>
      <c r="S169" s="311">
        <v>1</v>
      </c>
      <c r="T169" s="311">
        <v>8</v>
      </c>
      <c r="U169" s="311">
        <v>0</v>
      </c>
      <c r="V169" s="311">
        <v>18</v>
      </c>
      <c r="W169" s="311">
        <v>11</v>
      </c>
      <c r="X169" s="311">
        <v>7</v>
      </c>
      <c r="Y169" s="311">
        <v>0</v>
      </c>
      <c r="Z169" s="311">
        <v>6</v>
      </c>
      <c r="AA169" s="311">
        <v>5</v>
      </c>
      <c r="AB169" s="311">
        <v>1</v>
      </c>
      <c r="AC169" s="311">
        <v>12</v>
      </c>
      <c r="AD169" s="311">
        <v>2</v>
      </c>
      <c r="AE169" s="311">
        <v>0</v>
      </c>
      <c r="AF169" s="311">
        <v>0</v>
      </c>
      <c r="AG169" s="311">
        <v>0</v>
      </c>
      <c r="AH169" s="312">
        <v>19.480519480519483</v>
      </c>
      <c r="AI169" s="312">
        <v>23.376623376623375</v>
      </c>
      <c r="AJ169" s="312">
        <v>31.168831168831169</v>
      </c>
      <c r="AK169" s="312">
        <v>6.4935064935064926</v>
      </c>
      <c r="AL169" s="312">
        <v>19.480519480519483</v>
      </c>
      <c r="AM169" s="311">
        <v>15536</v>
      </c>
      <c r="AN169" s="311">
        <v>31375</v>
      </c>
      <c r="AO169" s="312">
        <v>66.233766233766232</v>
      </c>
      <c r="AP169" s="311">
        <v>77</v>
      </c>
      <c r="AQ169" s="311">
        <v>40</v>
      </c>
      <c r="AR169" s="311">
        <v>62</v>
      </c>
      <c r="AS169" s="311">
        <v>15</v>
      </c>
      <c r="AT169" s="311">
        <v>0</v>
      </c>
      <c r="AU169" s="311">
        <v>3</v>
      </c>
      <c r="AV169" s="311">
        <v>10</v>
      </c>
      <c r="AW169" s="311">
        <v>5</v>
      </c>
      <c r="AX169" s="311">
        <v>3</v>
      </c>
      <c r="AY169" s="311">
        <v>6</v>
      </c>
      <c r="AZ169" s="311">
        <v>7</v>
      </c>
      <c r="BA169" s="311">
        <v>6</v>
      </c>
      <c r="BB169" s="311">
        <v>0</v>
      </c>
      <c r="BC169" s="311">
        <v>6</v>
      </c>
      <c r="BD169" s="311">
        <v>0</v>
      </c>
      <c r="BE169" s="311">
        <v>0</v>
      </c>
      <c r="BF169" s="311">
        <v>14</v>
      </c>
      <c r="BG169" s="311">
        <v>0</v>
      </c>
      <c r="BH169" s="311">
        <v>0</v>
      </c>
      <c r="BI169" s="312">
        <v>20.779220779220779</v>
      </c>
      <c r="BJ169" s="313">
        <v>18.5</v>
      </c>
      <c r="BK169" s="313">
        <v>0</v>
      </c>
      <c r="BL169" s="313">
        <v>6.3</v>
      </c>
      <c r="BM169" s="313">
        <v>1.5</v>
      </c>
      <c r="BN169" s="313">
        <v>8.8000000000000007</v>
      </c>
      <c r="BO169" s="313">
        <v>7.3</v>
      </c>
      <c r="BP169" s="313">
        <v>7.8</v>
      </c>
      <c r="BQ169" s="313">
        <v>4.9000000000000004</v>
      </c>
      <c r="BR169" s="313">
        <v>7.8</v>
      </c>
      <c r="BS169" s="313">
        <v>8.3000000000000007</v>
      </c>
      <c r="BT169" s="313">
        <v>2.9</v>
      </c>
      <c r="BU169" s="313">
        <v>5.4</v>
      </c>
      <c r="BV169" s="313">
        <v>7.3</v>
      </c>
      <c r="BW169" s="313">
        <v>0.5</v>
      </c>
      <c r="BX169" s="313">
        <v>3.4</v>
      </c>
      <c r="BY169" s="313">
        <v>2.9</v>
      </c>
      <c r="BZ169" s="313">
        <v>2.4</v>
      </c>
      <c r="CA169" s="313">
        <v>3.9</v>
      </c>
      <c r="CB169" s="313">
        <v>24.8</v>
      </c>
      <c r="CC169" s="313">
        <v>62</v>
      </c>
      <c r="CD169" s="313">
        <v>13.1</v>
      </c>
    </row>
    <row r="170" spans="1:82" x14ac:dyDescent="0.25">
      <c r="A170" s="130" t="s">
        <v>4882</v>
      </c>
      <c r="B170" s="130" t="s">
        <v>294</v>
      </c>
      <c r="C170" s="130" t="s">
        <v>4883</v>
      </c>
      <c r="D170" s="130" t="s">
        <v>49</v>
      </c>
      <c r="E170" s="130" t="s">
        <v>4868</v>
      </c>
      <c r="F170" s="130" t="s">
        <v>4272</v>
      </c>
      <c r="G170" s="130" t="s">
        <v>4884</v>
      </c>
      <c r="H170" s="309">
        <v>540248</v>
      </c>
      <c r="I170" s="277" t="s">
        <v>1508</v>
      </c>
      <c r="J170" s="130">
        <v>5452180</v>
      </c>
      <c r="K170" s="130" t="s">
        <v>4885</v>
      </c>
      <c r="L170" s="310">
        <v>0.58435746946589717</v>
      </c>
      <c r="M170" s="311">
        <v>824</v>
      </c>
      <c r="N170" s="312">
        <v>1410.0957770816829</v>
      </c>
      <c r="O170" s="311">
        <v>411</v>
      </c>
      <c r="P170" s="312">
        <v>2</v>
      </c>
      <c r="Q170" s="311">
        <v>824</v>
      </c>
      <c r="R170" s="311">
        <v>75</v>
      </c>
      <c r="S170" s="311">
        <v>56</v>
      </c>
      <c r="T170" s="311">
        <v>10</v>
      </c>
      <c r="U170" s="311">
        <v>25</v>
      </c>
      <c r="V170" s="311">
        <v>47</v>
      </c>
      <c r="W170" s="311">
        <v>4</v>
      </c>
      <c r="X170" s="311">
        <v>57</v>
      </c>
      <c r="Y170" s="311">
        <v>23</v>
      </c>
      <c r="Z170" s="311">
        <v>28</v>
      </c>
      <c r="AA170" s="311">
        <v>47</v>
      </c>
      <c r="AB170" s="311">
        <v>0</v>
      </c>
      <c r="AC170" s="311">
        <v>9</v>
      </c>
      <c r="AD170" s="311">
        <v>20</v>
      </c>
      <c r="AE170" s="311">
        <v>0</v>
      </c>
      <c r="AF170" s="311">
        <v>10</v>
      </c>
      <c r="AG170" s="311">
        <v>0</v>
      </c>
      <c r="AH170" s="312">
        <v>34.306569343065696</v>
      </c>
      <c r="AI170" s="312">
        <v>17.518248175182482</v>
      </c>
      <c r="AJ170" s="312">
        <v>27.250608272506081</v>
      </c>
      <c r="AK170" s="312">
        <v>11.435523114355231</v>
      </c>
      <c r="AL170" s="312">
        <v>9.4890510948905096</v>
      </c>
      <c r="AM170" s="311">
        <v>18026</v>
      </c>
      <c r="AN170" s="311">
        <v>27469</v>
      </c>
      <c r="AO170" s="312">
        <v>72.262773722627742</v>
      </c>
      <c r="AP170" s="311">
        <v>411</v>
      </c>
      <c r="AQ170" s="311">
        <v>109</v>
      </c>
      <c r="AR170" s="311">
        <v>326</v>
      </c>
      <c r="AS170" s="311">
        <v>85</v>
      </c>
      <c r="AT170" s="311">
        <v>9</v>
      </c>
      <c r="AU170" s="311">
        <v>51</v>
      </c>
      <c r="AV170" s="311">
        <v>52</v>
      </c>
      <c r="AW170" s="311">
        <v>69</v>
      </c>
      <c r="AX170" s="311">
        <v>4</v>
      </c>
      <c r="AY170" s="311">
        <v>3</v>
      </c>
      <c r="AZ170" s="311">
        <v>80</v>
      </c>
      <c r="BA170" s="311">
        <v>28</v>
      </c>
      <c r="BB170" s="311">
        <v>0</v>
      </c>
      <c r="BC170" s="311">
        <v>43</v>
      </c>
      <c r="BD170" s="311">
        <v>4</v>
      </c>
      <c r="BE170" s="311">
        <v>0</v>
      </c>
      <c r="BF170" s="311">
        <v>39</v>
      </c>
      <c r="BG170" s="311">
        <v>0</v>
      </c>
      <c r="BH170" s="311">
        <v>0</v>
      </c>
      <c r="BI170" s="312">
        <v>13.381995133819952</v>
      </c>
      <c r="BJ170" s="313">
        <v>4.4000000000000004</v>
      </c>
      <c r="BK170" s="313">
        <v>6.6</v>
      </c>
      <c r="BL170" s="313">
        <v>4.2</v>
      </c>
      <c r="BM170" s="313">
        <v>8.3000000000000007</v>
      </c>
      <c r="BN170" s="313">
        <v>5.7</v>
      </c>
      <c r="BO170" s="313">
        <v>6.2</v>
      </c>
      <c r="BP170" s="313">
        <v>2.1</v>
      </c>
      <c r="BQ170" s="313">
        <v>1.5</v>
      </c>
      <c r="BR170" s="313">
        <v>10.1</v>
      </c>
      <c r="BS170" s="313">
        <v>4.5999999999999996</v>
      </c>
      <c r="BT170" s="313">
        <v>7.8</v>
      </c>
      <c r="BU170" s="313">
        <v>6.1</v>
      </c>
      <c r="BV170" s="313">
        <v>4.9000000000000004</v>
      </c>
      <c r="BW170" s="313">
        <v>13.3</v>
      </c>
      <c r="BX170" s="313">
        <v>7.6</v>
      </c>
      <c r="BY170" s="313">
        <v>3.3</v>
      </c>
      <c r="BZ170" s="313">
        <v>2.7</v>
      </c>
      <c r="CA170" s="313">
        <v>0.8</v>
      </c>
      <c r="CB170" s="313">
        <v>15.2</v>
      </c>
      <c r="CC170" s="313">
        <v>57.3</v>
      </c>
      <c r="CD170" s="313">
        <v>27.7</v>
      </c>
    </row>
    <row r="171" spans="1:82" x14ac:dyDescent="0.25">
      <c r="A171" s="130" t="s">
        <v>4886</v>
      </c>
      <c r="B171" s="130" t="s">
        <v>295</v>
      </c>
      <c r="C171" s="130" t="s">
        <v>4887</v>
      </c>
      <c r="D171" s="130" t="s">
        <v>49</v>
      </c>
      <c r="E171" s="130" t="s">
        <v>4868</v>
      </c>
      <c r="F171" s="130" t="s">
        <v>4272</v>
      </c>
      <c r="G171" s="130" t="s">
        <v>4888</v>
      </c>
      <c r="H171" s="309">
        <v>540249</v>
      </c>
      <c r="I171" s="277" t="s">
        <v>1509</v>
      </c>
      <c r="J171" s="130">
        <v>5458564</v>
      </c>
      <c r="K171" s="130" t="s">
        <v>4889</v>
      </c>
      <c r="L171" s="310">
        <v>1.3004245238309506</v>
      </c>
      <c r="M171" s="311">
        <v>1315</v>
      </c>
      <c r="N171" s="312">
        <v>1011.2082446170049</v>
      </c>
      <c r="O171" s="311">
        <v>611</v>
      </c>
      <c r="P171" s="312">
        <v>2.15</v>
      </c>
      <c r="Q171" s="311">
        <v>1315</v>
      </c>
      <c r="R171" s="311">
        <v>89</v>
      </c>
      <c r="S171" s="311">
        <v>58</v>
      </c>
      <c r="T171" s="311">
        <v>51</v>
      </c>
      <c r="U171" s="311">
        <v>30</v>
      </c>
      <c r="V171" s="311">
        <v>67</v>
      </c>
      <c r="W171" s="311">
        <v>20</v>
      </c>
      <c r="X171" s="311">
        <v>61</v>
      </c>
      <c r="Y171" s="311">
        <v>33</v>
      </c>
      <c r="Z171" s="311">
        <v>25</v>
      </c>
      <c r="AA171" s="311">
        <v>18</v>
      </c>
      <c r="AB171" s="311">
        <v>34</v>
      </c>
      <c r="AC171" s="311">
        <v>64</v>
      </c>
      <c r="AD171" s="311">
        <v>11</v>
      </c>
      <c r="AE171" s="311">
        <v>28</v>
      </c>
      <c r="AF171" s="311">
        <v>22</v>
      </c>
      <c r="AG171" s="311">
        <v>0</v>
      </c>
      <c r="AH171" s="312">
        <v>32.40589198036006</v>
      </c>
      <c r="AI171" s="312">
        <v>15.875613747954173</v>
      </c>
      <c r="AJ171" s="312">
        <v>22.749590834697216</v>
      </c>
      <c r="AK171" s="312">
        <v>2.9459901800327333</v>
      </c>
      <c r="AL171" s="312">
        <v>26.02291325695581</v>
      </c>
      <c r="AM171" s="311">
        <v>20832</v>
      </c>
      <c r="AN171" s="311">
        <v>31458</v>
      </c>
      <c r="AO171" s="312">
        <v>66.939443535188218</v>
      </c>
      <c r="AP171" s="311">
        <v>611</v>
      </c>
      <c r="AQ171" s="311">
        <v>98</v>
      </c>
      <c r="AR171" s="311">
        <v>497</v>
      </c>
      <c r="AS171" s="311">
        <v>114</v>
      </c>
      <c r="AT171" s="311">
        <v>21</v>
      </c>
      <c r="AU171" s="311">
        <v>44</v>
      </c>
      <c r="AV171" s="311">
        <v>104</v>
      </c>
      <c r="AW171" s="311">
        <v>52</v>
      </c>
      <c r="AX171" s="311">
        <v>40</v>
      </c>
      <c r="AY171" s="311">
        <v>25</v>
      </c>
      <c r="AZ171" s="311">
        <v>101</v>
      </c>
      <c r="BA171" s="311">
        <v>18</v>
      </c>
      <c r="BB171" s="311">
        <v>0</v>
      </c>
      <c r="BC171" s="311">
        <v>49</v>
      </c>
      <c r="BD171" s="311">
        <v>0</v>
      </c>
      <c r="BE171" s="311">
        <v>3</v>
      </c>
      <c r="BF171" s="311">
        <v>125</v>
      </c>
      <c r="BG171" s="311">
        <v>0</v>
      </c>
      <c r="BH171" s="311">
        <v>0</v>
      </c>
      <c r="BI171" s="312">
        <v>21.603927986906708</v>
      </c>
      <c r="BJ171" s="313">
        <v>3.3</v>
      </c>
      <c r="BK171" s="313">
        <v>4</v>
      </c>
      <c r="BL171" s="313">
        <v>3.8</v>
      </c>
      <c r="BM171" s="313">
        <v>5.9</v>
      </c>
      <c r="BN171" s="313">
        <v>6.6</v>
      </c>
      <c r="BO171" s="313">
        <v>3.1</v>
      </c>
      <c r="BP171" s="313">
        <v>8</v>
      </c>
      <c r="BQ171" s="313">
        <v>3.8</v>
      </c>
      <c r="BR171" s="313">
        <v>7.1</v>
      </c>
      <c r="BS171" s="313">
        <v>5.3</v>
      </c>
      <c r="BT171" s="313">
        <v>7.9</v>
      </c>
      <c r="BU171" s="313">
        <v>10</v>
      </c>
      <c r="BV171" s="313">
        <v>6.2</v>
      </c>
      <c r="BW171" s="313">
        <v>7.8</v>
      </c>
      <c r="BX171" s="313">
        <v>5.9</v>
      </c>
      <c r="BY171" s="313">
        <v>4.9000000000000004</v>
      </c>
      <c r="BZ171" s="313">
        <v>3.8</v>
      </c>
      <c r="CA171" s="313">
        <v>2.6</v>
      </c>
      <c r="CB171" s="313">
        <v>11.1</v>
      </c>
      <c r="CC171" s="313">
        <v>63.9</v>
      </c>
      <c r="CD171" s="313">
        <v>25.000000000000004</v>
      </c>
    </row>
    <row r="172" spans="1:82" x14ac:dyDescent="0.25">
      <c r="A172" s="130" t="s">
        <v>4890</v>
      </c>
      <c r="B172" s="130" t="s">
        <v>296</v>
      </c>
      <c r="C172" s="130" t="s">
        <v>4891</v>
      </c>
      <c r="D172" s="130" t="s">
        <v>49</v>
      </c>
      <c r="E172" s="130" t="s">
        <v>4868</v>
      </c>
      <c r="F172" s="130" t="s">
        <v>4272</v>
      </c>
      <c r="G172" s="130" t="s">
        <v>4892</v>
      </c>
      <c r="H172" s="309">
        <v>540250</v>
      </c>
      <c r="I172" s="277" t="s">
        <v>1510</v>
      </c>
      <c r="J172" s="130">
        <v>5464708</v>
      </c>
      <c r="K172" s="130" t="s">
        <v>4893</v>
      </c>
      <c r="L172" s="310">
        <v>3.0889013912064454</v>
      </c>
      <c r="M172" s="311">
        <v>4218</v>
      </c>
      <c r="N172" s="312">
        <v>1365.5340413287061</v>
      </c>
      <c r="O172" s="311">
        <v>1856</v>
      </c>
      <c r="P172" s="312">
        <v>2.2599999999999998</v>
      </c>
      <c r="Q172" s="311">
        <v>4186</v>
      </c>
      <c r="R172" s="311">
        <v>358</v>
      </c>
      <c r="S172" s="311">
        <v>164</v>
      </c>
      <c r="T172" s="311">
        <v>162</v>
      </c>
      <c r="U172" s="311">
        <v>116</v>
      </c>
      <c r="V172" s="311">
        <v>58</v>
      </c>
      <c r="W172" s="311">
        <v>214</v>
      </c>
      <c r="X172" s="311">
        <v>96</v>
      </c>
      <c r="Y172" s="311">
        <v>72</v>
      </c>
      <c r="Z172" s="311">
        <v>20</v>
      </c>
      <c r="AA172" s="311">
        <v>159</v>
      </c>
      <c r="AB172" s="311">
        <v>41</v>
      </c>
      <c r="AC172" s="311">
        <v>207</v>
      </c>
      <c r="AD172" s="311">
        <v>164</v>
      </c>
      <c r="AE172" s="311">
        <v>0</v>
      </c>
      <c r="AF172" s="311">
        <v>25</v>
      </c>
      <c r="AG172" s="311">
        <v>0</v>
      </c>
      <c r="AH172" s="312">
        <v>36.853448275862064</v>
      </c>
      <c r="AI172" s="312">
        <v>9.375</v>
      </c>
      <c r="AJ172" s="312">
        <v>21.65948275862069</v>
      </c>
      <c r="AK172" s="312">
        <v>8.5668103448275854</v>
      </c>
      <c r="AL172" s="312">
        <v>23.545258620689655</v>
      </c>
      <c r="AM172" s="311">
        <v>17945</v>
      </c>
      <c r="AN172" s="311">
        <v>31122</v>
      </c>
      <c r="AO172" s="312">
        <v>66.810344827586206</v>
      </c>
      <c r="AP172" s="311">
        <v>1856</v>
      </c>
      <c r="AQ172" s="311">
        <v>283</v>
      </c>
      <c r="AR172" s="311">
        <v>1209</v>
      </c>
      <c r="AS172" s="311">
        <v>647</v>
      </c>
      <c r="AT172" s="311">
        <v>142</v>
      </c>
      <c r="AU172" s="311">
        <v>98</v>
      </c>
      <c r="AV172" s="311">
        <v>373</v>
      </c>
      <c r="AW172" s="311">
        <v>180</v>
      </c>
      <c r="AX172" s="311">
        <v>45</v>
      </c>
      <c r="AY172" s="311">
        <v>163</v>
      </c>
      <c r="AZ172" s="311">
        <v>104</v>
      </c>
      <c r="BA172" s="311">
        <v>60</v>
      </c>
      <c r="BB172" s="311">
        <v>17</v>
      </c>
      <c r="BC172" s="311">
        <v>174</v>
      </c>
      <c r="BD172" s="311">
        <v>26</v>
      </c>
      <c r="BE172" s="311">
        <v>0</v>
      </c>
      <c r="BF172" s="311">
        <v>380</v>
      </c>
      <c r="BG172" s="311">
        <v>16</v>
      </c>
      <c r="BH172" s="311">
        <v>0</v>
      </c>
      <c r="BI172" s="312">
        <v>29.795258620689658</v>
      </c>
      <c r="BJ172" s="313">
        <v>10.6</v>
      </c>
      <c r="BK172" s="313">
        <v>8.3000000000000007</v>
      </c>
      <c r="BL172" s="313">
        <v>4.8</v>
      </c>
      <c r="BM172" s="313">
        <v>3.6</v>
      </c>
      <c r="BN172" s="313">
        <v>6.2</v>
      </c>
      <c r="BO172" s="313">
        <v>11.2</v>
      </c>
      <c r="BP172" s="313">
        <v>6.3</v>
      </c>
      <c r="BQ172" s="313">
        <v>3.8</v>
      </c>
      <c r="BR172" s="313">
        <v>3.1</v>
      </c>
      <c r="BS172" s="313">
        <v>4.8</v>
      </c>
      <c r="BT172" s="313">
        <v>2.7</v>
      </c>
      <c r="BU172" s="313">
        <v>6.1</v>
      </c>
      <c r="BV172" s="313">
        <v>5.7</v>
      </c>
      <c r="BW172" s="313">
        <v>4.3</v>
      </c>
      <c r="BX172" s="313">
        <v>4.5999999999999996</v>
      </c>
      <c r="BY172" s="313">
        <v>4.8</v>
      </c>
      <c r="BZ172" s="313">
        <v>4.0999999999999996</v>
      </c>
      <c r="CA172" s="313">
        <v>4.9000000000000004</v>
      </c>
      <c r="CB172" s="313">
        <v>23.7</v>
      </c>
      <c r="CC172" s="313">
        <v>53.500000000000007</v>
      </c>
      <c r="CD172" s="313">
        <v>22.699999999999996</v>
      </c>
    </row>
    <row r="173" spans="1:82" s="322" customFormat="1" x14ac:dyDescent="0.25">
      <c r="A173" s="314" t="s">
        <v>4894</v>
      </c>
      <c r="B173" s="315" t="s">
        <v>348</v>
      </c>
      <c r="C173" s="314"/>
      <c r="D173" s="314"/>
      <c r="E173" s="314"/>
      <c r="F173" s="314"/>
      <c r="G173" s="314"/>
      <c r="H173" s="316"/>
      <c r="I173" s="317"/>
      <c r="J173" s="314">
        <v>54053</v>
      </c>
      <c r="K173" s="314" t="s">
        <v>4895</v>
      </c>
      <c r="L173" s="318">
        <v>444.884650650948</v>
      </c>
      <c r="M173" s="319">
        <v>27000</v>
      </c>
      <c r="N173" s="320">
        <v>60.689888852074439</v>
      </c>
      <c r="O173" s="319">
        <v>11079</v>
      </c>
      <c r="P173" s="320">
        <v>2.38</v>
      </c>
      <c r="Q173" s="319">
        <v>26327</v>
      </c>
      <c r="R173" s="319">
        <v>1131</v>
      </c>
      <c r="S173" s="319">
        <v>737</v>
      </c>
      <c r="T173" s="319">
        <v>879</v>
      </c>
      <c r="U173" s="319">
        <v>901</v>
      </c>
      <c r="V173" s="319">
        <v>672</v>
      </c>
      <c r="W173" s="319">
        <v>590</v>
      </c>
      <c r="X173" s="319">
        <v>749</v>
      </c>
      <c r="Y173" s="319">
        <v>459</v>
      </c>
      <c r="Z173" s="319">
        <v>497</v>
      </c>
      <c r="AA173" s="319">
        <v>1066</v>
      </c>
      <c r="AB173" s="319">
        <v>966</v>
      </c>
      <c r="AC173" s="319">
        <v>1052</v>
      </c>
      <c r="AD173" s="319">
        <v>643</v>
      </c>
      <c r="AE173" s="319">
        <v>355</v>
      </c>
      <c r="AF173" s="319">
        <v>327</v>
      </c>
      <c r="AG173" s="319">
        <v>55</v>
      </c>
      <c r="AH173" s="320">
        <v>24.794656557451034</v>
      </c>
      <c r="AI173" s="320">
        <v>14.198032313385683</v>
      </c>
      <c r="AJ173" s="320">
        <v>20.714865962632008</v>
      </c>
      <c r="AK173" s="320">
        <v>9.6218070222944299</v>
      </c>
      <c r="AL173" s="320">
        <v>30.670638144236843</v>
      </c>
      <c r="AM173" s="319">
        <v>21094</v>
      </c>
      <c r="AN173" s="319">
        <v>38977</v>
      </c>
      <c r="AO173" s="320">
        <v>55.221590396245148</v>
      </c>
      <c r="AP173" s="319">
        <v>11079</v>
      </c>
      <c r="AQ173" s="319">
        <v>1972</v>
      </c>
      <c r="AR173" s="319">
        <v>8586</v>
      </c>
      <c r="AS173" s="319">
        <v>2493</v>
      </c>
      <c r="AT173" s="319">
        <v>556</v>
      </c>
      <c r="AU173" s="319">
        <v>408</v>
      </c>
      <c r="AV173" s="319">
        <v>1344</v>
      </c>
      <c r="AW173" s="319">
        <v>894</v>
      </c>
      <c r="AX173" s="319">
        <v>505</v>
      </c>
      <c r="AY173" s="319">
        <v>593</v>
      </c>
      <c r="AZ173" s="319">
        <v>1136</v>
      </c>
      <c r="BA173" s="319">
        <v>285</v>
      </c>
      <c r="BB173" s="319">
        <v>100</v>
      </c>
      <c r="BC173" s="319">
        <v>1717</v>
      </c>
      <c r="BD173" s="319">
        <v>223</v>
      </c>
      <c r="BE173" s="319">
        <v>3</v>
      </c>
      <c r="BF173" s="319">
        <v>2204</v>
      </c>
      <c r="BG173" s="319">
        <v>122</v>
      </c>
      <c r="BH173" s="319">
        <v>8</v>
      </c>
      <c r="BI173" s="320">
        <v>18.485422872100372</v>
      </c>
      <c r="BJ173" s="321">
        <v>5.4</v>
      </c>
      <c r="BK173" s="321">
        <v>6.5</v>
      </c>
      <c r="BL173" s="321">
        <v>5.3</v>
      </c>
      <c r="BM173" s="321">
        <v>5.6</v>
      </c>
      <c r="BN173" s="321">
        <v>5.2</v>
      </c>
      <c r="BO173" s="321">
        <v>5.5</v>
      </c>
      <c r="BP173" s="321">
        <v>5.5</v>
      </c>
      <c r="BQ173" s="321">
        <v>6.6</v>
      </c>
      <c r="BR173" s="321">
        <v>5.9</v>
      </c>
      <c r="BS173" s="321">
        <v>6.1</v>
      </c>
      <c r="BT173" s="321">
        <v>7.2</v>
      </c>
      <c r="BU173" s="321">
        <v>8.9</v>
      </c>
      <c r="BV173" s="321">
        <v>7.1</v>
      </c>
      <c r="BW173" s="321">
        <v>6</v>
      </c>
      <c r="BX173" s="321">
        <v>5.3</v>
      </c>
      <c r="BY173" s="321">
        <v>3.6</v>
      </c>
      <c r="BZ173" s="321">
        <v>2.6</v>
      </c>
      <c r="CA173" s="321">
        <v>2</v>
      </c>
      <c r="CB173" s="321">
        <v>17.2</v>
      </c>
      <c r="CC173" s="321">
        <v>63.6</v>
      </c>
      <c r="CD173" s="321">
        <v>19.5</v>
      </c>
    </row>
    <row r="174" spans="1:82" s="308" customFormat="1" x14ac:dyDescent="0.25">
      <c r="A174" s="301" t="s">
        <v>4896</v>
      </c>
      <c r="B174" s="301" t="s">
        <v>50</v>
      </c>
      <c r="C174" s="301" t="s">
        <v>4897</v>
      </c>
      <c r="D174" s="301" t="s">
        <v>51</v>
      </c>
      <c r="E174" s="301" t="s">
        <v>4898</v>
      </c>
      <c r="F174" s="301" t="s">
        <v>4272</v>
      </c>
      <c r="G174" s="301" t="s">
        <v>4899</v>
      </c>
      <c r="H174" s="302">
        <v>540114</v>
      </c>
      <c r="I174" s="303" t="s">
        <v>1512</v>
      </c>
      <c r="J174" s="301" t="s">
        <v>488</v>
      </c>
      <c r="K174" s="301" t="s">
        <v>488</v>
      </c>
      <c r="L174" s="304">
        <v>521.62503614389504</v>
      </c>
      <c r="M174" s="305">
        <v>13635</v>
      </c>
      <c r="N174" s="306">
        <v>26.139466197398278</v>
      </c>
      <c r="O174" s="305">
        <v>5728</v>
      </c>
      <c r="P174" s="306">
        <v>2.3744762569832401</v>
      </c>
      <c r="Q174" s="305">
        <v>13601</v>
      </c>
      <c r="R174" s="305">
        <v>911</v>
      </c>
      <c r="S174" s="305">
        <v>570</v>
      </c>
      <c r="T174" s="305">
        <v>808</v>
      </c>
      <c r="U174" s="305">
        <v>554</v>
      </c>
      <c r="V174" s="305">
        <v>493</v>
      </c>
      <c r="W174" s="305">
        <v>425</v>
      </c>
      <c r="X174" s="305">
        <v>329</v>
      </c>
      <c r="Y174" s="305">
        <v>272</v>
      </c>
      <c r="Z174" s="305">
        <v>165</v>
      </c>
      <c r="AA174" s="305">
        <v>348</v>
      </c>
      <c r="AB174" s="305">
        <v>222</v>
      </c>
      <c r="AC174" s="305">
        <v>361</v>
      </c>
      <c r="AD174" s="305">
        <v>150</v>
      </c>
      <c r="AE174" s="305">
        <v>18</v>
      </c>
      <c r="AF174" s="305">
        <v>61</v>
      </c>
      <c r="AG174" s="305">
        <v>41</v>
      </c>
      <c r="AH174" s="306">
        <v>39.96159217877095</v>
      </c>
      <c r="AI174" s="306">
        <v>18.278631284916202</v>
      </c>
      <c r="AJ174" s="306">
        <v>20.792597765363126</v>
      </c>
      <c r="AK174" s="306">
        <v>6.0754189944134076</v>
      </c>
      <c r="AL174" s="306">
        <v>14.891759776536311</v>
      </c>
      <c r="AM174" s="305">
        <v>13985</v>
      </c>
      <c r="AN174" s="305">
        <v>25595</v>
      </c>
      <c r="AO174" s="306">
        <v>76.152234636871512</v>
      </c>
      <c r="AP174" s="305">
        <v>5728</v>
      </c>
      <c r="AQ174" s="305">
        <v>2342</v>
      </c>
      <c r="AR174" s="305">
        <v>4599</v>
      </c>
      <c r="AS174" s="305">
        <v>1129</v>
      </c>
      <c r="AT174" s="305">
        <v>654</v>
      </c>
      <c r="AU174" s="305">
        <v>353</v>
      </c>
      <c r="AV174" s="305">
        <v>836</v>
      </c>
      <c r="AW174" s="305">
        <v>1041</v>
      </c>
      <c r="AX174" s="305">
        <v>150</v>
      </c>
      <c r="AY174" s="305">
        <v>170</v>
      </c>
      <c r="AZ174" s="305">
        <v>658</v>
      </c>
      <c r="BA174" s="305">
        <v>65</v>
      </c>
      <c r="BB174" s="305">
        <v>1</v>
      </c>
      <c r="BC174" s="305">
        <v>548</v>
      </c>
      <c r="BD174" s="305">
        <v>0</v>
      </c>
      <c r="BE174" s="305">
        <v>0</v>
      </c>
      <c r="BF174" s="305">
        <v>601</v>
      </c>
      <c r="BG174" s="305">
        <v>0</v>
      </c>
      <c r="BH174" s="305">
        <v>0</v>
      </c>
      <c r="BI174" s="306">
        <v>17.580307262569832</v>
      </c>
      <c r="BJ174" s="307">
        <v>5.9</v>
      </c>
      <c r="BK174" s="307">
        <v>5.9</v>
      </c>
      <c r="BL174" s="307">
        <v>5.3</v>
      </c>
      <c r="BM174" s="307">
        <v>4.7</v>
      </c>
      <c r="BN174" s="307">
        <v>4.9000000000000004</v>
      </c>
      <c r="BO174" s="307">
        <v>6</v>
      </c>
      <c r="BP174" s="307">
        <v>5.9</v>
      </c>
      <c r="BQ174" s="307">
        <v>6.1</v>
      </c>
      <c r="BR174" s="307">
        <v>6.7</v>
      </c>
      <c r="BS174" s="307">
        <v>6.6</v>
      </c>
      <c r="BT174" s="307">
        <v>6.7</v>
      </c>
      <c r="BU174" s="307">
        <v>8.6</v>
      </c>
      <c r="BV174" s="307">
        <v>7.7</v>
      </c>
      <c r="BW174" s="307">
        <v>6.5</v>
      </c>
      <c r="BX174" s="307">
        <v>4.5999999999999996</v>
      </c>
      <c r="BY174" s="307">
        <v>3.4</v>
      </c>
      <c r="BZ174" s="307">
        <v>2.8</v>
      </c>
      <c r="CA174" s="307">
        <v>1.8</v>
      </c>
      <c r="CB174" s="307">
        <v>17.100000000000001</v>
      </c>
      <c r="CC174" s="307">
        <v>63.900000000000013</v>
      </c>
      <c r="CD174" s="307">
        <v>19.100000000000001</v>
      </c>
    </row>
    <row r="175" spans="1:82" x14ac:dyDescent="0.25">
      <c r="A175" s="130" t="s">
        <v>4900</v>
      </c>
      <c r="B175" s="130" t="s">
        <v>201</v>
      </c>
      <c r="C175" s="130" t="s">
        <v>4901</v>
      </c>
      <c r="D175" s="130" t="s">
        <v>51</v>
      </c>
      <c r="E175" s="130" t="s">
        <v>4898</v>
      </c>
      <c r="F175" s="130" t="s">
        <v>4272</v>
      </c>
      <c r="G175" s="130" t="s">
        <v>4902</v>
      </c>
      <c r="H175" s="309">
        <v>540115</v>
      </c>
      <c r="I175" s="277" t="s">
        <v>1513</v>
      </c>
      <c r="J175" s="130">
        <v>5401780</v>
      </c>
      <c r="K175" s="130" t="s">
        <v>4903</v>
      </c>
      <c r="L175" s="310">
        <v>0.57491435376467293</v>
      </c>
      <c r="M175" s="311">
        <v>97</v>
      </c>
      <c r="N175" s="312">
        <v>168.72078313025486</v>
      </c>
      <c r="O175" s="311">
        <v>49</v>
      </c>
      <c r="P175" s="312">
        <v>1.98</v>
      </c>
      <c r="Q175" s="311">
        <v>97</v>
      </c>
      <c r="R175" s="311">
        <v>13</v>
      </c>
      <c r="S175" s="311">
        <v>2</v>
      </c>
      <c r="T175" s="311">
        <v>7</v>
      </c>
      <c r="U175" s="311">
        <v>15</v>
      </c>
      <c r="V175" s="311">
        <v>0</v>
      </c>
      <c r="W175" s="311">
        <v>0</v>
      </c>
      <c r="X175" s="311">
        <v>0</v>
      </c>
      <c r="Y175" s="311">
        <v>0</v>
      </c>
      <c r="Z175" s="311">
        <v>5</v>
      </c>
      <c r="AA175" s="311">
        <v>1</v>
      </c>
      <c r="AB175" s="311">
        <v>2</v>
      </c>
      <c r="AC175" s="311">
        <v>2</v>
      </c>
      <c r="AD175" s="311">
        <v>0</v>
      </c>
      <c r="AE175" s="311">
        <v>1</v>
      </c>
      <c r="AF175" s="311">
        <v>1</v>
      </c>
      <c r="AG175" s="311">
        <v>0</v>
      </c>
      <c r="AH175" s="312">
        <v>44.897959183673471</v>
      </c>
      <c r="AI175" s="312">
        <v>30.612244897959183</v>
      </c>
      <c r="AJ175" s="312">
        <v>10.204081632653061</v>
      </c>
      <c r="AK175" s="312">
        <v>2.0408163265306123</v>
      </c>
      <c r="AL175" s="312">
        <v>12.244897959183673</v>
      </c>
      <c r="AM175" s="311">
        <v>15634</v>
      </c>
      <c r="AN175" s="311">
        <v>20893</v>
      </c>
      <c r="AO175" s="312">
        <v>75.510204081632651</v>
      </c>
      <c r="AP175" s="311">
        <v>49</v>
      </c>
      <c r="AQ175" s="311">
        <v>47</v>
      </c>
      <c r="AR175" s="311">
        <v>39</v>
      </c>
      <c r="AS175" s="311">
        <v>10</v>
      </c>
      <c r="AT175" s="311">
        <v>7</v>
      </c>
      <c r="AU175" s="311">
        <v>0</v>
      </c>
      <c r="AV175" s="311">
        <v>11</v>
      </c>
      <c r="AW175" s="311">
        <v>12</v>
      </c>
      <c r="AX175" s="311">
        <v>3</v>
      </c>
      <c r="AY175" s="311">
        <v>0</v>
      </c>
      <c r="AZ175" s="311">
        <v>5</v>
      </c>
      <c r="BA175" s="311">
        <v>0</v>
      </c>
      <c r="BB175" s="311">
        <v>0</v>
      </c>
      <c r="BC175" s="311">
        <v>3</v>
      </c>
      <c r="BD175" s="311">
        <v>0</v>
      </c>
      <c r="BE175" s="311">
        <v>0</v>
      </c>
      <c r="BF175" s="311">
        <v>4</v>
      </c>
      <c r="BG175" s="311">
        <v>0</v>
      </c>
      <c r="BH175" s="311">
        <v>0</v>
      </c>
      <c r="BI175" s="312">
        <v>22.448979591836736</v>
      </c>
      <c r="BJ175" s="313">
        <v>6.2</v>
      </c>
      <c r="BK175" s="313">
        <v>1</v>
      </c>
      <c r="BL175" s="313">
        <v>5.2</v>
      </c>
      <c r="BM175" s="313">
        <v>7.2</v>
      </c>
      <c r="BN175" s="313">
        <v>1</v>
      </c>
      <c r="BO175" s="313">
        <v>3.1</v>
      </c>
      <c r="BP175" s="313">
        <v>2.1</v>
      </c>
      <c r="BQ175" s="313">
        <v>7.2</v>
      </c>
      <c r="BR175" s="313">
        <v>4.0999999999999996</v>
      </c>
      <c r="BS175" s="313">
        <v>17.5</v>
      </c>
      <c r="BT175" s="313">
        <v>3.1</v>
      </c>
      <c r="BU175" s="313">
        <v>7.2</v>
      </c>
      <c r="BV175" s="313">
        <v>8.1999999999999993</v>
      </c>
      <c r="BW175" s="313">
        <v>9.3000000000000007</v>
      </c>
      <c r="BX175" s="313">
        <v>13.4</v>
      </c>
      <c r="BY175" s="313">
        <v>0</v>
      </c>
      <c r="BZ175" s="313">
        <v>4.0999999999999996</v>
      </c>
      <c r="CA175" s="313">
        <v>0</v>
      </c>
      <c r="CB175" s="313">
        <v>12.4</v>
      </c>
      <c r="CC175" s="313">
        <v>60.7</v>
      </c>
      <c r="CD175" s="313">
        <v>26.800000000000004</v>
      </c>
    </row>
    <row r="176" spans="1:82" x14ac:dyDescent="0.25">
      <c r="A176" s="130" t="s">
        <v>4904</v>
      </c>
      <c r="B176" s="130" t="s">
        <v>328</v>
      </c>
      <c r="C176" s="130" t="s">
        <v>4905</v>
      </c>
      <c r="D176" s="130" t="s">
        <v>51</v>
      </c>
      <c r="E176" s="130" t="s">
        <v>4898</v>
      </c>
      <c r="F176" s="130" t="s">
        <v>4272</v>
      </c>
      <c r="G176" s="130" t="s">
        <v>4906</v>
      </c>
      <c r="H176" s="309">
        <v>540291</v>
      </c>
      <c r="I176" s="277" t="s">
        <v>1522</v>
      </c>
      <c r="J176" s="130">
        <v>5409700</v>
      </c>
      <c r="K176" s="130" t="s">
        <v>4907</v>
      </c>
      <c r="L176" s="310">
        <v>0.79925865636324644</v>
      </c>
      <c r="M176" s="311">
        <v>271</v>
      </c>
      <c r="N176" s="312">
        <v>339.06420386248044</v>
      </c>
      <c r="O176" s="311">
        <v>98</v>
      </c>
      <c r="P176" s="312">
        <v>2.77</v>
      </c>
      <c r="Q176" s="311">
        <v>271</v>
      </c>
      <c r="R176" s="311">
        <v>15</v>
      </c>
      <c r="S176" s="311">
        <v>16</v>
      </c>
      <c r="T176" s="311">
        <v>7</v>
      </c>
      <c r="U176" s="311">
        <v>12</v>
      </c>
      <c r="V176" s="311">
        <v>6</v>
      </c>
      <c r="W176" s="311">
        <v>14</v>
      </c>
      <c r="X176" s="311">
        <v>8</v>
      </c>
      <c r="Y176" s="311">
        <v>0</v>
      </c>
      <c r="Z176" s="311">
        <v>0</v>
      </c>
      <c r="AA176" s="311">
        <v>1</v>
      </c>
      <c r="AB176" s="311">
        <v>4</v>
      </c>
      <c r="AC176" s="311">
        <v>10</v>
      </c>
      <c r="AD176" s="311">
        <v>5</v>
      </c>
      <c r="AE176" s="311">
        <v>0</v>
      </c>
      <c r="AF176" s="311">
        <v>0</v>
      </c>
      <c r="AG176" s="311">
        <v>0</v>
      </c>
      <c r="AH176" s="312">
        <v>38.775510204081634</v>
      </c>
      <c r="AI176" s="312">
        <v>18.367346938775512</v>
      </c>
      <c r="AJ176" s="312">
        <v>22.448979591836736</v>
      </c>
      <c r="AK176" s="312">
        <v>1.0204081632653061</v>
      </c>
      <c r="AL176" s="312">
        <v>19.387755102040817</v>
      </c>
      <c r="AM176" s="311">
        <v>11855</v>
      </c>
      <c r="AN176" s="311">
        <v>24375</v>
      </c>
      <c r="AO176" s="312">
        <v>79.591836734693871</v>
      </c>
      <c r="AP176" s="311">
        <v>98</v>
      </c>
      <c r="AQ176" s="311">
        <v>33</v>
      </c>
      <c r="AR176" s="311">
        <v>73</v>
      </c>
      <c r="AS176" s="311">
        <v>25</v>
      </c>
      <c r="AT176" s="311">
        <v>2</v>
      </c>
      <c r="AU176" s="311">
        <v>7</v>
      </c>
      <c r="AV176" s="311">
        <v>21</v>
      </c>
      <c r="AW176" s="311">
        <v>18</v>
      </c>
      <c r="AX176" s="311">
        <v>14</v>
      </c>
      <c r="AY176" s="311">
        <v>0</v>
      </c>
      <c r="AZ176" s="311">
        <v>0</v>
      </c>
      <c r="BA176" s="311">
        <v>8</v>
      </c>
      <c r="BB176" s="311">
        <v>0</v>
      </c>
      <c r="BC176" s="311">
        <v>5</v>
      </c>
      <c r="BD176" s="311">
        <v>0</v>
      </c>
      <c r="BE176" s="311">
        <v>0</v>
      </c>
      <c r="BF176" s="311">
        <v>15</v>
      </c>
      <c r="BG176" s="311">
        <v>0</v>
      </c>
      <c r="BH176" s="311">
        <v>0</v>
      </c>
      <c r="BI176" s="312">
        <v>21.428571428571427</v>
      </c>
      <c r="BJ176" s="313">
        <v>10.7</v>
      </c>
      <c r="BK176" s="313">
        <v>4.4000000000000004</v>
      </c>
      <c r="BL176" s="313">
        <v>3</v>
      </c>
      <c r="BM176" s="313">
        <v>10.3</v>
      </c>
      <c r="BN176" s="313">
        <v>3.3</v>
      </c>
      <c r="BO176" s="313">
        <v>11.4</v>
      </c>
      <c r="BP176" s="313">
        <v>1.5</v>
      </c>
      <c r="BQ176" s="313">
        <v>2.2000000000000002</v>
      </c>
      <c r="BR176" s="313">
        <v>6.3</v>
      </c>
      <c r="BS176" s="313">
        <v>4.0999999999999996</v>
      </c>
      <c r="BT176" s="313">
        <v>3.3</v>
      </c>
      <c r="BU176" s="313">
        <v>8.5</v>
      </c>
      <c r="BV176" s="313">
        <v>8.5</v>
      </c>
      <c r="BW176" s="313">
        <v>11.8</v>
      </c>
      <c r="BX176" s="313">
        <v>6.3</v>
      </c>
      <c r="BY176" s="313">
        <v>3.7</v>
      </c>
      <c r="BZ176" s="313">
        <v>0</v>
      </c>
      <c r="CA176" s="313">
        <v>0.7</v>
      </c>
      <c r="CB176" s="313">
        <v>18.100000000000001</v>
      </c>
      <c r="CC176" s="313">
        <v>59.4</v>
      </c>
      <c r="CD176" s="313">
        <v>22.5</v>
      </c>
    </row>
    <row r="177" spans="1:82" x14ac:dyDescent="0.25">
      <c r="A177" s="130" t="s">
        <v>4908</v>
      </c>
      <c r="B177" s="130" t="s">
        <v>202</v>
      </c>
      <c r="C177" s="130" t="s">
        <v>4909</v>
      </c>
      <c r="D177" s="130" t="s">
        <v>51</v>
      </c>
      <c r="E177" s="130" t="s">
        <v>4898</v>
      </c>
      <c r="F177" s="130" t="s">
        <v>4272</v>
      </c>
      <c r="G177" s="130" t="s">
        <v>4910</v>
      </c>
      <c r="H177" s="309">
        <v>540116</v>
      </c>
      <c r="I177" s="277" t="s">
        <v>1514</v>
      </c>
      <c r="J177" s="130">
        <v>5420500</v>
      </c>
      <c r="K177" s="130" t="s">
        <v>4911</v>
      </c>
      <c r="L177" s="310">
        <v>1.29333845473882</v>
      </c>
      <c r="M177" s="311">
        <v>271</v>
      </c>
      <c r="N177" s="312">
        <v>209.53525274613938</v>
      </c>
      <c r="O177" s="311">
        <v>109</v>
      </c>
      <c r="P177" s="312">
        <v>2.4900000000000002</v>
      </c>
      <c r="Q177" s="311">
        <v>271</v>
      </c>
      <c r="R177" s="311">
        <v>21</v>
      </c>
      <c r="S177" s="311">
        <v>18</v>
      </c>
      <c r="T177" s="311">
        <v>17</v>
      </c>
      <c r="U177" s="311">
        <v>7</v>
      </c>
      <c r="V177" s="311">
        <v>11</v>
      </c>
      <c r="W177" s="311">
        <v>8</v>
      </c>
      <c r="X177" s="311">
        <v>2</v>
      </c>
      <c r="Y177" s="311">
        <v>4</v>
      </c>
      <c r="Z177" s="311">
        <v>2</v>
      </c>
      <c r="AA177" s="311">
        <v>5</v>
      </c>
      <c r="AB177" s="311">
        <v>12</v>
      </c>
      <c r="AC177" s="311">
        <v>2</v>
      </c>
      <c r="AD177" s="311">
        <v>0</v>
      </c>
      <c r="AE177" s="311">
        <v>0</v>
      </c>
      <c r="AF177" s="311">
        <v>0</v>
      </c>
      <c r="AG177" s="311">
        <v>0</v>
      </c>
      <c r="AH177" s="312">
        <v>51.37614678899083</v>
      </c>
      <c r="AI177" s="312">
        <v>16.513761467889911</v>
      </c>
      <c r="AJ177" s="312">
        <v>14.678899082568808</v>
      </c>
      <c r="AK177" s="312">
        <v>4.5871559633027523</v>
      </c>
      <c r="AL177" s="312">
        <v>12.844036697247708</v>
      </c>
      <c r="AM177" s="311">
        <v>10938</v>
      </c>
      <c r="AN177" s="311">
        <v>19732</v>
      </c>
      <c r="AO177" s="312">
        <v>80.733944954128447</v>
      </c>
      <c r="AP177" s="311">
        <v>109</v>
      </c>
      <c r="AQ177" s="311">
        <v>25</v>
      </c>
      <c r="AR177" s="311">
        <v>78</v>
      </c>
      <c r="AS177" s="311">
        <v>31</v>
      </c>
      <c r="AT177" s="311">
        <v>8</v>
      </c>
      <c r="AU177" s="311">
        <v>11</v>
      </c>
      <c r="AV177" s="311">
        <v>18</v>
      </c>
      <c r="AW177" s="311">
        <v>22</v>
      </c>
      <c r="AX177" s="311">
        <v>2</v>
      </c>
      <c r="AY177" s="311">
        <v>2</v>
      </c>
      <c r="AZ177" s="311">
        <v>8</v>
      </c>
      <c r="BA177" s="311">
        <v>0</v>
      </c>
      <c r="BB177" s="311">
        <v>0</v>
      </c>
      <c r="BC177" s="311">
        <v>17</v>
      </c>
      <c r="BD177" s="311">
        <v>0</v>
      </c>
      <c r="BE177" s="311">
        <v>0</v>
      </c>
      <c r="BF177" s="311">
        <v>2</v>
      </c>
      <c r="BG177" s="311">
        <v>0</v>
      </c>
      <c r="BH177" s="311">
        <v>0</v>
      </c>
      <c r="BI177" s="312">
        <v>18.348623853211009</v>
      </c>
      <c r="BJ177" s="313">
        <v>8.9</v>
      </c>
      <c r="BK177" s="313">
        <v>7</v>
      </c>
      <c r="BL177" s="313">
        <v>6.3</v>
      </c>
      <c r="BM177" s="313">
        <v>7.4</v>
      </c>
      <c r="BN177" s="313">
        <v>11.1</v>
      </c>
      <c r="BO177" s="313">
        <v>5.2</v>
      </c>
      <c r="BP177" s="313">
        <v>5.5</v>
      </c>
      <c r="BQ177" s="313">
        <v>8.9</v>
      </c>
      <c r="BR177" s="313">
        <v>4.4000000000000004</v>
      </c>
      <c r="BS177" s="313">
        <v>5.2</v>
      </c>
      <c r="BT177" s="313">
        <v>5.2</v>
      </c>
      <c r="BU177" s="313">
        <v>4.0999999999999996</v>
      </c>
      <c r="BV177" s="313">
        <v>4.4000000000000004</v>
      </c>
      <c r="BW177" s="313">
        <v>3.3</v>
      </c>
      <c r="BX177" s="313">
        <v>4.8</v>
      </c>
      <c r="BY177" s="313">
        <v>5.2</v>
      </c>
      <c r="BZ177" s="313">
        <v>0.7</v>
      </c>
      <c r="CA177" s="313">
        <v>2.6</v>
      </c>
      <c r="CB177" s="313">
        <v>22.2</v>
      </c>
      <c r="CC177" s="313">
        <v>61.400000000000006</v>
      </c>
      <c r="CD177" s="313">
        <v>16.600000000000001</v>
      </c>
    </row>
    <row r="178" spans="1:82" x14ac:dyDescent="0.25">
      <c r="A178" s="130" t="s">
        <v>4912</v>
      </c>
      <c r="B178" s="130" t="s">
        <v>203</v>
      </c>
      <c r="C178" s="130" t="s">
        <v>4913</v>
      </c>
      <c r="D178" s="130" t="s">
        <v>51</v>
      </c>
      <c r="E178" s="130" t="s">
        <v>4898</v>
      </c>
      <c r="F178" s="130" t="s">
        <v>4272</v>
      </c>
      <c r="G178" s="130" t="s">
        <v>4914</v>
      </c>
      <c r="H178" s="309">
        <v>540117</v>
      </c>
      <c r="I178" s="277" t="s">
        <v>1515</v>
      </c>
      <c r="J178" s="130">
        <v>5430196</v>
      </c>
      <c r="K178" s="130" t="s">
        <v>4915</v>
      </c>
      <c r="L178" s="310">
        <v>0.87236107967202492</v>
      </c>
      <c r="M178" s="311">
        <v>695</v>
      </c>
      <c r="N178" s="312">
        <v>796.68845412188034</v>
      </c>
      <c r="O178" s="311">
        <v>272</v>
      </c>
      <c r="P178" s="312">
        <v>2.13</v>
      </c>
      <c r="Q178" s="311">
        <v>578</v>
      </c>
      <c r="R178" s="311">
        <v>30</v>
      </c>
      <c r="S178" s="311">
        <v>44</v>
      </c>
      <c r="T178" s="311">
        <v>10</v>
      </c>
      <c r="U178" s="311">
        <v>17</v>
      </c>
      <c r="V178" s="311">
        <v>17</v>
      </c>
      <c r="W178" s="311">
        <v>30</v>
      </c>
      <c r="X178" s="311">
        <v>26</v>
      </c>
      <c r="Y178" s="311">
        <v>11</v>
      </c>
      <c r="Z178" s="311">
        <v>7</v>
      </c>
      <c r="AA178" s="311">
        <v>19</v>
      </c>
      <c r="AB178" s="311">
        <v>25</v>
      </c>
      <c r="AC178" s="311">
        <v>16</v>
      </c>
      <c r="AD178" s="311">
        <v>11</v>
      </c>
      <c r="AE178" s="311">
        <v>5</v>
      </c>
      <c r="AF178" s="311">
        <v>0</v>
      </c>
      <c r="AG178" s="311">
        <v>4</v>
      </c>
      <c r="AH178" s="312">
        <v>30.882352941176471</v>
      </c>
      <c r="AI178" s="312">
        <v>12.5</v>
      </c>
      <c r="AJ178" s="312">
        <v>27.205882352941174</v>
      </c>
      <c r="AK178" s="312">
        <v>6.9852941176470589</v>
      </c>
      <c r="AL178" s="312">
        <v>22.426470588235293</v>
      </c>
      <c r="AM178" s="311">
        <v>18453</v>
      </c>
      <c r="AN178" s="311">
        <v>32857</v>
      </c>
      <c r="AO178" s="312">
        <v>68.014705882352942</v>
      </c>
      <c r="AP178" s="311">
        <v>272</v>
      </c>
      <c r="AQ178" s="311">
        <v>212</v>
      </c>
      <c r="AR178" s="311">
        <v>242</v>
      </c>
      <c r="AS178" s="311">
        <v>30</v>
      </c>
      <c r="AT178" s="311">
        <v>20</v>
      </c>
      <c r="AU178" s="311">
        <v>3</v>
      </c>
      <c r="AV178" s="311">
        <v>44</v>
      </c>
      <c r="AW178" s="311">
        <v>35</v>
      </c>
      <c r="AX178" s="311">
        <v>24</v>
      </c>
      <c r="AY178" s="311">
        <v>2</v>
      </c>
      <c r="AZ178" s="311">
        <v>40</v>
      </c>
      <c r="BA178" s="311">
        <v>4</v>
      </c>
      <c r="BB178" s="311">
        <v>0</v>
      </c>
      <c r="BC178" s="311">
        <v>36</v>
      </c>
      <c r="BD178" s="311">
        <v>0</v>
      </c>
      <c r="BE178" s="311">
        <v>0</v>
      </c>
      <c r="BF178" s="311">
        <v>36</v>
      </c>
      <c r="BG178" s="311">
        <v>0</v>
      </c>
      <c r="BH178" s="311">
        <v>0</v>
      </c>
      <c r="BI178" s="312">
        <v>16.911764705882355</v>
      </c>
      <c r="BJ178" s="313">
        <v>5</v>
      </c>
      <c r="BK178" s="313">
        <v>5.6</v>
      </c>
      <c r="BL178" s="313">
        <v>4.3</v>
      </c>
      <c r="BM178" s="313">
        <v>0.6</v>
      </c>
      <c r="BN178" s="313">
        <v>6.2</v>
      </c>
      <c r="BO178" s="313">
        <v>2.9</v>
      </c>
      <c r="BP178" s="313">
        <v>4.5</v>
      </c>
      <c r="BQ178" s="313">
        <v>2.2000000000000002</v>
      </c>
      <c r="BR178" s="313">
        <v>2.7</v>
      </c>
      <c r="BS178" s="313">
        <v>10.199999999999999</v>
      </c>
      <c r="BT178" s="313">
        <v>5.5</v>
      </c>
      <c r="BU178" s="313">
        <v>8.8000000000000007</v>
      </c>
      <c r="BV178" s="313">
        <v>7.5</v>
      </c>
      <c r="BW178" s="313">
        <v>6.2</v>
      </c>
      <c r="BX178" s="313">
        <v>3.5</v>
      </c>
      <c r="BY178" s="313">
        <v>4.9000000000000004</v>
      </c>
      <c r="BZ178" s="313">
        <v>7.2</v>
      </c>
      <c r="CA178" s="313">
        <v>12.4</v>
      </c>
      <c r="CB178" s="313">
        <v>14.899999999999999</v>
      </c>
      <c r="CC178" s="313">
        <v>51.099999999999994</v>
      </c>
      <c r="CD178" s="313">
        <v>34.200000000000003</v>
      </c>
    </row>
    <row r="179" spans="1:82" x14ac:dyDescent="0.25">
      <c r="A179" s="130" t="s">
        <v>4916</v>
      </c>
      <c r="B179" s="130" t="s">
        <v>204</v>
      </c>
      <c r="C179" s="130" t="s">
        <v>4917</v>
      </c>
      <c r="D179" s="130" t="s">
        <v>51</v>
      </c>
      <c r="E179" s="130" t="s">
        <v>4898</v>
      </c>
      <c r="F179" s="130" t="s">
        <v>4272</v>
      </c>
      <c r="G179" s="130" t="s">
        <v>4918</v>
      </c>
      <c r="H179" s="309">
        <v>540118</v>
      </c>
      <c r="I179" s="277" t="s">
        <v>1516</v>
      </c>
      <c r="J179" s="130">
        <v>5439652</v>
      </c>
      <c r="K179" s="130" t="s">
        <v>4919</v>
      </c>
      <c r="L179" s="310">
        <v>0.83479290966239927</v>
      </c>
      <c r="M179" s="311">
        <v>307</v>
      </c>
      <c r="N179" s="312">
        <v>367.75587866954288</v>
      </c>
      <c r="O179" s="311">
        <v>121</v>
      </c>
      <c r="P179" s="312">
        <v>2.54</v>
      </c>
      <c r="Q179" s="311">
        <v>307</v>
      </c>
      <c r="R179" s="311">
        <v>23</v>
      </c>
      <c r="S179" s="311">
        <v>17</v>
      </c>
      <c r="T179" s="311">
        <v>13</v>
      </c>
      <c r="U179" s="311">
        <v>14</v>
      </c>
      <c r="V179" s="311">
        <v>9</v>
      </c>
      <c r="W179" s="311">
        <v>16</v>
      </c>
      <c r="X179" s="311">
        <v>11</v>
      </c>
      <c r="Y179" s="311">
        <v>3</v>
      </c>
      <c r="Z179" s="311">
        <v>6</v>
      </c>
      <c r="AA179" s="311">
        <v>5</v>
      </c>
      <c r="AB179" s="311">
        <v>2</v>
      </c>
      <c r="AC179" s="311">
        <v>2</v>
      </c>
      <c r="AD179" s="311">
        <v>0</v>
      </c>
      <c r="AE179" s="311">
        <v>0</v>
      </c>
      <c r="AF179" s="311">
        <v>0</v>
      </c>
      <c r="AG179" s="311">
        <v>0</v>
      </c>
      <c r="AH179" s="312">
        <v>43.801652892561982</v>
      </c>
      <c r="AI179" s="312">
        <v>19.008264462809919</v>
      </c>
      <c r="AJ179" s="312">
        <v>29.75206611570248</v>
      </c>
      <c r="AK179" s="312">
        <v>4.1322314049586781</v>
      </c>
      <c r="AL179" s="312">
        <v>3.3057851239669422</v>
      </c>
      <c r="AM179" s="311">
        <v>9823</v>
      </c>
      <c r="AN179" s="311">
        <v>22679</v>
      </c>
      <c r="AO179" s="312">
        <v>87.603305785123965</v>
      </c>
      <c r="AP179" s="311">
        <v>121</v>
      </c>
      <c r="AQ179" s="311">
        <v>57</v>
      </c>
      <c r="AR179" s="311">
        <v>96</v>
      </c>
      <c r="AS179" s="311">
        <v>25</v>
      </c>
      <c r="AT179" s="311">
        <v>9</v>
      </c>
      <c r="AU179" s="311">
        <v>2</v>
      </c>
      <c r="AV179" s="311">
        <v>35</v>
      </c>
      <c r="AW179" s="311">
        <v>26</v>
      </c>
      <c r="AX179" s="311">
        <v>3</v>
      </c>
      <c r="AY179" s="311">
        <v>7</v>
      </c>
      <c r="AZ179" s="311">
        <v>18</v>
      </c>
      <c r="BA179" s="311">
        <v>0</v>
      </c>
      <c r="BB179" s="311">
        <v>0</v>
      </c>
      <c r="BC179" s="311">
        <v>7</v>
      </c>
      <c r="BD179" s="311">
        <v>0</v>
      </c>
      <c r="BE179" s="311">
        <v>0</v>
      </c>
      <c r="BF179" s="311">
        <v>0</v>
      </c>
      <c r="BG179" s="311">
        <v>2</v>
      </c>
      <c r="BH179" s="311">
        <v>0</v>
      </c>
      <c r="BI179" s="312">
        <v>34.710743801652896</v>
      </c>
      <c r="BJ179" s="313">
        <v>9.8000000000000007</v>
      </c>
      <c r="BK179" s="313">
        <v>3.6</v>
      </c>
      <c r="BL179" s="313">
        <v>8.8000000000000007</v>
      </c>
      <c r="BM179" s="313">
        <v>5.9</v>
      </c>
      <c r="BN179" s="313">
        <v>7.8</v>
      </c>
      <c r="BO179" s="313">
        <v>2.9</v>
      </c>
      <c r="BP179" s="313">
        <v>2</v>
      </c>
      <c r="BQ179" s="313">
        <v>4.2</v>
      </c>
      <c r="BR179" s="313">
        <v>7.5</v>
      </c>
      <c r="BS179" s="313">
        <v>11.4</v>
      </c>
      <c r="BT179" s="313">
        <v>2.2999999999999998</v>
      </c>
      <c r="BU179" s="313">
        <v>11.1</v>
      </c>
      <c r="BV179" s="313">
        <v>2.2999999999999998</v>
      </c>
      <c r="BW179" s="313">
        <v>7.5</v>
      </c>
      <c r="BX179" s="313">
        <v>4.9000000000000004</v>
      </c>
      <c r="BY179" s="313">
        <v>3.3</v>
      </c>
      <c r="BZ179" s="313">
        <v>4.2</v>
      </c>
      <c r="CA179" s="313">
        <v>0.7</v>
      </c>
      <c r="CB179" s="313">
        <v>22.200000000000003</v>
      </c>
      <c r="CC179" s="313">
        <v>57.399999999999991</v>
      </c>
      <c r="CD179" s="313">
        <v>20.599999999999998</v>
      </c>
    </row>
    <row r="180" spans="1:82" x14ac:dyDescent="0.25">
      <c r="A180" s="130" t="s">
        <v>4920</v>
      </c>
      <c r="B180" s="130" t="s">
        <v>205</v>
      </c>
      <c r="C180" s="130" t="s">
        <v>4921</v>
      </c>
      <c r="D180" s="130" t="s">
        <v>51</v>
      </c>
      <c r="E180" s="130" t="s">
        <v>4898</v>
      </c>
      <c r="F180" s="130" t="s">
        <v>4272</v>
      </c>
      <c r="G180" s="130" t="s">
        <v>4922</v>
      </c>
      <c r="H180" s="309">
        <v>540119</v>
      </c>
      <c r="I180" s="277" t="s">
        <v>1517</v>
      </c>
      <c r="J180" s="130">
        <v>5443516</v>
      </c>
      <c r="K180" s="130" t="s">
        <v>4923</v>
      </c>
      <c r="L180" s="310">
        <v>0.32346025299005543</v>
      </c>
      <c r="M180" s="311">
        <v>119</v>
      </c>
      <c r="N180" s="312">
        <v>367.89682472565983</v>
      </c>
      <c r="O180" s="311">
        <v>47</v>
      </c>
      <c r="P180" s="312">
        <v>2.5299999999999998</v>
      </c>
      <c r="Q180" s="311">
        <v>119</v>
      </c>
      <c r="R180" s="311">
        <v>8</v>
      </c>
      <c r="S180" s="311">
        <v>3</v>
      </c>
      <c r="T180" s="311">
        <v>5</v>
      </c>
      <c r="U180" s="311">
        <v>3</v>
      </c>
      <c r="V180" s="311">
        <v>0</v>
      </c>
      <c r="W180" s="311">
        <v>3</v>
      </c>
      <c r="X180" s="311">
        <v>2</v>
      </c>
      <c r="Y180" s="311">
        <v>7</v>
      </c>
      <c r="Z180" s="311">
        <v>3</v>
      </c>
      <c r="AA180" s="311">
        <v>6</v>
      </c>
      <c r="AB180" s="311">
        <v>6</v>
      </c>
      <c r="AC180" s="311">
        <v>1</v>
      </c>
      <c r="AD180" s="311">
        <v>0</v>
      </c>
      <c r="AE180" s="311">
        <v>0</v>
      </c>
      <c r="AF180" s="311">
        <v>0</v>
      </c>
      <c r="AG180" s="311">
        <v>0</v>
      </c>
      <c r="AH180" s="312">
        <v>34.042553191489361</v>
      </c>
      <c r="AI180" s="312">
        <v>6.3829787234042552</v>
      </c>
      <c r="AJ180" s="312">
        <v>31.914893617021278</v>
      </c>
      <c r="AK180" s="312">
        <v>12.76595744680851</v>
      </c>
      <c r="AL180" s="312">
        <v>14.893617021276595</v>
      </c>
      <c r="AM180" s="311">
        <v>14541</v>
      </c>
      <c r="AN180" s="311">
        <v>39375</v>
      </c>
      <c r="AO180" s="312">
        <v>65.957446808510639</v>
      </c>
      <c r="AP180" s="311">
        <v>47</v>
      </c>
      <c r="AQ180" s="311">
        <v>117</v>
      </c>
      <c r="AR180" s="311">
        <v>33</v>
      </c>
      <c r="AS180" s="311">
        <v>14</v>
      </c>
      <c r="AT180" s="311">
        <v>5</v>
      </c>
      <c r="AU180" s="311">
        <v>2</v>
      </c>
      <c r="AV180" s="311">
        <v>2</v>
      </c>
      <c r="AW180" s="311">
        <v>0</v>
      </c>
      <c r="AX180" s="311">
        <v>1</v>
      </c>
      <c r="AY180" s="311">
        <v>5</v>
      </c>
      <c r="AZ180" s="311">
        <v>10</v>
      </c>
      <c r="BA180" s="311">
        <v>2</v>
      </c>
      <c r="BB180" s="311">
        <v>0</v>
      </c>
      <c r="BC180" s="311">
        <v>12</v>
      </c>
      <c r="BD180" s="311">
        <v>0</v>
      </c>
      <c r="BE180" s="311">
        <v>0</v>
      </c>
      <c r="BF180" s="311">
        <v>1</v>
      </c>
      <c r="BG180" s="311">
        <v>0</v>
      </c>
      <c r="BH180" s="311">
        <v>0</v>
      </c>
      <c r="BI180" s="312">
        <v>14.893617021276595</v>
      </c>
      <c r="BJ180" s="313">
        <v>8.4</v>
      </c>
      <c r="BK180" s="313">
        <v>8.4</v>
      </c>
      <c r="BL180" s="313">
        <v>13.4</v>
      </c>
      <c r="BM180" s="313">
        <v>2.5</v>
      </c>
      <c r="BN180" s="313">
        <v>5.9</v>
      </c>
      <c r="BO180" s="313">
        <v>0.8</v>
      </c>
      <c r="BP180" s="313">
        <v>1.7</v>
      </c>
      <c r="BQ180" s="313">
        <v>5.9</v>
      </c>
      <c r="BR180" s="313">
        <v>1.7</v>
      </c>
      <c r="BS180" s="313">
        <v>1.7</v>
      </c>
      <c r="BT180" s="313">
        <v>4.2</v>
      </c>
      <c r="BU180" s="313">
        <v>8.4</v>
      </c>
      <c r="BV180" s="313">
        <v>10.1</v>
      </c>
      <c r="BW180" s="313">
        <v>9.1999999999999993</v>
      </c>
      <c r="BX180" s="313">
        <v>10.1</v>
      </c>
      <c r="BY180" s="313">
        <v>4.2</v>
      </c>
      <c r="BZ180" s="313">
        <v>0</v>
      </c>
      <c r="CA180" s="313">
        <v>3.4</v>
      </c>
      <c r="CB180" s="313">
        <v>30.200000000000003</v>
      </c>
      <c r="CC180" s="313">
        <v>42.9</v>
      </c>
      <c r="CD180" s="313">
        <v>26.899999999999995</v>
      </c>
    </row>
    <row r="181" spans="1:82" x14ac:dyDescent="0.25">
      <c r="A181" s="130" t="s">
        <v>4924</v>
      </c>
      <c r="B181" s="130" t="s">
        <v>206</v>
      </c>
      <c r="C181" s="130" t="s">
        <v>4925</v>
      </c>
      <c r="D181" s="130" t="s">
        <v>51</v>
      </c>
      <c r="E181" s="130" t="s">
        <v>4898</v>
      </c>
      <c r="F181" s="130" t="s">
        <v>4272</v>
      </c>
      <c r="G181" s="130" t="s">
        <v>4926</v>
      </c>
      <c r="H181" s="309">
        <v>540120</v>
      </c>
      <c r="I181" s="277" t="s">
        <v>1518</v>
      </c>
      <c r="J181" s="130">
        <v>5443780</v>
      </c>
      <c r="K181" s="130" t="s">
        <v>4927</v>
      </c>
      <c r="L181" s="310">
        <v>0.2528342549185888</v>
      </c>
      <c r="M181" s="311">
        <v>135</v>
      </c>
      <c r="N181" s="312">
        <v>533.94663647720222</v>
      </c>
      <c r="O181" s="311">
        <v>41</v>
      </c>
      <c r="P181" s="312">
        <v>3.29</v>
      </c>
      <c r="Q181" s="311">
        <v>135</v>
      </c>
      <c r="R181" s="311">
        <v>1</v>
      </c>
      <c r="S181" s="311">
        <v>3</v>
      </c>
      <c r="T181" s="311">
        <v>8</v>
      </c>
      <c r="U181" s="311">
        <v>2</v>
      </c>
      <c r="V181" s="311">
        <v>0</v>
      </c>
      <c r="W181" s="311">
        <v>6</v>
      </c>
      <c r="X181" s="311">
        <v>5</v>
      </c>
      <c r="Y181" s="311">
        <v>0</v>
      </c>
      <c r="Z181" s="311">
        <v>2</v>
      </c>
      <c r="AA181" s="311">
        <v>9</v>
      </c>
      <c r="AB181" s="311">
        <v>2</v>
      </c>
      <c r="AC181" s="311">
        <v>3</v>
      </c>
      <c r="AD181" s="311">
        <v>0</v>
      </c>
      <c r="AE181" s="311">
        <v>0</v>
      </c>
      <c r="AF181" s="311">
        <v>0</v>
      </c>
      <c r="AG181" s="311">
        <v>0</v>
      </c>
      <c r="AH181" s="312">
        <v>29.268292682926827</v>
      </c>
      <c r="AI181" s="312">
        <v>4.8780487804878048</v>
      </c>
      <c r="AJ181" s="312">
        <v>31.707317073170731</v>
      </c>
      <c r="AK181" s="312">
        <v>21.951219512195124</v>
      </c>
      <c r="AL181" s="312">
        <v>12.195121951219512</v>
      </c>
      <c r="AM181" s="311">
        <v>15405</v>
      </c>
      <c r="AN181" s="311">
        <v>37750</v>
      </c>
      <c r="AO181" s="312">
        <v>60.975609756097562</v>
      </c>
      <c r="AP181" s="311">
        <v>41</v>
      </c>
      <c r="AQ181" s="311">
        <v>89</v>
      </c>
      <c r="AR181" s="311">
        <v>39</v>
      </c>
      <c r="AS181" s="311">
        <v>2</v>
      </c>
      <c r="AT181" s="311">
        <v>0</v>
      </c>
      <c r="AU181" s="311">
        <v>4</v>
      </c>
      <c r="AV181" s="311">
        <v>7</v>
      </c>
      <c r="AW181" s="311">
        <v>7</v>
      </c>
      <c r="AX181" s="311">
        <v>0</v>
      </c>
      <c r="AY181" s="311">
        <v>1</v>
      </c>
      <c r="AZ181" s="311">
        <v>5</v>
      </c>
      <c r="BA181" s="311">
        <v>2</v>
      </c>
      <c r="BB181" s="311">
        <v>0</v>
      </c>
      <c r="BC181" s="311">
        <v>11</v>
      </c>
      <c r="BD181" s="311">
        <v>0</v>
      </c>
      <c r="BE181" s="311">
        <v>0</v>
      </c>
      <c r="BF181" s="311">
        <v>3</v>
      </c>
      <c r="BG181" s="311">
        <v>0</v>
      </c>
      <c r="BH181" s="311">
        <v>0</v>
      </c>
      <c r="BI181" s="312">
        <v>19.512195121951219</v>
      </c>
      <c r="BJ181" s="313">
        <v>2.2000000000000002</v>
      </c>
      <c r="BK181" s="313">
        <v>14.1</v>
      </c>
      <c r="BL181" s="313">
        <v>5.2</v>
      </c>
      <c r="BM181" s="313">
        <v>0</v>
      </c>
      <c r="BN181" s="313">
        <v>0</v>
      </c>
      <c r="BO181" s="313">
        <v>11.1</v>
      </c>
      <c r="BP181" s="313">
        <v>2.2000000000000002</v>
      </c>
      <c r="BQ181" s="313">
        <v>0</v>
      </c>
      <c r="BR181" s="313">
        <v>4.4000000000000004</v>
      </c>
      <c r="BS181" s="313">
        <v>0.7</v>
      </c>
      <c r="BT181" s="313">
        <v>8.1</v>
      </c>
      <c r="BU181" s="313">
        <v>14.8</v>
      </c>
      <c r="BV181" s="313">
        <v>3</v>
      </c>
      <c r="BW181" s="313">
        <v>14.8</v>
      </c>
      <c r="BX181" s="313">
        <v>11.9</v>
      </c>
      <c r="BY181" s="313">
        <v>0</v>
      </c>
      <c r="BZ181" s="313">
        <v>7.4</v>
      </c>
      <c r="CA181" s="313">
        <v>0</v>
      </c>
      <c r="CB181" s="313">
        <v>21.5</v>
      </c>
      <c r="CC181" s="313">
        <v>44.3</v>
      </c>
      <c r="CD181" s="313">
        <v>34.1</v>
      </c>
    </row>
    <row r="182" spans="1:82" x14ac:dyDescent="0.25">
      <c r="A182" s="130" t="s">
        <v>4928</v>
      </c>
      <c r="B182" s="130" t="s">
        <v>207</v>
      </c>
      <c r="C182" s="130" t="s">
        <v>4929</v>
      </c>
      <c r="D182" s="130" t="s">
        <v>51</v>
      </c>
      <c r="E182" s="130" t="s">
        <v>4898</v>
      </c>
      <c r="F182" s="130" t="s">
        <v>4272</v>
      </c>
      <c r="G182" s="130" t="s">
        <v>4930</v>
      </c>
      <c r="H182" s="309">
        <v>540121</v>
      </c>
      <c r="I182" s="277" t="s">
        <v>1519</v>
      </c>
      <c r="J182" s="130">
        <v>5459428</v>
      </c>
      <c r="K182" s="130" t="s">
        <v>4931</v>
      </c>
      <c r="L182" s="310">
        <v>0.96282353318205671</v>
      </c>
      <c r="M182" s="311">
        <v>222</v>
      </c>
      <c r="N182" s="312">
        <v>230.57184660444196</v>
      </c>
      <c r="O182" s="311">
        <v>82</v>
      </c>
      <c r="P182" s="312">
        <v>2.71</v>
      </c>
      <c r="Q182" s="311">
        <v>222</v>
      </c>
      <c r="R182" s="311">
        <v>23</v>
      </c>
      <c r="S182" s="311">
        <v>5</v>
      </c>
      <c r="T182" s="311">
        <v>8</v>
      </c>
      <c r="U182" s="311">
        <v>6</v>
      </c>
      <c r="V182" s="311">
        <v>3</v>
      </c>
      <c r="W182" s="311">
        <v>1</v>
      </c>
      <c r="X182" s="311">
        <v>8</v>
      </c>
      <c r="Y182" s="311">
        <v>7</v>
      </c>
      <c r="Z182" s="311">
        <v>3</v>
      </c>
      <c r="AA182" s="311">
        <v>7</v>
      </c>
      <c r="AB182" s="311">
        <v>8</v>
      </c>
      <c r="AC182" s="311">
        <v>1</v>
      </c>
      <c r="AD182" s="311">
        <v>2</v>
      </c>
      <c r="AE182" s="311">
        <v>0</v>
      </c>
      <c r="AF182" s="311">
        <v>0</v>
      </c>
      <c r="AG182" s="311">
        <v>0</v>
      </c>
      <c r="AH182" s="312">
        <v>43.902439024390247</v>
      </c>
      <c r="AI182" s="312">
        <v>10.975609756097562</v>
      </c>
      <c r="AJ182" s="312">
        <v>23.170731707317074</v>
      </c>
      <c r="AK182" s="312">
        <v>8.536585365853659</v>
      </c>
      <c r="AL182" s="312">
        <v>13.414634146341465</v>
      </c>
      <c r="AM182" s="311">
        <v>13174</v>
      </c>
      <c r="AN182" s="311">
        <v>24167</v>
      </c>
      <c r="AO182" s="312">
        <v>74.390243902439025</v>
      </c>
      <c r="AP182" s="311">
        <v>82</v>
      </c>
      <c r="AQ182" s="311">
        <v>123</v>
      </c>
      <c r="AR182" s="311">
        <v>52</v>
      </c>
      <c r="AS182" s="311">
        <v>30</v>
      </c>
      <c r="AT182" s="311">
        <v>7</v>
      </c>
      <c r="AU182" s="311">
        <v>0</v>
      </c>
      <c r="AV182" s="311">
        <v>15</v>
      </c>
      <c r="AW182" s="311">
        <v>6</v>
      </c>
      <c r="AX182" s="311">
        <v>3</v>
      </c>
      <c r="AY182" s="311">
        <v>0</v>
      </c>
      <c r="AZ182" s="311">
        <v>11</v>
      </c>
      <c r="BA182" s="311">
        <v>3</v>
      </c>
      <c r="BB182" s="311">
        <v>0</v>
      </c>
      <c r="BC182" s="311">
        <v>15</v>
      </c>
      <c r="BD182" s="311">
        <v>0</v>
      </c>
      <c r="BE182" s="311">
        <v>0</v>
      </c>
      <c r="BF182" s="311">
        <v>3</v>
      </c>
      <c r="BG182" s="311">
        <v>0</v>
      </c>
      <c r="BH182" s="311">
        <v>0</v>
      </c>
      <c r="BI182" s="312">
        <v>18.292682926829269</v>
      </c>
      <c r="BJ182" s="313">
        <v>9.9</v>
      </c>
      <c r="BK182" s="313">
        <v>10.4</v>
      </c>
      <c r="BL182" s="313">
        <v>6.8</v>
      </c>
      <c r="BM182" s="313">
        <v>5</v>
      </c>
      <c r="BN182" s="313">
        <v>5</v>
      </c>
      <c r="BO182" s="313">
        <v>9.5</v>
      </c>
      <c r="BP182" s="313">
        <v>5.4</v>
      </c>
      <c r="BQ182" s="313">
        <v>1.4</v>
      </c>
      <c r="BR182" s="313">
        <v>1.4</v>
      </c>
      <c r="BS182" s="313">
        <v>2.7</v>
      </c>
      <c r="BT182" s="313">
        <v>4.5</v>
      </c>
      <c r="BU182" s="313">
        <v>9.5</v>
      </c>
      <c r="BV182" s="313">
        <v>8.1</v>
      </c>
      <c r="BW182" s="313">
        <v>6.8</v>
      </c>
      <c r="BX182" s="313">
        <v>6.3</v>
      </c>
      <c r="BY182" s="313">
        <v>3.6</v>
      </c>
      <c r="BZ182" s="313">
        <v>0.9</v>
      </c>
      <c r="CA182" s="313">
        <v>3.2</v>
      </c>
      <c r="CB182" s="313">
        <v>27.1</v>
      </c>
      <c r="CC182" s="313">
        <v>52.499999999999993</v>
      </c>
      <c r="CD182" s="313">
        <v>20.799999999999997</v>
      </c>
    </row>
    <row r="183" spans="1:82" x14ac:dyDescent="0.25">
      <c r="A183" s="130" t="s">
        <v>4932</v>
      </c>
      <c r="B183" s="130" t="s">
        <v>208</v>
      </c>
      <c r="C183" s="130" t="s">
        <v>4933</v>
      </c>
      <c r="D183" s="130" t="s">
        <v>51</v>
      </c>
      <c r="E183" s="130" t="s">
        <v>4898</v>
      </c>
      <c r="F183" s="130" t="s">
        <v>4272</v>
      </c>
      <c r="G183" s="130" t="s">
        <v>4934</v>
      </c>
      <c r="H183" s="309">
        <v>540122</v>
      </c>
      <c r="I183" s="277" t="s">
        <v>1520</v>
      </c>
      <c r="J183" s="130">
        <v>5484484</v>
      </c>
      <c r="K183" s="130" t="s">
        <v>4935</v>
      </c>
      <c r="L183" s="310">
        <v>0.91958443422198666</v>
      </c>
      <c r="M183" s="311">
        <v>738</v>
      </c>
      <c r="N183" s="312">
        <v>802.53642029552623</v>
      </c>
      <c r="O183" s="311">
        <v>312</v>
      </c>
      <c r="P183" s="312">
        <v>2.37</v>
      </c>
      <c r="Q183" s="311">
        <v>738</v>
      </c>
      <c r="R183" s="311">
        <v>61</v>
      </c>
      <c r="S183" s="311">
        <v>55</v>
      </c>
      <c r="T183" s="311">
        <v>20</v>
      </c>
      <c r="U183" s="311">
        <v>23</v>
      </c>
      <c r="V183" s="311">
        <v>13</v>
      </c>
      <c r="W183" s="311">
        <v>41</v>
      </c>
      <c r="X183" s="311">
        <v>3</v>
      </c>
      <c r="Y183" s="311">
        <v>25</v>
      </c>
      <c r="Z183" s="311">
        <v>20</v>
      </c>
      <c r="AA183" s="311">
        <v>0</v>
      </c>
      <c r="AB183" s="311">
        <v>22</v>
      </c>
      <c r="AC183" s="311">
        <v>11</v>
      </c>
      <c r="AD183" s="311">
        <v>7</v>
      </c>
      <c r="AE183" s="311">
        <v>11</v>
      </c>
      <c r="AF183" s="311">
        <v>0</v>
      </c>
      <c r="AG183" s="311">
        <v>0</v>
      </c>
      <c r="AH183" s="312">
        <v>43.589743589743591</v>
      </c>
      <c r="AI183" s="312">
        <v>11.538461538461538</v>
      </c>
      <c r="AJ183" s="312">
        <v>28.525641025641026</v>
      </c>
      <c r="AK183" s="312">
        <v>0</v>
      </c>
      <c r="AL183" s="312">
        <v>16.346153846153847</v>
      </c>
      <c r="AM183" s="311">
        <v>13221</v>
      </c>
      <c r="AN183" s="311">
        <v>24375</v>
      </c>
      <c r="AO183" s="312">
        <v>77.243589743589752</v>
      </c>
      <c r="AP183" s="311">
        <v>312</v>
      </c>
      <c r="AQ183" s="311">
        <v>108</v>
      </c>
      <c r="AR183" s="311">
        <v>203</v>
      </c>
      <c r="AS183" s="311">
        <v>109</v>
      </c>
      <c r="AT183" s="311">
        <v>8</v>
      </c>
      <c r="AU183" s="311">
        <v>24</v>
      </c>
      <c r="AV183" s="311">
        <v>74</v>
      </c>
      <c r="AW183" s="311">
        <v>39</v>
      </c>
      <c r="AX183" s="311">
        <v>26</v>
      </c>
      <c r="AY183" s="311">
        <v>4</v>
      </c>
      <c r="AZ183" s="311">
        <v>43</v>
      </c>
      <c r="BA183" s="311">
        <v>5</v>
      </c>
      <c r="BB183" s="311">
        <v>0</v>
      </c>
      <c r="BC183" s="311">
        <v>22</v>
      </c>
      <c r="BD183" s="311">
        <v>0</v>
      </c>
      <c r="BE183" s="311">
        <v>0</v>
      </c>
      <c r="BF183" s="311">
        <v>29</v>
      </c>
      <c r="BG183" s="311">
        <v>0</v>
      </c>
      <c r="BH183" s="311">
        <v>0</v>
      </c>
      <c r="BI183" s="312">
        <v>25</v>
      </c>
      <c r="BJ183" s="313">
        <v>11.4</v>
      </c>
      <c r="BK183" s="313">
        <v>4.2</v>
      </c>
      <c r="BL183" s="313">
        <v>4.0999999999999996</v>
      </c>
      <c r="BM183" s="313">
        <v>3.4</v>
      </c>
      <c r="BN183" s="313">
        <v>2.7</v>
      </c>
      <c r="BO183" s="313">
        <v>10.8</v>
      </c>
      <c r="BP183" s="313">
        <v>3.1</v>
      </c>
      <c r="BQ183" s="313">
        <v>5</v>
      </c>
      <c r="BR183" s="313">
        <v>4.0999999999999996</v>
      </c>
      <c r="BS183" s="313">
        <v>3</v>
      </c>
      <c r="BT183" s="313">
        <v>7.9</v>
      </c>
      <c r="BU183" s="313">
        <v>8.3000000000000007</v>
      </c>
      <c r="BV183" s="313">
        <v>8.5</v>
      </c>
      <c r="BW183" s="313">
        <v>6.2</v>
      </c>
      <c r="BX183" s="313">
        <v>6.6</v>
      </c>
      <c r="BY183" s="313">
        <v>4.5</v>
      </c>
      <c r="BZ183" s="313">
        <v>3.9</v>
      </c>
      <c r="CA183" s="313">
        <v>2.2999999999999998</v>
      </c>
      <c r="CB183" s="313">
        <v>19.700000000000003</v>
      </c>
      <c r="CC183" s="313">
        <v>56.8</v>
      </c>
      <c r="CD183" s="313">
        <v>23.5</v>
      </c>
    </row>
    <row r="184" spans="1:82" x14ac:dyDescent="0.25">
      <c r="A184" s="130" t="s">
        <v>4936</v>
      </c>
      <c r="B184" s="130" t="s">
        <v>209</v>
      </c>
      <c r="C184" s="130" t="s">
        <v>4937</v>
      </c>
      <c r="D184" s="130" t="s">
        <v>51</v>
      </c>
      <c r="E184" s="130" t="s">
        <v>4898</v>
      </c>
      <c r="F184" s="130" t="s">
        <v>4272</v>
      </c>
      <c r="G184" s="130" t="s">
        <v>4938</v>
      </c>
      <c r="H184" s="309">
        <v>540123</v>
      </c>
      <c r="I184" s="277" t="s">
        <v>1521</v>
      </c>
      <c r="J184" s="130">
        <v>5485228</v>
      </c>
      <c r="K184" s="130" t="s">
        <v>4939</v>
      </c>
      <c r="L184" s="310">
        <v>6.0584241757869179</v>
      </c>
      <c r="M184" s="311">
        <v>3217</v>
      </c>
      <c r="N184" s="312">
        <v>530.9961644575917</v>
      </c>
      <c r="O184" s="311">
        <v>843</v>
      </c>
      <c r="P184" s="312">
        <v>2.04</v>
      </c>
      <c r="Q184" s="311">
        <v>1720</v>
      </c>
      <c r="R184" s="311">
        <v>165</v>
      </c>
      <c r="S184" s="311">
        <v>46</v>
      </c>
      <c r="T184" s="311">
        <v>70</v>
      </c>
      <c r="U184" s="311">
        <v>82</v>
      </c>
      <c r="V184" s="311">
        <v>52</v>
      </c>
      <c r="W184" s="311">
        <v>33</v>
      </c>
      <c r="X184" s="311">
        <v>31</v>
      </c>
      <c r="Y184" s="311">
        <v>78</v>
      </c>
      <c r="Z184" s="311">
        <v>43</v>
      </c>
      <c r="AA184" s="311">
        <v>48</v>
      </c>
      <c r="AB184" s="311">
        <v>54</v>
      </c>
      <c r="AC184" s="311">
        <v>83</v>
      </c>
      <c r="AD184" s="311">
        <v>24</v>
      </c>
      <c r="AE184" s="311">
        <v>10</v>
      </c>
      <c r="AF184" s="311">
        <v>6</v>
      </c>
      <c r="AG184" s="311">
        <v>18</v>
      </c>
      <c r="AH184" s="312">
        <v>33.333333333333329</v>
      </c>
      <c r="AI184" s="312">
        <v>15.895610913404507</v>
      </c>
      <c r="AJ184" s="312">
        <v>21.945432977461447</v>
      </c>
      <c r="AK184" s="312">
        <v>5.6939501779359425</v>
      </c>
      <c r="AL184" s="312">
        <v>23.131672597864767</v>
      </c>
      <c r="AM184" s="311">
        <v>12886</v>
      </c>
      <c r="AN184" s="311">
        <v>30625</v>
      </c>
      <c r="AO184" s="312">
        <v>66.073546856465001</v>
      </c>
      <c r="AP184" s="311">
        <v>843</v>
      </c>
      <c r="AQ184" s="311">
        <v>373</v>
      </c>
      <c r="AR184" s="311">
        <v>663</v>
      </c>
      <c r="AS184" s="311">
        <v>180</v>
      </c>
      <c r="AT184" s="311">
        <v>53</v>
      </c>
      <c r="AU184" s="311">
        <v>24</v>
      </c>
      <c r="AV184" s="311">
        <v>142</v>
      </c>
      <c r="AW184" s="311">
        <v>83</v>
      </c>
      <c r="AX184" s="311">
        <v>35</v>
      </c>
      <c r="AY184" s="311">
        <v>20</v>
      </c>
      <c r="AZ184" s="311">
        <v>123</v>
      </c>
      <c r="BA184" s="311">
        <v>3</v>
      </c>
      <c r="BB184" s="311">
        <v>16</v>
      </c>
      <c r="BC184" s="311">
        <v>102</v>
      </c>
      <c r="BD184" s="311">
        <v>0</v>
      </c>
      <c r="BE184" s="311">
        <v>0</v>
      </c>
      <c r="BF184" s="311">
        <v>141</v>
      </c>
      <c r="BG184" s="311">
        <v>0</v>
      </c>
      <c r="BH184" s="311">
        <v>0</v>
      </c>
      <c r="BI184" s="312">
        <v>21.115065243179121</v>
      </c>
      <c r="BJ184" s="313">
        <v>1.4</v>
      </c>
      <c r="BK184" s="313">
        <v>4.2</v>
      </c>
      <c r="BL184" s="313">
        <v>2.7</v>
      </c>
      <c r="BM184" s="313">
        <v>2.9</v>
      </c>
      <c r="BN184" s="313">
        <v>3.8</v>
      </c>
      <c r="BO184" s="313">
        <v>9.6</v>
      </c>
      <c r="BP184" s="313">
        <v>15</v>
      </c>
      <c r="BQ184" s="313">
        <v>9.5</v>
      </c>
      <c r="BR184" s="313">
        <v>8.4</v>
      </c>
      <c r="BS184" s="313">
        <v>7.6</v>
      </c>
      <c r="BT184" s="313">
        <v>6.1</v>
      </c>
      <c r="BU184" s="313">
        <v>7.7</v>
      </c>
      <c r="BV184" s="313">
        <v>5.6</v>
      </c>
      <c r="BW184" s="313">
        <v>5.2</v>
      </c>
      <c r="BX184" s="313">
        <v>2.8</v>
      </c>
      <c r="BY184" s="313">
        <v>3.6</v>
      </c>
      <c r="BZ184" s="313">
        <v>2.4</v>
      </c>
      <c r="CA184" s="313">
        <v>1.8</v>
      </c>
      <c r="CB184" s="313">
        <v>8.3000000000000007</v>
      </c>
      <c r="CC184" s="313">
        <v>76.199999999999989</v>
      </c>
      <c r="CD184" s="313">
        <v>15.8</v>
      </c>
    </row>
    <row r="185" spans="1:82" s="322" customFormat="1" x14ac:dyDescent="0.25">
      <c r="A185" s="314" t="s">
        <v>4940</v>
      </c>
      <c r="B185" s="315" t="s">
        <v>348</v>
      </c>
      <c r="C185" s="314"/>
      <c r="D185" s="314"/>
      <c r="E185" s="314"/>
      <c r="F185" s="314"/>
      <c r="G185" s="314"/>
      <c r="H185" s="316"/>
      <c r="I185" s="317"/>
      <c r="J185" s="314">
        <v>54047</v>
      </c>
      <c r="K185" s="314" t="s">
        <v>4941</v>
      </c>
      <c r="L185" s="318">
        <v>534.51682824919578</v>
      </c>
      <c r="M185" s="319">
        <v>19707</v>
      </c>
      <c r="N185" s="320">
        <v>36.868811155207347</v>
      </c>
      <c r="O185" s="319">
        <v>7702</v>
      </c>
      <c r="P185" s="320">
        <v>2.34</v>
      </c>
      <c r="Q185" s="319">
        <v>18059</v>
      </c>
      <c r="R185" s="319">
        <v>1271</v>
      </c>
      <c r="S185" s="319">
        <v>779</v>
      </c>
      <c r="T185" s="319">
        <v>973</v>
      </c>
      <c r="U185" s="319">
        <v>735</v>
      </c>
      <c r="V185" s="319">
        <v>604</v>
      </c>
      <c r="W185" s="319">
        <v>577</v>
      </c>
      <c r="X185" s="319">
        <v>425</v>
      </c>
      <c r="Y185" s="319">
        <v>407</v>
      </c>
      <c r="Z185" s="319">
        <v>256</v>
      </c>
      <c r="AA185" s="319">
        <v>449</v>
      </c>
      <c r="AB185" s="319">
        <v>359</v>
      </c>
      <c r="AC185" s="319">
        <v>492</v>
      </c>
      <c r="AD185" s="319">
        <v>199</v>
      </c>
      <c r="AE185" s="319">
        <v>45</v>
      </c>
      <c r="AF185" s="319">
        <v>68</v>
      </c>
      <c r="AG185" s="319">
        <v>63</v>
      </c>
      <c r="AH185" s="320">
        <v>39.249545572578555</v>
      </c>
      <c r="AI185" s="320">
        <v>17.385094780576473</v>
      </c>
      <c r="AJ185" s="320">
        <v>21.617761620358348</v>
      </c>
      <c r="AK185" s="320">
        <v>5.8296546351596987</v>
      </c>
      <c r="AL185" s="320">
        <v>15.917943391326927</v>
      </c>
      <c r="AM185" s="319">
        <v>13985</v>
      </c>
      <c r="AN185" s="319">
        <v>25595</v>
      </c>
      <c r="AO185" s="320">
        <v>74.928589976629439</v>
      </c>
      <c r="AP185" s="319">
        <v>7702</v>
      </c>
      <c r="AQ185" s="319">
        <v>3526</v>
      </c>
      <c r="AR185" s="319">
        <v>6117</v>
      </c>
      <c r="AS185" s="319">
        <v>1585</v>
      </c>
      <c r="AT185" s="319">
        <v>773</v>
      </c>
      <c r="AU185" s="319">
        <v>430</v>
      </c>
      <c r="AV185" s="319">
        <v>1205</v>
      </c>
      <c r="AW185" s="319">
        <v>1289</v>
      </c>
      <c r="AX185" s="319">
        <v>261</v>
      </c>
      <c r="AY185" s="319">
        <v>211</v>
      </c>
      <c r="AZ185" s="319">
        <v>921</v>
      </c>
      <c r="BA185" s="319">
        <v>92</v>
      </c>
      <c r="BB185" s="319">
        <v>17</v>
      </c>
      <c r="BC185" s="319">
        <v>778</v>
      </c>
      <c r="BD185" s="319">
        <v>0</v>
      </c>
      <c r="BE185" s="319">
        <v>0</v>
      </c>
      <c r="BF185" s="319">
        <v>835</v>
      </c>
      <c r="BG185" s="319">
        <v>2</v>
      </c>
      <c r="BH185" s="319">
        <v>0</v>
      </c>
      <c r="BI185" s="320">
        <v>18.605556998182291</v>
      </c>
      <c r="BJ185" s="321">
        <v>5.9</v>
      </c>
      <c r="BK185" s="321">
        <v>5.9</v>
      </c>
      <c r="BL185" s="321">
        <v>5.3</v>
      </c>
      <c r="BM185" s="321">
        <v>4.7</v>
      </c>
      <c r="BN185" s="321">
        <v>4.9000000000000004</v>
      </c>
      <c r="BO185" s="321">
        <v>6</v>
      </c>
      <c r="BP185" s="321">
        <v>5.9</v>
      </c>
      <c r="BQ185" s="321">
        <v>6.1</v>
      </c>
      <c r="BR185" s="321">
        <v>6.7</v>
      </c>
      <c r="BS185" s="321">
        <v>6.6</v>
      </c>
      <c r="BT185" s="321">
        <v>6.7</v>
      </c>
      <c r="BU185" s="321">
        <v>8.6</v>
      </c>
      <c r="BV185" s="321">
        <v>7.7</v>
      </c>
      <c r="BW185" s="321">
        <v>6.5</v>
      </c>
      <c r="BX185" s="321">
        <v>4.5999999999999996</v>
      </c>
      <c r="BY185" s="321">
        <v>3.4</v>
      </c>
      <c r="BZ185" s="321">
        <v>2.8</v>
      </c>
      <c r="CA185" s="321">
        <v>1.8</v>
      </c>
      <c r="CB185" s="321">
        <v>17.100000000000001</v>
      </c>
      <c r="CC185" s="321">
        <v>63.900000000000013</v>
      </c>
      <c r="CD185" s="321">
        <v>19.100000000000001</v>
      </c>
    </row>
    <row r="186" spans="1:82" s="308" customFormat="1" x14ac:dyDescent="0.25">
      <c r="A186" s="301" t="s">
        <v>4942</v>
      </c>
      <c r="B186" s="301" t="s">
        <v>52</v>
      </c>
      <c r="C186" s="301" t="s">
        <v>4943</v>
      </c>
      <c r="D186" s="301" t="s">
        <v>53</v>
      </c>
      <c r="E186" s="301" t="s">
        <v>4944</v>
      </c>
      <c r="F186" s="301" t="s">
        <v>4272</v>
      </c>
      <c r="G186" s="301" t="s">
        <v>4945</v>
      </c>
      <c r="H186" s="302">
        <v>540124</v>
      </c>
      <c r="I186" s="303" t="s">
        <v>1523</v>
      </c>
      <c r="J186" s="301" t="s">
        <v>488</v>
      </c>
      <c r="K186" s="301" t="s">
        <v>488</v>
      </c>
      <c r="L186" s="304">
        <v>406.64220345913941</v>
      </c>
      <c r="M186" s="305">
        <v>43061</v>
      </c>
      <c r="N186" s="306">
        <v>105.89407502147498</v>
      </c>
      <c r="O186" s="305">
        <v>17705</v>
      </c>
      <c r="P186" s="306">
        <v>2.4054221971194578</v>
      </c>
      <c r="Q186" s="305">
        <v>42588</v>
      </c>
      <c r="R186" s="305">
        <v>1644</v>
      </c>
      <c r="S186" s="305">
        <v>1523</v>
      </c>
      <c r="T186" s="305">
        <v>1563</v>
      </c>
      <c r="U186" s="305">
        <v>1112</v>
      </c>
      <c r="V186" s="305">
        <v>1382</v>
      </c>
      <c r="W186" s="305">
        <v>1005</v>
      </c>
      <c r="X186" s="305">
        <v>870</v>
      </c>
      <c r="Y186" s="305">
        <v>791</v>
      </c>
      <c r="Z186" s="305">
        <v>714</v>
      </c>
      <c r="AA186" s="305">
        <v>1450</v>
      </c>
      <c r="AB186" s="305">
        <v>1760</v>
      </c>
      <c r="AC186" s="305">
        <v>1682</v>
      </c>
      <c r="AD186" s="305">
        <v>1136</v>
      </c>
      <c r="AE186" s="305">
        <v>466</v>
      </c>
      <c r="AF186" s="305">
        <v>376</v>
      </c>
      <c r="AG186" s="305">
        <v>231</v>
      </c>
      <c r="AH186" s="306">
        <v>26.715617057328441</v>
      </c>
      <c r="AI186" s="306">
        <v>14.086416266591359</v>
      </c>
      <c r="AJ186" s="306">
        <v>19.090652358090935</v>
      </c>
      <c r="AK186" s="306">
        <v>8.1897768991810231</v>
      </c>
      <c r="AL186" s="306">
        <v>31.917537418808244</v>
      </c>
      <c r="AM186" s="305">
        <v>21698</v>
      </c>
      <c r="AN186" s="305">
        <v>37763</v>
      </c>
      <c r="AO186" s="306">
        <v>55.859926574414011</v>
      </c>
      <c r="AP186" s="305">
        <v>17705</v>
      </c>
      <c r="AQ186" s="305">
        <v>3092</v>
      </c>
      <c r="AR186" s="305">
        <v>13204</v>
      </c>
      <c r="AS186" s="305">
        <v>4501</v>
      </c>
      <c r="AT186" s="305">
        <v>694</v>
      </c>
      <c r="AU186" s="305">
        <v>708</v>
      </c>
      <c r="AV186" s="305">
        <v>2876</v>
      </c>
      <c r="AW186" s="305">
        <v>1739</v>
      </c>
      <c r="AX186" s="305">
        <v>756</v>
      </c>
      <c r="AY186" s="305">
        <v>832</v>
      </c>
      <c r="AZ186" s="305">
        <v>1708</v>
      </c>
      <c r="BA186" s="305">
        <v>395</v>
      </c>
      <c r="BB186" s="305">
        <v>213</v>
      </c>
      <c r="BC186" s="305">
        <v>2430</v>
      </c>
      <c r="BD186" s="305">
        <v>583</v>
      </c>
      <c r="BE186" s="305">
        <v>97</v>
      </c>
      <c r="BF186" s="305">
        <v>3621</v>
      </c>
      <c r="BG186" s="305">
        <v>190</v>
      </c>
      <c r="BH186" s="305">
        <v>6</v>
      </c>
      <c r="BI186" s="306">
        <v>22.728042925727195</v>
      </c>
      <c r="BJ186" s="307">
        <v>5.9</v>
      </c>
      <c r="BK186" s="307">
        <v>6.5</v>
      </c>
      <c r="BL186" s="307">
        <v>4.7</v>
      </c>
      <c r="BM186" s="307">
        <v>5.8</v>
      </c>
      <c r="BN186" s="307">
        <v>6.5</v>
      </c>
      <c r="BO186" s="307">
        <v>6.1</v>
      </c>
      <c r="BP186" s="307">
        <v>5.4</v>
      </c>
      <c r="BQ186" s="307">
        <v>5.7</v>
      </c>
      <c r="BR186" s="307">
        <v>6</v>
      </c>
      <c r="BS186" s="307">
        <v>6</v>
      </c>
      <c r="BT186" s="307">
        <v>6.5</v>
      </c>
      <c r="BU186" s="307">
        <v>7.1</v>
      </c>
      <c r="BV186" s="307">
        <v>7.7</v>
      </c>
      <c r="BW186" s="307">
        <v>6.7</v>
      </c>
      <c r="BX186" s="307">
        <v>4.8</v>
      </c>
      <c r="BY186" s="307">
        <v>3.4</v>
      </c>
      <c r="BZ186" s="307">
        <v>2.7</v>
      </c>
      <c r="CA186" s="307">
        <v>2.5</v>
      </c>
      <c r="CB186" s="307">
        <v>17.100000000000001</v>
      </c>
      <c r="CC186" s="307">
        <v>62.800000000000004</v>
      </c>
      <c r="CD186" s="307">
        <v>20.100000000000001</v>
      </c>
    </row>
    <row r="187" spans="1:82" x14ac:dyDescent="0.25">
      <c r="A187" s="130" t="s">
        <v>4946</v>
      </c>
      <c r="B187" s="130" t="s">
        <v>244</v>
      </c>
      <c r="C187" s="130" t="s">
        <v>4947</v>
      </c>
      <c r="D187" s="130" t="s">
        <v>53</v>
      </c>
      <c r="E187" s="130" t="s">
        <v>4944</v>
      </c>
      <c r="F187" s="130" t="s">
        <v>4272</v>
      </c>
      <c r="G187" s="130" t="s">
        <v>4948</v>
      </c>
      <c r="H187" s="309">
        <v>540172</v>
      </c>
      <c r="I187" s="277" t="s">
        <v>1528</v>
      </c>
      <c r="J187" s="130">
        <v>5403292</v>
      </c>
      <c r="K187" s="130" t="s">
        <v>4949</v>
      </c>
      <c r="L187" s="310">
        <v>0.39360729902565544</v>
      </c>
      <c r="M187" s="311">
        <v>1105</v>
      </c>
      <c r="N187" s="312">
        <v>2807.3666386150421</v>
      </c>
      <c r="O187" s="311">
        <v>297</v>
      </c>
      <c r="P187" s="312">
        <v>2.16</v>
      </c>
      <c r="Q187" s="311">
        <v>643</v>
      </c>
      <c r="R187" s="311">
        <v>37</v>
      </c>
      <c r="S187" s="311">
        <v>21</v>
      </c>
      <c r="T187" s="311">
        <v>36</v>
      </c>
      <c r="U187" s="311">
        <v>11</v>
      </c>
      <c r="V187" s="311">
        <v>21</v>
      </c>
      <c r="W187" s="311">
        <v>10</v>
      </c>
      <c r="X187" s="311">
        <v>3</v>
      </c>
      <c r="Y187" s="311">
        <v>17</v>
      </c>
      <c r="Z187" s="311">
        <v>7</v>
      </c>
      <c r="AA187" s="311">
        <v>31</v>
      </c>
      <c r="AB187" s="311">
        <v>41</v>
      </c>
      <c r="AC187" s="311">
        <v>11</v>
      </c>
      <c r="AD187" s="311">
        <v>37</v>
      </c>
      <c r="AE187" s="311">
        <v>4</v>
      </c>
      <c r="AF187" s="311">
        <v>5</v>
      </c>
      <c r="AG187" s="311">
        <v>5</v>
      </c>
      <c r="AH187" s="312">
        <v>31.649831649831651</v>
      </c>
      <c r="AI187" s="312">
        <v>10.774410774410773</v>
      </c>
      <c r="AJ187" s="312">
        <v>12.457912457912458</v>
      </c>
      <c r="AK187" s="312">
        <v>10.437710437710438</v>
      </c>
      <c r="AL187" s="312">
        <v>34.680134680134678</v>
      </c>
      <c r="AM187" s="311">
        <v>15317</v>
      </c>
      <c r="AN187" s="311">
        <v>42656</v>
      </c>
      <c r="AO187" s="312">
        <v>52.525252525252533</v>
      </c>
      <c r="AP187" s="311">
        <v>297</v>
      </c>
      <c r="AQ187" s="311">
        <v>74</v>
      </c>
      <c r="AR187" s="311">
        <v>186</v>
      </c>
      <c r="AS187" s="311">
        <v>111</v>
      </c>
      <c r="AT187" s="311">
        <v>0</v>
      </c>
      <c r="AU187" s="311">
        <v>15</v>
      </c>
      <c r="AV187" s="311">
        <v>79</v>
      </c>
      <c r="AW187" s="311">
        <v>12</v>
      </c>
      <c r="AX187" s="311">
        <v>2</v>
      </c>
      <c r="AY187" s="311">
        <v>28</v>
      </c>
      <c r="AZ187" s="311">
        <v>21</v>
      </c>
      <c r="BA187" s="311">
        <v>6</v>
      </c>
      <c r="BB187" s="311">
        <v>0</v>
      </c>
      <c r="BC187" s="311">
        <v>45</v>
      </c>
      <c r="BD187" s="311">
        <v>27</v>
      </c>
      <c r="BE187" s="311">
        <v>0</v>
      </c>
      <c r="BF187" s="311">
        <v>62</v>
      </c>
      <c r="BG187" s="311">
        <v>0</v>
      </c>
      <c r="BH187" s="311">
        <v>0</v>
      </c>
      <c r="BI187" s="312">
        <v>36.026936026936028</v>
      </c>
      <c r="BJ187" s="313">
        <v>0.6</v>
      </c>
      <c r="BK187" s="313">
        <v>1.4</v>
      </c>
      <c r="BL187" s="313">
        <v>1.3</v>
      </c>
      <c r="BM187" s="313">
        <v>24.9</v>
      </c>
      <c r="BN187" s="313">
        <v>36.4</v>
      </c>
      <c r="BO187" s="313">
        <v>3.3</v>
      </c>
      <c r="BP187" s="313">
        <v>0.7</v>
      </c>
      <c r="BQ187" s="313">
        <v>0.7</v>
      </c>
      <c r="BR187" s="313">
        <v>4.7</v>
      </c>
      <c r="BS187" s="313">
        <v>2.7</v>
      </c>
      <c r="BT187" s="313">
        <v>3.1</v>
      </c>
      <c r="BU187" s="313">
        <v>4</v>
      </c>
      <c r="BV187" s="313">
        <v>4.0999999999999996</v>
      </c>
      <c r="BW187" s="313">
        <v>4.7</v>
      </c>
      <c r="BX187" s="313">
        <v>2.5</v>
      </c>
      <c r="BY187" s="313">
        <v>1.7</v>
      </c>
      <c r="BZ187" s="313">
        <v>2</v>
      </c>
      <c r="CA187" s="313">
        <v>1.3</v>
      </c>
      <c r="CB187" s="313">
        <v>3.3</v>
      </c>
      <c r="CC187" s="313">
        <v>84.6</v>
      </c>
      <c r="CD187" s="313">
        <v>12.200000000000001</v>
      </c>
    </row>
    <row r="188" spans="1:82" x14ac:dyDescent="0.25">
      <c r="A188" s="130" t="s">
        <v>4950</v>
      </c>
      <c r="B188" s="130" t="s">
        <v>324</v>
      </c>
      <c r="C188" s="130" t="s">
        <v>4951</v>
      </c>
      <c r="D188" s="130" t="s">
        <v>53</v>
      </c>
      <c r="E188" s="130" t="s">
        <v>4944</v>
      </c>
      <c r="F188" s="130" t="s">
        <v>4272</v>
      </c>
      <c r="G188" s="130" t="s">
        <v>4952</v>
      </c>
      <c r="H188" s="309">
        <v>540285</v>
      </c>
      <c r="I188" s="277" t="s">
        <v>1529</v>
      </c>
      <c r="J188" s="130">
        <v>5408524</v>
      </c>
      <c r="K188" s="130" t="s">
        <v>4953</v>
      </c>
      <c r="L188" s="310">
        <v>9.0156785729920568</v>
      </c>
      <c r="M188" s="311">
        <v>10144</v>
      </c>
      <c r="N188" s="312">
        <v>1125.1510263895182</v>
      </c>
      <c r="O188" s="311">
        <v>4191</v>
      </c>
      <c r="P188" s="312">
        <v>2.37</v>
      </c>
      <c r="Q188" s="311">
        <v>9922</v>
      </c>
      <c r="R188" s="311">
        <v>466</v>
      </c>
      <c r="S188" s="311">
        <v>436</v>
      </c>
      <c r="T188" s="311">
        <v>389</v>
      </c>
      <c r="U188" s="311">
        <v>364</v>
      </c>
      <c r="V188" s="311">
        <v>235</v>
      </c>
      <c r="W188" s="311">
        <v>311</v>
      </c>
      <c r="X188" s="311">
        <v>181</v>
      </c>
      <c r="Y188" s="311">
        <v>135</v>
      </c>
      <c r="Z188" s="311">
        <v>104</v>
      </c>
      <c r="AA188" s="311">
        <v>412</v>
      </c>
      <c r="AB188" s="311">
        <v>370</v>
      </c>
      <c r="AC188" s="311">
        <v>339</v>
      </c>
      <c r="AD188" s="311">
        <v>155</v>
      </c>
      <c r="AE188" s="311">
        <v>64</v>
      </c>
      <c r="AF188" s="311">
        <v>206</v>
      </c>
      <c r="AG188" s="311">
        <v>24</v>
      </c>
      <c r="AH188" s="312">
        <v>30.804104032450493</v>
      </c>
      <c r="AI188" s="312">
        <v>14.292531615366261</v>
      </c>
      <c r="AJ188" s="312">
        <v>17.442137914578858</v>
      </c>
      <c r="AK188" s="312">
        <v>9.8305893581484138</v>
      </c>
      <c r="AL188" s="312">
        <v>27.630637079455976</v>
      </c>
      <c r="AM188" s="311">
        <v>21387</v>
      </c>
      <c r="AN188" s="311">
        <v>33510</v>
      </c>
      <c r="AO188" s="312">
        <v>60.057265569076591</v>
      </c>
      <c r="AP188" s="311">
        <v>4191</v>
      </c>
      <c r="AQ188" s="311">
        <v>1119</v>
      </c>
      <c r="AR188" s="311">
        <v>2793</v>
      </c>
      <c r="AS188" s="311">
        <v>1398</v>
      </c>
      <c r="AT188" s="311">
        <v>100</v>
      </c>
      <c r="AU188" s="311">
        <v>226</v>
      </c>
      <c r="AV188" s="311">
        <v>824</v>
      </c>
      <c r="AW188" s="311">
        <v>385</v>
      </c>
      <c r="AX188" s="311">
        <v>198</v>
      </c>
      <c r="AY188" s="311">
        <v>295</v>
      </c>
      <c r="AZ188" s="311">
        <v>199</v>
      </c>
      <c r="BA188" s="311">
        <v>154</v>
      </c>
      <c r="BB188" s="311">
        <v>34</v>
      </c>
      <c r="BC188" s="311">
        <v>512</v>
      </c>
      <c r="BD188" s="311">
        <v>264</v>
      </c>
      <c r="BE188" s="311">
        <v>0</v>
      </c>
      <c r="BF188" s="311">
        <v>784</v>
      </c>
      <c r="BG188" s="311">
        <v>0</v>
      </c>
      <c r="BH188" s="311">
        <v>0</v>
      </c>
      <c r="BI188" s="312">
        <v>27.511333810546407</v>
      </c>
      <c r="BJ188" s="313">
        <v>5.9</v>
      </c>
      <c r="BK188" s="313">
        <v>6.2</v>
      </c>
      <c r="BL188" s="313">
        <v>5.3</v>
      </c>
      <c r="BM188" s="313">
        <v>6</v>
      </c>
      <c r="BN188" s="313">
        <v>5.8</v>
      </c>
      <c r="BO188" s="313">
        <v>6.2</v>
      </c>
      <c r="BP188" s="313">
        <v>6.9</v>
      </c>
      <c r="BQ188" s="313">
        <v>5.6</v>
      </c>
      <c r="BR188" s="313">
        <v>5.3</v>
      </c>
      <c r="BS188" s="313">
        <v>4.3</v>
      </c>
      <c r="BT188" s="313">
        <v>5.9</v>
      </c>
      <c r="BU188" s="313">
        <v>7.5</v>
      </c>
      <c r="BV188" s="313">
        <v>8.9</v>
      </c>
      <c r="BW188" s="313">
        <v>4.9000000000000004</v>
      </c>
      <c r="BX188" s="313">
        <v>6.1</v>
      </c>
      <c r="BY188" s="313">
        <v>2.9</v>
      </c>
      <c r="BZ188" s="313">
        <v>4</v>
      </c>
      <c r="CA188" s="313">
        <v>2.2999999999999998</v>
      </c>
      <c r="CB188" s="313">
        <v>17.400000000000002</v>
      </c>
      <c r="CC188" s="313">
        <v>62.399999999999991</v>
      </c>
      <c r="CD188" s="313">
        <v>20.2</v>
      </c>
    </row>
    <row r="189" spans="1:82" x14ac:dyDescent="0.25">
      <c r="A189" s="130" t="s">
        <v>4954</v>
      </c>
      <c r="B189" s="130" t="s">
        <v>210</v>
      </c>
      <c r="C189" s="130" t="s">
        <v>4955</v>
      </c>
      <c r="D189" s="130" t="s">
        <v>53</v>
      </c>
      <c r="E189" s="130" t="s">
        <v>4944</v>
      </c>
      <c r="F189" s="130" t="s">
        <v>4272</v>
      </c>
      <c r="G189" s="130" t="s">
        <v>4956</v>
      </c>
      <c r="H189" s="309">
        <v>540125</v>
      </c>
      <c r="I189" s="277" t="s">
        <v>1524</v>
      </c>
      <c r="J189" s="130">
        <v>5409796</v>
      </c>
      <c r="K189" s="130" t="s">
        <v>4957</v>
      </c>
      <c r="L189" s="310">
        <v>0.58349461918822554</v>
      </c>
      <c r="M189" s="311">
        <v>347</v>
      </c>
      <c r="N189" s="312">
        <v>594.69271624604926</v>
      </c>
      <c r="O189" s="311">
        <v>130</v>
      </c>
      <c r="P189" s="312">
        <v>2.67</v>
      </c>
      <c r="Q189" s="311">
        <v>347</v>
      </c>
      <c r="R189" s="311">
        <v>22</v>
      </c>
      <c r="S189" s="311">
        <v>3</v>
      </c>
      <c r="T189" s="311">
        <v>3</v>
      </c>
      <c r="U189" s="311">
        <v>9</v>
      </c>
      <c r="V189" s="311">
        <v>7</v>
      </c>
      <c r="W189" s="311">
        <v>8</v>
      </c>
      <c r="X189" s="311">
        <v>8</v>
      </c>
      <c r="Y189" s="311">
        <v>2</v>
      </c>
      <c r="Z189" s="311">
        <v>31</v>
      </c>
      <c r="AA189" s="311">
        <v>11</v>
      </c>
      <c r="AB189" s="311">
        <v>9</v>
      </c>
      <c r="AC189" s="311">
        <v>6</v>
      </c>
      <c r="AD189" s="311">
        <v>6</v>
      </c>
      <c r="AE189" s="311">
        <v>3</v>
      </c>
      <c r="AF189" s="311">
        <v>2</v>
      </c>
      <c r="AG189" s="311">
        <v>0</v>
      </c>
      <c r="AH189" s="312">
        <v>21.53846153846154</v>
      </c>
      <c r="AI189" s="312">
        <v>12.307692307692308</v>
      </c>
      <c r="AJ189" s="312">
        <v>37.692307692307693</v>
      </c>
      <c r="AK189" s="312">
        <v>8.4615384615384617</v>
      </c>
      <c r="AL189" s="312">
        <v>20</v>
      </c>
      <c r="AM189" s="311">
        <v>17421</v>
      </c>
      <c r="AN189" s="311">
        <v>45357</v>
      </c>
      <c r="AO189" s="312">
        <v>47.692307692307693</v>
      </c>
      <c r="AP189" s="311">
        <v>130</v>
      </c>
      <c r="AQ189" s="311">
        <v>83</v>
      </c>
      <c r="AR189" s="311">
        <v>106</v>
      </c>
      <c r="AS189" s="311">
        <v>24</v>
      </c>
      <c r="AT189" s="311">
        <v>1</v>
      </c>
      <c r="AU189" s="311">
        <v>5</v>
      </c>
      <c r="AV189" s="311">
        <v>14</v>
      </c>
      <c r="AW189" s="311">
        <v>10</v>
      </c>
      <c r="AX189" s="311">
        <v>10</v>
      </c>
      <c r="AY189" s="311">
        <v>0</v>
      </c>
      <c r="AZ189" s="311">
        <v>17</v>
      </c>
      <c r="BA189" s="311">
        <v>24</v>
      </c>
      <c r="BB189" s="311">
        <v>0</v>
      </c>
      <c r="BC189" s="311">
        <v>12</v>
      </c>
      <c r="BD189" s="311">
        <v>3</v>
      </c>
      <c r="BE189" s="311">
        <v>5</v>
      </c>
      <c r="BF189" s="311">
        <v>17</v>
      </c>
      <c r="BG189" s="311">
        <v>0</v>
      </c>
      <c r="BH189" s="311">
        <v>0</v>
      </c>
      <c r="BI189" s="312">
        <v>14.615384615384617</v>
      </c>
      <c r="BJ189" s="313">
        <v>4.9000000000000004</v>
      </c>
      <c r="BK189" s="313">
        <v>3.2</v>
      </c>
      <c r="BL189" s="313">
        <v>2.6</v>
      </c>
      <c r="BM189" s="313">
        <v>0.3</v>
      </c>
      <c r="BN189" s="313">
        <v>11.8</v>
      </c>
      <c r="BO189" s="313">
        <v>5.2</v>
      </c>
      <c r="BP189" s="313">
        <v>11</v>
      </c>
      <c r="BQ189" s="313">
        <v>2.9</v>
      </c>
      <c r="BR189" s="313">
        <v>2.2999999999999998</v>
      </c>
      <c r="BS189" s="313">
        <v>6.6</v>
      </c>
      <c r="BT189" s="313">
        <v>6.9</v>
      </c>
      <c r="BU189" s="313">
        <v>13.5</v>
      </c>
      <c r="BV189" s="313">
        <v>4.3</v>
      </c>
      <c r="BW189" s="313">
        <v>9.8000000000000007</v>
      </c>
      <c r="BX189" s="313">
        <v>7.2</v>
      </c>
      <c r="BY189" s="313">
        <v>3.7</v>
      </c>
      <c r="BZ189" s="313">
        <v>2.9</v>
      </c>
      <c r="CA189" s="313">
        <v>0.9</v>
      </c>
      <c r="CB189" s="313">
        <v>10.700000000000001</v>
      </c>
      <c r="CC189" s="313">
        <v>64.8</v>
      </c>
      <c r="CD189" s="313">
        <v>24.499999999999996</v>
      </c>
    </row>
    <row r="190" spans="1:82" x14ac:dyDescent="0.25">
      <c r="A190" s="130" t="s">
        <v>4958</v>
      </c>
      <c r="B190" s="130" t="s">
        <v>211</v>
      </c>
      <c r="C190" s="130" t="s">
        <v>4959</v>
      </c>
      <c r="D190" s="130" t="s">
        <v>53</v>
      </c>
      <c r="E190" s="130" t="s">
        <v>4944</v>
      </c>
      <c r="F190" s="130" t="s">
        <v>4272</v>
      </c>
      <c r="G190" s="130" t="s">
        <v>4960</v>
      </c>
      <c r="H190" s="309">
        <v>540126</v>
      </c>
      <c r="I190" s="277" t="s">
        <v>1525</v>
      </c>
      <c r="J190" s="130">
        <v>5452420</v>
      </c>
      <c r="K190" s="130" t="s">
        <v>4961</v>
      </c>
      <c r="L190" s="310">
        <v>0.2633499009090321</v>
      </c>
      <c r="M190" s="311">
        <v>182</v>
      </c>
      <c r="N190" s="312">
        <v>691.09576032408506</v>
      </c>
      <c r="O190" s="311">
        <v>58</v>
      </c>
      <c r="P190" s="312">
        <v>3.14</v>
      </c>
      <c r="Q190" s="311">
        <v>182</v>
      </c>
      <c r="R190" s="311">
        <v>0</v>
      </c>
      <c r="S190" s="311">
        <v>4</v>
      </c>
      <c r="T190" s="311">
        <v>5</v>
      </c>
      <c r="U190" s="311">
        <v>2</v>
      </c>
      <c r="V190" s="311">
        <v>1</v>
      </c>
      <c r="W190" s="311">
        <v>7</v>
      </c>
      <c r="X190" s="311">
        <v>6</v>
      </c>
      <c r="Y190" s="311">
        <v>11</v>
      </c>
      <c r="Z190" s="311">
        <v>7</v>
      </c>
      <c r="AA190" s="311">
        <v>8</v>
      </c>
      <c r="AB190" s="311">
        <v>0</v>
      </c>
      <c r="AC190" s="311">
        <v>2</v>
      </c>
      <c r="AD190" s="311">
        <v>0</v>
      </c>
      <c r="AE190" s="311">
        <v>0</v>
      </c>
      <c r="AF190" s="311">
        <v>5</v>
      </c>
      <c r="AG190" s="311">
        <v>0</v>
      </c>
      <c r="AH190" s="312">
        <v>15.517241379310345</v>
      </c>
      <c r="AI190" s="312">
        <v>5.1724137931034484</v>
      </c>
      <c r="AJ190" s="312">
        <v>53.448275862068961</v>
      </c>
      <c r="AK190" s="312">
        <v>13.793103448275861</v>
      </c>
      <c r="AL190" s="312">
        <v>12.068965517241379</v>
      </c>
      <c r="AM190" s="311">
        <v>18803</v>
      </c>
      <c r="AN190" s="311">
        <v>43409</v>
      </c>
      <c r="AO190" s="312">
        <v>62.068965517241381</v>
      </c>
      <c r="AP190" s="311">
        <v>58</v>
      </c>
      <c r="AQ190" s="311">
        <v>68</v>
      </c>
      <c r="AR190" s="311">
        <v>38</v>
      </c>
      <c r="AS190" s="311">
        <v>20</v>
      </c>
      <c r="AT190" s="311">
        <v>0</v>
      </c>
      <c r="AU190" s="311">
        <v>1</v>
      </c>
      <c r="AV190" s="311">
        <v>8</v>
      </c>
      <c r="AW190" s="311">
        <v>3</v>
      </c>
      <c r="AX190" s="311">
        <v>7</v>
      </c>
      <c r="AY190" s="311">
        <v>0</v>
      </c>
      <c r="AZ190" s="311">
        <v>14</v>
      </c>
      <c r="BA190" s="311">
        <v>6</v>
      </c>
      <c r="BB190" s="311">
        <v>4</v>
      </c>
      <c r="BC190" s="311">
        <v>3</v>
      </c>
      <c r="BD190" s="311">
        <v>0</v>
      </c>
      <c r="BE190" s="311">
        <v>3</v>
      </c>
      <c r="BF190" s="311">
        <v>5</v>
      </c>
      <c r="BG190" s="311">
        <v>0</v>
      </c>
      <c r="BH190" s="311">
        <v>0</v>
      </c>
      <c r="BI190" s="312">
        <v>25.862068965517242</v>
      </c>
      <c r="BJ190" s="313">
        <v>0</v>
      </c>
      <c r="BK190" s="313">
        <v>8.8000000000000007</v>
      </c>
      <c r="BL190" s="313">
        <v>9.9</v>
      </c>
      <c r="BM190" s="313">
        <v>4.4000000000000004</v>
      </c>
      <c r="BN190" s="313">
        <v>1.6</v>
      </c>
      <c r="BO190" s="313">
        <v>20.9</v>
      </c>
      <c r="BP190" s="313">
        <v>5.5</v>
      </c>
      <c r="BQ190" s="313">
        <v>2.7</v>
      </c>
      <c r="BR190" s="313">
        <v>9.9</v>
      </c>
      <c r="BS190" s="313">
        <v>7.7</v>
      </c>
      <c r="BT190" s="313">
        <v>4.4000000000000004</v>
      </c>
      <c r="BU190" s="313">
        <v>1.6</v>
      </c>
      <c r="BV190" s="313">
        <v>3.8</v>
      </c>
      <c r="BW190" s="313">
        <v>2.2000000000000002</v>
      </c>
      <c r="BX190" s="313">
        <v>2.7</v>
      </c>
      <c r="BY190" s="313">
        <v>2.2000000000000002</v>
      </c>
      <c r="BZ190" s="313">
        <v>2.2000000000000002</v>
      </c>
      <c r="CA190" s="313">
        <v>9.3000000000000007</v>
      </c>
      <c r="CB190" s="313">
        <v>18.700000000000003</v>
      </c>
      <c r="CC190" s="313">
        <v>62.5</v>
      </c>
      <c r="CD190" s="313">
        <v>18.600000000000001</v>
      </c>
    </row>
    <row r="191" spans="1:82" x14ac:dyDescent="0.25">
      <c r="A191" s="130" t="s">
        <v>4962</v>
      </c>
      <c r="B191" s="130" t="s">
        <v>212</v>
      </c>
      <c r="C191" s="130" t="s">
        <v>4963</v>
      </c>
      <c r="D191" s="130" t="s">
        <v>53</v>
      </c>
      <c r="E191" s="130" t="s">
        <v>4944</v>
      </c>
      <c r="F191" s="130" t="s">
        <v>4272</v>
      </c>
      <c r="G191" s="130" t="s">
        <v>4964</v>
      </c>
      <c r="H191" s="309">
        <v>540127</v>
      </c>
      <c r="I191" s="277" t="s">
        <v>1526</v>
      </c>
      <c r="J191" s="130">
        <v>5460196</v>
      </c>
      <c r="K191" s="130" t="s">
        <v>4965</v>
      </c>
      <c r="L191" s="310">
        <v>0.4195654269554191</v>
      </c>
      <c r="M191" s="311">
        <v>157</v>
      </c>
      <c r="N191" s="312">
        <v>374.19670428822542</v>
      </c>
      <c r="O191" s="311">
        <v>55</v>
      </c>
      <c r="P191" s="312">
        <v>2.85</v>
      </c>
      <c r="Q191" s="311">
        <v>157</v>
      </c>
      <c r="R191" s="311">
        <v>7</v>
      </c>
      <c r="S191" s="311">
        <v>1</v>
      </c>
      <c r="T191" s="311">
        <v>6</v>
      </c>
      <c r="U191" s="311">
        <v>2</v>
      </c>
      <c r="V191" s="311">
        <v>0</v>
      </c>
      <c r="W191" s="311">
        <v>16</v>
      </c>
      <c r="X191" s="311">
        <v>3</v>
      </c>
      <c r="Y191" s="311">
        <v>3</v>
      </c>
      <c r="Z191" s="311">
        <v>15</v>
      </c>
      <c r="AA191" s="311">
        <v>2</v>
      </c>
      <c r="AB191" s="311">
        <v>0</v>
      </c>
      <c r="AC191" s="311">
        <v>0</v>
      </c>
      <c r="AD191" s="311">
        <v>0</v>
      </c>
      <c r="AE191" s="311">
        <v>0</v>
      </c>
      <c r="AF191" s="311">
        <v>0</v>
      </c>
      <c r="AG191" s="311">
        <v>0</v>
      </c>
      <c r="AH191" s="312">
        <v>25.454545454545453</v>
      </c>
      <c r="AI191" s="312">
        <v>3.6363636363636362</v>
      </c>
      <c r="AJ191" s="312">
        <v>67.272727272727266</v>
      </c>
      <c r="AK191" s="312">
        <v>3.6363636363636362</v>
      </c>
      <c r="AL191" s="312">
        <v>0</v>
      </c>
      <c r="AM191" s="311">
        <v>12907</v>
      </c>
      <c r="AN191" s="311">
        <v>33977</v>
      </c>
      <c r="AO191" s="312">
        <v>69.090909090909093</v>
      </c>
      <c r="AP191" s="311">
        <v>55</v>
      </c>
      <c r="AQ191" s="311">
        <v>3</v>
      </c>
      <c r="AR191" s="311">
        <v>43</v>
      </c>
      <c r="AS191" s="311">
        <v>12</v>
      </c>
      <c r="AT191" s="311">
        <v>7</v>
      </c>
      <c r="AU191" s="311">
        <v>0</v>
      </c>
      <c r="AV191" s="311">
        <v>7</v>
      </c>
      <c r="AW191" s="311">
        <v>13</v>
      </c>
      <c r="AX191" s="311">
        <v>5</v>
      </c>
      <c r="AY191" s="311">
        <v>0</v>
      </c>
      <c r="AZ191" s="311">
        <v>6</v>
      </c>
      <c r="BA191" s="311">
        <v>0</v>
      </c>
      <c r="BB191" s="311">
        <v>15</v>
      </c>
      <c r="BC191" s="311">
        <v>2</v>
      </c>
      <c r="BD191" s="311">
        <v>0</v>
      </c>
      <c r="BE191" s="311">
        <v>0</v>
      </c>
      <c r="BF191" s="311">
        <v>0</v>
      </c>
      <c r="BG191" s="311">
        <v>0</v>
      </c>
      <c r="BH191" s="311">
        <v>0</v>
      </c>
      <c r="BI191" s="312">
        <v>40</v>
      </c>
      <c r="BJ191" s="313">
        <v>7</v>
      </c>
      <c r="BK191" s="313">
        <v>1.3</v>
      </c>
      <c r="BL191" s="313">
        <v>15.3</v>
      </c>
      <c r="BM191" s="313">
        <v>1.9</v>
      </c>
      <c r="BN191" s="313">
        <v>3.8</v>
      </c>
      <c r="BO191" s="313">
        <v>28</v>
      </c>
      <c r="BP191" s="313">
        <v>3.8</v>
      </c>
      <c r="BQ191" s="313">
        <v>1.3</v>
      </c>
      <c r="BR191" s="313">
        <v>0</v>
      </c>
      <c r="BS191" s="313">
        <v>16.600000000000001</v>
      </c>
      <c r="BT191" s="313">
        <v>2.5</v>
      </c>
      <c r="BU191" s="313">
        <v>8.9</v>
      </c>
      <c r="BV191" s="313">
        <v>0</v>
      </c>
      <c r="BW191" s="313">
        <v>3.8</v>
      </c>
      <c r="BX191" s="313">
        <v>4.5</v>
      </c>
      <c r="BY191" s="313">
        <v>0</v>
      </c>
      <c r="BZ191" s="313">
        <v>1.3</v>
      </c>
      <c r="CA191" s="313">
        <v>0</v>
      </c>
      <c r="CB191" s="313">
        <v>23.6</v>
      </c>
      <c r="CC191" s="313">
        <v>66.8</v>
      </c>
      <c r="CD191" s="313">
        <v>9.6000000000000014</v>
      </c>
    </row>
    <row r="192" spans="1:82" x14ac:dyDescent="0.25">
      <c r="A192" s="130" t="s">
        <v>4966</v>
      </c>
      <c r="B192" s="130" t="s">
        <v>213</v>
      </c>
      <c r="C192" s="130" t="s">
        <v>4967</v>
      </c>
      <c r="D192" s="130" t="s">
        <v>53</v>
      </c>
      <c r="E192" s="130" t="s">
        <v>4944</v>
      </c>
      <c r="F192" s="130" t="s">
        <v>4272</v>
      </c>
      <c r="G192" s="130" t="s">
        <v>4968</v>
      </c>
      <c r="H192" s="309">
        <v>540128</v>
      </c>
      <c r="I192" s="277" t="s">
        <v>1527</v>
      </c>
      <c r="J192" s="130">
        <v>5465692</v>
      </c>
      <c r="K192" s="130" t="s">
        <v>4969</v>
      </c>
      <c r="L192" s="310">
        <v>3.0503165213432779</v>
      </c>
      <c r="M192" s="311">
        <v>5967</v>
      </c>
      <c r="N192" s="312">
        <v>1956.1904340905228</v>
      </c>
      <c r="O192" s="311">
        <v>2583</v>
      </c>
      <c r="P192" s="312">
        <v>2.31</v>
      </c>
      <c r="Q192" s="311">
        <v>5957</v>
      </c>
      <c r="R192" s="311">
        <v>292</v>
      </c>
      <c r="S192" s="311">
        <v>193</v>
      </c>
      <c r="T192" s="311">
        <v>218</v>
      </c>
      <c r="U192" s="311">
        <v>209</v>
      </c>
      <c r="V192" s="311">
        <v>75</v>
      </c>
      <c r="W192" s="311">
        <v>210</v>
      </c>
      <c r="X192" s="311">
        <v>79</v>
      </c>
      <c r="Y192" s="311">
        <v>207</v>
      </c>
      <c r="Z192" s="311">
        <v>165</v>
      </c>
      <c r="AA192" s="311">
        <v>316</v>
      </c>
      <c r="AB192" s="311">
        <v>190</v>
      </c>
      <c r="AC192" s="311">
        <v>231</v>
      </c>
      <c r="AD192" s="311">
        <v>89</v>
      </c>
      <c r="AE192" s="311">
        <v>26</v>
      </c>
      <c r="AF192" s="311">
        <v>40</v>
      </c>
      <c r="AG192" s="311">
        <v>43</v>
      </c>
      <c r="AH192" s="312">
        <v>27.216415021293074</v>
      </c>
      <c r="AI192" s="312">
        <v>10.994967092528068</v>
      </c>
      <c r="AJ192" s="312">
        <v>25.590398761130466</v>
      </c>
      <c r="AK192" s="312">
        <v>12.233836624080526</v>
      </c>
      <c r="AL192" s="312">
        <v>23.964382500967869</v>
      </c>
      <c r="AM192" s="311">
        <v>21513</v>
      </c>
      <c r="AN192" s="311">
        <v>40467</v>
      </c>
      <c r="AO192" s="312">
        <v>57.413859852884244</v>
      </c>
      <c r="AP192" s="311">
        <v>2583</v>
      </c>
      <c r="AQ192" s="311">
        <v>542</v>
      </c>
      <c r="AR192" s="311">
        <v>1589</v>
      </c>
      <c r="AS192" s="311">
        <v>994</v>
      </c>
      <c r="AT192" s="311">
        <v>37</v>
      </c>
      <c r="AU192" s="311">
        <v>110</v>
      </c>
      <c r="AV192" s="311">
        <v>477</v>
      </c>
      <c r="AW192" s="311">
        <v>134</v>
      </c>
      <c r="AX192" s="311">
        <v>183</v>
      </c>
      <c r="AY192" s="311">
        <v>177</v>
      </c>
      <c r="AZ192" s="311">
        <v>219</v>
      </c>
      <c r="BA192" s="311">
        <v>210</v>
      </c>
      <c r="BB192" s="311">
        <v>22</v>
      </c>
      <c r="BC192" s="311">
        <v>359</v>
      </c>
      <c r="BD192" s="311">
        <v>105</v>
      </c>
      <c r="BE192" s="311">
        <v>27</v>
      </c>
      <c r="BF192" s="311">
        <v>429</v>
      </c>
      <c r="BG192" s="311">
        <v>0</v>
      </c>
      <c r="BH192" s="311">
        <v>0</v>
      </c>
      <c r="BI192" s="312">
        <v>27.216415021293074</v>
      </c>
      <c r="BJ192" s="313">
        <v>5.0999999999999996</v>
      </c>
      <c r="BK192" s="313">
        <v>6.8</v>
      </c>
      <c r="BL192" s="313">
        <v>4.9000000000000004</v>
      </c>
      <c r="BM192" s="313">
        <v>5.9</v>
      </c>
      <c r="BN192" s="313">
        <v>5.8</v>
      </c>
      <c r="BO192" s="313">
        <v>5</v>
      </c>
      <c r="BP192" s="313">
        <v>5.2</v>
      </c>
      <c r="BQ192" s="313">
        <v>7.7</v>
      </c>
      <c r="BR192" s="313">
        <v>3.2</v>
      </c>
      <c r="BS192" s="313">
        <v>7.2</v>
      </c>
      <c r="BT192" s="313">
        <v>6.4</v>
      </c>
      <c r="BU192" s="313">
        <v>6.7</v>
      </c>
      <c r="BV192" s="313">
        <v>6.1</v>
      </c>
      <c r="BW192" s="313">
        <v>10</v>
      </c>
      <c r="BX192" s="313">
        <v>3.5</v>
      </c>
      <c r="BY192" s="313">
        <v>3.3</v>
      </c>
      <c r="BZ192" s="313">
        <v>4</v>
      </c>
      <c r="CA192" s="313">
        <v>3.4</v>
      </c>
      <c r="CB192" s="313">
        <v>16.799999999999997</v>
      </c>
      <c r="CC192" s="313">
        <v>59.2</v>
      </c>
      <c r="CD192" s="313">
        <v>24.2</v>
      </c>
    </row>
    <row r="193" spans="1:82" s="322" customFormat="1" x14ac:dyDescent="0.25">
      <c r="A193" s="314" t="s">
        <v>4970</v>
      </c>
      <c r="B193" s="315" t="s">
        <v>348</v>
      </c>
      <c r="C193" s="314"/>
      <c r="D193" s="314"/>
      <c r="E193" s="314"/>
      <c r="F193" s="314"/>
      <c r="G193" s="314"/>
      <c r="H193" s="316"/>
      <c r="I193" s="317"/>
      <c r="J193" s="314">
        <v>54055</v>
      </c>
      <c r="K193" s="314" t="s">
        <v>4971</v>
      </c>
      <c r="L193" s="318">
        <v>420.36821579955307</v>
      </c>
      <c r="M193" s="319">
        <v>60963</v>
      </c>
      <c r="N193" s="320">
        <v>145.0228578391602</v>
      </c>
      <c r="O193" s="319">
        <v>25019</v>
      </c>
      <c r="P193" s="320">
        <v>2.39</v>
      </c>
      <c r="Q193" s="319">
        <v>59796</v>
      </c>
      <c r="R193" s="319">
        <v>2468</v>
      </c>
      <c r="S193" s="319">
        <v>2181</v>
      </c>
      <c r="T193" s="319">
        <v>2220</v>
      </c>
      <c r="U193" s="319">
        <v>1709</v>
      </c>
      <c r="V193" s="319">
        <v>1721</v>
      </c>
      <c r="W193" s="319">
        <v>1567</v>
      </c>
      <c r="X193" s="319">
        <v>1150</v>
      </c>
      <c r="Y193" s="319">
        <v>1166</v>
      </c>
      <c r="Z193" s="319">
        <v>1043</v>
      </c>
      <c r="AA193" s="319">
        <v>2230</v>
      </c>
      <c r="AB193" s="319">
        <v>2370</v>
      </c>
      <c r="AC193" s="319">
        <v>2271</v>
      </c>
      <c r="AD193" s="319">
        <v>1423</v>
      </c>
      <c r="AE193" s="319">
        <v>563</v>
      </c>
      <c r="AF193" s="319">
        <v>634</v>
      </c>
      <c r="AG193" s="319">
        <v>303</v>
      </c>
      <c r="AH193" s="320">
        <v>27.455134098085455</v>
      </c>
      <c r="AI193" s="320">
        <v>13.709580718653825</v>
      </c>
      <c r="AJ193" s="320">
        <v>19.689036332387385</v>
      </c>
      <c r="AK193" s="320">
        <v>8.9132259482793081</v>
      </c>
      <c r="AL193" s="320">
        <v>30.23302290259403</v>
      </c>
      <c r="AM193" s="319">
        <v>21698</v>
      </c>
      <c r="AN193" s="319">
        <v>37763</v>
      </c>
      <c r="AO193" s="320">
        <v>56.684919461209482</v>
      </c>
      <c r="AP193" s="319">
        <v>25019</v>
      </c>
      <c r="AQ193" s="319">
        <v>4981</v>
      </c>
      <c r="AR193" s="319">
        <v>17959</v>
      </c>
      <c r="AS193" s="319">
        <v>7060</v>
      </c>
      <c r="AT193" s="319">
        <v>839</v>
      </c>
      <c r="AU193" s="319">
        <v>1065</v>
      </c>
      <c r="AV193" s="319">
        <v>4285</v>
      </c>
      <c r="AW193" s="319">
        <v>2296</v>
      </c>
      <c r="AX193" s="319">
        <v>1161</v>
      </c>
      <c r="AY193" s="319">
        <v>1332</v>
      </c>
      <c r="AZ193" s="319">
        <v>2184</v>
      </c>
      <c r="BA193" s="319">
        <v>795</v>
      </c>
      <c r="BB193" s="319">
        <v>288</v>
      </c>
      <c r="BC193" s="319">
        <v>3363</v>
      </c>
      <c r="BD193" s="319">
        <v>982</v>
      </c>
      <c r="BE193" s="319">
        <v>132</v>
      </c>
      <c r="BF193" s="319">
        <v>4918</v>
      </c>
      <c r="BG193" s="319">
        <v>190</v>
      </c>
      <c r="BH193" s="319">
        <v>6</v>
      </c>
      <c r="BI193" s="320">
        <v>24.153643231144333</v>
      </c>
      <c r="BJ193" s="321">
        <v>5.9</v>
      </c>
      <c r="BK193" s="321">
        <v>6.5</v>
      </c>
      <c r="BL193" s="321">
        <v>4.7</v>
      </c>
      <c r="BM193" s="321">
        <v>5.8</v>
      </c>
      <c r="BN193" s="321">
        <v>6.5</v>
      </c>
      <c r="BO193" s="321">
        <v>6.1</v>
      </c>
      <c r="BP193" s="321">
        <v>5.4</v>
      </c>
      <c r="BQ193" s="321">
        <v>5.7</v>
      </c>
      <c r="BR193" s="321">
        <v>6</v>
      </c>
      <c r="BS193" s="321">
        <v>6</v>
      </c>
      <c r="BT193" s="321">
        <v>6.5</v>
      </c>
      <c r="BU193" s="321">
        <v>7.1</v>
      </c>
      <c r="BV193" s="321">
        <v>7.7</v>
      </c>
      <c r="BW193" s="321">
        <v>6.7</v>
      </c>
      <c r="BX193" s="321">
        <v>4.8</v>
      </c>
      <c r="BY193" s="321">
        <v>3.4</v>
      </c>
      <c r="BZ193" s="321">
        <v>2.7</v>
      </c>
      <c r="CA193" s="321">
        <v>2.5</v>
      </c>
      <c r="CB193" s="321">
        <v>17.100000000000001</v>
      </c>
      <c r="CC193" s="321">
        <v>62.800000000000004</v>
      </c>
      <c r="CD193" s="321">
        <v>20.100000000000001</v>
      </c>
    </row>
    <row r="194" spans="1:82" s="308" customFormat="1" x14ac:dyDescent="0.25">
      <c r="A194" s="301" t="s">
        <v>4972</v>
      </c>
      <c r="B194" s="301" t="s">
        <v>54</v>
      </c>
      <c r="C194" s="301" t="s">
        <v>4973</v>
      </c>
      <c r="D194" s="301" t="s">
        <v>55</v>
      </c>
      <c r="E194" s="301" t="s">
        <v>4974</v>
      </c>
      <c r="F194" s="301" t="s">
        <v>4272</v>
      </c>
      <c r="G194" s="301" t="s">
        <v>4975</v>
      </c>
      <c r="H194" s="302">
        <v>540129</v>
      </c>
      <c r="I194" s="303" t="s">
        <v>1530</v>
      </c>
      <c r="J194" s="301" t="s">
        <v>488</v>
      </c>
      <c r="K194" s="301" t="s">
        <v>488</v>
      </c>
      <c r="L194" s="304">
        <v>325.21674343670617</v>
      </c>
      <c r="M194" s="305">
        <v>20037</v>
      </c>
      <c r="N194" s="306">
        <v>61.611218992787222</v>
      </c>
      <c r="O194" s="305">
        <v>8159</v>
      </c>
      <c r="P194" s="306">
        <v>2.4255423458757202</v>
      </c>
      <c r="Q194" s="305">
        <v>19790</v>
      </c>
      <c r="R194" s="305">
        <v>693</v>
      </c>
      <c r="S194" s="305">
        <v>426</v>
      </c>
      <c r="T194" s="305">
        <v>450</v>
      </c>
      <c r="U194" s="305">
        <v>722</v>
      </c>
      <c r="V194" s="305">
        <v>371</v>
      </c>
      <c r="W194" s="305">
        <v>385</v>
      </c>
      <c r="X194" s="305">
        <v>572</v>
      </c>
      <c r="Y194" s="305">
        <v>328</v>
      </c>
      <c r="Z194" s="305">
        <v>346</v>
      </c>
      <c r="AA194" s="305">
        <v>742</v>
      </c>
      <c r="AB194" s="305">
        <v>1115</v>
      </c>
      <c r="AC194" s="305">
        <v>1117</v>
      </c>
      <c r="AD194" s="305">
        <v>600</v>
      </c>
      <c r="AE194" s="305">
        <v>129</v>
      </c>
      <c r="AF194" s="305">
        <v>109</v>
      </c>
      <c r="AG194" s="305">
        <v>54</v>
      </c>
      <c r="AH194" s="306">
        <v>19.230297830616497</v>
      </c>
      <c r="AI194" s="306">
        <v>13.396249540384849</v>
      </c>
      <c r="AJ194" s="306">
        <v>19.990194876823139</v>
      </c>
      <c r="AK194" s="306">
        <v>9.0942517465375659</v>
      </c>
      <c r="AL194" s="306">
        <v>38.289006005637944</v>
      </c>
      <c r="AM194" s="305">
        <v>21888</v>
      </c>
      <c r="AN194" s="305">
        <v>40749</v>
      </c>
      <c r="AO194" s="306">
        <v>48.376026473832582</v>
      </c>
      <c r="AP194" s="305">
        <v>8159</v>
      </c>
      <c r="AQ194" s="305">
        <v>1144</v>
      </c>
      <c r="AR194" s="305">
        <v>5844</v>
      </c>
      <c r="AS194" s="305">
        <v>2315</v>
      </c>
      <c r="AT194" s="305">
        <v>187</v>
      </c>
      <c r="AU194" s="305">
        <v>140</v>
      </c>
      <c r="AV194" s="305">
        <v>825</v>
      </c>
      <c r="AW194" s="305">
        <v>605</v>
      </c>
      <c r="AX194" s="305">
        <v>344</v>
      </c>
      <c r="AY194" s="305">
        <v>413</v>
      </c>
      <c r="AZ194" s="305">
        <v>809</v>
      </c>
      <c r="BA194" s="305">
        <v>283</v>
      </c>
      <c r="BB194" s="305">
        <v>147</v>
      </c>
      <c r="BC194" s="305">
        <v>1391</v>
      </c>
      <c r="BD194" s="305">
        <v>333</v>
      </c>
      <c r="BE194" s="305">
        <v>60</v>
      </c>
      <c r="BF194" s="305">
        <v>1783</v>
      </c>
      <c r="BG194" s="305">
        <v>156</v>
      </c>
      <c r="BH194" s="305">
        <v>70</v>
      </c>
      <c r="BI194" s="306">
        <v>18.568452016178451</v>
      </c>
      <c r="BJ194" s="307">
        <v>5.2</v>
      </c>
      <c r="BK194" s="307">
        <v>4.5999999999999996</v>
      </c>
      <c r="BL194" s="307">
        <v>7</v>
      </c>
      <c r="BM194" s="307">
        <v>6.8</v>
      </c>
      <c r="BN194" s="307">
        <v>6.1</v>
      </c>
      <c r="BO194" s="307">
        <v>5.4</v>
      </c>
      <c r="BP194" s="307">
        <v>5.2</v>
      </c>
      <c r="BQ194" s="307">
        <v>5.2</v>
      </c>
      <c r="BR194" s="307">
        <v>6.1</v>
      </c>
      <c r="BS194" s="307">
        <v>7</v>
      </c>
      <c r="BT194" s="307">
        <v>7.2</v>
      </c>
      <c r="BU194" s="307">
        <v>7.2</v>
      </c>
      <c r="BV194" s="307">
        <v>7</v>
      </c>
      <c r="BW194" s="307">
        <v>6.8</v>
      </c>
      <c r="BX194" s="307">
        <v>5.0999999999999996</v>
      </c>
      <c r="BY194" s="307">
        <v>3.5</v>
      </c>
      <c r="BZ194" s="307">
        <v>2.2000000000000002</v>
      </c>
      <c r="CA194" s="307">
        <v>2.2999999999999998</v>
      </c>
      <c r="CB194" s="307">
        <v>16.8</v>
      </c>
      <c r="CC194" s="307">
        <v>63.2</v>
      </c>
      <c r="CD194" s="307">
        <v>19.899999999999999</v>
      </c>
    </row>
    <row r="195" spans="1:82" x14ac:dyDescent="0.25">
      <c r="A195" s="130" t="s">
        <v>4976</v>
      </c>
      <c r="B195" s="130" t="s">
        <v>336</v>
      </c>
      <c r="C195" s="130" t="s">
        <v>4977</v>
      </c>
      <c r="D195" s="130" t="s">
        <v>55</v>
      </c>
      <c r="E195" s="130" t="s">
        <v>4974</v>
      </c>
      <c r="F195" s="130" t="s">
        <v>4272</v>
      </c>
      <c r="G195" s="130" t="s">
        <v>4978</v>
      </c>
      <c r="H195" s="309">
        <v>545555</v>
      </c>
      <c r="I195" s="277" t="s">
        <v>1534</v>
      </c>
      <c r="J195" s="130">
        <v>5413525</v>
      </c>
      <c r="K195" s="130" t="s">
        <v>4979</v>
      </c>
      <c r="L195" s="310">
        <v>1.3034721910686744</v>
      </c>
      <c r="M195" s="311">
        <v>655</v>
      </c>
      <c r="N195" s="312">
        <v>502.5040077479419</v>
      </c>
      <c r="O195" s="311">
        <v>336</v>
      </c>
      <c r="P195" s="312">
        <v>1.95</v>
      </c>
      <c r="Q195" s="311">
        <v>655</v>
      </c>
      <c r="R195" s="311">
        <v>32</v>
      </c>
      <c r="S195" s="311">
        <v>0</v>
      </c>
      <c r="T195" s="311">
        <v>15</v>
      </c>
      <c r="U195" s="311">
        <v>42</v>
      </c>
      <c r="V195" s="311">
        <v>15</v>
      </c>
      <c r="W195" s="311">
        <v>18</v>
      </c>
      <c r="X195" s="311">
        <v>17</v>
      </c>
      <c r="Y195" s="311">
        <v>24</v>
      </c>
      <c r="Z195" s="311">
        <v>13</v>
      </c>
      <c r="AA195" s="311">
        <v>19</v>
      </c>
      <c r="AB195" s="311">
        <v>31</v>
      </c>
      <c r="AC195" s="311">
        <v>84</v>
      </c>
      <c r="AD195" s="311">
        <v>22</v>
      </c>
      <c r="AE195" s="311">
        <v>4</v>
      </c>
      <c r="AF195" s="311">
        <v>0</v>
      </c>
      <c r="AG195" s="311">
        <v>0</v>
      </c>
      <c r="AH195" s="312">
        <v>13.988095238095239</v>
      </c>
      <c r="AI195" s="312">
        <v>16.964285714285715</v>
      </c>
      <c r="AJ195" s="312">
        <v>21.428571428571427</v>
      </c>
      <c r="AK195" s="312">
        <v>5.6547619047619051</v>
      </c>
      <c r="AL195" s="312">
        <v>41.964285714285715</v>
      </c>
      <c r="AM195" s="311">
        <v>27865</v>
      </c>
      <c r="AN195" s="311">
        <v>46563</v>
      </c>
      <c r="AO195" s="312">
        <v>48.511904761904759</v>
      </c>
      <c r="AP195" s="311">
        <v>336</v>
      </c>
      <c r="AQ195" s="311">
        <v>95</v>
      </c>
      <c r="AR195" s="311">
        <v>239</v>
      </c>
      <c r="AS195" s="311">
        <v>97</v>
      </c>
      <c r="AT195" s="311">
        <v>3</v>
      </c>
      <c r="AU195" s="311">
        <v>9</v>
      </c>
      <c r="AV195" s="311">
        <v>10</v>
      </c>
      <c r="AW195" s="311">
        <v>29</v>
      </c>
      <c r="AX195" s="311">
        <v>11</v>
      </c>
      <c r="AY195" s="311">
        <v>31</v>
      </c>
      <c r="AZ195" s="311">
        <v>19</v>
      </c>
      <c r="BA195" s="311">
        <v>35</v>
      </c>
      <c r="BB195" s="311">
        <v>0</v>
      </c>
      <c r="BC195" s="311">
        <v>33</v>
      </c>
      <c r="BD195" s="311">
        <v>7</v>
      </c>
      <c r="BE195" s="311">
        <v>0</v>
      </c>
      <c r="BF195" s="311">
        <v>72</v>
      </c>
      <c r="BG195" s="311">
        <v>28</v>
      </c>
      <c r="BH195" s="311">
        <v>0</v>
      </c>
      <c r="BI195" s="312">
        <v>12.202380952380953</v>
      </c>
      <c r="BJ195" s="313">
        <v>2.2999999999999998</v>
      </c>
      <c r="BK195" s="313">
        <v>5.3</v>
      </c>
      <c r="BL195" s="313">
        <v>4</v>
      </c>
      <c r="BM195" s="313">
        <v>3.4</v>
      </c>
      <c r="BN195" s="313">
        <v>7.9</v>
      </c>
      <c r="BO195" s="313">
        <v>6.3</v>
      </c>
      <c r="BP195" s="313">
        <v>7.2</v>
      </c>
      <c r="BQ195" s="313">
        <v>7.9</v>
      </c>
      <c r="BR195" s="313">
        <v>9.5</v>
      </c>
      <c r="BS195" s="313">
        <v>5.5</v>
      </c>
      <c r="BT195" s="313">
        <v>6.9</v>
      </c>
      <c r="BU195" s="313">
        <v>5</v>
      </c>
      <c r="BV195" s="313">
        <v>5.8</v>
      </c>
      <c r="BW195" s="313">
        <v>9.3000000000000007</v>
      </c>
      <c r="BX195" s="313">
        <v>4.3</v>
      </c>
      <c r="BY195" s="313">
        <v>6.3</v>
      </c>
      <c r="BZ195" s="313">
        <v>1.4</v>
      </c>
      <c r="CA195" s="313">
        <v>1.8</v>
      </c>
      <c r="CB195" s="313">
        <v>11.6</v>
      </c>
      <c r="CC195" s="313">
        <v>65.400000000000006</v>
      </c>
      <c r="CD195" s="313">
        <v>23.1</v>
      </c>
    </row>
    <row r="196" spans="1:82" x14ac:dyDescent="0.25">
      <c r="A196" s="130" t="s">
        <v>4980</v>
      </c>
      <c r="B196" s="130" t="s">
        <v>338</v>
      </c>
      <c r="C196" s="130" t="s">
        <v>4981</v>
      </c>
      <c r="D196" s="130" t="s">
        <v>55</v>
      </c>
      <c r="E196" s="130" t="s">
        <v>4974</v>
      </c>
      <c r="F196" s="130" t="s">
        <v>4272</v>
      </c>
      <c r="G196" s="130" t="s">
        <v>4982</v>
      </c>
      <c r="H196" s="309">
        <v>540091</v>
      </c>
      <c r="I196" s="277" t="s">
        <v>1535</v>
      </c>
      <c r="J196" s="130">
        <v>5424484</v>
      </c>
      <c r="K196" s="130" t="s">
        <v>4983</v>
      </c>
      <c r="L196" s="310">
        <v>0.25750975663442971</v>
      </c>
      <c r="M196" s="311">
        <v>201</v>
      </c>
      <c r="N196" s="312">
        <v>780.55294924357747</v>
      </c>
      <c r="O196" s="311">
        <v>91</v>
      </c>
      <c r="P196" s="312">
        <v>2.21</v>
      </c>
      <c r="Q196" s="311">
        <v>201</v>
      </c>
      <c r="R196" s="311">
        <v>18</v>
      </c>
      <c r="S196" s="311">
        <v>14</v>
      </c>
      <c r="T196" s="311">
        <v>5</v>
      </c>
      <c r="U196" s="311">
        <v>5</v>
      </c>
      <c r="V196" s="311">
        <v>9</v>
      </c>
      <c r="W196" s="311">
        <v>3</v>
      </c>
      <c r="X196" s="311">
        <v>2</v>
      </c>
      <c r="Y196" s="311">
        <v>3</v>
      </c>
      <c r="Z196" s="311">
        <v>0</v>
      </c>
      <c r="AA196" s="311">
        <v>12</v>
      </c>
      <c r="AB196" s="311">
        <v>7</v>
      </c>
      <c r="AC196" s="311">
        <v>4</v>
      </c>
      <c r="AD196" s="311">
        <v>6</v>
      </c>
      <c r="AE196" s="311">
        <v>3</v>
      </c>
      <c r="AF196" s="311">
        <v>0</v>
      </c>
      <c r="AG196" s="311">
        <v>0</v>
      </c>
      <c r="AH196" s="312">
        <v>40.659340659340657</v>
      </c>
      <c r="AI196" s="312">
        <v>15.384615384615385</v>
      </c>
      <c r="AJ196" s="312">
        <v>8.791208791208792</v>
      </c>
      <c r="AK196" s="312">
        <v>13.186813186813188</v>
      </c>
      <c r="AL196" s="312">
        <v>21.978021978021978</v>
      </c>
      <c r="AM196" s="311">
        <v>18789</v>
      </c>
      <c r="AN196" s="311">
        <v>26458</v>
      </c>
      <c r="AO196" s="312">
        <v>64.835164835164832</v>
      </c>
      <c r="AP196" s="311">
        <v>91</v>
      </c>
      <c r="AQ196" s="311">
        <v>17</v>
      </c>
      <c r="AR196" s="311">
        <v>50</v>
      </c>
      <c r="AS196" s="311">
        <v>41</v>
      </c>
      <c r="AT196" s="311">
        <v>4</v>
      </c>
      <c r="AU196" s="311">
        <v>2</v>
      </c>
      <c r="AV196" s="311">
        <v>20</v>
      </c>
      <c r="AW196" s="311">
        <v>9</v>
      </c>
      <c r="AX196" s="311">
        <v>4</v>
      </c>
      <c r="AY196" s="311">
        <v>2</v>
      </c>
      <c r="AZ196" s="311">
        <v>2</v>
      </c>
      <c r="BA196" s="311">
        <v>3</v>
      </c>
      <c r="BB196" s="311">
        <v>0</v>
      </c>
      <c r="BC196" s="311">
        <v>16</v>
      </c>
      <c r="BD196" s="311">
        <v>0</v>
      </c>
      <c r="BE196" s="311">
        <v>0</v>
      </c>
      <c r="BF196" s="311">
        <v>13</v>
      </c>
      <c r="BG196" s="311">
        <v>0</v>
      </c>
      <c r="BH196" s="311">
        <v>0</v>
      </c>
      <c r="BI196" s="312">
        <v>24.175824175824175</v>
      </c>
      <c r="BJ196" s="313">
        <v>5</v>
      </c>
      <c r="BK196" s="313">
        <v>9</v>
      </c>
      <c r="BL196" s="313">
        <v>5.5</v>
      </c>
      <c r="BM196" s="313">
        <v>10.4</v>
      </c>
      <c r="BN196" s="313">
        <v>7.5</v>
      </c>
      <c r="BO196" s="313">
        <v>4.5</v>
      </c>
      <c r="BP196" s="313">
        <v>7</v>
      </c>
      <c r="BQ196" s="313">
        <v>2.5</v>
      </c>
      <c r="BR196" s="313">
        <v>10.9</v>
      </c>
      <c r="BS196" s="313">
        <v>3.5</v>
      </c>
      <c r="BT196" s="313">
        <v>2</v>
      </c>
      <c r="BU196" s="313">
        <v>7</v>
      </c>
      <c r="BV196" s="313">
        <v>6</v>
      </c>
      <c r="BW196" s="313">
        <v>10</v>
      </c>
      <c r="BX196" s="313">
        <v>3.5</v>
      </c>
      <c r="BY196" s="313">
        <v>5</v>
      </c>
      <c r="BZ196" s="313">
        <v>1</v>
      </c>
      <c r="CA196" s="313">
        <v>0</v>
      </c>
      <c r="CB196" s="313">
        <v>19.5</v>
      </c>
      <c r="CC196" s="313">
        <v>61.3</v>
      </c>
      <c r="CD196" s="313">
        <v>19.5</v>
      </c>
    </row>
    <row r="197" spans="1:82" x14ac:dyDescent="0.25">
      <c r="A197" s="130" t="s">
        <v>4984</v>
      </c>
      <c r="B197" s="130" t="s">
        <v>214</v>
      </c>
      <c r="C197" s="130" t="s">
        <v>4985</v>
      </c>
      <c r="D197" s="130" t="s">
        <v>55</v>
      </c>
      <c r="E197" s="130" t="s">
        <v>4974</v>
      </c>
      <c r="F197" s="130" t="s">
        <v>4272</v>
      </c>
      <c r="G197" s="130" t="s">
        <v>4986</v>
      </c>
      <c r="H197" s="309">
        <v>540130</v>
      </c>
      <c r="I197" s="277" t="s">
        <v>1531</v>
      </c>
      <c r="J197" s="130">
        <v>5443492</v>
      </c>
      <c r="K197" s="130" t="s">
        <v>4987</v>
      </c>
      <c r="L197" s="310">
        <v>1.9662216795357732</v>
      </c>
      <c r="M197" s="311">
        <v>5183</v>
      </c>
      <c r="N197" s="312">
        <v>2636.020166975125</v>
      </c>
      <c r="O197" s="311">
        <v>2049</v>
      </c>
      <c r="P197" s="312">
        <v>2.27</v>
      </c>
      <c r="Q197" s="311">
        <v>4642</v>
      </c>
      <c r="R197" s="311">
        <v>281</v>
      </c>
      <c r="S197" s="311">
        <v>128</v>
      </c>
      <c r="T197" s="311">
        <v>162</v>
      </c>
      <c r="U197" s="311">
        <v>181</v>
      </c>
      <c r="V197" s="311">
        <v>133</v>
      </c>
      <c r="W197" s="311">
        <v>244</v>
      </c>
      <c r="X197" s="311">
        <v>161</v>
      </c>
      <c r="Y197" s="311">
        <v>89</v>
      </c>
      <c r="Z197" s="311">
        <v>46</v>
      </c>
      <c r="AA197" s="311">
        <v>113</v>
      </c>
      <c r="AB197" s="311">
        <v>311</v>
      </c>
      <c r="AC197" s="311">
        <v>64</v>
      </c>
      <c r="AD197" s="311">
        <v>64</v>
      </c>
      <c r="AE197" s="311">
        <v>22</v>
      </c>
      <c r="AF197" s="311">
        <v>50</v>
      </c>
      <c r="AG197" s="311">
        <v>0</v>
      </c>
      <c r="AH197" s="312">
        <v>27.867252318203999</v>
      </c>
      <c r="AI197" s="312">
        <v>15.324548560273305</v>
      </c>
      <c r="AJ197" s="312">
        <v>26.354319180087849</v>
      </c>
      <c r="AK197" s="312">
        <v>5.5148853099072719</v>
      </c>
      <c r="AL197" s="312">
        <v>24.938994631527574</v>
      </c>
      <c r="AM197" s="311">
        <v>16597</v>
      </c>
      <c r="AN197" s="311">
        <v>31845</v>
      </c>
      <c r="AO197" s="312">
        <v>67.301122498779904</v>
      </c>
      <c r="AP197" s="311">
        <v>2049</v>
      </c>
      <c r="AQ197" s="311">
        <v>378</v>
      </c>
      <c r="AR197" s="311">
        <v>1079</v>
      </c>
      <c r="AS197" s="311">
        <v>970</v>
      </c>
      <c r="AT197" s="311">
        <v>12</v>
      </c>
      <c r="AU197" s="311">
        <v>142</v>
      </c>
      <c r="AV197" s="311">
        <v>288</v>
      </c>
      <c r="AW197" s="311">
        <v>137</v>
      </c>
      <c r="AX197" s="311">
        <v>139</v>
      </c>
      <c r="AY197" s="311">
        <v>282</v>
      </c>
      <c r="AZ197" s="311">
        <v>116</v>
      </c>
      <c r="BA197" s="311">
        <v>135</v>
      </c>
      <c r="BB197" s="311">
        <v>0</v>
      </c>
      <c r="BC197" s="311">
        <v>388</v>
      </c>
      <c r="BD197" s="311">
        <v>36</v>
      </c>
      <c r="BE197" s="311">
        <v>0</v>
      </c>
      <c r="BF197" s="311">
        <v>189</v>
      </c>
      <c r="BG197" s="311">
        <v>11</v>
      </c>
      <c r="BH197" s="311">
        <v>0</v>
      </c>
      <c r="BI197" s="312">
        <v>27.818448023426061</v>
      </c>
      <c r="BJ197" s="313">
        <v>5.2</v>
      </c>
      <c r="BK197" s="313">
        <v>3.6</v>
      </c>
      <c r="BL197" s="313">
        <v>7.8</v>
      </c>
      <c r="BM197" s="313">
        <v>11.8</v>
      </c>
      <c r="BN197" s="313">
        <v>10.5</v>
      </c>
      <c r="BO197" s="313">
        <v>8.6</v>
      </c>
      <c r="BP197" s="313">
        <v>3.7</v>
      </c>
      <c r="BQ197" s="313">
        <v>5.6</v>
      </c>
      <c r="BR197" s="313">
        <v>6.6</v>
      </c>
      <c r="BS197" s="313">
        <v>3.9</v>
      </c>
      <c r="BT197" s="313">
        <v>6.9</v>
      </c>
      <c r="BU197" s="313">
        <v>5.4</v>
      </c>
      <c r="BV197" s="313">
        <v>3.9</v>
      </c>
      <c r="BW197" s="313">
        <v>7.7</v>
      </c>
      <c r="BX197" s="313">
        <v>2.7</v>
      </c>
      <c r="BY197" s="313">
        <v>2.5</v>
      </c>
      <c r="BZ197" s="313">
        <v>1.5</v>
      </c>
      <c r="CA197" s="313">
        <v>2</v>
      </c>
      <c r="CB197" s="313">
        <v>16.600000000000001</v>
      </c>
      <c r="CC197" s="313">
        <v>66.900000000000006</v>
      </c>
      <c r="CD197" s="313">
        <v>16.399999999999999</v>
      </c>
    </row>
    <row r="198" spans="1:82" x14ac:dyDescent="0.25">
      <c r="A198" s="130" t="s">
        <v>4988</v>
      </c>
      <c r="B198" s="130" t="s">
        <v>215</v>
      </c>
      <c r="C198" s="130" t="s">
        <v>4989</v>
      </c>
      <c r="D198" s="130" t="s">
        <v>55</v>
      </c>
      <c r="E198" s="130" t="s">
        <v>4974</v>
      </c>
      <c r="F198" s="130" t="s">
        <v>4272</v>
      </c>
      <c r="G198" s="130" t="s">
        <v>4990</v>
      </c>
      <c r="H198" s="309">
        <v>540131</v>
      </c>
      <c r="I198" s="277" t="s">
        <v>1532</v>
      </c>
      <c r="J198" s="130">
        <v>5463604</v>
      </c>
      <c r="K198" s="130" t="s">
        <v>4991</v>
      </c>
      <c r="L198" s="310">
        <v>0.38018845040398641</v>
      </c>
      <c r="M198" s="311">
        <v>742</v>
      </c>
      <c r="N198" s="312">
        <v>1951.6637057531716</v>
      </c>
      <c r="O198" s="311">
        <v>352</v>
      </c>
      <c r="P198" s="312">
        <v>2.11</v>
      </c>
      <c r="Q198" s="311">
        <v>742</v>
      </c>
      <c r="R198" s="311">
        <v>98</v>
      </c>
      <c r="S198" s="311">
        <v>38</v>
      </c>
      <c r="T198" s="311">
        <v>22</v>
      </c>
      <c r="U198" s="311">
        <v>24</v>
      </c>
      <c r="V198" s="311">
        <v>21</v>
      </c>
      <c r="W198" s="311">
        <v>11</v>
      </c>
      <c r="X198" s="311">
        <v>31</v>
      </c>
      <c r="Y198" s="311">
        <v>8</v>
      </c>
      <c r="Z198" s="311">
        <v>11</v>
      </c>
      <c r="AA198" s="311">
        <v>30</v>
      </c>
      <c r="AB198" s="311">
        <v>12</v>
      </c>
      <c r="AC198" s="311">
        <v>24</v>
      </c>
      <c r="AD198" s="311">
        <v>11</v>
      </c>
      <c r="AE198" s="311">
        <v>3</v>
      </c>
      <c r="AF198" s="311">
        <v>4</v>
      </c>
      <c r="AG198" s="311">
        <v>4</v>
      </c>
      <c r="AH198" s="312">
        <v>44.886363636363633</v>
      </c>
      <c r="AI198" s="312">
        <v>12.784090909090908</v>
      </c>
      <c r="AJ198" s="312">
        <v>17.329545454545457</v>
      </c>
      <c r="AK198" s="312">
        <v>8.5227272727272716</v>
      </c>
      <c r="AL198" s="312">
        <v>16.477272727272727</v>
      </c>
      <c r="AM198" s="311">
        <v>18138</v>
      </c>
      <c r="AN198" s="311">
        <v>23750</v>
      </c>
      <c r="AO198" s="312">
        <v>71.875</v>
      </c>
      <c r="AP198" s="311">
        <v>352</v>
      </c>
      <c r="AQ198" s="311">
        <v>107</v>
      </c>
      <c r="AR198" s="311">
        <v>149</v>
      </c>
      <c r="AS198" s="311">
        <v>203</v>
      </c>
      <c r="AT198" s="311">
        <v>23</v>
      </c>
      <c r="AU198" s="311">
        <v>32</v>
      </c>
      <c r="AV198" s="311">
        <v>63</v>
      </c>
      <c r="AW198" s="311">
        <v>19</v>
      </c>
      <c r="AX198" s="311">
        <v>15</v>
      </c>
      <c r="AY198" s="311">
        <v>11</v>
      </c>
      <c r="AZ198" s="311">
        <v>40</v>
      </c>
      <c r="BA198" s="311">
        <v>9</v>
      </c>
      <c r="BB198" s="311">
        <v>1</v>
      </c>
      <c r="BC198" s="311">
        <v>40</v>
      </c>
      <c r="BD198" s="311">
        <v>2</v>
      </c>
      <c r="BE198" s="311">
        <v>0</v>
      </c>
      <c r="BF198" s="311">
        <v>46</v>
      </c>
      <c r="BG198" s="311">
        <v>0</v>
      </c>
      <c r="BH198" s="311">
        <v>0</v>
      </c>
      <c r="BI198" s="312">
        <v>21.306818181818183</v>
      </c>
      <c r="BJ198" s="313">
        <v>8.8000000000000007</v>
      </c>
      <c r="BK198" s="313">
        <v>7.3</v>
      </c>
      <c r="BL198" s="313">
        <v>3.5</v>
      </c>
      <c r="BM198" s="313">
        <v>5.8</v>
      </c>
      <c r="BN198" s="313">
        <v>3.6</v>
      </c>
      <c r="BO198" s="313">
        <v>6.3</v>
      </c>
      <c r="BP198" s="313">
        <v>6.2</v>
      </c>
      <c r="BQ198" s="313">
        <v>5.0999999999999996</v>
      </c>
      <c r="BR198" s="313">
        <v>1.6</v>
      </c>
      <c r="BS198" s="313">
        <v>5.5</v>
      </c>
      <c r="BT198" s="313">
        <v>8.1</v>
      </c>
      <c r="BU198" s="313">
        <v>10.199999999999999</v>
      </c>
      <c r="BV198" s="313">
        <v>6.1</v>
      </c>
      <c r="BW198" s="313">
        <v>6.5</v>
      </c>
      <c r="BX198" s="313">
        <v>5.8</v>
      </c>
      <c r="BY198" s="313">
        <v>3.6</v>
      </c>
      <c r="BZ198" s="313">
        <v>3.6</v>
      </c>
      <c r="CA198" s="313">
        <v>2.2999999999999998</v>
      </c>
      <c r="CB198" s="313">
        <v>19.600000000000001</v>
      </c>
      <c r="CC198" s="313">
        <v>58.500000000000007</v>
      </c>
      <c r="CD198" s="313">
        <v>21.8</v>
      </c>
    </row>
    <row r="199" spans="1:82" x14ac:dyDescent="0.25">
      <c r="A199" s="130" t="s">
        <v>4992</v>
      </c>
      <c r="B199" s="130" t="s">
        <v>231</v>
      </c>
      <c r="C199" s="130" t="s">
        <v>4993</v>
      </c>
      <c r="D199" s="130" t="s">
        <v>55</v>
      </c>
      <c r="E199" s="130" t="s">
        <v>4974</v>
      </c>
      <c r="F199" s="130" t="s">
        <v>4272</v>
      </c>
      <c r="G199" s="130" t="s">
        <v>4994</v>
      </c>
      <c r="H199" s="309">
        <v>540155</v>
      </c>
      <c r="I199" s="277" t="s">
        <v>1533</v>
      </c>
      <c r="J199" s="130">
        <v>5468260</v>
      </c>
      <c r="K199" s="130" t="s">
        <v>4995</v>
      </c>
      <c r="L199" s="310">
        <v>0.29143919382183492</v>
      </c>
      <c r="M199" s="311">
        <v>603</v>
      </c>
      <c r="N199" s="312">
        <v>2069.0422317343873</v>
      </c>
      <c r="O199" s="311">
        <v>287</v>
      </c>
      <c r="P199" s="312">
        <v>2.1</v>
      </c>
      <c r="Q199" s="311">
        <v>603</v>
      </c>
      <c r="R199" s="311">
        <v>17</v>
      </c>
      <c r="S199" s="311">
        <v>39</v>
      </c>
      <c r="T199" s="311">
        <v>39</v>
      </c>
      <c r="U199" s="311">
        <v>23</v>
      </c>
      <c r="V199" s="311">
        <v>31</v>
      </c>
      <c r="W199" s="311">
        <v>18</v>
      </c>
      <c r="X199" s="311">
        <v>14</v>
      </c>
      <c r="Y199" s="311">
        <v>24</v>
      </c>
      <c r="Z199" s="311">
        <v>12</v>
      </c>
      <c r="AA199" s="311">
        <v>38</v>
      </c>
      <c r="AB199" s="311">
        <v>6</v>
      </c>
      <c r="AC199" s="311">
        <v>20</v>
      </c>
      <c r="AD199" s="311">
        <v>0</v>
      </c>
      <c r="AE199" s="311">
        <v>3</v>
      </c>
      <c r="AF199" s="311">
        <v>3</v>
      </c>
      <c r="AG199" s="311">
        <v>0</v>
      </c>
      <c r="AH199" s="312">
        <v>33.10104529616725</v>
      </c>
      <c r="AI199" s="312">
        <v>18.815331010452962</v>
      </c>
      <c r="AJ199" s="312">
        <v>23.693379790940767</v>
      </c>
      <c r="AK199" s="312">
        <v>13.240418118466899</v>
      </c>
      <c r="AL199" s="312">
        <v>11.149825783972126</v>
      </c>
      <c r="AM199" s="311">
        <v>18188</v>
      </c>
      <c r="AN199" s="311">
        <v>29236</v>
      </c>
      <c r="AO199" s="312">
        <v>71.428571428571431</v>
      </c>
      <c r="AP199" s="311">
        <v>287</v>
      </c>
      <c r="AQ199" s="311">
        <v>110</v>
      </c>
      <c r="AR199" s="311">
        <v>169</v>
      </c>
      <c r="AS199" s="311">
        <v>118</v>
      </c>
      <c r="AT199" s="311">
        <v>5</v>
      </c>
      <c r="AU199" s="311">
        <v>14</v>
      </c>
      <c r="AV199" s="311">
        <v>60</v>
      </c>
      <c r="AW199" s="311">
        <v>32</v>
      </c>
      <c r="AX199" s="311">
        <v>29</v>
      </c>
      <c r="AY199" s="311">
        <v>9</v>
      </c>
      <c r="AZ199" s="311">
        <v>42</v>
      </c>
      <c r="BA199" s="311">
        <v>8</v>
      </c>
      <c r="BB199" s="311">
        <v>0</v>
      </c>
      <c r="BC199" s="311">
        <v>40</v>
      </c>
      <c r="BD199" s="311">
        <v>4</v>
      </c>
      <c r="BE199" s="311">
        <v>0</v>
      </c>
      <c r="BF199" s="311">
        <v>26</v>
      </c>
      <c r="BG199" s="311">
        <v>0</v>
      </c>
      <c r="BH199" s="311">
        <v>0</v>
      </c>
      <c r="BI199" s="312">
        <v>24.041811846689896</v>
      </c>
      <c r="BJ199" s="313">
        <v>3</v>
      </c>
      <c r="BK199" s="313">
        <v>5.6</v>
      </c>
      <c r="BL199" s="313">
        <v>4.8</v>
      </c>
      <c r="BM199" s="313">
        <v>7.8</v>
      </c>
      <c r="BN199" s="313">
        <v>7</v>
      </c>
      <c r="BO199" s="313">
        <v>8.8000000000000007</v>
      </c>
      <c r="BP199" s="313">
        <v>6.8</v>
      </c>
      <c r="BQ199" s="313">
        <v>4.3</v>
      </c>
      <c r="BR199" s="313">
        <v>5.8</v>
      </c>
      <c r="BS199" s="313">
        <v>9.3000000000000007</v>
      </c>
      <c r="BT199" s="313">
        <v>5.6</v>
      </c>
      <c r="BU199" s="313">
        <v>1.3</v>
      </c>
      <c r="BV199" s="313">
        <v>5.6</v>
      </c>
      <c r="BW199" s="313">
        <v>8.6</v>
      </c>
      <c r="BX199" s="313">
        <v>5.5</v>
      </c>
      <c r="BY199" s="313">
        <v>6.8</v>
      </c>
      <c r="BZ199" s="313">
        <v>1.7</v>
      </c>
      <c r="CA199" s="313">
        <v>1.7</v>
      </c>
      <c r="CB199" s="313">
        <v>13.399999999999999</v>
      </c>
      <c r="CC199" s="313">
        <v>62.3</v>
      </c>
      <c r="CD199" s="313">
        <v>24.299999999999997</v>
      </c>
    </row>
    <row r="200" spans="1:82" s="322" customFormat="1" x14ac:dyDescent="0.25">
      <c r="A200" s="314" t="s">
        <v>4996</v>
      </c>
      <c r="B200" s="315" t="s">
        <v>348</v>
      </c>
      <c r="C200" s="314"/>
      <c r="D200" s="314"/>
      <c r="E200" s="314"/>
      <c r="F200" s="314"/>
      <c r="G200" s="314"/>
      <c r="H200" s="316"/>
      <c r="I200" s="317"/>
      <c r="J200" s="314">
        <v>54057</v>
      </c>
      <c r="K200" s="314" t="s">
        <v>4997</v>
      </c>
      <c r="L200" s="318">
        <v>329.41557470817082</v>
      </c>
      <c r="M200" s="319">
        <v>27421</v>
      </c>
      <c r="N200" s="320">
        <v>83.241358652493147</v>
      </c>
      <c r="O200" s="319">
        <v>11274</v>
      </c>
      <c r="P200" s="320">
        <v>2.36</v>
      </c>
      <c r="Q200" s="319">
        <v>26633</v>
      </c>
      <c r="R200" s="319">
        <v>1139</v>
      </c>
      <c r="S200" s="319">
        <v>645</v>
      </c>
      <c r="T200" s="319">
        <v>693</v>
      </c>
      <c r="U200" s="319">
        <v>997</v>
      </c>
      <c r="V200" s="319">
        <v>580</v>
      </c>
      <c r="W200" s="319">
        <v>679</v>
      </c>
      <c r="X200" s="319">
        <v>797</v>
      </c>
      <c r="Y200" s="319">
        <v>476</v>
      </c>
      <c r="Z200" s="319">
        <v>428</v>
      </c>
      <c r="AA200" s="319">
        <v>954</v>
      </c>
      <c r="AB200" s="319">
        <v>1482</v>
      </c>
      <c r="AC200" s="319">
        <v>1313</v>
      </c>
      <c r="AD200" s="319">
        <v>703</v>
      </c>
      <c r="AE200" s="319">
        <v>164</v>
      </c>
      <c r="AF200" s="319">
        <v>166</v>
      </c>
      <c r="AG200" s="319">
        <v>58</v>
      </c>
      <c r="AH200" s="320">
        <v>21.97090651055526</v>
      </c>
      <c r="AI200" s="320">
        <v>13.987936845839984</v>
      </c>
      <c r="AJ200" s="320">
        <v>21.110519780024838</v>
      </c>
      <c r="AK200" s="320">
        <v>8.4619478445981908</v>
      </c>
      <c r="AL200" s="320">
        <v>34.468689018981728</v>
      </c>
      <c r="AM200" s="319">
        <v>21888</v>
      </c>
      <c r="AN200" s="319">
        <v>40749</v>
      </c>
      <c r="AO200" s="320">
        <v>53.273017562533262</v>
      </c>
      <c r="AP200" s="319">
        <v>11274</v>
      </c>
      <c r="AQ200" s="319">
        <v>1851</v>
      </c>
      <c r="AR200" s="319">
        <v>7530</v>
      </c>
      <c r="AS200" s="319">
        <v>3744</v>
      </c>
      <c r="AT200" s="319">
        <v>234</v>
      </c>
      <c r="AU200" s="319">
        <v>339</v>
      </c>
      <c r="AV200" s="319">
        <v>1266</v>
      </c>
      <c r="AW200" s="319">
        <v>831</v>
      </c>
      <c r="AX200" s="319">
        <v>542</v>
      </c>
      <c r="AY200" s="319">
        <v>748</v>
      </c>
      <c r="AZ200" s="319">
        <v>1028</v>
      </c>
      <c r="BA200" s="319">
        <v>473</v>
      </c>
      <c r="BB200" s="319">
        <v>148</v>
      </c>
      <c r="BC200" s="319">
        <v>1908</v>
      </c>
      <c r="BD200" s="319">
        <v>382</v>
      </c>
      <c r="BE200" s="319">
        <v>60</v>
      </c>
      <c r="BF200" s="319">
        <v>2129</v>
      </c>
      <c r="BG200" s="319">
        <v>195</v>
      </c>
      <c r="BH200" s="319">
        <v>70</v>
      </c>
      <c r="BI200" s="320">
        <v>20.329962746141565</v>
      </c>
      <c r="BJ200" s="321">
        <v>5.2</v>
      </c>
      <c r="BK200" s="321">
        <v>4.5999999999999996</v>
      </c>
      <c r="BL200" s="321">
        <v>7</v>
      </c>
      <c r="BM200" s="321">
        <v>6.8</v>
      </c>
      <c r="BN200" s="321">
        <v>6.1</v>
      </c>
      <c r="BO200" s="321">
        <v>5.4</v>
      </c>
      <c r="BP200" s="321">
        <v>5.2</v>
      </c>
      <c r="BQ200" s="321">
        <v>5.2</v>
      </c>
      <c r="BR200" s="321">
        <v>6.1</v>
      </c>
      <c r="BS200" s="321">
        <v>7</v>
      </c>
      <c r="BT200" s="321">
        <v>7.2</v>
      </c>
      <c r="BU200" s="321">
        <v>7.2</v>
      </c>
      <c r="BV200" s="321">
        <v>7</v>
      </c>
      <c r="BW200" s="321">
        <v>6.8</v>
      </c>
      <c r="BX200" s="321">
        <v>5.0999999999999996</v>
      </c>
      <c r="BY200" s="321">
        <v>3.5</v>
      </c>
      <c r="BZ200" s="321">
        <v>2.2000000000000002</v>
      </c>
      <c r="CA200" s="321">
        <v>2.2999999999999998</v>
      </c>
      <c r="CB200" s="321">
        <v>16.8</v>
      </c>
      <c r="CC200" s="321">
        <v>63.2</v>
      </c>
      <c r="CD200" s="321">
        <v>19.899999999999999</v>
      </c>
    </row>
    <row r="201" spans="1:82" s="308" customFormat="1" x14ac:dyDescent="0.25">
      <c r="A201" s="301" t="s">
        <v>4998</v>
      </c>
      <c r="B201" s="301" t="s">
        <v>56</v>
      </c>
      <c r="C201" s="301" t="s">
        <v>4999</v>
      </c>
      <c r="D201" s="301" t="s">
        <v>57</v>
      </c>
      <c r="E201" s="301" t="s">
        <v>5000</v>
      </c>
      <c r="F201" s="301" t="s">
        <v>4272</v>
      </c>
      <c r="G201" s="301" t="s">
        <v>5001</v>
      </c>
      <c r="H201" s="302">
        <v>540133</v>
      </c>
      <c r="I201" s="303" t="s">
        <v>1536</v>
      </c>
      <c r="J201" s="301" t="s">
        <v>488</v>
      </c>
      <c r="K201" s="301" t="s">
        <v>488</v>
      </c>
      <c r="L201" s="304">
        <v>416.56236465560704</v>
      </c>
      <c r="M201" s="305">
        <v>20494</v>
      </c>
      <c r="N201" s="306">
        <v>49.197915459653721</v>
      </c>
      <c r="O201" s="305">
        <v>8644</v>
      </c>
      <c r="P201" s="306">
        <v>2.3708931050439612</v>
      </c>
      <c r="Q201" s="305">
        <v>20494</v>
      </c>
      <c r="R201" s="305">
        <v>1123</v>
      </c>
      <c r="S201" s="305">
        <v>748</v>
      </c>
      <c r="T201" s="305">
        <v>836</v>
      </c>
      <c r="U201" s="305">
        <v>740</v>
      </c>
      <c r="V201" s="305">
        <v>486</v>
      </c>
      <c r="W201" s="305">
        <v>627</v>
      </c>
      <c r="X201" s="305">
        <v>411</v>
      </c>
      <c r="Y201" s="305">
        <v>522</v>
      </c>
      <c r="Z201" s="305">
        <v>311</v>
      </c>
      <c r="AA201" s="305">
        <v>574</v>
      </c>
      <c r="AB201" s="305">
        <v>611</v>
      </c>
      <c r="AC201" s="305">
        <v>727</v>
      </c>
      <c r="AD201" s="305">
        <v>542</v>
      </c>
      <c r="AE201" s="305">
        <v>178</v>
      </c>
      <c r="AF201" s="305">
        <v>70</v>
      </c>
      <c r="AG201" s="305">
        <v>138</v>
      </c>
      <c r="AH201" s="306">
        <v>31.316520129569643</v>
      </c>
      <c r="AI201" s="306">
        <v>14.183248496066636</v>
      </c>
      <c r="AJ201" s="306">
        <v>21.645071726052752</v>
      </c>
      <c r="AK201" s="306">
        <v>6.6404442387783442</v>
      </c>
      <c r="AL201" s="306">
        <v>26.214715409532623</v>
      </c>
      <c r="AM201" s="305">
        <v>19272</v>
      </c>
      <c r="AN201" s="305">
        <v>31227</v>
      </c>
      <c r="AO201" s="306">
        <v>63.546968995835265</v>
      </c>
      <c r="AP201" s="305">
        <v>8644</v>
      </c>
      <c r="AQ201" s="305">
        <v>1218</v>
      </c>
      <c r="AR201" s="305">
        <v>6934</v>
      </c>
      <c r="AS201" s="305">
        <v>1710</v>
      </c>
      <c r="AT201" s="305">
        <v>605</v>
      </c>
      <c r="AU201" s="305">
        <v>498</v>
      </c>
      <c r="AV201" s="305">
        <v>1208</v>
      </c>
      <c r="AW201" s="305">
        <v>1030</v>
      </c>
      <c r="AX201" s="305">
        <v>391</v>
      </c>
      <c r="AY201" s="305">
        <v>282</v>
      </c>
      <c r="AZ201" s="305">
        <v>786</v>
      </c>
      <c r="BA201" s="305">
        <v>272</v>
      </c>
      <c r="BB201" s="305">
        <v>125</v>
      </c>
      <c r="BC201" s="305">
        <v>893</v>
      </c>
      <c r="BD201" s="305">
        <v>158</v>
      </c>
      <c r="BE201" s="305">
        <v>36</v>
      </c>
      <c r="BF201" s="305">
        <v>1469</v>
      </c>
      <c r="BG201" s="305">
        <v>67</v>
      </c>
      <c r="BH201" s="305">
        <v>13</v>
      </c>
      <c r="BI201" s="306">
        <v>19.250347061545583</v>
      </c>
      <c r="BJ201" s="307">
        <v>6.3</v>
      </c>
      <c r="BK201" s="307">
        <v>5.4</v>
      </c>
      <c r="BL201" s="307">
        <v>7</v>
      </c>
      <c r="BM201" s="307">
        <v>5.3</v>
      </c>
      <c r="BN201" s="307">
        <v>5.3</v>
      </c>
      <c r="BO201" s="307">
        <v>6.1</v>
      </c>
      <c r="BP201" s="307">
        <v>5.7</v>
      </c>
      <c r="BQ201" s="307">
        <v>6.8</v>
      </c>
      <c r="BR201" s="307">
        <v>6.1</v>
      </c>
      <c r="BS201" s="307">
        <v>6.6</v>
      </c>
      <c r="BT201" s="307">
        <v>7.3</v>
      </c>
      <c r="BU201" s="307">
        <v>7.7</v>
      </c>
      <c r="BV201" s="307">
        <v>7.9</v>
      </c>
      <c r="BW201" s="307">
        <v>5.7</v>
      </c>
      <c r="BX201" s="307">
        <v>4.5999999999999996</v>
      </c>
      <c r="BY201" s="307">
        <v>3.4</v>
      </c>
      <c r="BZ201" s="307">
        <v>1.9</v>
      </c>
      <c r="CA201" s="307">
        <v>1</v>
      </c>
      <c r="CB201" s="307">
        <v>18.7</v>
      </c>
      <c r="CC201" s="307">
        <v>64.8</v>
      </c>
      <c r="CD201" s="307">
        <v>16.600000000000001</v>
      </c>
    </row>
    <row r="202" spans="1:82" x14ac:dyDescent="0.25">
      <c r="A202" s="130" t="s">
        <v>5002</v>
      </c>
      <c r="B202" s="130" t="s">
        <v>217</v>
      </c>
      <c r="C202" s="130" t="s">
        <v>5003</v>
      </c>
      <c r="D202" s="130" t="s">
        <v>57</v>
      </c>
      <c r="E202" s="130" t="s">
        <v>5000</v>
      </c>
      <c r="F202" s="130" t="s">
        <v>4272</v>
      </c>
      <c r="G202" s="130" t="s">
        <v>5004</v>
      </c>
      <c r="H202" s="309">
        <v>540134</v>
      </c>
      <c r="I202" s="277" t="s">
        <v>1537</v>
      </c>
      <c r="J202" s="130">
        <v>5420980</v>
      </c>
      <c r="K202" s="130" t="s">
        <v>5005</v>
      </c>
      <c r="L202" s="310">
        <v>1.9860188030044497</v>
      </c>
      <c r="M202" s="311">
        <v>654</v>
      </c>
      <c r="N202" s="312">
        <v>329.30201819369921</v>
      </c>
      <c r="O202" s="311">
        <v>265</v>
      </c>
      <c r="P202" s="312">
        <v>2.44</v>
      </c>
      <c r="Q202" s="311">
        <v>647</v>
      </c>
      <c r="R202" s="311">
        <v>54</v>
      </c>
      <c r="S202" s="311">
        <v>20</v>
      </c>
      <c r="T202" s="311">
        <v>35</v>
      </c>
      <c r="U202" s="311">
        <v>7</v>
      </c>
      <c r="V202" s="311">
        <v>21</v>
      </c>
      <c r="W202" s="311">
        <v>16</v>
      </c>
      <c r="X202" s="311">
        <v>9</v>
      </c>
      <c r="Y202" s="311">
        <v>7</v>
      </c>
      <c r="Z202" s="311">
        <v>5</v>
      </c>
      <c r="AA202" s="311">
        <v>17</v>
      </c>
      <c r="AB202" s="311">
        <v>32</v>
      </c>
      <c r="AC202" s="311">
        <v>10</v>
      </c>
      <c r="AD202" s="311">
        <v>15</v>
      </c>
      <c r="AE202" s="311">
        <v>4</v>
      </c>
      <c r="AF202" s="311">
        <v>13</v>
      </c>
      <c r="AG202" s="311">
        <v>0</v>
      </c>
      <c r="AH202" s="312">
        <v>41.132075471698116</v>
      </c>
      <c r="AI202" s="312">
        <v>10.566037735849058</v>
      </c>
      <c r="AJ202" s="312">
        <v>13.962264150943396</v>
      </c>
      <c r="AK202" s="312">
        <v>6.4150943396226419</v>
      </c>
      <c r="AL202" s="312">
        <v>27.924528301886792</v>
      </c>
      <c r="AM202" s="311">
        <v>16483</v>
      </c>
      <c r="AN202" s="311">
        <v>27292</v>
      </c>
      <c r="AO202" s="312">
        <v>63.773584905660371</v>
      </c>
      <c r="AP202" s="311">
        <v>265</v>
      </c>
      <c r="AQ202" s="311">
        <v>59</v>
      </c>
      <c r="AR202" s="311">
        <v>181</v>
      </c>
      <c r="AS202" s="311">
        <v>84</v>
      </c>
      <c r="AT202" s="311">
        <v>11</v>
      </c>
      <c r="AU202" s="311">
        <v>22</v>
      </c>
      <c r="AV202" s="311">
        <v>50</v>
      </c>
      <c r="AW202" s="311">
        <v>35</v>
      </c>
      <c r="AX202" s="311">
        <v>6</v>
      </c>
      <c r="AY202" s="311">
        <v>3</v>
      </c>
      <c r="AZ202" s="311">
        <v>18</v>
      </c>
      <c r="BA202" s="311">
        <v>3</v>
      </c>
      <c r="BB202" s="311">
        <v>0</v>
      </c>
      <c r="BC202" s="311">
        <v>41</v>
      </c>
      <c r="BD202" s="311">
        <v>8</v>
      </c>
      <c r="BE202" s="311">
        <v>0</v>
      </c>
      <c r="BF202" s="311">
        <v>42</v>
      </c>
      <c r="BG202" s="311">
        <v>0</v>
      </c>
      <c r="BH202" s="311">
        <v>0</v>
      </c>
      <c r="BI202" s="312">
        <v>20</v>
      </c>
      <c r="BJ202" s="313">
        <v>13.1</v>
      </c>
      <c r="BK202" s="313">
        <v>4.0999999999999996</v>
      </c>
      <c r="BL202" s="313">
        <v>7.5</v>
      </c>
      <c r="BM202" s="313">
        <v>6.3</v>
      </c>
      <c r="BN202" s="313">
        <v>6.3</v>
      </c>
      <c r="BO202" s="313">
        <v>3.7</v>
      </c>
      <c r="BP202" s="313">
        <v>5.4</v>
      </c>
      <c r="BQ202" s="313">
        <v>5.8</v>
      </c>
      <c r="BR202" s="313">
        <v>6.4</v>
      </c>
      <c r="BS202" s="313">
        <v>4</v>
      </c>
      <c r="BT202" s="313">
        <v>7.8</v>
      </c>
      <c r="BU202" s="313">
        <v>8.6999999999999993</v>
      </c>
      <c r="BV202" s="313">
        <v>8.9</v>
      </c>
      <c r="BW202" s="313">
        <v>7.8</v>
      </c>
      <c r="BX202" s="313">
        <v>2.1</v>
      </c>
      <c r="BY202" s="313">
        <v>0.9</v>
      </c>
      <c r="BZ202" s="313">
        <v>0.5</v>
      </c>
      <c r="CA202" s="313">
        <v>0.8</v>
      </c>
      <c r="CB202" s="313">
        <v>24.7</v>
      </c>
      <c r="CC202" s="313">
        <v>63.300000000000004</v>
      </c>
      <c r="CD202" s="313">
        <v>12.100000000000001</v>
      </c>
    </row>
    <row r="203" spans="1:82" x14ac:dyDescent="0.25">
      <c r="A203" s="130" t="s">
        <v>5006</v>
      </c>
      <c r="B203" s="130" t="s">
        <v>218</v>
      </c>
      <c r="C203" s="130" t="s">
        <v>5007</v>
      </c>
      <c r="D203" s="130" t="s">
        <v>57</v>
      </c>
      <c r="E203" s="130" t="s">
        <v>5000</v>
      </c>
      <c r="F203" s="130" t="s">
        <v>4272</v>
      </c>
      <c r="G203" s="130" t="s">
        <v>5008</v>
      </c>
      <c r="H203" s="309">
        <v>540135</v>
      </c>
      <c r="I203" s="277" t="s">
        <v>1538</v>
      </c>
      <c r="J203" s="130">
        <v>5430772</v>
      </c>
      <c r="K203" s="130" t="s">
        <v>5009</v>
      </c>
      <c r="L203" s="310">
        <v>1.0403418702654093</v>
      </c>
      <c r="M203" s="311">
        <v>379</v>
      </c>
      <c r="N203" s="312">
        <v>364.30332262154411</v>
      </c>
      <c r="O203" s="311">
        <v>193</v>
      </c>
      <c r="P203" s="312">
        <v>1.96</v>
      </c>
      <c r="Q203" s="311">
        <v>379</v>
      </c>
      <c r="R203" s="311">
        <v>7</v>
      </c>
      <c r="S203" s="311">
        <v>38</v>
      </c>
      <c r="T203" s="311">
        <v>8</v>
      </c>
      <c r="U203" s="311">
        <v>18</v>
      </c>
      <c r="V203" s="311">
        <v>3</v>
      </c>
      <c r="W203" s="311">
        <v>8</v>
      </c>
      <c r="X203" s="311">
        <v>8</v>
      </c>
      <c r="Y203" s="311">
        <v>24</v>
      </c>
      <c r="Z203" s="311">
        <v>7</v>
      </c>
      <c r="AA203" s="311">
        <v>25</v>
      </c>
      <c r="AB203" s="311">
        <v>13</v>
      </c>
      <c r="AC203" s="311">
        <v>18</v>
      </c>
      <c r="AD203" s="311">
        <v>7</v>
      </c>
      <c r="AE203" s="311">
        <v>6</v>
      </c>
      <c r="AF203" s="311">
        <v>3</v>
      </c>
      <c r="AG203" s="311">
        <v>0</v>
      </c>
      <c r="AH203" s="312">
        <v>27.461139896373055</v>
      </c>
      <c r="AI203" s="312">
        <v>10.880829015544041</v>
      </c>
      <c r="AJ203" s="312">
        <v>24.352331606217618</v>
      </c>
      <c r="AK203" s="312">
        <v>12.953367875647666</v>
      </c>
      <c r="AL203" s="312">
        <v>24.352331606217618</v>
      </c>
      <c r="AM203" s="311">
        <v>23285</v>
      </c>
      <c r="AN203" s="311">
        <v>41625</v>
      </c>
      <c r="AO203" s="312">
        <v>59.067357512953365</v>
      </c>
      <c r="AP203" s="311">
        <v>193</v>
      </c>
      <c r="AQ203" s="311">
        <v>52</v>
      </c>
      <c r="AR203" s="311">
        <v>104</v>
      </c>
      <c r="AS203" s="311">
        <v>89</v>
      </c>
      <c r="AT203" s="311">
        <v>3</v>
      </c>
      <c r="AU203" s="311">
        <v>3</v>
      </c>
      <c r="AV203" s="311">
        <v>21</v>
      </c>
      <c r="AW203" s="311">
        <v>3</v>
      </c>
      <c r="AX203" s="311">
        <v>12</v>
      </c>
      <c r="AY203" s="311">
        <v>9</v>
      </c>
      <c r="AZ203" s="311">
        <v>32</v>
      </c>
      <c r="BA203" s="311">
        <v>0</v>
      </c>
      <c r="BB203" s="311">
        <v>3</v>
      </c>
      <c r="BC203" s="311">
        <v>19</v>
      </c>
      <c r="BD203" s="311">
        <v>14</v>
      </c>
      <c r="BE203" s="311">
        <v>0</v>
      </c>
      <c r="BF203" s="311">
        <v>34</v>
      </c>
      <c r="BG203" s="311">
        <v>0</v>
      </c>
      <c r="BH203" s="311">
        <v>0</v>
      </c>
      <c r="BI203" s="312">
        <v>17.098445595854923</v>
      </c>
      <c r="BJ203" s="313">
        <v>3.2</v>
      </c>
      <c r="BK203" s="313">
        <v>4</v>
      </c>
      <c r="BL203" s="313">
        <v>8.1999999999999993</v>
      </c>
      <c r="BM203" s="313">
        <v>4.2</v>
      </c>
      <c r="BN203" s="313">
        <v>6.9</v>
      </c>
      <c r="BO203" s="313">
        <v>5.5</v>
      </c>
      <c r="BP203" s="313">
        <v>4</v>
      </c>
      <c r="BQ203" s="313">
        <v>5.3</v>
      </c>
      <c r="BR203" s="313">
        <v>5.3</v>
      </c>
      <c r="BS203" s="313">
        <v>6.3</v>
      </c>
      <c r="BT203" s="313">
        <v>4</v>
      </c>
      <c r="BU203" s="313">
        <v>8.1999999999999993</v>
      </c>
      <c r="BV203" s="313">
        <v>15.6</v>
      </c>
      <c r="BW203" s="313">
        <v>6.9</v>
      </c>
      <c r="BX203" s="313">
        <v>8.4</v>
      </c>
      <c r="BY203" s="313">
        <v>2.6</v>
      </c>
      <c r="BZ203" s="313">
        <v>0.8</v>
      </c>
      <c r="CA203" s="313">
        <v>0.8</v>
      </c>
      <c r="CB203" s="313">
        <v>15.399999999999999</v>
      </c>
      <c r="CC203" s="313">
        <v>65.3</v>
      </c>
      <c r="CD203" s="313">
        <v>19.500000000000004</v>
      </c>
    </row>
    <row r="204" spans="1:82" x14ac:dyDescent="0.25">
      <c r="A204" s="130" t="s">
        <v>5010</v>
      </c>
      <c r="B204" s="130" t="s">
        <v>219</v>
      </c>
      <c r="C204" s="130" t="s">
        <v>5011</v>
      </c>
      <c r="D204" s="130" t="s">
        <v>57</v>
      </c>
      <c r="E204" s="130" t="s">
        <v>5000</v>
      </c>
      <c r="F204" s="130" t="s">
        <v>4272</v>
      </c>
      <c r="G204" s="130" t="s">
        <v>5012</v>
      </c>
      <c r="H204" s="309">
        <v>540136</v>
      </c>
      <c r="I204" s="277" t="s">
        <v>1539</v>
      </c>
      <c r="J204" s="130">
        <v>5443300</v>
      </c>
      <c r="K204" s="130" t="s">
        <v>5013</v>
      </c>
      <c r="L204" s="310">
        <v>0.39106073351225573</v>
      </c>
      <c r="M204" s="311">
        <v>219</v>
      </c>
      <c r="N204" s="312">
        <v>560.01531535289416</v>
      </c>
      <c r="O204" s="311">
        <v>115</v>
      </c>
      <c r="P204" s="312">
        <v>1.9</v>
      </c>
      <c r="Q204" s="311">
        <v>219</v>
      </c>
      <c r="R204" s="311">
        <v>16</v>
      </c>
      <c r="S204" s="311">
        <v>2</v>
      </c>
      <c r="T204" s="311">
        <v>8</v>
      </c>
      <c r="U204" s="311">
        <v>16</v>
      </c>
      <c r="V204" s="311">
        <v>0</v>
      </c>
      <c r="W204" s="311">
        <v>5</v>
      </c>
      <c r="X204" s="311">
        <v>11</v>
      </c>
      <c r="Y204" s="311">
        <v>0</v>
      </c>
      <c r="Z204" s="311">
        <v>0</v>
      </c>
      <c r="AA204" s="311">
        <v>18</v>
      </c>
      <c r="AB204" s="311">
        <v>28</v>
      </c>
      <c r="AC204" s="311">
        <v>2</v>
      </c>
      <c r="AD204" s="311">
        <v>6</v>
      </c>
      <c r="AE204" s="311">
        <v>0</v>
      </c>
      <c r="AF204" s="311">
        <v>0</v>
      </c>
      <c r="AG204" s="311">
        <v>3</v>
      </c>
      <c r="AH204" s="312">
        <v>22.608695652173914</v>
      </c>
      <c r="AI204" s="312">
        <v>13.913043478260869</v>
      </c>
      <c r="AJ204" s="312">
        <v>13.913043478260869</v>
      </c>
      <c r="AK204" s="312">
        <v>15.65217391304348</v>
      </c>
      <c r="AL204" s="312">
        <v>33.913043478260867</v>
      </c>
      <c r="AM204" s="311">
        <v>24884</v>
      </c>
      <c r="AN204" s="311">
        <v>39821</v>
      </c>
      <c r="AO204" s="312">
        <v>50.434782608695649</v>
      </c>
      <c r="AP204" s="311">
        <v>115</v>
      </c>
      <c r="AQ204" s="311">
        <v>35</v>
      </c>
      <c r="AR204" s="311">
        <v>85</v>
      </c>
      <c r="AS204" s="311">
        <v>30</v>
      </c>
      <c r="AT204" s="311">
        <v>6</v>
      </c>
      <c r="AU204" s="311">
        <v>2</v>
      </c>
      <c r="AV204" s="311">
        <v>14</v>
      </c>
      <c r="AW204" s="311">
        <v>7</v>
      </c>
      <c r="AX204" s="311">
        <v>6</v>
      </c>
      <c r="AY204" s="311">
        <v>6</v>
      </c>
      <c r="AZ204" s="311">
        <v>6</v>
      </c>
      <c r="BA204" s="311">
        <v>5</v>
      </c>
      <c r="BB204" s="311">
        <v>0</v>
      </c>
      <c r="BC204" s="311">
        <v>44</v>
      </c>
      <c r="BD204" s="311">
        <v>2</v>
      </c>
      <c r="BE204" s="311">
        <v>0</v>
      </c>
      <c r="BF204" s="311">
        <v>9</v>
      </c>
      <c r="BG204" s="311">
        <v>2</v>
      </c>
      <c r="BH204" s="311">
        <v>0</v>
      </c>
      <c r="BI204" s="312">
        <v>17.391304347826086</v>
      </c>
      <c r="BJ204" s="313">
        <v>6.4</v>
      </c>
      <c r="BK204" s="313">
        <v>3.2</v>
      </c>
      <c r="BL204" s="313">
        <v>3.2</v>
      </c>
      <c r="BM204" s="313">
        <v>0.9</v>
      </c>
      <c r="BN204" s="313">
        <v>2.7</v>
      </c>
      <c r="BO204" s="313">
        <v>7.3</v>
      </c>
      <c r="BP204" s="313">
        <v>5.5</v>
      </c>
      <c r="BQ204" s="313">
        <v>2.2999999999999998</v>
      </c>
      <c r="BR204" s="313">
        <v>3.7</v>
      </c>
      <c r="BS204" s="313">
        <v>4.0999999999999996</v>
      </c>
      <c r="BT204" s="313">
        <v>13.7</v>
      </c>
      <c r="BU204" s="313">
        <v>7.3</v>
      </c>
      <c r="BV204" s="313">
        <v>21</v>
      </c>
      <c r="BW204" s="313">
        <v>4.0999999999999996</v>
      </c>
      <c r="BX204" s="313">
        <v>2.2999999999999998</v>
      </c>
      <c r="BY204" s="313">
        <v>5.9</v>
      </c>
      <c r="BZ204" s="313">
        <v>4.5999999999999996</v>
      </c>
      <c r="CA204" s="313">
        <v>1.8</v>
      </c>
      <c r="CB204" s="313">
        <v>12.8</v>
      </c>
      <c r="CC204" s="313">
        <v>68.5</v>
      </c>
      <c r="CD204" s="313">
        <v>18.7</v>
      </c>
    </row>
    <row r="205" spans="1:82" x14ac:dyDescent="0.25">
      <c r="A205" s="130" t="s">
        <v>5014</v>
      </c>
      <c r="B205" s="130" t="s">
        <v>334</v>
      </c>
      <c r="C205" s="130" t="s">
        <v>5015</v>
      </c>
      <c r="D205" s="130" t="s">
        <v>57</v>
      </c>
      <c r="E205" s="130" t="s">
        <v>5000</v>
      </c>
      <c r="F205" s="130" t="s">
        <v>4272</v>
      </c>
      <c r="G205" s="130" t="s">
        <v>5016</v>
      </c>
      <c r="H205" s="309">
        <v>545538</v>
      </c>
      <c r="I205" s="277" t="s">
        <v>1541</v>
      </c>
      <c r="J205" s="130">
        <v>5452324</v>
      </c>
      <c r="K205" s="130" t="s">
        <v>5017</v>
      </c>
      <c r="L205" s="310">
        <v>0.54368475939427519</v>
      </c>
      <c r="M205" s="311">
        <v>460</v>
      </c>
      <c r="N205" s="312">
        <v>846.07852629985575</v>
      </c>
      <c r="O205" s="311">
        <v>273</v>
      </c>
      <c r="P205" s="312">
        <v>1.68</v>
      </c>
      <c r="Q205" s="311">
        <v>460</v>
      </c>
      <c r="R205" s="311">
        <v>113</v>
      </c>
      <c r="S205" s="311">
        <v>47</v>
      </c>
      <c r="T205" s="311">
        <v>31</v>
      </c>
      <c r="U205" s="311">
        <v>22</v>
      </c>
      <c r="V205" s="311">
        <v>0</v>
      </c>
      <c r="W205" s="311">
        <v>2</v>
      </c>
      <c r="X205" s="311">
        <v>12</v>
      </c>
      <c r="Y205" s="311">
        <v>5</v>
      </c>
      <c r="Z205" s="311">
        <v>2</v>
      </c>
      <c r="AA205" s="311">
        <v>17</v>
      </c>
      <c r="AB205" s="311">
        <v>5</v>
      </c>
      <c r="AC205" s="311">
        <v>0</v>
      </c>
      <c r="AD205" s="311">
        <v>14</v>
      </c>
      <c r="AE205" s="311">
        <v>0</v>
      </c>
      <c r="AF205" s="311">
        <v>3</v>
      </c>
      <c r="AG205" s="311">
        <v>0</v>
      </c>
      <c r="AH205" s="312">
        <v>69.963369963369956</v>
      </c>
      <c r="AI205" s="312">
        <v>8.0586080586080584</v>
      </c>
      <c r="AJ205" s="312">
        <v>7.6923076923076925</v>
      </c>
      <c r="AK205" s="312">
        <v>6.2271062271062272</v>
      </c>
      <c r="AL205" s="312">
        <v>8.0586080586080584</v>
      </c>
      <c r="AM205" s="311">
        <v>13358</v>
      </c>
      <c r="AN205" s="311">
        <v>13105</v>
      </c>
      <c r="AO205" s="312">
        <v>84.981684981684978</v>
      </c>
      <c r="AP205" s="311">
        <v>273</v>
      </c>
      <c r="AQ205" s="311">
        <v>62</v>
      </c>
      <c r="AR205" s="311">
        <v>123</v>
      </c>
      <c r="AS205" s="311">
        <v>150</v>
      </c>
      <c r="AT205" s="311">
        <v>25</v>
      </c>
      <c r="AU205" s="311">
        <v>44</v>
      </c>
      <c r="AV205" s="311">
        <v>89</v>
      </c>
      <c r="AW205" s="311">
        <v>4</v>
      </c>
      <c r="AX205" s="311">
        <v>4</v>
      </c>
      <c r="AY205" s="311">
        <v>9</v>
      </c>
      <c r="AZ205" s="311">
        <v>12</v>
      </c>
      <c r="BA205" s="311">
        <v>0</v>
      </c>
      <c r="BB205" s="311">
        <v>0</v>
      </c>
      <c r="BC205" s="311">
        <v>22</v>
      </c>
      <c r="BD205" s="311">
        <v>0</v>
      </c>
      <c r="BE205" s="311">
        <v>0</v>
      </c>
      <c r="BF205" s="311">
        <v>15</v>
      </c>
      <c r="BG205" s="311">
        <v>2</v>
      </c>
      <c r="BH205" s="311">
        <v>0</v>
      </c>
      <c r="BI205" s="312">
        <v>35.897435897435898</v>
      </c>
      <c r="BJ205" s="313">
        <v>3.3</v>
      </c>
      <c r="BK205" s="313">
        <v>3.3</v>
      </c>
      <c r="BL205" s="313">
        <v>8.6999999999999993</v>
      </c>
      <c r="BM205" s="313">
        <v>5.2</v>
      </c>
      <c r="BN205" s="313">
        <v>1.5</v>
      </c>
      <c r="BO205" s="313">
        <v>0</v>
      </c>
      <c r="BP205" s="313">
        <v>10</v>
      </c>
      <c r="BQ205" s="313">
        <v>8.3000000000000007</v>
      </c>
      <c r="BR205" s="313">
        <v>6.1</v>
      </c>
      <c r="BS205" s="313">
        <v>6.1</v>
      </c>
      <c r="BT205" s="313">
        <v>4.5999999999999996</v>
      </c>
      <c r="BU205" s="313">
        <v>11.5</v>
      </c>
      <c r="BV205" s="313">
        <v>9.6</v>
      </c>
      <c r="BW205" s="313">
        <v>12.2</v>
      </c>
      <c r="BX205" s="313">
        <v>5</v>
      </c>
      <c r="BY205" s="313">
        <v>1.5</v>
      </c>
      <c r="BZ205" s="313">
        <v>1.5</v>
      </c>
      <c r="CA205" s="313">
        <v>1.7</v>
      </c>
      <c r="CB205" s="313">
        <v>15.299999999999999</v>
      </c>
      <c r="CC205" s="313">
        <v>62.900000000000006</v>
      </c>
      <c r="CD205" s="313">
        <v>21.9</v>
      </c>
    </row>
    <row r="206" spans="1:82" x14ac:dyDescent="0.25">
      <c r="A206" s="130" t="s">
        <v>5018</v>
      </c>
      <c r="B206" s="130" t="s">
        <v>221</v>
      </c>
      <c r="C206" s="130" t="s">
        <v>5019</v>
      </c>
      <c r="D206" s="130" t="s">
        <v>57</v>
      </c>
      <c r="E206" s="130" t="s">
        <v>5000</v>
      </c>
      <c r="F206" s="130" t="s">
        <v>4272</v>
      </c>
      <c r="G206" s="130" t="s">
        <v>5020</v>
      </c>
      <c r="H206" s="309">
        <v>540138</v>
      </c>
      <c r="I206" s="277" t="s">
        <v>1540</v>
      </c>
      <c r="J206" s="130">
        <v>5487508</v>
      </c>
      <c r="K206" s="130" t="s">
        <v>5021</v>
      </c>
      <c r="L206" s="310">
        <v>3.2392394307040808</v>
      </c>
      <c r="M206" s="311">
        <v>2944</v>
      </c>
      <c r="N206" s="312">
        <v>908.85532328806346</v>
      </c>
      <c r="O206" s="311">
        <v>1420</v>
      </c>
      <c r="P206" s="312">
        <v>2.0099999999999998</v>
      </c>
      <c r="Q206" s="311">
        <v>2855</v>
      </c>
      <c r="R206" s="311">
        <v>292</v>
      </c>
      <c r="S206" s="311">
        <v>219</v>
      </c>
      <c r="T206" s="311">
        <v>90</v>
      </c>
      <c r="U206" s="311">
        <v>178</v>
      </c>
      <c r="V206" s="311">
        <v>90</v>
      </c>
      <c r="W206" s="311">
        <v>41</v>
      </c>
      <c r="X206" s="311">
        <v>52</v>
      </c>
      <c r="Y206" s="311">
        <v>44</v>
      </c>
      <c r="Z206" s="311">
        <v>46</v>
      </c>
      <c r="AA206" s="311">
        <v>130</v>
      </c>
      <c r="AB206" s="311">
        <v>41</v>
      </c>
      <c r="AC206" s="311">
        <v>90</v>
      </c>
      <c r="AD206" s="311">
        <v>29</v>
      </c>
      <c r="AE206" s="311">
        <v>20</v>
      </c>
      <c r="AF206" s="311">
        <v>24</v>
      </c>
      <c r="AG206" s="311">
        <v>34</v>
      </c>
      <c r="AH206" s="312">
        <v>42.323943661971832</v>
      </c>
      <c r="AI206" s="312">
        <v>18.87323943661972</v>
      </c>
      <c r="AJ206" s="312">
        <v>12.887323943661972</v>
      </c>
      <c r="AK206" s="312">
        <v>9.1549295774647899</v>
      </c>
      <c r="AL206" s="312">
        <v>16.760563380281688</v>
      </c>
      <c r="AM206" s="311">
        <v>19957</v>
      </c>
      <c r="AN206" s="311">
        <v>23652</v>
      </c>
      <c r="AO206" s="312">
        <v>70.845070422535215</v>
      </c>
      <c r="AP206" s="311">
        <v>1420</v>
      </c>
      <c r="AQ206" s="311">
        <v>457</v>
      </c>
      <c r="AR206" s="311">
        <v>628</v>
      </c>
      <c r="AS206" s="311">
        <v>792</v>
      </c>
      <c r="AT206" s="311">
        <v>35</v>
      </c>
      <c r="AU206" s="311">
        <v>64</v>
      </c>
      <c r="AV206" s="311">
        <v>426</v>
      </c>
      <c r="AW206" s="311">
        <v>66</v>
      </c>
      <c r="AX206" s="311">
        <v>6</v>
      </c>
      <c r="AY206" s="311">
        <v>221</v>
      </c>
      <c r="AZ206" s="311">
        <v>75</v>
      </c>
      <c r="BA206" s="311">
        <v>34</v>
      </c>
      <c r="BB206" s="311">
        <v>0</v>
      </c>
      <c r="BC206" s="311">
        <v>152</v>
      </c>
      <c r="BD206" s="311">
        <v>19</v>
      </c>
      <c r="BE206" s="311">
        <v>0</v>
      </c>
      <c r="BF206" s="311">
        <v>185</v>
      </c>
      <c r="BG206" s="311">
        <v>4</v>
      </c>
      <c r="BH206" s="311">
        <v>0</v>
      </c>
      <c r="BI206" s="312">
        <v>45.563380281690144</v>
      </c>
      <c r="BJ206" s="313">
        <v>10.7</v>
      </c>
      <c r="BK206" s="313">
        <v>5.3</v>
      </c>
      <c r="BL206" s="313">
        <v>4.9000000000000004</v>
      </c>
      <c r="BM206" s="313">
        <v>3.1</v>
      </c>
      <c r="BN206" s="313">
        <v>6.8</v>
      </c>
      <c r="BO206" s="313">
        <v>5.7</v>
      </c>
      <c r="BP206" s="313">
        <v>3.1</v>
      </c>
      <c r="BQ206" s="313">
        <v>6.5</v>
      </c>
      <c r="BR206" s="313">
        <v>2.5</v>
      </c>
      <c r="BS206" s="313">
        <v>3.8</v>
      </c>
      <c r="BT206" s="313">
        <v>9.6999999999999993</v>
      </c>
      <c r="BU206" s="313">
        <v>6.3</v>
      </c>
      <c r="BV206" s="313">
        <v>9.5</v>
      </c>
      <c r="BW206" s="313">
        <v>5.9</v>
      </c>
      <c r="BX206" s="313">
        <v>4.0999999999999996</v>
      </c>
      <c r="BY206" s="313">
        <v>6.1</v>
      </c>
      <c r="BZ206" s="313">
        <v>2.8</v>
      </c>
      <c r="CA206" s="313">
        <v>3.4</v>
      </c>
      <c r="CB206" s="313">
        <v>20.9</v>
      </c>
      <c r="CC206" s="313">
        <v>57</v>
      </c>
      <c r="CD206" s="313">
        <v>22.3</v>
      </c>
    </row>
    <row r="207" spans="1:82" s="322" customFormat="1" x14ac:dyDescent="0.25">
      <c r="A207" s="314" t="s">
        <v>5022</v>
      </c>
      <c r="B207" s="315" t="s">
        <v>348</v>
      </c>
      <c r="C207" s="314"/>
      <c r="D207" s="314"/>
      <c r="E207" s="314"/>
      <c r="F207" s="314"/>
      <c r="G207" s="314"/>
      <c r="H207" s="316"/>
      <c r="I207" s="317"/>
      <c r="J207" s="314">
        <v>54059</v>
      </c>
      <c r="K207" s="314" t="s">
        <v>5023</v>
      </c>
      <c r="L207" s="318">
        <v>423.76271025248752</v>
      </c>
      <c r="M207" s="319">
        <v>25150</v>
      </c>
      <c r="N207" s="320">
        <v>59.349252285589394</v>
      </c>
      <c r="O207" s="319">
        <v>10910</v>
      </c>
      <c r="P207" s="320">
        <v>2.2999999999999998</v>
      </c>
      <c r="Q207" s="319">
        <v>25054</v>
      </c>
      <c r="R207" s="319">
        <v>1605</v>
      </c>
      <c r="S207" s="319">
        <v>1074</v>
      </c>
      <c r="T207" s="319">
        <v>1008</v>
      </c>
      <c r="U207" s="319">
        <v>981</v>
      </c>
      <c r="V207" s="319">
        <v>600</v>
      </c>
      <c r="W207" s="319">
        <v>699</v>
      </c>
      <c r="X207" s="319">
        <v>503</v>
      </c>
      <c r="Y207" s="319">
        <v>602</v>
      </c>
      <c r="Z207" s="319">
        <v>371</v>
      </c>
      <c r="AA207" s="319">
        <v>781</v>
      </c>
      <c r="AB207" s="319">
        <v>730</v>
      </c>
      <c r="AC207" s="319">
        <v>847</v>
      </c>
      <c r="AD207" s="319">
        <v>613</v>
      </c>
      <c r="AE207" s="319">
        <v>208</v>
      </c>
      <c r="AF207" s="319">
        <v>113</v>
      </c>
      <c r="AG207" s="319">
        <v>175</v>
      </c>
      <c r="AH207" s="320">
        <v>33.794683776351967</v>
      </c>
      <c r="AI207" s="320">
        <v>14.491292392300641</v>
      </c>
      <c r="AJ207" s="320">
        <v>19.935838680109992</v>
      </c>
      <c r="AK207" s="320">
        <v>7.158570119156737</v>
      </c>
      <c r="AL207" s="320">
        <v>24.619615032080659</v>
      </c>
      <c r="AM207" s="319">
        <v>19272</v>
      </c>
      <c r="AN207" s="319">
        <v>31227</v>
      </c>
      <c r="AO207" s="320">
        <v>64.821264894592119</v>
      </c>
      <c r="AP207" s="319">
        <v>10910</v>
      </c>
      <c r="AQ207" s="319">
        <v>1883</v>
      </c>
      <c r="AR207" s="319">
        <v>8055</v>
      </c>
      <c r="AS207" s="319">
        <v>2855</v>
      </c>
      <c r="AT207" s="319">
        <v>685</v>
      </c>
      <c r="AU207" s="319">
        <v>633</v>
      </c>
      <c r="AV207" s="319">
        <v>1808</v>
      </c>
      <c r="AW207" s="319">
        <v>1145</v>
      </c>
      <c r="AX207" s="319">
        <v>425</v>
      </c>
      <c r="AY207" s="319">
        <v>530</v>
      </c>
      <c r="AZ207" s="319">
        <v>929</v>
      </c>
      <c r="BA207" s="319">
        <v>314</v>
      </c>
      <c r="BB207" s="319">
        <v>128</v>
      </c>
      <c r="BC207" s="319">
        <v>1171</v>
      </c>
      <c r="BD207" s="319">
        <v>201</v>
      </c>
      <c r="BE207" s="319">
        <v>36</v>
      </c>
      <c r="BF207" s="319">
        <v>1754</v>
      </c>
      <c r="BG207" s="319">
        <v>75</v>
      </c>
      <c r="BH207" s="319">
        <v>13</v>
      </c>
      <c r="BI207" s="320">
        <v>23.052245646196152</v>
      </c>
      <c r="BJ207" s="321">
        <v>6.3</v>
      </c>
      <c r="BK207" s="321">
        <v>5.4</v>
      </c>
      <c r="BL207" s="321">
        <v>7</v>
      </c>
      <c r="BM207" s="321">
        <v>5.3</v>
      </c>
      <c r="BN207" s="321">
        <v>5.3</v>
      </c>
      <c r="BO207" s="321">
        <v>6.1</v>
      </c>
      <c r="BP207" s="321">
        <v>5.7</v>
      </c>
      <c r="BQ207" s="321">
        <v>6.8</v>
      </c>
      <c r="BR207" s="321">
        <v>6.1</v>
      </c>
      <c r="BS207" s="321">
        <v>6.6</v>
      </c>
      <c r="BT207" s="321">
        <v>7.3</v>
      </c>
      <c r="BU207" s="321">
        <v>7.7</v>
      </c>
      <c r="BV207" s="321">
        <v>7.9</v>
      </c>
      <c r="BW207" s="321">
        <v>5.7</v>
      </c>
      <c r="BX207" s="321">
        <v>4.5999999999999996</v>
      </c>
      <c r="BY207" s="321">
        <v>3.4</v>
      </c>
      <c r="BZ207" s="321">
        <v>1.9</v>
      </c>
      <c r="CA207" s="321">
        <v>1</v>
      </c>
      <c r="CB207" s="321">
        <v>18.7</v>
      </c>
      <c r="CC207" s="321">
        <v>64.8</v>
      </c>
      <c r="CD207" s="321">
        <v>16.600000000000001</v>
      </c>
    </row>
    <row r="208" spans="1:82" s="308" customFormat="1" x14ac:dyDescent="0.25">
      <c r="A208" s="301" t="s">
        <v>5024</v>
      </c>
      <c r="B208" s="301" t="s">
        <v>58</v>
      </c>
      <c r="C208" s="301" t="s">
        <v>5025</v>
      </c>
      <c r="D208" s="301" t="s">
        <v>59</v>
      </c>
      <c r="E208" s="301" t="s">
        <v>5026</v>
      </c>
      <c r="F208" s="301" t="s">
        <v>4272</v>
      </c>
      <c r="G208" s="301" t="s">
        <v>5027</v>
      </c>
      <c r="H208" s="302">
        <v>540139</v>
      </c>
      <c r="I208" s="303" t="s">
        <v>1542</v>
      </c>
      <c r="J208" s="301" t="s">
        <v>488</v>
      </c>
      <c r="K208" s="301" t="s">
        <v>488</v>
      </c>
      <c r="L208" s="304">
        <v>351.54287024872093</v>
      </c>
      <c r="M208" s="305">
        <v>64500</v>
      </c>
      <c r="N208" s="306">
        <v>183.47691123522276</v>
      </c>
      <c r="O208" s="305">
        <v>24547</v>
      </c>
      <c r="P208" s="306">
        <v>2.6132317594818102</v>
      </c>
      <c r="Q208" s="305">
        <v>64147</v>
      </c>
      <c r="R208" s="305">
        <v>2242</v>
      </c>
      <c r="S208" s="305">
        <v>1292</v>
      </c>
      <c r="T208" s="305">
        <v>1162</v>
      </c>
      <c r="U208" s="305">
        <v>1054</v>
      </c>
      <c r="V208" s="305">
        <v>1117</v>
      </c>
      <c r="W208" s="305">
        <v>1218</v>
      </c>
      <c r="X208" s="305">
        <v>1021</v>
      </c>
      <c r="Y208" s="305">
        <v>989</v>
      </c>
      <c r="Z208" s="305">
        <v>893</v>
      </c>
      <c r="AA208" s="305">
        <v>2421</v>
      </c>
      <c r="AB208" s="305">
        <v>2255</v>
      </c>
      <c r="AC208" s="305">
        <v>2673</v>
      </c>
      <c r="AD208" s="305">
        <v>1937</v>
      </c>
      <c r="AE208" s="305">
        <v>1375</v>
      </c>
      <c r="AF208" s="305">
        <v>1377</v>
      </c>
      <c r="AG208" s="305">
        <v>1521</v>
      </c>
      <c r="AH208" s="306">
        <v>19.130647329612579</v>
      </c>
      <c r="AI208" s="306">
        <v>8.844257954128814</v>
      </c>
      <c r="AJ208" s="306">
        <v>16.788202224304396</v>
      </c>
      <c r="AK208" s="306">
        <v>9.8627123477410681</v>
      </c>
      <c r="AL208" s="306">
        <v>45.374180144213142</v>
      </c>
      <c r="AM208" s="305">
        <v>29285</v>
      </c>
      <c r="AN208" s="305">
        <v>49624</v>
      </c>
      <c r="AO208" s="306">
        <v>41.125188414062819</v>
      </c>
      <c r="AP208" s="305">
        <v>24547</v>
      </c>
      <c r="AQ208" s="305">
        <v>3646</v>
      </c>
      <c r="AR208" s="305">
        <v>15656</v>
      </c>
      <c r="AS208" s="305">
        <v>8891</v>
      </c>
      <c r="AT208" s="305">
        <v>363</v>
      </c>
      <c r="AU208" s="305">
        <v>318</v>
      </c>
      <c r="AV208" s="305">
        <v>3244</v>
      </c>
      <c r="AW208" s="305">
        <v>1283</v>
      </c>
      <c r="AX208" s="305">
        <v>579</v>
      </c>
      <c r="AY208" s="305">
        <v>1400</v>
      </c>
      <c r="AZ208" s="305">
        <v>1138</v>
      </c>
      <c r="BA208" s="305">
        <v>1062</v>
      </c>
      <c r="BB208" s="305">
        <v>615</v>
      </c>
      <c r="BC208" s="305">
        <v>2980</v>
      </c>
      <c r="BD208" s="305">
        <v>987</v>
      </c>
      <c r="BE208" s="305">
        <v>646</v>
      </c>
      <c r="BF208" s="305">
        <v>7680</v>
      </c>
      <c r="BG208" s="305">
        <v>1020</v>
      </c>
      <c r="BH208" s="305">
        <v>158</v>
      </c>
      <c r="BI208" s="306">
        <v>24.699555953884385</v>
      </c>
      <c r="BJ208" s="307">
        <v>5</v>
      </c>
      <c r="BK208" s="307">
        <v>4.5999999999999996</v>
      </c>
      <c r="BL208" s="307">
        <v>4.2</v>
      </c>
      <c r="BM208" s="307">
        <v>8.3000000000000007</v>
      </c>
      <c r="BN208" s="307">
        <v>16.5</v>
      </c>
      <c r="BO208" s="307">
        <v>9.6</v>
      </c>
      <c r="BP208" s="307">
        <v>7.5</v>
      </c>
      <c r="BQ208" s="307">
        <v>5.9</v>
      </c>
      <c r="BR208" s="307">
        <v>5.5</v>
      </c>
      <c r="BS208" s="307">
        <v>5.2</v>
      </c>
      <c r="BT208" s="307">
        <v>5.5</v>
      </c>
      <c r="BU208" s="307">
        <v>5.9</v>
      </c>
      <c r="BV208" s="307">
        <v>4.8</v>
      </c>
      <c r="BW208" s="307">
        <v>4.2</v>
      </c>
      <c r="BX208" s="307">
        <v>2.5</v>
      </c>
      <c r="BY208" s="307">
        <v>2</v>
      </c>
      <c r="BZ208" s="307">
        <v>1.3</v>
      </c>
      <c r="CA208" s="307">
        <v>1.3</v>
      </c>
      <c r="CB208" s="307">
        <v>13.8</v>
      </c>
      <c r="CC208" s="307">
        <v>74.7</v>
      </c>
      <c r="CD208" s="307">
        <v>11.3</v>
      </c>
    </row>
    <row r="209" spans="1:82" x14ac:dyDescent="0.25">
      <c r="A209" s="130" t="s">
        <v>5028</v>
      </c>
      <c r="B209" s="130" t="s">
        <v>222</v>
      </c>
      <c r="C209" s="130" t="s">
        <v>5029</v>
      </c>
      <c r="D209" s="130" t="s">
        <v>59</v>
      </c>
      <c r="E209" s="130" t="s">
        <v>5026</v>
      </c>
      <c r="F209" s="130" t="s">
        <v>4272</v>
      </c>
      <c r="G209" s="130" t="s">
        <v>5030</v>
      </c>
      <c r="H209" s="309">
        <v>540140</v>
      </c>
      <c r="I209" s="277" t="s">
        <v>1543</v>
      </c>
      <c r="J209" s="130">
        <v>5408092</v>
      </c>
      <c r="K209" s="130" t="s">
        <v>5031</v>
      </c>
      <c r="L209" s="310">
        <v>0.30849268598780466</v>
      </c>
      <c r="M209" s="311">
        <v>168</v>
      </c>
      <c r="N209" s="312">
        <v>544.58341358096698</v>
      </c>
      <c r="O209" s="311">
        <v>55</v>
      </c>
      <c r="P209" s="312">
        <v>3.05</v>
      </c>
      <c r="Q209" s="311">
        <v>168</v>
      </c>
      <c r="R209" s="311">
        <v>6</v>
      </c>
      <c r="S209" s="311">
        <v>0</v>
      </c>
      <c r="T209" s="311">
        <v>1</v>
      </c>
      <c r="U209" s="311">
        <v>2</v>
      </c>
      <c r="V209" s="311">
        <v>4</v>
      </c>
      <c r="W209" s="311">
        <v>0</v>
      </c>
      <c r="X209" s="311">
        <v>6</v>
      </c>
      <c r="Y209" s="311">
        <v>2</v>
      </c>
      <c r="Z209" s="311">
        <v>4</v>
      </c>
      <c r="AA209" s="311">
        <v>11</v>
      </c>
      <c r="AB209" s="311">
        <v>13</v>
      </c>
      <c r="AC209" s="311">
        <v>4</v>
      </c>
      <c r="AD209" s="311">
        <v>1</v>
      </c>
      <c r="AE209" s="311">
        <v>0</v>
      </c>
      <c r="AF209" s="311">
        <v>0</v>
      </c>
      <c r="AG209" s="311">
        <v>1</v>
      </c>
      <c r="AH209" s="312">
        <v>12.727272727272727</v>
      </c>
      <c r="AI209" s="312">
        <v>10.909090909090908</v>
      </c>
      <c r="AJ209" s="312">
        <v>21.818181818181817</v>
      </c>
      <c r="AK209" s="312">
        <v>20</v>
      </c>
      <c r="AL209" s="312">
        <v>34.545454545454547</v>
      </c>
      <c r="AM209" s="311">
        <v>20077</v>
      </c>
      <c r="AN209" s="311">
        <v>50893</v>
      </c>
      <c r="AO209" s="312">
        <v>38.181818181818187</v>
      </c>
      <c r="AP209" s="311">
        <v>55</v>
      </c>
      <c r="AQ209" s="311">
        <v>13</v>
      </c>
      <c r="AR209" s="311">
        <v>37</v>
      </c>
      <c r="AS209" s="311">
        <v>18</v>
      </c>
      <c r="AT209" s="311">
        <v>0</v>
      </c>
      <c r="AU209" s="311">
        <v>0</v>
      </c>
      <c r="AV209" s="311">
        <v>3</v>
      </c>
      <c r="AW209" s="311">
        <v>0</v>
      </c>
      <c r="AX209" s="311">
        <v>4</v>
      </c>
      <c r="AY209" s="311">
        <v>2</v>
      </c>
      <c r="AZ209" s="311">
        <v>11</v>
      </c>
      <c r="BA209" s="311">
        <v>1</v>
      </c>
      <c r="BB209" s="311">
        <v>0</v>
      </c>
      <c r="BC209" s="311">
        <v>24</v>
      </c>
      <c r="BD209" s="311">
        <v>0</v>
      </c>
      <c r="BE209" s="311">
        <v>0</v>
      </c>
      <c r="BF209" s="311">
        <v>6</v>
      </c>
      <c r="BG209" s="311">
        <v>0</v>
      </c>
      <c r="BH209" s="311">
        <v>0</v>
      </c>
      <c r="BI209" s="312">
        <v>9.0909090909090917</v>
      </c>
      <c r="BJ209" s="313">
        <v>17.3</v>
      </c>
      <c r="BK209" s="313">
        <v>14.3</v>
      </c>
      <c r="BL209" s="313">
        <v>10.7</v>
      </c>
      <c r="BM209" s="313">
        <v>1.2</v>
      </c>
      <c r="BN209" s="313">
        <v>3</v>
      </c>
      <c r="BO209" s="313">
        <v>13.7</v>
      </c>
      <c r="BP209" s="313">
        <v>4.8</v>
      </c>
      <c r="BQ209" s="313">
        <v>6</v>
      </c>
      <c r="BR209" s="313">
        <v>0</v>
      </c>
      <c r="BS209" s="313">
        <v>8.3000000000000007</v>
      </c>
      <c r="BT209" s="313">
        <v>0</v>
      </c>
      <c r="BU209" s="313">
        <v>3.6</v>
      </c>
      <c r="BV209" s="313">
        <v>1.8</v>
      </c>
      <c r="BW209" s="313">
        <v>6.5</v>
      </c>
      <c r="BX209" s="313">
        <v>8.3000000000000007</v>
      </c>
      <c r="BY209" s="313">
        <v>0.6</v>
      </c>
      <c r="BZ209" s="313">
        <v>0</v>
      </c>
      <c r="CA209" s="313">
        <v>0</v>
      </c>
      <c r="CB209" s="313">
        <v>42.3</v>
      </c>
      <c r="CC209" s="313">
        <v>42.4</v>
      </c>
      <c r="CD209" s="313">
        <v>15.4</v>
      </c>
    </row>
    <row r="210" spans="1:82" x14ac:dyDescent="0.25">
      <c r="A210" s="130" t="s">
        <v>5032</v>
      </c>
      <c r="B210" s="130" t="s">
        <v>315</v>
      </c>
      <c r="C210" s="130" t="s">
        <v>5033</v>
      </c>
      <c r="D210" s="130" t="s">
        <v>59</v>
      </c>
      <c r="E210" s="130" t="s">
        <v>5026</v>
      </c>
      <c r="F210" s="130" t="s">
        <v>4272</v>
      </c>
      <c r="G210" s="130" t="s">
        <v>5034</v>
      </c>
      <c r="H210" s="309">
        <v>540272</v>
      </c>
      <c r="I210" s="277" t="s">
        <v>1545</v>
      </c>
      <c r="J210" s="130">
        <v>5432932</v>
      </c>
      <c r="K210" s="130" t="s">
        <v>5035</v>
      </c>
      <c r="L210" s="310">
        <v>1.297088843680805</v>
      </c>
      <c r="M210" s="311">
        <v>2538</v>
      </c>
      <c r="N210" s="312">
        <v>1956.6894067162029</v>
      </c>
      <c r="O210" s="311">
        <v>1016</v>
      </c>
      <c r="P210" s="312">
        <v>2.5</v>
      </c>
      <c r="Q210" s="311">
        <v>2538</v>
      </c>
      <c r="R210" s="311">
        <v>91</v>
      </c>
      <c r="S210" s="311">
        <v>105</v>
      </c>
      <c r="T210" s="311">
        <v>69</v>
      </c>
      <c r="U210" s="311">
        <v>57</v>
      </c>
      <c r="V210" s="311">
        <v>85</v>
      </c>
      <c r="W210" s="311">
        <v>79</v>
      </c>
      <c r="X210" s="311">
        <v>31</v>
      </c>
      <c r="Y210" s="311">
        <v>71</v>
      </c>
      <c r="Z210" s="311">
        <v>61</v>
      </c>
      <c r="AA210" s="311">
        <v>125</v>
      </c>
      <c r="AB210" s="311">
        <v>73</v>
      </c>
      <c r="AC210" s="311">
        <v>77</v>
      </c>
      <c r="AD210" s="311">
        <v>27</v>
      </c>
      <c r="AE210" s="311">
        <v>25</v>
      </c>
      <c r="AF210" s="311">
        <v>17</v>
      </c>
      <c r="AG210" s="311">
        <v>23</v>
      </c>
      <c r="AH210" s="312">
        <v>26.08267716535433</v>
      </c>
      <c r="AI210" s="312">
        <v>13.976377952755906</v>
      </c>
      <c r="AJ210" s="312">
        <v>23.818897637795274</v>
      </c>
      <c r="AK210" s="312">
        <v>12.303149606299213</v>
      </c>
      <c r="AL210" s="312">
        <v>23.818897637795274</v>
      </c>
      <c r="AM210" s="311">
        <v>20938</v>
      </c>
      <c r="AN210" s="311">
        <v>38977</v>
      </c>
      <c r="AO210" s="312">
        <v>57.874015748031496</v>
      </c>
      <c r="AP210" s="311">
        <v>1016</v>
      </c>
      <c r="AQ210" s="311">
        <v>308</v>
      </c>
      <c r="AR210" s="311">
        <v>610</v>
      </c>
      <c r="AS210" s="311">
        <v>406</v>
      </c>
      <c r="AT210" s="311">
        <v>18</v>
      </c>
      <c r="AU210" s="311">
        <v>28</v>
      </c>
      <c r="AV210" s="311">
        <v>219</v>
      </c>
      <c r="AW210" s="311">
        <v>59</v>
      </c>
      <c r="AX210" s="311">
        <v>107</v>
      </c>
      <c r="AY210" s="311">
        <v>55</v>
      </c>
      <c r="AZ210" s="311">
        <v>117</v>
      </c>
      <c r="BA210" s="311">
        <v>20</v>
      </c>
      <c r="BB210" s="311">
        <v>26</v>
      </c>
      <c r="BC210" s="311">
        <v>168</v>
      </c>
      <c r="BD210" s="311">
        <v>9</v>
      </c>
      <c r="BE210" s="311">
        <v>0</v>
      </c>
      <c r="BF210" s="311">
        <v>169</v>
      </c>
      <c r="BG210" s="311">
        <v>0</v>
      </c>
      <c r="BH210" s="311">
        <v>0</v>
      </c>
      <c r="BI210" s="312">
        <v>29.527559055118108</v>
      </c>
      <c r="BJ210" s="313">
        <v>9</v>
      </c>
      <c r="BK210" s="313">
        <v>3.8</v>
      </c>
      <c r="BL210" s="313">
        <v>6.5</v>
      </c>
      <c r="BM210" s="313">
        <v>3.5</v>
      </c>
      <c r="BN210" s="313">
        <v>6.1</v>
      </c>
      <c r="BO210" s="313">
        <v>8.3000000000000007</v>
      </c>
      <c r="BP210" s="313">
        <v>10</v>
      </c>
      <c r="BQ210" s="313">
        <v>9</v>
      </c>
      <c r="BR210" s="313">
        <v>3.3</v>
      </c>
      <c r="BS210" s="313">
        <v>5</v>
      </c>
      <c r="BT210" s="313">
        <v>8</v>
      </c>
      <c r="BU210" s="313">
        <v>6.9</v>
      </c>
      <c r="BV210" s="313">
        <v>6.7</v>
      </c>
      <c r="BW210" s="313">
        <v>5.8</v>
      </c>
      <c r="BX210" s="313">
        <v>2.9</v>
      </c>
      <c r="BY210" s="313">
        <v>4.5</v>
      </c>
      <c r="BZ210" s="313">
        <v>0.7</v>
      </c>
      <c r="CA210" s="313">
        <v>0</v>
      </c>
      <c r="CB210" s="313">
        <v>19.3</v>
      </c>
      <c r="CC210" s="313">
        <v>66.8</v>
      </c>
      <c r="CD210" s="313">
        <v>13.899999999999999</v>
      </c>
    </row>
    <row r="211" spans="1:82" x14ac:dyDescent="0.25">
      <c r="A211" s="130" t="s">
        <v>5036</v>
      </c>
      <c r="B211" s="130" t="s">
        <v>223</v>
      </c>
      <c r="C211" s="130" t="s">
        <v>5037</v>
      </c>
      <c r="D211" s="130" t="s">
        <v>59</v>
      </c>
      <c r="E211" s="130" t="s">
        <v>5026</v>
      </c>
      <c r="F211" s="130" t="s">
        <v>4272</v>
      </c>
      <c r="G211" s="130" t="s">
        <v>5038</v>
      </c>
      <c r="H211" s="309">
        <v>540141</v>
      </c>
      <c r="I211" s="277" t="s">
        <v>1544</v>
      </c>
      <c r="J211" s="130">
        <v>5455756</v>
      </c>
      <c r="K211" s="130" t="s">
        <v>5039</v>
      </c>
      <c r="L211" s="310">
        <v>10.424634799122986</v>
      </c>
      <c r="M211" s="311">
        <v>30099</v>
      </c>
      <c r="N211" s="312">
        <v>2887.295390197477</v>
      </c>
      <c r="O211" s="311">
        <v>10086</v>
      </c>
      <c r="P211" s="312">
        <v>2.41</v>
      </c>
      <c r="Q211" s="311">
        <v>24270</v>
      </c>
      <c r="R211" s="311">
        <v>2146</v>
      </c>
      <c r="S211" s="311">
        <v>560</v>
      </c>
      <c r="T211" s="311">
        <v>581</v>
      </c>
      <c r="U211" s="311">
        <v>735</v>
      </c>
      <c r="V211" s="311">
        <v>550</v>
      </c>
      <c r="W211" s="311">
        <v>295</v>
      </c>
      <c r="X211" s="311">
        <v>475</v>
      </c>
      <c r="Y211" s="311">
        <v>373</v>
      </c>
      <c r="Z211" s="311">
        <v>353</v>
      </c>
      <c r="AA211" s="311">
        <v>403</v>
      </c>
      <c r="AB211" s="311">
        <v>823</v>
      </c>
      <c r="AC211" s="311">
        <v>830</v>
      </c>
      <c r="AD211" s="311">
        <v>654</v>
      </c>
      <c r="AE211" s="311">
        <v>362</v>
      </c>
      <c r="AF211" s="311">
        <v>387</v>
      </c>
      <c r="AG211" s="311">
        <v>559</v>
      </c>
      <c r="AH211" s="312">
        <v>32.589728336307758</v>
      </c>
      <c r="AI211" s="312">
        <v>12.740432282371605</v>
      </c>
      <c r="AJ211" s="312">
        <v>14.832441007336902</v>
      </c>
      <c r="AK211" s="312">
        <v>3.9956375173507834</v>
      </c>
      <c r="AL211" s="312">
        <v>35.841760856632959</v>
      </c>
      <c r="AM211" s="311">
        <v>24120</v>
      </c>
      <c r="AN211" s="311">
        <v>37900</v>
      </c>
      <c r="AO211" s="312">
        <v>56.662700773349194</v>
      </c>
      <c r="AP211" s="311">
        <v>10086</v>
      </c>
      <c r="AQ211" s="311">
        <v>2291</v>
      </c>
      <c r="AR211" s="311">
        <v>4370</v>
      </c>
      <c r="AS211" s="311">
        <v>5716</v>
      </c>
      <c r="AT211" s="311">
        <v>57</v>
      </c>
      <c r="AU211" s="311">
        <v>195</v>
      </c>
      <c r="AV211" s="311">
        <v>2440</v>
      </c>
      <c r="AW211" s="311">
        <v>286</v>
      </c>
      <c r="AX211" s="311">
        <v>297</v>
      </c>
      <c r="AY211" s="311">
        <v>933</v>
      </c>
      <c r="AZ211" s="311">
        <v>527</v>
      </c>
      <c r="BA211" s="311">
        <v>477</v>
      </c>
      <c r="BB211" s="311">
        <v>155</v>
      </c>
      <c r="BC211" s="311">
        <v>716</v>
      </c>
      <c r="BD211" s="311">
        <v>375</v>
      </c>
      <c r="BE211" s="311">
        <v>103</v>
      </c>
      <c r="BF211" s="311">
        <v>2410</v>
      </c>
      <c r="BG211" s="311">
        <v>316</v>
      </c>
      <c r="BH211" s="311">
        <v>20</v>
      </c>
      <c r="BI211" s="312">
        <v>36.198691255205233</v>
      </c>
      <c r="BJ211" s="313">
        <v>2.6</v>
      </c>
      <c r="BK211" s="313">
        <v>2.8</v>
      </c>
      <c r="BL211" s="313">
        <v>1.9</v>
      </c>
      <c r="BM211" s="313">
        <v>17.899999999999999</v>
      </c>
      <c r="BN211" s="313">
        <v>26.9</v>
      </c>
      <c r="BO211" s="313">
        <v>10.7</v>
      </c>
      <c r="BP211" s="313">
        <v>6.2</v>
      </c>
      <c r="BQ211" s="313">
        <v>4</v>
      </c>
      <c r="BR211" s="313">
        <v>3.8</v>
      </c>
      <c r="BS211" s="313">
        <v>2.6</v>
      </c>
      <c r="BT211" s="313">
        <v>4</v>
      </c>
      <c r="BU211" s="313">
        <v>4.0999999999999996</v>
      </c>
      <c r="BV211" s="313">
        <v>3.2</v>
      </c>
      <c r="BW211" s="313">
        <v>3.5</v>
      </c>
      <c r="BX211" s="313">
        <v>1.6</v>
      </c>
      <c r="BY211" s="313">
        <v>1.7</v>
      </c>
      <c r="BZ211" s="313">
        <v>1.1000000000000001</v>
      </c>
      <c r="CA211" s="313">
        <v>1.5</v>
      </c>
      <c r="CB211" s="313">
        <v>7.3000000000000007</v>
      </c>
      <c r="CC211" s="313">
        <v>83.399999999999991</v>
      </c>
      <c r="CD211" s="313">
        <v>9.4</v>
      </c>
    </row>
    <row r="212" spans="1:82" x14ac:dyDescent="0.25">
      <c r="A212" s="130" t="s">
        <v>5040</v>
      </c>
      <c r="B212" s="130" t="s">
        <v>316</v>
      </c>
      <c r="C212" s="130" t="s">
        <v>5041</v>
      </c>
      <c r="D212" s="130" t="s">
        <v>59</v>
      </c>
      <c r="E212" s="130" t="s">
        <v>5026</v>
      </c>
      <c r="F212" s="130" t="s">
        <v>4272</v>
      </c>
      <c r="G212" s="130" t="s">
        <v>5042</v>
      </c>
      <c r="H212" s="309">
        <v>540273</v>
      </c>
      <c r="I212" s="277" t="s">
        <v>1546</v>
      </c>
      <c r="J212" s="130">
        <v>5476516</v>
      </c>
      <c r="K212" s="130" t="s">
        <v>5043</v>
      </c>
      <c r="L212" s="310">
        <v>0.58955604142178275</v>
      </c>
      <c r="M212" s="311">
        <v>2256</v>
      </c>
      <c r="N212" s="312">
        <v>3826.6082297441894</v>
      </c>
      <c r="O212" s="311">
        <v>916</v>
      </c>
      <c r="P212" s="312">
        <v>2.46</v>
      </c>
      <c r="Q212" s="311">
        <v>2251</v>
      </c>
      <c r="R212" s="311">
        <v>97</v>
      </c>
      <c r="S212" s="311">
        <v>45</v>
      </c>
      <c r="T212" s="311">
        <v>58</v>
      </c>
      <c r="U212" s="311">
        <v>50</v>
      </c>
      <c r="V212" s="311">
        <v>44</v>
      </c>
      <c r="W212" s="311">
        <v>34</v>
      </c>
      <c r="X212" s="311">
        <v>60</v>
      </c>
      <c r="Y212" s="311">
        <v>70</v>
      </c>
      <c r="Z212" s="311">
        <v>72</v>
      </c>
      <c r="AA212" s="311">
        <v>35</v>
      </c>
      <c r="AB212" s="311">
        <v>125</v>
      </c>
      <c r="AC212" s="311">
        <v>91</v>
      </c>
      <c r="AD212" s="311">
        <v>66</v>
      </c>
      <c r="AE212" s="311">
        <v>17</v>
      </c>
      <c r="AF212" s="311">
        <v>34</v>
      </c>
      <c r="AG212" s="311">
        <v>18</v>
      </c>
      <c r="AH212" s="312">
        <v>21.834061135371179</v>
      </c>
      <c r="AI212" s="312">
        <v>10.262008733624455</v>
      </c>
      <c r="AJ212" s="312">
        <v>25.76419213973799</v>
      </c>
      <c r="AK212" s="312">
        <v>3.820960698689956</v>
      </c>
      <c r="AL212" s="312">
        <v>38.318777292576414</v>
      </c>
      <c r="AM212" s="311">
        <v>25781</v>
      </c>
      <c r="AN212" s="311">
        <v>45000</v>
      </c>
      <c r="AO212" s="312">
        <v>50</v>
      </c>
      <c r="AP212" s="311">
        <v>916</v>
      </c>
      <c r="AQ212" s="311">
        <v>70</v>
      </c>
      <c r="AR212" s="311">
        <v>476</v>
      </c>
      <c r="AS212" s="311">
        <v>440</v>
      </c>
      <c r="AT212" s="311">
        <v>13</v>
      </c>
      <c r="AU212" s="311">
        <v>13</v>
      </c>
      <c r="AV212" s="311">
        <v>140</v>
      </c>
      <c r="AW212" s="311">
        <v>49</v>
      </c>
      <c r="AX212" s="311">
        <v>28</v>
      </c>
      <c r="AY212" s="311">
        <v>43</v>
      </c>
      <c r="AZ212" s="311">
        <v>99</v>
      </c>
      <c r="BA212" s="311">
        <v>69</v>
      </c>
      <c r="BB212" s="311">
        <v>34</v>
      </c>
      <c r="BC212" s="311">
        <v>129</v>
      </c>
      <c r="BD212" s="311">
        <v>15</v>
      </c>
      <c r="BE212" s="311">
        <v>11</v>
      </c>
      <c r="BF212" s="311">
        <v>180</v>
      </c>
      <c r="BG212" s="311">
        <v>42</v>
      </c>
      <c r="BH212" s="311">
        <v>4</v>
      </c>
      <c r="BI212" s="312">
        <v>25.327510917030565</v>
      </c>
      <c r="BJ212" s="313">
        <v>4.5999999999999996</v>
      </c>
      <c r="BK212" s="313">
        <v>5.0999999999999996</v>
      </c>
      <c r="BL212" s="313">
        <v>4.3</v>
      </c>
      <c r="BM212" s="313">
        <v>2.9</v>
      </c>
      <c r="BN212" s="313">
        <v>17.2</v>
      </c>
      <c r="BO212" s="313">
        <v>11</v>
      </c>
      <c r="BP212" s="313">
        <v>6.3</v>
      </c>
      <c r="BQ212" s="313">
        <v>3.1</v>
      </c>
      <c r="BR212" s="313">
        <v>7.5</v>
      </c>
      <c r="BS212" s="313">
        <v>3.5</v>
      </c>
      <c r="BT212" s="313">
        <v>7.4</v>
      </c>
      <c r="BU212" s="313">
        <v>4.5999999999999996</v>
      </c>
      <c r="BV212" s="313">
        <v>5.5</v>
      </c>
      <c r="BW212" s="313">
        <v>5.6</v>
      </c>
      <c r="BX212" s="313">
        <v>2.5</v>
      </c>
      <c r="BY212" s="313">
        <v>1.2</v>
      </c>
      <c r="BZ212" s="313">
        <v>3.3</v>
      </c>
      <c r="CA212" s="313">
        <v>4.3</v>
      </c>
      <c r="CB212" s="313">
        <v>14</v>
      </c>
      <c r="CC212" s="313">
        <v>69</v>
      </c>
      <c r="CD212" s="313">
        <v>16.899999999999999</v>
      </c>
    </row>
    <row r="213" spans="1:82" x14ac:dyDescent="0.25">
      <c r="A213" s="130" t="s">
        <v>5044</v>
      </c>
      <c r="B213" s="130" t="s">
        <v>317</v>
      </c>
      <c r="C213" s="130" t="s">
        <v>5045</v>
      </c>
      <c r="D213" s="130" t="s">
        <v>59</v>
      </c>
      <c r="E213" s="130" t="s">
        <v>5026</v>
      </c>
      <c r="F213" s="130" t="s">
        <v>4272</v>
      </c>
      <c r="G213" s="130" t="s">
        <v>5046</v>
      </c>
      <c r="H213" s="309">
        <v>540274</v>
      </c>
      <c r="I213" s="277" t="s">
        <v>1547</v>
      </c>
      <c r="J213" s="130">
        <v>5485996</v>
      </c>
      <c r="K213" s="130" t="s">
        <v>5047</v>
      </c>
      <c r="L213" s="310">
        <v>1.5031704864470428</v>
      </c>
      <c r="M213" s="311">
        <v>4154</v>
      </c>
      <c r="N213" s="312">
        <v>2763.4922568354636</v>
      </c>
      <c r="O213" s="311">
        <v>1790</v>
      </c>
      <c r="P213" s="312">
        <v>2.3199999999999998</v>
      </c>
      <c r="Q213" s="311">
        <v>4154</v>
      </c>
      <c r="R213" s="311">
        <v>234</v>
      </c>
      <c r="S213" s="311">
        <v>109</v>
      </c>
      <c r="T213" s="311">
        <v>74</v>
      </c>
      <c r="U213" s="311">
        <v>81</v>
      </c>
      <c r="V213" s="311">
        <v>110</v>
      </c>
      <c r="W213" s="311">
        <v>107</v>
      </c>
      <c r="X213" s="311">
        <v>73</v>
      </c>
      <c r="Y213" s="311">
        <v>179</v>
      </c>
      <c r="Z213" s="311">
        <v>73</v>
      </c>
      <c r="AA213" s="311">
        <v>86</v>
      </c>
      <c r="AB213" s="311">
        <v>230</v>
      </c>
      <c r="AC213" s="311">
        <v>181</v>
      </c>
      <c r="AD213" s="311">
        <v>136</v>
      </c>
      <c r="AE213" s="311">
        <v>59</v>
      </c>
      <c r="AF213" s="311">
        <v>48</v>
      </c>
      <c r="AG213" s="311">
        <v>10</v>
      </c>
      <c r="AH213" s="312">
        <v>23.296089385474861</v>
      </c>
      <c r="AI213" s="312">
        <v>10.670391061452515</v>
      </c>
      <c r="AJ213" s="312">
        <v>24.134078212290504</v>
      </c>
      <c r="AK213" s="312">
        <v>4.8044692737430168</v>
      </c>
      <c r="AL213" s="312">
        <v>37.094972067039109</v>
      </c>
      <c r="AM213" s="311">
        <v>24867</v>
      </c>
      <c r="AN213" s="311">
        <v>42175</v>
      </c>
      <c r="AO213" s="312">
        <v>54.022346368715077</v>
      </c>
      <c r="AP213" s="311">
        <v>1790</v>
      </c>
      <c r="AQ213" s="311">
        <v>78</v>
      </c>
      <c r="AR213" s="311">
        <v>1000</v>
      </c>
      <c r="AS213" s="311">
        <v>790</v>
      </c>
      <c r="AT213" s="311">
        <v>15</v>
      </c>
      <c r="AU213" s="311">
        <v>58</v>
      </c>
      <c r="AV213" s="311">
        <v>255</v>
      </c>
      <c r="AW213" s="311">
        <v>133</v>
      </c>
      <c r="AX213" s="311">
        <v>71</v>
      </c>
      <c r="AY213" s="311">
        <v>80</v>
      </c>
      <c r="AZ213" s="311">
        <v>162</v>
      </c>
      <c r="BA213" s="311">
        <v>160</v>
      </c>
      <c r="BB213" s="311">
        <v>3</v>
      </c>
      <c r="BC213" s="311">
        <v>222</v>
      </c>
      <c r="BD213" s="311">
        <v>56</v>
      </c>
      <c r="BE213" s="311">
        <v>0</v>
      </c>
      <c r="BF213" s="311">
        <v>408</v>
      </c>
      <c r="BG213" s="311">
        <v>26</v>
      </c>
      <c r="BH213" s="311">
        <v>0</v>
      </c>
      <c r="BI213" s="312">
        <v>18.882681564245811</v>
      </c>
      <c r="BJ213" s="313">
        <v>7.9</v>
      </c>
      <c r="BK213" s="313">
        <v>4</v>
      </c>
      <c r="BL213" s="313">
        <v>2.8</v>
      </c>
      <c r="BM213" s="313">
        <v>4.5999999999999996</v>
      </c>
      <c r="BN213" s="313">
        <v>8.1999999999999993</v>
      </c>
      <c r="BO213" s="313">
        <v>13.3</v>
      </c>
      <c r="BP213" s="313">
        <v>7.7</v>
      </c>
      <c r="BQ213" s="313">
        <v>4.4000000000000004</v>
      </c>
      <c r="BR213" s="313">
        <v>5</v>
      </c>
      <c r="BS213" s="313">
        <v>6.8</v>
      </c>
      <c r="BT213" s="313">
        <v>8.4</v>
      </c>
      <c r="BU213" s="313">
        <v>9.5</v>
      </c>
      <c r="BV213" s="313">
        <v>4</v>
      </c>
      <c r="BW213" s="313">
        <v>4.4000000000000004</v>
      </c>
      <c r="BX213" s="313">
        <v>3.1</v>
      </c>
      <c r="BY213" s="313">
        <v>2.1</v>
      </c>
      <c r="BZ213" s="313">
        <v>2.4</v>
      </c>
      <c r="CA213" s="313">
        <v>1.5</v>
      </c>
      <c r="CB213" s="313">
        <v>14.7</v>
      </c>
      <c r="CC213" s="313">
        <v>71.900000000000006</v>
      </c>
      <c r="CD213" s="313">
        <v>13.5</v>
      </c>
    </row>
    <row r="214" spans="1:82" s="322" customFormat="1" x14ac:dyDescent="0.25">
      <c r="A214" s="314" t="s">
        <v>5048</v>
      </c>
      <c r="B214" s="315" t="s">
        <v>348</v>
      </c>
      <c r="C214" s="314"/>
      <c r="D214" s="314"/>
      <c r="E214" s="314"/>
      <c r="F214" s="314"/>
      <c r="G214" s="314"/>
      <c r="H214" s="316"/>
      <c r="I214" s="317"/>
      <c r="J214" s="314">
        <v>54061</v>
      </c>
      <c r="K214" s="314" t="s">
        <v>5049</v>
      </c>
      <c r="L214" s="318">
        <v>365.66581310538135</v>
      </c>
      <c r="M214" s="319">
        <v>103715</v>
      </c>
      <c r="N214" s="320">
        <v>283.63329653163487</v>
      </c>
      <c r="O214" s="319">
        <v>38410</v>
      </c>
      <c r="P214" s="320">
        <v>2.54</v>
      </c>
      <c r="Q214" s="319">
        <v>97528</v>
      </c>
      <c r="R214" s="319">
        <v>4816</v>
      </c>
      <c r="S214" s="319">
        <v>2111</v>
      </c>
      <c r="T214" s="319">
        <v>1945</v>
      </c>
      <c r="U214" s="319">
        <v>1979</v>
      </c>
      <c r="V214" s="319">
        <v>1910</v>
      </c>
      <c r="W214" s="319">
        <v>1733</v>
      </c>
      <c r="X214" s="319">
        <v>1666</v>
      </c>
      <c r="Y214" s="319">
        <v>1684</v>
      </c>
      <c r="Z214" s="319">
        <v>1456</v>
      </c>
      <c r="AA214" s="319">
        <v>3081</v>
      </c>
      <c r="AB214" s="319">
        <v>3519</v>
      </c>
      <c r="AC214" s="319">
        <v>3856</v>
      </c>
      <c r="AD214" s="319">
        <v>2821</v>
      </c>
      <c r="AE214" s="319">
        <v>1838</v>
      </c>
      <c r="AF214" s="319">
        <v>1863</v>
      </c>
      <c r="AG214" s="319">
        <v>2132</v>
      </c>
      <c r="AH214" s="320">
        <v>23.098151523040876</v>
      </c>
      <c r="AI214" s="320">
        <v>10.124967456391564</v>
      </c>
      <c r="AJ214" s="320">
        <v>17.024212444675864</v>
      </c>
      <c r="AK214" s="320">
        <v>8.0213486071335591</v>
      </c>
      <c r="AL214" s="320">
        <v>41.731319968758136</v>
      </c>
      <c r="AM214" s="319">
        <v>29285</v>
      </c>
      <c r="AN214" s="319">
        <v>49624</v>
      </c>
      <c r="AO214" s="320">
        <v>46.45665191356418</v>
      </c>
      <c r="AP214" s="319">
        <v>38410</v>
      </c>
      <c r="AQ214" s="319">
        <v>6406</v>
      </c>
      <c r="AR214" s="319">
        <v>22149</v>
      </c>
      <c r="AS214" s="319">
        <v>16261</v>
      </c>
      <c r="AT214" s="319">
        <v>466</v>
      </c>
      <c r="AU214" s="319">
        <v>612</v>
      </c>
      <c r="AV214" s="319">
        <v>6301</v>
      </c>
      <c r="AW214" s="319">
        <v>1810</v>
      </c>
      <c r="AX214" s="319">
        <v>1086</v>
      </c>
      <c r="AY214" s="319">
        <v>2513</v>
      </c>
      <c r="AZ214" s="319">
        <v>2054</v>
      </c>
      <c r="BA214" s="319">
        <v>1789</v>
      </c>
      <c r="BB214" s="319">
        <v>833</v>
      </c>
      <c r="BC214" s="319">
        <v>4239</v>
      </c>
      <c r="BD214" s="319">
        <v>1442</v>
      </c>
      <c r="BE214" s="319">
        <v>760</v>
      </c>
      <c r="BF214" s="319">
        <v>10853</v>
      </c>
      <c r="BG214" s="319">
        <v>1404</v>
      </c>
      <c r="BH214" s="319">
        <v>182</v>
      </c>
      <c r="BI214" s="320">
        <v>27.56834157771414</v>
      </c>
      <c r="BJ214" s="321">
        <v>5</v>
      </c>
      <c r="BK214" s="321">
        <v>4.5999999999999996</v>
      </c>
      <c r="BL214" s="321">
        <v>4.2</v>
      </c>
      <c r="BM214" s="321">
        <v>8.3000000000000007</v>
      </c>
      <c r="BN214" s="321">
        <v>16.5</v>
      </c>
      <c r="BO214" s="321">
        <v>9.6</v>
      </c>
      <c r="BP214" s="321">
        <v>7.5</v>
      </c>
      <c r="BQ214" s="321">
        <v>5.9</v>
      </c>
      <c r="BR214" s="321">
        <v>5.5</v>
      </c>
      <c r="BS214" s="321">
        <v>5.2</v>
      </c>
      <c r="BT214" s="321">
        <v>5.5</v>
      </c>
      <c r="BU214" s="321">
        <v>5.9</v>
      </c>
      <c r="BV214" s="321">
        <v>4.8</v>
      </c>
      <c r="BW214" s="321">
        <v>4.2</v>
      </c>
      <c r="BX214" s="321">
        <v>2.5</v>
      </c>
      <c r="BY214" s="321">
        <v>2</v>
      </c>
      <c r="BZ214" s="321">
        <v>1.3</v>
      </c>
      <c r="CA214" s="321">
        <v>1.3</v>
      </c>
      <c r="CB214" s="321">
        <v>13.8</v>
      </c>
      <c r="CC214" s="321">
        <v>74.7</v>
      </c>
      <c r="CD214" s="321">
        <v>11.3</v>
      </c>
    </row>
    <row r="215" spans="1:82" s="308" customFormat="1" x14ac:dyDescent="0.25">
      <c r="A215" s="301" t="s">
        <v>360</v>
      </c>
      <c r="B215" s="301" t="s">
        <v>104</v>
      </c>
      <c r="C215" s="301" t="s">
        <v>5050</v>
      </c>
      <c r="D215" s="301" t="s">
        <v>105</v>
      </c>
      <c r="E215" s="301" t="s">
        <v>5051</v>
      </c>
      <c r="F215" s="301" t="s">
        <v>4272</v>
      </c>
      <c r="G215" s="301" t="s">
        <v>5052</v>
      </c>
      <c r="H215" s="302">
        <v>540278</v>
      </c>
      <c r="I215" s="303" t="s">
        <v>1635</v>
      </c>
      <c r="J215" s="301" t="s">
        <v>488</v>
      </c>
      <c r="K215" s="301" t="s">
        <v>488</v>
      </c>
      <c r="L215" s="304">
        <v>472.04209895633022</v>
      </c>
      <c r="M215" s="305">
        <v>12214</v>
      </c>
      <c r="N215" s="306">
        <v>25.874810799724766</v>
      </c>
      <c r="O215" s="305">
        <v>5169</v>
      </c>
      <c r="P215" s="306">
        <v>2.3408783130199264</v>
      </c>
      <c r="Q215" s="305">
        <v>12100</v>
      </c>
      <c r="R215" s="305">
        <v>387</v>
      </c>
      <c r="S215" s="305">
        <v>245</v>
      </c>
      <c r="T215" s="305">
        <v>432</v>
      </c>
      <c r="U215" s="305">
        <v>457</v>
      </c>
      <c r="V215" s="305">
        <v>493</v>
      </c>
      <c r="W215" s="305">
        <v>386</v>
      </c>
      <c r="X215" s="305">
        <v>259</v>
      </c>
      <c r="Y215" s="305">
        <v>262</v>
      </c>
      <c r="Z215" s="305">
        <v>275</v>
      </c>
      <c r="AA215" s="305">
        <v>430</v>
      </c>
      <c r="AB215" s="305">
        <v>440</v>
      </c>
      <c r="AC215" s="305">
        <v>597</v>
      </c>
      <c r="AD215" s="305">
        <v>139</v>
      </c>
      <c r="AE215" s="305">
        <v>117</v>
      </c>
      <c r="AF215" s="305">
        <v>127</v>
      </c>
      <c r="AG215" s="305">
        <v>121</v>
      </c>
      <c r="AH215" s="306">
        <v>20.584252273166957</v>
      </c>
      <c r="AI215" s="306">
        <v>18.378796672470497</v>
      </c>
      <c r="AJ215" s="306">
        <v>22.8670922809054</v>
      </c>
      <c r="AK215" s="306">
        <v>8.3188237570129626</v>
      </c>
      <c r="AL215" s="306">
        <v>29.812342812923198</v>
      </c>
      <c r="AM215" s="305">
        <v>22830</v>
      </c>
      <c r="AN215" s="305">
        <v>36684</v>
      </c>
      <c r="AO215" s="306">
        <v>56.509963242406656</v>
      </c>
      <c r="AP215" s="305">
        <v>5169</v>
      </c>
      <c r="AQ215" s="305">
        <v>1670</v>
      </c>
      <c r="AR215" s="305">
        <v>4236</v>
      </c>
      <c r="AS215" s="305">
        <v>932</v>
      </c>
      <c r="AT215" s="305">
        <v>300</v>
      </c>
      <c r="AU215" s="305">
        <v>187</v>
      </c>
      <c r="AV215" s="305">
        <v>437</v>
      </c>
      <c r="AW215" s="305">
        <v>708</v>
      </c>
      <c r="AX215" s="305">
        <v>297</v>
      </c>
      <c r="AY215" s="305">
        <v>243</v>
      </c>
      <c r="AZ215" s="305">
        <v>540</v>
      </c>
      <c r="BA215" s="305">
        <v>87</v>
      </c>
      <c r="BB215" s="305">
        <v>75</v>
      </c>
      <c r="BC215" s="305">
        <v>679</v>
      </c>
      <c r="BD215" s="305">
        <v>131</v>
      </c>
      <c r="BE215" s="305">
        <v>48</v>
      </c>
      <c r="BF215" s="305">
        <v>1024</v>
      </c>
      <c r="BG215" s="305">
        <v>78</v>
      </c>
      <c r="BH215" s="305">
        <v>0</v>
      </c>
      <c r="BI215" s="306">
        <v>15.534919713677695</v>
      </c>
      <c r="BJ215" s="307">
        <v>4.8</v>
      </c>
      <c r="BK215" s="307">
        <v>5.8</v>
      </c>
      <c r="BL215" s="307">
        <v>5.9</v>
      </c>
      <c r="BM215" s="307">
        <v>4.3</v>
      </c>
      <c r="BN215" s="307">
        <v>5.4</v>
      </c>
      <c r="BO215" s="307">
        <v>4.8</v>
      </c>
      <c r="BP215" s="307">
        <v>4.8</v>
      </c>
      <c r="BQ215" s="307">
        <v>4.4000000000000004</v>
      </c>
      <c r="BR215" s="307">
        <v>6.8</v>
      </c>
      <c r="BS215" s="307">
        <v>6.4</v>
      </c>
      <c r="BT215" s="307">
        <v>7.3</v>
      </c>
      <c r="BU215" s="307">
        <v>7.5</v>
      </c>
      <c r="BV215" s="307">
        <v>7.3</v>
      </c>
      <c r="BW215" s="307">
        <v>8.9</v>
      </c>
      <c r="BX215" s="307">
        <v>6.2</v>
      </c>
      <c r="BY215" s="307">
        <v>4.2</v>
      </c>
      <c r="BZ215" s="307">
        <v>1.9</v>
      </c>
      <c r="CA215" s="307">
        <v>3.3</v>
      </c>
      <c r="CB215" s="307">
        <v>16.5</v>
      </c>
      <c r="CC215" s="307">
        <v>59</v>
      </c>
      <c r="CD215" s="307">
        <v>24.5</v>
      </c>
    </row>
    <row r="216" spans="1:82" s="330" customFormat="1" x14ac:dyDescent="0.25">
      <c r="A216" s="323" t="s">
        <v>4504</v>
      </c>
      <c r="B216" s="323" t="s">
        <v>142</v>
      </c>
      <c r="C216" s="323" t="s">
        <v>5053</v>
      </c>
      <c r="D216" s="323" t="s">
        <v>620</v>
      </c>
      <c r="E216" s="323" t="s">
        <v>5051</v>
      </c>
      <c r="F216" s="323" t="s">
        <v>4272</v>
      </c>
      <c r="G216" s="323" t="s">
        <v>4506</v>
      </c>
      <c r="H216" s="324">
        <v>540041</v>
      </c>
      <c r="I216" s="325" t="s">
        <v>5054</v>
      </c>
      <c r="J216" s="323">
        <v>5400772</v>
      </c>
      <c r="K216" s="323" t="s">
        <v>4508</v>
      </c>
      <c r="L216" s="326">
        <v>0.30149719238773459</v>
      </c>
      <c r="M216" s="327">
        <v>400</v>
      </c>
      <c r="N216" s="328">
        <v>1326.7121887012063</v>
      </c>
      <c r="O216" s="327">
        <v>188</v>
      </c>
      <c r="P216" s="328">
        <v>2.12</v>
      </c>
      <c r="Q216" s="327">
        <v>400</v>
      </c>
      <c r="R216" s="327">
        <v>20</v>
      </c>
      <c r="S216" s="327">
        <v>26</v>
      </c>
      <c r="T216" s="327">
        <v>27</v>
      </c>
      <c r="U216" s="327">
        <v>14</v>
      </c>
      <c r="V216" s="327">
        <v>9</v>
      </c>
      <c r="W216" s="327">
        <v>7</v>
      </c>
      <c r="X216" s="327">
        <v>11</v>
      </c>
      <c r="Y216" s="327">
        <v>14</v>
      </c>
      <c r="Z216" s="327">
        <v>10</v>
      </c>
      <c r="AA216" s="327">
        <v>9</v>
      </c>
      <c r="AB216" s="327">
        <v>17</v>
      </c>
      <c r="AC216" s="327">
        <v>13</v>
      </c>
      <c r="AD216" s="327">
        <v>3</v>
      </c>
      <c r="AE216" s="327">
        <v>10</v>
      </c>
      <c r="AF216" s="327">
        <v>0</v>
      </c>
      <c r="AG216" s="327">
        <v>0</v>
      </c>
      <c r="AH216" s="328">
        <v>12.422818791946305</v>
      </c>
      <c r="AI216" s="328">
        <v>3.7449664429530198</v>
      </c>
      <c r="AJ216" s="328">
        <v>7.1476510067114098</v>
      </c>
      <c r="AK216" s="328">
        <v>2.0335570469798654</v>
      </c>
      <c r="AL216" s="328">
        <v>7.6510067114093978</v>
      </c>
      <c r="AM216" s="327">
        <v>19066</v>
      </c>
      <c r="AN216" s="327">
        <v>27407</v>
      </c>
      <c r="AO216" s="328">
        <v>68.085106382978722</v>
      </c>
      <c r="AP216" s="327">
        <v>188</v>
      </c>
      <c r="AQ216" s="327">
        <v>29</v>
      </c>
      <c r="AR216" s="327">
        <v>106</v>
      </c>
      <c r="AS216" s="327">
        <v>83</v>
      </c>
      <c r="AT216" s="327">
        <v>0</v>
      </c>
      <c r="AU216" s="327">
        <v>9</v>
      </c>
      <c r="AV216" s="327">
        <v>46</v>
      </c>
      <c r="AW216" s="327">
        <v>18</v>
      </c>
      <c r="AX216" s="327">
        <v>1</v>
      </c>
      <c r="AY216" s="327">
        <v>11</v>
      </c>
      <c r="AZ216" s="327">
        <v>11</v>
      </c>
      <c r="BA216" s="327">
        <v>18</v>
      </c>
      <c r="BB216" s="327">
        <v>5</v>
      </c>
      <c r="BC216" s="327">
        <v>21</v>
      </c>
      <c r="BD216" s="327">
        <v>3</v>
      </c>
      <c r="BE216" s="327">
        <v>1</v>
      </c>
      <c r="BF216" s="327">
        <v>21</v>
      </c>
      <c r="BG216" s="327">
        <v>4</v>
      </c>
      <c r="BH216" s="327">
        <v>0</v>
      </c>
      <c r="BI216" s="328">
        <v>33.51063829787234</v>
      </c>
      <c r="BJ216" s="329">
        <v>8.5</v>
      </c>
      <c r="BK216" s="329">
        <v>6.8</v>
      </c>
      <c r="BL216" s="329">
        <v>5.6</v>
      </c>
      <c r="BM216" s="329">
        <v>2.5</v>
      </c>
      <c r="BN216" s="329">
        <v>3.2</v>
      </c>
      <c r="BO216" s="329">
        <v>9.4</v>
      </c>
      <c r="BP216" s="329">
        <v>8.6</v>
      </c>
      <c r="BQ216" s="329">
        <v>4</v>
      </c>
      <c r="BR216" s="329">
        <v>7.2</v>
      </c>
      <c r="BS216" s="329">
        <v>4.5999999999999996</v>
      </c>
      <c r="BT216" s="329">
        <v>3.2</v>
      </c>
      <c r="BU216" s="329">
        <v>9.4</v>
      </c>
      <c r="BV216" s="329">
        <v>4</v>
      </c>
      <c r="BW216" s="329">
        <v>7.8</v>
      </c>
      <c r="BX216" s="329">
        <v>8.3000000000000007</v>
      </c>
      <c r="BY216" s="329">
        <v>3.3</v>
      </c>
      <c r="BZ216" s="329">
        <v>2.1</v>
      </c>
      <c r="CA216" s="329">
        <v>1.3</v>
      </c>
      <c r="CB216" s="329">
        <v>20.9</v>
      </c>
      <c r="CC216" s="329">
        <v>56.100000000000009</v>
      </c>
      <c r="CD216" s="329">
        <v>22.800000000000004</v>
      </c>
    </row>
    <row r="217" spans="1:82" x14ac:dyDescent="0.25">
      <c r="A217" s="130" t="s">
        <v>5055</v>
      </c>
      <c r="B217" s="130" t="s">
        <v>224</v>
      </c>
      <c r="C217" s="130" t="s">
        <v>5056</v>
      </c>
      <c r="D217" s="130" t="s">
        <v>105</v>
      </c>
      <c r="E217" s="130" t="s">
        <v>5051</v>
      </c>
      <c r="F217" s="130" t="s">
        <v>4272</v>
      </c>
      <c r="G217" s="130" t="s">
        <v>5057</v>
      </c>
      <c r="H217" s="309">
        <v>540143</v>
      </c>
      <c r="I217" s="277" t="s">
        <v>1636</v>
      </c>
      <c r="J217" s="130">
        <v>5463052</v>
      </c>
      <c r="K217" s="130" t="s">
        <v>5058</v>
      </c>
      <c r="L217" s="310">
        <v>0.31557095600486057</v>
      </c>
      <c r="M217" s="311">
        <v>444</v>
      </c>
      <c r="N217" s="312">
        <v>1406.9735872434385</v>
      </c>
      <c r="O217" s="311">
        <v>200</v>
      </c>
      <c r="P217" s="312">
        <v>2.2200000000000002</v>
      </c>
      <c r="Q217" s="311">
        <v>444</v>
      </c>
      <c r="R217" s="311">
        <v>17</v>
      </c>
      <c r="S217" s="311">
        <v>26</v>
      </c>
      <c r="T217" s="311">
        <v>12</v>
      </c>
      <c r="U217" s="311">
        <v>24</v>
      </c>
      <c r="V217" s="311">
        <v>12</v>
      </c>
      <c r="W217" s="311">
        <v>8</v>
      </c>
      <c r="X217" s="311">
        <v>7</v>
      </c>
      <c r="Y217" s="311">
        <v>15</v>
      </c>
      <c r="Z217" s="311">
        <v>13</v>
      </c>
      <c r="AA217" s="311">
        <v>24</v>
      </c>
      <c r="AB217" s="311">
        <v>19</v>
      </c>
      <c r="AC217" s="311">
        <v>12</v>
      </c>
      <c r="AD217" s="311">
        <v>11</v>
      </c>
      <c r="AE217" s="311">
        <v>0</v>
      </c>
      <c r="AF217" s="311">
        <v>0</v>
      </c>
      <c r="AG217" s="311">
        <v>0</v>
      </c>
      <c r="AH217" s="312">
        <v>27.500000000000004</v>
      </c>
      <c r="AI217" s="312">
        <v>18</v>
      </c>
      <c r="AJ217" s="312">
        <v>21.5</v>
      </c>
      <c r="AK217" s="312">
        <v>12</v>
      </c>
      <c r="AL217" s="312">
        <v>21</v>
      </c>
      <c r="AM217" s="311">
        <v>18659</v>
      </c>
      <c r="AN217" s="311">
        <v>35500</v>
      </c>
      <c r="AO217" s="312">
        <v>60.5</v>
      </c>
      <c r="AP217" s="311">
        <v>200</v>
      </c>
      <c r="AQ217" s="311">
        <v>51</v>
      </c>
      <c r="AR217" s="311">
        <v>136</v>
      </c>
      <c r="AS217" s="311">
        <v>64</v>
      </c>
      <c r="AT217" s="311">
        <v>7</v>
      </c>
      <c r="AU217" s="311">
        <v>16</v>
      </c>
      <c r="AV217" s="311">
        <v>26</v>
      </c>
      <c r="AW217" s="311">
        <v>18</v>
      </c>
      <c r="AX217" s="311">
        <v>4</v>
      </c>
      <c r="AY217" s="311">
        <v>16</v>
      </c>
      <c r="AZ217" s="311">
        <v>23</v>
      </c>
      <c r="BA217" s="311">
        <v>10</v>
      </c>
      <c r="BB217" s="311">
        <v>2</v>
      </c>
      <c r="BC217" s="311">
        <v>34</v>
      </c>
      <c r="BD217" s="311">
        <v>9</v>
      </c>
      <c r="BE217" s="311">
        <v>0</v>
      </c>
      <c r="BF217" s="311">
        <v>23</v>
      </c>
      <c r="BG217" s="311">
        <v>0</v>
      </c>
      <c r="BH217" s="311">
        <v>0</v>
      </c>
      <c r="BI217" s="312">
        <v>22</v>
      </c>
      <c r="BJ217" s="313">
        <v>3.4</v>
      </c>
      <c r="BK217" s="313">
        <v>9.9</v>
      </c>
      <c r="BL217" s="313">
        <v>8.8000000000000007</v>
      </c>
      <c r="BM217" s="313">
        <v>3.2</v>
      </c>
      <c r="BN217" s="313">
        <v>4.5</v>
      </c>
      <c r="BO217" s="313">
        <v>4.3</v>
      </c>
      <c r="BP217" s="313">
        <v>2.9</v>
      </c>
      <c r="BQ217" s="313">
        <v>9.9</v>
      </c>
      <c r="BR217" s="313">
        <v>9.9</v>
      </c>
      <c r="BS217" s="313">
        <v>4.0999999999999996</v>
      </c>
      <c r="BT217" s="313">
        <v>6.8</v>
      </c>
      <c r="BU217" s="313">
        <v>1.4</v>
      </c>
      <c r="BV217" s="313">
        <v>5.4</v>
      </c>
      <c r="BW217" s="313">
        <v>5.2</v>
      </c>
      <c r="BX217" s="313">
        <v>5.9</v>
      </c>
      <c r="BY217" s="313">
        <v>5.2</v>
      </c>
      <c r="BZ217" s="313">
        <v>3.6</v>
      </c>
      <c r="CA217" s="313">
        <v>5.9</v>
      </c>
      <c r="CB217" s="313">
        <v>22.1</v>
      </c>
      <c r="CC217" s="313">
        <v>52.4</v>
      </c>
      <c r="CD217" s="313">
        <v>25.800000000000004</v>
      </c>
    </row>
    <row r="218" spans="1:82" x14ac:dyDescent="0.25">
      <c r="A218" s="130" t="s">
        <v>5059</v>
      </c>
      <c r="B218" s="130" t="s">
        <v>327</v>
      </c>
      <c r="C218" s="130" t="s">
        <v>5060</v>
      </c>
      <c r="D218" s="130" t="s">
        <v>105</v>
      </c>
      <c r="E218" s="130" t="s">
        <v>5051</v>
      </c>
      <c r="F218" s="130" t="s">
        <v>4272</v>
      </c>
      <c r="G218" s="130" t="s">
        <v>5061</v>
      </c>
      <c r="H218" s="309">
        <v>540290</v>
      </c>
      <c r="I218" s="277" t="s">
        <v>1637</v>
      </c>
      <c r="J218" s="130">
        <v>5481940</v>
      </c>
      <c r="K218" s="130" t="s">
        <v>5062</v>
      </c>
      <c r="L218" s="310">
        <v>0.44741054301460881</v>
      </c>
      <c r="M218" s="311">
        <v>459</v>
      </c>
      <c r="N218" s="312">
        <v>1025.9034060916458</v>
      </c>
      <c r="O218" s="311">
        <v>258</v>
      </c>
      <c r="P218" s="312">
        <v>1.78</v>
      </c>
      <c r="Q218" s="311">
        <v>459</v>
      </c>
      <c r="R218" s="311">
        <v>44</v>
      </c>
      <c r="S218" s="311">
        <v>18</v>
      </c>
      <c r="T218" s="311">
        <v>38</v>
      </c>
      <c r="U218" s="311">
        <v>10</v>
      </c>
      <c r="V218" s="311">
        <v>29</v>
      </c>
      <c r="W218" s="311">
        <v>19</v>
      </c>
      <c r="X218" s="311">
        <v>12</v>
      </c>
      <c r="Y218" s="311">
        <v>8</v>
      </c>
      <c r="Z218" s="311">
        <v>15</v>
      </c>
      <c r="AA218" s="311">
        <v>14</v>
      </c>
      <c r="AB218" s="311">
        <v>5</v>
      </c>
      <c r="AC218" s="311">
        <v>21</v>
      </c>
      <c r="AD218" s="311">
        <v>17</v>
      </c>
      <c r="AE218" s="311">
        <v>8</v>
      </c>
      <c r="AF218" s="311">
        <v>0</v>
      </c>
      <c r="AG218" s="311">
        <v>0</v>
      </c>
      <c r="AH218" s="312">
        <v>38.759689922480625</v>
      </c>
      <c r="AI218" s="312">
        <v>15.11627906976744</v>
      </c>
      <c r="AJ218" s="312">
        <v>20.930232558139537</v>
      </c>
      <c r="AK218" s="312">
        <v>5.4263565891472867</v>
      </c>
      <c r="AL218" s="312">
        <v>19.767441860465116</v>
      </c>
      <c r="AM218" s="311">
        <v>20773</v>
      </c>
      <c r="AN218" s="311">
        <v>28611</v>
      </c>
      <c r="AO218" s="312">
        <v>68.992248062015506</v>
      </c>
      <c r="AP218" s="311">
        <v>258</v>
      </c>
      <c r="AQ218" s="311">
        <v>65</v>
      </c>
      <c r="AR218" s="311">
        <v>194</v>
      </c>
      <c r="AS218" s="311">
        <v>64</v>
      </c>
      <c r="AT218" s="311">
        <v>29</v>
      </c>
      <c r="AU218" s="311">
        <v>9</v>
      </c>
      <c r="AV218" s="311">
        <v>36</v>
      </c>
      <c r="AW218" s="311">
        <v>42</v>
      </c>
      <c r="AX218" s="311">
        <v>6</v>
      </c>
      <c r="AY218" s="311">
        <v>3</v>
      </c>
      <c r="AZ218" s="311">
        <v>23</v>
      </c>
      <c r="BA218" s="311">
        <v>3</v>
      </c>
      <c r="BB218" s="311">
        <v>9</v>
      </c>
      <c r="BC218" s="311">
        <v>16</v>
      </c>
      <c r="BD218" s="311">
        <v>3</v>
      </c>
      <c r="BE218" s="311">
        <v>0</v>
      </c>
      <c r="BF218" s="311">
        <v>33</v>
      </c>
      <c r="BG218" s="311">
        <v>0</v>
      </c>
      <c r="BH218" s="311">
        <v>13</v>
      </c>
      <c r="BI218" s="312">
        <v>23.643410852713178</v>
      </c>
      <c r="BJ218" s="313">
        <v>4.5999999999999996</v>
      </c>
      <c r="BK218" s="313">
        <v>5</v>
      </c>
      <c r="BL218" s="313">
        <v>2.6</v>
      </c>
      <c r="BM218" s="313">
        <v>2</v>
      </c>
      <c r="BN218" s="313">
        <v>6.5</v>
      </c>
      <c r="BO218" s="313">
        <v>2.8</v>
      </c>
      <c r="BP218" s="313">
        <v>5</v>
      </c>
      <c r="BQ218" s="313">
        <v>2.4</v>
      </c>
      <c r="BR218" s="313">
        <v>8.6999999999999993</v>
      </c>
      <c r="BS218" s="313">
        <v>2.4</v>
      </c>
      <c r="BT218" s="313">
        <v>1.3</v>
      </c>
      <c r="BU218" s="313">
        <v>9.4</v>
      </c>
      <c r="BV218" s="313">
        <v>11.1</v>
      </c>
      <c r="BW218" s="313">
        <v>4.8</v>
      </c>
      <c r="BX218" s="313">
        <v>13.9</v>
      </c>
      <c r="BY218" s="313">
        <v>5.2</v>
      </c>
      <c r="BZ218" s="313">
        <v>7.8</v>
      </c>
      <c r="CA218" s="313">
        <v>4.4000000000000004</v>
      </c>
      <c r="CB218" s="313">
        <v>12.2</v>
      </c>
      <c r="CC218" s="313">
        <v>51.6</v>
      </c>
      <c r="CD218" s="313">
        <v>36.1</v>
      </c>
    </row>
    <row r="219" spans="1:82" s="322" customFormat="1" x14ac:dyDescent="0.25">
      <c r="A219" s="314" t="s">
        <v>5063</v>
      </c>
      <c r="B219" s="315" t="s">
        <v>348</v>
      </c>
      <c r="C219" s="314"/>
      <c r="D219" s="314"/>
      <c r="E219" s="314"/>
      <c r="F219" s="314"/>
      <c r="G219" s="314"/>
      <c r="H219" s="316"/>
      <c r="I219" s="317"/>
      <c r="J219" s="314">
        <v>54063</v>
      </c>
      <c r="K219" s="314" t="s">
        <v>5064</v>
      </c>
      <c r="L219" s="318">
        <v>473.10657764773742</v>
      </c>
      <c r="M219" s="319">
        <v>13517</v>
      </c>
      <c r="N219" s="320">
        <v>28.570729384499064</v>
      </c>
      <c r="O219" s="319">
        <v>5815</v>
      </c>
      <c r="P219" s="320">
        <v>2.2999999999999998</v>
      </c>
      <c r="Q219" s="319">
        <v>13403</v>
      </c>
      <c r="R219" s="319">
        <v>468</v>
      </c>
      <c r="S219" s="319">
        <v>315</v>
      </c>
      <c r="T219" s="319">
        <v>509</v>
      </c>
      <c r="U219" s="319">
        <v>505</v>
      </c>
      <c r="V219" s="319">
        <v>543</v>
      </c>
      <c r="W219" s="319">
        <v>420</v>
      </c>
      <c r="X219" s="319">
        <v>289</v>
      </c>
      <c r="Y219" s="319">
        <v>299</v>
      </c>
      <c r="Z219" s="319">
        <v>313</v>
      </c>
      <c r="AA219" s="319">
        <v>477</v>
      </c>
      <c r="AB219" s="319">
        <v>481</v>
      </c>
      <c r="AC219" s="319">
        <v>643</v>
      </c>
      <c r="AD219" s="319">
        <v>170</v>
      </c>
      <c r="AE219" s="319">
        <v>135</v>
      </c>
      <c r="AF219" s="319">
        <v>127</v>
      </c>
      <c r="AG219" s="319">
        <v>121</v>
      </c>
      <c r="AH219" s="320">
        <v>22.218400687876183</v>
      </c>
      <c r="AI219" s="320">
        <v>18.022355975924334</v>
      </c>
      <c r="AJ219" s="320">
        <v>22.717110920034393</v>
      </c>
      <c r="AK219" s="320">
        <v>8.202923473774721</v>
      </c>
      <c r="AL219" s="320">
        <v>28.839208942390371</v>
      </c>
      <c r="AM219" s="319">
        <v>22830</v>
      </c>
      <c r="AN219" s="319">
        <v>36684</v>
      </c>
      <c r="AO219" s="320">
        <v>57.575236457437661</v>
      </c>
      <c r="AP219" s="319">
        <v>5815</v>
      </c>
      <c r="AQ219" s="319">
        <v>1815</v>
      </c>
      <c r="AR219" s="319">
        <v>4672</v>
      </c>
      <c r="AS219" s="319">
        <v>1143</v>
      </c>
      <c r="AT219" s="319">
        <v>336</v>
      </c>
      <c r="AU219" s="319">
        <v>221</v>
      </c>
      <c r="AV219" s="319">
        <v>545</v>
      </c>
      <c r="AW219" s="319">
        <v>786</v>
      </c>
      <c r="AX219" s="319">
        <v>308</v>
      </c>
      <c r="AY219" s="319">
        <v>273</v>
      </c>
      <c r="AZ219" s="319">
        <v>597</v>
      </c>
      <c r="BA219" s="319">
        <v>118</v>
      </c>
      <c r="BB219" s="319">
        <v>91</v>
      </c>
      <c r="BC219" s="319">
        <v>750</v>
      </c>
      <c r="BD219" s="319">
        <v>146</v>
      </c>
      <c r="BE219" s="319">
        <v>49</v>
      </c>
      <c r="BF219" s="319">
        <v>1101</v>
      </c>
      <c r="BG219" s="319">
        <v>82</v>
      </c>
      <c r="BH219" s="319">
        <v>13</v>
      </c>
      <c r="BI219" s="320">
        <v>16.698194325021497</v>
      </c>
      <c r="BJ219" s="321">
        <v>4.8</v>
      </c>
      <c r="BK219" s="321">
        <v>5.8</v>
      </c>
      <c r="BL219" s="321">
        <v>5.9</v>
      </c>
      <c r="BM219" s="321">
        <v>4.3</v>
      </c>
      <c r="BN219" s="321">
        <v>5.4</v>
      </c>
      <c r="BO219" s="321">
        <v>4.8</v>
      </c>
      <c r="BP219" s="321">
        <v>4.8</v>
      </c>
      <c r="BQ219" s="321">
        <v>4.4000000000000004</v>
      </c>
      <c r="BR219" s="321">
        <v>6.8</v>
      </c>
      <c r="BS219" s="321">
        <v>6.4</v>
      </c>
      <c r="BT219" s="321">
        <v>7.3</v>
      </c>
      <c r="BU219" s="321">
        <v>7.5</v>
      </c>
      <c r="BV219" s="321">
        <v>7.3</v>
      </c>
      <c r="BW219" s="321">
        <v>8.9</v>
      </c>
      <c r="BX219" s="321">
        <v>6.2</v>
      </c>
      <c r="BY219" s="321">
        <v>4.2</v>
      </c>
      <c r="BZ219" s="321">
        <v>1.9</v>
      </c>
      <c r="CA219" s="321">
        <v>3.3</v>
      </c>
      <c r="CB219" s="321">
        <v>16.5</v>
      </c>
      <c r="CC219" s="321">
        <v>59</v>
      </c>
      <c r="CD219" s="321">
        <v>24.5</v>
      </c>
    </row>
    <row r="220" spans="1:82" s="308" customFormat="1" x14ac:dyDescent="0.25">
      <c r="A220" s="301" t="s">
        <v>5065</v>
      </c>
      <c r="B220" s="301" t="s">
        <v>60</v>
      </c>
      <c r="C220" s="301" t="s">
        <v>5066</v>
      </c>
      <c r="D220" s="301" t="s">
        <v>61</v>
      </c>
      <c r="E220" s="301" t="s">
        <v>5067</v>
      </c>
      <c r="F220" s="301" t="s">
        <v>4272</v>
      </c>
      <c r="G220" s="301" t="s">
        <v>5068</v>
      </c>
      <c r="H220" s="302">
        <v>540144</v>
      </c>
      <c r="I220" s="303" t="s">
        <v>1548</v>
      </c>
      <c r="J220" s="301" t="s">
        <v>488</v>
      </c>
      <c r="K220" s="301" t="s">
        <v>488</v>
      </c>
      <c r="L220" s="304">
        <v>229.03373557994277</v>
      </c>
      <c r="M220" s="305">
        <v>16429</v>
      </c>
      <c r="N220" s="306">
        <v>71.731790770471719</v>
      </c>
      <c r="O220" s="305">
        <v>6650</v>
      </c>
      <c r="P220" s="306">
        <v>2.4514285714285715</v>
      </c>
      <c r="Q220" s="305">
        <v>16302</v>
      </c>
      <c r="R220" s="305">
        <v>546</v>
      </c>
      <c r="S220" s="305">
        <v>156</v>
      </c>
      <c r="T220" s="305">
        <v>240</v>
      </c>
      <c r="U220" s="305">
        <v>623</v>
      </c>
      <c r="V220" s="305">
        <v>480</v>
      </c>
      <c r="W220" s="305">
        <v>572</v>
      </c>
      <c r="X220" s="305">
        <v>276</v>
      </c>
      <c r="Y220" s="305">
        <v>209</v>
      </c>
      <c r="Z220" s="305">
        <v>527</v>
      </c>
      <c r="AA220" s="305">
        <v>413</v>
      </c>
      <c r="AB220" s="305">
        <v>786</v>
      </c>
      <c r="AC220" s="305">
        <v>798</v>
      </c>
      <c r="AD220" s="305">
        <v>546</v>
      </c>
      <c r="AE220" s="305">
        <v>210</v>
      </c>
      <c r="AF220" s="305">
        <v>172</v>
      </c>
      <c r="AG220" s="305">
        <v>96</v>
      </c>
      <c r="AH220" s="306">
        <v>14.165413533834586</v>
      </c>
      <c r="AI220" s="306">
        <v>16.586466165413533</v>
      </c>
      <c r="AJ220" s="306">
        <v>23.819548872180452</v>
      </c>
      <c r="AK220" s="306">
        <v>6.2105263157894743</v>
      </c>
      <c r="AL220" s="306">
        <v>39.218045112781958</v>
      </c>
      <c r="AM220" s="305">
        <v>24026</v>
      </c>
      <c r="AN220" s="305">
        <v>46346</v>
      </c>
      <c r="AO220" s="306">
        <v>46.646616541353389</v>
      </c>
      <c r="AP220" s="305">
        <v>6650</v>
      </c>
      <c r="AQ220" s="305">
        <v>2573</v>
      </c>
      <c r="AR220" s="305">
        <v>5571</v>
      </c>
      <c r="AS220" s="305">
        <v>1079</v>
      </c>
      <c r="AT220" s="305">
        <v>105</v>
      </c>
      <c r="AU220" s="305">
        <v>112</v>
      </c>
      <c r="AV220" s="305">
        <v>542</v>
      </c>
      <c r="AW220" s="305">
        <v>526</v>
      </c>
      <c r="AX220" s="305">
        <v>291</v>
      </c>
      <c r="AY220" s="305">
        <v>791</v>
      </c>
      <c r="AZ220" s="305">
        <v>503</v>
      </c>
      <c r="BA220" s="305">
        <v>150</v>
      </c>
      <c r="BB220" s="305">
        <v>328</v>
      </c>
      <c r="BC220" s="305">
        <v>714</v>
      </c>
      <c r="BD220" s="305">
        <v>387</v>
      </c>
      <c r="BE220" s="305">
        <v>71</v>
      </c>
      <c r="BF220" s="305">
        <v>1514</v>
      </c>
      <c r="BG220" s="305">
        <v>255</v>
      </c>
      <c r="BH220" s="305">
        <v>44</v>
      </c>
      <c r="BI220" s="306">
        <v>26.706766917293233</v>
      </c>
      <c r="BJ220" s="307">
        <v>4.5</v>
      </c>
      <c r="BK220" s="307">
        <v>5.3</v>
      </c>
      <c r="BL220" s="307">
        <v>5.5</v>
      </c>
      <c r="BM220" s="307">
        <v>6</v>
      </c>
      <c r="BN220" s="307">
        <v>4.7</v>
      </c>
      <c r="BO220" s="307">
        <v>5</v>
      </c>
      <c r="BP220" s="307">
        <v>4.5</v>
      </c>
      <c r="BQ220" s="307">
        <v>5.8</v>
      </c>
      <c r="BR220" s="307">
        <v>5.6</v>
      </c>
      <c r="BS220" s="307">
        <v>7.2</v>
      </c>
      <c r="BT220" s="307">
        <v>8.3000000000000007</v>
      </c>
      <c r="BU220" s="307">
        <v>8.4</v>
      </c>
      <c r="BV220" s="307">
        <v>8</v>
      </c>
      <c r="BW220" s="307">
        <v>8.1999999999999993</v>
      </c>
      <c r="BX220" s="307">
        <v>4.5999999999999996</v>
      </c>
      <c r="BY220" s="307">
        <v>4.0999999999999996</v>
      </c>
      <c r="BZ220" s="307">
        <v>3.2</v>
      </c>
      <c r="CA220" s="307">
        <v>1.2</v>
      </c>
      <c r="CB220" s="307">
        <v>15.3</v>
      </c>
      <c r="CC220" s="307">
        <v>63.500000000000007</v>
      </c>
      <c r="CD220" s="307">
        <v>21.299999999999997</v>
      </c>
    </row>
    <row r="221" spans="1:82" x14ac:dyDescent="0.25">
      <c r="A221" s="130" t="s">
        <v>5069</v>
      </c>
      <c r="B221" s="130" t="s">
        <v>118</v>
      </c>
      <c r="C221" s="130" t="s">
        <v>5070</v>
      </c>
      <c r="D221" s="130" t="s">
        <v>61</v>
      </c>
      <c r="E221" s="130" t="s">
        <v>5067</v>
      </c>
      <c r="F221" s="130" t="s">
        <v>4272</v>
      </c>
      <c r="G221" s="130" t="s">
        <v>5071</v>
      </c>
      <c r="H221" s="309">
        <v>540005</v>
      </c>
      <c r="I221" s="277" t="s">
        <v>1549</v>
      </c>
      <c r="J221" s="130">
        <v>5404876</v>
      </c>
      <c r="K221" s="130" t="s">
        <v>5072</v>
      </c>
      <c r="L221" s="310">
        <v>0.33582132545982868</v>
      </c>
      <c r="M221" s="311">
        <v>609</v>
      </c>
      <c r="N221" s="312">
        <v>1813.4643449641476</v>
      </c>
      <c r="O221" s="311">
        <v>300</v>
      </c>
      <c r="P221" s="312">
        <v>2.0299999999999998</v>
      </c>
      <c r="Q221" s="311">
        <v>609</v>
      </c>
      <c r="R221" s="311">
        <v>35</v>
      </c>
      <c r="S221" s="311">
        <v>22</v>
      </c>
      <c r="T221" s="311">
        <v>15</v>
      </c>
      <c r="U221" s="311">
        <v>38</v>
      </c>
      <c r="V221" s="311">
        <v>21</v>
      </c>
      <c r="W221" s="311">
        <v>4</v>
      </c>
      <c r="X221" s="311">
        <v>36</v>
      </c>
      <c r="Y221" s="311">
        <v>40</v>
      </c>
      <c r="Z221" s="311">
        <v>10</v>
      </c>
      <c r="AA221" s="311">
        <v>20</v>
      </c>
      <c r="AB221" s="311">
        <v>15</v>
      </c>
      <c r="AC221" s="311">
        <v>11</v>
      </c>
      <c r="AD221" s="311">
        <v>17</v>
      </c>
      <c r="AE221" s="311">
        <v>3</v>
      </c>
      <c r="AF221" s="311">
        <v>13</v>
      </c>
      <c r="AG221" s="311">
        <v>0</v>
      </c>
      <c r="AH221" s="312">
        <v>24</v>
      </c>
      <c r="AI221" s="312">
        <v>19.666666666666664</v>
      </c>
      <c r="AJ221" s="312">
        <v>30</v>
      </c>
      <c r="AK221" s="312">
        <v>6.666666666666667</v>
      </c>
      <c r="AL221" s="312">
        <v>19.666666666666664</v>
      </c>
      <c r="AM221" s="311">
        <v>22478</v>
      </c>
      <c r="AN221" s="311">
        <v>36500</v>
      </c>
      <c r="AO221" s="312">
        <v>70.333333333333343</v>
      </c>
      <c r="AP221" s="311">
        <v>300</v>
      </c>
      <c r="AQ221" s="311">
        <v>105</v>
      </c>
      <c r="AR221" s="311">
        <v>98</v>
      </c>
      <c r="AS221" s="311">
        <v>202</v>
      </c>
      <c r="AT221" s="311">
        <v>4</v>
      </c>
      <c r="AU221" s="311">
        <v>22</v>
      </c>
      <c r="AV221" s="311">
        <v>44</v>
      </c>
      <c r="AW221" s="311">
        <v>7</v>
      </c>
      <c r="AX221" s="311">
        <v>23</v>
      </c>
      <c r="AY221" s="311">
        <v>33</v>
      </c>
      <c r="AZ221" s="311">
        <v>12</v>
      </c>
      <c r="BA221" s="311">
        <v>66</v>
      </c>
      <c r="BB221" s="311">
        <v>6</v>
      </c>
      <c r="BC221" s="311">
        <v>25</v>
      </c>
      <c r="BD221" s="311">
        <v>7</v>
      </c>
      <c r="BE221" s="311">
        <v>3</v>
      </c>
      <c r="BF221" s="311">
        <v>38</v>
      </c>
      <c r="BG221" s="311">
        <v>1</v>
      </c>
      <c r="BH221" s="311">
        <v>0</v>
      </c>
      <c r="BI221" s="312">
        <v>28.666666666666668</v>
      </c>
      <c r="BJ221" s="313">
        <v>2.8</v>
      </c>
      <c r="BK221" s="313">
        <v>7.2</v>
      </c>
      <c r="BL221" s="313">
        <v>9.9</v>
      </c>
      <c r="BM221" s="313">
        <v>8.4</v>
      </c>
      <c r="BN221" s="313">
        <v>2.5</v>
      </c>
      <c r="BO221" s="313">
        <v>3</v>
      </c>
      <c r="BP221" s="313">
        <v>4.8</v>
      </c>
      <c r="BQ221" s="313">
        <v>9</v>
      </c>
      <c r="BR221" s="313">
        <v>12.2</v>
      </c>
      <c r="BS221" s="313">
        <v>2.8</v>
      </c>
      <c r="BT221" s="313">
        <v>3.4</v>
      </c>
      <c r="BU221" s="313">
        <v>8.5</v>
      </c>
      <c r="BV221" s="313">
        <v>6.7</v>
      </c>
      <c r="BW221" s="313">
        <v>4.5999999999999996</v>
      </c>
      <c r="BX221" s="313">
        <v>5.4</v>
      </c>
      <c r="BY221" s="313">
        <v>4.9000000000000004</v>
      </c>
      <c r="BZ221" s="313">
        <v>1.6</v>
      </c>
      <c r="CA221" s="313">
        <v>2.2999999999999998</v>
      </c>
      <c r="CB221" s="313">
        <v>19.899999999999999</v>
      </c>
      <c r="CC221" s="313">
        <v>61.3</v>
      </c>
      <c r="CD221" s="313">
        <v>18.8</v>
      </c>
    </row>
    <row r="222" spans="1:82" x14ac:dyDescent="0.25">
      <c r="A222" s="130" t="s">
        <v>5073</v>
      </c>
      <c r="B222" s="130" t="s">
        <v>298</v>
      </c>
      <c r="C222" s="130" t="s">
        <v>5074</v>
      </c>
      <c r="D222" s="130" t="s">
        <v>61</v>
      </c>
      <c r="E222" s="130" t="s">
        <v>5067</v>
      </c>
      <c r="F222" s="130" t="s">
        <v>4272</v>
      </c>
      <c r="G222" s="130" t="s">
        <v>5075</v>
      </c>
      <c r="H222" s="309">
        <v>540252</v>
      </c>
      <c r="I222" s="277" t="s">
        <v>1550</v>
      </c>
      <c r="J222" s="130">
        <v>5462332</v>
      </c>
      <c r="K222" s="130" t="s">
        <v>5076</v>
      </c>
      <c r="L222" s="310">
        <v>0.53013527504674451</v>
      </c>
      <c r="M222" s="311">
        <v>472</v>
      </c>
      <c r="N222" s="312">
        <v>890.3387912799833</v>
      </c>
      <c r="O222" s="311">
        <v>168</v>
      </c>
      <c r="P222" s="312">
        <v>2.78</v>
      </c>
      <c r="Q222" s="311">
        <v>467</v>
      </c>
      <c r="R222" s="311">
        <v>8</v>
      </c>
      <c r="S222" s="311">
        <v>21</v>
      </c>
      <c r="T222" s="311">
        <v>3</v>
      </c>
      <c r="U222" s="311">
        <v>4</v>
      </c>
      <c r="V222" s="311">
        <v>11</v>
      </c>
      <c r="W222" s="311">
        <v>10</v>
      </c>
      <c r="X222" s="311">
        <v>8</v>
      </c>
      <c r="Y222" s="311">
        <v>19</v>
      </c>
      <c r="Z222" s="311">
        <v>11</v>
      </c>
      <c r="AA222" s="311">
        <v>3</v>
      </c>
      <c r="AB222" s="311">
        <v>36</v>
      </c>
      <c r="AC222" s="311">
        <v>17</v>
      </c>
      <c r="AD222" s="311">
        <v>8</v>
      </c>
      <c r="AE222" s="311">
        <v>9</v>
      </c>
      <c r="AF222" s="311">
        <v>0</v>
      </c>
      <c r="AG222" s="311">
        <v>0</v>
      </c>
      <c r="AH222" s="312">
        <v>19.047619047619047</v>
      </c>
      <c r="AI222" s="312">
        <v>8.9285714285714288</v>
      </c>
      <c r="AJ222" s="312">
        <v>28.571428571428569</v>
      </c>
      <c r="AK222" s="312">
        <v>1.7857142857142856</v>
      </c>
      <c r="AL222" s="312">
        <v>41.666666666666671</v>
      </c>
      <c r="AM222" s="311">
        <v>18406</v>
      </c>
      <c r="AN222" s="311">
        <v>45000</v>
      </c>
      <c r="AO222" s="312">
        <v>50</v>
      </c>
      <c r="AP222" s="311">
        <v>168</v>
      </c>
      <c r="AQ222" s="311">
        <v>105</v>
      </c>
      <c r="AR222" s="311">
        <v>107</v>
      </c>
      <c r="AS222" s="311">
        <v>61</v>
      </c>
      <c r="AT222" s="311">
        <v>6</v>
      </c>
      <c r="AU222" s="311">
        <v>11</v>
      </c>
      <c r="AV222" s="311">
        <v>15</v>
      </c>
      <c r="AW222" s="311">
        <v>10</v>
      </c>
      <c r="AX222" s="311">
        <v>11</v>
      </c>
      <c r="AY222" s="311">
        <v>4</v>
      </c>
      <c r="AZ222" s="311">
        <v>24</v>
      </c>
      <c r="BA222" s="311">
        <v>14</v>
      </c>
      <c r="BB222" s="311">
        <v>0</v>
      </c>
      <c r="BC222" s="311">
        <v>29</v>
      </c>
      <c r="BD222" s="311">
        <v>10</v>
      </c>
      <c r="BE222" s="311">
        <v>0</v>
      </c>
      <c r="BF222" s="311">
        <v>34</v>
      </c>
      <c r="BG222" s="311">
        <v>0</v>
      </c>
      <c r="BH222" s="311">
        <v>0</v>
      </c>
      <c r="BI222" s="312">
        <v>11.30952380952381</v>
      </c>
      <c r="BJ222" s="313">
        <v>8.3000000000000007</v>
      </c>
      <c r="BK222" s="313">
        <v>18</v>
      </c>
      <c r="BL222" s="313">
        <v>2.8</v>
      </c>
      <c r="BM222" s="313">
        <v>2.5</v>
      </c>
      <c r="BN222" s="313">
        <v>8.5</v>
      </c>
      <c r="BO222" s="313">
        <v>4.7</v>
      </c>
      <c r="BP222" s="313">
        <v>8.3000000000000007</v>
      </c>
      <c r="BQ222" s="313">
        <v>6.8</v>
      </c>
      <c r="BR222" s="313">
        <v>3.4</v>
      </c>
      <c r="BS222" s="313">
        <v>10.8</v>
      </c>
      <c r="BT222" s="313">
        <v>2.1</v>
      </c>
      <c r="BU222" s="313">
        <v>8.1</v>
      </c>
      <c r="BV222" s="313">
        <v>2.5</v>
      </c>
      <c r="BW222" s="313">
        <v>7</v>
      </c>
      <c r="BX222" s="313">
        <v>2.5</v>
      </c>
      <c r="BY222" s="313">
        <v>0.6</v>
      </c>
      <c r="BZ222" s="313">
        <v>1.7</v>
      </c>
      <c r="CA222" s="313">
        <v>1.5</v>
      </c>
      <c r="CB222" s="313">
        <v>29.1</v>
      </c>
      <c r="CC222" s="313">
        <v>57.7</v>
      </c>
      <c r="CD222" s="313">
        <v>13.299999999999999</v>
      </c>
    </row>
    <row r="223" spans="1:82" s="322" customFormat="1" x14ac:dyDescent="0.25">
      <c r="A223" s="314" t="s">
        <v>5077</v>
      </c>
      <c r="B223" s="315" t="s">
        <v>348</v>
      </c>
      <c r="C223" s="314"/>
      <c r="D223" s="314"/>
      <c r="E223" s="314"/>
      <c r="F223" s="314"/>
      <c r="G223" s="314"/>
      <c r="H223" s="316"/>
      <c r="I223" s="317"/>
      <c r="J223" s="314">
        <v>54065</v>
      </c>
      <c r="K223" s="314" t="s">
        <v>5078</v>
      </c>
      <c r="L223" s="318">
        <v>229.89969218044934</v>
      </c>
      <c r="M223" s="319">
        <v>17510</v>
      </c>
      <c r="N223" s="320">
        <v>76.163651346937513</v>
      </c>
      <c r="O223" s="319">
        <v>7118</v>
      </c>
      <c r="P223" s="320">
        <v>2.44</v>
      </c>
      <c r="Q223" s="319">
        <v>17378</v>
      </c>
      <c r="R223" s="319">
        <v>589</v>
      </c>
      <c r="S223" s="319">
        <v>199</v>
      </c>
      <c r="T223" s="319">
        <v>258</v>
      </c>
      <c r="U223" s="319">
        <v>665</v>
      </c>
      <c r="V223" s="319">
        <v>512</v>
      </c>
      <c r="W223" s="319">
        <v>586</v>
      </c>
      <c r="X223" s="319">
        <v>320</v>
      </c>
      <c r="Y223" s="319">
        <v>268</v>
      </c>
      <c r="Z223" s="319">
        <v>548</v>
      </c>
      <c r="AA223" s="319">
        <v>436</v>
      </c>
      <c r="AB223" s="319">
        <v>837</v>
      </c>
      <c r="AC223" s="319">
        <v>826</v>
      </c>
      <c r="AD223" s="319">
        <v>571</v>
      </c>
      <c r="AE223" s="319">
        <v>222</v>
      </c>
      <c r="AF223" s="319">
        <v>185</v>
      </c>
      <c r="AG223" s="319">
        <v>96</v>
      </c>
      <c r="AH223" s="320">
        <v>14.695139084012363</v>
      </c>
      <c r="AI223" s="320">
        <v>16.535543692048329</v>
      </c>
      <c r="AJ223" s="320">
        <v>24.192188817083451</v>
      </c>
      <c r="AK223" s="320">
        <v>6.1253161000280976</v>
      </c>
      <c r="AL223" s="320">
        <v>38.451812306827762</v>
      </c>
      <c r="AM223" s="319">
        <v>24026</v>
      </c>
      <c r="AN223" s="319">
        <v>46346</v>
      </c>
      <c r="AO223" s="320">
        <v>47.724079797695985</v>
      </c>
      <c r="AP223" s="319">
        <v>7118</v>
      </c>
      <c r="AQ223" s="319">
        <v>2783</v>
      </c>
      <c r="AR223" s="319">
        <v>5776</v>
      </c>
      <c r="AS223" s="319">
        <v>1342</v>
      </c>
      <c r="AT223" s="319">
        <v>115</v>
      </c>
      <c r="AU223" s="319">
        <v>145</v>
      </c>
      <c r="AV223" s="319">
        <v>601</v>
      </c>
      <c r="AW223" s="319">
        <v>543</v>
      </c>
      <c r="AX223" s="319">
        <v>325</v>
      </c>
      <c r="AY223" s="319">
        <v>828</v>
      </c>
      <c r="AZ223" s="319">
        <v>539</v>
      </c>
      <c r="BA223" s="319">
        <v>230</v>
      </c>
      <c r="BB223" s="319">
        <v>334</v>
      </c>
      <c r="BC223" s="319">
        <v>768</v>
      </c>
      <c r="BD223" s="319">
        <v>404</v>
      </c>
      <c r="BE223" s="319">
        <v>74</v>
      </c>
      <c r="BF223" s="319">
        <v>1586</v>
      </c>
      <c r="BG223" s="319">
        <v>256</v>
      </c>
      <c r="BH223" s="319">
        <v>44</v>
      </c>
      <c r="BI223" s="320">
        <v>26.42596234897443</v>
      </c>
      <c r="BJ223" s="321">
        <v>4.5</v>
      </c>
      <c r="BK223" s="321">
        <v>5.3</v>
      </c>
      <c r="BL223" s="321">
        <v>5.5</v>
      </c>
      <c r="BM223" s="321">
        <v>6</v>
      </c>
      <c r="BN223" s="321">
        <v>4.7</v>
      </c>
      <c r="BO223" s="321">
        <v>5</v>
      </c>
      <c r="BP223" s="321">
        <v>4.5</v>
      </c>
      <c r="BQ223" s="321">
        <v>5.8</v>
      </c>
      <c r="BR223" s="321">
        <v>5.6</v>
      </c>
      <c r="BS223" s="321">
        <v>7.2</v>
      </c>
      <c r="BT223" s="321">
        <v>8.3000000000000007</v>
      </c>
      <c r="BU223" s="321">
        <v>8.4</v>
      </c>
      <c r="BV223" s="321">
        <v>8</v>
      </c>
      <c r="BW223" s="321">
        <v>8.1999999999999993</v>
      </c>
      <c r="BX223" s="321">
        <v>4.5999999999999996</v>
      </c>
      <c r="BY223" s="321">
        <v>4.0999999999999996</v>
      </c>
      <c r="BZ223" s="321">
        <v>3.2</v>
      </c>
      <c r="CA223" s="321">
        <v>1.2</v>
      </c>
      <c r="CB223" s="321">
        <v>15.3</v>
      </c>
      <c r="CC223" s="321">
        <v>63.500000000000007</v>
      </c>
      <c r="CD223" s="321">
        <v>21.299999999999997</v>
      </c>
    </row>
    <row r="224" spans="1:82" s="308" customFormat="1" x14ac:dyDescent="0.25">
      <c r="A224" s="301" t="s">
        <v>5079</v>
      </c>
      <c r="B224" s="301" t="s">
        <v>62</v>
      </c>
      <c r="C224" s="301" t="s">
        <v>5080</v>
      </c>
      <c r="D224" s="301" t="s">
        <v>63</v>
      </c>
      <c r="E224" s="301" t="s">
        <v>5081</v>
      </c>
      <c r="F224" s="301" t="s">
        <v>4272</v>
      </c>
      <c r="G224" s="301" t="s">
        <v>5082</v>
      </c>
      <c r="H224" s="302">
        <v>540146</v>
      </c>
      <c r="I224" s="303" t="s">
        <v>1551</v>
      </c>
      <c r="J224" s="301" t="s">
        <v>488</v>
      </c>
      <c r="K224" s="301" t="s">
        <v>488</v>
      </c>
      <c r="L224" s="304">
        <v>647.69418678560328</v>
      </c>
      <c r="M224" s="305">
        <v>20064</v>
      </c>
      <c r="N224" s="306">
        <v>30.977582336463815</v>
      </c>
      <c r="O224" s="305">
        <v>8029</v>
      </c>
      <c r="P224" s="306">
        <v>2.4976958525345623</v>
      </c>
      <c r="Q224" s="305">
        <v>20054</v>
      </c>
      <c r="R224" s="305">
        <v>767</v>
      </c>
      <c r="S224" s="305">
        <v>328</v>
      </c>
      <c r="T224" s="305">
        <v>452</v>
      </c>
      <c r="U224" s="305">
        <v>874</v>
      </c>
      <c r="V224" s="305">
        <v>405</v>
      </c>
      <c r="W224" s="305">
        <v>543</v>
      </c>
      <c r="X224" s="305">
        <v>632</v>
      </c>
      <c r="Y224" s="305">
        <v>490</v>
      </c>
      <c r="Z224" s="305">
        <v>344</v>
      </c>
      <c r="AA224" s="305">
        <v>793</v>
      </c>
      <c r="AB224" s="305">
        <v>693</v>
      </c>
      <c r="AC224" s="305">
        <v>747</v>
      </c>
      <c r="AD224" s="305">
        <v>472</v>
      </c>
      <c r="AE224" s="305">
        <v>123</v>
      </c>
      <c r="AF224" s="305">
        <v>185</v>
      </c>
      <c r="AG224" s="305">
        <v>181</v>
      </c>
      <c r="AH224" s="306">
        <v>19.267654751525718</v>
      </c>
      <c r="AI224" s="306">
        <v>15.929754639432058</v>
      </c>
      <c r="AJ224" s="306">
        <v>25.021795989537924</v>
      </c>
      <c r="AK224" s="306">
        <v>9.8766969734711676</v>
      </c>
      <c r="AL224" s="306">
        <v>29.904097646033129</v>
      </c>
      <c r="AM224" s="305">
        <v>22101</v>
      </c>
      <c r="AN224" s="305">
        <v>39037</v>
      </c>
      <c r="AO224" s="306">
        <v>55.934736579897873</v>
      </c>
      <c r="AP224" s="305">
        <v>8029</v>
      </c>
      <c r="AQ224" s="305">
        <v>2039</v>
      </c>
      <c r="AR224" s="305">
        <v>6589</v>
      </c>
      <c r="AS224" s="305">
        <v>1440</v>
      </c>
      <c r="AT224" s="305">
        <v>169</v>
      </c>
      <c r="AU224" s="305">
        <v>257</v>
      </c>
      <c r="AV224" s="305">
        <v>764</v>
      </c>
      <c r="AW224" s="305">
        <v>1064</v>
      </c>
      <c r="AX224" s="305">
        <v>321</v>
      </c>
      <c r="AY224" s="305">
        <v>279</v>
      </c>
      <c r="AZ224" s="305">
        <v>887</v>
      </c>
      <c r="BA224" s="305">
        <v>403</v>
      </c>
      <c r="BB224" s="305">
        <v>151</v>
      </c>
      <c r="BC224" s="305">
        <v>1183</v>
      </c>
      <c r="BD224" s="305">
        <v>149</v>
      </c>
      <c r="BE224" s="305">
        <v>67</v>
      </c>
      <c r="BF224" s="305">
        <v>1531</v>
      </c>
      <c r="BG224" s="305">
        <v>148</v>
      </c>
      <c r="BH224" s="305">
        <v>0</v>
      </c>
      <c r="BI224" s="306">
        <v>15.705567318470544</v>
      </c>
      <c r="BJ224" s="307">
        <v>5.3</v>
      </c>
      <c r="BK224" s="307">
        <v>5.6</v>
      </c>
      <c r="BL224" s="307">
        <v>6</v>
      </c>
      <c r="BM224" s="307">
        <v>5</v>
      </c>
      <c r="BN224" s="307">
        <v>5.3</v>
      </c>
      <c r="BO224" s="307">
        <v>5.5</v>
      </c>
      <c r="BP224" s="307">
        <v>5.3</v>
      </c>
      <c r="BQ224" s="307">
        <v>6</v>
      </c>
      <c r="BR224" s="307">
        <v>6.2</v>
      </c>
      <c r="BS224" s="307">
        <v>6.5</v>
      </c>
      <c r="BT224" s="307">
        <v>7.1</v>
      </c>
      <c r="BU224" s="307">
        <v>7.2</v>
      </c>
      <c r="BV224" s="307">
        <v>8.5</v>
      </c>
      <c r="BW224" s="307">
        <v>7.6</v>
      </c>
      <c r="BX224" s="307">
        <v>4.7</v>
      </c>
      <c r="BY224" s="307">
        <v>3.6</v>
      </c>
      <c r="BZ224" s="307">
        <v>2.8</v>
      </c>
      <c r="CA224" s="307">
        <v>1.9</v>
      </c>
      <c r="CB224" s="307">
        <v>16.899999999999999</v>
      </c>
      <c r="CC224" s="307">
        <v>62.600000000000009</v>
      </c>
      <c r="CD224" s="307">
        <v>20.599999999999998</v>
      </c>
    </row>
    <row r="225" spans="1:82" x14ac:dyDescent="0.25">
      <c r="A225" s="130" t="s">
        <v>5083</v>
      </c>
      <c r="B225" s="130" t="s">
        <v>225</v>
      </c>
      <c r="C225" s="130" t="s">
        <v>5084</v>
      </c>
      <c r="D225" s="130" t="s">
        <v>63</v>
      </c>
      <c r="E225" s="130" t="s">
        <v>5081</v>
      </c>
      <c r="F225" s="130" t="s">
        <v>4272</v>
      </c>
      <c r="G225" s="130" t="s">
        <v>5085</v>
      </c>
      <c r="H225" s="309">
        <v>540147</v>
      </c>
      <c r="I225" s="277" t="s">
        <v>1552</v>
      </c>
      <c r="J225" s="130">
        <v>5468116</v>
      </c>
      <c r="K225" s="130" t="s">
        <v>5086</v>
      </c>
      <c r="L225" s="310">
        <v>1.6673646795167474</v>
      </c>
      <c r="M225" s="311">
        <v>1999</v>
      </c>
      <c r="N225" s="312">
        <v>1198.897892319136</v>
      </c>
      <c r="O225" s="311">
        <v>884</v>
      </c>
      <c r="P225" s="312">
        <v>2.16</v>
      </c>
      <c r="Q225" s="311">
        <v>1908</v>
      </c>
      <c r="R225" s="311">
        <v>82</v>
      </c>
      <c r="S225" s="311">
        <v>93</v>
      </c>
      <c r="T225" s="311">
        <v>102</v>
      </c>
      <c r="U225" s="311">
        <v>67</v>
      </c>
      <c r="V225" s="311">
        <v>128</v>
      </c>
      <c r="W225" s="311">
        <v>56</v>
      </c>
      <c r="X225" s="311">
        <v>67</v>
      </c>
      <c r="Y225" s="311">
        <v>101</v>
      </c>
      <c r="Z225" s="311">
        <v>16</v>
      </c>
      <c r="AA225" s="311">
        <v>58</v>
      </c>
      <c r="AB225" s="311">
        <v>34</v>
      </c>
      <c r="AC225" s="311">
        <v>48</v>
      </c>
      <c r="AD225" s="311">
        <v>19</v>
      </c>
      <c r="AE225" s="311">
        <v>13</v>
      </c>
      <c r="AF225" s="311">
        <v>0</v>
      </c>
      <c r="AG225" s="311">
        <v>0</v>
      </c>
      <c r="AH225" s="312">
        <v>31.334841628959275</v>
      </c>
      <c r="AI225" s="312">
        <v>22.058823529411764</v>
      </c>
      <c r="AJ225" s="312">
        <v>27.149321266968325</v>
      </c>
      <c r="AK225" s="312">
        <v>6.5610859728506794</v>
      </c>
      <c r="AL225" s="312">
        <v>12.895927601809957</v>
      </c>
      <c r="AM225" s="311">
        <v>15866</v>
      </c>
      <c r="AN225" s="311">
        <v>27311</v>
      </c>
      <c r="AO225" s="312">
        <v>78.733031674208149</v>
      </c>
      <c r="AP225" s="311">
        <v>884</v>
      </c>
      <c r="AQ225" s="311">
        <v>357</v>
      </c>
      <c r="AR225" s="311">
        <v>603</v>
      </c>
      <c r="AS225" s="311">
        <v>281</v>
      </c>
      <c r="AT225" s="311">
        <v>54</v>
      </c>
      <c r="AU225" s="311">
        <v>61</v>
      </c>
      <c r="AV225" s="311">
        <v>151</v>
      </c>
      <c r="AW225" s="311">
        <v>119</v>
      </c>
      <c r="AX225" s="311">
        <v>35</v>
      </c>
      <c r="AY225" s="311">
        <v>79</v>
      </c>
      <c r="AZ225" s="311">
        <v>169</v>
      </c>
      <c r="BA225" s="311">
        <v>10</v>
      </c>
      <c r="BB225" s="311">
        <v>0</v>
      </c>
      <c r="BC225" s="311">
        <v>71</v>
      </c>
      <c r="BD225" s="311">
        <v>16</v>
      </c>
      <c r="BE225" s="311">
        <v>0</v>
      </c>
      <c r="BF225" s="311">
        <v>80</v>
      </c>
      <c r="BG225" s="311">
        <v>0</v>
      </c>
      <c r="BH225" s="311">
        <v>0</v>
      </c>
      <c r="BI225" s="312">
        <v>26.018099547511316</v>
      </c>
      <c r="BJ225" s="313">
        <v>6.7</v>
      </c>
      <c r="BK225" s="313">
        <v>2.2999999999999998</v>
      </c>
      <c r="BL225" s="313">
        <v>7.6</v>
      </c>
      <c r="BM225" s="313">
        <v>2.4</v>
      </c>
      <c r="BN225" s="313">
        <v>7.9</v>
      </c>
      <c r="BO225" s="313">
        <v>2.7</v>
      </c>
      <c r="BP225" s="313">
        <v>4.2</v>
      </c>
      <c r="BQ225" s="313">
        <v>4.0999999999999996</v>
      </c>
      <c r="BR225" s="313">
        <v>4.4000000000000004</v>
      </c>
      <c r="BS225" s="313">
        <v>4.2</v>
      </c>
      <c r="BT225" s="313">
        <v>4.8</v>
      </c>
      <c r="BU225" s="313">
        <v>8.4</v>
      </c>
      <c r="BV225" s="313">
        <v>14.1</v>
      </c>
      <c r="BW225" s="313">
        <v>6.7</v>
      </c>
      <c r="BX225" s="313">
        <v>4.7</v>
      </c>
      <c r="BY225" s="313">
        <v>5.5</v>
      </c>
      <c r="BZ225" s="313">
        <v>5.6</v>
      </c>
      <c r="CA225" s="313">
        <v>4.2</v>
      </c>
      <c r="CB225" s="313">
        <v>16.600000000000001</v>
      </c>
      <c r="CC225" s="313">
        <v>57.199999999999996</v>
      </c>
      <c r="CD225" s="313">
        <v>26.7</v>
      </c>
    </row>
    <row r="226" spans="1:82" x14ac:dyDescent="0.25">
      <c r="A226" s="130" t="s">
        <v>5087</v>
      </c>
      <c r="B226" s="130" t="s">
        <v>226</v>
      </c>
      <c r="C226" s="130" t="s">
        <v>5088</v>
      </c>
      <c r="D226" s="130" t="s">
        <v>63</v>
      </c>
      <c r="E226" s="130" t="s">
        <v>5081</v>
      </c>
      <c r="F226" s="130" t="s">
        <v>4272</v>
      </c>
      <c r="G226" s="130" t="s">
        <v>5089</v>
      </c>
      <c r="H226" s="309">
        <v>540148</v>
      </c>
      <c r="I226" s="277" t="s">
        <v>1553</v>
      </c>
      <c r="J226" s="130">
        <v>5477980</v>
      </c>
      <c r="K226" s="130" t="s">
        <v>5090</v>
      </c>
      <c r="L226" s="310">
        <v>4.5260168728898309</v>
      </c>
      <c r="M226" s="311">
        <v>3433</v>
      </c>
      <c r="N226" s="312">
        <v>758.50357972882523</v>
      </c>
      <c r="O226" s="311">
        <v>1758</v>
      </c>
      <c r="P226" s="312">
        <v>1.93</v>
      </c>
      <c r="Q226" s="311">
        <v>3386</v>
      </c>
      <c r="R226" s="311">
        <v>255</v>
      </c>
      <c r="S226" s="311">
        <v>205</v>
      </c>
      <c r="T226" s="311">
        <v>115</v>
      </c>
      <c r="U226" s="311">
        <v>99</v>
      </c>
      <c r="V226" s="311">
        <v>162</v>
      </c>
      <c r="W226" s="311">
        <v>50</v>
      </c>
      <c r="X226" s="311">
        <v>35</v>
      </c>
      <c r="Y226" s="311">
        <v>16</v>
      </c>
      <c r="Z226" s="311">
        <v>60</v>
      </c>
      <c r="AA226" s="311">
        <v>64</v>
      </c>
      <c r="AB226" s="311">
        <v>206</v>
      </c>
      <c r="AC226" s="311">
        <v>155</v>
      </c>
      <c r="AD226" s="311">
        <v>115</v>
      </c>
      <c r="AE226" s="311">
        <v>67</v>
      </c>
      <c r="AF226" s="311">
        <v>103</v>
      </c>
      <c r="AG226" s="311">
        <v>51</v>
      </c>
      <c r="AH226" s="312">
        <v>32.707622298065985</v>
      </c>
      <c r="AI226" s="312">
        <v>14.846416382252558</v>
      </c>
      <c r="AJ226" s="312">
        <v>9.1581342434584752</v>
      </c>
      <c r="AK226" s="312">
        <v>3.6405005688282137</v>
      </c>
      <c r="AL226" s="312">
        <v>39.647326507394766</v>
      </c>
      <c r="AM226" s="311">
        <v>29334</v>
      </c>
      <c r="AN226" s="311">
        <v>34417</v>
      </c>
      <c r="AO226" s="312">
        <v>53.299203640500572</v>
      </c>
      <c r="AP226" s="311">
        <v>1758</v>
      </c>
      <c r="AQ226" s="311">
        <v>76</v>
      </c>
      <c r="AR226" s="311">
        <v>1282</v>
      </c>
      <c r="AS226" s="311">
        <v>476</v>
      </c>
      <c r="AT226" s="311">
        <v>52</v>
      </c>
      <c r="AU226" s="311">
        <v>195</v>
      </c>
      <c r="AV226" s="311">
        <v>252</v>
      </c>
      <c r="AW226" s="311">
        <v>114</v>
      </c>
      <c r="AX226" s="311">
        <v>132</v>
      </c>
      <c r="AY226" s="311">
        <v>49</v>
      </c>
      <c r="AZ226" s="311">
        <v>66</v>
      </c>
      <c r="BA226" s="311">
        <v>17</v>
      </c>
      <c r="BB226" s="311">
        <v>16</v>
      </c>
      <c r="BC226" s="311">
        <v>153</v>
      </c>
      <c r="BD226" s="311">
        <v>101</v>
      </c>
      <c r="BE226" s="311">
        <v>16</v>
      </c>
      <c r="BF226" s="311">
        <v>458</v>
      </c>
      <c r="BG226" s="311">
        <v>33</v>
      </c>
      <c r="BH226" s="311">
        <v>0</v>
      </c>
      <c r="BI226" s="312">
        <v>18.941979522184297</v>
      </c>
      <c r="BJ226" s="313">
        <v>1.7</v>
      </c>
      <c r="BK226" s="313">
        <v>1.6</v>
      </c>
      <c r="BL226" s="313">
        <v>2.2999999999999998</v>
      </c>
      <c r="BM226" s="313">
        <v>6.5</v>
      </c>
      <c r="BN226" s="313">
        <v>6</v>
      </c>
      <c r="BO226" s="313">
        <v>5.9</v>
      </c>
      <c r="BP226" s="313">
        <v>5.4</v>
      </c>
      <c r="BQ226" s="313">
        <v>5.6</v>
      </c>
      <c r="BR226" s="313">
        <v>5.5</v>
      </c>
      <c r="BS226" s="313">
        <v>8.1999999999999993</v>
      </c>
      <c r="BT226" s="313">
        <v>6.3</v>
      </c>
      <c r="BU226" s="313">
        <v>9.4</v>
      </c>
      <c r="BV226" s="313">
        <v>12.4</v>
      </c>
      <c r="BW226" s="313">
        <v>9.1</v>
      </c>
      <c r="BX226" s="313">
        <v>2</v>
      </c>
      <c r="BY226" s="313">
        <v>3.8</v>
      </c>
      <c r="BZ226" s="313">
        <v>4.7</v>
      </c>
      <c r="CA226" s="313">
        <v>3.7</v>
      </c>
      <c r="CB226" s="313">
        <v>5.6</v>
      </c>
      <c r="CC226" s="313">
        <v>71.199999999999989</v>
      </c>
      <c r="CD226" s="313">
        <v>23.299999999999997</v>
      </c>
    </row>
    <row r="227" spans="1:82" s="322" customFormat="1" x14ac:dyDescent="0.25">
      <c r="A227" s="314" t="s">
        <v>5091</v>
      </c>
      <c r="B227" s="315" t="s">
        <v>348</v>
      </c>
      <c r="C227" s="314"/>
      <c r="D227" s="314"/>
      <c r="E227" s="314"/>
      <c r="F227" s="314"/>
      <c r="G227" s="314"/>
      <c r="H227" s="316"/>
      <c r="I227" s="317"/>
      <c r="J227" s="314">
        <v>54067</v>
      </c>
      <c r="K227" s="314" t="s">
        <v>5092</v>
      </c>
      <c r="L227" s="318">
        <v>653.88756833800983</v>
      </c>
      <c r="M227" s="319">
        <v>25496</v>
      </c>
      <c r="N227" s="320">
        <v>38.991412644230785</v>
      </c>
      <c r="O227" s="319">
        <v>10671</v>
      </c>
      <c r="P227" s="320">
        <v>2.38</v>
      </c>
      <c r="Q227" s="319">
        <v>25348</v>
      </c>
      <c r="R227" s="319">
        <v>1104</v>
      </c>
      <c r="S227" s="319">
        <v>626</v>
      </c>
      <c r="T227" s="319">
        <v>669</v>
      </c>
      <c r="U227" s="319">
        <v>1040</v>
      </c>
      <c r="V227" s="319">
        <v>695</v>
      </c>
      <c r="W227" s="319">
        <v>649</v>
      </c>
      <c r="X227" s="319">
        <v>734</v>
      </c>
      <c r="Y227" s="319">
        <v>607</v>
      </c>
      <c r="Z227" s="319">
        <v>420</v>
      </c>
      <c r="AA227" s="319">
        <v>915</v>
      </c>
      <c r="AB227" s="319">
        <v>933</v>
      </c>
      <c r="AC227" s="319">
        <v>950</v>
      </c>
      <c r="AD227" s="319">
        <v>606</v>
      </c>
      <c r="AE227" s="319">
        <v>203</v>
      </c>
      <c r="AF227" s="319">
        <v>288</v>
      </c>
      <c r="AG227" s="319">
        <v>232</v>
      </c>
      <c r="AH227" s="320">
        <v>22.481491893918097</v>
      </c>
      <c r="AI227" s="320">
        <v>16.259019773217133</v>
      </c>
      <c r="AJ227" s="320">
        <v>22.58457501639959</v>
      </c>
      <c r="AK227" s="320">
        <v>8.5746415518695525</v>
      </c>
      <c r="AL227" s="320">
        <v>30.100271764595632</v>
      </c>
      <c r="AM227" s="319">
        <v>22101</v>
      </c>
      <c r="AN227" s="319">
        <v>39037</v>
      </c>
      <c r="AO227" s="320">
        <v>57.389185643332397</v>
      </c>
      <c r="AP227" s="319">
        <v>10671</v>
      </c>
      <c r="AQ227" s="319">
        <v>2472</v>
      </c>
      <c r="AR227" s="319">
        <v>8474</v>
      </c>
      <c r="AS227" s="319">
        <v>2197</v>
      </c>
      <c r="AT227" s="319">
        <v>275</v>
      </c>
      <c r="AU227" s="319">
        <v>513</v>
      </c>
      <c r="AV227" s="319">
        <v>1167</v>
      </c>
      <c r="AW227" s="319">
        <v>1297</v>
      </c>
      <c r="AX227" s="319">
        <v>488</v>
      </c>
      <c r="AY227" s="319">
        <v>407</v>
      </c>
      <c r="AZ227" s="319">
        <v>1122</v>
      </c>
      <c r="BA227" s="319">
        <v>430</v>
      </c>
      <c r="BB227" s="319">
        <v>167</v>
      </c>
      <c r="BC227" s="319">
        <v>1407</v>
      </c>
      <c r="BD227" s="319">
        <v>266</v>
      </c>
      <c r="BE227" s="319">
        <v>83</v>
      </c>
      <c r="BF227" s="319">
        <v>2069</v>
      </c>
      <c r="BG227" s="319">
        <v>181</v>
      </c>
      <c r="BH227" s="319">
        <v>0</v>
      </c>
      <c r="BI227" s="320">
        <v>17.093055946021927</v>
      </c>
      <c r="BJ227" s="321">
        <v>5.3</v>
      </c>
      <c r="BK227" s="321">
        <v>5.6</v>
      </c>
      <c r="BL227" s="321">
        <v>6</v>
      </c>
      <c r="BM227" s="321">
        <v>5</v>
      </c>
      <c r="BN227" s="321">
        <v>5.3</v>
      </c>
      <c r="BO227" s="321">
        <v>5.5</v>
      </c>
      <c r="BP227" s="321">
        <v>5.3</v>
      </c>
      <c r="BQ227" s="321">
        <v>6</v>
      </c>
      <c r="BR227" s="321">
        <v>6.2</v>
      </c>
      <c r="BS227" s="321">
        <v>6.5</v>
      </c>
      <c r="BT227" s="321">
        <v>7.1</v>
      </c>
      <c r="BU227" s="321">
        <v>7.2</v>
      </c>
      <c r="BV227" s="321">
        <v>8.5</v>
      </c>
      <c r="BW227" s="321">
        <v>7.6</v>
      </c>
      <c r="BX227" s="321">
        <v>4.7</v>
      </c>
      <c r="BY227" s="321">
        <v>3.6</v>
      </c>
      <c r="BZ227" s="321">
        <v>2.8</v>
      </c>
      <c r="CA227" s="321">
        <v>1.9</v>
      </c>
      <c r="CB227" s="321">
        <v>16.899999999999999</v>
      </c>
      <c r="CC227" s="321">
        <v>62.600000000000009</v>
      </c>
      <c r="CD227" s="321">
        <v>20.599999999999998</v>
      </c>
    </row>
    <row r="228" spans="1:82" s="308" customFormat="1" x14ac:dyDescent="0.25">
      <c r="A228" s="301" t="s">
        <v>358</v>
      </c>
      <c r="B228" s="301" t="s">
        <v>64</v>
      </c>
      <c r="C228" s="301" t="s">
        <v>5093</v>
      </c>
      <c r="D228" s="301" t="s">
        <v>65</v>
      </c>
      <c r="E228" s="301" t="s">
        <v>5094</v>
      </c>
      <c r="F228" s="301" t="s">
        <v>4272</v>
      </c>
      <c r="G228" s="301" t="s">
        <v>5095</v>
      </c>
      <c r="H228" s="302">
        <v>540149</v>
      </c>
      <c r="I228" s="303" t="s">
        <v>1554</v>
      </c>
      <c r="J228" s="301" t="s">
        <v>488</v>
      </c>
      <c r="K228" s="301" t="s">
        <v>488</v>
      </c>
      <c r="L228" s="304">
        <v>87.024228302446801</v>
      </c>
      <c r="M228" s="305">
        <v>9950</v>
      </c>
      <c r="N228" s="306">
        <v>114.33597509672191</v>
      </c>
      <c r="O228" s="305">
        <v>3804</v>
      </c>
      <c r="P228" s="306">
        <v>2.5920084121976865</v>
      </c>
      <c r="Q228" s="305">
        <v>9860</v>
      </c>
      <c r="R228" s="305">
        <v>185</v>
      </c>
      <c r="S228" s="305">
        <v>147</v>
      </c>
      <c r="T228" s="305">
        <v>165</v>
      </c>
      <c r="U228" s="305">
        <v>141</v>
      </c>
      <c r="V228" s="305">
        <v>209</v>
      </c>
      <c r="W228" s="305">
        <v>164</v>
      </c>
      <c r="X228" s="305">
        <v>224</v>
      </c>
      <c r="Y228" s="305">
        <v>300</v>
      </c>
      <c r="Z228" s="305">
        <v>89</v>
      </c>
      <c r="AA228" s="305">
        <v>213</v>
      </c>
      <c r="AB228" s="305">
        <v>342</v>
      </c>
      <c r="AC228" s="305">
        <v>388</v>
      </c>
      <c r="AD228" s="305">
        <v>422</v>
      </c>
      <c r="AE228" s="305">
        <v>301</v>
      </c>
      <c r="AF228" s="305">
        <v>291</v>
      </c>
      <c r="AG228" s="305">
        <v>222</v>
      </c>
      <c r="AH228" s="306">
        <v>13.065194532071503</v>
      </c>
      <c r="AI228" s="306">
        <v>9.2008412197686642</v>
      </c>
      <c r="AJ228" s="306">
        <v>20.425867507886437</v>
      </c>
      <c r="AK228" s="306">
        <v>5.5993690851735014</v>
      </c>
      <c r="AL228" s="306">
        <v>51.682439537329131</v>
      </c>
      <c r="AM228" s="305">
        <v>29769</v>
      </c>
      <c r="AN228" s="305">
        <v>45777</v>
      </c>
      <c r="AO228" s="306">
        <v>40.352260778128283</v>
      </c>
      <c r="AP228" s="305">
        <v>3804</v>
      </c>
      <c r="AQ228" s="305">
        <v>500</v>
      </c>
      <c r="AR228" s="305">
        <v>3297</v>
      </c>
      <c r="AS228" s="305">
        <v>507</v>
      </c>
      <c r="AT228" s="305">
        <v>65</v>
      </c>
      <c r="AU228" s="305">
        <v>92</v>
      </c>
      <c r="AV228" s="305">
        <v>321</v>
      </c>
      <c r="AW228" s="305">
        <v>214</v>
      </c>
      <c r="AX228" s="305">
        <v>118</v>
      </c>
      <c r="AY228" s="305">
        <v>172</v>
      </c>
      <c r="AZ228" s="305">
        <v>429</v>
      </c>
      <c r="BA228" s="305">
        <v>108</v>
      </c>
      <c r="BB228" s="305">
        <v>75</v>
      </c>
      <c r="BC228" s="305">
        <v>456</v>
      </c>
      <c r="BD228" s="305">
        <v>58</v>
      </c>
      <c r="BE228" s="305">
        <v>1</v>
      </c>
      <c r="BF228" s="305">
        <v>1437</v>
      </c>
      <c r="BG228" s="305">
        <v>106</v>
      </c>
      <c r="BH228" s="305">
        <v>25</v>
      </c>
      <c r="BI228" s="306">
        <v>15.615141955835963</v>
      </c>
      <c r="BJ228" s="307">
        <v>5.2</v>
      </c>
      <c r="BK228" s="307">
        <v>5.2</v>
      </c>
      <c r="BL228" s="307">
        <v>5.3</v>
      </c>
      <c r="BM228" s="307">
        <v>7</v>
      </c>
      <c r="BN228" s="307">
        <v>7</v>
      </c>
      <c r="BO228" s="307">
        <v>5.6</v>
      </c>
      <c r="BP228" s="307">
        <v>5.4</v>
      </c>
      <c r="BQ228" s="307">
        <v>5.7</v>
      </c>
      <c r="BR228" s="307">
        <v>5.4</v>
      </c>
      <c r="BS228" s="307">
        <v>5.8</v>
      </c>
      <c r="BT228" s="307">
        <v>6.6</v>
      </c>
      <c r="BU228" s="307">
        <v>7.7</v>
      </c>
      <c r="BV228" s="307">
        <v>7.9</v>
      </c>
      <c r="BW228" s="307">
        <v>6.5</v>
      </c>
      <c r="BX228" s="307">
        <v>4.3</v>
      </c>
      <c r="BY228" s="307">
        <v>3.6</v>
      </c>
      <c r="BZ228" s="307">
        <v>2.8</v>
      </c>
      <c r="CA228" s="307">
        <v>3.1</v>
      </c>
      <c r="CB228" s="307">
        <v>15.7</v>
      </c>
      <c r="CC228" s="307">
        <v>64.100000000000009</v>
      </c>
      <c r="CD228" s="307">
        <v>20.3</v>
      </c>
    </row>
    <row r="229" spans="1:82" x14ac:dyDescent="0.25">
      <c r="A229" s="130" t="s">
        <v>5096</v>
      </c>
      <c r="B229" s="130" t="s">
        <v>318</v>
      </c>
      <c r="C229" s="130" t="s">
        <v>5097</v>
      </c>
      <c r="D229" s="130" t="s">
        <v>65</v>
      </c>
      <c r="E229" s="130" t="s">
        <v>5094</v>
      </c>
      <c r="F229" s="130" t="s">
        <v>4272</v>
      </c>
      <c r="G229" s="130" t="s">
        <v>5098</v>
      </c>
      <c r="H229" s="309">
        <v>540275</v>
      </c>
      <c r="I229" s="277" t="s">
        <v>1559</v>
      </c>
      <c r="J229" s="130">
        <v>5406940</v>
      </c>
      <c r="K229" s="130" t="s">
        <v>5099</v>
      </c>
      <c r="L229" s="310">
        <v>3.5426706411873798</v>
      </c>
      <c r="M229" s="311">
        <v>2459</v>
      </c>
      <c r="N229" s="312">
        <v>694.10911966002823</v>
      </c>
      <c r="O229" s="311">
        <v>1034</v>
      </c>
      <c r="P229" s="312">
        <v>2.38</v>
      </c>
      <c r="Q229" s="311">
        <v>2459</v>
      </c>
      <c r="R229" s="311">
        <v>54</v>
      </c>
      <c r="S229" s="311">
        <v>28</v>
      </c>
      <c r="T229" s="311">
        <v>47</v>
      </c>
      <c r="U229" s="311">
        <v>38</v>
      </c>
      <c r="V229" s="311">
        <v>36</v>
      </c>
      <c r="W229" s="311">
        <v>39</v>
      </c>
      <c r="X229" s="311">
        <v>38</v>
      </c>
      <c r="Y229" s="311">
        <v>68</v>
      </c>
      <c r="Z229" s="311">
        <v>26</v>
      </c>
      <c r="AA229" s="311">
        <v>36</v>
      </c>
      <c r="AB229" s="311">
        <v>160</v>
      </c>
      <c r="AC229" s="311">
        <v>157</v>
      </c>
      <c r="AD229" s="311">
        <v>149</v>
      </c>
      <c r="AE229" s="311">
        <v>80</v>
      </c>
      <c r="AF229" s="311">
        <v>63</v>
      </c>
      <c r="AG229" s="311">
        <v>15</v>
      </c>
      <c r="AH229" s="312">
        <v>12.475822050290136</v>
      </c>
      <c r="AI229" s="312">
        <v>7.1566731141199229</v>
      </c>
      <c r="AJ229" s="312">
        <v>16.537717601547389</v>
      </c>
      <c r="AK229" s="312">
        <v>3.4816247582205029</v>
      </c>
      <c r="AL229" s="312">
        <v>60.348162475822051</v>
      </c>
      <c r="AM229" s="311">
        <v>33044</v>
      </c>
      <c r="AN229" s="311">
        <v>70288</v>
      </c>
      <c r="AO229" s="312">
        <v>33.65570599613153</v>
      </c>
      <c r="AP229" s="311">
        <v>1034</v>
      </c>
      <c r="AQ229" s="311">
        <v>62</v>
      </c>
      <c r="AR229" s="311">
        <v>853</v>
      </c>
      <c r="AS229" s="311">
        <v>181</v>
      </c>
      <c r="AT229" s="311">
        <v>34</v>
      </c>
      <c r="AU229" s="311">
        <v>14</v>
      </c>
      <c r="AV229" s="311">
        <v>57</v>
      </c>
      <c r="AW229" s="311">
        <v>24</v>
      </c>
      <c r="AX229" s="311">
        <v>32</v>
      </c>
      <c r="AY229" s="311">
        <v>57</v>
      </c>
      <c r="AZ229" s="311">
        <v>78</v>
      </c>
      <c r="BA229" s="311">
        <v>31</v>
      </c>
      <c r="BB229" s="311">
        <v>23</v>
      </c>
      <c r="BC229" s="311">
        <v>171</v>
      </c>
      <c r="BD229" s="311">
        <v>21</v>
      </c>
      <c r="BE229" s="311">
        <v>4</v>
      </c>
      <c r="BF229" s="311">
        <v>425</v>
      </c>
      <c r="BG229" s="311">
        <v>19</v>
      </c>
      <c r="BH229" s="311">
        <v>0</v>
      </c>
      <c r="BI229" s="312">
        <v>13.636363636363635</v>
      </c>
      <c r="BJ229" s="313">
        <v>5.4</v>
      </c>
      <c r="BK229" s="313">
        <v>4.5</v>
      </c>
      <c r="BL229" s="313">
        <v>4.9000000000000004</v>
      </c>
      <c r="BM229" s="313">
        <v>5.3</v>
      </c>
      <c r="BN229" s="313">
        <v>3.2</v>
      </c>
      <c r="BO229" s="313">
        <v>5</v>
      </c>
      <c r="BP229" s="313">
        <v>8.5</v>
      </c>
      <c r="BQ229" s="313">
        <v>6.2</v>
      </c>
      <c r="BR229" s="313">
        <v>6.7</v>
      </c>
      <c r="BS229" s="313">
        <v>8</v>
      </c>
      <c r="BT229" s="313">
        <v>5.2</v>
      </c>
      <c r="BU229" s="313">
        <v>11.7</v>
      </c>
      <c r="BV229" s="313">
        <v>5.6</v>
      </c>
      <c r="BW229" s="313">
        <v>6.1</v>
      </c>
      <c r="BX229" s="313">
        <v>4.5</v>
      </c>
      <c r="BY229" s="313">
        <v>2.4</v>
      </c>
      <c r="BZ229" s="313">
        <v>2.7</v>
      </c>
      <c r="CA229" s="313">
        <v>4.0999999999999996</v>
      </c>
      <c r="CB229" s="313">
        <v>14.8</v>
      </c>
      <c r="CC229" s="313">
        <v>65.399999999999991</v>
      </c>
      <c r="CD229" s="313">
        <v>19.799999999999997</v>
      </c>
    </row>
    <row r="230" spans="1:82" x14ac:dyDescent="0.25">
      <c r="A230" s="130" t="s">
        <v>5100</v>
      </c>
      <c r="B230" s="130" t="s">
        <v>5101</v>
      </c>
      <c r="C230" s="130" t="s">
        <v>5102</v>
      </c>
      <c r="D230" s="130" t="s">
        <v>65</v>
      </c>
      <c r="E230" s="130" t="s">
        <v>5094</v>
      </c>
      <c r="F230" s="130" t="s">
        <v>4272</v>
      </c>
      <c r="G230" s="130" t="s">
        <v>5103</v>
      </c>
      <c r="H230" s="309">
        <v>540080</v>
      </c>
      <c r="I230" s="277" t="s">
        <v>1555</v>
      </c>
      <c r="J230" s="130">
        <v>5415916</v>
      </c>
      <c r="K230" s="130" t="s">
        <v>5104</v>
      </c>
      <c r="L230" s="310">
        <v>0.40444391125880724</v>
      </c>
      <c r="M230" s="311">
        <v>560</v>
      </c>
      <c r="N230" s="312">
        <v>1384.6172099785947</v>
      </c>
      <c r="O230" s="311">
        <v>196</v>
      </c>
      <c r="P230" s="312">
        <v>2.86</v>
      </c>
      <c r="Q230" s="311">
        <v>560</v>
      </c>
      <c r="R230" s="311">
        <v>4</v>
      </c>
      <c r="S230" s="311">
        <v>2</v>
      </c>
      <c r="T230" s="311">
        <v>2</v>
      </c>
      <c r="U230" s="311">
        <v>13</v>
      </c>
      <c r="V230" s="311">
        <v>10</v>
      </c>
      <c r="W230" s="311">
        <v>5</v>
      </c>
      <c r="X230" s="311">
        <v>6</v>
      </c>
      <c r="Y230" s="311">
        <v>14</v>
      </c>
      <c r="Z230" s="311">
        <v>0</v>
      </c>
      <c r="AA230" s="311">
        <v>18</v>
      </c>
      <c r="AB230" s="311">
        <v>29</v>
      </c>
      <c r="AC230" s="311">
        <v>40</v>
      </c>
      <c r="AD230" s="311">
        <v>23</v>
      </c>
      <c r="AE230" s="311">
        <v>11</v>
      </c>
      <c r="AF230" s="311">
        <v>13</v>
      </c>
      <c r="AG230" s="311">
        <v>6</v>
      </c>
      <c r="AH230" s="312">
        <v>4.0816326530612246</v>
      </c>
      <c r="AI230" s="312">
        <v>11.73469387755102</v>
      </c>
      <c r="AJ230" s="312">
        <v>12.755102040816327</v>
      </c>
      <c r="AK230" s="312">
        <v>9.183673469387756</v>
      </c>
      <c r="AL230" s="312">
        <v>62.244897959183675</v>
      </c>
      <c r="AM230" s="311">
        <v>34550</v>
      </c>
      <c r="AN230" s="311">
        <v>71364</v>
      </c>
      <c r="AO230" s="312">
        <v>28.571428571428569</v>
      </c>
      <c r="AP230" s="311">
        <v>196</v>
      </c>
      <c r="AQ230" s="311">
        <v>0</v>
      </c>
      <c r="AR230" s="311">
        <v>171</v>
      </c>
      <c r="AS230" s="311">
        <v>25</v>
      </c>
      <c r="AT230" s="311">
        <v>4</v>
      </c>
      <c r="AU230" s="311">
        <v>0</v>
      </c>
      <c r="AV230" s="311">
        <v>3</v>
      </c>
      <c r="AW230" s="311">
        <v>16</v>
      </c>
      <c r="AX230" s="311">
        <v>8</v>
      </c>
      <c r="AY230" s="311">
        <v>4</v>
      </c>
      <c r="AZ230" s="311">
        <v>20</v>
      </c>
      <c r="BA230" s="311">
        <v>0</v>
      </c>
      <c r="BB230" s="311">
        <v>0</v>
      </c>
      <c r="BC230" s="311">
        <v>30</v>
      </c>
      <c r="BD230" s="311">
        <v>10</v>
      </c>
      <c r="BE230" s="311">
        <v>5</v>
      </c>
      <c r="BF230" s="311">
        <v>87</v>
      </c>
      <c r="BG230" s="311">
        <v>4</v>
      </c>
      <c r="BH230" s="311">
        <v>0</v>
      </c>
      <c r="BI230" s="312">
        <v>6.1224489795918364</v>
      </c>
      <c r="BJ230" s="313">
        <v>5.4</v>
      </c>
      <c r="BK230" s="313">
        <v>7.9</v>
      </c>
      <c r="BL230" s="313">
        <v>7.3</v>
      </c>
      <c r="BM230" s="313">
        <v>7.5</v>
      </c>
      <c r="BN230" s="313">
        <v>3.9</v>
      </c>
      <c r="BO230" s="313">
        <v>7</v>
      </c>
      <c r="BP230" s="313">
        <v>5.4</v>
      </c>
      <c r="BQ230" s="313">
        <v>9.1</v>
      </c>
      <c r="BR230" s="313">
        <v>9.3000000000000007</v>
      </c>
      <c r="BS230" s="313">
        <v>3.2</v>
      </c>
      <c r="BT230" s="313">
        <v>5.5</v>
      </c>
      <c r="BU230" s="313">
        <v>4.3</v>
      </c>
      <c r="BV230" s="313">
        <v>5</v>
      </c>
      <c r="BW230" s="313">
        <v>8.9</v>
      </c>
      <c r="BX230" s="313">
        <v>3</v>
      </c>
      <c r="BY230" s="313">
        <v>1.8</v>
      </c>
      <c r="BZ230" s="313">
        <v>3.8</v>
      </c>
      <c r="CA230" s="313">
        <v>1.8</v>
      </c>
      <c r="CB230" s="313">
        <v>20.6</v>
      </c>
      <c r="CC230" s="313">
        <v>60.2</v>
      </c>
      <c r="CD230" s="313">
        <v>19.3</v>
      </c>
    </row>
    <row r="231" spans="1:82" x14ac:dyDescent="0.25">
      <c r="A231" s="130" t="s">
        <v>5105</v>
      </c>
      <c r="B231" s="130" t="s">
        <v>227</v>
      </c>
      <c r="C231" s="130" t="s">
        <v>5106</v>
      </c>
      <c r="D231" s="130" t="s">
        <v>65</v>
      </c>
      <c r="E231" s="130" t="s">
        <v>5094</v>
      </c>
      <c r="F231" s="130" t="s">
        <v>4272</v>
      </c>
      <c r="G231" s="130" t="s">
        <v>5107</v>
      </c>
      <c r="H231" s="309">
        <v>540150</v>
      </c>
      <c r="I231" s="277" t="s">
        <v>1557</v>
      </c>
      <c r="J231" s="130">
        <v>5480932</v>
      </c>
      <c r="K231" s="130" t="s">
        <v>5108</v>
      </c>
      <c r="L231" s="310">
        <v>0.67414469078027839</v>
      </c>
      <c r="M231" s="311">
        <v>739</v>
      </c>
      <c r="N231" s="312">
        <v>1096.2038418557534</v>
      </c>
      <c r="O231" s="311">
        <v>327</v>
      </c>
      <c r="P231" s="312">
        <v>2.2599999999999998</v>
      </c>
      <c r="Q231" s="311">
        <v>739</v>
      </c>
      <c r="R231" s="311">
        <v>15</v>
      </c>
      <c r="S231" s="311">
        <v>22</v>
      </c>
      <c r="T231" s="311">
        <v>53</v>
      </c>
      <c r="U231" s="311">
        <v>7</v>
      </c>
      <c r="V231" s="311">
        <v>33</v>
      </c>
      <c r="W231" s="311">
        <v>16</v>
      </c>
      <c r="X231" s="311">
        <v>8</v>
      </c>
      <c r="Y231" s="311">
        <v>10</v>
      </c>
      <c r="Z231" s="311">
        <v>30</v>
      </c>
      <c r="AA231" s="311">
        <v>11</v>
      </c>
      <c r="AB231" s="311">
        <v>29</v>
      </c>
      <c r="AC231" s="311">
        <v>31</v>
      </c>
      <c r="AD231" s="311">
        <v>44</v>
      </c>
      <c r="AE231" s="311">
        <v>0</v>
      </c>
      <c r="AF231" s="311">
        <v>9</v>
      </c>
      <c r="AG231" s="311">
        <v>9</v>
      </c>
      <c r="AH231" s="312">
        <v>27.522935779816514</v>
      </c>
      <c r="AI231" s="312">
        <v>12.232415902140673</v>
      </c>
      <c r="AJ231" s="312">
        <v>19.571865443425075</v>
      </c>
      <c r="AK231" s="312">
        <v>3.3639143730886847</v>
      </c>
      <c r="AL231" s="312">
        <v>37.308868501529055</v>
      </c>
      <c r="AM231" s="311">
        <v>25612</v>
      </c>
      <c r="AN231" s="311">
        <v>44750</v>
      </c>
      <c r="AO231" s="312">
        <v>50.15290519877675</v>
      </c>
      <c r="AP231" s="311">
        <v>327</v>
      </c>
      <c r="AQ231" s="311">
        <v>89</v>
      </c>
      <c r="AR231" s="311">
        <v>202</v>
      </c>
      <c r="AS231" s="311">
        <v>125</v>
      </c>
      <c r="AT231" s="311">
        <v>17</v>
      </c>
      <c r="AU231" s="311">
        <v>18</v>
      </c>
      <c r="AV231" s="311">
        <v>46</v>
      </c>
      <c r="AW231" s="311">
        <v>29</v>
      </c>
      <c r="AX231" s="311">
        <v>13</v>
      </c>
      <c r="AY231" s="311">
        <v>14</v>
      </c>
      <c r="AZ231" s="311">
        <v>38</v>
      </c>
      <c r="BA231" s="311">
        <v>10</v>
      </c>
      <c r="BB231" s="311">
        <v>0</v>
      </c>
      <c r="BC231" s="311">
        <v>26</v>
      </c>
      <c r="BD231" s="311">
        <v>14</v>
      </c>
      <c r="BE231" s="311">
        <v>0</v>
      </c>
      <c r="BF231" s="311">
        <v>93</v>
      </c>
      <c r="BG231" s="311">
        <v>0</v>
      </c>
      <c r="BH231" s="311">
        <v>0</v>
      </c>
      <c r="BI231" s="312">
        <v>18.348623853211009</v>
      </c>
      <c r="BJ231" s="313">
        <v>6.4</v>
      </c>
      <c r="BK231" s="313">
        <v>5.8</v>
      </c>
      <c r="BL231" s="313">
        <v>7.6</v>
      </c>
      <c r="BM231" s="313">
        <v>1.1000000000000001</v>
      </c>
      <c r="BN231" s="313">
        <v>5.0999999999999996</v>
      </c>
      <c r="BO231" s="313">
        <v>2.2000000000000002</v>
      </c>
      <c r="BP231" s="313">
        <v>6.8</v>
      </c>
      <c r="BQ231" s="313">
        <v>1.8</v>
      </c>
      <c r="BR231" s="313">
        <v>6.8</v>
      </c>
      <c r="BS231" s="313">
        <v>4.5</v>
      </c>
      <c r="BT231" s="313">
        <v>5.3</v>
      </c>
      <c r="BU231" s="313">
        <v>14.7</v>
      </c>
      <c r="BV231" s="313">
        <v>8.5</v>
      </c>
      <c r="BW231" s="313">
        <v>12.9</v>
      </c>
      <c r="BX231" s="313">
        <v>4.0999999999999996</v>
      </c>
      <c r="BY231" s="313">
        <v>3</v>
      </c>
      <c r="BZ231" s="313">
        <v>0.7</v>
      </c>
      <c r="CA231" s="313">
        <v>3</v>
      </c>
      <c r="CB231" s="313">
        <v>19.799999999999997</v>
      </c>
      <c r="CC231" s="313">
        <v>56.8</v>
      </c>
      <c r="CD231" s="313">
        <v>23.7</v>
      </c>
    </row>
    <row r="232" spans="1:82" x14ac:dyDescent="0.25">
      <c r="A232" s="130" t="s">
        <v>5109</v>
      </c>
      <c r="B232" s="130" t="s">
        <v>228</v>
      </c>
      <c r="C232" s="130" t="s">
        <v>5110</v>
      </c>
      <c r="D232" s="130" t="s">
        <v>65</v>
      </c>
      <c r="E232" s="130" t="s">
        <v>5094</v>
      </c>
      <c r="F232" s="130" t="s">
        <v>4272</v>
      </c>
      <c r="G232" s="130" t="s">
        <v>5111</v>
      </c>
      <c r="H232" s="309">
        <v>540151</v>
      </c>
      <c r="I232" s="277" t="s">
        <v>1558</v>
      </c>
      <c r="J232" s="130">
        <v>5482732</v>
      </c>
      <c r="K232" s="130" t="s">
        <v>5112</v>
      </c>
      <c r="L232" s="310">
        <v>0.54631206420936484</v>
      </c>
      <c r="M232" s="311">
        <v>322</v>
      </c>
      <c r="N232" s="312">
        <v>589.40671659156135</v>
      </c>
      <c r="O232" s="311">
        <v>136</v>
      </c>
      <c r="P232" s="312">
        <v>2.37</v>
      </c>
      <c r="Q232" s="311">
        <v>322</v>
      </c>
      <c r="R232" s="311">
        <v>9</v>
      </c>
      <c r="S232" s="311">
        <v>12</v>
      </c>
      <c r="T232" s="311">
        <v>11</v>
      </c>
      <c r="U232" s="311">
        <v>6</v>
      </c>
      <c r="V232" s="311">
        <v>18</v>
      </c>
      <c r="W232" s="311">
        <v>9</v>
      </c>
      <c r="X232" s="311">
        <v>15</v>
      </c>
      <c r="Y232" s="311">
        <v>16</v>
      </c>
      <c r="Z232" s="311">
        <v>1</v>
      </c>
      <c r="AA232" s="311">
        <v>4</v>
      </c>
      <c r="AB232" s="311">
        <v>9</v>
      </c>
      <c r="AC232" s="311">
        <v>6</v>
      </c>
      <c r="AD232" s="311">
        <v>13</v>
      </c>
      <c r="AE232" s="311">
        <v>6</v>
      </c>
      <c r="AF232" s="311">
        <v>1</v>
      </c>
      <c r="AG232" s="311">
        <v>0</v>
      </c>
      <c r="AH232" s="312">
        <v>23.52941176470588</v>
      </c>
      <c r="AI232" s="312">
        <v>17.647058823529413</v>
      </c>
      <c r="AJ232" s="312">
        <v>30.147058823529409</v>
      </c>
      <c r="AK232" s="312">
        <v>2.9411764705882351</v>
      </c>
      <c r="AL232" s="312">
        <v>25.735294117647058</v>
      </c>
      <c r="AM232" s="311">
        <v>20546</v>
      </c>
      <c r="AN232" s="311">
        <v>35682</v>
      </c>
      <c r="AO232" s="312">
        <v>70.588235294117652</v>
      </c>
      <c r="AP232" s="311">
        <v>136</v>
      </c>
      <c r="AQ232" s="311">
        <v>25</v>
      </c>
      <c r="AR232" s="311">
        <v>91</v>
      </c>
      <c r="AS232" s="311">
        <v>45</v>
      </c>
      <c r="AT232" s="311">
        <v>0</v>
      </c>
      <c r="AU232" s="311">
        <v>6</v>
      </c>
      <c r="AV232" s="311">
        <v>26</v>
      </c>
      <c r="AW232" s="311">
        <v>3</v>
      </c>
      <c r="AX232" s="311">
        <v>7</v>
      </c>
      <c r="AY232" s="311">
        <v>23</v>
      </c>
      <c r="AZ232" s="311">
        <v>13</v>
      </c>
      <c r="BA232" s="311">
        <v>7</v>
      </c>
      <c r="BB232" s="311">
        <v>8</v>
      </c>
      <c r="BC232" s="311">
        <v>10</v>
      </c>
      <c r="BD232" s="311">
        <v>1</v>
      </c>
      <c r="BE232" s="311">
        <v>0</v>
      </c>
      <c r="BF232" s="311">
        <v>23</v>
      </c>
      <c r="BG232" s="311">
        <v>1</v>
      </c>
      <c r="BH232" s="311">
        <v>0</v>
      </c>
      <c r="BI232" s="312">
        <v>41.911764705882355</v>
      </c>
      <c r="BJ232" s="313">
        <v>5.9</v>
      </c>
      <c r="BK232" s="313">
        <v>7.8</v>
      </c>
      <c r="BL232" s="313">
        <v>8.6999999999999993</v>
      </c>
      <c r="BM232" s="313">
        <v>5.3</v>
      </c>
      <c r="BN232" s="313">
        <v>2.8</v>
      </c>
      <c r="BO232" s="313">
        <v>8.1</v>
      </c>
      <c r="BP232" s="313">
        <v>7.1</v>
      </c>
      <c r="BQ232" s="313">
        <v>7.5</v>
      </c>
      <c r="BR232" s="313">
        <v>6.8</v>
      </c>
      <c r="BS232" s="313">
        <v>7.5</v>
      </c>
      <c r="BT232" s="313">
        <v>4.7</v>
      </c>
      <c r="BU232" s="313">
        <v>8.4</v>
      </c>
      <c r="BV232" s="313">
        <v>6.5</v>
      </c>
      <c r="BW232" s="313">
        <v>5.9</v>
      </c>
      <c r="BX232" s="313">
        <v>1.9</v>
      </c>
      <c r="BY232" s="313">
        <v>2.5</v>
      </c>
      <c r="BZ232" s="313">
        <v>1.6</v>
      </c>
      <c r="CA232" s="313">
        <v>1.2</v>
      </c>
      <c r="CB232" s="313">
        <v>22.4</v>
      </c>
      <c r="CC232" s="313">
        <v>64.699999999999989</v>
      </c>
      <c r="CD232" s="313">
        <v>13.1</v>
      </c>
    </row>
    <row r="233" spans="1:82" x14ac:dyDescent="0.25">
      <c r="A233" s="130" t="s">
        <v>5113</v>
      </c>
      <c r="B233" s="130" t="s">
        <v>185</v>
      </c>
      <c r="C233" s="130" t="s">
        <v>5114</v>
      </c>
      <c r="D233" s="130" t="s">
        <v>65</v>
      </c>
      <c r="E233" s="130" t="s">
        <v>5094</v>
      </c>
      <c r="F233" s="130" t="s">
        <v>4272</v>
      </c>
      <c r="G233" s="130" t="s">
        <v>5115</v>
      </c>
      <c r="H233" s="309">
        <v>540094</v>
      </c>
      <c r="I233" s="277" t="s">
        <v>1556</v>
      </c>
      <c r="J233" s="130">
        <v>5485876</v>
      </c>
      <c r="K233" s="130" t="s">
        <v>5116</v>
      </c>
      <c r="L233" s="310">
        <v>1.0927358616490319</v>
      </c>
      <c r="M233" s="311">
        <v>1714</v>
      </c>
      <c r="N233" s="312">
        <v>1568.5400837979521</v>
      </c>
      <c r="O233" s="311">
        <v>276</v>
      </c>
      <c r="P233" s="312">
        <v>2.29</v>
      </c>
      <c r="Q233" s="311">
        <v>632</v>
      </c>
      <c r="R233" s="311">
        <v>60</v>
      </c>
      <c r="S233" s="311">
        <v>26</v>
      </c>
      <c r="T233" s="311">
        <v>14</v>
      </c>
      <c r="U233" s="311">
        <v>4</v>
      </c>
      <c r="V233" s="311">
        <v>5</v>
      </c>
      <c r="W233" s="311">
        <v>3</v>
      </c>
      <c r="X233" s="311">
        <v>13</v>
      </c>
      <c r="Y233" s="311">
        <v>4</v>
      </c>
      <c r="Z233" s="311">
        <v>9</v>
      </c>
      <c r="AA233" s="311">
        <v>45</v>
      </c>
      <c r="AB233" s="311">
        <v>25</v>
      </c>
      <c r="AC233" s="311">
        <v>47</v>
      </c>
      <c r="AD233" s="311">
        <v>17</v>
      </c>
      <c r="AE233" s="311">
        <v>4</v>
      </c>
      <c r="AF233" s="311">
        <v>0</v>
      </c>
      <c r="AG233" s="311">
        <v>0</v>
      </c>
      <c r="AH233" s="312">
        <v>36.231884057971016</v>
      </c>
      <c r="AI233" s="312">
        <v>3.2608695652173911</v>
      </c>
      <c r="AJ233" s="312">
        <v>10.507246376811594</v>
      </c>
      <c r="AK233" s="312">
        <v>16.304347826086957</v>
      </c>
      <c r="AL233" s="312">
        <v>33.695652173913047</v>
      </c>
      <c r="AM233" s="311">
        <v>10527</v>
      </c>
      <c r="AN233" s="311">
        <v>50000</v>
      </c>
      <c r="AO233" s="312">
        <v>46.739130434782609</v>
      </c>
      <c r="AP233" s="311">
        <v>276</v>
      </c>
      <c r="AQ233" s="311">
        <v>66</v>
      </c>
      <c r="AR233" s="311">
        <v>139</v>
      </c>
      <c r="AS233" s="311">
        <v>137</v>
      </c>
      <c r="AT233" s="311">
        <v>5</v>
      </c>
      <c r="AU233" s="311">
        <v>0</v>
      </c>
      <c r="AV233" s="311">
        <v>82</v>
      </c>
      <c r="AW233" s="311">
        <v>7</v>
      </c>
      <c r="AX233" s="311">
        <v>0</v>
      </c>
      <c r="AY233" s="311">
        <v>2</v>
      </c>
      <c r="AZ233" s="311">
        <v>12</v>
      </c>
      <c r="BA233" s="311">
        <v>14</v>
      </c>
      <c r="BB233" s="311">
        <v>0</v>
      </c>
      <c r="BC233" s="311">
        <v>59</v>
      </c>
      <c r="BD233" s="311">
        <v>6</v>
      </c>
      <c r="BE233" s="311">
        <v>0</v>
      </c>
      <c r="BF233" s="311">
        <v>68</v>
      </c>
      <c r="BG233" s="311">
        <v>0</v>
      </c>
      <c r="BH233" s="311">
        <v>0</v>
      </c>
      <c r="BI233" s="312">
        <v>30.434782608695656</v>
      </c>
      <c r="BJ233" s="313">
        <v>0</v>
      </c>
      <c r="BK233" s="313">
        <v>1.4</v>
      </c>
      <c r="BL233" s="313">
        <v>2.5</v>
      </c>
      <c r="BM233" s="313">
        <v>32.1</v>
      </c>
      <c r="BN233" s="313">
        <v>41.9</v>
      </c>
      <c r="BO233" s="313">
        <v>2.6</v>
      </c>
      <c r="BP233" s="313">
        <v>1</v>
      </c>
      <c r="BQ233" s="313">
        <v>1.9</v>
      </c>
      <c r="BR233" s="313">
        <v>2.5</v>
      </c>
      <c r="BS233" s="313">
        <v>4.0999999999999996</v>
      </c>
      <c r="BT233" s="313">
        <v>0.9</v>
      </c>
      <c r="BU233" s="313">
        <v>2</v>
      </c>
      <c r="BV233" s="313">
        <v>1.7</v>
      </c>
      <c r="BW233" s="313">
        <v>2.1</v>
      </c>
      <c r="BX233" s="313">
        <v>0.8</v>
      </c>
      <c r="BY233" s="313">
        <v>0.6</v>
      </c>
      <c r="BZ233" s="313">
        <v>1.7</v>
      </c>
      <c r="CA233" s="313">
        <v>0.2</v>
      </c>
      <c r="CB233" s="313">
        <v>3.9</v>
      </c>
      <c r="CC233" s="313">
        <v>90.7</v>
      </c>
      <c r="CD233" s="313">
        <v>5.4</v>
      </c>
    </row>
    <row r="234" spans="1:82" s="330" customFormat="1" x14ac:dyDescent="0.25">
      <c r="A234" s="323" t="s">
        <v>4859</v>
      </c>
      <c r="B234" s="323" t="s">
        <v>229</v>
      </c>
      <c r="C234" s="323" t="s">
        <v>5117</v>
      </c>
      <c r="D234" s="323" t="s">
        <v>65</v>
      </c>
      <c r="E234" s="323" t="s">
        <v>4837</v>
      </c>
      <c r="F234" s="323" t="s">
        <v>4272</v>
      </c>
      <c r="G234" s="323" t="s">
        <v>4861</v>
      </c>
      <c r="H234" s="324">
        <v>540152</v>
      </c>
      <c r="I234" s="325" t="s">
        <v>5118</v>
      </c>
      <c r="J234" s="323">
        <v>5486452</v>
      </c>
      <c r="K234" s="323" t="s">
        <v>4863</v>
      </c>
      <c r="L234" s="326">
        <v>15.575156801829985</v>
      </c>
      <c r="M234" s="327">
        <v>27162</v>
      </c>
      <c r="N234" s="328">
        <v>1743.9310785499529</v>
      </c>
      <c r="O234" s="327">
        <v>12073</v>
      </c>
      <c r="P234" s="328">
        <v>2.14</v>
      </c>
      <c r="Q234" s="327">
        <v>25872</v>
      </c>
      <c r="R234" s="327">
        <v>1361</v>
      </c>
      <c r="S234" s="327">
        <v>944</v>
      </c>
      <c r="T234" s="327">
        <v>773</v>
      </c>
      <c r="U234" s="327">
        <v>721</v>
      </c>
      <c r="V234" s="327">
        <v>691</v>
      </c>
      <c r="W234" s="327">
        <v>750</v>
      </c>
      <c r="X234" s="327">
        <v>599</v>
      </c>
      <c r="Y234" s="327">
        <v>645</v>
      </c>
      <c r="Z234" s="327">
        <v>560</v>
      </c>
      <c r="AA234" s="327">
        <v>719</v>
      </c>
      <c r="AB234" s="327">
        <v>1147</v>
      </c>
      <c r="AC234" s="327">
        <v>1186</v>
      </c>
      <c r="AD234" s="327">
        <v>728</v>
      </c>
      <c r="AE234" s="327">
        <v>473</v>
      </c>
      <c r="AF234" s="327">
        <v>413</v>
      </c>
      <c r="AG234" s="327">
        <v>364</v>
      </c>
      <c r="AH234" s="328">
        <v>25.494905988569531</v>
      </c>
      <c r="AI234" s="328">
        <v>11.695518926530275</v>
      </c>
      <c r="AJ234" s="328">
        <v>21.154642590905326</v>
      </c>
      <c r="AK234" s="328">
        <v>5.955437753665203</v>
      </c>
      <c r="AL234" s="328">
        <v>35.70777768574505</v>
      </c>
      <c r="AM234" s="327">
        <v>28745</v>
      </c>
      <c r="AN234" s="327">
        <v>41171</v>
      </c>
      <c r="AO234" s="328">
        <v>53.706618073386892</v>
      </c>
      <c r="AP234" s="327">
        <v>12073</v>
      </c>
      <c r="AQ234" s="327">
        <v>2387</v>
      </c>
      <c r="AR234" s="327">
        <v>7629</v>
      </c>
      <c r="AS234" s="327">
        <v>4444</v>
      </c>
      <c r="AT234" s="327">
        <v>356</v>
      </c>
      <c r="AU234" s="327">
        <v>494</v>
      </c>
      <c r="AV234" s="327">
        <v>1930</v>
      </c>
      <c r="AW234" s="327">
        <v>842</v>
      </c>
      <c r="AX234" s="327">
        <v>424</v>
      </c>
      <c r="AY234" s="327">
        <v>840</v>
      </c>
      <c r="AZ234" s="327">
        <v>933</v>
      </c>
      <c r="BA234" s="327">
        <v>665</v>
      </c>
      <c r="BB234" s="327">
        <v>177</v>
      </c>
      <c r="BC234" s="327">
        <v>1572</v>
      </c>
      <c r="BD234" s="327">
        <v>231</v>
      </c>
      <c r="BE234" s="327">
        <v>46</v>
      </c>
      <c r="BF234" s="327">
        <v>2970</v>
      </c>
      <c r="BG234" s="327">
        <v>134</v>
      </c>
      <c r="BH234" s="327">
        <v>28</v>
      </c>
      <c r="BI234" s="328">
        <v>25.022778099892324</v>
      </c>
      <c r="BJ234" s="329">
        <v>5.5</v>
      </c>
      <c r="BK234" s="329">
        <v>4.8</v>
      </c>
      <c r="BL234" s="329">
        <v>5.2</v>
      </c>
      <c r="BM234" s="329">
        <v>6</v>
      </c>
      <c r="BN234" s="329">
        <v>5.9</v>
      </c>
      <c r="BO234" s="329">
        <v>5.6</v>
      </c>
      <c r="BP234" s="329">
        <v>5.5</v>
      </c>
      <c r="BQ234" s="329">
        <v>5.8</v>
      </c>
      <c r="BR234" s="329">
        <v>5.7</v>
      </c>
      <c r="BS234" s="329">
        <v>5.4</v>
      </c>
      <c r="BT234" s="329">
        <v>6.6</v>
      </c>
      <c r="BU234" s="329">
        <v>7.3</v>
      </c>
      <c r="BV234" s="329">
        <v>8.3000000000000007</v>
      </c>
      <c r="BW234" s="329">
        <v>6.7</v>
      </c>
      <c r="BX234" s="329">
        <v>4.5999999999999996</v>
      </c>
      <c r="BY234" s="329">
        <v>4</v>
      </c>
      <c r="BZ234" s="329">
        <v>3.3</v>
      </c>
      <c r="CA234" s="329">
        <v>3.9</v>
      </c>
      <c r="CB234" s="329">
        <v>15.5</v>
      </c>
      <c r="CC234" s="329">
        <v>62.099999999999994</v>
      </c>
      <c r="CD234" s="329">
        <v>22.5</v>
      </c>
    </row>
    <row r="235" spans="1:82" s="322" customFormat="1" x14ac:dyDescent="0.25">
      <c r="A235" s="314" t="s">
        <v>5119</v>
      </c>
      <c r="B235" s="315" t="s">
        <v>348</v>
      </c>
      <c r="C235" s="314"/>
      <c r="D235" s="314"/>
      <c r="E235" s="314"/>
      <c r="F235" s="314"/>
      <c r="G235" s="314"/>
      <c r="H235" s="316"/>
      <c r="I235" s="317"/>
      <c r="J235" s="314">
        <v>54069</v>
      </c>
      <c r="K235" s="314" t="s">
        <v>5120</v>
      </c>
      <c r="L235" s="318">
        <v>108.85969227336166</v>
      </c>
      <c r="M235" s="319">
        <v>42906</v>
      </c>
      <c r="N235" s="320">
        <v>394.14037559703121</v>
      </c>
      <c r="O235" s="319">
        <v>17846</v>
      </c>
      <c r="P235" s="320">
        <v>2.27</v>
      </c>
      <c r="Q235" s="319">
        <v>40444</v>
      </c>
      <c r="R235" s="319">
        <v>1688</v>
      </c>
      <c r="S235" s="319">
        <v>1181</v>
      </c>
      <c r="T235" s="319">
        <v>1065</v>
      </c>
      <c r="U235" s="319">
        <v>930</v>
      </c>
      <c r="V235" s="319">
        <v>1002</v>
      </c>
      <c r="W235" s="319">
        <v>986</v>
      </c>
      <c r="X235" s="319">
        <v>903</v>
      </c>
      <c r="Y235" s="319">
        <v>1057</v>
      </c>
      <c r="Z235" s="319">
        <v>715</v>
      </c>
      <c r="AA235" s="319">
        <v>1046</v>
      </c>
      <c r="AB235" s="319">
        <v>1741</v>
      </c>
      <c r="AC235" s="319">
        <v>1855</v>
      </c>
      <c r="AD235" s="319">
        <v>1396</v>
      </c>
      <c r="AE235" s="319">
        <v>875</v>
      </c>
      <c r="AF235" s="319">
        <v>790</v>
      </c>
      <c r="AG235" s="319">
        <v>616</v>
      </c>
      <c r="AH235" s="320">
        <v>22.04415555306511</v>
      </c>
      <c r="AI235" s="320">
        <v>10.825955396167208</v>
      </c>
      <c r="AJ235" s="320">
        <v>20.514400986215399</v>
      </c>
      <c r="AK235" s="320">
        <v>5.8612574246329707</v>
      </c>
      <c r="AL235" s="320">
        <v>40.754230639919307</v>
      </c>
      <c r="AM235" s="319">
        <v>29769</v>
      </c>
      <c r="AN235" s="319">
        <v>45777</v>
      </c>
      <c r="AO235" s="320">
        <v>49.378011879412753</v>
      </c>
      <c r="AP235" s="319">
        <v>17846</v>
      </c>
      <c r="AQ235" s="319">
        <v>3129</v>
      </c>
      <c r="AR235" s="319">
        <v>12382</v>
      </c>
      <c r="AS235" s="319">
        <v>5464</v>
      </c>
      <c r="AT235" s="319">
        <v>481</v>
      </c>
      <c r="AU235" s="319">
        <v>624</v>
      </c>
      <c r="AV235" s="319">
        <v>2465</v>
      </c>
      <c r="AW235" s="319">
        <v>1135</v>
      </c>
      <c r="AX235" s="319">
        <v>602</v>
      </c>
      <c r="AY235" s="319">
        <v>1112</v>
      </c>
      <c r="AZ235" s="319">
        <v>1523</v>
      </c>
      <c r="BA235" s="319">
        <v>835</v>
      </c>
      <c r="BB235" s="319">
        <v>283</v>
      </c>
      <c r="BC235" s="319">
        <v>2324</v>
      </c>
      <c r="BD235" s="319">
        <v>341</v>
      </c>
      <c r="BE235" s="319">
        <v>56</v>
      </c>
      <c r="BF235" s="319">
        <v>5103</v>
      </c>
      <c r="BG235" s="319">
        <v>264</v>
      </c>
      <c r="BH235" s="319">
        <v>53</v>
      </c>
      <c r="BI235" s="320">
        <v>22.240277933430459</v>
      </c>
      <c r="BJ235" s="321">
        <v>5.2</v>
      </c>
      <c r="BK235" s="321">
        <v>5.2</v>
      </c>
      <c r="BL235" s="321">
        <v>5.3</v>
      </c>
      <c r="BM235" s="321">
        <v>7</v>
      </c>
      <c r="BN235" s="321">
        <v>7</v>
      </c>
      <c r="BO235" s="321">
        <v>5.6</v>
      </c>
      <c r="BP235" s="321">
        <v>5.4</v>
      </c>
      <c r="BQ235" s="321">
        <v>5.7</v>
      </c>
      <c r="BR235" s="321">
        <v>5.4</v>
      </c>
      <c r="BS235" s="321">
        <v>5.8</v>
      </c>
      <c r="BT235" s="321">
        <v>6.6</v>
      </c>
      <c r="BU235" s="321">
        <v>7.7</v>
      </c>
      <c r="BV235" s="321">
        <v>7.9</v>
      </c>
      <c r="BW235" s="321">
        <v>6.5</v>
      </c>
      <c r="BX235" s="321">
        <v>4.3</v>
      </c>
      <c r="BY235" s="321">
        <v>3.6</v>
      </c>
      <c r="BZ235" s="321">
        <v>2.8</v>
      </c>
      <c r="CA235" s="321">
        <v>3.1</v>
      </c>
      <c r="CB235" s="321">
        <v>15.7</v>
      </c>
      <c r="CC235" s="321">
        <v>64.100000000000009</v>
      </c>
      <c r="CD235" s="321">
        <v>20.3</v>
      </c>
    </row>
    <row r="236" spans="1:82" s="308" customFormat="1" x14ac:dyDescent="0.25">
      <c r="A236" s="301" t="s">
        <v>5121</v>
      </c>
      <c r="B236" s="301" t="s">
        <v>66</v>
      </c>
      <c r="C236" s="301" t="s">
        <v>5122</v>
      </c>
      <c r="D236" s="301" t="s">
        <v>67</v>
      </c>
      <c r="E236" s="301" t="s">
        <v>5123</v>
      </c>
      <c r="F236" s="301" t="s">
        <v>4272</v>
      </c>
      <c r="G236" s="301" t="s">
        <v>5124</v>
      </c>
      <c r="H236" s="302">
        <v>540153</v>
      </c>
      <c r="I236" s="303" t="s">
        <v>1560</v>
      </c>
      <c r="J236" s="301" t="s">
        <v>488</v>
      </c>
      <c r="K236" s="301" t="s">
        <v>488</v>
      </c>
      <c r="L236" s="304">
        <v>697.32837471438722</v>
      </c>
      <c r="M236" s="305">
        <v>6447</v>
      </c>
      <c r="N236" s="306">
        <v>9.2452856269337556</v>
      </c>
      <c r="O236" s="305">
        <v>2748</v>
      </c>
      <c r="P236" s="306">
        <v>2.3231441048034935</v>
      </c>
      <c r="Q236" s="305">
        <v>6384</v>
      </c>
      <c r="R236" s="305">
        <v>276</v>
      </c>
      <c r="S236" s="305">
        <v>111</v>
      </c>
      <c r="T236" s="305">
        <v>281</v>
      </c>
      <c r="U236" s="305">
        <v>231</v>
      </c>
      <c r="V236" s="305">
        <v>155</v>
      </c>
      <c r="W236" s="305">
        <v>157</v>
      </c>
      <c r="X236" s="305">
        <v>180</v>
      </c>
      <c r="Y236" s="305">
        <v>175</v>
      </c>
      <c r="Z236" s="305">
        <v>171</v>
      </c>
      <c r="AA236" s="305">
        <v>234</v>
      </c>
      <c r="AB236" s="305">
        <v>198</v>
      </c>
      <c r="AC236" s="305">
        <v>215</v>
      </c>
      <c r="AD236" s="305">
        <v>165</v>
      </c>
      <c r="AE236" s="305">
        <v>65</v>
      </c>
      <c r="AF236" s="305">
        <v>53</v>
      </c>
      <c r="AG236" s="305">
        <v>81</v>
      </c>
      <c r="AH236" s="306">
        <v>24.308588064046578</v>
      </c>
      <c r="AI236" s="306">
        <v>14.046579330422126</v>
      </c>
      <c r="AJ236" s="306">
        <v>24.854439592430857</v>
      </c>
      <c r="AK236" s="306">
        <v>8.5152838427947604</v>
      </c>
      <c r="AL236" s="306">
        <v>28.275109170305679</v>
      </c>
      <c r="AM236" s="305">
        <v>23697</v>
      </c>
      <c r="AN236" s="305">
        <v>39554</v>
      </c>
      <c r="AO236" s="306">
        <v>56.986899563318779</v>
      </c>
      <c r="AP236" s="305">
        <v>2748</v>
      </c>
      <c r="AQ236" s="305">
        <v>2050</v>
      </c>
      <c r="AR236" s="305">
        <v>2241</v>
      </c>
      <c r="AS236" s="305">
        <v>507</v>
      </c>
      <c r="AT236" s="305">
        <v>184</v>
      </c>
      <c r="AU236" s="305">
        <v>82</v>
      </c>
      <c r="AV236" s="305">
        <v>331</v>
      </c>
      <c r="AW236" s="305">
        <v>289</v>
      </c>
      <c r="AX236" s="305">
        <v>81</v>
      </c>
      <c r="AY236" s="305">
        <v>141</v>
      </c>
      <c r="AZ236" s="305">
        <v>380</v>
      </c>
      <c r="BA236" s="305">
        <v>40</v>
      </c>
      <c r="BB236" s="305">
        <v>70</v>
      </c>
      <c r="BC236" s="305">
        <v>352</v>
      </c>
      <c r="BD236" s="305">
        <v>68</v>
      </c>
      <c r="BE236" s="305">
        <v>0</v>
      </c>
      <c r="BF236" s="305">
        <v>534</v>
      </c>
      <c r="BG236" s="305">
        <v>38</v>
      </c>
      <c r="BH236" s="305">
        <v>0</v>
      </c>
      <c r="BI236" s="306">
        <v>19.723435225618633</v>
      </c>
      <c r="BJ236" s="307">
        <v>4.4000000000000004</v>
      </c>
      <c r="BK236" s="307">
        <v>4.8</v>
      </c>
      <c r="BL236" s="307">
        <v>5.3</v>
      </c>
      <c r="BM236" s="307">
        <v>5</v>
      </c>
      <c r="BN236" s="307">
        <v>5.6</v>
      </c>
      <c r="BO236" s="307">
        <v>4.5</v>
      </c>
      <c r="BP236" s="307">
        <v>4.3</v>
      </c>
      <c r="BQ236" s="307">
        <v>3.7</v>
      </c>
      <c r="BR236" s="307">
        <v>6.1</v>
      </c>
      <c r="BS236" s="307">
        <v>6.5</v>
      </c>
      <c r="BT236" s="307">
        <v>7.5</v>
      </c>
      <c r="BU236" s="307">
        <v>10</v>
      </c>
      <c r="BV236" s="307">
        <v>7.3</v>
      </c>
      <c r="BW236" s="307">
        <v>7.4</v>
      </c>
      <c r="BX236" s="307">
        <v>5.6</v>
      </c>
      <c r="BY236" s="307">
        <v>4.8</v>
      </c>
      <c r="BZ236" s="307">
        <v>3</v>
      </c>
      <c r="CA236" s="307">
        <v>4.2</v>
      </c>
      <c r="CB236" s="307">
        <v>14.5</v>
      </c>
      <c r="CC236" s="307">
        <v>60.499999999999993</v>
      </c>
      <c r="CD236" s="307">
        <v>25</v>
      </c>
    </row>
    <row r="237" spans="1:82" x14ac:dyDescent="0.25">
      <c r="A237" s="130" t="s">
        <v>5125</v>
      </c>
      <c r="B237" s="130" t="s">
        <v>230</v>
      </c>
      <c r="C237" s="130" t="s">
        <v>5126</v>
      </c>
      <c r="D237" s="130" t="s">
        <v>67</v>
      </c>
      <c r="E237" s="130" t="s">
        <v>5123</v>
      </c>
      <c r="F237" s="130" t="s">
        <v>4272</v>
      </c>
      <c r="G237" s="130" t="s">
        <v>5127</v>
      </c>
      <c r="H237" s="309">
        <v>540154</v>
      </c>
      <c r="I237" s="277" t="s">
        <v>1561</v>
      </c>
      <c r="J237" s="130">
        <v>5429044</v>
      </c>
      <c r="K237" s="130" t="s">
        <v>5128</v>
      </c>
      <c r="L237" s="310">
        <v>0.56335114509446349</v>
      </c>
      <c r="M237" s="311">
        <v>691</v>
      </c>
      <c r="N237" s="312">
        <v>1226.5884360350988</v>
      </c>
      <c r="O237" s="311">
        <v>284</v>
      </c>
      <c r="P237" s="312">
        <v>2.08</v>
      </c>
      <c r="Q237" s="311">
        <v>592</v>
      </c>
      <c r="R237" s="311">
        <v>22</v>
      </c>
      <c r="S237" s="311">
        <v>23</v>
      </c>
      <c r="T237" s="311">
        <v>34</v>
      </c>
      <c r="U237" s="311">
        <v>33</v>
      </c>
      <c r="V237" s="311">
        <v>4</v>
      </c>
      <c r="W237" s="311">
        <v>27</v>
      </c>
      <c r="X237" s="311">
        <v>0</v>
      </c>
      <c r="Y237" s="311">
        <v>17</v>
      </c>
      <c r="Z237" s="311">
        <v>16</v>
      </c>
      <c r="AA237" s="311">
        <v>26</v>
      </c>
      <c r="AB237" s="311">
        <v>16</v>
      </c>
      <c r="AC237" s="311">
        <v>32</v>
      </c>
      <c r="AD237" s="311">
        <v>20</v>
      </c>
      <c r="AE237" s="311">
        <v>2</v>
      </c>
      <c r="AF237" s="311">
        <v>12</v>
      </c>
      <c r="AG237" s="311">
        <v>0</v>
      </c>
      <c r="AH237" s="312">
        <v>27.816901408450708</v>
      </c>
      <c r="AI237" s="312">
        <v>13.028169014084506</v>
      </c>
      <c r="AJ237" s="312">
        <v>21.12676056338028</v>
      </c>
      <c r="AK237" s="312">
        <v>9.1549295774647899</v>
      </c>
      <c r="AL237" s="312">
        <v>28.87323943661972</v>
      </c>
      <c r="AM237" s="311">
        <v>22040</v>
      </c>
      <c r="AN237" s="311">
        <v>34808</v>
      </c>
      <c r="AO237" s="312">
        <v>56.338028169014088</v>
      </c>
      <c r="AP237" s="311">
        <v>284</v>
      </c>
      <c r="AQ237" s="311">
        <v>114</v>
      </c>
      <c r="AR237" s="311">
        <v>180</v>
      </c>
      <c r="AS237" s="311">
        <v>104</v>
      </c>
      <c r="AT237" s="311">
        <v>0</v>
      </c>
      <c r="AU237" s="311">
        <v>35</v>
      </c>
      <c r="AV237" s="311">
        <v>34</v>
      </c>
      <c r="AW237" s="311">
        <v>23</v>
      </c>
      <c r="AX237" s="311">
        <v>10</v>
      </c>
      <c r="AY237" s="311">
        <v>31</v>
      </c>
      <c r="AZ237" s="311">
        <v>26</v>
      </c>
      <c r="BA237" s="311">
        <v>0</v>
      </c>
      <c r="BB237" s="311">
        <v>7</v>
      </c>
      <c r="BC237" s="311">
        <v>37</v>
      </c>
      <c r="BD237" s="311">
        <v>5</v>
      </c>
      <c r="BE237" s="311">
        <v>0</v>
      </c>
      <c r="BF237" s="311">
        <v>55</v>
      </c>
      <c r="BG237" s="311">
        <v>5</v>
      </c>
      <c r="BH237" s="311">
        <v>6</v>
      </c>
      <c r="BI237" s="312">
        <v>27.464788732394368</v>
      </c>
      <c r="BJ237" s="313">
        <v>7.5</v>
      </c>
      <c r="BK237" s="313">
        <v>4.9000000000000004</v>
      </c>
      <c r="BL237" s="313">
        <v>4.5999999999999996</v>
      </c>
      <c r="BM237" s="313">
        <v>0.6</v>
      </c>
      <c r="BN237" s="313">
        <v>1.2</v>
      </c>
      <c r="BO237" s="313">
        <v>5.4</v>
      </c>
      <c r="BP237" s="313">
        <v>7.4</v>
      </c>
      <c r="BQ237" s="313">
        <v>5.4</v>
      </c>
      <c r="BR237" s="313">
        <v>2.7</v>
      </c>
      <c r="BS237" s="313">
        <v>3.9</v>
      </c>
      <c r="BT237" s="313">
        <v>8.5</v>
      </c>
      <c r="BU237" s="313">
        <v>12.9</v>
      </c>
      <c r="BV237" s="313">
        <v>10</v>
      </c>
      <c r="BW237" s="313">
        <v>1.9</v>
      </c>
      <c r="BX237" s="313">
        <v>7.1</v>
      </c>
      <c r="BY237" s="313">
        <v>4.5999999999999996</v>
      </c>
      <c r="BZ237" s="313">
        <v>1.4</v>
      </c>
      <c r="CA237" s="313">
        <v>10</v>
      </c>
      <c r="CB237" s="313">
        <v>17</v>
      </c>
      <c r="CC237" s="313">
        <v>57.999999999999993</v>
      </c>
      <c r="CD237" s="313">
        <v>25</v>
      </c>
    </row>
    <row r="238" spans="1:82" s="322" customFormat="1" x14ac:dyDescent="0.25">
      <c r="A238" s="314" t="s">
        <v>5129</v>
      </c>
      <c r="B238" s="315" t="s">
        <v>348</v>
      </c>
      <c r="C238" s="314"/>
      <c r="D238" s="314"/>
      <c r="E238" s="314"/>
      <c r="F238" s="314"/>
      <c r="G238" s="314"/>
      <c r="H238" s="316"/>
      <c r="I238" s="317"/>
      <c r="J238" s="314">
        <v>54071</v>
      </c>
      <c r="K238" s="314" t="s">
        <v>5130</v>
      </c>
      <c r="L238" s="318">
        <v>697.89172585948165</v>
      </c>
      <c r="M238" s="319">
        <v>7138</v>
      </c>
      <c r="N238" s="320">
        <v>10.227947596325587</v>
      </c>
      <c r="O238" s="319">
        <v>3032</v>
      </c>
      <c r="P238" s="320">
        <v>2.2999999999999998</v>
      </c>
      <c r="Q238" s="319">
        <v>6976</v>
      </c>
      <c r="R238" s="319">
        <v>298</v>
      </c>
      <c r="S238" s="319">
        <v>134</v>
      </c>
      <c r="T238" s="319">
        <v>315</v>
      </c>
      <c r="U238" s="319">
        <v>264</v>
      </c>
      <c r="V238" s="319">
        <v>159</v>
      </c>
      <c r="W238" s="319">
        <v>184</v>
      </c>
      <c r="X238" s="319">
        <v>180</v>
      </c>
      <c r="Y238" s="319">
        <v>192</v>
      </c>
      <c r="Z238" s="319">
        <v>187</v>
      </c>
      <c r="AA238" s="319">
        <v>260</v>
      </c>
      <c r="AB238" s="319">
        <v>214</v>
      </c>
      <c r="AC238" s="319">
        <v>247</v>
      </c>
      <c r="AD238" s="319">
        <v>185</v>
      </c>
      <c r="AE238" s="319">
        <v>67</v>
      </c>
      <c r="AF238" s="319">
        <v>65</v>
      </c>
      <c r="AG238" s="319">
        <v>81</v>
      </c>
      <c r="AH238" s="320">
        <v>24.637203166226911</v>
      </c>
      <c r="AI238" s="320">
        <v>13.951187335092349</v>
      </c>
      <c r="AJ238" s="320">
        <v>24.505277044854882</v>
      </c>
      <c r="AK238" s="320">
        <v>8.5751978891820588</v>
      </c>
      <c r="AL238" s="320">
        <v>28.331134564643801</v>
      </c>
      <c r="AM238" s="319">
        <v>23697</v>
      </c>
      <c r="AN238" s="319">
        <v>39554</v>
      </c>
      <c r="AO238" s="320">
        <v>56.926121372031659</v>
      </c>
      <c r="AP238" s="319">
        <v>3032</v>
      </c>
      <c r="AQ238" s="319">
        <v>2164</v>
      </c>
      <c r="AR238" s="319">
        <v>2421</v>
      </c>
      <c r="AS238" s="319">
        <v>611</v>
      </c>
      <c r="AT238" s="319">
        <v>184</v>
      </c>
      <c r="AU238" s="319">
        <v>117</v>
      </c>
      <c r="AV238" s="319">
        <v>365</v>
      </c>
      <c r="AW238" s="319">
        <v>312</v>
      </c>
      <c r="AX238" s="319">
        <v>91</v>
      </c>
      <c r="AY238" s="319">
        <v>172</v>
      </c>
      <c r="AZ238" s="319">
        <v>406</v>
      </c>
      <c r="BA238" s="319">
        <v>40</v>
      </c>
      <c r="BB238" s="319">
        <v>77</v>
      </c>
      <c r="BC238" s="319">
        <v>389</v>
      </c>
      <c r="BD238" s="319">
        <v>73</v>
      </c>
      <c r="BE238" s="319">
        <v>0</v>
      </c>
      <c r="BF238" s="319">
        <v>589</v>
      </c>
      <c r="BG238" s="319">
        <v>43</v>
      </c>
      <c r="BH238" s="319">
        <v>6</v>
      </c>
      <c r="BI238" s="320">
        <v>20.448548812664907</v>
      </c>
      <c r="BJ238" s="321">
        <v>4.4000000000000004</v>
      </c>
      <c r="BK238" s="321">
        <v>4.8</v>
      </c>
      <c r="BL238" s="321">
        <v>5.3</v>
      </c>
      <c r="BM238" s="321">
        <v>5</v>
      </c>
      <c r="BN238" s="321">
        <v>5.6</v>
      </c>
      <c r="BO238" s="321">
        <v>4.5</v>
      </c>
      <c r="BP238" s="321">
        <v>4.3</v>
      </c>
      <c r="BQ238" s="321">
        <v>3.7</v>
      </c>
      <c r="BR238" s="321">
        <v>6.1</v>
      </c>
      <c r="BS238" s="321">
        <v>6.5</v>
      </c>
      <c r="BT238" s="321">
        <v>7.5</v>
      </c>
      <c r="BU238" s="321">
        <v>10</v>
      </c>
      <c r="BV238" s="321">
        <v>7.3</v>
      </c>
      <c r="BW238" s="321">
        <v>7.4</v>
      </c>
      <c r="BX238" s="321">
        <v>5.6</v>
      </c>
      <c r="BY238" s="321">
        <v>4.8</v>
      </c>
      <c r="BZ238" s="321">
        <v>3</v>
      </c>
      <c r="CA238" s="321">
        <v>4.2</v>
      </c>
      <c r="CB238" s="321">
        <v>14.5</v>
      </c>
      <c r="CC238" s="321">
        <v>60.499999999999993</v>
      </c>
      <c r="CD238" s="321">
        <v>25</v>
      </c>
    </row>
    <row r="239" spans="1:82" s="308" customFormat="1" x14ac:dyDescent="0.25">
      <c r="A239" s="301" t="s">
        <v>5131</v>
      </c>
      <c r="B239" s="301" t="s">
        <v>98</v>
      </c>
      <c r="C239" s="301" t="s">
        <v>5132</v>
      </c>
      <c r="D239" s="301" t="s">
        <v>99</v>
      </c>
      <c r="E239" s="301" t="s">
        <v>5133</v>
      </c>
      <c r="F239" s="301" t="s">
        <v>4272</v>
      </c>
      <c r="G239" s="301" t="s">
        <v>5134</v>
      </c>
      <c r="H239" s="302">
        <v>540225</v>
      </c>
      <c r="I239" s="303" t="s">
        <v>1625</v>
      </c>
      <c r="J239" s="301" t="s">
        <v>488</v>
      </c>
      <c r="K239" s="301" t="s">
        <v>488</v>
      </c>
      <c r="L239" s="304">
        <v>133.0167609989617</v>
      </c>
      <c r="M239" s="305">
        <v>4569</v>
      </c>
      <c r="N239" s="306">
        <v>34.349054703231459</v>
      </c>
      <c r="O239" s="305">
        <v>1584</v>
      </c>
      <c r="P239" s="306">
        <v>2.5694444444444446</v>
      </c>
      <c r="Q239" s="305">
        <v>4070</v>
      </c>
      <c r="R239" s="305">
        <v>76</v>
      </c>
      <c r="S239" s="305">
        <v>57</v>
      </c>
      <c r="T239" s="305">
        <v>109</v>
      </c>
      <c r="U239" s="305">
        <v>69</v>
      </c>
      <c r="V239" s="305">
        <v>137</v>
      </c>
      <c r="W239" s="305">
        <v>114</v>
      </c>
      <c r="X239" s="305">
        <v>110</v>
      </c>
      <c r="Y239" s="305">
        <v>110</v>
      </c>
      <c r="Z239" s="305">
        <v>0</v>
      </c>
      <c r="AA239" s="305">
        <v>131</v>
      </c>
      <c r="AB239" s="305">
        <v>205</v>
      </c>
      <c r="AC239" s="305">
        <v>151</v>
      </c>
      <c r="AD239" s="305">
        <v>93</v>
      </c>
      <c r="AE239" s="305">
        <v>88</v>
      </c>
      <c r="AF239" s="305">
        <v>98</v>
      </c>
      <c r="AG239" s="305">
        <v>36</v>
      </c>
      <c r="AH239" s="306">
        <v>15.277777777777779</v>
      </c>
      <c r="AI239" s="306">
        <v>13.005050505050505</v>
      </c>
      <c r="AJ239" s="306">
        <v>21.085858585858585</v>
      </c>
      <c r="AK239" s="306">
        <v>8.2702020202020208</v>
      </c>
      <c r="AL239" s="306">
        <v>42.361111111111107</v>
      </c>
      <c r="AM239" s="305">
        <v>24605</v>
      </c>
      <c r="AN239" s="305">
        <v>45152</v>
      </c>
      <c r="AO239" s="306">
        <v>49.368686868686865</v>
      </c>
      <c r="AP239" s="305">
        <v>1584</v>
      </c>
      <c r="AQ239" s="305">
        <v>329</v>
      </c>
      <c r="AR239" s="305">
        <v>1329</v>
      </c>
      <c r="AS239" s="305">
        <v>255</v>
      </c>
      <c r="AT239" s="305">
        <v>30</v>
      </c>
      <c r="AU239" s="305">
        <v>50</v>
      </c>
      <c r="AV239" s="305">
        <v>136</v>
      </c>
      <c r="AW239" s="305">
        <v>194</v>
      </c>
      <c r="AX239" s="305">
        <v>69</v>
      </c>
      <c r="AY239" s="305">
        <v>57</v>
      </c>
      <c r="AZ239" s="305">
        <v>86</v>
      </c>
      <c r="BA239" s="305">
        <v>112</v>
      </c>
      <c r="BB239" s="305">
        <v>22</v>
      </c>
      <c r="BC239" s="305">
        <v>233</v>
      </c>
      <c r="BD239" s="305">
        <v>29</v>
      </c>
      <c r="BE239" s="305">
        <v>20</v>
      </c>
      <c r="BF239" s="305">
        <v>449</v>
      </c>
      <c r="BG239" s="305">
        <v>17</v>
      </c>
      <c r="BH239" s="305">
        <v>0</v>
      </c>
      <c r="BI239" s="306">
        <v>14.835858585858585</v>
      </c>
      <c r="BJ239" s="307">
        <v>4.5999999999999996</v>
      </c>
      <c r="BK239" s="307">
        <v>5.0999999999999996</v>
      </c>
      <c r="BL239" s="307">
        <v>5.8</v>
      </c>
      <c r="BM239" s="307">
        <v>5.5</v>
      </c>
      <c r="BN239" s="307">
        <v>6.7</v>
      </c>
      <c r="BO239" s="307">
        <v>5.6</v>
      </c>
      <c r="BP239" s="307">
        <v>6</v>
      </c>
      <c r="BQ239" s="307">
        <v>5.8</v>
      </c>
      <c r="BR239" s="307">
        <v>7.6</v>
      </c>
      <c r="BS239" s="307">
        <v>7.3</v>
      </c>
      <c r="BT239" s="307">
        <v>7.9</v>
      </c>
      <c r="BU239" s="307">
        <v>7.7</v>
      </c>
      <c r="BV239" s="307">
        <v>6.5</v>
      </c>
      <c r="BW239" s="307">
        <v>5.4</v>
      </c>
      <c r="BX239" s="307">
        <v>5.2</v>
      </c>
      <c r="BY239" s="307">
        <v>3.2</v>
      </c>
      <c r="BZ239" s="307">
        <v>2.2999999999999998</v>
      </c>
      <c r="CA239" s="307">
        <v>1.8</v>
      </c>
      <c r="CB239" s="307">
        <v>15.5</v>
      </c>
      <c r="CC239" s="307">
        <v>66.599999999999994</v>
      </c>
      <c r="CD239" s="307">
        <v>17.900000000000002</v>
      </c>
    </row>
    <row r="240" spans="1:82" x14ac:dyDescent="0.25">
      <c r="A240" s="130" t="s">
        <v>5135</v>
      </c>
      <c r="B240" s="130" t="s">
        <v>299</v>
      </c>
      <c r="C240" s="130" t="s">
        <v>5136</v>
      </c>
      <c r="D240" s="130" t="s">
        <v>99</v>
      </c>
      <c r="E240" s="130" t="s">
        <v>5133</v>
      </c>
      <c r="F240" s="130" t="s">
        <v>4272</v>
      </c>
      <c r="G240" s="130" t="s">
        <v>5137</v>
      </c>
      <c r="H240" s="309">
        <v>540253</v>
      </c>
      <c r="I240" s="277" t="s">
        <v>1627</v>
      </c>
      <c r="J240" s="130">
        <v>5406004</v>
      </c>
      <c r="K240" s="130" t="s">
        <v>5138</v>
      </c>
      <c r="L240" s="310">
        <v>0.40933299118899941</v>
      </c>
      <c r="M240" s="311">
        <v>1119</v>
      </c>
      <c r="N240" s="312">
        <v>2733.7156400455624</v>
      </c>
      <c r="O240" s="311">
        <v>452</v>
      </c>
      <c r="P240" s="312">
        <v>2.34</v>
      </c>
      <c r="Q240" s="311">
        <v>1056</v>
      </c>
      <c r="R240" s="311">
        <v>73</v>
      </c>
      <c r="S240" s="311">
        <v>23</v>
      </c>
      <c r="T240" s="311">
        <v>25</v>
      </c>
      <c r="U240" s="311">
        <v>27</v>
      </c>
      <c r="V240" s="311">
        <v>31</v>
      </c>
      <c r="W240" s="311">
        <v>38</v>
      </c>
      <c r="X240" s="311">
        <v>7</v>
      </c>
      <c r="Y240" s="311">
        <v>36</v>
      </c>
      <c r="Z240" s="311">
        <v>17</v>
      </c>
      <c r="AA240" s="311">
        <v>29</v>
      </c>
      <c r="AB240" s="311">
        <v>38</v>
      </c>
      <c r="AC240" s="311">
        <v>58</v>
      </c>
      <c r="AD240" s="311">
        <v>21</v>
      </c>
      <c r="AE240" s="311">
        <v>12</v>
      </c>
      <c r="AF240" s="311">
        <v>14</v>
      </c>
      <c r="AG240" s="311">
        <v>3</v>
      </c>
      <c r="AH240" s="312">
        <v>26.769911504424783</v>
      </c>
      <c r="AI240" s="312">
        <v>12.831858407079647</v>
      </c>
      <c r="AJ240" s="312">
        <v>21.681415929203538</v>
      </c>
      <c r="AK240" s="312">
        <v>6.4159292035398234</v>
      </c>
      <c r="AL240" s="312">
        <v>32.30088495575221</v>
      </c>
      <c r="AM240" s="311">
        <v>21856</v>
      </c>
      <c r="AN240" s="311">
        <v>40156</v>
      </c>
      <c r="AO240" s="312">
        <v>57.522123893805308</v>
      </c>
      <c r="AP240" s="311">
        <v>452</v>
      </c>
      <c r="AQ240" s="311">
        <v>28</v>
      </c>
      <c r="AR240" s="311">
        <v>321</v>
      </c>
      <c r="AS240" s="311">
        <v>131</v>
      </c>
      <c r="AT240" s="311">
        <v>13</v>
      </c>
      <c r="AU240" s="311">
        <v>15</v>
      </c>
      <c r="AV240" s="311">
        <v>82</v>
      </c>
      <c r="AW240" s="311">
        <v>29</v>
      </c>
      <c r="AX240" s="311">
        <v>44</v>
      </c>
      <c r="AY240" s="311">
        <v>23</v>
      </c>
      <c r="AZ240" s="311">
        <v>44</v>
      </c>
      <c r="BA240" s="311">
        <v>13</v>
      </c>
      <c r="BB240" s="311">
        <v>0</v>
      </c>
      <c r="BC240" s="311">
        <v>56</v>
      </c>
      <c r="BD240" s="311">
        <v>11</v>
      </c>
      <c r="BE240" s="311">
        <v>0</v>
      </c>
      <c r="BF240" s="311">
        <v>100</v>
      </c>
      <c r="BG240" s="311">
        <v>8</v>
      </c>
      <c r="BH240" s="311">
        <v>0</v>
      </c>
      <c r="BI240" s="312">
        <v>23.23008849557522</v>
      </c>
      <c r="BJ240" s="313">
        <v>6.3</v>
      </c>
      <c r="BK240" s="313">
        <v>6.4</v>
      </c>
      <c r="BL240" s="313">
        <v>5.7</v>
      </c>
      <c r="BM240" s="313">
        <v>4.3</v>
      </c>
      <c r="BN240" s="313">
        <v>4.4000000000000004</v>
      </c>
      <c r="BO240" s="313">
        <v>4</v>
      </c>
      <c r="BP240" s="313">
        <v>5</v>
      </c>
      <c r="BQ240" s="313">
        <v>5.3</v>
      </c>
      <c r="BR240" s="313">
        <v>7.1</v>
      </c>
      <c r="BS240" s="313">
        <v>6.8</v>
      </c>
      <c r="BT240" s="313">
        <v>4.5</v>
      </c>
      <c r="BU240" s="313">
        <v>8.1</v>
      </c>
      <c r="BV240" s="313">
        <v>9.3000000000000007</v>
      </c>
      <c r="BW240" s="313">
        <v>9.5</v>
      </c>
      <c r="BX240" s="313">
        <v>5</v>
      </c>
      <c r="BY240" s="313">
        <v>3.6</v>
      </c>
      <c r="BZ240" s="313">
        <v>3</v>
      </c>
      <c r="CA240" s="313">
        <v>1.8</v>
      </c>
      <c r="CB240" s="313">
        <v>18.399999999999999</v>
      </c>
      <c r="CC240" s="313">
        <v>58.8</v>
      </c>
      <c r="CD240" s="313">
        <v>22.900000000000002</v>
      </c>
    </row>
    <row r="241" spans="1:82" x14ac:dyDescent="0.25">
      <c r="A241" s="130" t="s">
        <v>5139</v>
      </c>
      <c r="B241" s="130" t="s">
        <v>232</v>
      </c>
      <c r="C241" s="130" t="s">
        <v>5140</v>
      </c>
      <c r="D241" s="130" t="s">
        <v>99</v>
      </c>
      <c r="E241" s="130" t="s">
        <v>5133</v>
      </c>
      <c r="F241" s="130" t="s">
        <v>4272</v>
      </c>
      <c r="G241" s="130" t="s">
        <v>5141</v>
      </c>
      <c r="H241" s="309">
        <v>540156</v>
      </c>
      <c r="I241" s="277" t="s">
        <v>1626</v>
      </c>
      <c r="J241" s="130">
        <v>5471356</v>
      </c>
      <c r="K241" s="130" t="s">
        <v>5142</v>
      </c>
      <c r="L241" s="310">
        <v>1.0256125133194001</v>
      </c>
      <c r="M241" s="311">
        <v>1839</v>
      </c>
      <c r="N241" s="312">
        <v>1793.0748466085572</v>
      </c>
      <c r="O241" s="311">
        <v>832</v>
      </c>
      <c r="P241" s="312">
        <v>2.21</v>
      </c>
      <c r="Q241" s="311">
        <v>1839</v>
      </c>
      <c r="R241" s="311">
        <v>39</v>
      </c>
      <c r="S241" s="311">
        <v>74</v>
      </c>
      <c r="T241" s="311">
        <v>30</v>
      </c>
      <c r="U241" s="311">
        <v>42</v>
      </c>
      <c r="V241" s="311">
        <v>54</v>
      </c>
      <c r="W241" s="311">
        <v>69</v>
      </c>
      <c r="X241" s="311">
        <v>32</v>
      </c>
      <c r="Y241" s="311">
        <v>50</v>
      </c>
      <c r="Z241" s="311">
        <v>40</v>
      </c>
      <c r="AA241" s="311">
        <v>44</v>
      </c>
      <c r="AB241" s="311">
        <v>104</v>
      </c>
      <c r="AC241" s="311">
        <v>85</v>
      </c>
      <c r="AD241" s="311">
        <v>62</v>
      </c>
      <c r="AE241" s="311">
        <v>42</v>
      </c>
      <c r="AF241" s="311">
        <v>53</v>
      </c>
      <c r="AG241" s="311">
        <v>12</v>
      </c>
      <c r="AH241" s="312">
        <v>17.1875</v>
      </c>
      <c r="AI241" s="312">
        <v>11.538461538461538</v>
      </c>
      <c r="AJ241" s="312">
        <v>22.956730769230766</v>
      </c>
      <c r="AK241" s="312">
        <v>5.2884615384615383</v>
      </c>
      <c r="AL241" s="312">
        <v>43.028846153846153</v>
      </c>
      <c r="AM241" s="311">
        <v>28041</v>
      </c>
      <c r="AN241" s="311">
        <v>47941</v>
      </c>
      <c r="AO241" s="312">
        <v>46.875</v>
      </c>
      <c r="AP241" s="311">
        <v>832</v>
      </c>
      <c r="AQ241" s="311">
        <v>169</v>
      </c>
      <c r="AR241" s="311">
        <v>690</v>
      </c>
      <c r="AS241" s="311">
        <v>142</v>
      </c>
      <c r="AT241" s="311">
        <v>15</v>
      </c>
      <c r="AU241" s="311">
        <v>27</v>
      </c>
      <c r="AV241" s="311">
        <v>88</v>
      </c>
      <c r="AW241" s="311">
        <v>61</v>
      </c>
      <c r="AX241" s="311">
        <v>42</v>
      </c>
      <c r="AY241" s="311">
        <v>62</v>
      </c>
      <c r="AZ241" s="311">
        <v>68</v>
      </c>
      <c r="BA241" s="311">
        <v>34</v>
      </c>
      <c r="BB241" s="311">
        <v>20</v>
      </c>
      <c r="BC241" s="311">
        <v>135</v>
      </c>
      <c r="BD241" s="311">
        <v>8</v>
      </c>
      <c r="BE241" s="311">
        <v>5</v>
      </c>
      <c r="BF241" s="311">
        <v>254</v>
      </c>
      <c r="BG241" s="311">
        <v>0</v>
      </c>
      <c r="BH241" s="311">
        <v>0</v>
      </c>
      <c r="BI241" s="312">
        <v>21.033653846153847</v>
      </c>
      <c r="BJ241" s="313">
        <v>3.2</v>
      </c>
      <c r="BK241" s="313">
        <v>6.1</v>
      </c>
      <c r="BL241" s="313">
        <v>3.7</v>
      </c>
      <c r="BM241" s="313">
        <v>5.0999999999999996</v>
      </c>
      <c r="BN241" s="313">
        <v>4.5999999999999996</v>
      </c>
      <c r="BO241" s="313">
        <v>5.2</v>
      </c>
      <c r="BP241" s="313">
        <v>6.3</v>
      </c>
      <c r="BQ241" s="313">
        <v>4.5</v>
      </c>
      <c r="BR241" s="313">
        <v>5.9</v>
      </c>
      <c r="BS241" s="313">
        <v>6.6</v>
      </c>
      <c r="BT241" s="313">
        <v>10.9</v>
      </c>
      <c r="BU241" s="313">
        <v>8.3000000000000007</v>
      </c>
      <c r="BV241" s="313">
        <v>8</v>
      </c>
      <c r="BW241" s="313">
        <v>5.8</v>
      </c>
      <c r="BX241" s="313">
        <v>5.2</v>
      </c>
      <c r="BY241" s="313">
        <v>4.2</v>
      </c>
      <c r="BZ241" s="313">
        <v>2.2999999999999998</v>
      </c>
      <c r="CA241" s="313">
        <v>4</v>
      </c>
      <c r="CB241" s="313">
        <v>13</v>
      </c>
      <c r="CC241" s="313">
        <v>65.400000000000006</v>
      </c>
      <c r="CD241" s="313">
        <v>21.5</v>
      </c>
    </row>
    <row r="242" spans="1:82" s="322" customFormat="1" x14ac:dyDescent="0.25">
      <c r="A242" s="314" t="s">
        <v>5143</v>
      </c>
      <c r="B242" s="315" t="s">
        <v>348</v>
      </c>
      <c r="C242" s="314"/>
      <c r="D242" s="314"/>
      <c r="E242" s="314"/>
      <c r="F242" s="314"/>
      <c r="G242" s="314"/>
      <c r="H242" s="316"/>
      <c r="I242" s="317"/>
      <c r="J242" s="314">
        <v>54073</v>
      </c>
      <c r="K242" s="314" t="s">
        <v>5144</v>
      </c>
      <c r="L242" s="318">
        <v>134.45170650347009</v>
      </c>
      <c r="M242" s="319">
        <v>7527</v>
      </c>
      <c r="N242" s="320">
        <v>55.982926477811077</v>
      </c>
      <c r="O242" s="319">
        <v>2868</v>
      </c>
      <c r="P242" s="320">
        <v>2.4300000000000002</v>
      </c>
      <c r="Q242" s="319">
        <v>6965</v>
      </c>
      <c r="R242" s="319">
        <v>188</v>
      </c>
      <c r="S242" s="319">
        <v>154</v>
      </c>
      <c r="T242" s="319">
        <v>164</v>
      </c>
      <c r="U242" s="319">
        <v>138</v>
      </c>
      <c r="V242" s="319">
        <v>222</v>
      </c>
      <c r="W242" s="319">
        <v>221</v>
      </c>
      <c r="X242" s="319">
        <v>149</v>
      </c>
      <c r="Y242" s="319">
        <v>196</v>
      </c>
      <c r="Z242" s="319">
        <v>57</v>
      </c>
      <c r="AA242" s="319">
        <v>204</v>
      </c>
      <c r="AB242" s="319">
        <v>347</v>
      </c>
      <c r="AC242" s="319">
        <v>294</v>
      </c>
      <c r="AD242" s="319">
        <v>176</v>
      </c>
      <c r="AE242" s="319">
        <v>142</v>
      </c>
      <c r="AF242" s="319">
        <v>165</v>
      </c>
      <c r="AG242" s="319">
        <v>51</v>
      </c>
      <c r="AH242" s="320">
        <v>17.642956764295675</v>
      </c>
      <c r="AI242" s="320">
        <v>12.552301255230125</v>
      </c>
      <c r="AJ242" s="320">
        <v>21.722454672245465</v>
      </c>
      <c r="AK242" s="320">
        <v>7.1129707112970717</v>
      </c>
      <c r="AL242" s="320">
        <v>40.969316596931662</v>
      </c>
      <c r="AM242" s="319">
        <v>24605</v>
      </c>
      <c r="AN242" s="319">
        <v>45152</v>
      </c>
      <c r="AO242" s="320">
        <v>49.930264993026505</v>
      </c>
      <c r="AP242" s="319">
        <v>2868</v>
      </c>
      <c r="AQ242" s="319">
        <v>526</v>
      </c>
      <c r="AR242" s="319">
        <v>2340</v>
      </c>
      <c r="AS242" s="319">
        <v>528</v>
      </c>
      <c r="AT242" s="319">
        <v>58</v>
      </c>
      <c r="AU242" s="319">
        <v>92</v>
      </c>
      <c r="AV242" s="319">
        <v>306</v>
      </c>
      <c r="AW242" s="319">
        <v>284</v>
      </c>
      <c r="AX242" s="319">
        <v>155</v>
      </c>
      <c r="AY242" s="319">
        <v>142</v>
      </c>
      <c r="AZ242" s="319">
        <v>198</v>
      </c>
      <c r="BA242" s="319">
        <v>159</v>
      </c>
      <c r="BB242" s="319">
        <v>42</v>
      </c>
      <c r="BC242" s="319">
        <v>424</v>
      </c>
      <c r="BD242" s="319">
        <v>48</v>
      </c>
      <c r="BE242" s="319">
        <v>25</v>
      </c>
      <c r="BF242" s="319">
        <v>803</v>
      </c>
      <c r="BG242" s="319">
        <v>25</v>
      </c>
      <c r="BH242" s="319">
        <v>0</v>
      </c>
      <c r="BI242" s="320">
        <v>17.956764295676429</v>
      </c>
      <c r="BJ242" s="321">
        <v>4.5999999999999996</v>
      </c>
      <c r="BK242" s="321">
        <v>5.0999999999999996</v>
      </c>
      <c r="BL242" s="321">
        <v>5.8</v>
      </c>
      <c r="BM242" s="321">
        <v>5.5</v>
      </c>
      <c r="BN242" s="321">
        <v>6.7</v>
      </c>
      <c r="BO242" s="321">
        <v>5.6</v>
      </c>
      <c r="BP242" s="321">
        <v>6</v>
      </c>
      <c r="BQ242" s="321">
        <v>5.8</v>
      </c>
      <c r="BR242" s="321">
        <v>7.6</v>
      </c>
      <c r="BS242" s="321">
        <v>7.3</v>
      </c>
      <c r="BT242" s="321">
        <v>7.9</v>
      </c>
      <c r="BU242" s="321">
        <v>7.7</v>
      </c>
      <c r="BV242" s="321">
        <v>6.5</v>
      </c>
      <c r="BW242" s="321">
        <v>5.4</v>
      </c>
      <c r="BX242" s="321">
        <v>5.2</v>
      </c>
      <c r="BY242" s="321">
        <v>3.2</v>
      </c>
      <c r="BZ242" s="321">
        <v>2.2999999999999998</v>
      </c>
      <c r="CA242" s="321">
        <v>1.8</v>
      </c>
      <c r="CB242" s="321">
        <v>15.5</v>
      </c>
      <c r="CC242" s="321">
        <v>66.599999999999994</v>
      </c>
      <c r="CD242" s="321">
        <v>17.900000000000002</v>
      </c>
    </row>
    <row r="243" spans="1:82" s="308" customFormat="1" x14ac:dyDescent="0.25">
      <c r="A243" s="301" t="s">
        <v>5145</v>
      </c>
      <c r="B243" s="301" t="s">
        <v>108</v>
      </c>
      <c r="C243" s="301" t="s">
        <v>5146</v>
      </c>
      <c r="D243" s="301" t="s">
        <v>109</v>
      </c>
      <c r="E243" s="301" t="s">
        <v>5147</v>
      </c>
      <c r="F243" s="301" t="s">
        <v>4272</v>
      </c>
      <c r="G243" s="301" t="s">
        <v>5148</v>
      </c>
      <c r="H243" s="302">
        <v>540283</v>
      </c>
      <c r="I243" s="303" t="s">
        <v>1641</v>
      </c>
      <c r="J243" s="301" t="s">
        <v>488</v>
      </c>
      <c r="K243" s="301" t="s">
        <v>488</v>
      </c>
      <c r="L243" s="304">
        <v>937.768538281264</v>
      </c>
      <c r="M243" s="305">
        <v>6944</v>
      </c>
      <c r="N243" s="306">
        <v>7.4048122927294164</v>
      </c>
      <c r="O243" s="305">
        <v>2971</v>
      </c>
      <c r="P243" s="306">
        <v>2.2558061258835407</v>
      </c>
      <c r="Q243" s="305">
        <v>6702</v>
      </c>
      <c r="R243" s="305">
        <v>170</v>
      </c>
      <c r="S243" s="305">
        <v>145</v>
      </c>
      <c r="T243" s="305">
        <v>317</v>
      </c>
      <c r="U243" s="305">
        <v>254</v>
      </c>
      <c r="V243" s="305">
        <v>254</v>
      </c>
      <c r="W243" s="305">
        <v>208</v>
      </c>
      <c r="X243" s="305">
        <v>119</v>
      </c>
      <c r="Y243" s="305">
        <v>133</v>
      </c>
      <c r="Z243" s="305">
        <v>163</v>
      </c>
      <c r="AA243" s="305">
        <v>210</v>
      </c>
      <c r="AB243" s="305">
        <v>313</v>
      </c>
      <c r="AC243" s="305">
        <v>280</v>
      </c>
      <c r="AD243" s="305">
        <v>198</v>
      </c>
      <c r="AE243" s="305">
        <v>131</v>
      </c>
      <c r="AF243" s="305">
        <v>45</v>
      </c>
      <c r="AG243" s="305">
        <v>31</v>
      </c>
      <c r="AH243" s="306">
        <v>21.272298889262874</v>
      </c>
      <c r="AI243" s="306">
        <v>17.098619993268262</v>
      </c>
      <c r="AJ243" s="306">
        <v>20.969370582295525</v>
      </c>
      <c r="AK243" s="306">
        <v>7.0683271625715252</v>
      </c>
      <c r="AL243" s="306">
        <v>33.591383372601818</v>
      </c>
      <c r="AM243" s="305">
        <v>23219</v>
      </c>
      <c r="AN243" s="305">
        <v>37111</v>
      </c>
      <c r="AO243" s="306">
        <v>53.85392123864019</v>
      </c>
      <c r="AP243" s="305">
        <v>2971</v>
      </c>
      <c r="AQ243" s="305">
        <v>4957</v>
      </c>
      <c r="AR243" s="305">
        <v>2565</v>
      </c>
      <c r="AS243" s="305">
        <v>406</v>
      </c>
      <c r="AT243" s="305">
        <v>185</v>
      </c>
      <c r="AU243" s="305">
        <v>136</v>
      </c>
      <c r="AV243" s="305">
        <v>222</v>
      </c>
      <c r="AW243" s="305">
        <v>425</v>
      </c>
      <c r="AX243" s="305">
        <v>107</v>
      </c>
      <c r="AY243" s="305">
        <v>153</v>
      </c>
      <c r="AZ243" s="305">
        <v>268</v>
      </c>
      <c r="BA243" s="305">
        <v>98</v>
      </c>
      <c r="BB243" s="305">
        <v>39</v>
      </c>
      <c r="BC243" s="305">
        <v>479</v>
      </c>
      <c r="BD243" s="305">
        <v>16</v>
      </c>
      <c r="BE243" s="305">
        <v>20</v>
      </c>
      <c r="BF243" s="305">
        <v>652</v>
      </c>
      <c r="BG243" s="305">
        <v>16</v>
      </c>
      <c r="BH243" s="305">
        <v>0</v>
      </c>
      <c r="BI243" s="306">
        <v>14.607876135981151</v>
      </c>
      <c r="BJ243" s="307">
        <v>5</v>
      </c>
      <c r="BK243" s="307">
        <v>4.4000000000000004</v>
      </c>
      <c r="BL243" s="307">
        <v>4.9000000000000004</v>
      </c>
      <c r="BM243" s="307">
        <v>4.3</v>
      </c>
      <c r="BN243" s="307">
        <v>5</v>
      </c>
      <c r="BO243" s="307">
        <v>5.3</v>
      </c>
      <c r="BP243" s="307">
        <v>5.4</v>
      </c>
      <c r="BQ243" s="307">
        <v>6.6</v>
      </c>
      <c r="BR243" s="307">
        <v>4.3</v>
      </c>
      <c r="BS243" s="307">
        <v>6.6</v>
      </c>
      <c r="BT243" s="307">
        <v>7.7</v>
      </c>
      <c r="BU243" s="307">
        <v>8.1</v>
      </c>
      <c r="BV243" s="307">
        <v>9.1</v>
      </c>
      <c r="BW243" s="307">
        <v>8.8000000000000007</v>
      </c>
      <c r="BX243" s="307">
        <v>5.0999999999999996</v>
      </c>
      <c r="BY243" s="307">
        <v>5.0999999999999996</v>
      </c>
      <c r="BZ243" s="307">
        <v>2.4</v>
      </c>
      <c r="CA243" s="307">
        <v>1.8</v>
      </c>
      <c r="CB243" s="307">
        <v>14.3</v>
      </c>
      <c r="CC243" s="307">
        <v>62.400000000000006</v>
      </c>
      <c r="CD243" s="307">
        <v>23.2</v>
      </c>
    </row>
    <row r="244" spans="1:82" x14ac:dyDescent="0.25">
      <c r="A244" s="130" t="s">
        <v>5149</v>
      </c>
      <c r="B244" s="130" t="s">
        <v>233</v>
      </c>
      <c r="C244" s="130" t="s">
        <v>5150</v>
      </c>
      <c r="D244" s="130" t="s">
        <v>109</v>
      </c>
      <c r="E244" s="130" t="s">
        <v>5147</v>
      </c>
      <c r="F244" s="130" t="s">
        <v>4272</v>
      </c>
      <c r="G244" s="130" t="s">
        <v>5151</v>
      </c>
      <c r="H244" s="309">
        <v>540158</v>
      </c>
      <c r="I244" s="277" t="s">
        <v>1642</v>
      </c>
      <c r="J244" s="130">
        <v>5422852</v>
      </c>
      <c r="K244" s="130" t="s">
        <v>5152</v>
      </c>
      <c r="L244" s="310">
        <v>0.57171139009904581</v>
      </c>
      <c r="M244" s="311">
        <v>260</v>
      </c>
      <c r="N244" s="312">
        <v>454.77491703454859</v>
      </c>
      <c r="O244" s="311">
        <v>101</v>
      </c>
      <c r="P244" s="312">
        <v>2.57</v>
      </c>
      <c r="Q244" s="311">
        <v>260</v>
      </c>
      <c r="R244" s="311">
        <v>11</v>
      </c>
      <c r="S244" s="311">
        <v>0</v>
      </c>
      <c r="T244" s="311">
        <v>5</v>
      </c>
      <c r="U244" s="311">
        <v>10</v>
      </c>
      <c r="V244" s="311">
        <v>7</v>
      </c>
      <c r="W244" s="311">
        <v>19</v>
      </c>
      <c r="X244" s="311">
        <v>11</v>
      </c>
      <c r="Y244" s="311">
        <v>2</v>
      </c>
      <c r="Z244" s="311">
        <v>7</v>
      </c>
      <c r="AA244" s="311">
        <v>8</v>
      </c>
      <c r="AB244" s="311">
        <v>11</v>
      </c>
      <c r="AC244" s="311">
        <v>4</v>
      </c>
      <c r="AD244" s="311">
        <v>0</v>
      </c>
      <c r="AE244" s="311">
        <v>0</v>
      </c>
      <c r="AF244" s="311">
        <v>6</v>
      </c>
      <c r="AG244" s="311">
        <v>0</v>
      </c>
      <c r="AH244" s="312">
        <v>15.841584158415841</v>
      </c>
      <c r="AI244" s="312">
        <v>16.831683168316832</v>
      </c>
      <c r="AJ244" s="312">
        <v>38.613861386138616</v>
      </c>
      <c r="AK244" s="312">
        <v>7.9207920792079207</v>
      </c>
      <c r="AL244" s="312">
        <v>20.792079207920793</v>
      </c>
      <c r="AM244" s="311">
        <v>19804</v>
      </c>
      <c r="AN244" s="311">
        <v>33750</v>
      </c>
      <c r="AO244" s="312">
        <v>64.356435643564353</v>
      </c>
      <c r="AP244" s="311">
        <v>101</v>
      </c>
      <c r="AQ244" s="311">
        <v>63</v>
      </c>
      <c r="AR244" s="311">
        <v>66</v>
      </c>
      <c r="AS244" s="311">
        <v>35</v>
      </c>
      <c r="AT244" s="311">
        <v>5</v>
      </c>
      <c r="AU244" s="311">
        <v>2</v>
      </c>
      <c r="AV244" s="311">
        <v>9</v>
      </c>
      <c r="AW244" s="311">
        <v>17</v>
      </c>
      <c r="AX244" s="311">
        <v>11</v>
      </c>
      <c r="AY244" s="311">
        <v>6</v>
      </c>
      <c r="AZ244" s="311">
        <v>9</v>
      </c>
      <c r="BA244" s="311">
        <v>2</v>
      </c>
      <c r="BB244" s="311">
        <v>9</v>
      </c>
      <c r="BC244" s="311">
        <v>17</v>
      </c>
      <c r="BD244" s="311">
        <v>0</v>
      </c>
      <c r="BE244" s="311">
        <v>2</v>
      </c>
      <c r="BF244" s="311">
        <v>10</v>
      </c>
      <c r="BG244" s="311">
        <v>0</v>
      </c>
      <c r="BH244" s="311">
        <v>0</v>
      </c>
      <c r="BI244" s="312">
        <v>25.742574257425744</v>
      </c>
      <c r="BJ244" s="313">
        <v>1.5</v>
      </c>
      <c r="BK244" s="313">
        <v>13.8</v>
      </c>
      <c r="BL244" s="313">
        <v>4.5999999999999996</v>
      </c>
      <c r="BM244" s="313">
        <v>7.3</v>
      </c>
      <c r="BN244" s="313">
        <v>15</v>
      </c>
      <c r="BO244" s="313">
        <v>5</v>
      </c>
      <c r="BP244" s="313">
        <v>6.2</v>
      </c>
      <c r="BQ244" s="313">
        <v>6.5</v>
      </c>
      <c r="BR244" s="313">
        <v>5.4</v>
      </c>
      <c r="BS244" s="313">
        <v>10</v>
      </c>
      <c r="BT244" s="313">
        <v>5.8</v>
      </c>
      <c r="BU244" s="313">
        <v>1.5</v>
      </c>
      <c r="BV244" s="313">
        <v>2.7</v>
      </c>
      <c r="BW244" s="313">
        <v>6.2</v>
      </c>
      <c r="BX244" s="313">
        <v>4.2</v>
      </c>
      <c r="BY244" s="313">
        <v>2.7</v>
      </c>
      <c r="BZ244" s="313">
        <v>1.5</v>
      </c>
      <c r="CA244" s="313">
        <v>0</v>
      </c>
      <c r="CB244" s="313">
        <v>19.899999999999999</v>
      </c>
      <c r="CC244" s="313">
        <v>65.399999999999991</v>
      </c>
      <c r="CD244" s="313">
        <v>14.600000000000001</v>
      </c>
    </row>
    <row r="245" spans="1:82" x14ac:dyDescent="0.25">
      <c r="A245" s="130" t="s">
        <v>5153</v>
      </c>
      <c r="B245" s="130" t="s">
        <v>340</v>
      </c>
      <c r="C245" s="130" t="s">
        <v>5154</v>
      </c>
      <c r="D245" s="130" t="s">
        <v>109</v>
      </c>
      <c r="E245" s="130" t="s">
        <v>5147</v>
      </c>
      <c r="F245" s="130" t="s">
        <v>4272</v>
      </c>
      <c r="G245" s="130" t="s">
        <v>5155</v>
      </c>
      <c r="H245" s="309">
        <v>540288</v>
      </c>
      <c r="I245" s="277" t="s">
        <v>1644</v>
      </c>
      <c r="J245" s="130">
        <v>5437372</v>
      </c>
      <c r="K245" s="130" t="s">
        <v>5156</v>
      </c>
      <c r="L245" s="310">
        <v>0.3588465276439109</v>
      </c>
      <c r="M245" s="311">
        <v>222</v>
      </c>
      <c r="N245" s="312">
        <v>618.6488732595293</v>
      </c>
      <c r="O245" s="311">
        <v>99</v>
      </c>
      <c r="P245" s="312">
        <v>2.2400000000000002</v>
      </c>
      <c r="Q245" s="311">
        <v>222</v>
      </c>
      <c r="R245" s="311">
        <v>16</v>
      </c>
      <c r="S245" s="311">
        <v>15</v>
      </c>
      <c r="T245" s="311">
        <v>16</v>
      </c>
      <c r="U245" s="311">
        <v>0</v>
      </c>
      <c r="V245" s="311">
        <v>12</v>
      </c>
      <c r="W245" s="311">
        <v>10</v>
      </c>
      <c r="X245" s="311">
        <v>3</v>
      </c>
      <c r="Y245" s="311">
        <v>10</v>
      </c>
      <c r="Z245" s="311">
        <v>3</v>
      </c>
      <c r="AA245" s="311">
        <v>7</v>
      </c>
      <c r="AB245" s="311">
        <v>1</v>
      </c>
      <c r="AC245" s="311">
        <v>6</v>
      </c>
      <c r="AD245" s="311">
        <v>0</v>
      </c>
      <c r="AE245" s="311">
        <v>0</v>
      </c>
      <c r="AF245" s="311">
        <v>0</v>
      </c>
      <c r="AG245" s="311">
        <v>0</v>
      </c>
      <c r="AH245" s="312">
        <v>47.474747474747474</v>
      </c>
      <c r="AI245" s="312">
        <v>12.121212121212121</v>
      </c>
      <c r="AJ245" s="312">
        <v>26.262626262626267</v>
      </c>
      <c r="AK245" s="312">
        <v>7.0707070707070701</v>
      </c>
      <c r="AL245" s="312">
        <v>7.0707070707070701</v>
      </c>
      <c r="AM245" s="311">
        <v>12956</v>
      </c>
      <c r="AN245" s="311">
        <v>25781</v>
      </c>
      <c r="AO245" s="312">
        <v>82.828282828282823</v>
      </c>
      <c r="AP245" s="311">
        <v>99</v>
      </c>
      <c r="AQ245" s="311">
        <v>51</v>
      </c>
      <c r="AR245" s="311">
        <v>65</v>
      </c>
      <c r="AS245" s="311">
        <v>34</v>
      </c>
      <c r="AT245" s="311">
        <v>21</v>
      </c>
      <c r="AU245" s="311">
        <v>0</v>
      </c>
      <c r="AV245" s="311">
        <v>19</v>
      </c>
      <c r="AW245" s="311">
        <v>10</v>
      </c>
      <c r="AX245" s="311">
        <v>7</v>
      </c>
      <c r="AY245" s="311">
        <v>2</v>
      </c>
      <c r="AZ245" s="311">
        <v>11</v>
      </c>
      <c r="BA245" s="311">
        <v>0</v>
      </c>
      <c r="BB245" s="311">
        <v>2</v>
      </c>
      <c r="BC245" s="311">
        <v>5</v>
      </c>
      <c r="BD245" s="311">
        <v>3</v>
      </c>
      <c r="BE245" s="311">
        <v>0</v>
      </c>
      <c r="BF245" s="311">
        <v>6</v>
      </c>
      <c r="BG245" s="311">
        <v>0</v>
      </c>
      <c r="BH245" s="311">
        <v>0</v>
      </c>
      <c r="BI245" s="312">
        <v>23.232323232323232</v>
      </c>
      <c r="BJ245" s="313">
        <v>5.9</v>
      </c>
      <c r="BK245" s="313">
        <v>2.7</v>
      </c>
      <c r="BL245" s="313">
        <v>10.8</v>
      </c>
      <c r="BM245" s="313">
        <v>5.9</v>
      </c>
      <c r="BN245" s="313">
        <v>5</v>
      </c>
      <c r="BO245" s="313">
        <v>3.2</v>
      </c>
      <c r="BP245" s="313">
        <v>11.3</v>
      </c>
      <c r="BQ245" s="313">
        <v>9.9</v>
      </c>
      <c r="BR245" s="313">
        <v>7.2</v>
      </c>
      <c r="BS245" s="313">
        <v>2.7</v>
      </c>
      <c r="BT245" s="313">
        <v>9</v>
      </c>
      <c r="BU245" s="313">
        <v>2.2999999999999998</v>
      </c>
      <c r="BV245" s="313">
        <v>4.0999999999999996</v>
      </c>
      <c r="BW245" s="313">
        <v>4.0999999999999996</v>
      </c>
      <c r="BX245" s="313">
        <v>5.4</v>
      </c>
      <c r="BY245" s="313">
        <v>5.4</v>
      </c>
      <c r="BZ245" s="313">
        <v>4.5</v>
      </c>
      <c r="CA245" s="313">
        <v>0.9</v>
      </c>
      <c r="CB245" s="313">
        <v>19.400000000000002</v>
      </c>
      <c r="CC245" s="313">
        <v>60.600000000000009</v>
      </c>
      <c r="CD245" s="313">
        <v>20.299999999999997</v>
      </c>
    </row>
    <row r="246" spans="1:82" x14ac:dyDescent="0.25">
      <c r="A246" s="130" t="s">
        <v>5157</v>
      </c>
      <c r="B246" s="130" t="s">
        <v>234</v>
      </c>
      <c r="C246" s="130" t="s">
        <v>5158</v>
      </c>
      <c r="D246" s="130" t="s">
        <v>109</v>
      </c>
      <c r="E246" s="130" t="s">
        <v>5147</v>
      </c>
      <c r="F246" s="130" t="s">
        <v>4272</v>
      </c>
      <c r="G246" s="130" t="s">
        <v>5159</v>
      </c>
      <c r="H246" s="309">
        <v>540159</v>
      </c>
      <c r="I246" s="277" t="s">
        <v>1643</v>
      </c>
      <c r="J246" s="130">
        <v>5451676</v>
      </c>
      <c r="K246" s="130" t="s">
        <v>5160</v>
      </c>
      <c r="L246" s="310">
        <v>2.4454411820101085</v>
      </c>
      <c r="M246" s="311">
        <v>1148</v>
      </c>
      <c r="N246" s="312">
        <v>469.44494451359679</v>
      </c>
      <c r="O246" s="311">
        <v>476</v>
      </c>
      <c r="P246" s="312">
        <v>2.29</v>
      </c>
      <c r="Q246" s="311">
        <v>1091</v>
      </c>
      <c r="R246" s="311">
        <v>106</v>
      </c>
      <c r="S246" s="311">
        <v>44</v>
      </c>
      <c r="T246" s="311">
        <v>18</v>
      </c>
      <c r="U246" s="311">
        <v>60</v>
      </c>
      <c r="V246" s="311">
        <v>51</v>
      </c>
      <c r="W246" s="311">
        <v>13</v>
      </c>
      <c r="X246" s="311">
        <v>32</v>
      </c>
      <c r="Y246" s="311">
        <v>16</v>
      </c>
      <c r="Z246" s="311">
        <v>28</v>
      </c>
      <c r="AA246" s="311">
        <v>24</v>
      </c>
      <c r="AB246" s="311">
        <v>17</v>
      </c>
      <c r="AC246" s="311">
        <v>21</v>
      </c>
      <c r="AD246" s="311">
        <v>20</v>
      </c>
      <c r="AE246" s="311">
        <v>6</v>
      </c>
      <c r="AF246" s="311">
        <v>18</v>
      </c>
      <c r="AG246" s="311">
        <v>2</v>
      </c>
      <c r="AH246" s="312">
        <v>35.294117647058826</v>
      </c>
      <c r="AI246" s="312">
        <v>23.319327731092436</v>
      </c>
      <c r="AJ246" s="312">
        <v>18.69747899159664</v>
      </c>
      <c r="AK246" s="312">
        <v>5.0420168067226889</v>
      </c>
      <c r="AL246" s="312">
        <v>17.647058823529413</v>
      </c>
      <c r="AM246" s="311">
        <v>17850</v>
      </c>
      <c r="AN246" s="311">
        <v>25833</v>
      </c>
      <c r="AO246" s="312">
        <v>71.428571428571431</v>
      </c>
      <c r="AP246" s="311">
        <v>476</v>
      </c>
      <c r="AQ246" s="311">
        <v>185</v>
      </c>
      <c r="AR246" s="311">
        <v>284</v>
      </c>
      <c r="AS246" s="311">
        <v>192</v>
      </c>
      <c r="AT246" s="311">
        <v>0</v>
      </c>
      <c r="AU246" s="311">
        <v>47</v>
      </c>
      <c r="AV246" s="311">
        <v>109</v>
      </c>
      <c r="AW246" s="311">
        <v>28</v>
      </c>
      <c r="AX246" s="311">
        <v>27</v>
      </c>
      <c r="AY246" s="311">
        <v>51</v>
      </c>
      <c r="AZ246" s="311">
        <v>30</v>
      </c>
      <c r="BA246" s="311">
        <v>46</v>
      </c>
      <c r="BB246" s="311">
        <v>0</v>
      </c>
      <c r="BC246" s="311">
        <v>29</v>
      </c>
      <c r="BD246" s="311">
        <v>3</v>
      </c>
      <c r="BE246" s="311">
        <v>5</v>
      </c>
      <c r="BF246" s="311">
        <v>65</v>
      </c>
      <c r="BG246" s="311">
        <v>0</v>
      </c>
      <c r="BH246" s="311">
        <v>0</v>
      </c>
      <c r="BI246" s="312">
        <v>34.663865546218489</v>
      </c>
      <c r="BJ246" s="313">
        <v>5.7</v>
      </c>
      <c r="BK246" s="313">
        <v>4.7</v>
      </c>
      <c r="BL246" s="313">
        <v>7.1</v>
      </c>
      <c r="BM246" s="313">
        <v>6.3</v>
      </c>
      <c r="BN246" s="313">
        <v>5.0999999999999996</v>
      </c>
      <c r="BO246" s="313">
        <v>4.9000000000000004</v>
      </c>
      <c r="BP246" s="313">
        <v>9.1</v>
      </c>
      <c r="BQ246" s="313">
        <v>5.3</v>
      </c>
      <c r="BR246" s="313">
        <v>5.5</v>
      </c>
      <c r="BS246" s="313">
        <v>3.9</v>
      </c>
      <c r="BT246" s="313">
        <v>3.7</v>
      </c>
      <c r="BU246" s="313">
        <v>12.5</v>
      </c>
      <c r="BV246" s="313">
        <v>7.8</v>
      </c>
      <c r="BW246" s="313">
        <v>4.5999999999999996</v>
      </c>
      <c r="BX246" s="313">
        <v>4.4000000000000004</v>
      </c>
      <c r="BY246" s="313">
        <v>3.7</v>
      </c>
      <c r="BZ246" s="313">
        <v>2.8</v>
      </c>
      <c r="CA246" s="313">
        <v>2.7</v>
      </c>
      <c r="CB246" s="313">
        <v>17.5</v>
      </c>
      <c r="CC246" s="313">
        <v>64.100000000000009</v>
      </c>
      <c r="CD246" s="313">
        <v>18.2</v>
      </c>
    </row>
    <row r="247" spans="1:82" s="322" customFormat="1" x14ac:dyDescent="0.25">
      <c r="A247" s="314" t="s">
        <v>5161</v>
      </c>
      <c r="B247" s="315" t="s">
        <v>348</v>
      </c>
      <c r="C247" s="314"/>
      <c r="D247" s="314"/>
      <c r="E247" s="314"/>
      <c r="F247" s="314"/>
      <c r="G247" s="314"/>
      <c r="H247" s="316"/>
      <c r="I247" s="317"/>
      <c r="J247" s="314">
        <v>54075</v>
      </c>
      <c r="K247" s="314" t="s">
        <v>5162</v>
      </c>
      <c r="L247" s="318">
        <v>941.14453738101702</v>
      </c>
      <c r="M247" s="319">
        <v>8574</v>
      </c>
      <c r="N247" s="320">
        <v>9.1101840997339441</v>
      </c>
      <c r="O247" s="319">
        <v>3647</v>
      </c>
      <c r="P247" s="320">
        <v>2.27</v>
      </c>
      <c r="Q247" s="319">
        <v>8275</v>
      </c>
      <c r="R247" s="319">
        <v>303</v>
      </c>
      <c r="S247" s="319">
        <v>204</v>
      </c>
      <c r="T247" s="319">
        <v>356</v>
      </c>
      <c r="U247" s="319">
        <v>324</v>
      </c>
      <c r="V247" s="319">
        <v>324</v>
      </c>
      <c r="W247" s="319">
        <v>250</v>
      </c>
      <c r="X247" s="319">
        <v>165</v>
      </c>
      <c r="Y247" s="319">
        <v>161</v>
      </c>
      <c r="Z247" s="319">
        <v>201</v>
      </c>
      <c r="AA247" s="319">
        <v>249</v>
      </c>
      <c r="AB247" s="319">
        <v>342</v>
      </c>
      <c r="AC247" s="319">
        <v>311</v>
      </c>
      <c r="AD247" s="319">
        <v>218</v>
      </c>
      <c r="AE247" s="319">
        <v>137</v>
      </c>
      <c r="AF247" s="319">
        <v>69</v>
      </c>
      <c r="AG247" s="319">
        <v>33</v>
      </c>
      <c r="AH247" s="320">
        <v>23.663284891691802</v>
      </c>
      <c r="AI247" s="320">
        <v>17.768028516588977</v>
      </c>
      <c r="AJ247" s="320">
        <v>21.305182341650671</v>
      </c>
      <c r="AK247" s="320">
        <v>6.8275294762818755</v>
      </c>
      <c r="AL247" s="320">
        <v>30.435974773786672</v>
      </c>
      <c r="AM247" s="319">
        <v>23219</v>
      </c>
      <c r="AN247" s="319">
        <v>37111</v>
      </c>
      <c r="AO247" s="320">
        <v>57.225116534137641</v>
      </c>
      <c r="AP247" s="319">
        <v>3647</v>
      </c>
      <c r="AQ247" s="319">
        <v>5256</v>
      </c>
      <c r="AR247" s="319">
        <v>2980</v>
      </c>
      <c r="AS247" s="319">
        <v>667</v>
      </c>
      <c r="AT247" s="319">
        <v>211</v>
      </c>
      <c r="AU247" s="319">
        <v>185</v>
      </c>
      <c r="AV247" s="319">
        <v>359</v>
      </c>
      <c r="AW247" s="319">
        <v>480</v>
      </c>
      <c r="AX247" s="319">
        <v>152</v>
      </c>
      <c r="AY247" s="319">
        <v>212</v>
      </c>
      <c r="AZ247" s="319">
        <v>318</v>
      </c>
      <c r="BA247" s="319">
        <v>146</v>
      </c>
      <c r="BB247" s="319">
        <v>50</v>
      </c>
      <c r="BC247" s="319">
        <v>530</v>
      </c>
      <c r="BD247" s="319">
        <v>22</v>
      </c>
      <c r="BE247" s="319">
        <v>27</v>
      </c>
      <c r="BF247" s="319">
        <v>733</v>
      </c>
      <c r="BG247" s="319">
        <v>16</v>
      </c>
      <c r="BH247" s="319">
        <v>0</v>
      </c>
      <c r="BI247" s="320">
        <v>17.768028516588977</v>
      </c>
      <c r="BJ247" s="321">
        <v>5</v>
      </c>
      <c r="BK247" s="321">
        <v>4.4000000000000004</v>
      </c>
      <c r="BL247" s="321">
        <v>4.9000000000000004</v>
      </c>
      <c r="BM247" s="321">
        <v>4.3</v>
      </c>
      <c r="BN247" s="321">
        <v>5</v>
      </c>
      <c r="BO247" s="321">
        <v>5.3</v>
      </c>
      <c r="BP247" s="321">
        <v>5.4</v>
      </c>
      <c r="BQ247" s="321">
        <v>6.6</v>
      </c>
      <c r="BR247" s="321">
        <v>4.3</v>
      </c>
      <c r="BS247" s="321">
        <v>6.6</v>
      </c>
      <c r="BT247" s="321">
        <v>7.7</v>
      </c>
      <c r="BU247" s="321">
        <v>8.1</v>
      </c>
      <c r="BV247" s="321">
        <v>9.1</v>
      </c>
      <c r="BW247" s="321">
        <v>8.8000000000000007</v>
      </c>
      <c r="BX247" s="321">
        <v>5.0999999999999996</v>
      </c>
      <c r="BY247" s="321">
        <v>5.0999999999999996</v>
      </c>
      <c r="BZ247" s="321">
        <v>2.4</v>
      </c>
      <c r="CA247" s="321">
        <v>1.8</v>
      </c>
      <c r="CB247" s="321">
        <v>14.3</v>
      </c>
      <c r="CC247" s="321">
        <v>62.400000000000006</v>
      </c>
      <c r="CD247" s="321">
        <v>23.2</v>
      </c>
    </row>
    <row r="248" spans="1:82" s="308" customFormat="1" x14ac:dyDescent="0.25">
      <c r="A248" s="301" t="s">
        <v>5163</v>
      </c>
      <c r="B248" s="301" t="s">
        <v>68</v>
      </c>
      <c r="C248" s="301" t="s">
        <v>5164</v>
      </c>
      <c r="D248" s="301" t="s">
        <v>69</v>
      </c>
      <c r="E248" s="301" t="s">
        <v>5165</v>
      </c>
      <c r="F248" s="301" t="s">
        <v>4272</v>
      </c>
      <c r="G248" s="301" t="s">
        <v>5166</v>
      </c>
      <c r="H248" s="302">
        <v>540160</v>
      </c>
      <c r="I248" s="303" t="s">
        <v>1562</v>
      </c>
      <c r="J248" s="301" t="s">
        <v>488</v>
      </c>
      <c r="K248" s="301" t="s">
        <v>488</v>
      </c>
      <c r="L248" s="304">
        <v>643.55286492031939</v>
      </c>
      <c r="M248" s="305">
        <v>26538</v>
      </c>
      <c r="N248" s="306">
        <v>41.236705555317144</v>
      </c>
      <c r="O248" s="305">
        <v>9516</v>
      </c>
      <c r="P248" s="306">
        <v>2.512084909625893</v>
      </c>
      <c r="Q248" s="305">
        <v>23905</v>
      </c>
      <c r="R248" s="305">
        <v>701</v>
      </c>
      <c r="S248" s="305">
        <v>626</v>
      </c>
      <c r="T248" s="305">
        <v>633</v>
      </c>
      <c r="U248" s="305">
        <v>500</v>
      </c>
      <c r="V248" s="305">
        <v>339</v>
      </c>
      <c r="W248" s="305">
        <v>466</v>
      </c>
      <c r="X248" s="305">
        <v>622</v>
      </c>
      <c r="Y248" s="305">
        <v>586</v>
      </c>
      <c r="Z248" s="305">
        <v>444</v>
      </c>
      <c r="AA248" s="305">
        <v>789</v>
      </c>
      <c r="AB248" s="305">
        <v>1079</v>
      </c>
      <c r="AC248" s="305">
        <v>1075</v>
      </c>
      <c r="AD248" s="305">
        <v>754</v>
      </c>
      <c r="AE248" s="305">
        <v>445</v>
      </c>
      <c r="AF248" s="305">
        <v>308</v>
      </c>
      <c r="AG248" s="305">
        <v>149</v>
      </c>
      <c r="AH248" s="306">
        <v>20.596889449348467</v>
      </c>
      <c r="AI248" s="306">
        <v>8.8167297183690625</v>
      </c>
      <c r="AJ248" s="306">
        <v>22.257250945775535</v>
      </c>
      <c r="AK248" s="306">
        <v>8.2912988650693578</v>
      </c>
      <c r="AL248" s="306">
        <v>40.037831021437583</v>
      </c>
      <c r="AM248" s="305">
        <v>22540</v>
      </c>
      <c r="AN248" s="305">
        <v>46673</v>
      </c>
      <c r="AO248" s="306">
        <v>47.005044136191678</v>
      </c>
      <c r="AP248" s="305">
        <v>9516</v>
      </c>
      <c r="AQ248" s="305">
        <v>2145</v>
      </c>
      <c r="AR248" s="305">
        <v>8005</v>
      </c>
      <c r="AS248" s="305">
        <v>1511</v>
      </c>
      <c r="AT248" s="305">
        <v>525</v>
      </c>
      <c r="AU248" s="305">
        <v>249</v>
      </c>
      <c r="AV248" s="305">
        <v>971</v>
      </c>
      <c r="AW248" s="305">
        <v>702</v>
      </c>
      <c r="AX248" s="305">
        <v>228</v>
      </c>
      <c r="AY248" s="305">
        <v>322</v>
      </c>
      <c r="AZ248" s="305">
        <v>1062</v>
      </c>
      <c r="BA248" s="305">
        <v>323</v>
      </c>
      <c r="BB248" s="305">
        <v>174</v>
      </c>
      <c r="BC248" s="305">
        <v>1457</v>
      </c>
      <c r="BD248" s="305">
        <v>286</v>
      </c>
      <c r="BE248" s="305">
        <v>51</v>
      </c>
      <c r="BF248" s="305">
        <v>2347</v>
      </c>
      <c r="BG248" s="305">
        <v>254</v>
      </c>
      <c r="BH248" s="305">
        <v>51</v>
      </c>
      <c r="BI248" s="306">
        <v>16.488020176544765</v>
      </c>
      <c r="BJ248" s="307">
        <v>5.2</v>
      </c>
      <c r="BK248" s="307">
        <v>6</v>
      </c>
      <c r="BL248" s="307">
        <v>4.9000000000000004</v>
      </c>
      <c r="BM248" s="307">
        <v>5.0999999999999996</v>
      </c>
      <c r="BN248" s="307">
        <v>5.4</v>
      </c>
      <c r="BO248" s="307">
        <v>6.7</v>
      </c>
      <c r="BP248" s="307">
        <v>6.6</v>
      </c>
      <c r="BQ248" s="307">
        <v>7.2</v>
      </c>
      <c r="BR248" s="307">
        <v>5.8</v>
      </c>
      <c r="BS248" s="307">
        <v>6.8</v>
      </c>
      <c r="BT248" s="307">
        <v>7.4</v>
      </c>
      <c r="BU248" s="307">
        <v>7</v>
      </c>
      <c r="BV248" s="307">
        <v>7.7</v>
      </c>
      <c r="BW248" s="307">
        <v>6.5</v>
      </c>
      <c r="BX248" s="307">
        <v>4.4000000000000004</v>
      </c>
      <c r="BY248" s="307">
        <v>3.8</v>
      </c>
      <c r="BZ248" s="307">
        <v>1.5</v>
      </c>
      <c r="CA248" s="307">
        <v>2.1</v>
      </c>
      <c r="CB248" s="307">
        <v>16.100000000000001</v>
      </c>
      <c r="CC248" s="307">
        <v>65.699999999999989</v>
      </c>
      <c r="CD248" s="307">
        <v>18.3</v>
      </c>
    </row>
    <row r="249" spans="1:82" x14ac:dyDescent="0.25">
      <c r="A249" s="130" t="s">
        <v>5167</v>
      </c>
      <c r="B249" s="130" t="s">
        <v>235</v>
      </c>
      <c r="C249" s="130" t="s">
        <v>5168</v>
      </c>
      <c r="D249" s="130" t="s">
        <v>69</v>
      </c>
      <c r="E249" s="130" t="s">
        <v>5165</v>
      </c>
      <c r="F249" s="130" t="s">
        <v>4272</v>
      </c>
      <c r="G249" s="130" t="s">
        <v>5169</v>
      </c>
      <c r="H249" s="309">
        <v>540161</v>
      </c>
      <c r="I249" s="277" t="s">
        <v>1564</v>
      </c>
      <c r="J249" s="130">
        <v>5400748</v>
      </c>
      <c r="K249" s="130" t="s">
        <v>5170</v>
      </c>
      <c r="L249" s="310">
        <v>0.27309986812686976</v>
      </c>
      <c r="M249" s="311">
        <v>314</v>
      </c>
      <c r="N249" s="312">
        <v>1149.7625471357969</v>
      </c>
      <c r="O249" s="311">
        <v>109</v>
      </c>
      <c r="P249" s="312">
        <v>2.88</v>
      </c>
      <c r="Q249" s="311">
        <v>314</v>
      </c>
      <c r="R249" s="311">
        <v>13</v>
      </c>
      <c r="S249" s="311">
        <v>18</v>
      </c>
      <c r="T249" s="311">
        <v>10</v>
      </c>
      <c r="U249" s="311">
        <v>9</v>
      </c>
      <c r="V249" s="311">
        <v>7</v>
      </c>
      <c r="W249" s="311">
        <v>2</v>
      </c>
      <c r="X249" s="311">
        <v>1</v>
      </c>
      <c r="Y249" s="311">
        <v>9</v>
      </c>
      <c r="Z249" s="311">
        <v>10</v>
      </c>
      <c r="AA249" s="311">
        <v>14</v>
      </c>
      <c r="AB249" s="311">
        <v>3</v>
      </c>
      <c r="AC249" s="311">
        <v>8</v>
      </c>
      <c r="AD249" s="311">
        <v>4</v>
      </c>
      <c r="AE249" s="311">
        <v>1</v>
      </c>
      <c r="AF249" s="311">
        <v>0</v>
      </c>
      <c r="AG249" s="311">
        <v>0</v>
      </c>
      <c r="AH249" s="312">
        <v>37.61467889908257</v>
      </c>
      <c r="AI249" s="312">
        <v>14.678899082568808</v>
      </c>
      <c r="AJ249" s="312">
        <v>20.183486238532112</v>
      </c>
      <c r="AK249" s="312">
        <v>12.844036697247708</v>
      </c>
      <c r="AL249" s="312">
        <v>14.678899082568808</v>
      </c>
      <c r="AM249" s="311">
        <v>13346</v>
      </c>
      <c r="AN249" s="311">
        <v>27917</v>
      </c>
      <c r="AO249" s="312">
        <v>63.302752293577981</v>
      </c>
      <c r="AP249" s="311">
        <v>109</v>
      </c>
      <c r="AQ249" s="311">
        <v>0</v>
      </c>
      <c r="AR249" s="311">
        <v>77</v>
      </c>
      <c r="AS249" s="311">
        <v>32</v>
      </c>
      <c r="AT249" s="311">
        <v>2</v>
      </c>
      <c r="AU249" s="311">
        <v>13</v>
      </c>
      <c r="AV249" s="311">
        <v>23</v>
      </c>
      <c r="AW249" s="311">
        <v>6</v>
      </c>
      <c r="AX249" s="311">
        <v>10</v>
      </c>
      <c r="AY249" s="311">
        <v>2</v>
      </c>
      <c r="AZ249" s="311">
        <v>13</v>
      </c>
      <c r="BA249" s="311">
        <v>2</v>
      </c>
      <c r="BB249" s="311">
        <v>5</v>
      </c>
      <c r="BC249" s="311">
        <v>17</v>
      </c>
      <c r="BD249" s="311">
        <v>0</v>
      </c>
      <c r="BE249" s="311">
        <v>0</v>
      </c>
      <c r="BF249" s="311">
        <v>13</v>
      </c>
      <c r="BG249" s="311">
        <v>0</v>
      </c>
      <c r="BH249" s="311">
        <v>0</v>
      </c>
      <c r="BI249" s="312">
        <v>27.522935779816514</v>
      </c>
      <c r="BJ249" s="313">
        <v>6.1</v>
      </c>
      <c r="BK249" s="313">
        <v>7</v>
      </c>
      <c r="BL249" s="313">
        <v>6.4</v>
      </c>
      <c r="BM249" s="313">
        <v>9.9</v>
      </c>
      <c r="BN249" s="313">
        <v>9.1999999999999993</v>
      </c>
      <c r="BO249" s="313">
        <v>8</v>
      </c>
      <c r="BP249" s="313">
        <v>3.5</v>
      </c>
      <c r="BQ249" s="313">
        <v>8.9</v>
      </c>
      <c r="BR249" s="313">
        <v>12.4</v>
      </c>
      <c r="BS249" s="313">
        <v>1</v>
      </c>
      <c r="BT249" s="313">
        <v>5.0999999999999996</v>
      </c>
      <c r="BU249" s="313">
        <v>7</v>
      </c>
      <c r="BV249" s="313">
        <v>3.2</v>
      </c>
      <c r="BW249" s="313">
        <v>4.0999999999999996</v>
      </c>
      <c r="BX249" s="313">
        <v>6.7</v>
      </c>
      <c r="BY249" s="313">
        <v>0.6</v>
      </c>
      <c r="BZ249" s="313">
        <v>0.6</v>
      </c>
      <c r="CA249" s="313">
        <v>0.3</v>
      </c>
      <c r="CB249" s="313">
        <v>19.5</v>
      </c>
      <c r="CC249" s="313">
        <v>68.2</v>
      </c>
      <c r="CD249" s="313">
        <v>12.3</v>
      </c>
    </row>
    <row r="250" spans="1:82" x14ac:dyDescent="0.25">
      <c r="A250" s="130" t="s">
        <v>5171</v>
      </c>
      <c r="B250" s="130" t="s">
        <v>323</v>
      </c>
      <c r="C250" s="130" t="s">
        <v>5172</v>
      </c>
      <c r="D250" s="130" t="s">
        <v>69</v>
      </c>
      <c r="E250" s="130" t="s">
        <v>5165</v>
      </c>
      <c r="F250" s="130" t="s">
        <v>4272</v>
      </c>
      <c r="G250" s="130" t="s">
        <v>5173</v>
      </c>
      <c r="H250" s="309">
        <v>540284</v>
      </c>
      <c r="I250" s="277" t="s">
        <v>1572</v>
      </c>
      <c r="J250" s="130">
        <v>5409844</v>
      </c>
      <c r="K250" s="130" t="s">
        <v>5174</v>
      </c>
      <c r="L250" s="310">
        <v>0.38521879721306118</v>
      </c>
      <c r="M250" s="311">
        <v>117</v>
      </c>
      <c r="N250" s="312">
        <v>303.72349648163276</v>
      </c>
      <c r="O250" s="311">
        <v>61</v>
      </c>
      <c r="P250" s="312">
        <v>1.92</v>
      </c>
      <c r="Q250" s="311">
        <v>117</v>
      </c>
      <c r="R250" s="311">
        <v>4</v>
      </c>
      <c r="S250" s="311">
        <v>1</v>
      </c>
      <c r="T250" s="311">
        <v>2</v>
      </c>
      <c r="U250" s="311">
        <v>0</v>
      </c>
      <c r="V250" s="311">
        <v>2</v>
      </c>
      <c r="W250" s="311">
        <v>0</v>
      </c>
      <c r="X250" s="311">
        <v>0</v>
      </c>
      <c r="Y250" s="311">
        <v>3</v>
      </c>
      <c r="Z250" s="311">
        <v>1</v>
      </c>
      <c r="AA250" s="311">
        <v>5</v>
      </c>
      <c r="AB250" s="311">
        <v>28</v>
      </c>
      <c r="AC250" s="311">
        <v>1</v>
      </c>
      <c r="AD250" s="311">
        <v>0</v>
      </c>
      <c r="AE250" s="311">
        <v>13</v>
      </c>
      <c r="AF250" s="311">
        <v>0</v>
      </c>
      <c r="AG250" s="311">
        <v>1</v>
      </c>
      <c r="AH250" s="312">
        <v>11.475409836065573</v>
      </c>
      <c r="AI250" s="312">
        <v>3.278688524590164</v>
      </c>
      <c r="AJ250" s="312">
        <v>6.557377049180328</v>
      </c>
      <c r="AK250" s="312">
        <v>8.1967213114754092</v>
      </c>
      <c r="AL250" s="312">
        <v>70.491803278688522</v>
      </c>
      <c r="AM250" s="311">
        <v>40932</v>
      </c>
      <c r="AN250" s="311">
        <v>70515</v>
      </c>
      <c r="AO250" s="312">
        <v>19.672131147540984</v>
      </c>
      <c r="AP250" s="311">
        <v>61</v>
      </c>
      <c r="AQ250" s="311">
        <v>8</v>
      </c>
      <c r="AR250" s="311">
        <v>26</v>
      </c>
      <c r="AS250" s="311">
        <v>35</v>
      </c>
      <c r="AT250" s="311">
        <v>0</v>
      </c>
      <c r="AU250" s="311">
        <v>0</v>
      </c>
      <c r="AV250" s="311">
        <v>7</v>
      </c>
      <c r="AW250" s="311">
        <v>2</v>
      </c>
      <c r="AX250" s="311">
        <v>0</v>
      </c>
      <c r="AY250" s="311">
        <v>0</v>
      </c>
      <c r="AZ250" s="311">
        <v>1</v>
      </c>
      <c r="BA250" s="311">
        <v>3</v>
      </c>
      <c r="BB250" s="311">
        <v>0</v>
      </c>
      <c r="BC250" s="311">
        <v>24</v>
      </c>
      <c r="BD250" s="311">
        <v>4</v>
      </c>
      <c r="BE250" s="311">
        <v>0</v>
      </c>
      <c r="BF250" s="311">
        <v>14</v>
      </c>
      <c r="BG250" s="311">
        <v>0</v>
      </c>
      <c r="BH250" s="311">
        <v>0</v>
      </c>
      <c r="BI250" s="312">
        <v>11.475409836065573</v>
      </c>
      <c r="BJ250" s="313">
        <v>8.5</v>
      </c>
      <c r="BK250" s="313">
        <v>8.5</v>
      </c>
      <c r="BL250" s="313">
        <v>5.0999999999999996</v>
      </c>
      <c r="BM250" s="313">
        <v>3.4</v>
      </c>
      <c r="BN250" s="313">
        <v>0</v>
      </c>
      <c r="BO250" s="313">
        <v>0</v>
      </c>
      <c r="BP250" s="313">
        <v>0</v>
      </c>
      <c r="BQ250" s="313">
        <v>23.1</v>
      </c>
      <c r="BR250" s="313">
        <v>3.4</v>
      </c>
      <c r="BS250" s="313">
        <v>0</v>
      </c>
      <c r="BT250" s="313">
        <v>3.4</v>
      </c>
      <c r="BU250" s="313">
        <v>16.2</v>
      </c>
      <c r="BV250" s="313">
        <v>8.5</v>
      </c>
      <c r="BW250" s="313">
        <v>10.3</v>
      </c>
      <c r="BX250" s="313">
        <v>1.7</v>
      </c>
      <c r="BY250" s="313">
        <v>2.6</v>
      </c>
      <c r="BZ250" s="313">
        <v>0</v>
      </c>
      <c r="CA250" s="313">
        <v>5.0999999999999996</v>
      </c>
      <c r="CB250" s="313">
        <v>22.1</v>
      </c>
      <c r="CC250" s="313">
        <v>58</v>
      </c>
      <c r="CD250" s="313">
        <v>19.7</v>
      </c>
    </row>
    <row r="251" spans="1:82" x14ac:dyDescent="0.25">
      <c r="A251" s="130" t="s">
        <v>5175</v>
      </c>
      <c r="B251" s="130" t="s">
        <v>236</v>
      </c>
      <c r="C251" s="130" t="s">
        <v>5176</v>
      </c>
      <c r="D251" s="130" t="s">
        <v>69</v>
      </c>
      <c r="E251" s="130" t="s">
        <v>5165</v>
      </c>
      <c r="F251" s="130" t="s">
        <v>4272</v>
      </c>
      <c r="G251" s="130" t="s">
        <v>5177</v>
      </c>
      <c r="H251" s="309">
        <v>540162</v>
      </c>
      <c r="I251" s="277" t="s">
        <v>1565</v>
      </c>
      <c r="J251" s="130">
        <v>5410852</v>
      </c>
      <c r="K251" s="130" t="s">
        <v>5178</v>
      </c>
      <c r="L251" s="310">
        <v>5.5427232805478087E-2</v>
      </c>
      <c r="M251" s="311">
        <v>50</v>
      </c>
      <c r="N251" s="312">
        <v>902.08364136587943</v>
      </c>
      <c r="O251" s="311">
        <v>25</v>
      </c>
      <c r="P251" s="312">
        <v>2</v>
      </c>
      <c r="Q251" s="311">
        <v>50</v>
      </c>
      <c r="R251" s="311">
        <v>1</v>
      </c>
      <c r="S251" s="311">
        <v>1</v>
      </c>
      <c r="T251" s="311">
        <v>1</v>
      </c>
      <c r="U251" s="311">
        <v>0</v>
      </c>
      <c r="V251" s="311">
        <v>4</v>
      </c>
      <c r="W251" s="311">
        <v>2</v>
      </c>
      <c r="X251" s="311">
        <v>0</v>
      </c>
      <c r="Y251" s="311">
        <v>3</v>
      </c>
      <c r="Z251" s="311">
        <v>2</v>
      </c>
      <c r="AA251" s="311">
        <v>6</v>
      </c>
      <c r="AB251" s="311">
        <v>0</v>
      </c>
      <c r="AC251" s="311">
        <v>5</v>
      </c>
      <c r="AD251" s="311">
        <v>0</v>
      </c>
      <c r="AE251" s="311">
        <v>0</v>
      </c>
      <c r="AF251" s="311">
        <v>0</v>
      </c>
      <c r="AG251" s="311">
        <v>0</v>
      </c>
      <c r="AH251" s="312">
        <v>12</v>
      </c>
      <c r="AI251" s="312">
        <v>16</v>
      </c>
      <c r="AJ251" s="312">
        <v>28.000000000000004</v>
      </c>
      <c r="AK251" s="312">
        <v>24</v>
      </c>
      <c r="AL251" s="312">
        <v>20</v>
      </c>
      <c r="AM251" s="311">
        <v>25230</v>
      </c>
      <c r="AN251" s="311">
        <v>48125</v>
      </c>
      <c r="AO251" s="312">
        <v>48</v>
      </c>
      <c r="AP251" s="311">
        <v>25</v>
      </c>
      <c r="AQ251" s="311">
        <v>0</v>
      </c>
      <c r="AR251" s="311">
        <v>14</v>
      </c>
      <c r="AS251" s="311">
        <v>11</v>
      </c>
      <c r="AT251" s="311">
        <v>0</v>
      </c>
      <c r="AU251" s="311">
        <v>0</v>
      </c>
      <c r="AV251" s="311">
        <v>1</v>
      </c>
      <c r="AW251" s="311">
        <v>4</v>
      </c>
      <c r="AX251" s="311">
        <v>0</v>
      </c>
      <c r="AY251" s="311">
        <v>2</v>
      </c>
      <c r="AZ251" s="311">
        <v>3</v>
      </c>
      <c r="BA251" s="311">
        <v>0</v>
      </c>
      <c r="BB251" s="311">
        <v>0</v>
      </c>
      <c r="BC251" s="311">
        <v>4</v>
      </c>
      <c r="BD251" s="311">
        <v>2</v>
      </c>
      <c r="BE251" s="311">
        <v>0</v>
      </c>
      <c r="BF251" s="311">
        <v>5</v>
      </c>
      <c r="BG251" s="311">
        <v>0</v>
      </c>
      <c r="BH251" s="311">
        <v>0</v>
      </c>
      <c r="BI251" s="312">
        <v>12</v>
      </c>
      <c r="BJ251" s="313">
        <v>0</v>
      </c>
      <c r="BK251" s="313">
        <v>0</v>
      </c>
      <c r="BL251" s="313">
        <v>6</v>
      </c>
      <c r="BM251" s="313">
        <v>10</v>
      </c>
      <c r="BN251" s="313">
        <v>0</v>
      </c>
      <c r="BO251" s="313">
        <v>6</v>
      </c>
      <c r="BP251" s="313">
        <v>0</v>
      </c>
      <c r="BQ251" s="313">
        <v>4</v>
      </c>
      <c r="BR251" s="313">
        <v>8</v>
      </c>
      <c r="BS251" s="313">
        <v>2</v>
      </c>
      <c r="BT251" s="313">
        <v>6</v>
      </c>
      <c r="BU251" s="313">
        <v>28</v>
      </c>
      <c r="BV251" s="313">
        <v>10</v>
      </c>
      <c r="BW251" s="313">
        <v>2</v>
      </c>
      <c r="BX251" s="313">
        <v>0</v>
      </c>
      <c r="BY251" s="313">
        <v>8</v>
      </c>
      <c r="BZ251" s="313">
        <v>10</v>
      </c>
      <c r="CA251" s="313">
        <v>0</v>
      </c>
      <c r="CB251" s="313">
        <v>6</v>
      </c>
      <c r="CC251" s="313">
        <v>74</v>
      </c>
      <c r="CD251" s="313">
        <v>20</v>
      </c>
    </row>
    <row r="252" spans="1:82" x14ac:dyDescent="0.25">
      <c r="A252" s="130" t="s">
        <v>5179</v>
      </c>
      <c r="B252" s="130" t="s">
        <v>300</v>
      </c>
      <c r="C252" s="130" t="s">
        <v>5180</v>
      </c>
      <c r="D252" s="130" t="s">
        <v>69</v>
      </c>
      <c r="E252" s="130" t="s">
        <v>5165</v>
      </c>
      <c r="F252" s="130" t="s">
        <v>4272</v>
      </c>
      <c r="G252" s="130" t="s">
        <v>5181</v>
      </c>
      <c r="H252" s="309">
        <v>540254</v>
      </c>
      <c r="I252" s="277" t="s">
        <v>1567</v>
      </c>
      <c r="J252" s="130">
        <v>5444044</v>
      </c>
      <c r="K252" s="130" t="s">
        <v>5182</v>
      </c>
      <c r="L252" s="310">
        <v>2.4281168116605856</v>
      </c>
      <c r="M252" s="311">
        <v>2942</v>
      </c>
      <c r="N252" s="312">
        <v>1211.6385776300319</v>
      </c>
      <c r="O252" s="311">
        <v>1180</v>
      </c>
      <c r="P252" s="312">
        <v>2.4900000000000002</v>
      </c>
      <c r="Q252" s="311">
        <v>2942</v>
      </c>
      <c r="R252" s="311">
        <v>100</v>
      </c>
      <c r="S252" s="311">
        <v>60</v>
      </c>
      <c r="T252" s="311">
        <v>93</v>
      </c>
      <c r="U252" s="311">
        <v>75</v>
      </c>
      <c r="V252" s="311">
        <v>41</v>
      </c>
      <c r="W252" s="311">
        <v>91</v>
      </c>
      <c r="X252" s="311">
        <v>55</v>
      </c>
      <c r="Y252" s="311">
        <v>32</v>
      </c>
      <c r="Z252" s="311">
        <v>90</v>
      </c>
      <c r="AA252" s="311">
        <v>87</v>
      </c>
      <c r="AB252" s="311">
        <v>94</v>
      </c>
      <c r="AC252" s="311">
        <v>196</v>
      </c>
      <c r="AD252" s="311">
        <v>62</v>
      </c>
      <c r="AE252" s="311">
        <v>58</v>
      </c>
      <c r="AF252" s="311">
        <v>18</v>
      </c>
      <c r="AG252" s="311">
        <v>28</v>
      </c>
      <c r="AH252" s="312">
        <v>21.440677966101696</v>
      </c>
      <c r="AI252" s="312">
        <v>9.8305084745762716</v>
      </c>
      <c r="AJ252" s="312">
        <v>22.711864406779661</v>
      </c>
      <c r="AK252" s="312">
        <v>7.3728813559322042</v>
      </c>
      <c r="AL252" s="312">
        <v>38.644067796610173</v>
      </c>
      <c r="AM252" s="311">
        <v>23872</v>
      </c>
      <c r="AN252" s="311">
        <v>47337</v>
      </c>
      <c r="AO252" s="312">
        <v>46.355932203389834</v>
      </c>
      <c r="AP252" s="311">
        <v>1180</v>
      </c>
      <c r="AQ252" s="311">
        <v>186</v>
      </c>
      <c r="AR252" s="311">
        <v>875</v>
      </c>
      <c r="AS252" s="311">
        <v>305</v>
      </c>
      <c r="AT252" s="311">
        <v>13</v>
      </c>
      <c r="AU252" s="311">
        <v>41</v>
      </c>
      <c r="AV252" s="311">
        <v>138</v>
      </c>
      <c r="AW252" s="311">
        <v>90</v>
      </c>
      <c r="AX252" s="311">
        <v>21</v>
      </c>
      <c r="AY252" s="311">
        <v>96</v>
      </c>
      <c r="AZ252" s="311">
        <v>92</v>
      </c>
      <c r="BA252" s="311">
        <v>37</v>
      </c>
      <c r="BB252" s="311">
        <v>48</v>
      </c>
      <c r="BC252" s="311">
        <v>117</v>
      </c>
      <c r="BD252" s="311">
        <v>37</v>
      </c>
      <c r="BE252" s="311">
        <v>13</v>
      </c>
      <c r="BF252" s="311">
        <v>352</v>
      </c>
      <c r="BG252" s="311">
        <v>10</v>
      </c>
      <c r="BH252" s="311">
        <v>0</v>
      </c>
      <c r="BI252" s="312">
        <v>25</v>
      </c>
      <c r="BJ252" s="313">
        <v>7.2</v>
      </c>
      <c r="BK252" s="313">
        <v>7.4</v>
      </c>
      <c r="BL252" s="313">
        <v>6.9</v>
      </c>
      <c r="BM252" s="313">
        <v>4.7</v>
      </c>
      <c r="BN252" s="313">
        <v>3.6</v>
      </c>
      <c r="BO252" s="313">
        <v>8.1</v>
      </c>
      <c r="BP252" s="313">
        <v>5.5</v>
      </c>
      <c r="BQ252" s="313">
        <v>9.3000000000000007</v>
      </c>
      <c r="BR252" s="313">
        <v>5.2</v>
      </c>
      <c r="BS252" s="313">
        <v>4</v>
      </c>
      <c r="BT252" s="313">
        <v>5.4</v>
      </c>
      <c r="BU252" s="313">
        <v>7.2</v>
      </c>
      <c r="BV252" s="313">
        <v>7.3</v>
      </c>
      <c r="BW252" s="313">
        <v>4.5999999999999996</v>
      </c>
      <c r="BX252" s="313">
        <v>2.2000000000000002</v>
      </c>
      <c r="BY252" s="313">
        <v>6.5</v>
      </c>
      <c r="BZ252" s="313">
        <v>2.1</v>
      </c>
      <c r="CA252" s="313">
        <v>2.7</v>
      </c>
      <c r="CB252" s="313">
        <v>21.5</v>
      </c>
      <c r="CC252" s="313">
        <v>60.3</v>
      </c>
      <c r="CD252" s="313">
        <v>18.100000000000001</v>
      </c>
    </row>
    <row r="253" spans="1:82" x14ac:dyDescent="0.25">
      <c r="A253" s="130" t="s">
        <v>5183</v>
      </c>
      <c r="B253" s="130" t="s">
        <v>313</v>
      </c>
      <c r="C253" s="130" t="s">
        <v>5184</v>
      </c>
      <c r="D253" s="130" t="s">
        <v>69</v>
      </c>
      <c r="E253" s="130" t="s">
        <v>5165</v>
      </c>
      <c r="F253" s="130" t="s">
        <v>4272</v>
      </c>
      <c r="G253" s="130" t="s">
        <v>5185</v>
      </c>
      <c r="H253" s="309">
        <v>540270</v>
      </c>
      <c r="I253" s="277" t="s">
        <v>1571</v>
      </c>
      <c r="J253" s="130">
        <v>5452228</v>
      </c>
      <c r="K253" s="130" t="s">
        <v>5186</v>
      </c>
      <c r="L253" s="310">
        <v>0.27793685816747238</v>
      </c>
      <c r="M253" s="311">
        <v>611</v>
      </c>
      <c r="N253" s="312">
        <v>2198.3410333862184</v>
      </c>
      <c r="O253" s="311">
        <v>289</v>
      </c>
      <c r="P253" s="312">
        <v>2.11</v>
      </c>
      <c r="Q253" s="311">
        <v>611</v>
      </c>
      <c r="R253" s="311">
        <v>13</v>
      </c>
      <c r="S253" s="311">
        <v>6</v>
      </c>
      <c r="T253" s="311">
        <v>8</v>
      </c>
      <c r="U253" s="311">
        <v>14</v>
      </c>
      <c r="V253" s="311">
        <v>29</v>
      </c>
      <c r="W253" s="311">
        <v>47</v>
      </c>
      <c r="X253" s="311">
        <v>9</v>
      </c>
      <c r="Y253" s="311">
        <v>15</v>
      </c>
      <c r="Z253" s="311">
        <v>32</v>
      </c>
      <c r="AA253" s="311">
        <v>58</v>
      </c>
      <c r="AB253" s="311">
        <v>18</v>
      </c>
      <c r="AC253" s="311">
        <v>22</v>
      </c>
      <c r="AD253" s="311">
        <v>15</v>
      </c>
      <c r="AE253" s="311">
        <v>0</v>
      </c>
      <c r="AF253" s="311">
        <v>3</v>
      </c>
      <c r="AG253" s="311">
        <v>0</v>
      </c>
      <c r="AH253" s="312">
        <v>9.3425605536332181</v>
      </c>
      <c r="AI253" s="312">
        <v>14.878892733564014</v>
      </c>
      <c r="AJ253" s="312">
        <v>35.640138408304502</v>
      </c>
      <c r="AK253" s="312">
        <v>20.069204152249135</v>
      </c>
      <c r="AL253" s="312">
        <v>20.069204152249135</v>
      </c>
      <c r="AM253" s="311">
        <v>22836</v>
      </c>
      <c r="AN253" s="311">
        <v>46250</v>
      </c>
      <c r="AO253" s="312">
        <v>48.788927335640139</v>
      </c>
      <c r="AP253" s="311">
        <v>289</v>
      </c>
      <c r="AQ253" s="311">
        <v>52</v>
      </c>
      <c r="AR253" s="311">
        <v>234</v>
      </c>
      <c r="AS253" s="311">
        <v>55</v>
      </c>
      <c r="AT253" s="311">
        <v>0</v>
      </c>
      <c r="AU253" s="311">
        <v>8</v>
      </c>
      <c r="AV253" s="311">
        <v>19</v>
      </c>
      <c r="AW253" s="311">
        <v>39</v>
      </c>
      <c r="AX253" s="311">
        <v>31</v>
      </c>
      <c r="AY253" s="311">
        <v>20</v>
      </c>
      <c r="AZ253" s="311">
        <v>45</v>
      </c>
      <c r="BA253" s="311">
        <v>6</v>
      </c>
      <c r="BB253" s="311">
        <v>0</v>
      </c>
      <c r="BC253" s="311">
        <v>58</v>
      </c>
      <c r="BD253" s="311">
        <v>13</v>
      </c>
      <c r="BE253" s="311">
        <v>5</v>
      </c>
      <c r="BF253" s="311">
        <v>38</v>
      </c>
      <c r="BG253" s="311">
        <v>0</v>
      </c>
      <c r="BH253" s="311">
        <v>0</v>
      </c>
      <c r="BI253" s="312">
        <v>15.224913494809689</v>
      </c>
      <c r="BJ253" s="313">
        <v>6.5</v>
      </c>
      <c r="BK253" s="313">
        <v>4.7</v>
      </c>
      <c r="BL253" s="313">
        <v>3.8</v>
      </c>
      <c r="BM253" s="313">
        <v>8.5</v>
      </c>
      <c r="BN253" s="313">
        <v>4.9000000000000004</v>
      </c>
      <c r="BO253" s="313">
        <v>10.1</v>
      </c>
      <c r="BP253" s="313">
        <v>4.9000000000000004</v>
      </c>
      <c r="BQ253" s="313">
        <v>5.6</v>
      </c>
      <c r="BR253" s="313">
        <v>6.1</v>
      </c>
      <c r="BS253" s="313">
        <v>5.2</v>
      </c>
      <c r="BT253" s="313">
        <v>6.5</v>
      </c>
      <c r="BU253" s="313">
        <v>2.6</v>
      </c>
      <c r="BV253" s="313">
        <v>5.7</v>
      </c>
      <c r="BW253" s="313">
        <v>11.9</v>
      </c>
      <c r="BX253" s="313">
        <v>4.3</v>
      </c>
      <c r="BY253" s="313">
        <v>1.5</v>
      </c>
      <c r="BZ253" s="313">
        <v>3.1</v>
      </c>
      <c r="CA253" s="313">
        <v>3.9</v>
      </c>
      <c r="CB253" s="313">
        <v>15</v>
      </c>
      <c r="CC253" s="313">
        <v>60.100000000000009</v>
      </c>
      <c r="CD253" s="313">
        <v>24.7</v>
      </c>
    </row>
    <row r="254" spans="1:82" x14ac:dyDescent="0.25">
      <c r="A254" s="130" t="s">
        <v>5187</v>
      </c>
      <c r="B254" s="130" t="s">
        <v>311</v>
      </c>
      <c r="C254" s="130" t="s">
        <v>5188</v>
      </c>
      <c r="D254" s="130" t="s">
        <v>69</v>
      </c>
      <c r="E254" s="130" t="s">
        <v>5165</v>
      </c>
      <c r="F254" s="130" t="s">
        <v>4272</v>
      </c>
      <c r="G254" s="130" t="s">
        <v>5189</v>
      </c>
      <c r="H254" s="309">
        <v>540268</v>
      </c>
      <c r="I254" s="277" t="s">
        <v>1569</v>
      </c>
      <c r="J254" s="130">
        <v>5458300</v>
      </c>
      <c r="K254" s="130" t="s">
        <v>5190</v>
      </c>
      <c r="L254" s="310">
        <v>0.78456188383452652</v>
      </c>
      <c r="M254" s="311">
        <v>408</v>
      </c>
      <c r="N254" s="312">
        <v>520.03545979816181</v>
      </c>
      <c r="O254" s="311">
        <v>139</v>
      </c>
      <c r="P254" s="312">
        <v>2.94</v>
      </c>
      <c r="Q254" s="311">
        <v>408</v>
      </c>
      <c r="R254" s="311">
        <v>0</v>
      </c>
      <c r="S254" s="311">
        <v>7</v>
      </c>
      <c r="T254" s="311">
        <v>16</v>
      </c>
      <c r="U254" s="311">
        <v>9</v>
      </c>
      <c r="V254" s="311">
        <v>11</v>
      </c>
      <c r="W254" s="311">
        <v>10</v>
      </c>
      <c r="X254" s="311">
        <v>6</v>
      </c>
      <c r="Y254" s="311">
        <v>13</v>
      </c>
      <c r="Z254" s="311">
        <v>4</v>
      </c>
      <c r="AA254" s="311">
        <v>5</v>
      </c>
      <c r="AB254" s="311">
        <v>30</v>
      </c>
      <c r="AC254" s="311">
        <v>16</v>
      </c>
      <c r="AD254" s="311">
        <v>6</v>
      </c>
      <c r="AE254" s="311">
        <v>2</v>
      </c>
      <c r="AF254" s="311">
        <v>4</v>
      </c>
      <c r="AG254" s="311">
        <v>0</v>
      </c>
      <c r="AH254" s="312">
        <v>16.546762589928058</v>
      </c>
      <c r="AI254" s="312">
        <v>14.388489208633093</v>
      </c>
      <c r="AJ254" s="312">
        <v>23.741007194244602</v>
      </c>
      <c r="AK254" s="312">
        <v>3.5971223021582732</v>
      </c>
      <c r="AL254" s="312">
        <v>41.726618705035975</v>
      </c>
      <c r="AM254" s="311">
        <v>18623</v>
      </c>
      <c r="AN254" s="311">
        <v>43438</v>
      </c>
      <c r="AO254" s="312">
        <v>51.798561151079134</v>
      </c>
      <c r="AP254" s="311">
        <v>139</v>
      </c>
      <c r="AQ254" s="311">
        <v>26</v>
      </c>
      <c r="AR254" s="311">
        <v>109</v>
      </c>
      <c r="AS254" s="311">
        <v>30</v>
      </c>
      <c r="AT254" s="311">
        <v>3</v>
      </c>
      <c r="AU254" s="311">
        <v>2</v>
      </c>
      <c r="AV254" s="311">
        <v>11</v>
      </c>
      <c r="AW254" s="311">
        <v>22</v>
      </c>
      <c r="AX254" s="311">
        <v>1</v>
      </c>
      <c r="AY254" s="311">
        <v>7</v>
      </c>
      <c r="AZ254" s="311">
        <v>20</v>
      </c>
      <c r="BA254" s="311">
        <v>1</v>
      </c>
      <c r="BB254" s="311">
        <v>0</v>
      </c>
      <c r="BC254" s="311">
        <v>28</v>
      </c>
      <c r="BD254" s="311">
        <v>6</v>
      </c>
      <c r="BE254" s="311">
        <v>1</v>
      </c>
      <c r="BF254" s="311">
        <v>28</v>
      </c>
      <c r="BG254" s="311">
        <v>0</v>
      </c>
      <c r="BH254" s="311">
        <v>0</v>
      </c>
      <c r="BI254" s="312">
        <v>13.669064748201439</v>
      </c>
      <c r="BJ254" s="313">
        <v>2.9</v>
      </c>
      <c r="BK254" s="313">
        <v>7.1</v>
      </c>
      <c r="BL254" s="313">
        <v>5.6</v>
      </c>
      <c r="BM254" s="313">
        <v>7.1</v>
      </c>
      <c r="BN254" s="313">
        <v>9.6</v>
      </c>
      <c r="BO254" s="313">
        <v>7.1</v>
      </c>
      <c r="BP254" s="313">
        <v>2.2000000000000002</v>
      </c>
      <c r="BQ254" s="313">
        <v>5.0999999999999996</v>
      </c>
      <c r="BR254" s="313">
        <v>5.6</v>
      </c>
      <c r="BS254" s="313">
        <v>7.6</v>
      </c>
      <c r="BT254" s="313">
        <v>4.9000000000000004</v>
      </c>
      <c r="BU254" s="313">
        <v>10.3</v>
      </c>
      <c r="BV254" s="313">
        <v>8.8000000000000007</v>
      </c>
      <c r="BW254" s="313">
        <v>6.9</v>
      </c>
      <c r="BX254" s="313">
        <v>3.4</v>
      </c>
      <c r="BY254" s="313">
        <v>2.7</v>
      </c>
      <c r="BZ254" s="313">
        <v>2.2000000000000002</v>
      </c>
      <c r="CA254" s="313">
        <v>0.7</v>
      </c>
      <c r="CB254" s="313">
        <v>15.6</v>
      </c>
      <c r="CC254" s="313">
        <v>68.3</v>
      </c>
      <c r="CD254" s="313">
        <v>15.899999999999999</v>
      </c>
    </row>
    <row r="255" spans="1:82" x14ac:dyDescent="0.25">
      <c r="A255" s="130" t="s">
        <v>5191</v>
      </c>
      <c r="B255" s="130" t="s">
        <v>312</v>
      </c>
      <c r="C255" s="130" t="s">
        <v>5192</v>
      </c>
      <c r="D255" s="130" t="s">
        <v>69</v>
      </c>
      <c r="E255" s="130" t="s">
        <v>5165</v>
      </c>
      <c r="F255" s="130" t="s">
        <v>4272</v>
      </c>
      <c r="G255" s="130" t="s">
        <v>5193</v>
      </c>
      <c r="H255" s="309">
        <v>540269</v>
      </c>
      <c r="I255" s="277" t="s">
        <v>1570</v>
      </c>
      <c r="J255" s="130">
        <v>5467636</v>
      </c>
      <c r="K255" s="130" t="s">
        <v>5194</v>
      </c>
      <c r="L255" s="310">
        <v>0.64864578642977511</v>
      </c>
      <c r="M255" s="311">
        <v>427</v>
      </c>
      <c r="N255" s="312">
        <v>658.29457144901789</v>
      </c>
      <c r="O255" s="311">
        <v>195</v>
      </c>
      <c r="P255" s="312">
        <v>2.19</v>
      </c>
      <c r="Q255" s="311">
        <v>427</v>
      </c>
      <c r="R255" s="311">
        <v>6</v>
      </c>
      <c r="S255" s="311">
        <v>5</v>
      </c>
      <c r="T255" s="311">
        <v>0</v>
      </c>
      <c r="U255" s="311">
        <v>16</v>
      </c>
      <c r="V255" s="311">
        <v>20</v>
      </c>
      <c r="W255" s="311">
        <v>3</v>
      </c>
      <c r="X255" s="311">
        <v>12</v>
      </c>
      <c r="Y255" s="311">
        <v>22</v>
      </c>
      <c r="Z255" s="311">
        <v>9</v>
      </c>
      <c r="AA255" s="311">
        <v>24</v>
      </c>
      <c r="AB255" s="311">
        <v>36</v>
      </c>
      <c r="AC255" s="311">
        <v>26</v>
      </c>
      <c r="AD255" s="311">
        <v>11</v>
      </c>
      <c r="AE255" s="311">
        <v>0</v>
      </c>
      <c r="AF255" s="311">
        <v>2</v>
      </c>
      <c r="AG255" s="311">
        <v>3</v>
      </c>
      <c r="AH255" s="312">
        <v>5.6410256410256414</v>
      </c>
      <c r="AI255" s="312">
        <v>18.461538461538463</v>
      </c>
      <c r="AJ255" s="312">
        <v>23.589743589743588</v>
      </c>
      <c r="AK255" s="312">
        <v>12.307692307692308</v>
      </c>
      <c r="AL255" s="312">
        <v>40</v>
      </c>
      <c r="AM255" s="311">
        <v>26841</v>
      </c>
      <c r="AN255" s="311">
        <v>53438</v>
      </c>
      <c r="AO255" s="312">
        <v>43.07692307692308</v>
      </c>
      <c r="AP255" s="311">
        <v>195</v>
      </c>
      <c r="AQ255" s="311">
        <v>30</v>
      </c>
      <c r="AR255" s="311">
        <v>123</v>
      </c>
      <c r="AS255" s="311">
        <v>72</v>
      </c>
      <c r="AT255" s="311">
        <v>0</v>
      </c>
      <c r="AU255" s="311">
        <v>2</v>
      </c>
      <c r="AV255" s="311">
        <v>9</v>
      </c>
      <c r="AW255" s="311">
        <v>14</v>
      </c>
      <c r="AX255" s="311">
        <v>25</v>
      </c>
      <c r="AY255" s="311">
        <v>0</v>
      </c>
      <c r="AZ255" s="311">
        <v>37</v>
      </c>
      <c r="BA255" s="311">
        <v>4</v>
      </c>
      <c r="BB255" s="311">
        <v>2</v>
      </c>
      <c r="BC255" s="311">
        <v>42</v>
      </c>
      <c r="BD255" s="311">
        <v>14</v>
      </c>
      <c r="BE255" s="311">
        <v>4</v>
      </c>
      <c r="BF255" s="311">
        <v>37</v>
      </c>
      <c r="BG255" s="311">
        <v>5</v>
      </c>
      <c r="BH255" s="311">
        <v>0</v>
      </c>
      <c r="BI255" s="312">
        <v>7.6923076923076925</v>
      </c>
      <c r="BJ255" s="313">
        <v>6.8</v>
      </c>
      <c r="BK255" s="313">
        <v>7</v>
      </c>
      <c r="BL255" s="313">
        <v>2.6</v>
      </c>
      <c r="BM255" s="313">
        <v>3</v>
      </c>
      <c r="BN255" s="313">
        <v>11.9</v>
      </c>
      <c r="BO255" s="313">
        <v>8.9</v>
      </c>
      <c r="BP255" s="313">
        <v>3.7</v>
      </c>
      <c r="BQ255" s="313">
        <v>6.3</v>
      </c>
      <c r="BR255" s="313">
        <v>4.9000000000000004</v>
      </c>
      <c r="BS255" s="313">
        <v>4.4000000000000004</v>
      </c>
      <c r="BT255" s="313">
        <v>8</v>
      </c>
      <c r="BU255" s="313">
        <v>5.2</v>
      </c>
      <c r="BV255" s="313">
        <v>6.8</v>
      </c>
      <c r="BW255" s="313">
        <v>8.6999999999999993</v>
      </c>
      <c r="BX255" s="313">
        <v>5.4</v>
      </c>
      <c r="BY255" s="313">
        <v>3</v>
      </c>
      <c r="BZ255" s="313">
        <v>1.4</v>
      </c>
      <c r="CA255" s="313">
        <v>1.9</v>
      </c>
      <c r="CB255" s="313">
        <v>16.400000000000002</v>
      </c>
      <c r="CC255" s="313">
        <v>63.099999999999994</v>
      </c>
      <c r="CD255" s="313">
        <v>20.399999999999999</v>
      </c>
    </row>
    <row r="256" spans="1:82" x14ac:dyDescent="0.25">
      <c r="A256" s="130" t="s">
        <v>5195</v>
      </c>
      <c r="B256" s="130" t="s">
        <v>237</v>
      </c>
      <c r="C256" s="130" t="s">
        <v>5196</v>
      </c>
      <c r="D256" s="130" t="s">
        <v>69</v>
      </c>
      <c r="E256" s="130" t="s">
        <v>5165</v>
      </c>
      <c r="F256" s="130" t="s">
        <v>4272</v>
      </c>
      <c r="G256" s="130" t="s">
        <v>5197</v>
      </c>
      <c r="H256" s="309">
        <v>540163</v>
      </c>
      <c r="I256" s="277" t="s">
        <v>1566</v>
      </c>
      <c r="J256" s="130">
        <v>5470588</v>
      </c>
      <c r="K256" s="130" t="s">
        <v>5198</v>
      </c>
      <c r="L256" s="310">
        <v>1.0965657857927189</v>
      </c>
      <c r="M256" s="311">
        <v>518</v>
      </c>
      <c r="N256" s="312">
        <v>472.38387948200699</v>
      </c>
      <c r="O256" s="311">
        <v>204</v>
      </c>
      <c r="P256" s="312">
        <v>2.54</v>
      </c>
      <c r="Q256" s="311">
        <v>518</v>
      </c>
      <c r="R256" s="311">
        <v>17</v>
      </c>
      <c r="S256" s="311">
        <v>17</v>
      </c>
      <c r="T256" s="311">
        <v>10</v>
      </c>
      <c r="U256" s="311">
        <v>10</v>
      </c>
      <c r="V256" s="311">
        <v>28</v>
      </c>
      <c r="W256" s="311">
        <v>24</v>
      </c>
      <c r="X256" s="311">
        <v>9</v>
      </c>
      <c r="Y256" s="311">
        <v>23</v>
      </c>
      <c r="Z256" s="311">
        <v>14</v>
      </c>
      <c r="AA256" s="311">
        <v>14</v>
      </c>
      <c r="AB256" s="311">
        <v>14</v>
      </c>
      <c r="AC256" s="311">
        <v>12</v>
      </c>
      <c r="AD256" s="311">
        <v>12</v>
      </c>
      <c r="AE256" s="311">
        <v>0</v>
      </c>
      <c r="AF256" s="311">
        <v>0</v>
      </c>
      <c r="AG256" s="311">
        <v>0</v>
      </c>
      <c r="AH256" s="312">
        <v>21.568627450980394</v>
      </c>
      <c r="AI256" s="312">
        <v>18.627450980392158</v>
      </c>
      <c r="AJ256" s="312">
        <v>34.313725490196077</v>
      </c>
      <c r="AK256" s="312">
        <v>6.8627450980392162</v>
      </c>
      <c r="AL256" s="312">
        <v>18.627450980392158</v>
      </c>
      <c r="AM256" s="311">
        <v>16253</v>
      </c>
      <c r="AN256" s="311">
        <v>34091</v>
      </c>
      <c r="AO256" s="312">
        <v>67.64705882352942</v>
      </c>
      <c r="AP256" s="311">
        <v>204</v>
      </c>
      <c r="AQ256" s="311">
        <v>118</v>
      </c>
      <c r="AR256" s="311">
        <v>166</v>
      </c>
      <c r="AS256" s="311">
        <v>38</v>
      </c>
      <c r="AT256" s="311">
        <v>4</v>
      </c>
      <c r="AU256" s="311">
        <v>16</v>
      </c>
      <c r="AV256" s="311">
        <v>24</v>
      </c>
      <c r="AW256" s="311">
        <v>26</v>
      </c>
      <c r="AX256" s="311">
        <v>12</v>
      </c>
      <c r="AY256" s="311">
        <v>14</v>
      </c>
      <c r="AZ256" s="311">
        <v>38</v>
      </c>
      <c r="BA256" s="311">
        <v>3</v>
      </c>
      <c r="BB256" s="311">
        <v>0</v>
      </c>
      <c r="BC256" s="311">
        <v>25</v>
      </c>
      <c r="BD256" s="311">
        <v>0</v>
      </c>
      <c r="BE256" s="311">
        <v>0</v>
      </c>
      <c r="BF256" s="311">
        <v>24</v>
      </c>
      <c r="BG256" s="311">
        <v>0</v>
      </c>
      <c r="BH256" s="311">
        <v>0</v>
      </c>
      <c r="BI256" s="312">
        <v>18.627450980392158</v>
      </c>
      <c r="BJ256" s="313">
        <v>6</v>
      </c>
      <c r="BK256" s="313">
        <v>6.8</v>
      </c>
      <c r="BL256" s="313">
        <v>6.2</v>
      </c>
      <c r="BM256" s="313">
        <v>7.7</v>
      </c>
      <c r="BN256" s="313">
        <v>2.1</v>
      </c>
      <c r="BO256" s="313">
        <v>6.4</v>
      </c>
      <c r="BP256" s="313">
        <v>3.7</v>
      </c>
      <c r="BQ256" s="313">
        <v>1.5</v>
      </c>
      <c r="BR256" s="313">
        <v>4.4000000000000004</v>
      </c>
      <c r="BS256" s="313">
        <v>7.9</v>
      </c>
      <c r="BT256" s="313">
        <v>6.4</v>
      </c>
      <c r="BU256" s="313">
        <v>8.6999999999999993</v>
      </c>
      <c r="BV256" s="313">
        <v>6.8</v>
      </c>
      <c r="BW256" s="313">
        <v>8.3000000000000007</v>
      </c>
      <c r="BX256" s="313">
        <v>4.0999999999999996</v>
      </c>
      <c r="BY256" s="313">
        <v>4.4000000000000004</v>
      </c>
      <c r="BZ256" s="313">
        <v>5.8</v>
      </c>
      <c r="CA256" s="313">
        <v>2.9</v>
      </c>
      <c r="CB256" s="313">
        <v>19</v>
      </c>
      <c r="CC256" s="313">
        <v>55.599999999999994</v>
      </c>
      <c r="CD256" s="313">
        <v>25.5</v>
      </c>
    </row>
    <row r="257" spans="1:82" x14ac:dyDescent="0.25">
      <c r="A257" s="130" t="s">
        <v>5199</v>
      </c>
      <c r="B257" s="130" t="s">
        <v>302</v>
      </c>
      <c r="C257" s="130" t="s">
        <v>5200</v>
      </c>
      <c r="D257" s="130" t="s">
        <v>69</v>
      </c>
      <c r="E257" s="130" t="s">
        <v>5165</v>
      </c>
      <c r="F257" s="130" t="s">
        <v>4272</v>
      </c>
      <c r="G257" s="130" t="s">
        <v>5201</v>
      </c>
      <c r="H257" s="309">
        <v>540257</v>
      </c>
      <c r="I257" s="277" t="s">
        <v>1568</v>
      </c>
      <c r="J257" s="130">
        <v>5479708</v>
      </c>
      <c r="K257" s="130" t="s">
        <v>5202</v>
      </c>
      <c r="L257" s="310">
        <v>1.184742505933404</v>
      </c>
      <c r="M257" s="311">
        <v>1566</v>
      </c>
      <c r="N257" s="312">
        <v>1321.8062086547834</v>
      </c>
      <c r="O257" s="311">
        <v>613</v>
      </c>
      <c r="P257" s="312">
        <v>2.5499999999999998</v>
      </c>
      <c r="Q257" s="311">
        <v>1561</v>
      </c>
      <c r="R257" s="311">
        <v>73</v>
      </c>
      <c r="S257" s="311">
        <v>59</v>
      </c>
      <c r="T257" s="311">
        <v>48</v>
      </c>
      <c r="U257" s="311">
        <v>81</v>
      </c>
      <c r="V257" s="311">
        <v>28</v>
      </c>
      <c r="W257" s="311">
        <v>15</v>
      </c>
      <c r="X257" s="311">
        <v>27</v>
      </c>
      <c r="Y257" s="311">
        <v>18</v>
      </c>
      <c r="Z257" s="311">
        <v>52</v>
      </c>
      <c r="AA257" s="311">
        <v>69</v>
      </c>
      <c r="AB257" s="311">
        <v>52</v>
      </c>
      <c r="AC257" s="311">
        <v>56</v>
      </c>
      <c r="AD257" s="311">
        <v>30</v>
      </c>
      <c r="AE257" s="311">
        <v>5</v>
      </c>
      <c r="AF257" s="311">
        <v>0</v>
      </c>
      <c r="AG257" s="311">
        <v>0</v>
      </c>
      <c r="AH257" s="312">
        <v>29.363784665579118</v>
      </c>
      <c r="AI257" s="312">
        <v>17.781402936378466</v>
      </c>
      <c r="AJ257" s="312">
        <v>18.270799347471453</v>
      </c>
      <c r="AK257" s="312">
        <v>11.256117455138662</v>
      </c>
      <c r="AL257" s="312">
        <v>23.327895595432299</v>
      </c>
      <c r="AM257" s="311">
        <v>16713</v>
      </c>
      <c r="AN257" s="311">
        <v>35417</v>
      </c>
      <c r="AO257" s="312">
        <v>56.933115823817296</v>
      </c>
      <c r="AP257" s="311">
        <v>613</v>
      </c>
      <c r="AQ257" s="311">
        <v>114</v>
      </c>
      <c r="AR257" s="311">
        <v>462</v>
      </c>
      <c r="AS257" s="311">
        <v>151</v>
      </c>
      <c r="AT257" s="311">
        <v>34</v>
      </c>
      <c r="AU257" s="311">
        <v>14</v>
      </c>
      <c r="AV257" s="311">
        <v>127</v>
      </c>
      <c r="AW257" s="311">
        <v>39</v>
      </c>
      <c r="AX257" s="311">
        <v>39</v>
      </c>
      <c r="AY257" s="311">
        <v>33</v>
      </c>
      <c r="AZ257" s="311">
        <v>62</v>
      </c>
      <c r="BA257" s="311">
        <v>25</v>
      </c>
      <c r="BB257" s="311">
        <v>3</v>
      </c>
      <c r="BC257" s="311">
        <v>117</v>
      </c>
      <c r="BD257" s="311">
        <v>0</v>
      </c>
      <c r="BE257" s="311">
        <v>0</v>
      </c>
      <c r="BF257" s="311">
        <v>88</v>
      </c>
      <c r="BG257" s="311">
        <v>3</v>
      </c>
      <c r="BH257" s="311">
        <v>0</v>
      </c>
      <c r="BI257" s="312">
        <v>26.590538336052198</v>
      </c>
      <c r="BJ257" s="313">
        <v>4.7</v>
      </c>
      <c r="BK257" s="313">
        <v>7.3</v>
      </c>
      <c r="BL257" s="313">
        <v>6.8</v>
      </c>
      <c r="BM257" s="313">
        <v>6.8</v>
      </c>
      <c r="BN257" s="313">
        <v>8.3000000000000007</v>
      </c>
      <c r="BO257" s="313">
        <v>7.5</v>
      </c>
      <c r="BP257" s="313">
        <v>5.7</v>
      </c>
      <c r="BQ257" s="313">
        <v>8.1999999999999993</v>
      </c>
      <c r="BR257" s="313">
        <v>5.6</v>
      </c>
      <c r="BS257" s="313">
        <v>6.3</v>
      </c>
      <c r="BT257" s="313">
        <v>4.7</v>
      </c>
      <c r="BU257" s="313">
        <v>6.3</v>
      </c>
      <c r="BV257" s="313">
        <v>6.3</v>
      </c>
      <c r="BW257" s="313">
        <v>5.6</v>
      </c>
      <c r="BX257" s="313">
        <v>4</v>
      </c>
      <c r="BY257" s="313">
        <v>3.1</v>
      </c>
      <c r="BZ257" s="313">
        <v>1</v>
      </c>
      <c r="CA257" s="313">
        <v>1.7</v>
      </c>
      <c r="CB257" s="313">
        <v>18.8</v>
      </c>
      <c r="CC257" s="313">
        <v>65.7</v>
      </c>
      <c r="CD257" s="313">
        <v>15.399999999999999</v>
      </c>
    </row>
    <row r="258" spans="1:82" x14ac:dyDescent="0.25">
      <c r="A258" s="130" t="s">
        <v>5203</v>
      </c>
      <c r="B258" s="130" t="s">
        <v>220</v>
      </c>
      <c r="C258" s="130" t="s">
        <v>5204</v>
      </c>
      <c r="D258" s="130" t="s">
        <v>69</v>
      </c>
      <c r="E258" s="130" t="s">
        <v>5165</v>
      </c>
      <c r="F258" s="130" t="s">
        <v>4272</v>
      </c>
      <c r="G258" s="130" t="s">
        <v>5205</v>
      </c>
      <c r="H258" s="309">
        <v>540137</v>
      </c>
      <c r="I258" s="277" t="s">
        <v>1563</v>
      </c>
      <c r="J258" s="130">
        <v>5481268</v>
      </c>
      <c r="K258" s="130" t="s">
        <v>5206</v>
      </c>
      <c r="L258" s="310">
        <v>0.33465727543715046</v>
      </c>
      <c r="M258" s="311">
        <v>269</v>
      </c>
      <c r="N258" s="312">
        <v>803.8074165535927</v>
      </c>
      <c r="O258" s="311">
        <v>89</v>
      </c>
      <c r="P258" s="312">
        <v>3.02</v>
      </c>
      <c r="Q258" s="311">
        <v>269</v>
      </c>
      <c r="R258" s="311">
        <v>5</v>
      </c>
      <c r="S258" s="311">
        <v>5</v>
      </c>
      <c r="T258" s="311">
        <v>11</v>
      </c>
      <c r="U258" s="311">
        <v>2</v>
      </c>
      <c r="V258" s="311">
        <v>2</v>
      </c>
      <c r="W258" s="311">
        <v>11</v>
      </c>
      <c r="X258" s="311">
        <v>7</v>
      </c>
      <c r="Y258" s="311">
        <v>7</v>
      </c>
      <c r="Z258" s="311">
        <v>10</v>
      </c>
      <c r="AA258" s="311">
        <v>10</v>
      </c>
      <c r="AB258" s="311">
        <v>13</v>
      </c>
      <c r="AC258" s="311">
        <v>3</v>
      </c>
      <c r="AD258" s="311">
        <v>0</v>
      </c>
      <c r="AE258" s="311">
        <v>1</v>
      </c>
      <c r="AF258" s="311">
        <v>0</v>
      </c>
      <c r="AG258" s="311">
        <v>2</v>
      </c>
      <c r="AH258" s="312">
        <v>23.595505617977526</v>
      </c>
      <c r="AI258" s="312">
        <v>4.4943820224719104</v>
      </c>
      <c r="AJ258" s="312">
        <v>39.325842696629216</v>
      </c>
      <c r="AK258" s="312">
        <v>11.235955056179774</v>
      </c>
      <c r="AL258" s="312">
        <v>21.348314606741571</v>
      </c>
      <c r="AM258" s="311">
        <v>15608</v>
      </c>
      <c r="AN258" s="311">
        <v>40750</v>
      </c>
      <c r="AO258" s="312">
        <v>56.17977528089888</v>
      </c>
      <c r="AP258" s="311">
        <v>89</v>
      </c>
      <c r="AQ258" s="311">
        <v>14</v>
      </c>
      <c r="AR258" s="311">
        <v>69</v>
      </c>
      <c r="AS258" s="311">
        <v>20</v>
      </c>
      <c r="AT258" s="311">
        <v>4</v>
      </c>
      <c r="AU258" s="311">
        <v>8</v>
      </c>
      <c r="AV258" s="311">
        <v>9</v>
      </c>
      <c r="AW258" s="311">
        <v>0</v>
      </c>
      <c r="AX258" s="311">
        <v>6</v>
      </c>
      <c r="AY258" s="311">
        <v>8</v>
      </c>
      <c r="AZ258" s="311">
        <v>21</v>
      </c>
      <c r="BA258" s="311">
        <v>3</v>
      </c>
      <c r="BB258" s="311">
        <v>0</v>
      </c>
      <c r="BC258" s="311">
        <v>15</v>
      </c>
      <c r="BD258" s="311">
        <v>1</v>
      </c>
      <c r="BE258" s="311">
        <v>1</v>
      </c>
      <c r="BF258" s="311">
        <v>6</v>
      </c>
      <c r="BG258" s="311">
        <v>0</v>
      </c>
      <c r="BH258" s="311">
        <v>0</v>
      </c>
      <c r="BI258" s="312">
        <v>20.224719101123593</v>
      </c>
      <c r="BJ258" s="313">
        <v>4.8</v>
      </c>
      <c r="BK258" s="313">
        <v>7.8</v>
      </c>
      <c r="BL258" s="313">
        <v>10</v>
      </c>
      <c r="BM258" s="313">
        <v>11.9</v>
      </c>
      <c r="BN258" s="313">
        <v>3.3</v>
      </c>
      <c r="BO258" s="313">
        <v>2.6</v>
      </c>
      <c r="BP258" s="313">
        <v>7.4</v>
      </c>
      <c r="BQ258" s="313">
        <v>10.4</v>
      </c>
      <c r="BR258" s="313">
        <v>10.4</v>
      </c>
      <c r="BS258" s="313">
        <v>3.3</v>
      </c>
      <c r="BT258" s="313">
        <v>7.4</v>
      </c>
      <c r="BU258" s="313">
        <v>5.9</v>
      </c>
      <c r="BV258" s="313">
        <v>1.9</v>
      </c>
      <c r="BW258" s="313">
        <v>3.3</v>
      </c>
      <c r="BX258" s="313">
        <v>4.5</v>
      </c>
      <c r="BY258" s="313">
        <v>1.9</v>
      </c>
      <c r="BZ258" s="313">
        <v>0</v>
      </c>
      <c r="CA258" s="313">
        <v>3</v>
      </c>
      <c r="CB258" s="313">
        <v>22.6</v>
      </c>
      <c r="CC258" s="313">
        <v>64.5</v>
      </c>
      <c r="CD258" s="313">
        <v>12.7</v>
      </c>
    </row>
    <row r="259" spans="1:82" s="322" customFormat="1" x14ac:dyDescent="0.25">
      <c r="A259" s="314" t="s">
        <v>5207</v>
      </c>
      <c r="B259" s="315" t="s">
        <v>348</v>
      </c>
      <c r="C259" s="314"/>
      <c r="D259" s="314"/>
      <c r="E259" s="314"/>
      <c r="F259" s="314"/>
      <c r="G259" s="314"/>
      <c r="H259" s="316"/>
      <c r="I259" s="317"/>
      <c r="J259" s="314">
        <v>54077</v>
      </c>
      <c r="K259" s="314" t="s">
        <v>5208</v>
      </c>
      <c r="L259" s="318">
        <v>651.0218377257205</v>
      </c>
      <c r="M259" s="319">
        <v>33760</v>
      </c>
      <c r="N259" s="320">
        <v>51.856939419938932</v>
      </c>
      <c r="O259" s="319">
        <v>12420</v>
      </c>
      <c r="P259" s="320">
        <v>2.5099999999999998</v>
      </c>
      <c r="Q259" s="319">
        <v>31122</v>
      </c>
      <c r="R259" s="319">
        <v>933</v>
      </c>
      <c r="S259" s="319">
        <v>805</v>
      </c>
      <c r="T259" s="319">
        <v>832</v>
      </c>
      <c r="U259" s="319">
        <v>716</v>
      </c>
      <c r="V259" s="319">
        <v>511</v>
      </c>
      <c r="W259" s="319">
        <v>671</v>
      </c>
      <c r="X259" s="319">
        <v>748</v>
      </c>
      <c r="Y259" s="319">
        <v>731</v>
      </c>
      <c r="Z259" s="319">
        <v>668</v>
      </c>
      <c r="AA259" s="319">
        <v>1081</v>
      </c>
      <c r="AB259" s="319">
        <v>1367</v>
      </c>
      <c r="AC259" s="319">
        <v>1420</v>
      </c>
      <c r="AD259" s="319">
        <v>894</v>
      </c>
      <c r="AE259" s="319">
        <v>525</v>
      </c>
      <c r="AF259" s="319">
        <v>335</v>
      </c>
      <c r="AG259" s="319">
        <v>183</v>
      </c>
      <c r="AH259" s="320">
        <v>20.692431561996781</v>
      </c>
      <c r="AI259" s="320">
        <v>9.879227053140097</v>
      </c>
      <c r="AJ259" s="320">
        <v>22.689210950080515</v>
      </c>
      <c r="AK259" s="320">
        <v>8.7037037037037042</v>
      </c>
      <c r="AL259" s="320">
        <v>38.0354267310789</v>
      </c>
      <c r="AM259" s="319">
        <v>22540</v>
      </c>
      <c r="AN259" s="319">
        <v>46673</v>
      </c>
      <c r="AO259" s="320">
        <v>47.882447665056361</v>
      </c>
      <c r="AP259" s="319">
        <v>12420</v>
      </c>
      <c r="AQ259" s="319">
        <v>2693</v>
      </c>
      <c r="AR259" s="319">
        <v>10160</v>
      </c>
      <c r="AS259" s="319">
        <v>2260</v>
      </c>
      <c r="AT259" s="319">
        <v>585</v>
      </c>
      <c r="AU259" s="319">
        <v>353</v>
      </c>
      <c r="AV259" s="319">
        <v>1339</v>
      </c>
      <c r="AW259" s="319">
        <v>944</v>
      </c>
      <c r="AX259" s="319">
        <v>373</v>
      </c>
      <c r="AY259" s="319">
        <v>504</v>
      </c>
      <c r="AZ259" s="319">
        <v>1394</v>
      </c>
      <c r="BA259" s="319">
        <v>407</v>
      </c>
      <c r="BB259" s="319">
        <v>232</v>
      </c>
      <c r="BC259" s="319">
        <v>1904</v>
      </c>
      <c r="BD259" s="319">
        <v>363</v>
      </c>
      <c r="BE259" s="319">
        <v>75</v>
      </c>
      <c r="BF259" s="319">
        <v>2952</v>
      </c>
      <c r="BG259" s="319">
        <v>272</v>
      </c>
      <c r="BH259" s="319">
        <v>51</v>
      </c>
      <c r="BI259" s="320">
        <v>17.721417069243156</v>
      </c>
      <c r="BJ259" s="321">
        <v>5.2</v>
      </c>
      <c r="BK259" s="321">
        <v>6</v>
      </c>
      <c r="BL259" s="321">
        <v>4.9000000000000004</v>
      </c>
      <c r="BM259" s="321">
        <v>5.0999999999999996</v>
      </c>
      <c r="BN259" s="321">
        <v>5.4</v>
      </c>
      <c r="BO259" s="321">
        <v>6.7</v>
      </c>
      <c r="BP259" s="321">
        <v>6.6</v>
      </c>
      <c r="BQ259" s="321">
        <v>7.2</v>
      </c>
      <c r="BR259" s="321">
        <v>5.8</v>
      </c>
      <c r="BS259" s="321">
        <v>6.8</v>
      </c>
      <c r="BT259" s="321">
        <v>7.4</v>
      </c>
      <c r="BU259" s="321">
        <v>7</v>
      </c>
      <c r="BV259" s="321">
        <v>7.7</v>
      </c>
      <c r="BW259" s="321">
        <v>6.5</v>
      </c>
      <c r="BX259" s="321">
        <v>4.4000000000000004</v>
      </c>
      <c r="BY259" s="321">
        <v>3.8</v>
      </c>
      <c r="BZ259" s="321">
        <v>1.5</v>
      </c>
      <c r="CA259" s="321">
        <v>2.1</v>
      </c>
      <c r="CB259" s="321">
        <v>16.100000000000001</v>
      </c>
      <c r="CC259" s="321">
        <v>65.699999999999989</v>
      </c>
      <c r="CD259" s="321">
        <v>18.3</v>
      </c>
    </row>
    <row r="260" spans="1:82" s="308" customFormat="1" x14ac:dyDescent="0.25">
      <c r="A260" s="301" t="s">
        <v>356</v>
      </c>
      <c r="B260" s="301" t="s">
        <v>70</v>
      </c>
      <c r="C260" s="301" t="s">
        <v>5209</v>
      </c>
      <c r="D260" s="301" t="s">
        <v>71</v>
      </c>
      <c r="E260" s="301" t="s">
        <v>4463</v>
      </c>
      <c r="F260" s="301" t="s">
        <v>4272</v>
      </c>
      <c r="G260" s="301" t="s">
        <v>5210</v>
      </c>
      <c r="H260" s="302">
        <v>540164</v>
      </c>
      <c r="I260" s="303" t="s">
        <v>1573</v>
      </c>
      <c r="J260" s="301" t="s">
        <v>488</v>
      </c>
      <c r="K260" s="301" t="s">
        <v>488</v>
      </c>
      <c r="L260" s="304">
        <v>338.25529556675787</v>
      </c>
      <c r="M260" s="305">
        <v>42182</v>
      </c>
      <c r="N260" s="306">
        <v>124.7046256269918</v>
      </c>
      <c r="O260" s="305">
        <v>15936</v>
      </c>
      <c r="P260" s="306">
        <v>2.6327183734939759</v>
      </c>
      <c r="Q260" s="305">
        <v>41955</v>
      </c>
      <c r="R260" s="305">
        <v>749</v>
      </c>
      <c r="S260" s="305">
        <v>752</v>
      </c>
      <c r="T260" s="305">
        <v>599</v>
      </c>
      <c r="U260" s="305">
        <v>849</v>
      </c>
      <c r="V260" s="305">
        <v>686</v>
      </c>
      <c r="W260" s="305">
        <v>741</v>
      </c>
      <c r="X260" s="305">
        <v>566</v>
      </c>
      <c r="Y260" s="305">
        <v>937</v>
      </c>
      <c r="Z260" s="305">
        <v>766</v>
      </c>
      <c r="AA260" s="305">
        <v>1102</v>
      </c>
      <c r="AB260" s="305">
        <v>1879</v>
      </c>
      <c r="AC260" s="305">
        <v>2286</v>
      </c>
      <c r="AD260" s="305">
        <v>1415</v>
      </c>
      <c r="AE260" s="305">
        <v>787</v>
      </c>
      <c r="AF260" s="305">
        <v>1013</v>
      </c>
      <c r="AG260" s="305">
        <v>809</v>
      </c>
      <c r="AH260" s="306">
        <v>13.177710843373495</v>
      </c>
      <c r="AI260" s="306">
        <v>9.6322791164658632</v>
      </c>
      <c r="AJ260" s="306">
        <v>18.88805220883534</v>
      </c>
      <c r="AK260" s="306">
        <v>6.9151606425702807</v>
      </c>
      <c r="AL260" s="306">
        <v>51.386797188755018</v>
      </c>
      <c r="AM260" s="305">
        <v>30690</v>
      </c>
      <c r="AN260" s="305">
        <v>59113</v>
      </c>
      <c r="AO260" s="306">
        <v>36.891315261044177</v>
      </c>
      <c r="AP260" s="305">
        <v>15936</v>
      </c>
      <c r="AQ260" s="305">
        <v>1569</v>
      </c>
      <c r="AR260" s="305">
        <v>13321</v>
      </c>
      <c r="AS260" s="305">
        <v>2615</v>
      </c>
      <c r="AT260" s="305">
        <v>290</v>
      </c>
      <c r="AU260" s="305">
        <v>406</v>
      </c>
      <c r="AV260" s="305">
        <v>1107</v>
      </c>
      <c r="AW260" s="305">
        <v>1065</v>
      </c>
      <c r="AX260" s="305">
        <v>547</v>
      </c>
      <c r="AY260" s="305">
        <v>537</v>
      </c>
      <c r="AZ260" s="305">
        <v>1314</v>
      </c>
      <c r="BA260" s="305">
        <v>560</v>
      </c>
      <c r="BB260" s="305">
        <v>332</v>
      </c>
      <c r="BC260" s="305">
        <v>1887</v>
      </c>
      <c r="BD260" s="305">
        <v>661</v>
      </c>
      <c r="BE260" s="305">
        <v>318</v>
      </c>
      <c r="BF260" s="305">
        <v>5470</v>
      </c>
      <c r="BG260" s="305">
        <v>546</v>
      </c>
      <c r="BH260" s="305">
        <v>187</v>
      </c>
      <c r="BI260" s="306">
        <v>15.568524096385541</v>
      </c>
      <c r="BJ260" s="307">
        <v>5.8</v>
      </c>
      <c r="BK260" s="307">
        <v>6.4</v>
      </c>
      <c r="BL260" s="307">
        <v>6.5</v>
      </c>
      <c r="BM260" s="307">
        <v>6.1</v>
      </c>
      <c r="BN260" s="307">
        <v>4.9000000000000004</v>
      </c>
      <c r="BO260" s="307">
        <v>5.2</v>
      </c>
      <c r="BP260" s="307">
        <v>6.4</v>
      </c>
      <c r="BQ260" s="307">
        <v>6.6</v>
      </c>
      <c r="BR260" s="307">
        <v>6.9</v>
      </c>
      <c r="BS260" s="307">
        <v>6.9</v>
      </c>
      <c r="BT260" s="307">
        <v>7.3</v>
      </c>
      <c r="BU260" s="307">
        <v>6.9</v>
      </c>
      <c r="BV260" s="307">
        <v>7.3</v>
      </c>
      <c r="BW260" s="307">
        <v>5.7</v>
      </c>
      <c r="BX260" s="307">
        <v>4.4000000000000004</v>
      </c>
      <c r="BY260" s="307">
        <v>3.3</v>
      </c>
      <c r="BZ260" s="307">
        <v>2.1</v>
      </c>
      <c r="CA260" s="307">
        <v>1.3</v>
      </c>
      <c r="CB260" s="307">
        <v>18.7</v>
      </c>
      <c r="CC260" s="307">
        <v>64.5</v>
      </c>
      <c r="CD260" s="307">
        <v>16.8</v>
      </c>
    </row>
    <row r="261" spans="1:82" x14ac:dyDescent="0.25">
      <c r="A261" s="130" t="s">
        <v>5211</v>
      </c>
      <c r="B261" s="130" t="s">
        <v>238</v>
      </c>
      <c r="C261" s="130" t="s">
        <v>5212</v>
      </c>
      <c r="D261" s="130" t="s">
        <v>71</v>
      </c>
      <c r="E261" s="130" t="s">
        <v>5213</v>
      </c>
      <c r="F261" s="130" t="s">
        <v>4272</v>
      </c>
      <c r="G261" s="130" t="s">
        <v>5214</v>
      </c>
      <c r="H261" s="309">
        <v>540165</v>
      </c>
      <c r="I261" s="277" t="s">
        <v>1574</v>
      </c>
      <c r="J261" s="130">
        <v>5404204</v>
      </c>
      <c r="K261" s="130" t="s">
        <v>5215</v>
      </c>
      <c r="L261" s="310">
        <v>0.14476671090962401</v>
      </c>
      <c r="M261" s="311">
        <v>750</v>
      </c>
      <c r="N261" s="312">
        <v>5180.7490498849238</v>
      </c>
      <c r="O261" s="311">
        <v>267</v>
      </c>
      <c r="P261" s="312">
        <v>2.81</v>
      </c>
      <c r="Q261" s="311">
        <v>750</v>
      </c>
      <c r="R261" s="311">
        <v>15</v>
      </c>
      <c r="S261" s="311">
        <v>19</v>
      </c>
      <c r="T261" s="311">
        <v>10</v>
      </c>
      <c r="U261" s="311">
        <v>11</v>
      </c>
      <c r="V261" s="311">
        <v>0</v>
      </c>
      <c r="W261" s="311">
        <v>17</v>
      </c>
      <c r="X261" s="311">
        <v>27</v>
      </c>
      <c r="Y261" s="311">
        <v>5</v>
      </c>
      <c r="Z261" s="311">
        <v>0</v>
      </c>
      <c r="AA261" s="311">
        <v>24</v>
      </c>
      <c r="AB261" s="311">
        <v>4</v>
      </c>
      <c r="AC261" s="311">
        <v>103</v>
      </c>
      <c r="AD261" s="311">
        <v>17</v>
      </c>
      <c r="AE261" s="311">
        <v>4</v>
      </c>
      <c r="AF261" s="311">
        <v>11</v>
      </c>
      <c r="AG261" s="311">
        <v>0</v>
      </c>
      <c r="AH261" s="312">
        <v>16.479400749063668</v>
      </c>
      <c r="AI261" s="312">
        <v>4.119850187265917</v>
      </c>
      <c r="AJ261" s="312">
        <v>18.352059925093634</v>
      </c>
      <c r="AK261" s="312">
        <v>8.9887640449438209</v>
      </c>
      <c r="AL261" s="312">
        <v>52.059925093632963</v>
      </c>
      <c r="AM261" s="311">
        <v>25454</v>
      </c>
      <c r="AN261" s="311">
        <v>75750</v>
      </c>
      <c r="AO261" s="312">
        <v>38.951310861423224</v>
      </c>
      <c r="AP261" s="311">
        <v>267</v>
      </c>
      <c r="AQ261" s="311">
        <v>31</v>
      </c>
      <c r="AR261" s="311">
        <v>207</v>
      </c>
      <c r="AS261" s="311">
        <v>60</v>
      </c>
      <c r="AT261" s="311">
        <v>1</v>
      </c>
      <c r="AU261" s="311">
        <v>1</v>
      </c>
      <c r="AV261" s="311">
        <v>34</v>
      </c>
      <c r="AW261" s="311">
        <v>15</v>
      </c>
      <c r="AX261" s="311">
        <v>11</v>
      </c>
      <c r="AY261" s="311">
        <v>2</v>
      </c>
      <c r="AZ261" s="311">
        <v>24</v>
      </c>
      <c r="BA261" s="311">
        <v>3</v>
      </c>
      <c r="BB261" s="311">
        <v>2</v>
      </c>
      <c r="BC261" s="311">
        <v>23</v>
      </c>
      <c r="BD261" s="311">
        <v>5</v>
      </c>
      <c r="BE261" s="311">
        <v>0</v>
      </c>
      <c r="BF261" s="311">
        <v>130</v>
      </c>
      <c r="BG261" s="311">
        <v>5</v>
      </c>
      <c r="BH261" s="311">
        <v>0</v>
      </c>
      <c r="BI261" s="312">
        <v>14.232209737827715</v>
      </c>
      <c r="BJ261" s="313">
        <v>5.0999999999999996</v>
      </c>
      <c r="BK261" s="313">
        <v>0.4</v>
      </c>
      <c r="BL261" s="313">
        <v>1.2</v>
      </c>
      <c r="BM261" s="313">
        <v>8.8000000000000007</v>
      </c>
      <c r="BN261" s="313">
        <v>9.1999999999999993</v>
      </c>
      <c r="BO261" s="313">
        <v>5.2</v>
      </c>
      <c r="BP261" s="313">
        <v>9.5</v>
      </c>
      <c r="BQ261" s="313">
        <v>5.7</v>
      </c>
      <c r="BR261" s="313">
        <v>4.5</v>
      </c>
      <c r="BS261" s="313">
        <v>3.9</v>
      </c>
      <c r="BT261" s="313">
        <v>16.5</v>
      </c>
      <c r="BU261" s="313">
        <v>8.3000000000000007</v>
      </c>
      <c r="BV261" s="313">
        <v>6.4</v>
      </c>
      <c r="BW261" s="313">
        <v>5.7</v>
      </c>
      <c r="BX261" s="313">
        <v>3.3</v>
      </c>
      <c r="BY261" s="313">
        <v>3.3</v>
      </c>
      <c r="BZ261" s="313">
        <v>2.9</v>
      </c>
      <c r="CA261" s="313">
        <v>0</v>
      </c>
      <c r="CB261" s="313">
        <v>6.7</v>
      </c>
      <c r="CC261" s="313">
        <v>78.000000000000014</v>
      </c>
      <c r="CD261" s="313">
        <v>15.200000000000001</v>
      </c>
    </row>
    <row r="262" spans="1:82" x14ac:dyDescent="0.25">
      <c r="A262" s="130" t="s">
        <v>5216</v>
      </c>
      <c r="B262" s="130" t="s">
        <v>239</v>
      </c>
      <c r="C262" s="130" t="s">
        <v>5217</v>
      </c>
      <c r="D262" s="130" t="s">
        <v>71</v>
      </c>
      <c r="E262" s="130" t="s">
        <v>5213</v>
      </c>
      <c r="F262" s="130" t="s">
        <v>4272</v>
      </c>
      <c r="G262" s="130" t="s">
        <v>5218</v>
      </c>
      <c r="H262" s="309">
        <v>540166</v>
      </c>
      <c r="I262" s="277" t="s">
        <v>1575</v>
      </c>
      <c r="J262" s="130">
        <v>5411284</v>
      </c>
      <c r="K262" s="130" t="s">
        <v>5219</v>
      </c>
      <c r="L262" s="310">
        <v>1.6456860511254785</v>
      </c>
      <c r="M262" s="311">
        <v>1273</v>
      </c>
      <c r="N262" s="312">
        <v>773.53757670206903</v>
      </c>
      <c r="O262" s="311">
        <v>508</v>
      </c>
      <c r="P262" s="312">
        <v>2.4500000000000002</v>
      </c>
      <c r="Q262" s="311">
        <v>1246</v>
      </c>
      <c r="R262" s="311">
        <v>32</v>
      </c>
      <c r="S262" s="311">
        <v>63</v>
      </c>
      <c r="T262" s="311">
        <v>31</v>
      </c>
      <c r="U262" s="311">
        <v>14</v>
      </c>
      <c r="V262" s="311">
        <v>30</v>
      </c>
      <c r="W262" s="311">
        <v>48</v>
      </c>
      <c r="X262" s="311">
        <v>17</v>
      </c>
      <c r="Y262" s="311">
        <v>19</v>
      </c>
      <c r="Z262" s="311">
        <v>34</v>
      </c>
      <c r="AA262" s="311">
        <v>60</v>
      </c>
      <c r="AB262" s="311">
        <v>23</v>
      </c>
      <c r="AC262" s="311">
        <v>67</v>
      </c>
      <c r="AD262" s="311">
        <v>33</v>
      </c>
      <c r="AE262" s="311">
        <v>17</v>
      </c>
      <c r="AF262" s="311">
        <v>18</v>
      </c>
      <c r="AG262" s="311">
        <v>2</v>
      </c>
      <c r="AH262" s="312">
        <v>24.803149606299215</v>
      </c>
      <c r="AI262" s="312">
        <v>8.6614173228346463</v>
      </c>
      <c r="AJ262" s="312">
        <v>23.228346456692915</v>
      </c>
      <c r="AK262" s="312">
        <v>11.811023622047244</v>
      </c>
      <c r="AL262" s="312">
        <v>31.496062992125985</v>
      </c>
      <c r="AM262" s="311">
        <v>24255</v>
      </c>
      <c r="AN262" s="311">
        <v>45000</v>
      </c>
      <c r="AO262" s="312">
        <v>50</v>
      </c>
      <c r="AP262" s="311">
        <v>508</v>
      </c>
      <c r="AQ262" s="311">
        <v>94</v>
      </c>
      <c r="AR262" s="311">
        <v>433</v>
      </c>
      <c r="AS262" s="311">
        <v>75</v>
      </c>
      <c r="AT262" s="311">
        <v>15</v>
      </c>
      <c r="AU262" s="311">
        <v>36</v>
      </c>
      <c r="AV262" s="311">
        <v>75</v>
      </c>
      <c r="AW262" s="311">
        <v>65</v>
      </c>
      <c r="AX262" s="311">
        <v>4</v>
      </c>
      <c r="AY262" s="311">
        <v>23</v>
      </c>
      <c r="AZ262" s="311">
        <v>48</v>
      </c>
      <c r="BA262" s="311">
        <v>18</v>
      </c>
      <c r="BB262" s="311">
        <v>0</v>
      </c>
      <c r="BC262" s="311">
        <v>40</v>
      </c>
      <c r="BD262" s="311">
        <v>43</v>
      </c>
      <c r="BE262" s="311">
        <v>0</v>
      </c>
      <c r="BF262" s="311">
        <v>125</v>
      </c>
      <c r="BG262" s="311">
        <v>8</v>
      </c>
      <c r="BH262" s="311">
        <v>0</v>
      </c>
      <c r="BI262" s="312">
        <v>19.291338582677163</v>
      </c>
      <c r="BJ262" s="313">
        <v>4.9000000000000004</v>
      </c>
      <c r="BK262" s="313">
        <v>7</v>
      </c>
      <c r="BL262" s="313">
        <v>4.9000000000000004</v>
      </c>
      <c r="BM262" s="313">
        <v>4.0999999999999996</v>
      </c>
      <c r="BN262" s="313">
        <v>10.9</v>
      </c>
      <c r="BO262" s="313">
        <v>2.8</v>
      </c>
      <c r="BP262" s="313">
        <v>4.4000000000000004</v>
      </c>
      <c r="BQ262" s="313">
        <v>7</v>
      </c>
      <c r="BR262" s="313">
        <v>6.2</v>
      </c>
      <c r="BS262" s="313">
        <v>7.5</v>
      </c>
      <c r="BT262" s="313">
        <v>5.3</v>
      </c>
      <c r="BU262" s="313">
        <v>5.0999999999999996</v>
      </c>
      <c r="BV262" s="313">
        <v>8.4</v>
      </c>
      <c r="BW262" s="313">
        <v>4.4000000000000004</v>
      </c>
      <c r="BX262" s="313">
        <v>7.9</v>
      </c>
      <c r="BY262" s="313">
        <v>3.6</v>
      </c>
      <c r="BZ262" s="313">
        <v>0.9</v>
      </c>
      <c r="CA262" s="313">
        <v>4.7</v>
      </c>
      <c r="CB262" s="313">
        <v>16.8</v>
      </c>
      <c r="CC262" s="313">
        <v>61.7</v>
      </c>
      <c r="CD262" s="313">
        <v>21.5</v>
      </c>
    </row>
    <row r="263" spans="1:82" x14ac:dyDescent="0.25">
      <c r="A263" s="130" t="s">
        <v>5220</v>
      </c>
      <c r="B263" s="130" t="s">
        <v>276</v>
      </c>
      <c r="C263" s="130" t="s">
        <v>5221</v>
      </c>
      <c r="D263" s="130" t="s">
        <v>71</v>
      </c>
      <c r="E263" s="130" t="s">
        <v>5213</v>
      </c>
      <c r="F263" s="130" t="s">
        <v>4272</v>
      </c>
      <c r="G263" s="130" t="s">
        <v>5222</v>
      </c>
      <c r="H263" s="309">
        <v>540222</v>
      </c>
      <c r="I263" s="277" t="s">
        <v>1578</v>
      </c>
      <c r="J263" s="130">
        <v>5424292</v>
      </c>
      <c r="K263" s="130" t="s">
        <v>5223</v>
      </c>
      <c r="L263" s="310">
        <v>2.1252874580667975</v>
      </c>
      <c r="M263" s="311">
        <v>1559</v>
      </c>
      <c r="N263" s="312">
        <v>733.54782859260672</v>
      </c>
      <c r="O263" s="311">
        <v>660</v>
      </c>
      <c r="P263" s="312">
        <v>2.36</v>
      </c>
      <c r="Q263" s="311">
        <v>1559</v>
      </c>
      <c r="R263" s="311">
        <v>59</v>
      </c>
      <c r="S263" s="311">
        <v>12</v>
      </c>
      <c r="T263" s="311">
        <v>20</v>
      </c>
      <c r="U263" s="311">
        <v>27</v>
      </c>
      <c r="V263" s="311">
        <v>43</v>
      </c>
      <c r="W263" s="311">
        <v>18</v>
      </c>
      <c r="X263" s="311">
        <v>43</v>
      </c>
      <c r="Y263" s="311">
        <v>41</v>
      </c>
      <c r="Z263" s="311">
        <v>13</v>
      </c>
      <c r="AA263" s="311">
        <v>87</v>
      </c>
      <c r="AB263" s="311">
        <v>83</v>
      </c>
      <c r="AC263" s="311">
        <v>88</v>
      </c>
      <c r="AD263" s="311">
        <v>74</v>
      </c>
      <c r="AE263" s="311">
        <v>7</v>
      </c>
      <c r="AF263" s="311">
        <v>43</v>
      </c>
      <c r="AG263" s="311">
        <v>2</v>
      </c>
      <c r="AH263" s="312">
        <v>13.787878787878787</v>
      </c>
      <c r="AI263" s="312">
        <v>10.606060606060606</v>
      </c>
      <c r="AJ263" s="312">
        <v>17.424242424242426</v>
      </c>
      <c r="AK263" s="312">
        <v>13.18181818181818</v>
      </c>
      <c r="AL263" s="312">
        <v>45</v>
      </c>
      <c r="AM263" s="311">
        <v>27548</v>
      </c>
      <c r="AN263" s="311">
        <v>55648</v>
      </c>
      <c r="AO263" s="312">
        <v>39.848484848484851</v>
      </c>
      <c r="AP263" s="311">
        <v>660</v>
      </c>
      <c r="AQ263" s="311">
        <v>40</v>
      </c>
      <c r="AR263" s="311">
        <v>520</v>
      </c>
      <c r="AS263" s="311">
        <v>140</v>
      </c>
      <c r="AT263" s="311">
        <v>9</v>
      </c>
      <c r="AU263" s="311">
        <v>0</v>
      </c>
      <c r="AV263" s="311">
        <v>73</v>
      </c>
      <c r="AW263" s="311">
        <v>53</v>
      </c>
      <c r="AX263" s="311">
        <v>22</v>
      </c>
      <c r="AY263" s="311">
        <v>13</v>
      </c>
      <c r="AZ263" s="311">
        <v>33</v>
      </c>
      <c r="BA263" s="311">
        <v>46</v>
      </c>
      <c r="BB263" s="311">
        <v>18</v>
      </c>
      <c r="BC263" s="311">
        <v>115</v>
      </c>
      <c r="BD263" s="311">
        <v>55</v>
      </c>
      <c r="BE263" s="311">
        <v>0</v>
      </c>
      <c r="BF263" s="311">
        <v>214</v>
      </c>
      <c r="BG263" s="311">
        <v>0</v>
      </c>
      <c r="BH263" s="311">
        <v>0</v>
      </c>
      <c r="BI263" s="312">
        <v>15.757575757575756</v>
      </c>
      <c r="BJ263" s="313">
        <v>6</v>
      </c>
      <c r="BK263" s="313">
        <v>5.3</v>
      </c>
      <c r="BL263" s="313">
        <v>5.8</v>
      </c>
      <c r="BM263" s="313">
        <v>4.9000000000000004</v>
      </c>
      <c r="BN263" s="313">
        <v>5.3</v>
      </c>
      <c r="BO263" s="313">
        <v>5.6</v>
      </c>
      <c r="BP263" s="313">
        <v>7</v>
      </c>
      <c r="BQ263" s="313">
        <v>7</v>
      </c>
      <c r="BR263" s="313">
        <v>5.8</v>
      </c>
      <c r="BS263" s="313">
        <v>6.2</v>
      </c>
      <c r="BT263" s="313">
        <v>6.5</v>
      </c>
      <c r="BU263" s="313">
        <v>7.8</v>
      </c>
      <c r="BV263" s="313">
        <v>7.6</v>
      </c>
      <c r="BW263" s="313">
        <v>4.9000000000000004</v>
      </c>
      <c r="BX263" s="313">
        <v>4.5999999999999996</v>
      </c>
      <c r="BY263" s="313">
        <v>6.8</v>
      </c>
      <c r="BZ263" s="313">
        <v>2.2000000000000002</v>
      </c>
      <c r="CA263" s="313">
        <v>0.7</v>
      </c>
      <c r="CB263" s="313">
        <v>17.100000000000001</v>
      </c>
      <c r="CC263" s="313">
        <v>63.699999999999996</v>
      </c>
      <c r="CD263" s="313">
        <v>19.2</v>
      </c>
    </row>
    <row r="264" spans="1:82" x14ac:dyDescent="0.25">
      <c r="A264" s="130" t="s">
        <v>5224</v>
      </c>
      <c r="B264" s="130" t="s">
        <v>240</v>
      </c>
      <c r="C264" s="130" t="s">
        <v>5225</v>
      </c>
      <c r="D264" s="130" t="s">
        <v>71</v>
      </c>
      <c r="E264" s="130" t="s">
        <v>5213</v>
      </c>
      <c r="F264" s="130" t="s">
        <v>4272</v>
      </c>
      <c r="G264" s="130" t="s">
        <v>5226</v>
      </c>
      <c r="H264" s="309">
        <v>540167</v>
      </c>
      <c r="I264" s="277" t="s">
        <v>1576</v>
      </c>
      <c r="J264" s="130">
        <v>5439532</v>
      </c>
      <c r="K264" s="130" t="s">
        <v>5227</v>
      </c>
      <c r="L264" s="310">
        <v>3.7722383862799038</v>
      </c>
      <c r="M264" s="311">
        <v>6450</v>
      </c>
      <c r="N264" s="312">
        <v>1709.8601253461195</v>
      </c>
      <c r="O264" s="311">
        <v>2522</v>
      </c>
      <c r="P264" s="312">
        <v>2.56</v>
      </c>
      <c r="Q264" s="311">
        <v>6444</v>
      </c>
      <c r="R264" s="311">
        <v>196</v>
      </c>
      <c r="S264" s="311">
        <v>147</v>
      </c>
      <c r="T264" s="311">
        <v>152</v>
      </c>
      <c r="U264" s="311">
        <v>110</v>
      </c>
      <c r="V264" s="311">
        <v>123</v>
      </c>
      <c r="W264" s="311">
        <v>133</v>
      </c>
      <c r="X264" s="311">
        <v>40</v>
      </c>
      <c r="Y264" s="311">
        <v>136</v>
      </c>
      <c r="Z264" s="311">
        <v>143</v>
      </c>
      <c r="AA264" s="311">
        <v>192</v>
      </c>
      <c r="AB264" s="311">
        <v>244</v>
      </c>
      <c r="AC264" s="311">
        <v>229</v>
      </c>
      <c r="AD264" s="311">
        <v>222</v>
      </c>
      <c r="AE264" s="311">
        <v>104</v>
      </c>
      <c r="AF264" s="311">
        <v>128</v>
      </c>
      <c r="AG264" s="311">
        <v>223</v>
      </c>
      <c r="AH264" s="312">
        <v>19.627279936558288</v>
      </c>
      <c r="AI264" s="312">
        <v>9.2386994448850128</v>
      </c>
      <c r="AJ264" s="312">
        <v>17.922283901665345</v>
      </c>
      <c r="AK264" s="312">
        <v>7.6130055511498806</v>
      </c>
      <c r="AL264" s="312">
        <v>45.598731165741476</v>
      </c>
      <c r="AM264" s="311">
        <v>32841</v>
      </c>
      <c r="AN264" s="311">
        <v>55000</v>
      </c>
      <c r="AO264" s="312">
        <v>41.118160190325135</v>
      </c>
      <c r="AP264" s="311">
        <v>2522</v>
      </c>
      <c r="AQ264" s="311">
        <v>308</v>
      </c>
      <c r="AR264" s="311">
        <v>1785</v>
      </c>
      <c r="AS264" s="311">
        <v>737</v>
      </c>
      <c r="AT264" s="311">
        <v>25</v>
      </c>
      <c r="AU264" s="311">
        <v>80</v>
      </c>
      <c r="AV264" s="311">
        <v>378</v>
      </c>
      <c r="AW264" s="311">
        <v>156</v>
      </c>
      <c r="AX264" s="311">
        <v>54</v>
      </c>
      <c r="AY264" s="311">
        <v>156</v>
      </c>
      <c r="AZ264" s="311">
        <v>148</v>
      </c>
      <c r="BA264" s="311">
        <v>130</v>
      </c>
      <c r="BB264" s="311">
        <v>41</v>
      </c>
      <c r="BC264" s="311">
        <v>305</v>
      </c>
      <c r="BD264" s="311">
        <v>99</v>
      </c>
      <c r="BE264" s="311">
        <v>17</v>
      </c>
      <c r="BF264" s="311">
        <v>780</v>
      </c>
      <c r="BG264" s="311">
        <v>102</v>
      </c>
      <c r="BH264" s="311">
        <v>18</v>
      </c>
      <c r="BI264" s="312">
        <v>24.187153053132434</v>
      </c>
      <c r="BJ264" s="313">
        <v>3.8</v>
      </c>
      <c r="BK264" s="313">
        <v>7.8</v>
      </c>
      <c r="BL264" s="313">
        <v>8.3000000000000007</v>
      </c>
      <c r="BM264" s="313">
        <v>6.3</v>
      </c>
      <c r="BN264" s="313">
        <v>5</v>
      </c>
      <c r="BO264" s="313">
        <v>5.2</v>
      </c>
      <c r="BP264" s="313">
        <v>5.4</v>
      </c>
      <c r="BQ264" s="313">
        <v>7.4</v>
      </c>
      <c r="BR264" s="313">
        <v>4</v>
      </c>
      <c r="BS264" s="313">
        <v>5.7</v>
      </c>
      <c r="BT264" s="313">
        <v>9.5</v>
      </c>
      <c r="BU264" s="313">
        <v>9.8000000000000007</v>
      </c>
      <c r="BV264" s="313">
        <v>6.7</v>
      </c>
      <c r="BW264" s="313">
        <v>5.4</v>
      </c>
      <c r="BX264" s="313">
        <v>2.9</v>
      </c>
      <c r="BY264" s="313">
        <v>4.0999999999999996</v>
      </c>
      <c r="BZ264" s="313">
        <v>1.6</v>
      </c>
      <c r="CA264" s="313">
        <v>1.2</v>
      </c>
      <c r="CB264" s="313">
        <v>19.899999999999999</v>
      </c>
      <c r="CC264" s="313">
        <v>65</v>
      </c>
      <c r="CD264" s="313">
        <v>15.2</v>
      </c>
    </row>
    <row r="265" spans="1:82" s="330" customFormat="1" x14ac:dyDescent="0.25">
      <c r="A265" s="323" t="s">
        <v>4711</v>
      </c>
      <c r="B265" s="323" t="s">
        <v>176</v>
      </c>
      <c r="C265" s="323" t="s">
        <v>5228</v>
      </c>
      <c r="D265" s="323" t="s">
        <v>619</v>
      </c>
      <c r="E265" s="323" t="s">
        <v>4463</v>
      </c>
      <c r="F265" s="323" t="s">
        <v>4272</v>
      </c>
      <c r="G265" s="323" t="s">
        <v>4713</v>
      </c>
      <c r="H265" s="324">
        <v>540081</v>
      </c>
      <c r="I265" s="325" t="s">
        <v>5229</v>
      </c>
      <c r="J265" s="323">
        <v>5459068</v>
      </c>
      <c r="K265" s="323" t="s">
        <v>4715</v>
      </c>
      <c r="L265" s="326">
        <v>0.98865517068863784</v>
      </c>
      <c r="M265" s="327">
        <v>1111</v>
      </c>
      <c r="N265" s="328">
        <v>1123.748737617125</v>
      </c>
      <c r="O265" s="327">
        <v>489</v>
      </c>
      <c r="P265" s="328">
        <v>2.27</v>
      </c>
      <c r="Q265" s="327">
        <v>1111</v>
      </c>
      <c r="R265" s="327">
        <v>38</v>
      </c>
      <c r="S265" s="327">
        <v>35</v>
      </c>
      <c r="T265" s="327">
        <v>32</v>
      </c>
      <c r="U265" s="327">
        <v>30</v>
      </c>
      <c r="V265" s="327">
        <v>10</v>
      </c>
      <c r="W265" s="327">
        <v>40</v>
      </c>
      <c r="X265" s="327">
        <v>27</v>
      </c>
      <c r="Y265" s="327">
        <v>38</v>
      </c>
      <c r="Z265" s="327">
        <v>16</v>
      </c>
      <c r="AA265" s="327">
        <v>39</v>
      </c>
      <c r="AB265" s="327">
        <v>72</v>
      </c>
      <c r="AC265" s="327">
        <v>30</v>
      </c>
      <c r="AD265" s="327">
        <v>40</v>
      </c>
      <c r="AE265" s="327">
        <v>6</v>
      </c>
      <c r="AF265" s="327">
        <v>26</v>
      </c>
      <c r="AG265" s="327">
        <v>10</v>
      </c>
      <c r="AH265" s="328">
        <v>21.472392638036812</v>
      </c>
      <c r="AI265" s="328">
        <v>8.1799591002044991</v>
      </c>
      <c r="AJ265" s="328">
        <v>24.744376278118612</v>
      </c>
      <c r="AK265" s="328">
        <v>7.9754601226993866</v>
      </c>
      <c r="AL265" s="328">
        <v>37.627811860940696</v>
      </c>
      <c r="AM265" s="327">
        <v>29481</v>
      </c>
      <c r="AN265" s="327">
        <v>43952</v>
      </c>
      <c r="AO265" s="328">
        <v>51.124744376278116</v>
      </c>
      <c r="AP265" s="327">
        <v>489</v>
      </c>
      <c r="AQ265" s="327">
        <v>73</v>
      </c>
      <c r="AR265" s="327">
        <v>333</v>
      </c>
      <c r="AS265" s="327">
        <v>156</v>
      </c>
      <c r="AT265" s="327">
        <v>3</v>
      </c>
      <c r="AU265" s="327">
        <v>28</v>
      </c>
      <c r="AV265" s="327">
        <v>65</v>
      </c>
      <c r="AW265" s="327">
        <v>26</v>
      </c>
      <c r="AX265" s="327">
        <v>25</v>
      </c>
      <c r="AY265" s="327">
        <v>21</v>
      </c>
      <c r="AZ265" s="327">
        <v>41</v>
      </c>
      <c r="BA265" s="327">
        <v>19</v>
      </c>
      <c r="BB265" s="327">
        <v>15</v>
      </c>
      <c r="BC265" s="327">
        <v>78</v>
      </c>
      <c r="BD265" s="327">
        <v>24</v>
      </c>
      <c r="BE265" s="327">
        <v>10</v>
      </c>
      <c r="BF265" s="327">
        <v>112</v>
      </c>
      <c r="BG265" s="327">
        <v>0</v>
      </c>
      <c r="BH265" s="327">
        <v>0</v>
      </c>
      <c r="BI265" s="328">
        <v>22.699386503067483</v>
      </c>
      <c r="BJ265" s="329">
        <v>5.5</v>
      </c>
      <c r="BK265" s="329">
        <v>8.6</v>
      </c>
      <c r="BL265" s="329">
        <v>4.5</v>
      </c>
      <c r="BM265" s="329">
        <v>6.8</v>
      </c>
      <c r="BN265" s="329">
        <v>1.7</v>
      </c>
      <c r="BO265" s="329">
        <v>4.5</v>
      </c>
      <c r="BP265" s="329">
        <v>7.7</v>
      </c>
      <c r="BQ265" s="329">
        <v>6.4</v>
      </c>
      <c r="BR265" s="329">
        <v>6.6</v>
      </c>
      <c r="BS265" s="329">
        <v>5.7</v>
      </c>
      <c r="BT265" s="329">
        <v>4.3</v>
      </c>
      <c r="BU265" s="329">
        <v>11.4</v>
      </c>
      <c r="BV265" s="329">
        <v>9.1999999999999993</v>
      </c>
      <c r="BW265" s="329">
        <v>6.3</v>
      </c>
      <c r="BX265" s="329">
        <v>3.9</v>
      </c>
      <c r="BY265" s="329">
        <v>3.4</v>
      </c>
      <c r="BZ265" s="329">
        <v>1.8</v>
      </c>
      <c r="CA265" s="329">
        <v>1.8</v>
      </c>
      <c r="CB265" s="329">
        <v>18.600000000000001</v>
      </c>
      <c r="CC265" s="329">
        <v>64.3</v>
      </c>
      <c r="CD265" s="329">
        <v>17.2</v>
      </c>
    </row>
    <row r="266" spans="1:82" x14ac:dyDescent="0.25">
      <c r="A266" s="130" t="s">
        <v>5230</v>
      </c>
      <c r="B266" s="130" t="s">
        <v>241</v>
      </c>
      <c r="C266" s="130" t="s">
        <v>5231</v>
      </c>
      <c r="D266" s="130" t="s">
        <v>71</v>
      </c>
      <c r="E266" s="130" t="s">
        <v>5213</v>
      </c>
      <c r="F266" s="130" t="s">
        <v>4272</v>
      </c>
      <c r="G266" s="130" t="s">
        <v>5232</v>
      </c>
      <c r="H266" s="309">
        <v>540168</v>
      </c>
      <c r="I266" s="277" t="s">
        <v>1577</v>
      </c>
      <c r="J266" s="130">
        <v>5464516</v>
      </c>
      <c r="K266" s="130" t="s">
        <v>5233</v>
      </c>
      <c r="L266" s="310">
        <v>0.75201864699746679</v>
      </c>
      <c r="M266" s="311">
        <v>987</v>
      </c>
      <c r="N266" s="312">
        <v>1312.4674553493151</v>
      </c>
      <c r="O266" s="311">
        <v>402</v>
      </c>
      <c r="P266" s="312">
        <v>2.41</v>
      </c>
      <c r="Q266" s="311">
        <v>970</v>
      </c>
      <c r="R266" s="311">
        <v>66</v>
      </c>
      <c r="S266" s="311">
        <v>22</v>
      </c>
      <c r="T266" s="311">
        <v>18</v>
      </c>
      <c r="U266" s="311">
        <v>12</v>
      </c>
      <c r="V266" s="311">
        <v>29</v>
      </c>
      <c r="W266" s="311">
        <v>8</v>
      </c>
      <c r="X266" s="311">
        <v>24</v>
      </c>
      <c r="Y266" s="311">
        <v>7</v>
      </c>
      <c r="Z266" s="311">
        <v>9</v>
      </c>
      <c r="AA266" s="311">
        <v>35</v>
      </c>
      <c r="AB266" s="311">
        <v>71</v>
      </c>
      <c r="AC266" s="311">
        <v>38</v>
      </c>
      <c r="AD266" s="311">
        <v>32</v>
      </c>
      <c r="AE266" s="311">
        <v>13</v>
      </c>
      <c r="AF266" s="311">
        <v>15</v>
      </c>
      <c r="AG266" s="311">
        <v>3</v>
      </c>
      <c r="AH266" s="312">
        <v>26.368159203980102</v>
      </c>
      <c r="AI266" s="312">
        <v>10.199004975124378</v>
      </c>
      <c r="AJ266" s="312">
        <v>11.940298507462686</v>
      </c>
      <c r="AK266" s="312">
        <v>8.7064676616915424</v>
      </c>
      <c r="AL266" s="312">
        <v>42.786069651741293</v>
      </c>
      <c r="AM266" s="311">
        <v>25037</v>
      </c>
      <c r="AN266" s="311">
        <v>52500</v>
      </c>
      <c r="AO266" s="312">
        <v>46.268656716417908</v>
      </c>
      <c r="AP266" s="311">
        <v>402</v>
      </c>
      <c r="AQ266" s="311">
        <v>54</v>
      </c>
      <c r="AR266" s="311">
        <v>302</v>
      </c>
      <c r="AS266" s="311">
        <v>100</v>
      </c>
      <c r="AT266" s="311">
        <v>16</v>
      </c>
      <c r="AU266" s="311">
        <v>11</v>
      </c>
      <c r="AV266" s="311">
        <v>61</v>
      </c>
      <c r="AW266" s="311">
        <v>25</v>
      </c>
      <c r="AX266" s="311">
        <v>0</v>
      </c>
      <c r="AY266" s="311">
        <v>24</v>
      </c>
      <c r="AZ266" s="311">
        <v>26</v>
      </c>
      <c r="BA266" s="311">
        <v>11</v>
      </c>
      <c r="BB266" s="311">
        <v>3</v>
      </c>
      <c r="BC266" s="311">
        <v>68</v>
      </c>
      <c r="BD266" s="311">
        <v>31</v>
      </c>
      <c r="BE266" s="311">
        <v>3</v>
      </c>
      <c r="BF266" s="311">
        <v>101</v>
      </c>
      <c r="BG266" s="311">
        <v>0</v>
      </c>
      <c r="BH266" s="311">
        <v>0</v>
      </c>
      <c r="BI266" s="312">
        <v>22.636815920398011</v>
      </c>
      <c r="BJ266" s="313">
        <v>4.7</v>
      </c>
      <c r="BK266" s="313">
        <v>5.3</v>
      </c>
      <c r="BL266" s="313">
        <v>2.2000000000000002</v>
      </c>
      <c r="BM266" s="313">
        <v>6.1</v>
      </c>
      <c r="BN266" s="313">
        <v>7.5</v>
      </c>
      <c r="BO266" s="313">
        <v>3.1</v>
      </c>
      <c r="BP266" s="313">
        <v>5.5</v>
      </c>
      <c r="BQ266" s="313">
        <v>1.9</v>
      </c>
      <c r="BR266" s="313">
        <v>8.5</v>
      </c>
      <c r="BS266" s="313">
        <v>6.3</v>
      </c>
      <c r="BT266" s="313">
        <v>13.4</v>
      </c>
      <c r="BU266" s="313">
        <v>3.4</v>
      </c>
      <c r="BV266" s="313">
        <v>6.3</v>
      </c>
      <c r="BW266" s="313">
        <v>6.7</v>
      </c>
      <c r="BX266" s="313">
        <v>9.4</v>
      </c>
      <c r="BY266" s="313">
        <v>3.2</v>
      </c>
      <c r="BZ266" s="313">
        <v>1.7</v>
      </c>
      <c r="CA266" s="313">
        <v>4.8</v>
      </c>
      <c r="CB266" s="313">
        <v>12.2</v>
      </c>
      <c r="CC266" s="313">
        <v>61.999999999999986</v>
      </c>
      <c r="CD266" s="313">
        <v>25.8</v>
      </c>
    </row>
    <row r="267" spans="1:82" x14ac:dyDescent="0.25">
      <c r="A267" s="130" t="s">
        <v>5234</v>
      </c>
      <c r="B267" s="130" t="s">
        <v>314</v>
      </c>
      <c r="C267" s="130" t="s">
        <v>5235</v>
      </c>
      <c r="D267" s="130" t="s">
        <v>71</v>
      </c>
      <c r="E267" s="130" t="s">
        <v>5213</v>
      </c>
      <c r="F267" s="130" t="s">
        <v>4272</v>
      </c>
      <c r="G267" s="130" t="s">
        <v>5236</v>
      </c>
      <c r="H267" s="309">
        <v>540271</v>
      </c>
      <c r="I267" s="277" t="s">
        <v>1579</v>
      </c>
      <c r="J267" s="130">
        <v>5487988</v>
      </c>
      <c r="K267" s="130" t="s">
        <v>5237</v>
      </c>
      <c r="L267" s="310">
        <v>2.4268054254303109</v>
      </c>
      <c r="M267" s="311">
        <v>2332</v>
      </c>
      <c r="N267" s="312">
        <v>960.93406400164929</v>
      </c>
      <c r="O267" s="311">
        <v>950</v>
      </c>
      <c r="P267" s="312">
        <v>2.4500000000000002</v>
      </c>
      <c r="Q267" s="311">
        <v>2332</v>
      </c>
      <c r="R267" s="311">
        <v>31</v>
      </c>
      <c r="S267" s="311">
        <v>48</v>
      </c>
      <c r="T267" s="311">
        <v>86</v>
      </c>
      <c r="U267" s="311">
        <v>32</v>
      </c>
      <c r="V267" s="311">
        <v>51</v>
      </c>
      <c r="W267" s="311">
        <v>32</v>
      </c>
      <c r="X267" s="311">
        <v>22</v>
      </c>
      <c r="Y267" s="311">
        <v>66</v>
      </c>
      <c r="Z267" s="311">
        <v>37</v>
      </c>
      <c r="AA267" s="311">
        <v>73</v>
      </c>
      <c r="AB267" s="311">
        <v>64</v>
      </c>
      <c r="AC267" s="311">
        <v>174</v>
      </c>
      <c r="AD267" s="311">
        <v>89</v>
      </c>
      <c r="AE267" s="311">
        <v>33</v>
      </c>
      <c r="AF267" s="311">
        <v>67</v>
      </c>
      <c r="AG267" s="311">
        <v>45</v>
      </c>
      <c r="AH267" s="312">
        <v>17.368421052631579</v>
      </c>
      <c r="AI267" s="312">
        <v>8.7368421052631575</v>
      </c>
      <c r="AJ267" s="312">
        <v>16.526315789473685</v>
      </c>
      <c r="AK267" s="312">
        <v>7.6842105263157894</v>
      </c>
      <c r="AL267" s="312">
        <v>49.684210526315795</v>
      </c>
      <c r="AM267" s="311">
        <v>40759</v>
      </c>
      <c r="AN267" s="311">
        <v>59844</v>
      </c>
      <c r="AO267" s="312">
        <v>38.736842105263158</v>
      </c>
      <c r="AP267" s="311">
        <v>950</v>
      </c>
      <c r="AQ267" s="311">
        <v>75</v>
      </c>
      <c r="AR267" s="311">
        <v>766</v>
      </c>
      <c r="AS267" s="311">
        <v>184</v>
      </c>
      <c r="AT267" s="311">
        <v>24</v>
      </c>
      <c r="AU267" s="311">
        <v>44</v>
      </c>
      <c r="AV267" s="311">
        <v>97</v>
      </c>
      <c r="AW267" s="311">
        <v>39</v>
      </c>
      <c r="AX267" s="311">
        <v>51</v>
      </c>
      <c r="AY267" s="311">
        <v>19</v>
      </c>
      <c r="AZ267" s="311">
        <v>95</v>
      </c>
      <c r="BA267" s="311">
        <v>20</v>
      </c>
      <c r="BB267" s="311">
        <v>10</v>
      </c>
      <c r="BC267" s="311">
        <v>82</v>
      </c>
      <c r="BD267" s="311">
        <v>26</v>
      </c>
      <c r="BE267" s="311">
        <v>29</v>
      </c>
      <c r="BF267" s="311">
        <v>355</v>
      </c>
      <c r="BG267" s="311">
        <v>33</v>
      </c>
      <c r="BH267" s="311">
        <v>20</v>
      </c>
      <c r="BI267" s="312">
        <v>18.421052631578945</v>
      </c>
      <c r="BJ267" s="313">
        <v>4</v>
      </c>
      <c r="BK267" s="313">
        <v>7</v>
      </c>
      <c r="BL267" s="313">
        <v>6.6</v>
      </c>
      <c r="BM267" s="313">
        <v>6.5</v>
      </c>
      <c r="BN267" s="313">
        <v>5.0999999999999996</v>
      </c>
      <c r="BO267" s="313">
        <v>3.4</v>
      </c>
      <c r="BP267" s="313">
        <v>3.6</v>
      </c>
      <c r="BQ267" s="313">
        <v>4.5999999999999996</v>
      </c>
      <c r="BR267" s="313">
        <v>5.9</v>
      </c>
      <c r="BS267" s="313">
        <v>7.1</v>
      </c>
      <c r="BT267" s="313">
        <v>8.6</v>
      </c>
      <c r="BU267" s="313">
        <v>11.2</v>
      </c>
      <c r="BV267" s="313">
        <v>9.1</v>
      </c>
      <c r="BW267" s="313">
        <v>5.2</v>
      </c>
      <c r="BX267" s="313">
        <v>5.4</v>
      </c>
      <c r="BY267" s="313">
        <v>5</v>
      </c>
      <c r="BZ267" s="313">
        <v>1.3</v>
      </c>
      <c r="CA267" s="313">
        <v>0.4</v>
      </c>
      <c r="CB267" s="313">
        <v>17.600000000000001</v>
      </c>
      <c r="CC267" s="313">
        <v>65.099999999999994</v>
      </c>
      <c r="CD267" s="313">
        <v>17.3</v>
      </c>
    </row>
    <row r="268" spans="1:82" s="322" customFormat="1" x14ac:dyDescent="0.25">
      <c r="A268" s="314" t="s">
        <v>5238</v>
      </c>
      <c r="B268" s="315" t="s">
        <v>348</v>
      </c>
      <c r="C268" s="314"/>
      <c r="D268" s="314"/>
      <c r="E268" s="314"/>
      <c r="F268" s="314"/>
      <c r="G268" s="314"/>
      <c r="H268" s="316"/>
      <c r="I268" s="317"/>
      <c r="J268" s="314">
        <v>54079</v>
      </c>
      <c r="K268" s="314" t="s">
        <v>5239</v>
      </c>
      <c r="L268" s="318">
        <v>350.11075341625605</v>
      </c>
      <c r="M268" s="319">
        <v>56644</v>
      </c>
      <c r="N268" s="320">
        <v>161.78880382075678</v>
      </c>
      <c r="O268" s="319">
        <v>21734</v>
      </c>
      <c r="P268" s="320">
        <v>2.59</v>
      </c>
      <c r="Q268" s="319">
        <v>56367</v>
      </c>
      <c r="R268" s="319">
        <v>1186</v>
      </c>
      <c r="S268" s="319">
        <v>1098</v>
      </c>
      <c r="T268" s="319">
        <v>948</v>
      </c>
      <c r="U268" s="319">
        <v>1085</v>
      </c>
      <c r="V268" s="319">
        <v>972</v>
      </c>
      <c r="W268" s="319">
        <v>1037</v>
      </c>
      <c r="X268" s="319">
        <v>766</v>
      </c>
      <c r="Y268" s="319">
        <v>1249</v>
      </c>
      <c r="Z268" s="319">
        <v>1018</v>
      </c>
      <c r="AA268" s="319">
        <v>1612</v>
      </c>
      <c r="AB268" s="319">
        <v>2440</v>
      </c>
      <c r="AC268" s="319">
        <v>3015</v>
      </c>
      <c r="AD268" s="319">
        <v>1922</v>
      </c>
      <c r="AE268" s="319">
        <v>971</v>
      </c>
      <c r="AF268" s="319">
        <v>1321</v>
      </c>
      <c r="AG268" s="319">
        <v>1094</v>
      </c>
      <c r="AH268" s="320">
        <v>14.870709487439035</v>
      </c>
      <c r="AI268" s="320">
        <v>9.4644336063310934</v>
      </c>
      <c r="AJ268" s="320">
        <v>18.726419434986656</v>
      </c>
      <c r="AK268" s="320">
        <v>7.4169504002944695</v>
      </c>
      <c r="AL268" s="320">
        <v>49.521487070948744</v>
      </c>
      <c r="AM268" s="319">
        <v>30690</v>
      </c>
      <c r="AN268" s="319">
        <v>59113</v>
      </c>
      <c r="AO268" s="320">
        <v>38.377657127081996</v>
      </c>
      <c r="AP268" s="319">
        <v>21734</v>
      </c>
      <c r="AQ268" s="319">
        <v>2244</v>
      </c>
      <c r="AR268" s="319">
        <v>17667</v>
      </c>
      <c r="AS268" s="319">
        <v>4067</v>
      </c>
      <c r="AT268" s="319">
        <v>383</v>
      </c>
      <c r="AU268" s="319">
        <v>606</v>
      </c>
      <c r="AV268" s="319">
        <v>1890</v>
      </c>
      <c r="AW268" s="319">
        <v>1444</v>
      </c>
      <c r="AX268" s="319">
        <v>714</v>
      </c>
      <c r="AY268" s="319">
        <v>795</v>
      </c>
      <c r="AZ268" s="319">
        <v>1729</v>
      </c>
      <c r="BA268" s="319">
        <v>807</v>
      </c>
      <c r="BB268" s="319">
        <v>421</v>
      </c>
      <c r="BC268" s="319">
        <v>2598</v>
      </c>
      <c r="BD268" s="319">
        <v>944</v>
      </c>
      <c r="BE268" s="319">
        <v>377</v>
      </c>
      <c r="BF268" s="319">
        <v>7287</v>
      </c>
      <c r="BG268" s="319">
        <v>694</v>
      </c>
      <c r="BH268" s="319">
        <v>225</v>
      </c>
      <c r="BI268" s="320">
        <v>17.060826355019785</v>
      </c>
      <c r="BJ268" s="321">
        <v>5.8</v>
      </c>
      <c r="BK268" s="321">
        <v>6.4</v>
      </c>
      <c r="BL268" s="321">
        <v>6.5</v>
      </c>
      <c r="BM268" s="321">
        <v>6.1</v>
      </c>
      <c r="BN268" s="321">
        <v>4.9000000000000004</v>
      </c>
      <c r="BO268" s="321">
        <v>5.2</v>
      </c>
      <c r="BP268" s="321">
        <v>6.4</v>
      </c>
      <c r="BQ268" s="321">
        <v>6.6</v>
      </c>
      <c r="BR268" s="321">
        <v>6.9</v>
      </c>
      <c r="BS268" s="321">
        <v>6.9</v>
      </c>
      <c r="BT268" s="321">
        <v>7.3</v>
      </c>
      <c r="BU268" s="321">
        <v>6.9</v>
      </c>
      <c r="BV268" s="321">
        <v>7.3</v>
      </c>
      <c r="BW268" s="321">
        <v>5.7</v>
      </c>
      <c r="BX268" s="321">
        <v>4.4000000000000004</v>
      </c>
      <c r="BY268" s="321">
        <v>3.3</v>
      </c>
      <c r="BZ268" s="321">
        <v>2.1</v>
      </c>
      <c r="CA268" s="321">
        <v>1.3</v>
      </c>
      <c r="CB268" s="321">
        <v>18.7</v>
      </c>
      <c r="CC268" s="321">
        <v>64.5</v>
      </c>
      <c r="CD268" s="321">
        <v>16.8</v>
      </c>
    </row>
    <row r="269" spans="1:82" s="308" customFormat="1" x14ac:dyDescent="0.25">
      <c r="A269" s="301" t="s">
        <v>5240</v>
      </c>
      <c r="B269" s="301" t="s">
        <v>72</v>
      </c>
      <c r="C269" s="301" t="s">
        <v>5241</v>
      </c>
      <c r="D269" s="301" t="s">
        <v>73</v>
      </c>
      <c r="E269" s="301" t="s">
        <v>5242</v>
      </c>
      <c r="F269" s="301" t="s">
        <v>4272</v>
      </c>
      <c r="G269" s="301" t="s">
        <v>5243</v>
      </c>
      <c r="H269" s="302">
        <v>540169</v>
      </c>
      <c r="I269" s="303" t="s">
        <v>1580</v>
      </c>
      <c r="J269" s="301" t="s">
        <v>488</v>
      </c>
      <c r="K269" s="301" t="s">
        <v>488</v>
      </c>
      <c r="L269" s="304">
        <v>596.66679752658342</v>
      </c>
      <c r="M269" s="305">
        <v>56868</v>
      </c>
      <c r="N269" s="306">
        <v>95.30947630359195</v>
      </c>
      <c r="O269" s="305">
        <v>22361</v>
      </c>
      <c r="P269" s="306">
        <v>2.4278878404364743</v>
      </c>
      <c r="Q269" s="305">
        <v>54290</v>
      </c>
      <c r="R269" s="305">
        <v>1734</v>
      </c>
      <c r="S269" s="305">
        <v>1594</v>
      </c>
      <c r="T269" s="305">
        <v>1823</v>
      </c>
      <c r="U269" s="305">
        <v>1339</v>
      </c>
      <c r="V269" s="305">
        <v>1352</v>
      </c>
      <c r="W269" s="305">
        <v>1401</v>
      </c>
      <c r="X269" s="305">
        <v>1149</v>
      </c>
      <c r="Y269" s="305">
        <v>1304</v>
      </c>
      <c r="Z269" s="305">
        <v>848</v>
      </c>
      <c r="AA269" s="305">
        <v>1878</v>
      </c>
      <c r="AB269" s="305">
        <v>2202</v>
      </c>
      <c r="AC269" s="305">
        <v>2708</v>
      </c>
      <c r="AD269" s="305">
        <v>1386</v>
      </c>
      <c r="AE269" s="305">
        <v>694</v>
      </c>
      <c r="AF269" s="305">
        <v>652</v>
      </c>
      <c r="AG269" s="305">
        <v>297</v>
      </c>
      <c r="AH269" s="306">
        <v>23.035642413130002</v>
      </c>
      <c r="AI269" s="306">
        <v>12.034345512275838</v>
      </c>
      <c r="AJ269" s="306">
        <v>21.027682125128571</v>
      </c>
      <c r="AK269" s="306">
        <v>8.3985510487008632</v>
      </c>
      <c r="AL269" s="306">
        <v>35.503778900764729</v>
      </c>
      <c r="AM269" s="305">
        <v>23435</v>
      </c>
      <c r="AN269" s="305">
        <v>42386</v>
      </c>
      <c r="AO269" s="306">
        <v>52.305353070077366</v>
      </c>
      <c r="AP269" s="305">
        <v>22361</v>
      </c>
      <c r="AQ269" s="305">
        <v>3711</v>
      </c>
      <c r="AR269" s="305">
        <v>17391</v>
      </c>
      <c r="AS269" s="305">
        <v>4970</v>
      </c>
      <c r="AT269" s="305">
        <v>1060</v>
      </c>
      <c r="AU269" s="305">
        <v>904</v>
      </c>
      <c r="AV269" s="305">
        <v>2419</v>
      </c>
      <c r="AW269" s="305">
        <v>2241</v>
      </c>
      <c r="AX269" s="305">
        <v>768</v>
      </c>
      <c r="AY269" s="305">
        <v>788</v>
      </c>
      <c r="AZ269" s="305">
        <v>2050</v>
      </c>
      <c r="BA269" s="305">
        <v>697</v>
      </c>
      <c r="BB269" s="305">
        <v>378</v>
      </c>
      <c r="BC269" s="305">
        <v>3094</v>
      </c>
      <c r="BD269" s="305">
        <v>730</v>
      </c>
      <c r="BE269" s="305">
        <v>133</v>
      </c>
      <c r="BF269" s="305">
        <v>5221</v>
      </c>
      <c r="BG269" s="305">
        <v>386</v>
      </c>
      <c r="BH269" s="305">
        <v>67</v>
      </c>
      <c r="BI269" s="306">
        <v>16.9267921828183</v>
      </c>
      <c r="BJ269" s="307">
        <v>5.7</v>
      </c>
      <c r="BK269" s="307">
        <v>5.6</v>
      </c>
      <c r="BL269" s="307">
        <v>6.2</v>
      </c>
      <c r="BM269" s="307">
        <v>5.3</v>
      </c>
      <c r="BN269" s="307">
        <v>5.7</v>
      </c>
      <c r="BO269" s="307">
        <v>6.4</v>
      </c>
      <c r="BP269" s="307">
        <v>5.8</v>
      </c>
      <c r="BQ269" s="307">
        <v>6.7</v>
      </c>
      <c r="BR269" s="307">
        <v>6.6</v>
      </c>
      <c r="BS269" s="307">
        <v>6.1</v>
      </c>
      <c r="BT269" s="307">
        <v>6.3</v>
      </c>
      <c r="BU269" s="307">
        <v>7.3</v>
      </c>
      <c r="BV269" s="307">
        <v>7.5</v>
      </c>
      <c r="BW269" s="307">
        <v>6.3</v>
      </c>
      <c r="BX269" s="307">
        <v>4.5</v>
      </c>
      <c r="BY269" s="307">
        <v>3.3</v>
      </c>
      <c r="BZ269" s="307">
        <v>2</v>
      </c>
      <c r="CA269" s="307">
        <v>2.6</v>
      </c>
      <c r="CB269" s="307">
        <v>17.5</v>
      </c>
      <c r="CC269" s="307">
        <v>63.699999999999996</v>
      </c>
      <c r="CD269" s="307">
        <v>18.700000000000003</v>
      </c>
    </row>
    <row r="270" spans="1:82" x14ac:dyDescent="0.25">
      <c r="A270" s="130" t="s">
        <v>5244</v>
      </c>
      <c r="B270" s="130" t="s">
        <v>242</v>
      </c>
      <c r="C270" s="130" t="s">
        <v>5245</v>
      </c>
      <c r="D270" s="130" t="s">
        <v>73</v>
      </c>
      <c r="E270" s="130" t="s">
        <v>5242</v>
      </c>
      <c r="F270" s="130" t="s">
        <v>4272</v>
      </c>
      <c r="G270" s="130" t="s">
        <v>5246</v>
      </c>
      <c r="H270" s="309">
        <v>540170</v>
      </c>
      <c r="I270" s="277" t="s">
        <v>1581</v>
      </c>
      <c r="J270" s="130">
        <v>5405332</v>
      </c>
      <c r="K270" s="130" t="s">
        <v>5247</v>
      </c>
      <c r="L270" s="310">
        <v>9.5037003669401763</v>
      </c>
      <c r="M270" s="311">
        <v>16963</v>
      </c>
      <c r="N270" s="312">
        <v>1784.8837131911209</v>
      </c>
      <c r="O270" s="311">
        <v>7408</v>
      </c>
      <c r="P270" s="312">
        <v>2.2000000000000002</v>
      </c>
      <c r="Q270" s="311">
        <v>16306</v>
      </c>
      <c r="R270" s="311">
        <v>728</v>
      </c>
      <c r="S270" s="311">
        <v>748</v>
      </c>
      <c r="T270" s="311">
        <v>520</v>
      </c>
      <c r="U270" s="311">
        <v>534</v>
      </c>
      <c r="V270" s="311">
        <v>449</v>
      </c>
      <c r="W270" s="311">
        <v>390</v>
      </c>
      <c r="X270" s="311">
        <v>362</v>
      </c>
      <c r="Y270" s="311">
        <v>281</v>
      </c>
      <c r="Z270" s="311">
        <v>241</v>
      </c>
      <c r="AA270" s="311">
        <v>686</v>
      </c>
      <c r="AB270" s="311">
        <v>481</v>
      </c>
      <c r="AC270" s="311">
        <v>722</v>
      </c>
      <c r="AD270" s="311">
        <v>589</v>
      </c>
      <c r="AE270" s="311">
        <v>303</v>
      </c>
      <c r="AF270" s="311">
        <v>208</v>
      </c>
      <c r="AG270" s="311">
        <v>166</v>
      </c>
      <c r="AH270" s="312">
        <v>26.943844492440604</v>
      </c>
      <c r="AI270" s="312">
        <v>13.269438444924406</v>
      </c>
      <c r="AJ270" s="312">
        <v>17.197624190064793</v>
      </c>
      <c r="AK270" s="312">
        <v>9.2602591792656597</v>
      </c>
      <c r="AL270" s="312">
        <v>33.328833693304539</v>
      </c>
      <c r="AM270" s="311">
        <v>25036</v>
      </c>
      <c r="AN270" s="311">
        <v>39695</v>
      </c>
      <c r="AO270" s="312">
        <v>54.157667386609077</v>
      </c>
      <c r="AP270" s="311">
        <v>7408</v>
      </c>
      <c r="AQ270" s="311">
        <v>1108</v>
      </c>
      <c r="AR270" s="311">
        <v>4399</v>
      </c>
      <c r="AS270" s="311">
        <v>3009</v>
      </c>
      <c r="AT270" s="311">
        <v>204</v>
      </c>
      <c r="AU270" s="311">
        <v>347</v>
      </c>
      <c r="AV270" s="311">
        <v>1155</v>
      </c>
      <c r="AW270" s="311">
        <v>404</v>
      </c>
      <c r="AX270" s="311">
        <v>443</v>
      </c>
      <c r="AY270" s="311">
        <v>493</v>
      </c>
      <c r="AZ270" s="311">
        <v>461</v>
      </c>
      <c r="BA270" s="311">
        <v>338</v>
      </c>
      <c r="BB270" s="311">
        <v>74</v>
      </c>
      <c r="BC270" s="311">
        <v>810</v>
      </c>
      <c r="BD270" s="311">
        <v>211</v>
      </c>
      <c r="BE270" s="311">
        <v>136</v>
      </c>
      <c r="BF270" s="311">
        <v>1816</v>
      </c>
      <c r="BG270" s="311">
        <v>108</v>
      </c>
      <c r="BH270" s="311">
        <v>49</v>
      </c>
      <c r="BI270" s="312">
        <v>25.742440604751621</v>
      </c>
      <c r="BJ270" s="313">
        <v>5.6</v>
      </c>
      <c r="BK270" s="313">
        <v>7.5</v>
      </c>
      <c r="BL270" s="313">
        <v>5.0999999999999996</v>
      </c>
      <c r="BM270" s="313">
        <v>3.4</v>
      </c>
      <c r="BN270" s="313">
        <v>4.3</v>
      </c>
      <c r="BO270" s="313">
        <v>9</v>
      </c>
      <c r="BP270" s="313">
        <v>7.8</v>
      </c>
      <c r="BQ270" s="313">
        <v>6.8</v>
      </c>
      <c r="BR270" s="313">
        <v>6.6</v>
      </c>
      <c r="BS270" s="313">
        <v>4.8</v>
      </c>
      <c r="BT270" s="313">
        <v>4.8</v>
      </c>
      <c r="BU270" s="313">
        <v>8.8000000000000007</v>
      </c>
      <c r="BV270" s="313">
        <v>6.1</v>
      </c>
      <c r="BW270" s="313">
        <v>5.8</v>
      </c>
      <c r="BX270" s="313">
        <v>3.6</v>
      </c>
      <c r="BY270" s="313">
        <v>3.1</v>
      </c>
      <c r="BZ270" s="313">
        <v>2.9</v>
      </c>
      <c r="CA270" s="313">
        <v>4</v>
      </c>
      <c r="CB270" s="313">
        <v>18.2</v>
      </c>
      <c r="CC270" s="313">
        <v>62.4</v>
      </c>
      <c r="CD270" s="313">
        <v>19.399999999999999</v>
      </c>
    </row>
    <row r="271" spans="1:82" x14ac:dyDescent="0.25">
      <c r="A271" s="130" t="s">
        <v>5248</v>
      </c>
      <c r="B271" s="130" t="s">
        <v>243</v>
      </c>
      <c r="C271" s="130" t="s">
        <v>5249</v>
      </c>
      <c r="D271" s="130" t="s">
        <v>73</v>
      </c>
      <c r="E271" s="130" t="s">
        <v>5242</v>
      </c>
      <c r="F271" s="130" t="s">
        <v>4272</v>
      </c>
      <c r="G271" s="130" t="s">
        <v>5250</v>
      </c>
      <c r="H271" s="309">
        <v>540171</v>
      </c>
      <c r="I271" s="277" t="s">
        <v>1582</v>
      </c>
      <c r="J271" s="130">
        <v>5446468</v>
      </c>
      <c r="K271" s="130" t="s">
        <v>5251</v>
      </c>
      <c r="L271" s="310">
        <v>0.50110756564470249</v>
      </c>
      <c r="M271" s="311">
        <v>561</v>
      </c>
      <c r="N271" s="312">
        <v>1119.5201159620142</v>
      </c>
      <c r="O271" s="311">
        <v>190</v>
      </c>
      <c r="P271" s="312">
        <v>2.95</v>
      </c>
      <c r="Q271" s="311">
        <v>561</v>
      </c>
      <c r="R271" s="311">
        <v>11</v>
      </c>
      <c r="S271" s="311">
        <v>2</v>
      </c>
      <c r="T271" s="311">
        <v>5</v>
      </c>
      <c r="U271" s="311">
        <v>30</v>
      </c>
      <c r="V271" s="311">
        <v>13</v>
      </c>
      <c r="W271" s="311">
        <v>31</v>
      </c>
      <c r="X271" s="311">
        <v>3</v>
      </c>
      <c r="Y271" s="311">
        <v>3</v>
      </c>
      <c r="Z271" s="311">
        <v>10</v>
      </c>
      <c r="AA271" s="311">
        <v>20</v>
      </c>
      <c r="AB271" s="311">
        <v>10</v>
      </c>
      <c r="AC271" s="311">
        <v>11</v>
      </c>
      <c r="AD271" s="311">
        <v>33</v>
      </c>
      <c r="AE271" s="311">
        <v>7</v>
      </c>
      <c r="AF271" s="311">
        <v>1</v>
      </c>
      <c r="AG271" s="311">
        <v>0</v>
      </c>
      <c r="AH271" s="312">
        <v>9.4736842105263168</v>
      </c>
      <c r="AI271" s="312">
        <v>22.631578947368421</v>
      </c>
      <c r="AJ271" s="312">
        <v>24.736842105263158</v>
      </c>
      <c r="AK271" s="312">
        <v>10.526315789473683</v>
      </c>
      <c r="AL271" s="312">
        <v>32.631578947368425</v>
      </c>
      <c r="AM271" s="311">
        <v>19137</v>
      </c>
      <c r="AN271" s="311">
        <v>41250</v>
      </c>
      <c r="AO271" s="312">
        <v>51.578947368421055</v>
      </c>
      <c r="AP271" s="311">
        <v>190</v>
      </c>
      <c r="AQ271" s="311">
        <v>41</v>
      </c>
      <c r="AR271" s="311">
        <v>150</v>
      </c>
      <c r="AS271" s="311">
        <v>40</v>
      </c>
      <c r="AT271" s="311">
        <v>0</v>
      </c>
      <c r="AU271" s="311">
        <v>3</v>
      </c>
      <c r="AV271" s="311">
        <v>8</v>
      </c>
      <c r="AW271" s="311">
        <v>30</v>
      </c>
      <c r="AX271" s="311">
        <v>21</v>
      </c>
      <c r="AY271" s="311">
        <v>21</v>
      </c>
      <c r="AZ271" s="311">
        <v>14</v>
      </c>
      <c r="BA271" s="311">
        <v>0</v>
      </c>
      <c r="BB271" s="311">
        <v>2</v>
      </c>
      <c r="BC271" s="311">
        <v>23</v>
      </c>
      <c r="BD271" s="311">
        <v>7</v>
      </c>
      <c r="BE271" s="311">
        <v>0</v>
      </c>
      <c r="BF271" s="311">
        <v>52</v>
      </c>
      <c r="BG271" s="311">
        <v>0</v>
      </c>
      <c r="BH271" s="311">
        <v>0</v>
      </c>
      <c r="BI271" s="312">
        <v>16.315789473684212</v>
      </c>
      <c r="BJ271" s="313">
        <v>5.7</v>
      </c>
      <c r="BK271" s="313">
        <v>16.899999999999999</v>
      </c>
      <c r="BL271" s="313">
        <v>5.2</v>
      </c>
      <c r="BM271" s="313">
        <v>7</v>
      </c>
      <c r="BN271" s="313">
        <v>2.2999999999999998</v>
      </c>
      <c r="BO271" s="313">
        <v>6.2</v>
      </c>
      <c r="BP271" s="313">
        <v>10</v>
      </c>
      <c r="BQ271" s="313">
        <v>7.7</v>
      </c>
      <c r="BR271" s="313">
        <v>5.5</v>
      </c>
      <c r="BS271" s="313">
        <v>2.7</v>
      </c>
      <c r="BT271" s="313">
        <v>5.3</v>
      </c>
      <c r="BU271" s="313">
        <v>6.6</v>
      </c>
      <c r="BV271" s="313">
        <v>6.2</v>
      </c>
      <c r="BW271" s="313">
        <v>5.2</v>
      </c>
      <c r="BX271" s="313">
        <v>5.2</v>
      </c>
      <c r="BY271" s="313">
        <v>1.4</v>
      </c>
      <c r="BZ271" s="313">
        <v>0</v>
      </c>
      <c r="CA271" s="313">
        <v>0.9</v>
      </c>
      <c r="CB271" s="313">
        <v>27.799999999999997</v>
      </c>
      <c r="CC271" s="313">
        <v>59.500000000000007</v>
      </c>
      <c r="CD271" s="313">
        <v>12.700000000000001</v>
      </c>
    </row>
    <row r="272" spans="1:82" x14ac:dyDescent="0.25">
      <c r="A272" s="130" t="s">
        <v>5252</v>
      </c>
      <c r="B272" s="130" t="s">
        <v>325</v>
      </c>
      <c r="C272" s="130" t="s">
        <v>5253</v>
      </c>
      <c r="D272" s="130" t="s">
        <v>73</v>
      </c>
      <c r="E272" s="130" t="s">
        <v>5242</v>
      </c>
      <c r="F272" s="130" t="s">
        <v>4272</v>
      </c>
      <c r="G272" s="130" t="s">
        <v>5254</v>
      </c>
      <c r="H272" s="309">
        <v>540286</v>
      </c>
      <c r="I272" s="277" t="s">
        <v>1585</v>
      </c>
      <c r="J272" s="130">
        <v>5449492</v>
      </c>
      <c r="K272" s="130" t="s">
        <v>5255</v>
      </c>
      <c r="L272" s="310">
        <v>0.86354163325627753</v>
      </c>
      <c r="M272" s="311">
        <v>1405</v>
      </c>
      <c r="N272" s="312">
        <v>1627.0205695838538</v>
      </c>
      <c r="O272" s="311">
        <v>586</v>
      </c>
      <c r="P272" s="312">
        <v>2.4</v>
      </c>
      <c r="Q272" s="311">
        <v>1405</v>
      </c>
      <c r="R272" s="311">
        <v>14</v>
      </c>
      <c r="S272" s="311">
        <v>31</v>
      </c>
      <c r="T272" s="311">
        <v>23</v>
      </c>
      <c r="U272" s="311">
        <v>33</v>
      </c>
      <c r="V272" s="311">
        <v>43</v>
      </c>
      <c r="W272" s="311">
        <v>62</v>
      </c>
      <c r="X272" s="311">
        <v>23</v>
      </c>
      <c r="Y272" s="311">
        <v>11</v>
      </c>
      <c r="Z272" s="311">
        <v>16</v>
      </c>
      <c r="AA272" s="311">
        <v>70</v>
      </c>
      <c r="AB272" s="311">
        <v>51</v>
      </c>
      <c r="AC272" s="311">
        <v>112</v>
      </c>
      <c r="AD272" s="311">
        <v>15</v>
      </c>
      <c r="AE272" s="311">
        <v>44</v>
      </c>
      <c r="AF272" s="311">
        <v>19</v>
      </c>
      <c r="AG272" s="311">
        <v>19</v>
      </c>
      <c r="AH272" s="312">
        <v>11.604095563139932</v>
      </c>
      <c r="AI272" s="312">
        <v>12.969283276450511</v>
      </c>
      <c r="AJ272" s="312">
        <v>19.112627986348123</v>
      </c>
      <c r="AK272" s="312">
        <v>11.945392491467576</v>
      </c>
      <c r="AL272" s="312">
        <v>44.368600682593858</v>
      </c>
      <c r="AM272" s="311">
        <v>28001</v>
      </c>
      <c r="AN272" s="311">
        <v>54907</v>
      </c>
      <c r="AO272" s="312">
        <v>40.955631399317404</v>
      </c>
      <c r="AP272" s="311">
        <v>586</v>
      </c>
      <c r="AQ272" s="311">
        <v>101</v>
      </c>
      <c r="AR272" s="311">
        <v>455</v>
      </c>
      <c r="AS272" s="311">
        <v>131</v>
      </c>
      <c r="AT272" s="311">
        <v>8</v>
      </c>
      <c r="AU272" s="311">
        <v>20</v>
      </c>
      <c r="AV272" s="311">
        <v>40</v>
      </c>
      <c r="AW272" s="311">
        <v>61</v>
      </c>
      <c r="AX272" s="311">
        <v>32</v>
      </c>
      <c r="AY272" s="311">
        <v>27</v>
      </c>
      <c r="AZ272" s="311">
        <v>31</v>
      </c>
      <c r="BA272" s="311">
        <v>0</v>
      </c>
      <c r="BB272" s="311">
        <v>19</v>
      </c>
      <c r="BC272" s="311">
        <v>69</v>
      </c>
      <c r="BD272" s="311">
        <v>37</v>
      </c>
      <c r="BE272" s="311">
        <v>3</v>
      </c>
      <c r="BF272" s="311">
        <v>193</v>
      </c>
      <c r="BG272" s="311">
        <v>16</v>
      </c>
      <c r="BH272" s="311">
        <v>0</v>
      </c>
      <c r="BI272" s="312">
        <v>15.187713310580206</v>
      </c>
      <c r="BJ272" s="313">
        <v>5.6</v>
      </c>
      <c r="BK272" s="313">
        <v>6.1</v>
      </c>
      <c r="BL272" s="313">
        <v>9.3000000000000007</v>
      </c>
      <c r="BM272" s="313">
        <v>3.3</v>
      </c>
      <c r="BN272" s="313">
        <v>4.2</v>
      </c>
      <c r="BO272" s="313">
        <v>6.7</v>
      </c>
      <c r="BP272" s="313">
        <v>4.7</v>
      </c>
      <c r="BQ272" s="313">
        <v>11</v>
      </c>
      <c r="BR272" s="313">
        <v>4.7</v>
      </c>
      <c r="BS272" s="313">
        <v>4</v>
      </c>
      <c r="BT272" s="313">
        <v>8.3000000000000007</v>
      </c>
      <c r="BU272" s="313">
        <v>6.3</v>
      </c>
      <c r="BV272" s="313">
        <v>7</v>
      </c>
      <c r="BW272" s="313">
        <v>6.2</v>
      </c>
      <c r="BX272" s="313">
        <v>4.3</v>
      </c>
      <c r="BY272" s="313">
        <v>3.2</v>
      </c>
      <c r="BZ272" s="313">
        <v>2.4</v>
      </c>
      <c r="CA272" s="313">
        <v>2.7</v>
      </c>
      <c r="CB272" s="313">
        <v>21</v>
      </c>
      <c r="CC272" s="313">
        <v>60.2</v>
      </c>
      <c r="CD272" s="313">
        <v>18.799999999999997</v>
      </c>
    </row>
    <row r="273" spans="1:82" x14ac:dyDescent="0.25">
      <c r="A273" s="130" t="s">
        <v>5256</v>
      </c>
      <c r="B273" s="130" t="s">
        <v>245</v>
      </c>
      <c r="C273" s="130" t="s">
        <v>5257</v>
      </c>
      <c r="D273" s="130" t="s">
        <v>73</v>
      </c>
      <c r="E273" s="130" t="s">
        <v>5242</v>
      </c>
      <c r="F273" s="130" t="s">
        <v>4272</v>
      </c>
      <c r="G273" s="130" t="s">
        <v>5258</v>
      </c>
      <c r="H273" s="309">
        <v>540173</v>
      </c>
      <c r="I273" s="277" t="s">
        <v>1583</v>
      </c>
      <c r="J273" s="130">
        <v>5467996</v>
      </c>
      <c r="K273" s="130" t="s">
        <v>5259</v>
      </c>
      <c r="L273" s="310">
        <v>0.31330647432157038</v>
      </c>
      <c r="M273" s="311">
        <v>153</v>
      </c>
      <c r="N273" s="312">
        <v>488.33973294456854</v>
      </c>
      <c r="O273" s="311">
        <v>61</v>
      </c>
      <c r="P273" s="312">
        <v>2.5099999999999998</v>
      </c>
      <c r="Q273" s="311">
        <v>153</v>
      </c>
      <c r="R273" s="311">
        <v>7</v>
      </c>
      <c r="S273" s="311">
        <v>5</v>
      </c>
      <c r="T273" s="311">
        <v>5</v>
      </c>
      <c r="U273" s="311">
        <v>6</v>
      </c>
      <c r="V273" s="311">
        <v>6</v>
      </c>
      <c r="W273" s="311">
        <v>4</v>
      </c>
      <c r="X273" s="311">
        <v>3</v>
      </c>
      <c r="Y273" s="311">
        <v>3</v>
      </c>
      <c r="Z273" s="311">
        <v>0</v>
      </c>
      <c r="AA273" s="311">
        <v>5</v>
      </c>
      <c r="AB273" s="311">
        <v>4</v>
      </c>
      <c r="AC273" s="311">
        <v>7</v>
      </c>
      <c r="AD273" s="311">
        <v>6</v>
      </c>
      <c r="AE273" s="311">
        <v>0</v>
      </c>
      <c r="AF273" s="311">
        <v>0</v>
      </c>
      <c r="AG273" s="311">
        <v>0</v>
      </c>
      <c r="AH273" s="312">
        <v>27.868852459016392</v>
      </c>
      <c r="AI273" s="312">
        <v>19.672131147540984</v>
      </c>
      <c r="AJ273" s="312">
        <v>16.393442622950818</v>
      </c>
      <c r="AK273" s="312">
        <v>8.1967213114754092</v>
      </c>
      <c r="AL273" s="312">
        <v>27.868852459016392</v>
      </c>
      <c r="AM273" s="311">
        <v>17425</v>
      </c>
      <c r="AN273" s="311">
        <v>31875</v>
      </c>
      <c r="AO273" s="312">
        <v>63.934426229508205</v>
      </c>
      <c r="AP273" s="311">
        <v>61</v>
      </c>
      <c r="AQ273" s="311">
        <v>25</v>
      </c>
      <c r="AR273" s="311">
        <v>44</v>
      </c>
      <c r="AS273" s="311">
        <v>17</v>
      </c>
      <c r="AT273" s="311">
        <v>1</v>
      </c>
      <c r="AU273" s="311">
        <v>1</v>
      </c>
      <c r="AV273" s="311">
        <v>9</v>
      </c>
      <c r="AW273" s="311">
        <v>14</v>
      </c>
      <c r="AX273" s="311">
        <v>0</v>
      </c>
      <c r="AY273" s="311">
        <v>0</v>
      </c>
      <c r="AZ273" s="311">
        <v>4</v>
      </c>
      <c r="BA273" s="311">
        <v>2</v>
      </c>
      <c r="BB273" s="311">
        <v>0</v>
      </c>
      <c r="BC273" s="311">
        <v>6</v>
      </c>
      <c r="BD273" s="311">
        <v>0</v>
      </c>
      <c r="BE273" s="311">
        <v>0</v>
      </c>
      <c r="BF273" s="311">
        <v>12</v>
      </c>
      <c r="BG273" s="311">
        <v>0</v>
      </c>
      <c r="BH273" s="311">
        <v>0</v>
      </c>
      <c r="BI273" s="312">
        <v>14.754098360655737</v>
      </c>
      <c r="BJ273" s="313">
        <v>3.3</v>
      </c>
      <c r="BK273" s="313">
        <v>5.2</v>
      </c>
      <c r="BL273" s="313">
        <v>9.1999999999999993</v>
      </c>
      <c r="BM273" s="313">
        <v>10.5</v>
      </c>
      <c r="BN273" s="313">
        <v>11.8</v>
      </c>
      <c r="BO273" s="313">
        <v>4.5999999999999996</v>
      </c>
      <c r="BP273" s="313">
        <v>1.3</v>
      </c>
      <c r="BQ273" s="313">
        <v>4.5999999999999996</v>
      </c>
      <c r="BR273" s="313">
        <v>19.600000000000001</v>
      </c>
      <c r="BS273" s="313">
        <v>3.3</v>
      </c>
      <c r="BT273" s="313">
        <v>2.6</v>
      </c>
      <c r="BU273" s="313">
        <v>7.2</v>
      </c>
      <c r="BV273" s="313">
        <v>1.3</v>
      </c>
      <c r="BW273" s="313">
        <v>7.2</v>
      </c>
      <c r="BX273" s="313">
        <v>5.2</v>
      </c>
      <c r="BY273" s="313">
        <v>0.7</v>
      </c>
      <c r="BZ273" s="313">
        <v>2</v>
      </c>
      <c r="CA273" s="313">
        <v>0.7</v>
      </c>
      <c r="CB273" s="313">
        <v>17.7</v>
      </c>
      <c r="CC273" s="313">
        <v>66.8</v>
      </c>
      <c r="CD273" s="313">
        <v>15.799999999999999</v>
      </c>
    </row>
    <row r="274" spans="1:82" x14ac:dyDescent="0.25">
      <c r="A274" s="130" t="s">
        <v>5260</v>
      </c>
      <c r="B274" s="130" t="s">
        <v>246</v>
      </c>
      <c r="C274" s="130" t="s">
        <v>5261</v>
      </c>
      <c r="D274" s="130" t="s">
        <v>73</v>
      </c>
      <c r="E274" s="130" t="s">
        <v>5242</v>
      </c>
      <c r="F274" s="130" t="s">
        <v>4272</v>
      </c>
      <c r="G274" s="130" t="s">
        <v>5262</v>
      </c>
      <c r="H274" s="309">
        <v>540174</v>
      </c>
      <c r="I274" s="277" t="s">
        <v>1584</v>
      </c>
      <c r="J274" s="130">
        <v>5475172</v>
      </c>
      <c r="K274" s="130" t="s">
        <v>5263</v>
      </c>
      <c r="L274" s="310">
        <v>0.69766590082706981</v>
      </c>
      <c r="M274" s="311">
        <v>1147</v>
      </c>
      <c r="N274" s="312">
        <v>1644.0534052764413</v>
      </c>
      <c r="O274" s="311">
        <v>463</v>
      </c>
      <c r="P274" s="312">
        <v>2.48</v>
      </c>
      <c r="Q274" s="311">
        <v>1147</v>
      </c>
      <c r="R274" s="311">
        <v>79</v>
      </c>
      <c r="S274" s="311">
        <v>19</v>
      </c>
      <c r="T274" s="311">
        <v>52</v>
      </c>
      <c r="U274" s="311">
        <v>49</v>
      </c>
      <c r="V274" s="311">
        <v>54</v>
      </c>
      <c r="W274" s="311">
        <v>18</v>
      </c>
      <c r="X274" s="311">
        <v>15</v>
      </c>
      <c r="Y274" s="311">
        <v>17</v>
      </c>
      <c r="Z274" s="311">
        <v>14</v>
      </c>
      <c r="AA274" s="311">
        <v>49</v>
      </c>
      <c r="AB274" s="311">
        <v>41</v>
      </c>
      <c r="AC274" s="311">
        <v>24</v>
      </c>
      <c r="AD274" s="311">
        <v>19</v>
      </c>
      <c r="AE274" s="311">
        <v>8</v>
      </c>
      <c r="AF274" s="311">
        <v>0</v>
      </c>
      <c r="AG274" s="311">
        <v>5</v>
      </c>
      <c r="AH274" s="312">
        <v>32.397408207343418</v>
      </c>
      <c r="AI274" s="312">
        <v>22.246220302375811</v>
      </c>
      <c r="AJ274" s="312">
        <v>13.822894168466524</v>
      </c>
      <c r="AK274" s="312">
        <v>10.583153347732182</v>
      </c>
      <c r="AL274" s="312">
        <v>20.950323974082075</v>
      </c>
      <c r="AM274" s="311">
        <v>16813</v>
      </c>
      <c r="AN274" s="311">
        <v>26693</v>
      </c>
      <c r="AO274" s="312">
        <v>65.442764578833689</v>
      </c>
      <c r="AP274" s="311">
        <v>463</v>
      </c>
      <c r="AQ274" s="311">
        <v>118</v>
      </c>
      <c r="AR274" s="311">
        <v>297</v>
      </c>
      <c r="AS274" s="311">
        <v>166</v>
      </c>
      <c r="AT274" s="311">
        <v>20</v>
      </c>
      <c r="AU274" s="311">
        <v>0</v>
      </c>
      <c r="AV274" s="311">
        <v>115</v>
      </c>
      <c r="AW274" s="311">
        <v>55</v>
      </c>
      <c r="AX274" s="311">
        <v>28</v>
      </c>
      <c r="AY274" s="311">
        <v>38</v>
      </c>
      <c r="AZ274" s="311">
        <v>30</v>
      </c>
      <c r="BA274" s="311">
        <v>5</v>
      </c>
      <c r="BB274" s="311">
        <v>11</v>
      </c>
      <c r="BC274" s="311">
        <v>66</v>
      </c>
      <c r="BD274" s="311">
        <v>24</v>
      </c>
      <c r="BE274" s="311">
        <v>0</v>
      </c>
      <c r="BF274" s="311">
        <v>56</v>
      </c>
      <c r="BG274" s="311">
        <v>0</v>
      </c>
      <c r="BH274" s="311">
        <v>0</v>
      </c>
      <c r="BI274" s="312">
        <v>35.421166306695461</v>
      </c>
      <c r="BJ274" s="313">
        <v>10.5</v>
      </c>
      <c r="BK274" s="313">
        <v>2.7</v>
      </c>
      <c r="BL274" s="313">
        <v>5.5</v>
      </c>
      <c r="BM274" s="313">
        <v>10.5</v>
      </c>
      <c r="BN274" s="313">
        <v>4.3</v>
      </c>
      <c r="BO274" s="313">
        <v>7.5</v>
      </c>
      <c r="BP274" s="313">
        <v>3.7</v>
      </c>
      <c r="BQ274" s="313">
        <v>3.5</v>
      </c>
      <c r="BR274" s="313">
        <v>5.5</v>
      </c>
      <c r="BS274" s="313">
        <v>6.5</v>
      </c>
      <c r="BT274" s="313">
        <v>5.6</v>
      </c>
      <c r="BU274" s="313">
        <v>9.9</v>
      </c>
      <c r="BV274" s="313">
        <v>7.1</v>
      </c>
      <c r="BW274" s="313">
        <v>5.6</v>
      </c>
      <c r="BX274" s="313">
        <v>4.7</v>
      </c>
      <c r="BY274" s="313">
        <v>2.6</v>
      </c>
      <c r="BZ274" s="313">
        <v>3.4</v>
      </c>
      <c r="CA274" s="313">
        <v>1</v>
      </c>
      <c r="CB274" s="313">
        <v>18.7</v>
      </c>
      <c r="CC274" s="313">
        <v>64.099999999999994</v>
      </c>
      <c r="CD274" s="313">
        <v>17.3</v>
      </c>
    </row>
    <row r="275" spans="1:82" s="322" customFormat="1" x14ac:dyDescent="0.25">
      <c r="A275" s="314" t="s">
        <v>5264</v>
      </c>
      <c r="B275" s="315" t="s">
        <v>348</v>
      </c>
      <c r="C275" s="314"/>
      <c r="D275" s="314"/>
      <c r="E275" s="314"/>
      <c r="F275" s="314"/>
      <c r="G275" s="314"/>
      <c r="H275" s="316"/>
      <c r="I275" s="317"/>
      <c r="J275" s="314">
        <v>54081</v>
      </c>
      <c r="K275" s="314" t="s">
        <v>5265</v>
      </c>
      <c r="L275" s="318">
        <v>608.54611946757325</v>
      </c>
      <c r="M275" s="319">
        <v>77097</v>
      </c>
      <c r="N275" s="320">
        <v>126.69048003699933</v>
      </c>
      <c r="O275" s="319">
        <v>31069</v>
      </c>
      <c r="P275" s="320">
        <v>2.38</v>
      </c>
      <c r="Q275" s="319">
        <v>73862</v>
      </c>
      <c r="R275" s="319">
        <v>2573</v>
      </c>
      <c r="S275" s="319">
        <v>2399</v>
      </c>
      <c r="T275" s="319">
        <v>2428</v>
      </c>
      <c r="U275" s="319">
        <v>1991</v>
      </c>
      <c r="V275" s="319">
        <v>1917</v>
      </c>
      <c r="W275" s="319">
        <v>1906</v>
      </c>
      <c r="X275" s="319">
        <v>1555</v>
      </c>
      <c r="Y275" s="319">
        <v>1619</v>
      </c>
      <c r="Z275" s="319">
        <v>1129</v>
      </c>
      <c r="AA275" s="319">
        <v>2708</v>
      </c>
      <c r="AB275" s="319">
        <v>2789</v>
      </c>
      <c r="AC275" s="319">
        <v>3584</v>
      </c>
      <c r="AD275" s="319">
        <v>2048</v>
      </c>
      <c r="AE275" s="319">
        <v>1056</v>
      </c>
      <c r="AF275" s="319">
        <v>880</v>
      </c>
      <c r="AG275" s="319">
        <v>487</v>
      </c>
      <c r="AH275" s="320">
        <v>23.81795358717693</v>
      </c>
      <c r="AI275" s="320">
        <v>12.578454407930733</v>
      </c>
      <c r="AJ275" s="320">
        <v>19.984550516592101</v>
      </c>
      <c r="AK275" s="320">
        <v>8.7160835559560965</v>
      </c>
      <c r="AL275" s="320">
        <v>34.902957932344137</v>
      </c>
      <c r="AM275" s="319">
        <v>23435</v>
      </c>
      <c r="AN275" s="319">
        <v>42386</v>
      </c>
      <c r="AO275" s="320">
        <v>52.747111268466959</v>
      </c>
      <c r="AP275" s="319">
        <v>31069</v>
      </c>
      <c r="AQ275" s="319">
        <v>5104</v>
      </c>
      <c r="AR275" s="319">
        <v>22736</v>
      </c>
      <c r="AS275" s="319">
        <v>8333</v>
      </c>
      <c r="AT275" s="319">
        <v>1293</v>
      </c>
      <c r="AU275" s="319">
        <v>1275</v>
      </c>
      <c r="AV275" s="319">
        <v>3746</v>
      </c>
      <c r="AW275" s="319">
        <v>2805</v>
      </c>
      <c r="AX275" s="319">
        <v>1292</v>
      </c>
      <c r="AY275" s="319">
        <v>1367</v>
      </c>
      <c r="AZ275" s="319">
        <v>2590</v>
      </c>
      <c r="BA275" s="319">
        <v>1042</v>
      </c>
      <c r="BB275" s="319">
        <v>484</v>
      </c>
      <c r="BC275" s="319">
        <v>4068</v>
      </c>
      <c r="BD275" s="319">
        <v>1009</v>
      </c>
      <c r="BE275" s="319">
        <v>272</v>
      </c>
      <c r="BF275" s="319">
        <v>7350</v>
      </c>
      <c r="BG275" s="319">
        <v>510</v>
      </c>
      <c r="BH275" s="319">
        <v>116</v>
      </c>
      <c r="BI275" s="320">
        <v>19.263574624223505</v>
      </c>
      <c r="BJ275" s="321">
        <v>5.7</v>
      </c>
      <c r="BK275" s="321">
        <v>5.6</v>
      </c>
      <c r="BL275" s="321">
        <v>6.2</v>
      </c>
      <c r="BM275" s="321">
        <v>5.3</v>
      </c>
      <c r="BN275" s="321">
        <v>5.7</v>
      </c>
      <c r="BO275" s="321">
        <v>6.4</v>
      </c>
      <c r="BP275" s="321">
        <v>5.8</v>
      </c>
      <c r="BQ275" s="321">
        <v>6.7</v>
      </c>
      <c r="BR275" s="321">
        <v>6.6</v>
      </c>
      <c r="BS275" s="321">
        <v>6.1</v>
      </c>
      <c r="BT275" s="321">
        <v>6.3</v>
      </c>
      <c r="BU275" s="321">
        <v>7.3</v>
      </c>
      <c r="BV275" s="321">
        <v>7.5</v>
      </c>
      <c r="BW275" s="321">
        <v>6.3</v>
      </c>
      <c r="BX275" s="321">
        <v>4.5</v>
      </c>
      <c r="BY275" s="321">
        <v>3.3</v>
      </c>
      <c r="BZ275" s="321">
        <v>2</v>
      </c>
      <c r="CA275" s="321">
        <v>2.6</v>
      </c>
      <c r="CB275" s="321">
        <v>17.5</v>
      </c>
      <c r="CC275" s="321">
        <v>63.699999999999996</v>
      </c>
      <c r="CD275" s="321">
        <v>18.700000000000003</v>
      </c>
    </row>
    <row r="276" spans="1:82" s="308" customFormat="1" x14ac:dyDescent="0.25">
      <c r="A276" s="301" t="s">
        <v>5266</v>
      </c>
      <c r="B276" s="301" t="s">
        <v>74</v>
      </c>
      <c r="C276" s="301" t="s">
        <v>5267</v>
      </c>
      <c r="D276" s="301" t="s">
        <v>75</v>
      </c>
      <c r="E276" s="301" t="s">
        <v>5268</v>
      </c>
      <c r="F276" s="301" t="s">
        <v>4272</v>
      </c>
      <c r="G276" s="301" t="s">
        <v>5269</v>
      </c>
      <c r="H276" s="302">
        <v>540175</v>
      </c>
      <c r="I276" s="303" t="s">
        <v>1673</v>
      </c>
      <c r="J276" s="301" t="s">
        <v>488</v>
      </c>
      <c r="K276" s="301" t="s">
        <v>488</v>
      </c>
      <c r="L276" s="304">
        <v>1033.117499055533</v>
      </c>
      <c r="M276" s="305">
        <v>19830</v>
      </c>
      <c r="N276" s="306">
        <v>19.194331736833817</v>
      </c>
      <c r="O276" s="305">
        <v>7513</v>
      </c>
      <c r="P276" s="306">
        <v>2.4175429255956344</v>
      </c>
      <c r="Q276" s="305">
        <v>18163</v>
      </c>
      <c r="R276" s="305">
        <v>687</v>
      </c>
      <c r="S276" s="305">
        <v>538</v>
      </c>
      <c r="T276" s="305">
        <v>587</v>
      </c>
      <c r="U276" s="305">
        <v>610</v>
      </c>
      <c r="V276" s="305">
        <v>513</v>
      </c>
      <c r="W276" s="305">
        <v>406</v>
      </c>
      <c r="X276" s="305">
        <v>348</v>
      </c>
      <c r="Y276" s="305">
        <v>399</v>
      </c>
      <c r="Z276" s="305">
        <v>431</v>
      </c>
      <c r="AA276" s="305">
        <v>593</v>
      </c>
      <c r="AB276" s="305">
        <v>786</v>
      </c>
      <c r="AC276" s="305">
        <v>623</v>
      </c>
      <c r="AD276" s="305">
        <v>402</v>
      </c>
      <c r="AE276" s="305">
        <v>111</v>
      </c>
      <c r="AF276" s="305">
        <v>201</v>
      </c>
      <c r="AG276" s="305">
        <v>278</v>
      </c>
      <c r="AH276" s="306">
        <v>24.118195128444032</v>
      </c>
      <c r="AI276" s="306">
        <v>14.947424464261946</v>
      </c>
      <c r="AJ276" s="306">
        <v>21.083455344070281</v>
      </c>
      <c r="AK276" s="306">
        <v>7.8929854918141888</v>
      </c>
      <c r="AL276" s="306">
        <v>31.957939571409554</v>
      </c>
      <c r="AM276" s="305">
        <v>23642</v>
      </c>
      <c r="AN276" s="305">
        <v>40094</v>
      </c>
      <c r="AO276" s="306">
        <v>54.412351923332892</v>
      </c>
      <c r="AP276" s="305">
        <v>7513</v>
      </c>
      <c r="AQ276" s="305">
        <v>2192</v>
      </c>
      <c r="AR276" s="305">
        <v>5869</v>
      </c>
      <c r="AS276" s="305">
        <v>1644</v>
      </c>
      <c r="AT276" s="305">
        <v>381</v>
      </c>
      <c r="AU276" s="305">
        <v>407</v>
      </c>
      <c r="AV276" s="305">
        <v>821</v>
      </c>
      <c r="AW276" s="305">
        <v>705</v>
      </c>
      <c r="AX276" s="305">
        <v>377</v>
      </c>
      <c r="AY276" s="305">
        <v>374</v>
      </c>
      <c r="AZ276" s="305">
        <v>592</v>
      </c>
      <c r="BA276" s="305">
        <v>396</v>
      </c>
      <c r="BB276" s="305">
        <v>122</v>
      </c>
      <c r="BC276" s="305">
        <v>1151</v>
      </c>
      <c r="BD276" s="305">
        <v>139</v>
      </c>
      <c r="BE276" s="305">
        <v>49</v>
      </c>
      <c r="BF276" s="305">
        <v>1533</v>
      </c>
      <c r="BG276" s="305">
        <v>56</v>
      </c>
      <c r="BH276" s="305">
        <v>0</v>
      </c>
      <c r="BI276" s="306">
        <v>18.181818181818183</v>
      </c>
      <c r="BJ276" s="307">
        <v>5.2</v>
      </c>
      <c r="BK276" s="307">
        <v>5.4</v>
      </c>
      <c r="BL276" s="307">
        <v>5.2</v>
      </c>
      <c r="BM276" s="307">
        <v>5.8</v>
      </c>
      <c r="BN276" s="307">
        <v>6.1</v>
      </c>
      <c r="BO276" s="307">
        <v>6.4</v>
      </c>
      <c r="BP276" s="307">
        <v>6.1</v>
      </c>
      <c r="BQ276" s="307">
        <v>5.7</v>
      </c>
      <c r="BR276" s="307">
        <v>5.8</v>
      </c>
      <c r="BS276" s="307">
        <v>6.5</v>
      </c>
      <c r="BT276" s="307">
        <v>7.1</v>
      </c>
      <c r="BU276" s="307">
        <v>7.5</v>
      </c>
      <c r="BV276" s="307">
        <v>6.9</v>
      </c>
      <c r="BW276" s="307">
        <v>6.5</v>
      </c>
      <c r="BX276" s="307">
        <v>5.5</v>
      </c>
      <c r="BY276" s="307">
        <v>3.1</v>
      </c>
      <c r="BZ276" s="307">
        <v>2.8</v>
      </c>
      <c r="CA276" s="307">
        <v>2.2999999999999998</v>
      </c>
      <c r="CB276" s="307">
        <v>15.8</v>
      </c>
      <c r="CC276" s="307">
        <v>63.9</v>
      </c>
      <c r="CD276" s="307">
        <v>20.2</v>
      </c>
    </row>
    <row r="277" spans="1:82" x14ac:dyDescent="0.25">
      <c r="A277" s="130" t="s">
        <v>5270</v>
      </c>
      <c r="B277" s="130" t="s">
        <v>310</v>
      </c>
      <c r="C277" s="130" t="s">
        <v>5271</v>
      </c>
      <c r="D277" s="130" t="s">
        <v>75</v>
      </c>
      <c r="E277" s="130" t="s">
        <v>5268</v>
      </c>
      <c r="F277" s="130" t="s">
        <v>4272</v>
      </c>
      <c r="G277" s="130" t="s">
        <v>5272</v>
      </c>
      <c r="H277" s="309">
        <v>540267</v>
      </c>
      <c r="I277" s="277" t="s">
        <v>1671</v>
      </c>
      <c r="J277" s="130">
        <v>5406988</v>
      </c>
      <c r="K277" s="130" t="s">
        <v>5273</v>
      </c>
      <c r="L277" s="310">
        <v>0.43882660268623191</v>
      </c>
      <c r="M277" s="311">
        <v>639</v>
      </c>
      <c r="N277" s="312">
        <v>1456.1560217371218</v>
      </c>
      <c r="O277" s="311">
        <v>284</v>
      </c>
      <c r="P277" s="312">
        <v>2.25</v>
      </c>
      <c r="Q277" s="311">
        <v>639</v>
      </c>
      <c r="R277" s="311">
        <v>72</v>
      </c>
      <c r="S277" s="311">
        <v>28</v>
      </c>
      <c r="T277" s="311">
        <v>9</v>
      </c>
      <c r="U277" s="311">
        <v>13</v>
      </c>
      <c r="V277" s="311">
        <v>4</v>
      </c>
      <c r="W277" s="311">
        <v>12</v>
      </c>
      <c r="X277" s="311">
        <v>11</v>
      </c>
      <c r="Y277" s="311">
        <v>13</v>
      </c>
      <c r="Z277" s="311">
        <v>5</v>
      </c>
      <c r="AA277" s="311">
        <v>38</v>
      </c>
      <c r="AB277" s="311">
        <v>30</v>
      </c>
      <c r="AC277" s="311">
        <v>29</v>
      </c>
      <c r="AD277" s="311">
        <v>11</v>
      </c>
      <c r="AE277" s="311">
        <v>0</v>
      </c>
      <c r="AF277" s="311">
        <v>3</v>
      </c>
      <c r="AG277" s="311">
        <v>6</v>
      </c>
      <c r="AH277" s="312">
        <v>38.380281690140841</v>
      </c>
      <c r="AI277" s="312">
        <v>5.9859154929577461</v>
      </c>
      <c r="AJ277" s="312">
        <v>14.43661971830986</v>
      </c>
      <c r="AK277" s="312">
        <v>13.380281690140844</v>
      </c>
      <c r="AL277" s="312">
        <v>27.816901408450708</v>
      </c>
      <c r="AM277" s="311">
        <v>20827</v>
      </c>
      <c r="AN277" s="311">
        <v>37000</v>
      </c>
      <c r="AO277" s="312">
        <v>57.04225352112676</v>
      </c>
      <c r="AP277" s="311">
        <v>284</v>
      </c>
      <c r="AQ277" s="311">
        <v>75</v>
      </c>
      <c r="AR277" s="311">
        <v>139</v>
      </c>
      <c r="AS277" s="311">
        <v>145</v>
      </c>
      <c r="AT277" s="311">
        <v>0</v>
      </c>
      <c r="AU277" s="311">
        <v>45</v>
      </c>
      <c r="AV277" s="311">
        <v>62</v>
      </c>
      <c r="AW277" s="311">
        <v>9</v>
      </c>
      <c r="AX277" s="311">
        <v>16</v>
      </c>
      <c r="AY277" s="311">
        <v>4</v>
      </c>
      <c r="AZ277" s="311">
        <v>18</v>
      </c>
      <c r="BA277" s="311">
        <v>11</v>
      </c>
      <c r="BB277" s="311">
        <v>0</v>
      </c>
      <c r="BC277" s="311">
        <v>55</v>
      </c>
      <c r="BD277" s="311">
        <v>8</v>
      </c>
      <c r="BE277" s="311">
        <v>5</v>
      </c>
      <c r="BF277" s="311">
        <v>49</v>
      </c>
      <c r="BG277" s="311">
        <v>0</v>
      </c>
      <c r="BH277" s="311">
        <v>0</v>
      </c>
      <c r="BI277" s="312">
        <v>25</v>
      </c>
      <c r="BJ277" s="313">
        <v>10.3</v>
      </c>
      <c r="BK277" s="313">
        <v>5.6</v>
      </c>
      <c r="BL277" s="313">
        <v>3.4</v>
      </c>
      <c r="BM277" s="313">
        <v>9.4</v>
      </c>
      <c r="BN277" s="313">
        <v>6.1</v>
      </c>
      <c r="BO277" s="313">
        <v>8</v>
      </c>
      <c r="BP277" s="313">
        <v>6.4</v>
      </c>
      <c r="BQ277" s="313">
        <v>4.9000000000000004</v>
      </c>
      <c r="BR277" s="313">
        <v>5.8</v>
      </c>
      <c r="BS277" s="313">
        <v>3.8</v>
      </c>
      <c r="BT277" s="313">
        <v>4.0999999999999996</v>
      </c>
      <c r="BU277" s="313">
        <v>6.9</v>
      </c>
      <c r="BV277" s="313">
        <v>7.5</v>
      </c>
      <c r="BW277" s="313">
        <v>6.1</v>
      </c>
      <c r="BX277" s="313">
        <v>6.4</v>
      </c>
      <c r="BY277" s="313">
        <v>4.7</v>
      </c>
      <c r="BZ277" s="313">
        <v>0.3</v>
      </c>
      <c r="CA277" s="313">
        <v>0.3</v>
      </c>
      <c r="CB277" s="313">
        <v>19.3</v>
      </c>
      <c r="CC277" s="313">
        <v>62.899999999999991</v>
      </c>
      <c r="CD277" s="313">
        <v>17.8</v>
      </c>
    </row>
    <row r="278" spans="1:82" x14ac:dyDescent="0.25">
      <c r="A278" s="130" t="s">
        <v>5274</v>
      </c>
      <c r="B278" s="130" t="s">
        <v>248</v>
      </c>
      <c r="C278" s="130" t="s">
        <v>5275</v>
      </c>
      <c r="D278" s="130" t="s">
        <v>75</v>
      </c>
      <c r="E278" s="130" t="s">
        <v>5268</v>
      </c>
      <c r="F278" s="130" t="s">
        <v>4272</v>
      </c>
      <c r="G278" s="130" t="s">
        <v>5276</v>
      </c>
      <c r="H278" s="309">
        <v>540177</v>
      </c>
      <c r="I278" s="277" t="s">
        <v>1672</v>
      </c>
      <c r="J278" s="130">
        <v>5424580</v>
      </c>
      <c r="K278" s="130" t="s">
        <v>5277</v>
      </c>
      <c r="L278" s="310">
        <v>3.6252214364424442</v>
      </c>
      <c r="M278" s="311">
        <v>7154</v>
      </c>
      <c r="N278" s="312">
        <v>1973.3966946362507</v>
      </c>
      <c r="O278" s="311">
        <v>2983</v>
      </c>
      <c r="P278" s="312">
        <v>2.2200000000000002</v>
      </c>
      <c r="Q278" s="311">
        <v>6614</v>
      </c>
      <c r="R278" s="311">
        <v>323</v>
      </c>
      <c r="S278" s="311">
        <v>171</v>
      </c>
      <c r="T278" s="311">
        <v>146</v>
      </c>
      <c r="U278" s="311">
        <v>272</v>
      </c>
      <c r="V278" s="311">
        <v>297</v>
      </c>
      <c r="W278" s="311">
        <v>158</v>
      </c>
      <c r="X278" s="311">
        <v>137</v>
      </c>
      <c r="Y278" s="311">
        <v>183</v>
      </c>
      <c r="Z278" s="311">
        <v>156</v>
      </c>
      <c r="AA278" s="311">
        <v>187</v>
      </c>
      <c r="AB278" s="311">
        <v>240</v>
      </c>
      <c r="AC278" s="311">
        <v>338</v>
      </c>
      <c r="AD278" s="311">
        <v>200</v>
      </c>
      <c r="AE278" s="311">
        <v>44</v>
      </c>
      <c r="AF278" s="311">
        <v>70</v>
      </c>
      <c r="AG278" s="311">
        <v>61</v>
      </c>
      <c r="AH278" s="312">
        <v>21.454911163258465</v>
      </c>
      <c r="AI278" s="312">
        <v>19.074756956084478</v>
      </c>
      <c r="AJ278" s="312">
        <v>21.253771371102918</v>
      </c>
      <c r="AK278" s="312">
        <v>6.2688568555145832</v>
      </c>
      <c r="AL278" s="312">
        <v>31.947703654039554</v>
      </c>
      <c r="AM278" s="311">
        <v>22996</v>
      </c>
      <c r="AN278" s="311">
        <v>39470</v>
      </c>
      <c r="AO278" s="312">
        <v>56.553804894401608</v>
      </c>
      <c r="AP278" s="311">
        <v>2983</v>
      </c>
      <c r="AQ278" s="311">
        <v>448</v>
      </c>
      <c r="AR278" s="311">
        <v>1745</v>
      </c>
      <c r="AS278" s="311">
        <v>1238</v>
      </c>
      <c r="AT278" s="311">
        <v>53</v>
      </c>
      <c r="AU278" s="311">
        <v>37</v>
      </c>
      <c r="AV278" s="311">
        <v>468</v>
      </c>
      <c r="AW278" s="311">
        <v>198</v>
      </c>
      <c r="AX278" s="311">
        <v>266</v>
      </c>
      <c r="AY278" s="311">
        <v>235</v>
      </c>
      <c r="AZ278" s="311">
        <v>270</v>
      </c>
      <c r="BA278" s="311">
        <v>197</v>
      </c>
      <c r="BB278" s="311">
        <v>9</v>
      </c>
      <c r="BC278" s="311">
        <v>291</v>
      </c>
      <c r="BD278" s="311">
        <v>111</v>
      </c>
      <c r="BE278" s="311">
        <v>17</v>
      </c>
      <c r="BF278" s="311">
        <v>689</v>
      </c>
      <c r="BG278" s="311">
        <v>9</v>
      </c>
      <c r="BH278" s="311">
        <v>0</v>
      </c>
      <c r="BI278" s="312">
        <v>24.438484746899096</v>
      </c>
      <c r="BJ278" s="313">
        <v>5.8</v>
      </c>
      <c r="BK278" s="313">
        <v>4.9000000000000004</v>
      </c>
      <c r="BL278" s="313">
        <v>6.6</v>
      </c>
      <c r="BM278" s="313">
        <v>7.8</v>
      </c>
      <c r="BN278" s="313">
        <v>9</v>
      </c>
      <c r="BO278" s="313">
        <v>7.9</v>
      </c>
      <c r="BP278" s="313">
        <v>6.9</v>
      </c>
      <c r="BQ278" s="313">
        <v>6.7</v>
      </c>
      <c r="BR278" s="313">
        <v>4.2</v>
      </c>
      <c r="BS278" s="313">
        <v>4.8</v>
      </c>
      <c r="BT278" s="313">
        <v>5.2</v>
      </c>
      <c r="BU278" s="313">
        <v>6.2</v>
      </c>
      <c r="BV278" s="313">
        <v>6.2</v>
      </c>
      <c r="BW278" s="313">
        <v>6.4</v>
      </c>
      <c r="BX278" s="313">
        <v>4.5</v>
      </c>
      <c r="BY278" s="313">
        <v>3.4</v>
      </c>
      <c r="BZ278" s="313">
        <v>1.5</v>
      </c>
      <c r="CA278" s="313">
        <v>2</v>
      </c>
      <c r="CB278" s="313">
        <v>17.299999999999997</v>
      </c>
      <c r="CC278" s="313">
        <v>64.900000000000006</v>
      </c>
      <c r="CD278" s="313">
        <v>17.8</v>
      </c>
    </row>
    <row r="279" spans="1:82" x14ac:dyDescent="0.25">
      <c r="A279" s="130" t="s">
        <v>5278</v>
      </c>
      <c r="B279" s="130" t="s">
        <v>249</v>
      </c>
      <c r="C279" s="130" t="s">
        <v>5279</v>
      </c>
      <c r="D279" s="130" t="s">
        <v>75</v>
      </c>
      <c r="E279" s="130" t="s">
        <v>5268</v>
      </c>
      <c r="F279" s="130" t="s">
        <v>4272</v>
      </c>
      <c r="G279" s="130" t="s">
        <v>5280</v>
      </c>
      <c r="H279" s="309">
        <v>540178</v>
      </c>
      <c r="I279" s="277" t="s">
        <v>1667</v>
      </c>
      <c r="J279" s="130">
        <v>5435092</v>
      </c>
      <c r="K279" s="130" t="s">
        <v>5281</v>
      </c>
      <c r="L279" s="310">
        <v>0.32319753062193979</v>
      </c>
      <c r="M279" s="311">
        <v>92</v>
      </c>
      <c r="N279" s="312">
        <v>284.65564023017544</v>
      </c>
      <c r="O279" s="311">
        <v>48</v>
      </c>
      <c r="P279" s="312">
        <v>1.92</v>
      </c>
      <c r="Q279" s="311">
        <v>92</v>
      </c>
      <c r="R279" s="311">
        <v>13</v>
      </c>
      <c r="S279" s="311">
        <v>5</v>
      </c>
      <c r="T279" s="311">
        <v>3</v>
      </c>
      <c r="U279" s="311">
        <v>2</v>
      </c>
      <c r="V279" s="311">
        <v>6</v>
      </c>
      <c r="W279" s="311">
        <v>0</v>
      </c>
      <c r="X279" s="311">
        <v>9</v>
      </c>
      <c r="Y279" s="311">
        <v>0</v>
      </c>
      <c r="Z279" s="311">
        <v>0</v>
      </c>
      <c r="AA279" s="311">
        <v>4</v>
      </c>
      <c r="AB279" s="311">
        <v>4</v>
      </c>
      <c r="AC279" s="311">
        <v>0</v>
      </c>
      <c r="AD279" s="311">
        <v>0</v>
      </c>
      <c r="AE279" s="311">
        <v>2</v>
      </c>
      <c r="AF279" s="311">
        <v>0</v>
      </c>
      <c r="AG279" s="311">
        <v>0</v>
      </c>
      <c r="AH279" s="312">
        <v>43.75</v>
      </c>
      <c r="AI279" s="312">
        <v>16.666666666666664</v>
      </c>
      <c r="AJ279" s="312">
        <v>18.75</v>
      </c>
      <c r="AK279" s="312">
        <v>8.3333333333333321</v>
      </c>
      <c r="AL279" s="312">
        <v>12.5</v>
      </c>
      <c r="AM279" s="311">
        <v>16962</v>
      </c>
      <c r="AN279" s="311">
        <v>25833</v>
      </c>
      <c r="AO279" s="312">
        <v>79.166666666666657</v>
      </c>
      <c r="AP279" s="311">
        <v>48</v>
      </c>
      <c r="AQ279" s="311">
        <v>33</v>
      </c>
      <c r="AR279" s="311">
        <v>33</v>
      </c>
      <c r="AS279" s="311">
        <v>15</v>
      </c>
      <c r="AT279" s="311">
        <v>0</v>
      </c>
      <c r="AU279" s="311">
        <v>0</v>
      </c>
      <c r="AV279" s="311">
        <v>18</v>
      </c>
      <c r="AW279" s="311">
        <v>6</v>
      </c>
      <c r="AX279" s="311">
        <v>0</v>
      </c>
      <c r="AY279" s="311">
        <v>0</v>
      </c>
      <c r="AZ279" s="311">
        <v>6</v>
      </c>
      <c r="BA279" s="311">
        <v>3</v>
      </c>
      <c r="BB279" s="311">
        <v>0</v>
      </c>
      <c r="BC279" s="311">
        <v>8</v>
      </c>
      <c r="BD279" s="311">
        <v>0</v>
      </c>
      <c r="BE279" s="311">
        <v>0</v>
      </c>
      <c r="BF279" s="311">
        <v>2</v>
      </c>
      <c r="BG279" s="311">
        <v>0</v>
      </c>
      <c r="BH279" s="311">
        <v>0</v>
      </c>
      <c r="BI279" s="312">
        <v>37.5</v>
      </c>
      <c r="BJ279" s="313">
        <v>4.3</v>
      </c>
      <c r="BK279" s="313">
        <v>5.4</v>
      </c>
      <c r="BL279" s="313">
        <v>3.3</v>
      </c>
      <c r="BM279" s="313">
        <v>2.2000000000000002</v>
      </c>
      <c r="BN279" s="313">
        <v>2.2000000000000002</v>
      </c>
      <c r="BO279" s="313">
        <v>0</v>
      </c>
      <c r="BP279" s="313">
        <v>5.4</v>
      </c>
      <c r="BQ279" s="313">
        <v>9.8000000000000007</v>
      </c>
      <c r="BR279" s="313">
        <v>2.2000000000000002</v>
      </c>
      <c r="BS279" s="313">
        <v>10.9</v>
      </c>
      <c r="BT279" s="313">
        <v>3.3</v>
      </c>
      <c r="BU279" s="313">
        <v>5.4</v>
      </c>
      <c r="BV279" s="313">
        <v>18.5</v>
      </c>
      <c r="BW279" s="313">
        <v>15.2</v>
      </c>
      <c r="BX279" s="313">
        <v>3.3</v>
      </c>
      <c r="BY279" s="313">
        <v>4.3</v>
      </c>
      <c r="BZ279" s="313">
        <v>4.3</v>
      </c>
      <c r="CA279" s="313">
        <v>0</v>
      </c>
      <c r="CB279" s="313">
        <v>13</v>
      </c>
      <c r="CC279" s="313">
        <v>59.9</v>
      </c>
      <c r="CD279" s="313">
        <v>27.1</v>
      </c>
    </row>
    <row r="280" spans="1:82" x14ac:dyDescent="0.25">
      <c r="A280" s="130" t="s">
        <v>5282</v>
      </c>
      <c r="B280" s="130" t="s">
        <v>307</v>
      </c>
      <c r="C280" s="130" t="s">
        <v>5283</v>
      </c>
      <c r="D280" s="130" t="s">
        <v>75</v>
      </c>
      <c r="E280" s="130" t="s">
        <v>5268</v>
      </c>
      <c r="F280" s="130" t="s">
        <v>4272</v>
      </c>
      <c r="G280" s="130" t="s">
        <v>5284</v>
      </c>
      <c r="H280" s="309">
        <v>540264</v>
      </c>
      <c r="I280" s="277" t="s">
        <v>1668</v>
      </c>
      <c r="J280" s="130">
        <v>5439628</v>
      </c>
      <c r="K280" s="130" t="s">
        <v>5285</v>
      </c>
      <c r="L280" s="310">
        <v>0.30283136977312825</v>
      </c>
      <c r="M280" s="311">
        <v>211</v>
      </c>
      <c r="N280" s="312">
        <v>696.75740712751974</v>
      </c>
      <c r="O280" s="311">
        <v>73</v>
      </c>
      <c r="P280" s="312">
        <v>2.89</v>
      </c>
      <c r="Q280" s="311">
        <v>211</v>
      </c>
      <c r="R280" s="311">
        <v>7</v>
      </c>
      <c r="S280" s="311">
        <v>1</v>
      </c>
      <c r="T280" s="311">
        <v>2</v>
      </c>
      <c r="U280" s="311">
        <v>14</v>
      </c>
      <c r="V280" s="311">
        <v>14</v>
      </c>
      <c r="W280" s="311">
        <v>9</v>
      </c>
      <c r="X280" s="311">
        <v>2</v>
      </c>
      <c r="Y280" s="311">
        <v>9</v>
      </c>
      <c r="Z280" s="311">
        <v>0</v>
      </c>
      <c r="AA280" s="311">
        <v>4</v>
      </c>
      <c r="AB280" s="311">
        <v>7</v>
      </c>
      <c r="AC280" s="311">
        <v>4</v>
      </c>
      <c r="AD280" s="311">
        <v>0</v>
      </c>
      <c r="AE280" s="311">
        <v>0</v>
      </c>
      <c r="AF280" s="311">
        <v>0</v>
      </c>
      <c r="AG280" s="311">
        <v>0</v>
      </c>
      <c r="AH280" s="312">
        <v>13.698630136986301</v>
      </c>
      <c r="AI280" s="312">
        <v>38.356164383561641</v>
      </c>
      <c r="AJ280" s="312">
        <v>27.397260273972602</v>
      </c>
      <c r="AK280" s="312">
        <v>5.4794520547945202</v>
      </c>
      <c r="AL280" s="312">
        <v>15.068493150684931</v>
      </c>
      <c r="AM280" s="311">
        <v>12895</v>
      </c>
      <c r="AN280" s="311">
        <v>29531</v>
      </c>
      <c r="AO280" s="312">
        <v>79.452054794520549</v>
      </c>
      <c r="AP280" s="311">
        <v>73</v>
      </c>
      <c r="AQ280" s="311">
        <v>19</v>
      </c>
      <c r="AR280" s="311">
        <v>55</v>
      </c>
      <c r="AS280" s="311">
        <v>18</v>
      </c>
      <c r="AT280" s="311">
        <v>0</v>
      </c>
      <c r="AU280" s="311">
        <v>2</v>
      </c>
      <c r="AV280" s="311">
        <v>8</v>
      </c>
      <c r="AW280" s="311">
        <v>10</v>
      </c>
      <c r="AX280" s="311">
        <v>17</v>
      </c>
      <c r="AY280" s="311">
        <v>10</v>
      </c>
      <c r="AZ280" s="311">
        <v>7</v>
      </c>
      <c r="BA280" s="311">
        <v>4</v>
      </c>
      <c r="BB280" s="311">
        <v>0</v>
      </c>
      <c r="BC280" s="311">
        <v>8</v>
      </c>
      <c r="BD280" s="311">
        <v>0</v>
      </c>
      <c r="BE280" s="311">
        <v>0</v>
      </c>
      <c r="BF280" s="311">
        <v>4</v>
      </c>
      <c r="BG280" s="311">
        <v>0</v>
      </c>
      <c r="BH280" s="311">
        <v>0</v>
      </c>
      <c r="BI280" s="312">
        <v>24.657534246575342</v>
      </c>
      <c r="BJ280" s="313">
        <v>6.6</v>
      </c>
      <c r="BK280" s="313">
        <v>11.8</v>
      </c>
      <c r="BL280" s="313">
        <v>13.3</v>
      </c>
      <c r="BM280" s="313">
        <v>1.4</v>
      </c>
      <c r="BN280" s="313">
        <v>3.3</v>
      </c>
      <c r="BO280" s="313">
        <v>4.3</v>
      </c>
      <c r="BP280" s="313">
        <v>9.5</v>
      </c>
      <c r="BQ280" s="313">
        <v>10.4</v>
      </c>
      <c r="BR280" s="313">
        <v>6.2</v>
      </c>
      <c r="BS280" s="313">
        <v>4.3</v>
      </c>
      <c r="BT280" s="313">
        <v>3.8</v>
      </c>
      <c r="BU280" s="313">
        <v>5.7</v>
      </c>
      <c r="BV280" s="313">
        <v>3.8</v>
      </c>
      <c r="BW280" s="313">
        <v>5.7</v>
      </c>
      <c r="BX280" s="313">
        <v>4.7</v>
      </c>
      <c r="BY280" s="313">
        <v>1.4</v>
      </c>
      <c r="BZ280" s="313">
        <v>3.8</v>
      </c>
      <c r="CA280" s="313">
        <v>0</v>
      </c>
      <c r="CB280" s="313">
        <v>31.7</v>
      </c>
      <c r="CC280" s="313">
        <v>52.699999999999996</v>
      </c>
      <c r="CD280" s="313">
        <v>15.600000000000001</v>
      </c>
    </row>
    <row r="281" spans="1:82" x14ac:dyDescent="0.25">
      <c r="A281" s="130" t="s">
        <v>5286</v>
      </c>
      <c r="B281" s="130" t="s">
        <v>309</v>
      </c>
      <c r="C281" s="130" t="s">
        <v>5287</v>
      </c>
      <c r="D281" s="130" t="s">
        <v>75</v>
      </c>
      <c r="E281" s="130" t="s">
        <v>5268</v>
      </c>
      <c r="F281" s="130" t="s">
        <v>4272</v>
      </c>
      <c r="G281" s="130" t="s">
        <v>5288</v>
      </c>
      <c r="H281" s="309">
        <v>540266</v>
      </c>
      <c r="I281" s="277" t="s">
        <v>1670</v>
      </c>
      <c r="J281" s="130">
        <v>5454100</v>
      </c>
      <c r="K281" s="130" t="s">
        <v>5289</v>
      </c>
      <c r="L281" s="310">
        <v>0.4562643696946061</v>
      </c>
      <c r="M281" s="311">
        <v>755</v>
      </c>
      <c r="N281" s="312">
        <v>1654.7424040701408</v>
      </c>
      <c r="O281" s="311">
        <v>309</v>
      </c>
      <c r="P281" s="312">
        <v>2.44</v>
      </c>
      <c r="Q281" s="311">
        <v>755</v>
      </c>
      <c r="R281" s="311">
        <v>54</v>
      </c>
      <c r="S281" s="311">
        <v>21</v>
      </c>
      <c r="T281" s="311">
        <v>28</v>
      </c>
      <c r="U281" s="311">
        <v>21</v>
      </c>
      <c r="V281" s="311">
        <v>17</v>
      </c>
      <c r="W281" s="311">
        <v>28</v>
      </c>
      <c r="X281" s="311">
        <v>13</v>
      </c>
      <c r="Y281" s="311">
        <v>12</v>
      </c>
      <c r="Z281" s="311">
        <v>27</v>
      </c>
      <c r="AA281" s="311">
        <v>26</v>
      </c>
      <c r="AB281" s="311">
        <v>15</v>
      </c>
      <c r="AC281" s="311">
        <v>24</v>
      </c>
      <c r="AD281" s="311">
        <v>20</v>
      </c>
      <c r="AE281" s="311">
        <v>3</v>
      </c>
      <c r="AF281" s="311">
        <v>0</v>
      </c>
      <c r="AG281" s="311">
        <v>0</v>
      </c>
      <c r="AH281" s="312">
        <v>33.333333333333329</v>
      </c>
      <c r="AI281" s="312">
        <v>12.297734627831716</v>
      </c>
      <c r="AJ281" s="312">
        <v>25.889967637540451</v>
      </c>
      <c r="AK281" s="312">
        <v>8.4142394822006477</v>
      </c>
      <c r="AL281" s="312">
        <v>20.064724919093852</v>
      </c>
      <c r="AM281" s="311">
        <v>17122</v>
      </c>
      <c r="AN281" s="311">
        <v>32411</v>
      </c>
      <c r="AO281" s="312">
        <v>62.783171521035598</v>
      </c>
      <c r="AP281" s="311">
        <v>309</v>
      </c>
      <c r="AQ281" s="311">
        <v>55</v>
      </c>
      <c r="AR281" s="311">
        <v>225</v>
      </c>
      <c r="AS281" s="311">
        <v>84</v>
      </c>
      <c r="AT281" s="311">
        <v>3</v>
      </c>
      <c r="AU281" s="311">
        <v>14</v>
      </c>
      <c r="AV281" s="311">
        <v>74</v>
      </c>
      <c r="AW281" s="311">
        <v>35</v>
      </c>
      <c r="AX281" s="311">
        <v>15</v>
      </c>
      <c r="AY281" s="311">
        <v>16</v>
      </c>
      <c r="AZ281" s="311">
        <v>39</v>
      </c>
      <c r="BA281" s="311">
        <v>13</v>
      </c>
      <c r="BB281" s="311">
        <v>0</v>
      </c>
      <c r="BC281" s="311">
        <v>29</v>
      </c>
      <c r="BD281" s="311">
        <v>12</v>
      </c>
      <c r="BE281" s="311">
        <v>0</v>
      </c>
      <c r="BF281" s="311">
        <v>47</v>
      </c>
      <c r="BG281" s="311">
        <v>0</v>
      </c>
      <c r="BH281" s="311">
        <v>0</v>
      </c>
      <c r="BI281" s="312">
        <v>29.126213592233007</v>
      </c>
      <c r="BJ281" s="313">
        <v>7.8</v>
      </c>
      <c r="BK281" s="313">
        <v>3.3</v>
      </c>
      <c r="BL281" s="313">
        <v>4.4000000000000004</v>
      </c>
      <c r="BM281" s="313">
        <v>9.3000000000000007</v>
      </c>
      <c r="BN281" s="313">
        <v>5.2</v>
      </c>
      <c r="BO281" s="313">
        <v>4.9000000000000004</v>
      </c>
      <c r="BP281" s="313">
        <v>4</v>
      </c>
      <c r="BQ281" s="313">
        <v>5.3</v>
      </c>
      <c r="BR281" s="313">
        <v>8.1</v>
      </c>
      <c r="BS281" s="313">
        <v>8.5</v>
      </c>
      <c r="BT281" s="313">
        <v>6.6</v>
      </c>
      <c r="BU281" s="313">
        <v>10.7</v>
      </c>
      <c r="BV281" s="313">
        <v>6.9</v>
      </c>
      <c r="BW281" s="313">
        <v>3.7</v>
      </c>
      <c r="BX281" s="313">
        <v>3.7</v>
      </c>
      <c r="BY281" s="313">
        <v>2.9</v>
      </c>
      <c r="BZ281" s="313">
        <v>1.5</v>
      </c>
      <c r="CA281" s="313">
        <v>3.3</v>
      </c>
      <c r="CB281" s="313">
        <v>15.5</v>
      </c>
      <c r="CC281" s="313">
        <v>69.5</v>
      </c>
      <c r="CD281" s="313">
        <v>15.100000000000001</v>
      </c>
    </row>
    <row r="282" spans="1:82" x14ac:dyDescent="0.25">
      <c r="A282" s="130" t="s">
        <v>5290</v>
      </c>
      <c r="B282" s="130" t="s">
        <v>308</v>
      </c>
      <c r="C282" s="130" t="s">
        <v>5291</v>
      </c>
      <c r="D282" s="130" t="s">
        <v>75</v>
      </c>
      <c r="E282" s="130" t="s">
        <v>5268</v>
      </c>
      <c r="F282" s="130" t="s">
        <v>4272</v>
      </c>
      <c r="G282" s="130" t="s">
        <v>5292</v>
      </c>
      <c r="H282" s="309">
        <v>540265</v>
      </c>
      <c r="I282" s="277" t="s">
        <v>1669</v>
      </c>
      <c r="J282" s="130">
        <v>5455540</v>
      </c>
      <c r="K282" s="130" t="s">
        <v>5293</v>
      </c>
      <c r="L282" s="310">
        <v>0.62667755511562784</v>
      </c>
      <c r="M282" s="311">
        <v>166</v>
      </c>
      <c r="N282" s="312">
        <v>264.88901452577386</v>
      </c>
      <c r="O282" s="311">
        <v>67</v>
      </c>
      <c r="P282" s="312">
        <v>2.48</v>
      </c>
      <c r="Q282" s="311">
        <v>166</v>
      </c>
      <c r="R282" s="311">
        <v>6</v>
      </c>
      <c r="S282" s="311">
        <v>0</v>
      </c>
      <c r="T282" s="311">
        <v>6</v>
      </c>
      <c r="U282" s="311">
        <v>2</v>
      </c>
      <c r="V282" s="311">
        <v>6</v>
      </c>
      <c r="W282" s="311">
        <v>2</v>
      </c>
      <c r="X282" s="311">
        <v>0</v>
      </c>
      <c r="Y282" s="311">
        <v>2</v>
      </c>
      <c r="Z282" s="311">
        <v>4</v>
      </c>
      <c r="AA282" s="311">
        <v>3</v>
      </c>
      <c r="AB282" s="311">
        <v>15</v>
      </c>
      <c r="AC282" s="311">
        <v>13</v>
      </c>
      <c r="AD282" s="311">
        <v>5</v>
      </c>
      <c r="AE282" s="311">
        <v>0</v>
      </c>
      <c r="AF282" s="311">
        <v>3</v>
      </c>
      <c r="AG282" s="311">
        <v>0</v>
      </c>
      <c r="AH282" s="312">
        <v>17.910447761194028</v>
      </c>
      <c r="AI282" s="312">
        <v>11.940298507462686</v>
      </c>
      <c r="AJ282" s="312">
        <v>11.940298507462686</v>
      </c>
      <c r="AK282" s="312">
        <v>4.4776119402985071</v>
      </c>
      <c r="AL282" s="312">
        <v>53.731343283582092</v>
      </c>
      <c r="AM282" s="311">
        <v>24478</v>
      </c>
      <c r="AN282" s="311">
        <v>63194</v>
      </c>
      <c r="AO282" s="312">
        <v>35.820895522388057</v>
      </c>
      <c r="AP282" s="311">
        <v>67</v>
      </c>
      <c r="AQ282" s="311">
        <v>15</v>
      </c>
      <c r="AR282" s="311">
        <v>59</v>
      </c>
      <c r="AS282" s="311">
        <v>8</v>
      </c>
      <c r="AT282" s="311">
        <v>4</v>
      </c>
      <c r="AU282" s="311">
        <v>0</v>
      </c>
      <c r="AV282" s="311">
        <v>8</v>
      </c>
      <c r="AW282" s="311">
        <v>5</v>
      </c>
      <c r="AX282" s="311">
        <v>3</v>
      </c>
      <c r="AY282" s="311">
        <v>2</v>
      </c>
      <c r="AZ282" s="311">
        <v>6</v>
      </c>
      <c r="BA282" s="311">
        <v>0</v>
      </c>
      <c r="BB282" s="311">
        <v>0</v>
      </c>
      <c r="BC282" s="311">
        <v>14</v>
      </c>
      <c r="BD282" s="311">
        <v>3</v>
      </c>
      <c r="BE282" s="311">
        <v>1</v>
      </c>
      <c r="BF282" s="311">
        <v>17</v>
      </c>
      <c r="BG282" s="311">
        <v>2</v>
      </c>
      <c r="BH282" s="311">
        <v>0</v>
      </c>
      <c r="BI282" s="312">
        <v>16.417910447761194</v>
      </c>
      <c r="BJ282" s="313">
        <v>5.4</v>
      </c>
      <c r="BK282" s="313">
        <v>1.8</v>
      </c>
      <c r="BL282" s="313">
        <v>2.4</v>
      </c>
      <c r="BM282" s="313">
        <v>12</v>
      </c>
      <c r="BN282" s="313">
        <v>0</v>
      </c>
      <c r="BO282" s="313">
        <v>4.8</v>
      </c>
      <c r="BP282" s="313">
        <v>10.8</v>
      </c>
      <c r="BQ282" s="313">
        <v>2.4</v>
      </c>
      <c r="BR282" s="313">
        <v>12.7</v>
      </c>
      <c r="BS282" s="313">
        <v>6</v>
      </c>
      <c r="BT282" s="313">
        <v>6.6</v>
      </c>
      <c r="BU282" s="313">
        <v>5.4</v>
      </c>
      <c r="BV282" s="313">
        <v>12.7</v>
      </c>
      <c r="BW282" s="313">
        <v>10.8</v>
      </c>
      <c r="BX282" s="313">
        <v>2.4</v>
      </c>
      <c r="BY282" s="313">
        <v>1.2</v>
      </c>
      <c r="BZ282" s="313">
        <v>1.2</v>
      </c>
      <c r="CA282" s="313">
        <v>1.2</v>
      </c>
      <c r="CB282" s="313">
        <v>9.6</v>
      </c>
      <c r="CC282" s="313">
        <v>73.400000000000006</v>
      </c>
      <c r="CD282" s="313">
        <v>16.8</v>
      </c>
    </row>
    <row r="283" spans="1:82" x14ac:dyDescent="0.25">
      <c r="A283" s="130" t="s">
        <v>5294</v>
      </c>
      <c r="B283" s="130" t="s">
        <v>247</v>
      </c>
      <c r="C283" s="130" t="s">
        <v>5295</v>
      </c>
      <c r="D283" s="130" t="s">
        <v>75</v>
      </c>
      <c r="E283" s="130" t="s">
        <v>5268</v>
      </c>
      <c r="F283" s="130" t="s">
        <v>4272</v>
      </c>
      <c r="G283" s="130" t="s">
        <v>5296</v>
      </c>
      <c r="H283" s="309">
        <v>540176</v>
      </c>
      <c r="I283" s="277" t="s">
        <v>1666</v>
      </c>
      <c r="J283" s="130">
        <v>5488324</v>
      </c>
      <c r="K283" s="130" t="s">
        <v>5297</v>
      </c>
      <c r="L283" s="310">
        <v>0.41393556939764997</v>
      </c>
      <c r="M283" s="311">
        <v>305</v>
      </c>
      <c r="N283" s="312">
        <v>736.82964825619933</v>
      </c>
      <c r="O283" s="311">
        <v>114</v>
      </c>
      <c r="P283" s="312">
        <v>2.68</v>
      </c>
      <c r="Q283" s="311">
        <v>305</v>
      </c>
      <c r="R283" s="311">
        <v>10</v>
      </c>
      <c r="S283" s="311">
        <v>8</v>
      </c>
      <c r="T283" s="311">
        <v>2</v>
      </c>
      <c r="U283" s="311">
        <v>11</v>
      </c>
      <c r="V283" s="311">
        <v>10</v>
      </c>
      <c r="W283" s="311">
        <v>2</v>
      </c>
      <c r="X283" s="311">
        <v>4</v>
      </c>
      <c r="Y283" s="311">
        <v>4</v>
      </c>
      <c r="Z283" s="311">
        <v>11</v>
      </c>
      <c r="AA283" s="311">
        <v>8</v>
      </c>
      <c r="AB283" s="311">
        <v>14</v>
      </c>
      <c r="AC283" s="311">
        <v>14</v>
      </c>
      <c r="AD283" s="311">
        <v>12</v>
      </c>
      <c r="AE283" s="311">
        <v>2</v>
      </c>
      <c r="AF283" s="311">
        <v>0</v>
      </c>
      <c r="AG283" s="311">
        <v>2</v>
      </c>
      <c r="AH283" s="312">
        <v>17.543859649122805</v>
      </c>
      <c r="AI283" s="312">
        <v>18.421052631578945</v>
      </c>
      <c r="AJ283" s="312">
        <v>18.421052631578945</v>
      </c>
      <c r="AK283" s="312">
        <v>7.0175438596491224</v>
      </c>
      <c r="AL283" s="312">
        <v>38.596491228070171</v>
      </c>
      <c r="AM283" s="311">
        <v>21846</v>
      </c>
      <c r="AN283" s="311">
        <v>48864</v>
      </c>
      <c r="AO283" s="312">
        <v>44.736842105263158</v>
      </c>
      <c r="AP283" s="311">
        <v>114</v>
      </c>
      <c r="AQ283" s="311">
        <v>4</v>
      </c>
      <c r="AR283" s="311">
        <v>110</v>
      </c>
      <c r="AS283" s="311">
        <v>4</v>
      </c>
      <c r="AT283" s="311">
        <v>0</v>
      </c>
      <c r="AU283" s="311">
        <v>6</v>
      </c>
      <c r="AV283" s="311">
        <v>10</v>
      </c>
      <c r="AW283" s="311">
        <v>13</v>
      </c>
      <c r="AX283" s="311">
        <v>2</v>
      </c>
      <c r="AY283" s="311">
        <v>8</v>
      </c>
      <c r="AZ283" s="311">
        <v>13</v>
      </c>
      <c r="BA283" s="311">
        <v>5</v>
      </c>
      <c r="BB283" s="311">
        <v>1</v>
      </c>
      <c r="BC283" s="311">
        <v>22</v>
      </c>
      <c r="BD283" s="311">
        <v>0</v>
      </c>
      <c r="BE283" s="311">
        <v>0</v>
      </c>
      <c r="BF283" s="311">
        <v>30</v>
      </c>
      <c r="BG283" s="311">
        <v>0</v>
      </c>
      <c r="BH283" s="311">
        <v>0</v>
      </c>
      <c r="BI283" s="312">
        <v>16.666666666666664</v>
      </c>
      <c r="BJ283" s="313">
        <v>5.9</v>
      </c>
      <c r="BK283" s="313">
        <v>6.2</v>
      </c>
      <c r="BL283" s="313">
        <v>3.6</v>
      </c>
      <c r="BM283" s="313">
        <v>6.2</v>
      </c>
      <c r="BN283" s="313">
        <v>3.3</v>
      </c>
      <c r="BO283" s="313">
        <v>4.3</v>
      </c>
      <c r="BP283" s="313">
        <v>4.5999999999999996</v>
      </c>
      <c r="BQ283" s="313">
        <v>3.6</v>
      </c>
      <c r="BR283" s="313">
        <v>8.5</v>
      </c>
      <c r="BS283" s="313">
        <v>7.9</v>
      </c>
      <c r="BT283" s="313">
        <v>8.9</v>
      </c>
      <c r="BU283" s="313">
        <v>9.5</v>
      </c>
      <c r="BV283" s="313">
        <v>7.5</v>
      </c>
      <c r="BW283" s="313">
        <v>5.9</v>
      </c>
      <c r="BX283" s="313">
        <v>5.2</v>
      </c>
      <c r="BY283" s="313">
        <v>3</v>
      </c>
      <c r="BZ283" s="313">
        <v>3</v>
      </c>
      <c r="CA283" s="313">
        <v>3</v>
      </c>
      <c r="CB283" s="313">
        <v>15.700000000000001</v>
      </c>
      <c r="CC283" s="313">
        <v>64.3</v>
      </c>
      <c r="CD283" s="313">
        <v>20.100000000000001</v>
      </c>
    </row>
    <row r="284" spans="1:82" s="322" customFormat="1" x14ac:dyDescent="0.25">
      <c r="A284" s="314" t="s">
        <v>5298</v>
      </c>
      <c r="B284" s="315" t="s">
        <v>348</v>
      </c>
      <c r="C284" s="314"/>
      <c r="D284" s="314"/>
      <c r="E284" s="314"/>
      <c r="F284" s="314"/>
      <c r="G284" s="314"/>
      <c r="H284" s="316"/>
      <c r="I284" s="317"/>
      <c r="J284" s="314">
        <v>54083</v>
      </c>
      <c r="K284" s="314" t="s">
        <v>5299</v>
      </c>
      <c r="L284" s="318">
        <v>1039.3044534892645</v>
      </c>
      <c r="M284" s="319">
        <v>29152</v>
      </c>
      <c r="N284" s="320">
        <v>28.049528607452586</v>
      </c>
      <c r="O284" s="319">
        <v>11391</v>
      </c>
      <c r="P284" s="320">
        <v>2.37</v>
      </c>
      <c r="Q284" s="319">
        <v>26945</v>
      </c>
      <c r="R284" s="319">
        <v>1172</v>
      </c>
      <c r="S284" s="319">
        <v>772</v>
      </c>
      <c r="T284" s="319">
        <v>783</v>
      </c>
      <c r="U284" s="319">
        <v>945</v>
      </c>
      <c r="V284" s="319">
        <v>867</v>
      </c>
      <c r="W284" s="319">
        <v>617</v>
      </c>
      <c r="X284" s="319">
        <v>524</v>
      </c>
      <c r="Y284" s="319">
        <v>622</v>
      </c>
      <c r="Z284" s="319">
        <v>634</v>
      </c>
      <c r="AA284" s="319">
        <v>863</v>
      </c>
      <c r="AB284" s="319">
        <v>1111</v>
      </c>
      <c r="AC284" s="319">
        <v>1045</v>
      </c>
      <c r="AD284" s="319">
        <v>650</v>
      </c>
      <c r="AE284" s="319">
        <v>162</v>
      </c>
      <c r="AF284" s="319">
        <v>277</v>
      </c>
      <c r="AG284" s="319">
        <v>347</v>
      </c>
      <c r="AH284" s="320">
        <v>23.939952594153279</v>
      </c>
      <c r="AI284" s="320">
        <v>15.907295233078747</v>
      </c>
      <c r="AJ284" s="320">
        <v>21.042928627864104</v>
      </c>
      <c r="AK284" s="320">
        <v>7.5761566148713895</v>
      </c>
      <c r="AL284" s="320">
        <v>31.533666930032485</v>
      </c>
      <c r="AM284" s="319">
        <v>23642</v>
      </c>
      <c r="AN284" s="319">
        <v>40094</v>
      </c>
      <c r="AO284" s="320">
        <v>55.324378895619354</v>
      </c>
      <c r="AP284" s="319">
        <v>11391</v>
      </c>
      <c r="AQ284" s="319">
        <v>2841</v>
      </c>
      <c r="AR284" s="319">
        <v>8235</v>
      </c>
      <c r="AS284" s="319">
        <v>3156</v>
      </c>
      <c r="AT284" s="319">
        <v>441</v>
      </c>
      <c r="AU284" s="319">
        <v>511</v>
      </c>
      <c r="AV284" s="319">
        <v>1469</v>
      </c>
      <c r="AW284" s="319">
        <v>981</v>
      </c>
      <c r="AX284" s="319">
        <v>696</v>
      </c>
      <c r="AY284" s="319">
        <v>649</v>
      </c>
      <c r="AZ284" s="319">
        <v>951</v>
      </c>
      <c r="BA284" s="319">
        <v>629</v>
      </c>
      <c r="BB284" s="319">
        <v>132</v>
      </c>
      <c r="BC284" s="319">
        <v>1578</v>
      </c>
      <c r="BD284" s="319">
        <v>273</v>
      </c>
      <c r="BE284" s="319">
        <v>72</v>
      </c>
      <c r="BF284" s="319">
        <v>2371</v>
      </c>
      <c r="BG284" s="319">
        <v>67</v>
      </c>
      <c r="BH284" s="319">
        <v>0</v>
      </c>
      <c r="BI284" s="320">
        <v>20.384514090071111</v>
      </c>
      <c r="BJ284" s="321">
        <v>5.2</v>
      </c>
      <c r="BK284" s="321">
        <v>5.4</v>
      </c>
      <c r="BL284" s="321">
        <v>5.2</v>
      </c>
      <c r="BM284" s="321">
        <v>5.8</v>
      </c>
      <c r="BN284" s="321">
        <v>6.1</v>
      </c>
      <c r="BO284" s="321">
        <v>6.4</v>
      </c>
      <c r="BP284" s="321">
        <v>6.1</v>
      </c>
      <c r="BQ284" s="321">
        <v>5.7</v>
      </c>
      <c r="BR284" s="321">
        <v>5.8</v>
      </c>
      <c r="BS284" s="321">
        <v>6.5</v>
      </c>
      <c r="BT284" s="321">
        <v>7.1</v>
      </c>
      <c r="BU284" s="321">
        <v>7.5</v>
      </c>
      <c r="BV284" s="321">
        <v>6.9</v>
      </c>
      <c r="BW284" s="321">
        <v>6.5</v>
      </c>
      <c r="BX284" s="321">
        <v>5.5</v>
      </c>
      <c r="BY284" s="321">
        <v>3.1</v>
      </c>
      <c r="BZ284" s="321">
        <v>2.8</v>
      </c>
      <c r="CA284" s="321">
        <v>2.2999999999999998</v>
      </c>
      <c r="CB284" s="321">
        <v>15.8</v>
      </c>
      <c r="CC284" s="321">
        <v>63.9</v>
      </c>
      <c r="CD284" s="321">
        <v>20.2</v>
      </c>
    </row>
    <row r="285" spans="1:82" s="308" customFormat="1" x14ac:dyDescent="0.25">
      <c r="A285" s="301" t="s">
        <v>5300</v>
      </c>
      <c r="B285" s="301" t="s">
        <v>96</v>
      </c>
      <c r="C285" s="301" t="s">
        <v>5301</v>
      </c>
      <c r="D285" s="301" t="s">
        <v>97</v>
      </c>
      <c r="E285" s="301" t="s">
        <v>5302</v>
      </c>
      <c r="F285" s="301" t="s">
        <v>4272</v>
      </c>
      <c r="G285" s="301" t="s">
        <v>5303</v>
      </c>
      <c r="H285" s="302">
        <v>540224</v>
      </c>
      <c r="I285" s="303" t="s">
        <v>1618</v>
      </c>
      <c r="J285" s="301" t="s">
        <v>488</v>
      </c>
      <c r="K285" s="301" t="s">
        <v>488</v>
      </c>
      <c r="L285" s="304">
        <v>446.99637233015062</v>
      </c>
      <c r="M285" s="305">
        <v>5635</v>
      </c>
      <c r="N285" s="306">
        <v>12.606366290234678</v>
      </c>
      <c r="O285" s="305">
        <v>2176</v>
      </c>
      <c r="P285" s="306">
        <v>2.5896139705882355</v>
      </c>
      <c r="Q285" s="305">
        <v>5635</v>
      </c>
      <c r="R285" s="305">
        <v>119</v>
      </c>
      <c r="S285" s="305">
        <v>172</v>
      </c>
      <c r="T285" s="305">
        <v>142</v>
      </c>
      <c r="U285" s="305">
        <v>118</v>
      </c>
      <c r="V285" s="305">
        <v>128</v>
      </c>
      <c r="W285" s="305">
        <v>140</v>
      </c>
      <c r="X285" s="305">
        <v>109</v>
      </c>
      <c r="Y285" s="305">
        <v>114</v>
      </c>
      <c r="Z285" s="305">
        <v>160</v>
      </c>
      <c r="AA285" s="305">
        <v>313</v>
      </c>
      <c r="AB285" s="305">
        <v>227</v>
      </c>
      <c r="AC285" s="305">
        <v>218</v>
      </c>
      <c r="AD285" s="305">
        <v>80</v>
      </c>
      <c r="AE285" s="305">
        <v>64</v>
      </c>
      <c r="AF285" s="305">
        <v>53</v>
      </c>
      <c r="AG285" s="305">
        <v>19</v>
      </c>
      <c r="AH285" s="306">
        <v>19.898897058823529</v>
      </c>
      <c r="AI285" s="306">
        <v>11.305147058823529</v>
      </c>
      <c r="AJ285" s="306">
        <v>24.034926470588236</v>
      </c>
      <c r="AK285" s="306">
        <v>14.384191176470587</v>
      </c>
      <c r="AL285" s="306">
        <v>30.37683823529412</v>
      </c>
      <c r="AM285" s="305">
        <v>21533</v>
      </c>
      <c r="AN285" s="305">
        <v>41497</v>
      </c>
      <c r="AO285" s="306">
        <v>47.88602941176471</v>
      </c>
      <c r="AP285" s="305">
        <v>2176</v>
      </c>
      <c r="AQ285" s="305">
        <v>1572</v>
      </c>
      <c r="AR285" s="305">
        <v>1812</v>
      </c>
      <c r="AS285" s="305">
        <v>364</v>
      </c>
      <c r="AT285" s="305">
        <v>146</v>
      </c>
      <c r="AU285" s="305">
        <v>39</v>
      </c>
      <c r="AV285" s="305">
        <v>148</v>
      </c>
      <c r="AW285" s="305">
        <v>171</v>
      </c>
      <c r="AX285" s="305">
        <v>94</v>
      </c>
      <c r="AY285" s="305">
        <v>59</v>
      </c>
      <c r="AZ285" s="305">
        <v>341</v>
      </c>
      <c r="BA285" s="305">
        <v>27</v>
      </c>
      <c r="BB285" s="305">
        <v>9</v>
      </c>
      <c r="BC285" s="305">
        <v>515</v>
      </c>
      <c r="BD285" s="305">
        <v>6</v>
      </c>
      <c r="BE285" s="305">
        <v>10</v>
      </c>
      <c r="BF285" s="305">
        <v>342</v>
      </c>
      <c r="BG285" s="305">
        <v>50</v>
      </c>
      <c r="BH285" s="305">
        <v>0</v>
      </c>
      <c r="BI285" s="306">
        <v>10.386029411764707</v>
      </c>
      <c r="BJ285" s="307">
        <v>4.9000000000000004</v>
      </c>
      <c r="BK285" s="307">
        <v>5.8</v>
      </c>
      <c r="BL285" s="307">
        <v>5.9</v>
      </c>
      <c r="BM285" s="307">
        <v>5.3</v>
      </c>
      <c r="BN285" s="307">
        <v>5.2</v>
      </c>
      <c r="BO285" s="307">
        <v>4.7</v>
      </c>
      <c r="BP285" s="307">
        <v>5.0999999999999996</v>
      </c>
      <c r="BQ285" s="307">
        <v>5.6</v>
      </c>
      <c r="BR285" s="307">
        <v>5.9</v>
      </c>
      <c r="BS285" s="307">
        <v>6.9</v>
      </c>
      <c r="BT285" s="307">
        <v>7.8</v>
      </c>
      <c r="BU285" s="307">
        <v>8.6999999999999993</v>
      </c>
      <c r="BV285" s="307">
        <v>7</v>
      </c>
      <c r="BW285" s="307">
        <v>6.7</v>
      </c>
      <c r="BX285" s="307">
        <v>5.6</v>
      </c>
      <c r="BY285" s="307">
        <v>3.9</v>
      </c>
      <c r="BZ285" s="307">
        <v>2.2999999999999998</v>
      </c>
      <c r="CA285" s="307">
        <v>2.6</v>
      </c>
      <c r="CB285" s="307">
        <v>16.600000000000001</v>
      </c>
      <c r="CC285" s="307">
        <v>62.199999999999989</v>
      </c>
      <c r="CD285" s="307">
        <v>21.1</v>
      </c>
    </row>
    <row r="286" spans="1:82" x14ac:dyDescent="0.25">
      <c r="A286" s="130" t="s">
        <v>5304</v>
      </c>
      <c r="B286" s="130" t="s">
        <v>305</v>
      </c>
      <c r="C286" s="130" t="s">
        <v>5305</v>
      </c>
      <c r="D286" s="130" t="s">
        <v>97</v>
      </c>
      <c r="E286" s="130" t="s">
        <v>5302</v>
      </c>
      <c r="F286" s="130" t="s">
        <v>4272</v>
      </c>
      <c r="G286" s="130" t="s">
        <v>5306</v>
      </c>
      <c r="H286" s="309">
        <v>540262</v>
      </c>
      <c r="I286" s="277" t="s">
        <v>1623</v>
      </c>
      <c r="J286" s="130">
        <v>5403364</v>
      </c>
      <c r="K286" s="130" t="s">
        <v>5307</v>
      </c>
      <c r="L286" s="310">
        <v>0.33445465583849843</v>
      </c>
      <c r="M286" s="311">
        <v>121</v>
      </c>
      <c r="N286" s="312">
        <v>361.78297382838207</v>
      </c>
      <c r="O286" s="311">
        <v>46</v>
      </c>
      <c r="P286" s="312">
        <v>2.63</v>
      </c>
      <c r="Q286" s="311">
        <v>121</v>
      </c>
      <c r="R286" s="311">
        <v>8</v>
      </c>
      <c r="S286" s="311">
        <v>4</v>
      </c>
      <c r="T286" s="311">
        <v>9</v>
      </c>
      <c r="U286" s="311">
        <v>3</v>
      </c>
      <c r="V286" s="311">
        <v>5</v>
      </c>
      <c r="W286" s="311">
        <v>1</v>
      </c>
      <c r="X286" s="311">
        <v>12</v>
      </c>
      <c r="Y286" s="311">
        <v>0</v>
      </c>
      <c r="Z286" s="311">
        <v>0</v>
      </c>
      <c r="AA286" s="311">
        <v>0</v>
      </c>
      <c r="AB286" s="311">
        <v>0</v>
      </c>
      <c r="AC286" s="311">
        <v>2</v>
      </c>
      <c r="AD286" s="311">
        <v>2</v>
      </c>
      <c r="AE286" s="311">
        <v>0</v>
      </c>
      <c r="AF286" s="311">
        <v>0</v>
      </c>
      <c r="AG286" s="311">
        <v>0</v>
      </c>
      <c r="AH286" s="312">
        <v>45.652173913043477</v>
      </c>
      <c r="AI286" s="312">
        <v>17.391304347826086</v>
      </c>
      <c r="AJ286" s="312">
        <v>28.260869565217391</v>
      </c>
      <c r="AK286" s="312">
        <v>0</v>
      </c>
      <c r="AL286" s="312">
        <v>8.695652173913043</v>
      </c>
      <c r="AM286" s="311">
        <v>12436</v>
      </c>
      <c r="AN286" s="311">
        <v>21667</v>
      </c>
      <c r="AO286" s="312">
        <v>91.304347826086953</v>
      </c>
      <c r="AP286" s="311">
        <v>46</v>
      </c>
      <c r="AQ286" s="311">
        <v>9</v>
      </c>
      <c r="AR286" s="311">
        <v>38</v>
      </c>
      <c r="AS286" s="311">
        <v>8</v>
      </c>
      <c r="AT286" s="311">
        <v>6</v>
      </c>
      <c r="AU286" s="311">
        <v>3</v>
      </c>
      <c r="AV286" s="311">
        <v>9</v>
      </c>
      <c r="AW286" s="311">
        <v>8</v>
      </c>
      <c r="AX286" s="311">
        <v>0</v>
      </c>
      <c r="AY286" s="311">
        <v>1</v>
      </c>
      <c r="AZ286" s="311">
        <v>8</v>
      </c>
      <c r="BA286" s="311">
        <v>4</v>
      </c>
      <c r="BB286" s="311">
        <v>0</v>
      </c>
      <c r="BC286" s="311">
        <v>0</v>
      </c>
      <c r="BD286" s="311">
        <v>0</v>
      </c>
      <c r="BE286" s="311">
        <v>0</v>
      </c>
      <c r="BF286" s="311">
        <v>4</v>
      </c>
      <c r="BG286" s="311">
        <v>0</v>
      </c>
      <c r="BH286" s="311">
        <v>0</v>
      </c>
      <c r="BI286" s="312">
        <v>21.739130434782609</v>
      </c>
      <c r="BJ286" s="313">
        <v>5</v>
      </c>
      <c r="BK286" s="313">
        <v>4.0999999999999996</v>
      </c>
      <c r="BL286" s="313">
        <v>9.9</v>
      </c>
      <c r="BM286" s="313">
        <v>4.0999999999999996</v>
      </c>
      <c r="BN286" s="313">
        <v>5</v>
      </c>
      <c r="BO286" s="313">
        <v>3.3</v>
      </c>
      <c r="BP286" s="313">
        <v>9.9</v>
      </c>
      <c r="BQ286" s="313">
        <v>4.0999999999999996</v>
      </c>
      <c r="BR286" s="313">
        <v>13.2</v>
      </c>
      <c r="BS286" s="313">
        <v>2.5</v>
      </c>
      <c r="BT286" s="313">
        <v>11.6</v>
      </c>
      <c r="BU286" s="313">
        <v>5.8</v>
      </c>
      <c r="BV286" s="313">
        <v>9.9</v>
      </c>
      <c r="BW286" s="313">
        <v>2.5</v>
      </c>
      <c r="BX286" s="313">
        <v>7.4</v>
      </c>
      <c r="BY286" s="313">
        <v>0</v>
      </c>
      <c r="BZ286" s="313">
        <v>1.7</v>
      </c>
      <c r="CA286" s="313">
        <v>0</v>
      </c>
      <c r="CB286" s="313">
        <v>19</v>
      </c>
      <c r="CC286" s="313">
        <v>69.399999999999991</v>
      </c>
      <c r="CD286" s="313">
        <v>11.6</v>
      </c>
    </row>
    <row r="287" spans="1:82" x14ac:dyDescent="0.25">
      <c r="A287" s="130" t="s">
        <v>5308</v>
      </c>
      <c r="B287" s="130" t="s">
        <v>250</v>
      </c>
      <c r="C287" s="130" t="s">
        <v>5309</v>
      </c>
      <c r="D287" s="130" t="s">
        <v>97</v>
      </c>
      <c r="E287" s="130" t="s">
        <v>5302</v>
      </c>
      <c r="F287" s="130" t="s">
        <v>4272</v>
      </c>
      <c r="G287" s="130" t="s">
        <v>5310</v>
      </c>
      <c r="H287" s="309">
        <v>540179</v>
      </c>
      <c r="I287" s="277" t="s">
        <v>1620</v>
      </c>
      <c r="J287" s="130">
        <v>5412124</v>
      </c>
      <c r="K287" s="130" t="s">
        <v>5311</v>
      </c>
      <c r="L287" s="310">
        <v>0.48608357745014447</v>
      </c>
      <c r="M287" s="311">
        <v>398</v>
      </c>
      <c r="N287" s="312">
        <v>818.78923391692069</v>
      </c>
      <c r="O287" s="311">
        <v>120</v>
      </c>
      <c r="P287" s="312">
        <v>3.32</v>
      </c>
      <c r="Q287" s="311">
        <v>398</v>
      </c>
      <c r="R287" s="311">
        <v>11</v>
      </c>
      <c r="S287" s="311">
        <v>2</v>
      </c>
      <c r="T287" s="311">
        <v>13</v>
      </c>
      <c r="U287" s="311">
        <v>17</v>
      </c>
      <c r="V287" s="311">
        <v>4</v>
      </c>
      <c r="W287" s="311">
        <v>14</v>
      </c>
      <c r="X287" s="311">
        <v>7</v>
      </c>
      <c r="Y287" s="311">
        <v>15</v>
      </c>
      <c r="Z287" s="311">
        <v>9</v>
      </c>
      <c r="AA287" s="311">
        <v>12</v>
      </c>
      <c r="AB287" s="311">
        <v>5</v>
      </c>
      <c r="AC287" s="311">
        <v>6</v>
      </c>
      <c r="AD287" s="311">
        <v>5</v>
      </c>
      <c r="AE287" s="311">
        <v>0</v>
      </c>
      <c r="AF287" s="311">
        <v>0</v>
      </c>
      <c r="AG287" s="311">
        <v>0</v>
      </c>
      <c r="AH287" s="312">
        <v>21.666666666666668</v>
      </c>
      <c r="AI287" s="312">
        <v>17.5</v>
      </c>
      <c r="AJ287" s="312">
        <v>37.5</v>
      </c>
      <c r="AK287" s="312">
        <v>10</v>
      </c>
      <c r="AL287" s="312">
        <v>13.333333333333334</v>
      </c>
      <c r="AM287" s="311">
        <v>14331</v>
      </c>
      <c r="AN287" s="311">
        <v>34643</v>
      </c>
      <c r="AO287" s="312">
        <v>69.166666666666671</v>
      </c>
      <c r="AP287" s="311">
        <v>120</v>
      </c>
      <c r="AQ287" s="311">
        <v>46</v>
      </c>
      <c r="AR287" s="311">
        <v>97</v>
      </c>
      <c r="AS287" s="311">
        <v>23</v>
      </c>
      <c r="AT287" s="311">
        <v>6</v>
      </c>
      <c r="AU287" s="311">
        <v>1</v>
      </c>
      <c r="AV287" s="311">
        <v>13</v>
      </c>
      <c r="AW287" s="311">
        <v>12</v>
      </c>
      <c r="AX287" s="311">
        <v>11</v>
      </c>
      <c r="AY287" s="311">
        <v>12</v>
      </c>
      <c r="AZ287" s="311">
        <v>28</v>
      </c>
      <c r="BA287" s="311">
        <v>3</v>
      </c>
      <c r="BB287" s="311">
        <v>0</v>
      </c>
      <c r="BC287" s="311">
        <v>17</v>
      </c>
      <c r="BD287" s="311">
        <v>0</v>
      </c>
      <c r="BE287" s="311">
        <v>0</v>
      </c>
      <c r="BF287" s="311">
        <v>11</v>
      </c>
      <c r="BG287" s="311">
        <v>0</v>
      </c>
      <c r="BH287" s="311">
        <v>0</v>
      </c>
      <c r="BI287" s="312">
        <v>20.833333333333336</v>
      </c>
      <c r="BJ287" s="313">
        <v>3.5</v>
      </c>
      <c r="BK287" s="313">
        <v>10.8</v>
      </c>
      <c r="BL287" s="313">
        <v>5</v>
      </c>
      <c r="BM287" s="313">
        <v>7.3</v>
      </c>
      <c r="BN287" s="313">
        <v>2.5</v>
      </c>
      <c r="BO287" s="313">
        <v>7.5</v>
      </c>
      <c r="BP287" s="313">
        <v>9.5</v>
      </c>
      <c r="BQ287" s="313">
        <v>3.8</v>
      </c>
      <c r="BR287" s="313">
        <v>8.5</v>
      </c>
      <c r="BS287" s="313">
        <v>2.8</v>
      </c>
      <c r="BT287" s="313">
        <v>6.8</v>
      </c>
      <c r="BU287" s="313">
        <v>7.8</v>
      </c>
      <c r="BV287" s="313">
        <v>8</v>
      </c>
      <c r="BW287" s="313">
        <v>2.5</v>
      </c>
      <c r="BX287" s="313">
        <v>2.2999999999999998</v>
      </c>
      <c r="BY287" s="313">
        <v>5.5</v>
      </c>
      <c r="BZ287" s="313">
        <v>1.5</v>
      </c>
      <c r="CA287" s="313">
        <v>4.3</v>
      </c>
      <c r="CB287" s="313">
        <v>19.3</v>
      </c>
      <c r="CC287" s="313">
        <v>64.5</v>
      </c>
      <c r="CD287" s="313">
        <v>16.100000000000001</v>
      </c>
    </row>
    <row r="288" spans="1:82" x14ac:dyDescent="0.25">
      <c r="A288" s="130" t="s">
        <v>5312</v>
      </c>
      <c r="B288" s="130" t="s">
        <v>251</v>
      </c>
      <c r="C288" s="130" t="s">
        <v>5313</v>
      </c>
      <c r="D288" s="130" t="s">
        <v>97</v>
      </c>
      <c r="E288" s="130" t="s">
        <v>5302</v>
      </c>
      <c r="F288" s="130" t="s">
        <v>4272</v>
      </c>
      <c r="G288" s="130" t="s">
        <v>5314</v>
      </c>
      <c r="H288" s="309">
        <v>540180</v>
      </c>
      <c r="I288" s="277" t="s">
        <v>1621</v>
      </c>
      <c r="J288" s="130">
        <v>5424844</v>
      </c>
      <c r="K288" s="130" t="s">
        <v>5315</v>
      </c>
      <c r="L288" s="310">
        <v>1.1243946776478473</v>
      </c>
      <c r="M288" s="311">
        <v>344</v>
      </c>
      <c r="N288" s="312">
        <v>305.94239446207911</v>
      </c>
      <c r="O288" s="311">
        <v>134</v>
      </c>
      <c r="P288" s="312">
        <v>2.57</v>
      </c>
      <c r="Q288" s="311">
        <v>344</v>
      </c>
      <c r="R288" s="311">
        <v>12</v>
      </c>
      <c r="S288" s="311">
        <v>17</v>
      </c>
      <c r="T288" s="311">
        <v>14</v>
      </c>
      <c r="U288" s="311">
        <v>4</v>
      </c>
      <c r="V288" s="311">
        <v>5</v>
      </c>
      <c r="W288" s="311">
        <v>14</v>
      </c>
      <c r="X288" s="311">
        <v>12</v>
      </c>
      <c r="Y288" s="311">
        <v>5</v>
      </c>
      <c r="Z288" s="311">
        <v>0</v>
      </c>
      <c r="AA288" s="311">
        <v>8</v>
      </c>
      <c r="AB288" s="311">
        <v>20</v>
      </c>
      <c r="AC288" s="311">
        <v>8</v>
      </c>
      <c r="AD288" s="311">
        <v>12</v>
      </c>
      <c r="AE288" s="311">
        <v>2</v>
      </c>
      <c r="AF288" s="311">
        <v>1</v>
      </c>
      <c r="AG288" s="311">
        <v>0</v>
      </c>
      <c r="AH288" s="312">
        <v>32.089552238805972</v>
      </c>
      <c r="AI288" s="312">
        <v>6.7164179104477615</v>
      </c>
      <c r="AJ288" s="312">
        <v>23.134328358208954</v>
      </c>
      <c r="AK288" s="312">
        <v>5.9701492537313428</v>
      </c>
      <c r="AL288" s="312">
        <v>32.089552238805972</v>
      </c>
      <c r="AM288" s="311">
        <v>20876</v>
      </c>
      <c r="AN288" s="311">
        <v>35278</v>
      </c>
      <c r="AO288" s="312">
        <v>61.940298507462686</v>
      </c>
      <c r="AP288" s="311">
        <v>134</v>
      </c>
      <c r="AQ288" s="311">
        <v>35</v>
      </c>
      <c r="AR288" s="311">
        <v>106</v>
      </c>
      <c r="AS288" s="311">
        <v>28</v>
      </c>
      <c r="AT288" s="311">
        <v>19</v>
      </c>
      <c r="AU288" s="311">
        <v>4</v>
      </c>
      <c r="AV288" s="311">
        <v>11</v>
      </c>
      <c r="AW288" s="311">
        <v>16</v>
      </c>
      <c r="AX288" s="311">
        <v>7</v>
      </c>
      <c r="AY288" s="311">
        <v>0</v>
      </c>
      <c r="AZ288" s="311">
        <v>10</v>
      </c>
      <c r="BA288" s="311">
        <v>6</v>
      </c>
      <c r="BB288" s="311">
        <v>1</v>
      </c>
      <c r="BC288" s="311">
        <v>22</v>
      </c>
      <c r="BD288" s="311">
        <v>6</v>
      </c>
      <c r="BE288" s="311">
        <v>0</v>
      </c>
      <c r="BF288" s="311">
        <v>20</v>
      </c>
      <c r="BG288" s="311">
        <v>0</v>
      </c>
      <c r="BH288" s="311">
        <v>1</v>
      </c>
      <c r="BI288" s="312">
        <v>9.7014925373134329</v>
      </c>
      <c r="BJ288" s="313">
        <v>9.9</v>
      </c>
      <c r="BK288" s="313">
        <v>5.2</v>
      </c>
      <c r="BL288" s="313">
        <v>4.9000000000000004</v>
      </c>
      <c r="BM288" s="313">
        <v>2.6</v>
      </c>
      <c r="BN288" s="313">
        <v>2.2999999999999998</v>
      </c>
      <c r="BO288" s="313">
        <v>4.4000000000000004</v>
      </c>
      <c r="BP288" s="313">
        <v>10.5</v>
      </c>
      <c r="BQ288" s="313">
        <v>3.5</v>
      </c>
      <c r="BR288" s="313">
        <v>2</v>
      </c>
      <c r="BS288" s="313">
        <v>3.8</v>
      </c>
      <c r="BT288" s="313">
        <v>6.4</v>
      </c>
      <c r="BU288" s="313">
        <v>14.8</v>
      </c>
      <c r="BV288" s="313">
        <v>12.8</v>
      </c>
      <c r="BW288" s="313">
        <v>4.0999999999999996</v>
      </c>
      <c r="BX288" s="313">
        <v>5.8</v>
      </c>
      <c r="BY288" s="313">
        <v>3.8</v>
      </c>
      <c r="BZ288" s="313">
        <v>1.2</v>
      </c>
      <c r="CA288" s="313">
        <v>2</v>
      </c>
      <c r="CB288" s="313">
        <v>20</v>
      </c>
      <c r="CC288" s="313">
        <v>63.099999999999994</v>
      </c>
      <c r="CD288" s="313">
        <v>16.899999999999999</v>
      </c>
    </row>
    <row r="289" spans="1:82" x14ac:dyDescent="0.25">
      <c r="A289" s="130" t="s">
        <v>5316</v>
      </c>
      <c r="B289" s="130" t="s">
        <v>216</v>
      </c>
      <c r="C289" s="130" t="s">
        <v>5317</v>
      </c>
      <c r="D289" s="130" t="s">
        <v>97</v>
      </c>
      <c r="E289" s="130" t="s">
        <v>5302</v>
      </c>
      <c r="F289" s="130" t="s">
        <v>4272</v>
      </c>
      <c r="G289" s="130" t="s">
        <v>5318</v>
      </c>
      <c r="H289" s="309">
        <v>540132</v>
      </c>
      <c r="I289" s="277" t="s">
        <v>1619</v>
      </c>
      <c r="J289" s="130">
        <v>5435428</v>
      </c>
      <c r="K289" s="130" t="s">
        <v>5319</v>
      </c>
      <c r="L289" s="310">
        <v>1.5926480694226743</v>
      </c>
      <c r="M289" s="311">
        <v>2324</v>
      </c>
      <c r="N289" s="312">
        <v>1459.2049835858818</v>
      </c>
      <c r="O289" s="311">
        <v>894</v>
      </c>
      <c r="P289" s="312">
        <v>2.5299999999999998</v>
      </c>
      <c r="Q289" s="311">
        <v>2266</v>
      </c>
      <c r="R289" s="311">
        <v>75</v>
      </c>
      <c r="S289" s="311">
        <v>107</v>
      </c>
      <c r="T289" s="311">
        <v>56</v>
      </c>
      <c r="U289" s="311">
        <v>57</v>
      </c>
      <c r="V289" s="311">
        <v>72</v>
      </c>
      <c r="W289" s="311">
        <v>48</v>
      </c>
      <c r="X289" s="311">
        <v>49</v>
      </c>
      <c r="Y289" s="311">
        <v>45</v>
      </c>
      <c r="Z289" s="311">
        <v>56</v>
      </c>
      <c r="AA289" s="311">
        <v>71</v>
      </c>
      <c r="AB289" s="311">
        <v>61</v>
      </c>
      <c r="AC289" s="311">
        <v>55</v>
      </c>
      <c r="AD289" s="311">
        <v>76</v>
      </c>
      <c r="AE289" s="311">
        <v>44</v>
      </c>
      <c r="AF289" s="311">
        <v>9</v>
      </c>
      <c r="AG289" s="311">
        <v>13</v>
      </c>
      <c r="AH289" s="312">
        <v>26.621923937360179</v>
      </c>
      <c r="AI289" s="312">
        <v>14.429530201342283</v>
      </c>
      <c r="AJ289" s="312">
        <v>22.14765100671141</v>
      </c>
      <c r="AK289" s="312">
        <v>7.9418344519015669</v>
      </c>
      <c r="AL289" s="312">
        <v>28.859060402684566</v>
      </c>
      <c r="AM289" s="311">
        <v>22307</v>
      </c>
      <c r="AN289" s="311">
        <v>37286</v>
      </c>
      <c r="AO289" s="312">
        <v>56.935123042505595</v>
      </c>
      <c r="AP289" s="311">
        <v>894</v>
      </c>
      <c r="AQ289" s="311">
        <v>201</v>
      </c>
      <c r="AR289" s="311">
        <v>631</v>
      </c>
      <c r="AS289" s="311">
        <v>263</v>
      </c>
      <c r="AT289" s="311">
        <v>27</v>
      </c>
      <c r="AU289" s="311">
        <v>45</v>
      </c>
      <c r="AV289" s="311">
        <v>149</v>
      </c>
      <c r="AW289" s="311">
        <v>112</v>
      </c>
      <c r="AX289" s="311">
        <v>48</v>
      </c>
      <c r="AY289" s="311">
        <v>12</v>
      </c>
      <c r="AZ289" s="311">
        <v>112</v>
      </c>
      <c r="BA289" s="311">
        <v>33</v>
      </c>
      <c r="BB289" s="311">
        <v>0</v>
      </c>
      <c r="BC289" s="311">
        <v>108</v>
      </c>
      <c r="BD289" s="311">
        <v>24</v>
      </c>
      <c r="BE289" s="311">
        <v>0</v>
      </c>
      <c r="BF289" s="311">
        <v>192</v>
      </c>
      <c r="BG289" s="311">
        <v>5</v>
      </c>
      <c r="BH289" s="311">
        <v>0</v>
      </c>
      <c r="BI289" s="312">
        <v>18.008948545861298</v>
      </c>
      <c r="BJ289" s="313">
        <v>6.9</v>
      </c>
      <c r="BK289" s="313">
        <v>3.9</v>
      </c>
      <c r="BL289" s="313">
        <v>5.6</v>
      </c>
      <c r="BM289" s="313">
        <v>5.3</v>
      </c>
      <c r="BN289" s="313">
        <v>3.4</v>
      </c>
      <c r="BO289" s="313">
        <v>5.6</v>
      </c>
      <c r="BP289" s="313">
        <v>4</v>
      </c>
      <c r="BQ289" s="313">
        <v>4.8</v>
      </c>
      <c r="BR289" s="313">
        <v>8</v>
      </c>
      <c r="BS289" s="313">
        <v>3</v>
      </c>
      <c r="BT289" s="313">
        <v>12.8</v>
      </c>
      <c r="BU289" s="313">
        <v>8.1</v>
      </c>
      <c r="BV289" s="313">
        <v>5.5</v>
      </c>
      <c r="BW289" s="313">
        <v>5.0999999999999996</v>
      </c>
      <c r="BX289" s="313">
        <v>5.6</v>
      </c>
      <c r="BY289" s="313">
        <v>5.0999999999999996</v>
      </c>
      <c r="BZ289" s="313">
        <v>4.0999999999999996</v>
      </c>
      <c r="CA289" s="313">
        <v>3.4</v>
      </c>
      <c r="CB289" s="313">
        <v>16.399999999999999</v>
      </c>
      <c r="CC289" s="313">
        <v>60.499999999999993</v>
      </c>
      <c r="CD289" s="313">
        <v>23.299999999999997</v>
      </c>
    </row>
    <row r="290" spans="1:82" x14ac:dyDescent="0.25">
      <c r="A290" s="130" t="s">
        <v>5320</v>
      </c>
      <c r="B290" s="130" t="s">
        <v>252</v>
      </c>
      <c r="C290" s="130" t="s">
        <v>5321</v>
      </c>
      <c r="D290" s="130" t="s">
        <v>97</v>
      </c>
      <c r="E290" s="130" t="s">
        <v>5302</v>
      </c>
      <c r="F290" s="130" t="s">
        <v>4272</v>
      </c>
      <c r="G290" s="130" t="s">
        <v>5322</v>
      </c>
      <c r="H290" s="309">
        <v>540182</v>
      </c>
      <c r="I290" s="277" t="s">
        <v>1622</v>
      </c>
      <c r="J290" s="130">
        <v>5462764</v>
      </c>
      <c r="K290" s="130" t="s">
        <v>5323</v>
      </c>
      <c r="L290" s="310">
        <v>2.7210799118168403</v>
      </c>
      <c r="M290" s="311">
        <v>1053</v>
      </c>
      <c r="N290" s="312">
        <v>386.9787121749473</v>
      </c>
      <c r="O290" s="311">
        <v>401</v>
      </c>
      <c r="P290" s="312">
        <v>2.63</v>
      </c>
      <c r="Q290" s="311">
        <v>1053</v>
      </c>
      <c r="R290" s="311">
        <v>51</v>
      </c>
      <c r="S290" s="311">
        <v>32</v>
      </c>
      <c r="T290" s="311">
        <v>28</v>
      </c>
      <c r="U290" s="311">
        <v>36</v>
      </c>
      <c r="V290" s="311">
        <v>34</v>
      </c>
      <c r="W290" s="311">
        <v>17</v>
      </c>
      <c r="X290" s="311">
        <v>28</v>
      </c>
      <c r="Y290" s="311">
        <v>6</v>
      </c>
      <c r="Z290" s="311">
        <v>24</v>
      </c>
      <c r="AA290" s="311">
        <v>33</v>
      </c>
      <c r="AB290" s="311">
        <v>50</v>
      </c>
      <c r="AC290" s="311">
        <v>21</v>
      </c>
      <c r="AD290" s="311">
        <v>28</v>
      </c>
      <c r="AE290" s="311">
        <v>6</v>
      </c>
      <c r="AF290" s="311">
        <v>7</v>
      </c>
      <c r="AG290" s="311">
        <v>0</v>
      </c>
      <c r="AH290" s="312">
        <v>27.680798004987533</v>
      </c>
      <c r="AI290" s="312">
        <v>17.456359102244392</v>
      </c>
      <c r="AJ290" s="312">
        <v>18.703241895261847</v>
      </c>
      <c r="AK290" s="312">
        <v>8.2294264339152114</v>
      </c>
      <c r="AL290" s="312">
        <v>27.93017456359102</v>
      </c>
      <c r="AM290" s="311">
        <v>18544</v>
      </c>
      <c r="AN290" s="311">
        <v>35313</v>
      </c>
      <c r="AO290" s="312">
        <v>57.855361596009978</v>
      </c>
      <c r="AP290" s="311">
        <v>401</v>
      </c>
      <c r="AQ290" s="311">
        <v>140</v>
      </c>
      <c r="AR290" s="311">
        <v>287</v>
      </c>
      <c r="AS290" s="311">
        <v>114</v>
      </c>
      <c r="AT290" s="311">
        <v>27</v>
      </c>
      <c r="AU290" s="311">
        <v>5</v>
      </c>
      <c r="AV290" s="311">
        <v>47</v>
      </c>
      <c r="AW290" s="311">
        <v>42</v>
      </c>
      <c r="AX290" s="311">
        <v>27</v>
      </c>
      <c r="AY290" s="311">
        <v>9</v>
      </c>
      <c r="AZ290" s="311">
        <v>47</v>
      </c>
      <c r="BA290" s="311">
        <v>8</v>
      </c>
      <c r="BB290" s="311">
        <v>3</v>
      </c>
      <c r="BC290" s="311">
        <v>59</v>
      </c>
      <c r="BD290" s="311">
        <v>24</v>
      </c>
      <c r="BE290" s="311">
        <v>0</v>
      </c>
      <c r="BF290" s="311">
        <v>62</v>
      </c>
      <c r="BG290" s="311">
        <v>0</v>
      </c>
      <c r="BH290" s="311">
        <v>0</v>
      </c>
      <c r="BI290" s="312">
        <v>14.713216957605985</v>
      </c>
      <c r="BJ290" s="313">
        <v>1.9</v>
      </c>
      <c r="BK290" s="313">
        <v>7.5</v>
      </c>
      <c r="BL290" s="313">
        <v>6</v>
      </c>
      <c r="BM290" s="313">
        <v>5.2</v>
      </c>
      <c r="BN290" s="313">
        <v>7.6</v>
      </c>
      <c r="BO290" s="313">
        <v>6.7</v>
      </c>
      <c r="BP290" s="313">
        <v>8.1</v>
      </c>
      <c r="BQ290" s="313">
        <v>4.9000000000000004</v>
      </c>
      <c r="BR290" s="313">
        <v>5.7</v>
      </c>
      <c r="BS290" s="313">
        <v>7.8</v>
      </c>
      <c r="BT290" s="313">
        <v>5.8</v>
      </c>
      <c r="BU290" s="313">
        <v>10.6</v>
      </c>
      <c r="BV290" s="313">
        <v>5.3</v>
      </c>
      <c r="BW290" s="313">
        <v>4.7</v>
      </c>
      <c r="BX290" s="313">
        <v>2.5</v>
      </c>
      <c r="BY290" s="313">
        <v>3.3</v>
      </c>
      <c r="BZ290" s="313">
        <v>2.7</v>
      </c>
      <c r="CA290" s="313">
        <v>3.6</v>
      </c>
      <c r="CB290" s="313">
        <v>15.4</v>
      </c>
      <c r="CC290" s="313">
        <v>67.7</v>
      </c>
      <c r="CD290" s="313">
        <v>16.8</v>
      </c>
    </row>
    <row r="291" spans="1:82" x14ac:dyDescent="0.25">
      <c r="A291" s="130" t="s">
        <v>5324</v>
      </c>
      <c r="B291" s="130" t="s">
        <v>306</v>
      </c>
      <c r="C291" s="130" t="s">
        <v>5325</v>
      </c>
      <c r="D291" s="130" t="s">
        <v>97</v>
      </c>
      <c r="E291" s="130" t="s">
        <v>5302</v>
      </c>
      <c r="F291" s="130" t="s">
        <v>4272</v>
      </c>
      <c r="G291" s="130" t="s">
        <v>5326</v>
      </c>
      <c r="H291" s="309">
        <v>540263</v>
      </c>
      <c r="I291" s="277" t="s">
        <v>1624</v>
      </c>
      <c r="J291" s="130">
        <v>5465956</v>
      </c>
      <c r="K291" s="130" t="s">
        <v>5327</v>
      </c>
      <c r="L291" s="310">
        <v>0.24277334757315333</v>
      </c>
      <c r="M291" s="311">
        <v>130</v>
      </c>
      <c r="N291" s="312">
        <v>535.47887896066493</v>
      </c>
      <c r="O291" s="311">
        <v>54</v>
      </c>
      <c r="P291" s="312">
        <v>2.41</v>
      </c>
      <c r="Q291" s="311">
        <v>130</v>
      </c>
      <c r="R291" s="311">
        <v>5</v>
      </c>
      <c r="S291" s="311">
        <v>7</v>
      </c>
      <c r="T291" s="311">
        <v>21</v>
      </c>
      <c r="U291" s="311">
        <v>5</v>
      </c>
      <c r="V291" s="311">
        <v>3</v>
      </c>
      <c r="W291" s="311">
        <v>2</v>
      </c>
      <c r="X291" s="311">
        <v>6</v>
      </c>
      <c r="Y291" s="311">
        <v>0</v>
      </c>
      <c r="Z291" s="311">
        <v>2</v>
      </c>
      <c r="AA291" s="311">
        <v>0</v>
      </c>
      <c r="AB291" s="311">
        <v>0</v>
      </c>
      <c r="AC291" s="311">
        <v>0</v>
      </c>
      <c r="AD291" s="311">
        <v>0</v>
      </c>
      <c r="AE291" s="311">
        <v>0</v>
      </c>
      <c r="AF291" s="311">
        <v>3</v>
      </c>
      <c r="AG291" s="311">
        <v>0</v>
      </c>
      <c r="AH291" s="312">
        <v>61.111111111111114</v>
      </c>
      <c r="AI291" s="312">
        <v>14.814814814814813</v>
      </c>
      <c r="AJ291" s="312">
        <v>18.518518518518519</v>
      </c>
      <c r="AK291" s="312">
        <v>0</v>
      </c>
      <c r="AL291" s="312">
        <v>5.5555555555555554</v>
      </c>
      <c r="AM291" s="311">
        <v>15072</v>
      </c>
      <c r="AN291" s="311">
        <v>18929</v>
      </c>
      <c r="AO291" s="312">
        <v>90.740740740740748</v>
      </c>
      <c r="AP291" s="311">
        <v>54</v>
      </c>
      <c r="AQ291" s="311">
        <v>8</v>
      </c>
      <c r="AR291" s="311">
        <v>36</v>
      </c>
      <c r="AS291" s="311">
        <v>18</v>
      </c>
      <c r="AT291" s="311">
        <v>25</v>
      </c>
      <c r="AU291" s="311">
        <v>4</v>
      </c>
      <c r="AV291" s="311">
        <v>0</v>
      </c>
      <c r="AW291" s="311">
        <v>8</v>
      </c>
      <c r="AX291" s="311">
        <v>2</v>
      </c>
      <c r="AY291" s="311">
        <v>0</v>
      </c>
      <c r="AZ291" s="311">
        <v>2</v>
      </c>
      <c r="BA291" s="311">
        <v>4</v>
      </c>
      <c r="BB291" s="311">
        <v>0</v>
      </c>
      <c r="BC291" s="311">
        <v>0</v>
      </c>
      <c r="BD291" s="311">
        <v>0</v>
      </c>
      <c r="BE291" s="311">
        <v>0</v>
      </c>
      <c r="BF291" s="311">
        <v>3</v>
      </c>
      <c r="BG291" s="311">
        <v>0</v>
      </c>
      <c r="BH291" s="311">
        <v>0</v>
      </c>
      <c r="BI291" s="312">
        <v>0</v>
      </c>
      <c r="BJ291" s="313">
        <v>3.8</v>
      </c>
      <c r="BK291" s="313">
        <v>0</v>
      </c>
      <c r="BL291" s="313">
        <v>0</v>
      </c>
      <c r="BM291" s="313">
        <v>5.4</v>
      </c>
      <c r="BN291" s="313">
        <v>23.8</v>
      </c>
      <c r="BO291" s="313">
        <v>0</v>
      </c>
      <c r="BP291" s="313">
        <v>3.8</v>
      </c>
      <c r="BQ291" s="313">
        <v>5.4</v>
      </c>
      <c r="BR291" s="313">
        <v>11.5</v>
      </c>
      <c r="BS291" s="313">
        <v>4.5999999999999996</v>
      </c>
      <c r="BT291" s="313">
        <v>5.4</v>
      </c>
      <c r="BU291" s="313">
        <v>1.5</v>
      </c>
      <c r="BV291" s="313">
        <v>6.9</v>
      </c>
      <c r="BW291" s="313">
        <v>6.9</v>
      </c>
      <c r="BX291" s="313">
        <v>6.2</v>
      </c>
      <c r="BY291" s="313">
        <v>3.1</v>
      </c>
      <c r="BZ291" s="313">
        <v>5.4</v>
      </c>
      <c r="CA291" s="313">
        <v>6.2</v>
      </c>
      <c r="CB291" s="313">
        <v>3.8</v>
      </c>
      <c r="CC291" s="313">
        <v>68.3</v>
      </c>
      <c r="CD291" s="313">
        <v>27.8</v>
      </c>
    </row>
    <row r="292" spans="1:82" s="322" customFormat="1" x14ac:dyDescent="0.25">
      <c r="A292" s="314" t="s">
        <v>5328</v>
      </c>
      <c r="B292" s="315" t="s">
        <v>348</v>
      </c>
      <c r="C292" s="314"/>
      <c r="D292" s="314"/>
      <c r="E292" s="314"/>
      <c r="F292" s="314"/>
      <c r="G292" s="314"/>
      <c r="H292" s="316"/>
      <c r="I292" s="317"/>
      <c r="J292" s="314">
        <v>54085</v>
      </c>
      <c r="K292" s="314" t="s">
        <v>5329</v>
      </c>
      <c r="L292" s="318">
        <v>453.49780656989981</v>
      </c>
      <c r="M292" s="319">
        <v>10005</v>
      </c>
      <c r="N292" s="320">
        <v>22.061848712509441</v>
      </c>
      <c r="O292" s="319">
        <v>3825</v>
      </c>
      <c r="P292" s="320">
        <v>2.6</v>
      </c>
      <c r="Q292" s="319">
        <v>9947</v>
      </c>
      <c r="R292" s="319">
        <v>281</v>
      </c>
      <c r="S292" s="319">
        <v>341</v>
      </c>
      <c r="T292" s="319">
        <v>283</v>
      </c>
      <c r="U292" s="319">
        <v>240</v>
      </c>
      <c r="V292" s="319">
        <v>251</v>
      </c>
      <c r="W292" s="319">
        <v>236</v>
      </c>
      <c r="X292" s="319">
        <v>223</v>
      </c>
      <c r="Y292" s="319">
        <v>185</v>
      </c>
      <c r="Z292" s="319">
        <v>251</v>
      </c>
      <c r="AA292" s="319">
        <v>437</v>
      </c>
      <c r="AB292" s="319">
        <v>363</v>
      </c>
      <c r="AC292" s="319">
        <v>310</v>
      </c>
      <c r="AD292" s="319">
        <v>203</v>
      </c>
      <c r="AE292" s="319">
        <v>116</v>
      </c>
      <c r="AF292" s="319">
        <v>73</v>
      </c>
      <c r="AG292" s="319">
        <v>32</v>
      </c>
      <c r="AH292" s="320">
        <v>23.660130718954246</v>
      </c>
      <c r="AI292" s="320">
        <v>12.836601307189543</v>
      </c>
      <c r="AJ292" s="320">
        <v>23.398692810457515</v>
      </c>
      <c r="AK292" s="320">
        <v>11.42483660130719</v>
      </c>
      <c r="AL292" s="320">
        <v>28.679738562091504</v>
      </c>
      <c r="AM292" s="319">
        <v>21533</v>
      </c>
      <c r="AN292" s="319">
        <v>41497</v>
      </c>
      <c r="AO292" s="320">
        <v>53.333333333333336</v>
      </c>
      <c r="AP292" s="319">
        <v>3825</v>
      </c>
      <c r="AQ292" s="319">
        <v>2011</v>
      </c>
      <c r="AR292" s="319">
        <v>3007</v>
      </c>
      <c r="AS292" s="319">
        <v>818</v>
      </c>
      <c r="AT292" s="319">
        <v>256</v>
      </c>
      <c r="AU292" s="319">
        <v>101</v>
      </c>
      <c r="AV292" s="319">
        <v>377</v>
      </c>
      <c r="AW292" s="319">
        <v>369</v>
      </c>
      <c r="AX292" s="319">
        <v>189</v>
      </c>
      <c r="AY292" s="319">
        <v>93</v>
      </c>
      <c r="AZ292" s="319">
        <v>548</v>
      </c>
      <c r="BA292" s="319">
        <v>85</v>
      </c>
      <c r="BB292" s="319">
        <v>13</v>
      </c>
      <c r="BC292" s="319">
        <v>721</v>
      </c>
      <c r="BD292" s="319">
        <v>60</v>
      </c>
      <c r="BE292" s="319">
        <v>10</v>
      </c>
      <c r="BF292" s="319">
        <v>634</v>
      </c>
      <c r="BG292" s="319">
        <v>55</v>
      </c>
      <c r="BH292" s="319">
        <v>1</v>
      </c>
      <c r="BI292" s="320">
        <v>12.915032679738561</v>
      </c>
      <c r="BJ292" s="321">
        <v>4.9000000000000004</v>
      </c>
      <c r="BK292" s="321">
        <v>5.8</v>
      </c>
      <c r="BL292" s="321">
        <v>5.9</v>
      </c>
      <c r="BM292" s="321">
        <v>5.3</v>
      </c>
      <c r="BN292" s="321">
        <v>5.2</v>
      </c>
      <c r="BO292" s="321">
        <v>4.7</v>
      </c>
      <c r="BP292" s="321">
        <v>5.0999999999999996</v>
      </c>
      <c r="BQ292" s="321">
        <v>5.6</v>
      </c>
      <c r="BR292" s="321">
        <v>5.9</v>
      </c>
      <c r="BS292" s="321">
        <v>6.9</v>
      </c>
      <c r="BT292" s="321">
        <v>7.8</v>
      </c>
      <c r="BU292" s="321">
        <v>8.6999999999999993</v>
      </c>
      <c r="BV292" s="321">
        <v>7</v>
      </c>
      <c r="BW292" s="321">
        <v>6.7</v>
      </c>
      <c r="BX292" s="321">
        <v>5.6</v>
      </c>
      <c r="BY292" s="321">
        <v>3.9</v>
      </c>
      <c r="BZ292" s="321">
        <v>2.2999999999999998</v>
      </c>
      <c r="CA292" s="321">
        <v>2.6</v>
      </c>
      <c r="CB292" s="321">
        <v>16.600000000000001</v>
      </c>
      <c r="CC292" s="321">
        <v>62.199999999999989</v>
      </c>
      <c r="CD292" s="321">
        <v>21.1</v>
      </c>
    </row>
    <row r="293" spans="1:82" s="308" customFormat="1" x14ac:dyDescent="0.25">
      <c r="A293" s="301" t="s">
        <v>5330</v>
      </c>
      <c r="B293" s="301" t="s">
        <v>76</v>
      </c>
      <c r="C293" s="301" t="s">
        <v>5331</v>
      </c>
      <c r="D293" s="301" t="s">
        <v>77</v>
      </c>
      <c r="E293" s="301" t="s">
        <v>5332</v>
      </c>
      <c r="F293" s="301" t="s">
        <v>4272</v>
      </c>
      <c r="G293" s="301" t="s">
        <v>5333</v>
      </c>
      <c r="H293" s="302">
        <v>540183</v>
      </c>
      <c r="I293" s="303" t="s">
        <v>1586</v>
      </c>
      <c r="J293" s="301" t="s">
        <v>488</v>
      </c>
      <c r="K293" s="301" t="s">
        <v>488</v>
      </c>
      <c r="L293" s="304">
        <v>481.95086624709512</v>
      </c>
      <c r="M293" s="305">
        <v>12241</v>
      </c>
      <c r="N293" s="306">
        <v>25.398854649478039</v>
      </c>
      <c r="O293" s="305">
        <v>4853</v>
      </c>
      <c r="P293" s="306">
        <v>2.5149392128580259</v>
      </c>
      <c r="Q293" s="305">
        <v>12205</v>
      </c>
      <c r="R293" s="305">
        <v>406</v>
      </c>
      <c r="S293" s="305">
        <v>358</v>
      </c>
      <c r="T293" s="305">
        <v>371</v>
      </c>
      <c r="U293" s="305">
        <v>349</v>
      </c>
      <c r="V293" s="305">
        <v>388</v>
      </c>
      <c r="W293" s="305">
        <v>197</v>
      </c>
      <c r="X293" s="305">
        <v>280</v>
      </c>
      <c r="Y293" s="305">
        <v>265</v>
      </c>
      <c r="Z293" s="305">
        <v>303</v>
      </c>
      <c r="AA293" s="305">
        <v>360</v>
      </c>
      <c r="AB293" s="305">
        <v>513</v>
      </c>
      <c r="AC293" s="305">
        <v>403</v>
      </c>
      <c r="AD293" s="305">
        <v>229</v>
      </c>
      <c r="AE293" s="305">
        <v>226</v>
      </c>
      <c r="AF293" s="305">
        <v>112</v>
      </c>
      <c r="AG293" s="305">
        <v>93</v>
      </c>
      <c r="AH293" s="306">
        <v>23.387595301875127</v>
      </c>
      <c r="AI293" s="306">
        <v>15.186482588089842</v>
      </c>
      <c r="AJ293" s="306">
        <v>21.533072326396045</v>
      </c>
      <c r="AK293" s="306">
        <v>7.4180919019163403</v>
      </c>
      <c r="AL293" s="306">
        <v>32.474757881722645</v>
      </c>
      <c r="AM293" s="305">
        <v>20723</v>
      </c>
      <c r="AN293" s="305">
        <v>37931</v>
      </c>
      <c r="AO293" s="306">
        <v>53.863589532248092</v>
      </c>
      <c r="AP293" s="305">
        <v>4853</v>
      </c>
      <c r="AQ293" s="305">
        <v>1274</v>
      </c>
      <c r="AR293" s="305">
        <v>4105</v>
      </c>
      <c r="AS293" s="305">
        <v>748</v>
      </c>
      <c r="AT293" s="305">
        <v>286</v>
      </c>
      <c r="AU293" s="305">
        <v>165</v>
      </c>
      <c r="AV293" s="305">
        <v>473</v>
      </c>
      <c r="AW293" s="305">
        <v>540</v>
      </c>
      <c r="AX293" s="305">
        <v>168</v>
      </c>
      <c r="AY293" s="305">
        <v>176</v>
      </c>
      <c r="AZ293" s="305">
        <v>605</v>
      </c>
      <c r="BA293" s="305">
        <v>118</v>
      </c>
      <c r="BB293" s="305">
        <v>86</v>
      </c>
      <c r="BC293" s="305">
        <v>641</v>
      </c>
      <c r="BD293" s="305">
        <v>182</v>
      </c>
      <c r="BE293" s="305">
        <v>18</v>
      </c>
      <c r="BF293" s="305">
        <v>953</v>
      </c>
      <c r="BG293" s="305">
        <v>95</v>
      </c>
      <c r="BH293" s="305">
        <v>0</v>
      </c>
      <c r="BI293" s="306">
        <v>15.516175561508344</v>
      </c>
      <c r="BJ293" s="307">
        <v>5</v>
      </c>
      <c r="BK293" s="307">
        <v>4.9000000000000004</v>
      </c>
      <c r="BL293" s="307">
        <v>7.8</v>
      </c>
      <c r="BM293" s="307">
        <v>6</v>
      </c>
      <c r="BN293" s="307">
        <v>4.7</v>
      </c>
      <c r="BO293" s="307">
        <v>4.8</v>
      </c>
      <c r="BP293" s="307">
        <v>4.9000000000000004</v>
      </c>
      <c r="BQ293" s="307">
        <v>6.6</v>
      </c>
      <c r="BR293" s="307">
        <v>5.4</v>
      </c>
      <c r="BS293" s="307">
        <v>6.4</v>
      </c>
      <c r="BT293" s="307">
        <v>7.5</v>
      </c>
      <c r="BU293" s="307">
        <v>7.2</v>
      </c>
      <c r="BV293" s="307">
        <v>8.6999999999999993</v>
      </c>
      <c r="BW293" s="307">
        <v>6.4</v>
      </c>
      <c r="BX293" s="307">
        <v>5.3</v>
      </c>
      <c r="BY293" s="307">
        <v>3.6</v>
      </c>
      <c r="BZ293" s="307">
        <v>2.5</v>
      </c>
      <c r="CA293" s="307">
        <v>2.1</v>
      </c>
      <c r="CB293" s="307">
        <v>17.7</v>
      </c>
      <c r="CC293" s="307">
        <v>62.2</v>
      </c>
      <c r="CD293" s="307">
        <v>19.899999999999999</v>
      </c>
    </row>
    <row r="294" spans="1:82" x14ac:dyDescent="0.25">
      <c r="A294" s="130" t="s">
        <v>5334</v>
      </c>
      <c r="B294" s="130" t="s">
        <v>253</v>
      </c>
      <c r="C294" s="130" t="s">
        <v>5335</v>
      </c>
      <c r="D294" s="130" t="s">
        <v>77</v>
      </c>
      <c r="E294" s="130" t="s">
        <v>5332</v>
      </c>
      <c r="F294" s="130" t="s">
        <v>4272</v>
      </c>
      <c r="G294" s="130" t="s">
        <v>5336</v>
      </c>
      <c r="H294" s="309">
        <v>540184</v>
      </c>
      <c r="I294" s="277" t="s">
        <v>1587</v>
      </c>
      <c r="J294" s="130">
        <v>5467660</v>
      </c>
      <c r="K294" s="130" t="s">
        <v>5337</v>
      </c>
      <c r="L294" s="310">
        <v>0.19442033870192835</v>
      </c>
      <c r="M294" s="311">
        <v>113</v>
      </c>
      <c r="N294" s="312">
        <v>581.21491174461789</v>
      </c>
      <c r="O294" s="311">
        <v>47</v>
      </c>
      <c r="P294" s="312">
        <v>2.4</v>
      </c>
      <c r="Q294" s="311">
        <v>113</v>
      </c>
      <c r="R294" s="311">
        <v>3</v>
      </c>
      <c r="S294" s="311">
        <v>8</v>
      </c>
      <c r="T294" s="311">
        <v>3</v>
      </c>
      <c r="U294" s="311">
        <v>1</v>
      </c>
      <c r="V294" s="311">
        <v>4</v>
      </c>
      <c r="W294" s="311">
        <v>5</v>
      </c>
      <c r="X294" s="311">
        <v>5</v>
      </c>
      <c r="Y294" s="311">
        <v>6</v>
      </c>
      <c r="Z294" s="311">
        <v>0</v>
      </c>
      <c r="AA294" s="311">
        <v>3</v>
      </c>
      <c r="AB294" s="311">
        <v>5</v>
      </c>
      <c r="AC294" s="311">
        <v>3</v>
      </c>
      <c r="AD294" s="311">
        <v>1</v>
      </c>
      <c r="AE294" s="311">
        <v>0</v>
      </c>
      <c r="AF294" s="311">
        <v>0</v>
      </c>
      <c r="AG294" s="311">
        <v>0</v>
      </c>
      <c r="AH294" s="312">
        <v>29.787234042553191</v>
      </c>
      <c r="AI294" s="312">
        <v>10.638297872340425</v>
      </c>
      <c r="AJ294" s="312">
        <v>34.042553191489361</v>
      </c>
      <c r="AK294" s="312">
        <v>6.3829787234042552</v>
      </c>
      <c r="AL294" s="312">
        <v>19.148936170212767</v>
      </c>
      <c r="AM294" s="311">
        <v>15591</v>
      </c>
      <c r="AN294" s="311">
        <v>32250</v>
      </c>
      <c r="AO294" s="312">
        <v>74.468085106382972</v>
      </c>
      <c r="AP294" s="311">
        <v>47</v>
      </c>
      <c r="AQ294" s="311">
        <v>35</v>
      </c>
      <c r="AR294" s="311">
        <v>40</v>
      </c>
      <c r="AS294" s="311">
        <v>7</v>
      </c>
      <c r="AT294" s="311">
        <v>6</v>
      </c>
      <c r="AU294" s="311">
        <v>0</v>
      </c>
      <c r="AV294" s="311">
        <v>7</v>
      </c>
      <c r="AW294" s="311">
        <v>4</v>
      </c>
      <c r="AX294" s="311">
        <v>5</v>
      </c>
      <c r="AY294" s="311">
        <v>1</v>
      </c>
      <c r="AZ294" s="311">
        <v>9</v>
      </c>
      <c r="BA294" s="311">
        <v>2</v>
      </c>
      <c r="BB294" s="311">
        <v>0</v>
      </c>
      <c r="BC294" s="311">
        <v>8</v>
      </c>
      <c r="BD294" s="311">
        <v>0</v>
      </c>
      <c r="BE294" s="311">
        <v>0</v>
      </c>
      <c r="BF294" s="311">
        <v>4</v>
      </c>
      <c r="BG294" s="311">
        <v>0</v>
      </c>
      <c r="BH294" s="311">
        <v>0</v>
      </c>
      <c r="BI294" s="312">
        <v>17.021276595744681</v>
      </c>
      <c r="BJ294" s="313">
        <v>7.1</v>
      </c>
      <c r="BK294" s="313">
        <v>1.8</v>
      </c>
      <c r="BL294" s="313">
        <v>12.4</v>
      </c>
      <c r="BM294" s="313">
        <v>5.3</v>
      </c>
      <c r="BN294" s="313">
        <v>0.9</v>
      </c>
      <c r="BO294" s="313">
        <v>8</v>
      </c>
      <c r="BP294" s="313">
        <v>4.4000000000000004</v>
      </c>
      <c r="BQ294" s="313">
        <v>0</v>
      </c>
      <c r="BR294" s="313">
        <v>9.6999999999999993</v>
      </c>
      <c r="BS294" s="313">
        <v>8</v>
      </c>
      <c r="BT294" s="313">
        <v>5.3</v>
      </c>
      <c r="BU294" s="313">
        <v>4.4000000000000004</v>
      </c>
      <c r="BV294" s="313">
        <v>8.8000000000000007</v>
      </c>
      <c r="BW294" s="313">
        <v>14.2</v>
      </c>
      <c r="BX294" s="313">
        <v>4.4000000000000004</v>
      </c>
      <c r="BY294" s="313">
        <v>2.7</v>
      </c>
      <c r="BZ294" s="313">
        <v>2.7</v>
      </c>
      <c r="CA294" s="313">
        <v>0</v>
      </c>
      <c r="CB294" s="313">
        <v>21.3</v>
      </c>
      <c r="CC294" s="313">
        <v>54.8</v>
      </c>
      <c r="CD294" s="313">
        <v>24</v>
      </c>
    </row>
    <row r="295" spans="1:82" x14ac:dyDescent="0.25">
      <c r="A295" s="130" t="s">
        <v>5338</v>
      </c>
      <c r="B295" s="130" t="s">
        <v>254</v>
      </c>
      <c r="C295" s="130" t="s">
        <v>5339</v>
      </c>
      <c r="D295" s="130" t="s">
        <v>77</v>
      </c>
      <c r="E295" s="130" t="s">
        <v>5332</v>
      </c>
      <c r="F295" s="130" t="s">
        <v>4272</v>
      </c>
      <c r="G295" s="130" t="s">
        <v>5340</v>
      </c>
      <c r="H295" s="309">
        <v>540185</v>
      </c>
      <c r="I295" s="277" t="s">
        <v>1588</v>
      </c>
      <c r="J295" s="130">
        <v>5475820</v>
      </c>
      <c r="K295" s="130" t="s">
        <v>5341</v>
      </c>
      <c r="L295" s="310">
        <v>1.2739165783922648</v>
      </c>
      <c r="M295" s="311">
        <v>1994</v>
      </c>
      <c r="N295" s="312">
        <v>1565.2516293621911</v>
      </c>
      <c r="O295" s="311">
        <v>915</v>
      </c>
      <c r="P295" s="312">
        <v>2.11</v>
      </c>
      <c r="Q295" s="311">
        <v>1928</v>
      </c>
      <c r="R295" s="311">
        <v>166</v>
      </c>
      <c r="S295" s="311">
        <v>122</v>
      </c>
      <c r="T295" s="311">
        <v>100</v>
      </c>
      <c r="U295" s="311">
        <v>66</v>
      </c>
      <c r="V295" s="311">
        <v>80</v>
      </c>
      <c r="W295" s="311">
        <v>69</v>
      </c>
      <c r="X295" s="311">
        <v>49</v>
      </c>
      <c r="Y295" s="311">
        <v>41</v>
      </c>
      <c r="Z295" s="311">
        <v>40</v>
      </c>
      <c r="AA295" s="311">
        <v>27</v>
      </c>
      <c r="AB295" s="311">
        <v>57</v>
      </c>
      <c r="AC295" s="311">
        <v>42</v>
      </c>
      <c r="AD295" s="311">
        <v>27</v>
      </c>
      <c r="AE295" s="311">
        <v>13</v>
      </c>
      <c r="AF295" s="311">
        <v>16</v>
      </c>
      <c r="AG295" s="311">
        <v>0</v>
      </c>
      <c r="AH295" s="312">
        <v>42.404371584699454</v>
      </c>
      <c r="AI295" s="312">
        <v>15.956284153005464</v>
      </c>
      <c r="AJ295" s="312">
        <v>21.748633879781419</v>
      </c>
      <c r="AK295" s="312">
        <v>2.9508196721311477</v>
      </c>
      <c r="AL295" s="312">
        <v>16.939890710382514</v>
      </c>
      <c r="AM295" s="311">
        <v>16960</v>
      </c>
      <c r="AN295" s="311">
        <v>25337</v>
      </c>
      <c r="AO295" s="312">
        <v>75.73770491803279</v>
      </c>
      <c r="AP295" s="311">
        <v>915</v>
      </c>
      <c r="AQ295" s="311">
        <v>297</v>
      </c>
      <c r="AR295" s="311">
        <v>473</v>
      </c>
      <c r="AS295" s="311">
        <v>442</v>
      </c>
      <c r="AT295" s="311">
        <v>81</v>
      </c>
      <c r="AU295" s="311">
        <v>81</v>
      </c>
      <c r="AV295" s="311">
        <v>157</v>
      </c>
      <c r="AW295" s="311">
        <v>95</v>
      </c>
      <c r="AX295" s="311">
        <v>49</v>
      </c>
      <c r="AY295" s="311">
        <v>54</v>
      </c>
      <c r="AZ295" s="311">
        <v>67</v>
      </c>
      <c r="BA295" s="311">
        <v>51</v>
      </c>
      <c r="BB295" s="311">
        <v>0</v>
      </c>
      <c r="BC295" s="311">
        <v>69</v>
      </c>
      <c r="BD295" s="311">
        <v>5</v>
      </c>
      <c r="BE295" s="311">
        <v>10</v>
      </c>
      <c r="BF295" s="311">
        <v>98</v>
      </c>
      <c r="BG295" s="311">
        <v>0</v>
      </c>
      <c r="BH295" s="311">
        <v>0</v>
      </c>
      <c r="BI295" s="312">
        <v>24.153005464480877</v>
      </c>
      <c r="BJ295" s="313">
        <v>4.3</v>
      </c>
      <c r="BK295" s="313">
        <v>3.4</v>
      </c>
      <c r="BL295" s="313">
        <v>6.3</v>
      </c>
      <c r="BM295" s="313">
        <v>5.4</v>
      </c>
      <c r="BN295" s="313">
        <v>5.5</v>
      </c>
      <c r="BO295" s="313">
        <v>2.7</v>
      </c>
      <c r="BP295" s="313">
        <v>5</v>
      </c>
      <c r="BQ295" s="313">
        <v>5.4</v>
      </c>
      <c r="BR295" s="313">
        <v>6.8</v>
      </c>
      <c r="BS295" s="313">
        <v>5.0999999999999996</v>
      </c>
      <c r="BT295" s="313">
        <v>10.1</v>
      </c>
      <c r="BU295" s="313">
        <v>11.4</v>
      </c>
      <c r="BV295" s="313">
        <v>6.6</v>
      </c>
      <c r="BW295" s="313">
        <v>6.7</v>
      </c>
      <c r="BX295" s="313">
        <v>3.8</v>
      </c>
      <c r="BY295" s="313">
        <v>5.3</v>
      </c>
      <c r="BZ295" s="313">
        <v>2.1</v>
      </c>
      <c r="CA295" s="313">
        <v>4.0999999999999996</v>
      </c>
      <c r="CB295" s="313">
        <v>14</v>
      </c>
      <c r="CC295" s="313">
        <v>64</v>
      </c>
      <c r="CD295" s="313">
        <v>22</v>
      </c>
    </row>
    <row r="296" spans="1:82" s="322" customFormat="1" x14ac:dyDescent="0.25">
      <c r="A296" s="314" t="s">
        <v>5342</v>
      </c>
      <c r="B296" s="315" t="s">
        <v>348</v>
      </c>
      <c r="C296" s="314"/>
      <c r="D296" s="314"/>
      <c r="E296" s="314"/>
      <c r="F296" s="314"/>
      <c r="G296" s="314"/>
      <c r="H296" s="316"/>
      <c r="I296" s="317"/>
      <c r="J296" s="314">
        <v>54087</v>
      </c>
      <c r="K296" s="314" t="s">
        <v>5343</v>
      </c>
      <c r="L296" s="318">
        <v>483.41920316418935</v>
      </c>
      <c r="M296" s="319">
        <v>14348</v>
      </c>
      <c r="N296" s="320">
        <v>29.680244198174353</v>
      </c>
      <c r="O296" s="319">
        <v>5815</v>
      </c>
      <c r="P296" s="320">
        <v>2.4500000000000002</v>
      </c>
      <c r="Q296" s="319">
        <v>14246</v>
      </c>
      <c r="R296" s="319">
        <v>575</v>
      </c>
      <c r="S296" s="319">
        <v>488</v>
      </c>
      <c r="T296" s="319">
        <v>474</v>
      </c>
      <c r="U296" s="319">
        <v>416</v>
      </c>
      <c r="V296" s="319">
        <v>472</v>
      </c>
      <c r="W296" s="319">
        <v>271</v>
      </c>
      <c r="X296" s="319">
        <v>334</v>
      </c>
      <c r="Y296" s="319">
        <v>312</v>
      </c>
      <c r="Z296" s="319">
        <v>343</v>
      </c>
      <c r="AA296" s="319">
        <v>390</v>
      </c>
      <c r="AB296" s="319">
        <v>575</v>
      </c>
      <c r="AC296" s="319">
        <v>448</v>
      </c>
      <c r="AD296" s="319">
        <v>257</v>
      </c>
      <c r="AE296" s="319">
        <v>239</v>
      </c>
      <c r="AF296" s="319">
        <v>128</v>
      </c>
      <c r="AG296" s="319">
        <v>93</v>
      </c>
      <c r="AH296" s="320">
        <v>26.43164230438521</v>
      </c>
      <c r="AI296" s="320">
        <v>15.27085124677558</v>
      </c>
      <c r="AJ296" s="320">
        <v>21.668099742046433</v>
      </c>
      <c r="AK296" s="320">
        <v>6.7067927773000857</v>
      </c>
      <c r="AL296" s="320">
        <v>29.922613929492691</v>
      </c>
      <c r="AM296" s="319">
        <v>20723</v>
      </c>
      <c r="AN296" s="319">
        <v>37931</v>
      </c>
      <c r="AO296" s="320">
        <v>57.47205503009458</v>
      </c>
      <c r="AP296" s="319">
        <v>5815</v>
      </c>
      <c r="AQ296" s="319">
        <v>1606</v>
      </c>
      <c r="AR296" s="319">
        <v>4618</v>
      </c>
      <c r="AS296" s="319">
        <v>1197</v>
      </c>
      <c r="AT296" s="319">
        <v>373</v>
      </c>
      <c r="AU296" s="319">
        <v>246</v>
      </c>
      <c r="AV296" s="319">
        <v>637</v>
      </c>
      <c r="AW296" s="319">
        <v>639</v>
      </c>
      <c r="AX296" s="319">
        <v>222</v>
      </c>
      <c r="AY296" s="319">
        <v>231</v>
      </c>
      <c r="AZ296" s="319">
        <v>681</v>
      </c>
      <c r="BA296" s="319">
        <v>171</v>
      </c>
      <c r="BB296" s="319">
        <v>86</v>
      </c>
      <c r="BC296" s="319">
        <v>718</v>
      </c>
      <c r="BD296" s="319">
        <v>187</v>
      </c>
      <c r="BE296" s="319">
        <v>28</v>
      </c>
      <c r="BF296" s="319">
        <v>1055</v>
      </c>
      <c r="BG296" s="319">
        <v>95</v>
      </c>
      <c r="BH296" s="319">
        <v>0</v>
      </c>
      <c r="BI296" s="320">
        <v>16.887360275150474</v>
      </c>
      <c r="BJ296" s="321">
        <v>5</v>
      </c>
      <c r="BK296" s="321">
        <v>4.9000000000000004</v>
      </c>
      <c r="BL296" s="321">
        <v>7.8</v>
      </c>
      <c r="BM296" s="321">
        <v>6</v>
      </c>
      <c r="BN296" s="321">
        <v>4.7</v>
      </c>
      <c r="BO296" s="321">
        <v>4.8</v>
      </c>
      <c r="BP296" s="321">
        <v>4.9000000000000004</v>
      </c>
      <c r="BQ296" s="321">
        <v>6.6</v>
      </c>
      <c r="BR296" s="321">
        <v>5.4</v>
      </c>
      <c r="BS296" s="321">
        <v>6.4</v>
      </c>
      <c r="BT296" s="321">
        <v>7.5</v>
      </c>
      <c r="BU296" s="321">
        <v>7.2</v>
      </c>
      <c r="BV296" s="321">
        <v>8.6999999999999993</v>
      </c>
      <c r="BW296" s="321">
        <v>6.4</v>
      </c>
      <c r="BX296" s="321">
        <v>5.3</v>
      </c>
      <c r="BY296" s="321">
        <v>3.6</v>
      </c>
      <c r="BZ296" s="321">
        <v>2.5</v>
      </c>
      <c r="CA296" s="321">
        <v>2.1</v>
      </c>
      <c r="CB296" s="321">
        <v>17.7</v>
      </c>
      <c r="CC296" s="321">
        <v>62.2</v>
      </c>
      <c r="CD296" s="321">
        <v>19.899999999999999</v>
      </c>
    </row>
    <row r="297" spans="1:82" s="308" customFormat="1" x14ac:dyDescent="0.25">
      <c r="A297" s="301" t="s">
        <v>5344</v>
      </c>
      <c r="B297" s="301" t="s">
        <v>78</v>
      </c>
      <c r="C297" s="301" t="s">
        <v>5345</v>
      </c>
      <c r="D297" s="301" t="s">
        <v>79</v>
      </c>
      <c r="E297" s="301" t="s">
        <v>5346</v>
      </c>
      <c r="F297" s="301" t="s">
        <v>4272</v>
      </c>
      <c r="G297" s="301" t="s">
        <v>5347</v>
      </c>
      <c r="H297" s="302">
        <v>540186</v>
      </c>
      <c r="I297" s="303" t="s">
        <v>1589</v>
      </c>
      <c r="J297" s="301" t="s">
        <v>488</v>
      </c>
      <c r="K297" s="301" t="s">
        <v>488</v>
      </c>
      <c r="L297" s="304">
        <v>364.40436315254226</v>
      </c>
      <c r="M297" s="305">
        <v>10497</v>
      </c>
      <c r="N297" s="306">
        <v>28.805911952283296</v>
      </c>
      <c r="O297" s="305">
        <v>4212</v>
      </c>
      <c r="P297" s="306">
        <v>2.2604463437796771</v>
      </c>
      <c r="Q297" s="305">
        <v>9521</v>
      </c>
      <c r="R297" s="305">
        <v>336</v>
      </c>
      <c r="S297" s="305">
        <v>334</v>
      </c>
      <c r="T297" s="305">
        <v>364</v>
      </c>
      <c r="U297" s="305">
        <v>394</v>
      </c>
      <c r="V297" s="305">
        <v>297</v>
      </c>
      <c r="W297" s="305">
        <v>243</v>
      </c>
      <c r="X297" s="305">
        <v>414</v>
      </c>
      <c r="Y297" s="305">
        <v>211</v>
      </c>
      <c r="Z297" s="305">
        <v>208</v>
      </c>
      <c r="AA297" s="305">
        <v>277</v>
      </c>
      <c r="AB297" s="305">
        <v>348</v>
      </c>
      <c r="AC297" s="305">
        <v>402</v>
      </c>
      <c r="AD297" s="305">
        <v>197</v>
      </c>
      <c r="AE297" s="305">
        <v>85</v>
      </c>
      <c r="AF297" s="305">
        <v>75</v>
      </c>
      <c r="AG297" s="305">
        <v>27</v>
      </c>
      <c r="AH297" s="306">
        <v>24.548907882241217</v>
      </c>
      <c r="AI297" s="306">
        <v>16.405508072174737</v>
      </c>
      <c r="AJ297" s="306">
        <v>25.546058879392213</v>
      </c>
      <c r="AK297" s="306">
        <v>6.5764482431149105</v>
      </c>
      <c r="AL297" s="306">
        <v>26.923076923076923</v>
      </c>
      <c r="AM297" s="305">
        <v>20142</v>
      </c>
      <c r="AN297" s="305">
        <v>35218</v>
      </c>
      <c r="AO297" s="306">
        <v>61.56220322886989</v>
      </c>
      <c r="AP297" s="305">
        <v>4212</v>
      </c>
      <c r="AQ297" s="305">
        <v>1966</v>
      </c>
      <c r="AR297" s="305">
        <v>3301</v>
      </c>
      <c r="AS297" s="305">
        <v>911</v>
      </c>
      <c r="AT297" s="305">
        <v>305</v>
      </c>
      <c r="AU297" s="305">
        <v>70</v>
      </c>
      <c r="AV297" s="305">
        <v>435</v>
      </c>
      <c r="AW297" s="305">
        <v>437</v>
      </c>
      <c r="AX297" s="305">
        <v>228</v>
      </c>
      <c r="AY297" s="305">
        <v>211</v>
      </c>
      <c r="AZ297" s="305">
        <v>615</v>
      </c>
      <c r="BA297" s="305">
        <v>91</v>
      </c>
      <c r="BB297" s="305">
        <v>85</v>
      </c>
      <c r="BC297" s="305">
        <v>409</v>
      </c>
      <c r="BD297" s="305">
        <v>57</v>
      </c>
      <c r="BE297" s="305">
        <v>108</v>
      </c>
      <c r="BF297" s="305">
        <v>786</v>
      </c>
      <c r="BG297" s="305">
        <v>0</v>
      </c>
      <c r="BH297" s="305">
        <v>0</v>
      </c>
      <c r="BI297" s="306">
        <v>19.919278252611587</v>
      </c>
      <c r="BJ297" s="307">
        <v>3.9</v>
      </c>
      <c r="BK297" s="307">
        <v>4.5999999999999996</v>
      </c>
      <c r="BL297" s="307">
        <v>5.5</v>
      </c>
      <c r="BM297" s="307">
        <v>4.5</v>
      </c>
      <c r="BN297" s="307">
        <v>4.4000000000000004</v>
      </c>
      <c r="BO297" s="307">
        <v>5.6</v>
      </c>
      <c r="BP297" s="307">
        <v>5.6</v>
      </c>
      <c r="BQ297" s="307">
        <v>7.6</v>
      </c>
      <c r="BR297" s="307">
        <v>5.2</v>
      </c>
      <c r="BS297" s="307">
        <v>6.6</v>
      </c>
      <c r="BT297" s="307">
        <v>7.2</v>
      </c>
      <c r="BU297" s="307">
        <v>8.1</v>
      </c>
      <c r="BV297" s="307">
        <v>8.6</v>
      </c>
      <c r="BW297" s="307">
        <v>7.6</v>
      </c>
      <c r="BX297" s="307">
        <v>4.7</v>
      </c>
      <c r="BY297" s="307">
        <v>4.7</v>
      </c>
      <c r="BZ297" s="307">
        <v>2.5</v>
      </c>
      <c r="CA297" s="307">
        <v>3</v>
      </c>
      <c r="CB297" s="307">
        <v>14</v>
      </c>
      <c r="CC297" s="307">
        <v>63.400000000000013</v>
      </c>
      <c r="CD297" s="307">
        <v>22.5</v>
      </c>
    </row>
    <row r="298" spans="1:82" x14ac:dyDescent="0.25">
      <c r="A298" s="130" t="s">
        <v>5348</v>
      </c>
      <c r="B298" s="130" t="s">
        <v>255</v>
      </c>
      <c r="C298" s="130" t="s">
        <v>5349</v>
      </c>
      <c r="D298" s="130" t="s">
        <v>79</v>
      </c>
      <c r="E298" s="130" t="s">
        <v>5346</v>
      </c>
      <c r="F298" s="130" t="s">
        <v>4272</v>
      </c>
      <c r="G298" s="130" t="s">
        <v>5350</v>
      </c>
      <c r="H298" s="309">
        <v>540187</v>
      </c>
      <c r="I298" s="277" t="s">
        <v>1590</v>
      </c>
      <c r="J298" s="130">
        <v>5437636</v>
      </c>
      <c r="K298" s="130" t="s">
        <v>5351</v>
      </c>
      <c r="L298" s="310">
        <v>2.9894989794110214</v>
      </c>
      <c r="M298" s="311">
        <v>2713</v>
      </c>
      <c r="N298" s="312">
        <v>907.50992680870695</v>
      </c>
      <c r="O298" s="311">
        <v>1270</v>
      </c>
      <c r="P298" s="312">
        <v>2.11</v>
      </c>
      <c r="Q298" s="311">
        <v>2674</v>
      </c>
      <c r="R298" s="311">
        <v>155</v>
      </c>
      <c r="S298" s="311">
        <v>81</v>
      </c>
      <c r="T298" s="311">
        <v>148</v>
      </c>
      <c r="U298" s="311">
        <v>91</v>
      </c>
      <c r="V298" s="311">
        <v>111</v>
      </c>
      <c r="W298" s="311">
        <v>154</v>
      </c>
      <c r="X298" s="311">
        <v>112</v>
      </c>
      <c r="Y298" s="311">
        <v>36</v>
      </c>
      <c r="Z298" s="311">
        <v>44</v>
      </c>
      <c r="AA298" s="311">
        <v>107</v>
      </c>
      <c r="AB298" s="311">
        <v>74</v>
      </c>
      <c r="AC298" s="311">
        <v>70</v>
      </c>
      <c r="AD298" s="311">
        <v>28</v>
      </c>
      <c r="AE298" s="311">
        <v>9</v>
      </c>
      <c r="AF298" s="311">
        <v>50</v>
      </c>
      <c r="AG298" s="311">
        <v>0</v>
      </c>
      <c r="AH298" s="312">
        <v>30.236220472440944</v>
      </c>
      <c r="AI298" s="312">
        <v>15.905511811023624</v>
      </c>
      <c r="AJ298" s="312">
        <v>27.244094488188974</v>
      </c>
      <c r="AK298" s="312">
        <v>8.4251968503937018</v>
      </c>
      <c r="AL298" s="312">
        <v>18.188976377952756</v>
      </c>
      <c r="AM298" s="311">
        <v>19395</v>
      </c>
      <c r="AN298" s="311">
        <v>31075</v>
      </c>
      <c r="AO298" s="312">
        <v>69.921259842519689</v>
      </c>
      <c r="AP298" s="311">
        <v>1270</v>
      </c>
      <c r="AQ298" s="311">
        <v>252</v>
      </c>
      <c r="AR298" s="311">
        <v>754</v>
      </c>
      <c r="AS298" s="311">
        <v>516</v>
      </c>
      <c r="AT298" s="311">
        <v>58</v>
      </c>
      <c r="AU298" s="311">
        <v>19</v>
      </c>
      <c r="AV298" s="311">
        <v>288</v>
      </c>
      <c r="AW298" s="311">
        <v>233</v>
      </c>
      <c r="AX298" s="311">
        <v>48</v>
      </c>
      <c r="AY298" s="311">
        <v>75</v>
      </c>
      <c r="AZ298" s="311">
        <v>94</v>
      </c>
      <c r="BA298" s="311">
        <v>80</v>
      </c>
      <c r="BB298" s="311">
        <v>12</v>
      </c>
      <c r="BC298" s="311">
        <v>151</v>
      </c>
      <c r="BD298" s="311">
        <v>30</v>
      </c>
      <c r="BE298" s="311">
        <v>0</v>
      </c>
      <c r="BF298" s="311">
        <v>157</v>
      </c>
      <c r="BG298" s="311">
        <v>0</v>
      </c>
      <c r="BH298" s="311">
        <v>0</v>
      </c>
      <c r="BI298" s="312">
        <v>29.527559055118108</v>
      </c>
      <c r="BJ298" s="313">
        <v>2.1</v>
      </c>
      <c r="BK298" s="313">
        <v>6.7</v>
      </c>
      <c r="BL298" s="313">
        <v>4.7</v>
      </c>
      <c r="BM298" s="313">
        <v>3.5</v>
      </c>
      <c r="BN298" s="313">
        <v>6.3</v>
      </c>
      <c r="BO298" s="313">
        <v>8.8000000000000007</v>
      </c>
      <c r="BP298" s="313">
        <v>3.7</v>
      </c>
      <c r="BQ298" s="313">
        <v>9</v>
      </c>
      <c r="BR298" s="313">
        <v>3.9</v>
      </c>
      <c r="BS298" s="313">
        <v>3.4</v>
      </c>
      <c r="BT298" s="313">
        <v>10.1</v>
      </c>
      <c r="BU298" s="313">
        <v>5.5</v>
      </c>
      <c r="BV298" s="313">
        <v>6.6</v>
      </c>
      <c r="BW298" s="313">
        <v>6.7</v>
      </c>
      <c r="BX298" s="313">
        <v>3.5</v>
      </c>
      <c r="BY298" s="313">
        <v>5.6</v>
      </c>
      <c r="BZ298" s="313">
        <v>3.7</v>
      </c>
      <c r="CA298" s="313">
        <v>6.2</v>
      </c>
      <c r="CB298" s="313">
        <v>13.5</v>
      </c>
      <c r="CC298" s="313">
        <v>60.800000000000004</v>
      </c>
      <c r="CD298" s="313">
        <v>25.7</v>
      </c>
    </row>
    <row r="299" spans="1:82" s="322" customFormat="1" x14ac:dyDescent="0.25">
      <c r="A299" s="314" t="s">
        <v>5352</v>
      </c>
      <c r="B299" s="315" t="s">
        <v>348</v>
      </c>
      <c r="C299" s="314"/>
      <c r="D299" s="314"/>
      <c r="E299" s="314"/>
      <c r="F299" s="314"/>
      <c r="G299" s="314"/>
      <c r="H299" s="316"/>
      <c r="I299" s="317"/>
      <c r="J299" s="314">
        <v>54089</v>
      </c>
      <c r="K299" s="314" t="s">
        <v>5353</v>
      </c>
      <c r="L299" s="318">
        <v>367.39386213195326</v>
      </c>
      <c r="M299" s="319">
        <v>13210</v>
      </c>
      <c r="N299" s="320">
        <v>35.955962691765095</v>
      </c>
      <c r="O299" s="319">
        <v>5482</v>
      </c>
      <c r="P299" s="320">
        <v>2.2200000000000002</v>
      </c>
      <c r="Q299" s="319">
        <v>12195</v>
      </c>
      <c r="R299" s="319">
        <v>491</v>
      </c>
      <c r="S299" s="319">
        <v>415</v>
      </c>
      <c r="T299" s="319">
        <v>512</v>
      </c>
      <c r="U299" s="319">
        <v>485</v>
      </c>
      <c r="V299" s="319">
        <v>408</v>
      </c>
      <c r="W299" s="319">
        <v>397</v>
      </c>
      <c r="X299" s="319">
        <v>526</v>
      </c>
      <c r="Y299" s="319">
        <v>247</v>
      </c>
      <c r="Z299" s="319">
        <v>252</v>
      </c>
      <c r="AA299" s="319">
        <v>384</v>
      </c>
      <c r="AB299" s="319">
        <v>422</v>
      </c>
      <c r="AC299" s="319">
        <v>472</v>
      </c>
      <c r="AD299" s="319">
        <v>225</v>
      </c>
      <c r="AE299" s="319">
        <v>94</v>
      </c>
      <c r="AF299" s="319">
        <v>125</v>
      </c>
      <c r="AG299" s="319">
        <v>27</v>
      </c>
      <c r="AH299" s="320">
        <v>25.866472090477927</v>
      </c>
      <c r="AI299" s="320">
        <v>16.289675300985042</v>
      </c>
      <c r="AJ299" s="320">
        <v>25.939438161255019</v>
      </c>
      <c r="AK299" s="320">
        <v>7.0047427946005101</v>
      </c>
      <c r="AL299" s="320">
        <v>24.899671652681505</v>
      </c>
      <c r="AM299" s="319">
        <v>20142</v>
      </c>
      <c r="AN299" s="319">
        <v>35218</v>
      </c>
      <c r="AO299" s="320">
        <v>63.498723093761399</v>
      </c>
      <c r="AP299" s="319">
        <v>5482</v>
      </c>
      <c r="AQ299" s="319">
        <v>2218</v>
      </c>
      <c r="AR299" s="319">
        <v>4055</v>
      </c>
      <c r="AS299" s="319">
        <v>1427</v>
      </c>
      <c r="AT299" s="319">
        <v>363</v>
      </c>
      <c r="AU299" s="319">
        <v>89</v>
      </c>
      <c r="AV299" s="319">
        <v>723</v>
      </c>
      <c r="AW299" s="319">
        <v>670</v>
      </c>
      <c r="AX299" s="319">
        <v>276</v>
      </c>
      <c r="AY299" s="319">
        <v>286</v>
      </c>
      <c r="AZ299" s="319">
        <v>709</v>
      </c>
      <c r="BA299" s="319">
        <v>171</v>
      </c>
      <c r="BB299" s="319">
        <v>97</v>
      </c>
      <c r="BC299" s="319">
        <v>560</v>
      </c>
      <c r="BD299" s="319">
        <v>87</v>
      </c>
      <c r="BE299" s="319">
        <v>108</v>
      </c>
      <c r="BF299" s="319">
        <v>943</v>
      </c>
      <c r="BG299" s="319">
        <v>0</v>
      </c>
      <c r="BH299" s="319">
        <v>0</v>
      </c>
      <c r="BI299" s="320">
        <v>22.145202480846407</v>
      </c>
      <c r="BJ299" s="321">
        <v>3.9</v>
      </c>
      <c r="BK299" s="321">
        <v>4.5999999999999996</v>
      </c>
      <c r="BL299" s="321">
        <v>5.5</v>
      </c>
      <c r="BM299" s="321">
        <v>4.5</v>
      </c>
      <c r="BN299" s="321">
        <v>4.4000000000000004</v>
      </c>
      <c r="BO299" s="321">
        <v>5.6</v>
      </c>
      <c r="BP299" s="321">
        <v>5.6</v>
      </c>
      <c r="BQ299" s="321">
        <v>7.6</v>
      </c>
      <c r="BR299" s="321">
        <v>5.2</v>
      </c>
      <c r="BS299" s="321">
        <v>6.6</v>
      </c>
      <c r="BT299" s="321">
        <v>7.2</v>
      </c>
      <c r="BU299" s="321">
        <v>8.1</v>
      </c>
      <c r="BV299" s="321">
        <v>8.6</v>
      </c>
      <c r="BW299" s="321">
        <v>7.6</v>
      </c>
      <c r="BX299" s="321">
        <v>4.7</v>
      </c>
      <c r="BY299" s="321">
        <v>4.7</v>
      </c>
      <c r="BZ299" s="321">
        <v>2.5</v>
      </c>
      <c r="CA299" s="321">
        <v>3</v>
      </c>
      <c r="CB299" s="321">
        <v>14</v>
      </c>
      <c r="CC299" s="321">
        <v>63.400000000000013</v>
      </c>
      <c r="CD299" s="321">
        <v>22.5</v>
      </c>
    </row>
    <row r="300" spans="1:82" s="308" customFormat="1" x14ac:dyDescent="0.25">
      <c r="A300" s="301" t="s">
        <v>5354</v>
      </c>
      <c r="B300" s="301" t="s">
        <v>80</v>
      </c>
      <c r="C300" s="301" t="s">
        <v>5355</v>
      </c>
      <c r="D300" s="301" t="s">
        <v>81</v>
      </c>
      <c r="E300" s="301" t="s">
        <v>5356</v>
      </c>
      <c r="F300" s="301" t="s">
        <v>4272</v>
      </c>
      <c r="G300" s="301" t="s">
        <v>5357</v>
      </c>
      <c r="H300" s="302">
        <v>540188</v>
      </c>
      <c r="I300" s="303" t="s">
        <v>1591</v>
      </c>
      <c r="J300" s="301" t="s">
        <v>488</v>
      </c>
      <c r="K300" s="301" t="s">
        <v>488</v>
      </c>
      <c r="L300" s="304">
        <v>171.44489353917902</v>
      </c>
      <c r="M300" s="305">
        <v>11475</v>
      </c>
      <c r="N300" s="306">
        <v>66.931127332630084</v>
      </c>
      <c r="O300" s="305">
        <v>4345</v>
      </c>
      <c r="P300" s="306">
        <v>2.5643268124280785</v>
      </c>
      <c r="Q300" s="305">
        <v>11142</v>
      </c>
      <c r="R300" s="305">
        <v>289</v>
      </c>
      <c r="S300" s="305">
        <v>224</v>
      </c>
      <c r="T300" s="305">
        <v>316</v>
      </c>
      <c r="U300" s="305">
        <v>187</v>
      </c>
      <c r="V300" s="305">
        <v>131</v>
      </c>
      <c r="W300" s="305">
        <v>179</v>
      </c>
      <c r="X300" s="305">
        <v>192</v>
      </c>
      <c r="Y300" s="305">
        <v>203</v>
      </c>
      <c r="Z300" s="305">
        <v>179</v>
      </c>
      <c r="AA300" s="305">
        <v>366</v>
      </c>
      <c r="AB300" s="305">
        <v>569</v>
      </c>
      <c r="AC300" s="305">
        <v>740</v>
      </c>
      <c r="AD300" s="305">
        <v>267</v>
      </c>
      <c r="AE300" s="305">
        <v>242</v>
      </c>
      <c r="AF300" s="305">
        <v>168</v>
      </c>
      <c r="AG300" s="305">
        <v>93</v>
      </c>
      <c r="AH300" s="306">
        <v>19.079401611047182</v>
      </c>
      <c r="AI300" s="306">
        <v>7.3187571921749139</v>
      </c>
      <c r="AJ300" s="306">
        <v>17.330264672036826</v>
      </c>
      <c r="AK300" s="306">
        <v>8.4234752589182964</v>
      </c>
      <c r="AL300" s="306">
        <v>47.848101265822784</v>
      </c>
      <c r="AM300" s="305">
        <v>23683</v>
      </c>
      <c r="AN300" s="305">
        <v>45916</v>
      </c>
      <c r="AO300" s="306">
        <v>39.608745684695052</v>
      </c>
      <c r="AP300" s="305">
        <v>4345</v>
      </c>
      <c r="AQ300" s="305">
        <v>510</v>
      </c>
      <c r="AR300" s="305">
        <v>3636</v>
      </c>
      <c r="AS300" s="305">
        <v>709</v>
      </c>
      <c r="AT300" s="305">
        <v>109</v>
      </c>
      <c r="AU300" s="305">
        <v>133</v>
      </c>
      <c r="AV300" s="305">
        <v>462</v>
      </c>
      <c r="AW300" s="305">
        <v>233</v>
      </c>
      <c r="AX300" s="305">
        <v>101</v>
      </c>
      <c r="AY300" s="305">
        <v>128</v>
      </c>
      <c r="AZ300" s="305">
        <v>361</v>
      </c>
      <c r="BA300" s="305">
        <v>121</v>
      </c>
      <c r="BB300" s="305">
        <v>42</v>
      </c>
      <c r="BC300" s="305">
        <v>735</v>
      </c>
      <c r="BD300" s="305">
        <v>150</v>
      </c>
      <c r="BE300" s="305">
        <v>37</v>
      </c>
      <c r="BF300" s="305">
        <v>1321</v>
      </c>
      <c r="BG300" s="305">
        <v>116</v>
      </c>
      <c r="BH300" s="305">
        <v>21</v>
      </c>
      <c r="BI300" s="306">
        <v>15.880322209436134</v>
      </c>
      <c r="BJ300" s="307">
        <v>5.7</v>
      </c>
      <c r="BK300" s="307">
        <v>5.0999999999999996</v>
      </c>
      <c r="BL300" s="307">
        <v>6.3</v>
      </c>
      <c r="BM300" s="307">
        <v>4.9000000000000004</v>
      </c>
      <c r="BN300" s="307">
        <v>5.7</v>
      </c>
      <c r="BO300" s="307">
        <v>5.9</v>
      </c>
      <c r="BP300" s="307">
        <v>5.9</v>
      </c>
      <c r="BQ300" s="307">
        <v>6</v>
      </c>
      <c r="BR300" s="307">
        <v>6.9</v>
      </c>
      <c r="BS300" s="307">
        <v>7</v>
      </c>
      <c r="BT300" s="307">
        <v>7.4</v>
      </c>
      <c r="BU300" s="307">
        <v>6.4</v>
      </c>
      <c r="BV300" s="307">
        <v>8.3000000000000007</v>
      </c>
      <c r="BW300" s="307">
        <v>5.9</v>
      </c>
      <c r="BX300" s="307">
        <v>4.9000000000000004</v>
      </c>
      <c r="BY300" s="307">
        <v>2.8</v>
      </c>
      <c r="BZ300" s="307">
        <v>2.2000000000000002</v>
      </c>
      <c r="CA300" s="307">
        <v>2.7</v>
      </c>
      <c r="CB300" s="307">
        <v>17.100000000000001</v>
      </c>
      <c r="CC300" s="307">
        <v>64.399999999999991</v>
      </c>
      <c r="CD300" s="307">
        <v>18.5</v>
      </c>
    </row>
    <row r="301" spans="1:82" x14ac:dyDescent="0.25">
      <c r="A301" s="130" t="s">
        <v>5358</v>
      </c>
      <c r="B301" s="130" t="s">
        <v>256</v>
      </c>
      <c r="C301" s="130" t="s">
        <v>5359</v>
      </c>
      <c r="D301" s="130" t="s">
        <v>81</v>
      </c>
      <c r="E301" s="130" t="s">
        <v>5356</v>
      </c>
      <c r="F301" s="130" t="s">
        <v>4272</v>
      </c>
      <c r="G301" s="130" t="s">
        <v>5360</v>
      </c>
      <c r="H301" s="309">
        <v>540189</v>
      </c>
      <c r="I301" s="277" t="s">
        <v>1592</v>
      </c>
      <c r="J301" s="130">
        <v>5427940</v>
      </c>
      <c r="K301" s="130" t="s">
        <v>5361</v>
      </c>
      <c r="L301" s="310">
        <v>0.30469916522686674</v>
      </c>
      <c r="M301" s="311">
        <v>384</v>
      </c>
      <c r="N301" s="312">
        <v>1260.2594421750025</v>
      </c>
      <c r="O301" s="311">
        <v>141</v>
      </c>
      <c r="P301" s="312">
        <v>2.72</v>
      </c>
      <c r="Q301" s="311">
        <v>384</v>
      </c>
      <c r="R301" s="311">
        <v>10</v>
      </c>
      <c r="S301" s="311">
        <v>9</v>
      </c>
      <c r="T301" s="311">
        <v>17</v>
      </c>
      <c r="U301" s="311">
        <v>13</v>
      </c>
      <c r="V301" s="311">
        <v>13</v>
      </c>
      <c r="W301" s="311">
        <v>8</v>
      </c>
      <c r="X301" s="311">
        <v>7</v>
      </c>
      <c r="Y301" s="311">
        <v>3</v>
      </c>
      <c r="Z301" s="311">
        <v>0</v>
      </c>
      <c r="AA301" s="311">
        <v>12</v>
      </c>
      <c r="AB301" s="311">
        <v>10</v>
      </c>
      <c r="AC301" s="311">
        <v>20</v>
      </c>
      <c r="AD301" s="311">
        <v>10</v>
      </c>
      <c r="AE301" s="311">
        <v>1</v>
      </c>
      <c r="AF301" s="311">
        <v>8</v>
      </c>
      <c r="AG301" s="311">
        <v>0</v>
      </c>
      <c r="AH301" s="312">
        <v>25.531914893617021</v>
      </c>
      <c r="AI301" s="312">
        <v>18.439716312056735</v>
      </c>
      <c r="AJ301" s="312">
        <v>12.76595744680851</v>
      </c>
      <c r="AK301" s="312">
        <v>8.5106382978723403</v>
      </c>
      <c r="AL301" s="312">
        <v>34.751773049645394</v>
      </c>
      <c r="AM301" s="311">
        <v>21866</v>
      </c>
      <c r="AN301" s="311">
        <v>35313</v>
      </c>
      <c r="AO301" s="312">
        <v>56.737588652482273</v>
      </c>
      <c r="AP301" s="311">
        <v>141</v>
      </c>
      <c r="AQ301" s="311">
        <v>27</v>
      </c>
      <c r="AR301" s="311">
        <v>107</v>
      </c>
      <c r="AS301" s="311">
        <v>34</v>
      </c>
      <c r="AT301" s="311">
        <v>3</v>
      </c>
      <c r="AU301" s="311">
        <v>14</v>
      </c>
      <c r="AV301" s="311">
        <v>16</v>
      </c>
      <c r="AW301" s="311">
        <v>20</v>
      </c>
      <c r="AX301" s="311">
        <v>5</v>
      </c>
      <c r="AY301" s="311">
        <v>9</v>
      </c>
      <c r="AZ301" s="311">
        <v>10</v>
      </c>
      <c r="BA301" s="311">
        <v>0</v>
      </c>
      <c r="BB301" s="311">
        <v>0</v>
      </c>
      <c r="BC301" s="311">
        <v>22</v>
      </c>
      <c r="BD301" s="311">
        <v>0</v>
      </c>
      <c r="BE301" s="311">
        <v>0</v>
      </c>
      <c r="BF301" s="311">
        <v>37</v>
      </c>
      <c r="BG301" s="311">
        <v>0</v>
      </c>
      <c r="BH301" s="311">
        <v>0</v>
      </c>
      <c r="BI301" s="312">
        <v>17.730496453900709</v>
      </c>
      <c r="BJ301" s="313">
        <v>2.1</v>
      </c>
      <c r="BK301" s="313">
        <v>4.2</v>
      </c>
      <c r="BL301" s="313">
        <v>9.6</v>
      </c>
      <c r="BM301" s="313">
        <v>8.1</v>
      </c>
      <c r="BN301" s="313">
        <v>4.7</v>
      </c>
      <c r="BO301" s="313">
        <v>4.7</v>
      </c>
      <c r="BP301" s="313">
        <v>7.3</v>
      </c>
      <c r="BQ301" s="313">
        <v>4.2</v>
      </c>
      <c r="BR301" s="313">
        <v>4.9000000000000004</v>
      </c>
      <c r="BS301" s="313">
        <v>5.5</v>
      </c>
      <c r="BT301" s="313">
        <v>7.8</v>
      </c>
      <c r="BU301" s="313">
        <v>5.2</v>
      </c>
      <c r="BV301" s="313">
        <v>12.2</v>
      </c>
      <c r="BW301" s="313">
        <v>5.2</v>
      </c>
      <c r="BX301" s="313">
        <v>1.6</v>
      </c>
      <c r="BY301" s="313">
        <v>5.5</v>
      </c>
      <c r="BZ301" s="313">
        <v>2.1</v>
      </c>
      <c r="CA301" s="313">
        <v>5.2</v>
      </c>
      <c r="CB301" s="313">
        <v>15.9</v>
      </c>
      <c r="CC301" s="313">
        <v>64.599999999999994</v>
      </c>
      <c r="CD301" s="313">
        <v>19.600000000000001</v>
      </c>
    </row>
    <row r="302" spans="1:82" x14ac:dyDescent="0.25">
      <c r="A302" s="130" t="s">
        <v>5362</v>
      </c>
      <c r="B302" s="130" t="s">
        <v>257</v>
      </c>
      <c r="C302" s="130" t="s">
        <v>5363</v>
      </c>
      <c r="D302" s="130" t="s">
        <v>81</v>
      </c>
      <c r="E302" s="130" t="s">
        <v>5356</v>
      </c>
      <c r="F302" s="130" t="s">
        <v>4272</v>
      </c>
      <c r="G302" s="130" t="s">
        <v>5364</v>
      </c>
      <c r="H302" s="309">
        <v>540190</v>
      </c>
      <c r="I302" s="277" t="s">
        <v>1593</v>
      </c>
      <c r="J302" s="130">
        <v>5432716</v>
      </c>
      <c r="K302" s="130" t="s">
        <v>5365</v>
      </c>
      <c r="L302" s="310">
        <v>3.8010173947316641</v>
      </c>
      <c r="M302" s="311">
        <v>5118</v>
      </c>
      <c r="N302" s="312">
        <v>1346.4816043972114</v>
      </c>
      <c r="O302" s="311">
        <v>2130</v>
      </c>
      <c r="P302" s="312">
        <v>2.35</v>
      </c>
      <c r="Q302" s="311">
        <v>5013</v>
      </c>
      <c r="R302" s="311">
        <v>259</v>
      </c>
      <c r="S302" s="311">
        <v>147</v>
      </c>
      <c r="T302" s="311">
        <v>206</v>
      </c>
      <c r="U302" s="311">
        <v>206</v>
      </c>
      <c r="V302" s="311">
        <v>206</v>
      </c>
      <c r="W302" s="311">
        <v>171</v>
      </c>
      <c r="X302" s="311">
        <v>157</v>
      </c>
      <c r="Y302" s="311">
        <v>96</v>
      </c>
      <c r="Z302" s="311">
        <v>141</v>
      </c>
      <c r="AA302" s="311">
        <v>124</v>
      </c>
      <c r="AB302" s="311">
        <v>155</v>
      </c>
      <c r="AC302" s="311">
        <v>165</v>
      </c>
      <c r="AD302" s="311">
        <v>48</v>
      </c>
      <c r="AE302" s="311">
        <v>32</v>
      </c>
      <c r="AF302" s="311">
        <v>0</v>
      </c>
      <c r="AG302" s="311">
        <v>17</v>
      </c>
      <c r="AH302" s="312">
        <v>28.732394366197184</v>
      </c>
      <c r="AI302" s="312">
        <v>19.342723004694836</v>
      </c>
      <c r="AJ302" s="312">
        <v>26.525821596244132</v>
      </c>
      <c r="AK302" s="312">
        <v>5.8215962441314559</v>
      </c>
      <c r="AL302" s="312">
        <v>19.577464788732392</v>
      </c>
      <c r="AM302" s="311">
        <v>17738</v>
      </c>
      <c r="AN302" s="311">
        <v>31627</v>
      </c>
      <c r="AO302" s="312">
        <v>67.981220657276992</v>
      </c>
      <c r="AP302" s="311">
        <v>2130</v>
      </c>
      <c r="AQ302" s="311">
        <v>386</v>
      </c>
      <c r="AR302" s="311">
        <v>1454</v>
      </c>
      <c r="AS302" s="311">
        <v>676</v>
      </c>
      <c r="AT302" s="311">
        <v>54</v>
      </c>
      <c r="AU302" s="311">
        <v>271</v>
      </c>
      <c r="AV302" s="311">
        <v>238</v>
      </c>
      <c r="AW302" s="311">
        <v>203</v>
      </c>
      <c r="AX302" s="311">
        <v>271</v>
      </c>
      <c r="AY302" s="311">
        <v>109</v>
      </c>
      <c r="AZ302" s="311">
        <v>273</v>
      </c>
      <c r="BA302" s="311">
        <v>65</v>
      </c>
      <c r="BB302" s="311">
        <v>56</v>
      </c>
      <c r="BC302" s="311">
        <v>265</v>
      </c>
      <c r="BD302" s="311">
        <v>0</v>
      </c>
      <c r="BE302" s="311">
        <v>14</v>
      </c>
      <c r="BF302" s="311">
        <v>227</v>
      </c>
      <c r="BG302" s="311">
        <v>22</v>
      </c>
      <c r="BH302" s="311">
        <v>0</v>
      </c>
      <c r="BI302" s="312">
        <v>19.577464788732392</v>
      </c>
      <c r="BJ302" s="313">
        <v>4.3</v>
      </c>
      <c r="BK302" s="313">
        <v>5.0999999999999996</v>
      </c>
      <c r="BL302" s="313">
        <v>5.8</v>
      </c>
      <c r="BM302" s="313">
        <v>5.4</v>
      </c>
      <c r="BN302" s="313">
        <v>4.0999999999999996</v>
      </c>
      <c r="BO302" s="313">
        <v>7.6</v>
      </c>
      <c r="BP302" s="313">
        <v>6.7</v>
      </c>
      <c r="BQ302" s="313">
        <v>6.8</v>
      </c>
      <c r="BR302" s="313">
        <v>5.8</v>
      </c>
      <c r="BS302" s="313">
        <v>5.3</v>
      </c>
      <c r="BT302" s="313">
        <v>6.1</v>
      </c>
      <c r="BU302" s="313">
        <v>5.7</v>
      </c>
      <c r="BV302" s="313">
        <v>9.5</v>
      </c>
      <c r="BW302" s="313">
        <v>5.5</v>
      </c>
      <c r="BX302" s="313">
        <v>4.4000000000000004</v>
      </c>
      <c r="BY302" s="313">
        <v>3.8</v>
      </c>
      <c r="BZ302" s="313">
        <v>3.1</v>
      </c>
      <c r="CA302" s="313">
        <v>5</v>
      </c>
      <c r="CB302" s="313">
        <v>15.2</v>
      </c>
      <c r="CC302" s="313">
        <v>63</v>
      </c>
      <c r="CD302" s="313">
        <v>21.8</v>
      </c>
    </row>
    <row r="303" spans="1:82" s="322" customFormat="1" x14ac:dyDescent="0.25">
      <c r="A303" s="314" t="s">
        <v>5366</v>
      </c>
      <c r="B303" s="315" t="s">
        <v>348</v>
      </c>
      <c r="C303" s="314"/>
      <c r="D303" s="314"/>
      <c r="E303" s="314"/>
      <c r="F303" s="314"/>
      <c r="G303" s="314"/>
      <c r="H303" s="316"/>
      <c r="I303" s="317"/>
      <c r="J303" s="314">
        <v>54091</v>
      </c>
      <c r="K303" s="314" t="s">
        <v>5367</v>
      </c>
      <c r="L303" s="318">
        <v>175.55061009913757</v>
      </c>
      <c r="M303" s="319">
        <v>16977</v>
      </c>
      <c r="N303" s="320">
        <v>96.70715465137198</v>
      </c>
      <c r="O303" s="319">
        <v>6616</v>
      </c>
      <c r="P303" s="320">
        <v>2.5</v>
      </c>
      <c r="Q303" s="319">
        <v>16539</v>
      </c>
      <c r="R303" s="319">
        <v>558</v>
      </c>
      <c r="S303" s="319">
        <v>380</v>
      </c>
      <c r="T303" s="319">
        <v>539</v>
      </c>
      <c r="U303" s="319">
        <v>406</v>
      </c>
      <c r="V303" s="319">
        <v>350</v>
      </c>
      <c r="W303" s="319">
        <v>358</v>
      </c>
      <c r="X303" s="319">
        <v>356</v>
      </c>
      <c r="Y303" s="319">
        <v>302</v>
      </c>
      <c r="Z303" s="319">
        <v>320</v>
      </c>
      <c r="AA303" s="319">
        <v>502</v>
      </c>
      <c r="AB303" s="319">
        <v>734</v>
      </c>
      <c r="AC303" s="319">
        <v>925</v>
      </c>
      <c r="AD303" s="319">
        <v>325</v>
      </c>
      <c r="AE303" s="319">
        <v>275</v>
      </c>
      <c r="AF303" s="319">
        <v>176</v>
      </c>
      <c r="AG303" s="319">
        <v>110</v>
      </c>
      <c r="AH303" s="320">
        <v>22.324667472793227</v>
      </c>
      <c r="AI303" s="320">
        <v>11.426844014510278</v>
      </c>
      <c r="AJ303" s="320">
        <v>20.19347037484885</v>
      </c>
      <c r="AK303" s="320">
        <v>7.5876662636033858</v>
      </c>
      <c r="AL303" s="320">
        <v>38.467351874244251</v>
      </c>
      <c r="AM303" s="319">
        <v>23683</v>
      </c>
      <c r="AN303" s="319">
        <v>45916</v>
      </c>
      <c r="AO303" s="320">
        <v>49.108222490931077</v>
      </c>
      <c r="AP303" s="319">
        <v>6616</v>
      </c>
      <c r="AQ303" s="319">
        <v>923</v>
      </c>
      <c r="AR303" s="319">
        <v>5197</v>
      </c>
      <c r="AS303" s="319">
        <v>1419</v>
      </c>
      <c r="AT303" s="319">
        <v>166</v>
      </c>
      <c r="AU303" s="319">
        <v>418</v>
      </c>
      <c r="AV303" s="319">
        <v>716</v>
      </c>
      <c r="AW303" s="319">
        <v>456</v>
      </c>
      <c r="AX303" s="319">
        <v>377</v>
      </c>
      <c r="AY303" s="319">
        <v>246</v>
      </c>
      <c r="AZ303" s="319">
        <v>644</v>
      </c>
      <c r="BA303" s="319">
        <v>186</v>
      </c>
      <c r="BB303" s="319">
        <v>98</v>
      </c>
      <c r="BC303" s="319">
        <v>1022</v>
      </c>
      <c r="BD303" s="319">
        <v>150</v>
      </c>
      <c r="BE303" s="319">
        <v>51</v>
      </c>
      <c r="BF303" s="319">
        <v>1585</v>
      </c>
      <c r="BG303" s="319">
        <v>138</v>
      </c>
      <c r="BH303" s="319">
        <v>21</v>
      </c>
      <c r="BI303" s="320">
        <v>17.110036275695283</v>
      </c>
      <c r="BJ303" s="321">
        <v>5.7</v>
      </c>
      <c r="BK303" s="321">
        <v>5.0999999999999996</v>
      </c>
      <c r="BL303" s="321">
        <v>6.3</v>
      </c>
      <c r="BM303" s="321">
        <v>4.9000000000000004</v>
      </c>
      <c r="BN303" s="321">
        <v>5.7</v>
      </c>
      <c r="BO303" s="321">
        <v>5.9</v>
      </c>
      <c r="BP303" s="321">
        <v>5.9</v>
      </c>
      <c r="BQ303" s="321">
        <v>6</v>
      </c>
      <c r="BR303" s="321">
        <v>6.9</v>
      </c>
      <c r="BS303" s="321">
        <v>7</v>
      </c>
      <c r="BT303" s="321">
        <v>7.4</v>
      </c>
      <c r="BU303" s="321">
        <v>6.4</v>
      </c>
      <c r="BV303" s="321">
        <v>8.3000000000000007</v>
      </c>
      <c r="BW303" s="321">
        <v>5.9</v>
      </c>
      <c r="BX303" s="321">
        <v>4.9000000000000004</v>
      </c>
      <c r="BY303" s="321">
        <v>2.8</v>
      </c>
      <c r="BZ303" s="321">
        <v>2.2000000000000002</v>
      </c>
      <c r="CA303" s="321">
        <v>2.7</v>
      </c>
      <c r="CB303" s="321">
        <v>17.100000000000001</v>
      </c>
      <c r="CC303" s="321">
        <v>64.399999999999991</v>
      </c>
      <c r="CD303" s="321">
        <v>18.5</v>
      </c>
    </row>
    <row r="304" spans="1:82" s="308" customFormat="1" x14ac:dyDescent="0.25">
      <c r="A304" s="301" t="s">
        <v>5368</v>
      </c>
      <c r="B304" s="301" t="s">
        <v>112</v>
      </c>
      <c r="C304" s="301" t="s">
        <v>5369</v>
      </c>
      <c r="D304" s="301" t="s">
        <v>113</v>
      </c>
      <c r="E304" s="301" t="s">
        <v>5370</v>
      </c>
      <c r="F304" s="301" t="s">
        <v>4272</v>
      </c>
      <c r="G304" s="301" t="s">
        <v>5371</v>
      </c>
      <c r="H304" s="302">
        <v>540191</v>
      </c>
      <c r="I304" s="303" t="s">
        <v>1651</v>
      </c>
      <c r="J304" s="301" t="s">
        <v>488</v>
      </c>
      <c r="K304" s="301" t="s">
        <v>488</v>
      </c>
      <c r="L304" s="304">
        <v>413.98098635897281</v>
      </c>
      <c r="M304" s="305">
        <v>3647</v>
      </c>
      <c r="N304" s="306">
        <v>8.8095833387806834</v>
      </c>
      <c r="O304" s="305">
        <v>1522</v>
      </c>
      <c r="P304" s="306">
        <v>2.3409986859395531</v>
      </c>
      <c r="Q304" s="305">
        <v>3563</v>
      </c>
      <c r="R304" s="305">
        <v>77</v>
      </c>
      <c r="S304" s="305">
        <v>95</v>
      </c>
      <c r="T304" s="305">
        <v>59</v>
      </c>
      <c r="U304" s="305">
        <v>127</v>
      </c>
      <c r="V304" s="305">
        <v>110</v>
      </c>
      <c r="W304" s="305">
        <v>73</v>
      </c>
      <c r="X304" s="305">
        <v>108</v>
      </c>
      <c r="Y304" s="305">
        <v>53</v>
      </c>
      <c r="Z304" s="305">
        <v>111</v>
      </c>
      <c r="AA304" s="305">
        <v>113</v>
      </c>
      <c r="AB304" s="305">
        <v>180</v>
      </c>
      <c r="AC304" s="305">
        <v>231</v>
      </c>
      <c r="AD304" s="305">
        <v>110</v>
      </c>
      <c r="AE304" s="305">
        <v>53</v>
      </c>
      <c r="AF304" s="305">
        <v>19</v>
      </c>
      <c r="AG304" s="305">
        <v>3</v>
      </c>
      <c r="AH304" s="306">
        <v>15.177398160315375</v>
      </c>
      <c r="AI304" s="306">
        <v>15.571616294349541</v>
      </c>
      <c r="AJ304" s="306">
        <v>22.667542706964518</v>
      </c>
      <c r="AK304" s="306">
        <v>7.4244415243101187</v>
      </c>
      <c r="AL304" s="306">
        <v>39.159001314060447</v>
      </c>
      <c r="AM304" s="305">
        <v>22385</v>
      </c>
      <c r="AN304" s="305">
        <v>43294</v>
      </c>
      <c r="AO304" s="306">
        <v>46.123521681997367</v>
      </c>
      <c r="AP304" s="305">
        <v>1522</v>
      </c>
      <c r="AQ304" s="305">
        <v>1962</v>
      </c>
      <c r="AR304" s="305">
        <v>1316</v>
      </c>
      <c r="AS304" s="305">
        <v>206</v>
      </c>
      <c r="AT304" s="305">
        <v>33</v>
      </c>
      <c r="AU304" s="305">
        <v>57</v>
      </c>
      <c r="AV304" s="305">
        <v>113</v>
      </c>
      <c r="AW304" s="305">
        <v>159</v>
      </c>
      <c r="AX304" s="305">
        <v>53</v>
      </c>
      <c r="AY304" s="305">
        <v>55</v>
      </c>
      <c r="AZ304" s="305">
        <v>174</v>
      </c>
      <c r="BA304" s="305">
        <v>60</v>
      </c>
      <c r="BB304" s="305">
        <v>9</v>
      </c>
      <c r="BC304" s="305">
        <v>177</v>
      </c>
      <c r="BD304" s="305">
        <v>48</v>
      </c>
      <c r="BE304" s="305">
        <v>53</v>
      </c>
      <c r="BF304" s="305">
        <v>375</v>
      </c>
      <c r="BG304" s="305">
        <v>15</v>
      </c>
      <c r="BH304" s="305">
        <v>19</v>
      </c>
      <c r="BI304" s="306">
        <v>16.36005256241787</v>
      </c>
      <c r="BJ304" s="307">
        <v>4.5</v>
      </c>
      <c r="BK304" s="307">
        <v>3.3</v>
      </c>
      <c r="BL304" s="307">
        <v>5.9</v>
      </c>
      <c r="BM304" s="307">
        <v>5.9</v>
      </c>
      <c r="BN304" s="307">
        <v>5.6</v>
      </c>
      <c r="BO304" s="307">
        <v>4.5999999999999996</v>
      </c>
      <c r="BP304" s="307">
        <v>4.8</v>
      </c>
      <c r="BQ304" s="307">
        <v>4</v>
      </c>
      <c r="BR304" s="307">
        <v>6.8</v>
      </c>
      <c r="BS304" s="307">
        <v>6.8</v>
      </c>
      <c r="BT304" s="307">
        <v>7.8</v>
      </c>
      <c r="BU304" s="307">
        <v>8</v>
      </c>
      <c r="BV304" s="307">
        <v>7.9</v>
      </c>
      <c r="BW304" s="307">
        <v>7.6</v>
      </c>
      <c r="BX304" s="307">
        <v>6.3</v>
      </c>
      <c r="BY304" s="307">
        <v>3.9</v>
      </c>
      <c r="BZ304" s="307">
        <v>3.3</v>
      </c>
      <c r="CA304" s="307">
        <v>2.8</v>
      </c>
      <c r="CB304" s="307">
        <v>13.7</v>
      </c>
      <c r="CC304" s="307">
        <v>62.199999999999996</v>
      </c>
      <c r="CD304" s="307">
        <v>23.9</v>
      </c>
    </row>
    <row r="305" spans="1:82" x14ac:dyDescent="0.25">
      <c r="A305" s="130" t="s">
        <v>5372</v>
      </c>
      <c r="B305" s="130" t="s">
        <v>346</v>
      </c>
      <c r="C305" s="130" t="s">
        <v>5373</v>
      </c>
      <c r="D305" s="130" t="s">
        <v>113</v>
      </c>
      <c r="E305" s="130" t="s">
        <v>5370</v>
      </c>
      <c r="F305" s="130" t="s">
        <v>4272</v>
      </c>
      <c r="G305" s="130" t="s">
        <v>5374</v>
      </c>
      <c r="H305" s="309">
        <v>540260</v>
      </c>
      <c r="I305" s="277" t="s">
        <v>1656</v>
      </c>
      <c r="J305" s="130">
        <v>5420428</v>
      </c>
      <c r="K305" s="130" t="s">
        <v>5375</v>
      </c>
      <c r="L305" s="310">
        <v>1.9998284142481797</v>
      </c>
      <c r="M305" s="311">
        <v>700</v>
      </c>
      <c r="N305" s="312">
        <v>350.03003008293575</v>
      </c>
      <c r="O305" s="311">
        <v>310</v>
      </c>
      <c r="P305" s="312">
        <v>2.2599999999999998</v>
      </c>
      <c r="Q305" s="311">
        <v>700</v>
      </c>
      <c r="R305" s="311">
        <v>33</v>
      </c>
      <c r="S305" s="311">
        <v>34</v>
      </c>
      <c r="T305" s="311">
        <v>17</v>
      </c>
      <c r="U305" s="311">
        <v>21</v>
      </c>
      <c r="V305" s="311">
        <v>16</v>
      </c>
      <c r="W305" s="311">
        <v>15</v>
      </c>
      <c r="X305" s="311">
        <v>21</v>
      </c>
      <c r="Y305" s="311">
        <v>15</v>
      </c>
      <c r="Z305" s="311">
        <v>12</v>
      </c>
      <c r="AA305" s="311">
        <v>14</v>
      </c>
      <c r="AB305" s="311">
        <v>50</v>
      </c>
      <c r="AC305" s="311">
        <v>12</v>
      </c>
      <c r="AD305" s="311">
        <v>38</v>
      </c>
      <c r="AE305" s="311">
        <v>2</v>
      </c>
      <c r="AF305" s="311">
        <v>10</v>
      </c>
      <c r="AG305" s="311">
        <v>0</v>
      </c>
      <c r="AH305" s="312">
        <v>27.096774193548391</v>
      </c>
      <c r="AI305" s="312">
        <v>11.935483870967742</v>
      </c>
      <c r="AJ305" s="312">
        <v>20.322580645161288</v>
      </c>
      <c r="AK305" s="312">
        <v>4.5161290322580641</v>
      </c>
      <c r="AL305" s="312">
        <v>36.129032258064512</v>
      </c>
      <c r="AM305" s="311">
        <v>23297</v>
      </c>
      <c r="AN305" s="311">
        <v>39615</v>
      </c>
      <c r="AO305" s="312">
        <v>55.483870967741936</v>
      </c>
      <c r="AP305" s="311">
        <v>310</v>
      </c>
      <c r="AQ305" s="311">
        <v>152</v>
      </c>
      <c r="AR305" s="311">
        <v>228</v>
      </c>
      <c r="AS305" s="311">
        <v>82</v>
      </c>
      <c r="AT305" s="311">
        <v>4</v>
      </c>
      <c r="AU305" s="311">
        <v>16</v>
      </c>
      <c r="AV305" s="311">
        <v>44</v>
      </c>
      <c r="AW305" s="311">
        <v>29</v>
      </c>
      <c r="AX305" s="311">
        <v>16</v>
      </c>
      <c r="AY305" s="311">
        <v>7</v>
      </c>
      <c r="AZ305" s="311">
        <v>29</v>
      </c>
      <c r="BA305" s="311">
        <v>11</v>
      </c>
      <c r="BB305" s="311">
        <v>8</v>
      </c>
      <c r="BC305" s="311">
        <v>57</v>
      </c>
      <c r="BD305" s="311">
        <v>7</v>
      </c>
      <c r="BE305" s="311">
        <v>0</v>
      </c>
      <c r="BF305" s="311">
        <v>62</v>
      </c>
      <c r="BG305" s="311">
        <v>0</v>
      </c>
      <c r="BH305" s="311">
        <v>0</v>
      </c>
      <c r="BI305" s="312">
        <v>19.032258064516128</v>
      </c>
      <c r="BJ305" s="313">
        <v>3.3</v>
      </c>
      <c r="BK305" s="313">
        <v>6</v>
      </c>
      <c r="BL305" s="313">
        <v>5.9</v>
      </c>
      <c r="BM305" s="313">
        <v>6.7</v>
      </c>
      <c r="BN305" s="313">
        <v>3.6</v>
      </c>
      <c r="BO305" s="313">
        <v>2</v>
      </c>
      <c r="BP305" s="313">
        <v>4.7</v>
      </c>
      <c r="BQ305" s="313">
        <v>6</v>
      </c>
      <c r="BR305" s="313">
        <v>7.9</v>
      </c>
      <c r="BS305" s="313">
        <v>5.6</v>
      </c>
      <c r="BT305" s="313">
        <v>7.1</v>
      </c>
      <c r="BU305" s="313">
        <v>9.6</v>
      </c>
      <c r="BV305" s="313">
        <v>11.6</v>
      </c>
      <c r="BW305" s="313">
        <v>7.1</v>
      </c>
      <c r="BX305" s="313">
        <v>4.0999999999999996</v>
      </c>
      <c r="BY305" s="313">
        <v>3.1</v>
      </c>
      <c r="BZ305" s="313">
        <v>4</v>
      </c>
      <c r="CA305" s="313">
        <v>1.7</v>
      </c>
      <c r="CB305" s="313">
        <v>15.200000000000001</v>
      </c>
      <c r="CC305" s="313">
        <v>64.8</v>
      </c>
      <c r="CD305" s="313">
        <v>19.999999999999996</v>
      </c>
    </row>
    <row r="306" spans="1:82" x14ac:dyDescent="0.25">
      <c r="A306" s="130" t="s">
        <v>5376</v>
      </c>
      <c r="B306" s="130" t="s">
        <v>343</v>
      </c>
      <c r="C306" s="130" t="s">
        <v>5377</v>
      </c>
      <c r="D306" s="130" t="s">
        <v>113</v>
      </c>
      <c r="E306" s="130" t="s">
        <v>5370</v>
      </c>
      <c r="F306" s="130" t="s">
        <v>4272</v>
      </c>
      <c r="G306" s="130" t="s">
        <v>5378</v>
      </c>
      <c r="H306" s="309">
        <v>540192</v>
      </c>
      <c r="I306" s="277" t="s">
        <v>1653</v>
      </c>
      <c r="J306" s="130">
        <v>5434492</v>
      </c>
      <c r="K306" s="130" t="s">
        <v>5379</v>
      </c>
      <c r="L306" s="310">
        <v>0.25850411731225875</v>
      </c>
      <c r="M306" s="311">
        <v>245</v>
      </c>
      <c r="N306" s="312">
        <v>947.76053297461976</v>
      </c>
      <c r="O306" s="311">
        <v>121</v>
      </c>
      <c r="P306" s="312">
        <v>2.02</v>
      </c>
      <c r="Q306" s="311">
        <v>245</v>
      </c>
      <c r="R306" s="311">
        <v>21</v>
      </c>
      <c r="S306" s="311">
        <v>7</v>
      </c>
      <c r="T306" s="311">
        <v>10</v>
      </c>
      <c r="U306" s="311">
        <v>18</v>
      </c>
      <c r="V306" s="311">
        <v>16</v>
      </c>
      <c r="W306" s="311">
        <v>4</v>
      </c>
      <c r="X306" s="311">
        <v>3</v>
      </c>
      <c r="Y306" s="311">
        <v>3</v>
      </c>
      <c r="Z306" s="311">
        <v>5</v>
      </c>
      <c r="AA306" s="311">
        <v>6</v>
      </c>
      <c r="AB306" s="311">
        <v>10</v>
      </c>
      <c r="AC306" s="311">
        <v>8</v>
      </c>
      <c r="AD306" s="311">
        <v>5</v>
      </c>
      <c r="AE306" s="311">
        <v>3</v>
      </c>
      <c r="AF306" s="311">
        <v>2</v>
      </c>
      <c r="AG306" s="311">
        <v>0</v>
      </c>
      <c r="AH306" s="312">
        <v>31.404958677685951</v>
      </c>
      <c r="AI306" s="312">
        <v>28.099173553719009</v>
      </c>
      <c r="AJ306" s="312">
        <v>12.396694214876034</v>
      </c>
      <c r="AK306" s="312">
        <v>4.9586776859504136</v>
      </c>
      <c r="AL306" s="312">
        <v>23.140495867768596</v>
      </c>
      <c r="AM306" s="311">
        <v>18565</v>
      </c>
      <c r="AN306" s="311">
        <v>26250</v>
      </c>
      <c r="AO306" s="312">
        <v>67.768595041322314</v>
      </c>
      <c r="AP306" s="311">
        <v>121</v>
      </c>
      <c r="AQ306" s="311">
        <v>13</v>
      </c>
      <c r="AR306" s="311">
        <v>97</v>
      </c>
      <c r="AS306" s="311">
        <v>24</v>
      </c>
      <c r="AT306" s="311">
        <v>4</v>
      </c>
      <c r="AU306" s="311">
        <v>5</v>
      </c>
      <c r="AV306" s="311">
        <v>24</v>
      </c>
      <c r="AW306" s="311">
        <v>11</v>
      </c>
      <c r="AX306" s="311">
        <v>18</v>
      </c>
      <c r="AY306" s="311">
        <v>7</v>
      </c>
      <c r="AZ306" s="311">
        <v>8</v>
      </c>
      <c r="BA306" s="311">
        <v>3</v>
      </c>
      <c r="BB306" s="311">
        <v>0</v>
      </c>
      <c r="BC306" s="311">
        <v>16</v>
      </c>
      <c r="BD306" s="311">
        <v>0</v>
      </c>
      <c r="BE306" s="311">
        <v>0</v>
      </c>
      <c r="BF306" s="311">
        <v>16</v>
      </c>
      <c r="BG306" s="311">
        <v>2</v>
      </c>
      <c r="BH306" s="311">
        <v>0</v>
      </c>
      <c r="BI306" s="312">
        <v>25.619834710743799</v>
      </c>
      <c r="BJ306" s="313">
        <v>5.7</v>
      </c>
      <c r="BK306" s="313">
        <v>3.3</v>
      </c>
      <c r="BL306" s="313">
        <v>2.4</v>
      </c>
      <c r="BM306" s="313">
        <v>4.5</v>
      </c>
      <c r="BN306" s="313">
        <v>6.1</v>
      </c>
      <c r="BO306" s="313">
        <v>1.6</v>
      </c>
      <c r="BP306" s="313">
        <v>4.5</v>
      </c>
      <c r="BQ306" s="313">
        <v>4.0999999999999996</v>
      </c>
      <c r="BR306" s="313">
        <v>5.3</v>
      </c>
      <c r="BS306" s="313">
        <v>5.7</v>
      </c>
      <c r="BT306" s="313">
        <v>8.1999999999999993</v>
      </c>
      <c r="BU306" s="313">
        <v>9.8000000000000007</v>
      </c>
      <c r="BV306" s="313">
        <v>15.5</v>
      </c>
      <c r="BW306" s="313">
        <v>9.4</v>
      </c>
      <c r="BX306" s="313">
        <v>3.7</v>
      </c>
      <c r="BY306" s="313">
        <v>2.4</v>
      </c>
      <c r="BZ306" s="313">
        <v>4.0999999999999996</v>
      </c>
      <c r="CA306" s="313">
        <v>3.7</v>
      </c>
      <c r="CB306" s="313">
        <v>11.4</v>
      </c>
      <c r="CC306" s="313">
        <v>65.3</v>
      </c>
      <c r="CD306" s="313">
        <v>23.3</v>
      </c>
    </row>
    <row r="307" spans="1:82" x14ac:dyDescent="0.25">
      <c r="A307" s="130" t="s">
        <v>5380</v>
      </c>
      <c r="B307" s="130" t="s">
        <v>342</v>
      </c>
      <c r="C307" s="130" t="s">
        <v>5381</v>
      </c>
      <c r="D307" s="130" t="s">
        <v>113</v>
      </c>
      <c r="E307" s="130" t="s">
        <v>5370</v>
      </c>
      <c r="F307" s="130" t="s">
        <v>4272</v>
      </c>
      <c r="G307" s="130" t="s">
        <v>5382</v>
      </c>
      <c r="H307" s="309">
        <v>540193</v>
      </c>
      <c r="I307" s="277" t="s">
        <v>1652</v>
      </c>
      <c r="J307" s="130">
        <v>5436460</v>
      </c>
      <c r="K307" s="130" t="s">
        <v>5383</v>
      </c>
      <c r="L307" s="310">
        <v>0.42726772304229343</v>
      </c>
      <c r="M307" s="311">
        <v>289</v>
      </c>
      <c r="N307" s="312">
        <v>676.39090063302797</v>
      </c>
      <c r="O307" s="311">
        <v>110</v>
      </c>
      <c r="P307" s="312">
        <v>2.63</v>
      </c>
      <c r="Q307" s="311">
        <v>289</v>
      </c>
      <c r="R307" s="311">
        <v>8</v>
      </c>
      <c r="S307" s="311">
        <v>7</v>
      </c>
      <c r="T307" s="311">
        <v>3</v>
      </c>
      <c r="U307" s="311">
        <v>10</v>
      </c>
      <c r="V307" s="311">
        <v>9</v>
      </c>
      <c r="W307" s="311">
        <v>0</v>
      </c>
      <c r="X307" s="311">
        <v>9</v>
      </c>
      <c r="Y307" s="311">
        <v>5</v>
      </c>
      <c r="Z307" s="311">
        <v>10</v>
      </c>
      <c r="AA307" s="311">
        <v>2</v>
      </c>
      <c r="AB307" s="311">
        <v>9</v>
      </c>
      <c r="AC307" s="311">
        <v>26</v>
      </c>
      <c r="AD307" s="311">
        <v>5</v>
      </c>
      <c r="AE307" s="311">
        <v>0</v>
      </c>
      <c r="AF307" s="311">
        <v>5</v>
      </c>
      <c r="AG307" s="311">
        <v>2</v>
      </c>
      <c r="AH307" s="312">
        <v>16.363636363636363</v>
      </c>
      <c r="AI307" s="312">
        <v>17.272727272727273</v>
      </c>
      <c r="AJ307" s="312">
        <v>21.818181818181817</v>
      </c>
      <c r="AK307" s="312">
        <v>1.8181818181818181</v>
      </c>
      <c r="AL307" s="312">
        <v>42.727272727272727</v>
      </c>
      <c r="AM307" s="311">
        <v>23585</v>
      </c>
      <c r="AN307" s="311">
        <v>46667</v>
      </c>
      <c r="AO307" s="312">
        <v>46.36363636363636</v>
      </c>
      <c r="AP307" s="311">
        <v>110</v>
      </c>
      <c r="AQ307" s="311">
        <v>52</v>
      </c>
      <c r="AR307" s="311">
        <v>93</v>
      </c>
      <c r="AS307" s="311">
        <v>17</v>
      </c>
      <c r="AT307" s="311">
        <v>4</v>
      </c>
      <c r="AU307" s="311">
        <v>3</v>
      </c>
      <c r="AV307" s="311">
        <v>9</v>
      </c>
      <c r="AW307" s="311">
        <v>13</v>
      </c>
      <c r="AX307" s="311">
        <v>2</v>
      </c>
      <c r="AY307" s="311">
        <v>4</v>
      </c>
      <c r="AZ307" s="311">
        <v>21</v>
      </c>
      <c r="BA307" s="311">
        <v>3</v>
      </c>
      <c r="BB307" s="311">
        <v>0</v>
      </c>
      <c r="BC307" s="311">
        <v>8</v>
      </c>
      <c r="BD307" s="311">
        <v>3</v>
      </c>
      <c r="BE307" s="311">
        <v>0</v>
      </c>
      <c r="BF307" s="311">
        <v>36</v>
      </c>
      <c r="BG307" s="311">
        <v>0</v>
      </c>
      <c r="BH307" s="311">
        <v>2</v>
      </c>
      <c r="BI307" s="312">
        <v>13.636363636363635</v>
      </c>
      <c r="BJ307" s="313">
        <v>5.9</v>
      </c>
      <c r="BK307" s="313">
        <v>1.4</v>
      </c>
      <c r="BL307" s="313">
        <v>4.8</v>
      </c>
      <c r="BM307" s="313">
        <v>4.5</v>
      </c>
      <c r="BN307" s="313">
        <v>12.5</v>
      </c>
      <c r="BO307" s="313">
        <v>5.2</v>
      </c>
      <c r="BP307" s="313">
        <v>6.2</v>
      </c>
      <c r="BQ307" s="313">
        <v>5.2</v>
      </c>
      <c r="BR307" s="313">
        <v>4.2</v>
      </c>
      <c r="BS307" s="313">
        <v>10.7</v>
      </c>
      <c r="BT307" s="313">
        <v>6.2</v>
      </c>
      <c r="BU307" s="313">
        <v>5.9</v>
      </c>
      <c r="BV307" s="313">
        <v>7.6</v>
      </c>
      <c r="BW307" s="313">
        <v>8.3000000000000007</v>
      </c>
      <c r="BX307" s="313">
        <v>5.2</v>
      </c>
      <c r="BY307" s="313">
        <v>4.2</v>
      </c>
      <c r="BZ307" s="313">
        <v>2.1</v>
      </c>
      <c r="CA307" s="313">
        <v>0</v>
      </c>
      <c r="CB307" s="313">
        <v>12.100000000000001</v>
      </c>
      <c r="CC307" s="313">
        <v>68.2</v>
      </c>
      <c r="CD307" s="313">
        <v>19.8</v>
      </c>
    </row>
    <row r="308" spans="1:82" x14ac:dyDescent="0.25">
      <c r="A308" s="130" t="s">
        <v>5384</v>
      </c>
      <c r="B308" s="130" t="s">
        <v>344</v>
      </c>
      <c r="C308" s="130" t="s">
        <v>5385</v>
      </c>
      <c r="D308" s="130" t="s">
        <v>113</v>
      </c>
      <c r="E308" s="130" t="s">
        <v>5370</v>
      </c>
      <c r="F308" s="130" t="s">
        <v>4272</v>
      </c>
      <c r="G308" s="130" t="s">
        <v>5386</v>
      </c>
      <c r="H308" s="309">
        <v>540194</v>
      </c>
      <c r="I308" s="277" t="s">
        <v>1654</v>
      </c>
      <c r="J308" s="130">
        <v>5462284</v>
      </c>
      <c r="K308" s="130" t="s">
        <v>5387</v>
      </c>
      <c r="L308" s="310">
        <v>0.82648441272863904</v>
      </c>
      <c r="M308" s="311">
        <v>1546</v>
      </c>
      <c r="N308" s="312">
        <v>1870.5736928490637</v>
      </c>
      <c r="O308" s="311">
        <v>658</v>
      </c>
      <c r="P308" s="312">
        <v>2.35</v>
      </c>
      <c r="Q308" s="311">
        <v>1546</v>
      </c>
      <c r="R308" s="311">
        <v>122</v>
      </c>
      <c r="S308" s="311">
        <v>49</v>
      </c>
      <c r="T308" s="311">
        <v>32</v>
      </c>
      <c r="U308" s="311">
        <v>73</v>
      </c>
      <c r="V308" s="311">
        <v>23</v>
      </c>
      <c r="W308" s="311">
        <v>35</v>
      </c>
      <c r="X308" s="311">
        <v>21</v>
      </c>
      <c r="Y308" s="311">
        <v>41</v>
      </c>
      <c r="Z308" s="311">
        <v>24</v>
      </c>
      <c r="AA308" s="311">
        <v>63</v>
      </c>
      <c r="AB308" s="311">
        <v>52</v>
      </c>
      <c r="AC308" s="311">
        <v>68</v>
      </c>
      <c r="AD308" s="311">
        <v>20</v>
      </c>
      <c r="AE308" s="311">
        <v>31</v>
      </c>
      <c r="AF308" s="311">
        <v>4</v>
      </c>
      <c r="AG308" s="311">
        <v>0</v>
      </c>
      <c r="AH308" s="312">
        <v>30.851063829787233</v>
      </c>
      <c r="AI308" s="312">
        <v>14.589665653495439</v>
      </c>
      <c r="AJ308" s="312">
        <v>18.389057750759878</v>
      </c>
      <c r="AK308" s="312">
        <v>9.5744680851063837</v>
      </c>
      <c r="AL308" s="312">
        <v>26.595744680851062</v>
      </c>
      <c r="AM308" s="311">
        <v>19043</v>
      </c>
      <c r="AN308" s="311">
        <v>33864</v>
      </c>
      <c r="AO308" s="312">
        <v>60.182370820668694</v>
      </c>
      <c r="AP308" s="311">
        <v>658</v>
      </c>
      <c r="AQ308" s="311">
        <v>120</v>
      </c>
      <c r="AR308" s="311">
        <v>475</v>
      </c>
      <c r="AS308" s="311">
        <v>183</v>
      </c>
      <c r="AT308" s="311">
        <v>10</v>
      </c>
      <c r="AU308" s="311">
        <v>51</v>
      </c>
      <c r="AV308" s="311">
        <v>99</v>
      </c>
      <c r="AW308" s="311">
        <v>77</v>
      </c>
      <c r="AX308" s="311">
        <v>35</v>
      </c>
      <c r="AY308" s="311">
        <v>19</v>
      </c>
      <c r="AZ308" s="311">
        <v>63</v>
      </c>
      <c r="BA308" s="311">
        <v>14</v>
      </c>
      <c r="BB308" s="311">
        <v>4</v>
      </c>
      <c r="BC308" s="311">
        <v>91</v>
      </c>
      <c r="BD308" s="311">
        <v>16</v>
      </c>
      <c r="BE308" s="311">
        <v>8</v>
      </c>
      <c r="BF308" s="311">
        <v>116</v>
      </c>
      <c r="BG308" s="311">
        <v>7</v>
      </c>
      <c r="BH308" s="311">
        <v>0</v>
      </c>
      <c r="BI308" s="312">
        <v>19.756838905775076</v>
      </c>
      <c r="BJ308" s="313">
        <v>5.5</v>
      </c>
      <c r="BK308" s="313">
        <v>4.4000000000000004</v>
      </c>
      <c r="BL308" s="313">
        <v>6.4</v>
      </c>
      <c r="BM308" s="313">
        <v>6.1</v>
      </c>
      <c r="BN308" s="313">
        <v>10.3</v>
      </c>
      <c r="BO308" s="313">
        <v>3.3</v>
      </c>
      <c r="BP308" s="313">
        <v>6.3</v>
      </c>
      <c r="BQ308" s="313">
        <v>5</v>
      </c>
      <c r="BR308" s="313">
        <v>5.6</v>
      </c>
      <c r="BS308" s="313">
        <v>5.8</v>
      </c>
      <c r="BT308" s="313">
        <v>5.6</v>
      </c>
      <c r="BU308" s="313">
        <v>5.6</v>
      </c>
      <c r="BV308" s="313">
        <v>8.6</v>
      </c>
      <c r="BW308" s="313">
        <v>5</v>
      </c>
      <c r="BX308" s="313">
        <v>6.4</v>
      </c>
      <c r="BY308" s="313">
        <v>5.0999999999999996</v>
      </c>
      <c r="BZ308" s="313">
        <v>3.2</v>
      </c>
      <c r="CA308" s="313">
        <v>1.6</v>
      </c>
      <c r="CB308" s="313">
        <v>16.3</v>
      </c>
      <c r="CC308" s="313">
        <v>62.2</v>
      </c>
      <c r="CD308" s="313">
        <v>21.3</v>
      </c>
    </row>
    <row r="309" spans="1:82" x14ac:dyDescent="0.25">
      <c r="A309" s="130" t="s">
        <v>5388</v>
      </c>
      <c r="B309" s="130" t="s">
        <v>345</v>
      </c>
      <c r="C309" s="130" t="s">
        <v>5389</v>
      </c>
      <c r="D309" s="130" t="s">
        <v>113</v>
      </c>
      <c r="E309" s="130" t="s">
        <v>5370</v>
      </c>
      <c r="F309" s="130" t="s">
        <v>4272</v>
      </c>
      <c r="G309" s="130" t="s">
        <v>5390</v>
      </c>
      <c r="H309" s="309">
        <v>540261</v>
      </c>
      <c r="I309" s="277" t="s">
        <v>1655</v>
      </c>
      <c r="J309" s="130">
        <v>5480020</v>
      </c>
      <c r="K309" s="130" t="s">
        <v>5391</v>
      </c>
      <c r="L309" s="310">
        <v>3.5262748671375328</v>
      </c>
      <c r="M309" s="311">
        <v>608</v>
      </c>
      <c r="N309" s="312">
        <v>172.41991135352032</v>
      </c>
      <c r="O309" s="311">
        <v>230</v>
      </c>
      <c r="P309" s="312">
        <v>2.2400000000000002</v>
      </c>
      <c r="Q309" s="311">
        <v>515</v>
      </c>
      <c r="R309" s="311">
        <v>20</v>
      </c>
      <c r="S309" s="311">
        <v>8</v>
      </c>
      <c r="T309" s="311">
        <v>33</v>
      </c>
      <c r="U309" s="311">
        <v>11</v>
      </c>
      <c r="V309" s="311">
        <v>24</v>
      </c>
      <c r="W309" s="311">
        <v>15</v>
      </c>
      <c r="X309" s="311">
        <v>9</v>
      </c>
      <c r="Y309" s="311">
        <v>3</v>
      </c>
      <c r="Z309" s="311">
        <v>13</v>
      </c>
      <c r="AA309" s="311">
        <v>27</v>
      </c>
      <c r="AB309" s="311">
        <v>34</v>
      </c>
      <c r="AC309" s="311">
        <v>14</v>
      </c>
      <c r="AD309" s="311">
        <v>6</v>
      </c>
      <c r="AE309" s="311">
        <v>5</v>
      </c>
      <c r="AF309" s="311">
        <v>0</v>
      </c>
      <c r="AG309" s="311">
        <v>8</v>
      </c>
      <c r="AH309" s="312">
        <v>26.521739130434785</v>
      </c>
      <c r="AI309" s="312">
        <v>15.217391304347828</v>
      </c>
      <c r="AJ309" s="312">
        <v>17.391304347826086</v>
      </c>
      <c r="AK309" s="312">
        <v>11.739130434782609</v>
      </c>
      <c r="AL309" s="312">
        <v>29.130434782608695</v>
      </c>
      <c r="AM309" s="311">
        <v>19652</v>
      </c>
      <c r="AN309" s="311">
        <v>37917</v>
      </c>
      <c r="AO309" s="312">
        <v>53.478260869565219</v>
      </c>
      <c r="AP309" s="311">
        <v>230</v>
      </c>
      <c r="AQ309" s="311">
        <v>122</v>
      </c>
      <c r="AR309" s="311">
        <v>179</v>
      </c>
      <c r="AS309" s="311">
        <v>51</v>
      </c>
      <c r="AT309" s="311">
        <v>21</v>
      </c>
      <c r="AU309" s="311">
        <v>11</v>
      </c>
      <c r="AV309" s="311">
        <v>25</v>
      </c>
      <c r="AW309" s="311">
        <v>31</v>
      </c>
      <c r="AX309" s="311">
        <v>0</v>
      </c>
      <c r="AY309" s="311">
        <v>19</v>
      </c>
      <c r="AZ309" s="311">
        <v>16</v>
      </c>
      <c r="BA309" s="311">
        <v>9</v>
      </c>
      <c r="BB309" s="311">
        <v>0</v>
      </c>
      <c r="BC309" s="311">
        <v>59</v>
      </c>
      <c r="BD309" s="311">
        <v>2</v>
      </c>
      <c r="BE309" s="311">
        <v>0</v>
      </c>
      <c r="BF309" s="311">
        <v>30</v>
      </c>
      <c r="BG309" s="311">
        <v>3</v>
      </c>
      <c r="BH309" s="311">
        <v>0</v>
      </c>
      <c r="BI309" s="312">
        <v>19.130434782608695</v>
      </c>
      <c r="BJ309" s="313">
        <v>5.6</v>
      </c>
      <c r="BK309" s="313">
        <v>2.8</v>
      </c>
      <c r="BL309" s="313">
        <v>3.8</v>
      </c>
      <c r="BM309" s="313">
        <v>2.2999999999999998</v>
      </c>
      <c r="BN309" s="313">
        <v>2.5</v>
      </c>
      <c r="BO309" s="313">
        <v>5.4</v>
      </c>
      <c r="BP309" s="313">
        <v>4.9000000000000004</v>
      </c>
      <c r="BQ309" s="313">
        <v>3.5</v>
      </c>
      <c r="BR309" s="313">
        <v>3.6</v>
      </c>
      <c r="BS309" s="313">
        <v>4.8</v>
      </c>
      <c r="BT309" s="313">
        <v>8.6999999999999993</v>
      </c>
      <c r="BU309" s="313">
        <v>4.3</v>
      </c>
      <c r="BV309" s="313">
        <v>11.2</v>
      </c>
      <c r="BW309" s="313">
        <v>9</v>
      </c>
      <c r="BX309" s="313">
        <v>6.4</v>
      </c>
      <c r="BY309" s="313">
        <v>8.1999999999999993</v>
      </c>
      <c r="BZ309" s="313">
        <v>5.0999999999999996</v>
      </c>
      <c r="CA309" s="313">
        <v>7.9</v>
      </c>
      <c r="CB309" s="313">
        <v>12.2</v>
      </c>
      <c r="CC309" s="313">
        <v>51.2</v>
      </c>
      <c r="CD309" s="313">
        <v>36.6</v>
      </c>
    </row>
    <row r="310" spans="1:82" s="322" customFormat="1" x14ac:dyDescent="0.25">
      <c r="A310" s="314" t="s">
        <v>5392</v>
      </c>
      <c r="B310" s="315" t="s">
        <v>348</v>
      </c>
      <c r="C310" s="314"/>
      <c r="D310" s="314"/>
      <c r="E310" s="314"/>
      <c r="F310" s="314"/>
      <c r="G310" s="314"/>
      <c r="H310" s="316"/>
      <c r="I310" s="317"/>
      <c r="J310" s="314">
        <v>54093</v>
      </c>
      <c r="K310" s="314" t="s">
        <v>5393</v>
      </c>
      <c r="L310" s="318">
        <v>421.01934589344171</v>
      </c>
      <c r="M310" s="319">
        <v>7035</v>
      </c>
      <c r="N310" s="320">
        <v>16.709445940236034</v>
      </c>
      <c r="O310" s="319">
        <v>2951</v>
      </c>
      <c r="P310" s="320">
        <v>2.3199999999999998</v>
      </c>
      <c r="Q310" s="319">
        <v>6858</v>
      </c>
      <c r="R310" s="319">
        <v>281</v>
      </c>
      <c r="S310" s="319">
        <v>200</v>
      </c>
      <c r="T310" s="319">
        <v>154</v>
      </c>
      <c r="U310" s="319">
        <v>260</v>
      </c>
      <c r="V310" s="319">
        <v>198</v>
      </c>
      <c r="W310" s="319">
        <v>142</v>
      </c>
      <c r="X310" s="319">
        <v>171</v>
      </c>
      <c r="Y310" s="319">
        <v>120</v>
      </c>
      <c r="Z310" s="319">
        <v>175</v>
      </c>
      <c r="AA310" s="319">
        <v>225</v>
      </c>
      <c r="AB310" s="319">
        <v>335</v>
      </c>
      <c r="AC310" s="319">
        <v>359</v>
      </c>
      <c r="AD310" s="319">
        <v>184</v>
      </c>
      <c r="AE310" s="319">
        <v>94</v>
      </c>
      <c r="AF310" s="319">
        <v>40</v>
      </c>
      <c r="AG310" s="319">
        <v>13</v>
      </c>
      <c r="AH310" s="320">
        <v>21.518129447644867</v>
      </c>
      <c r="AI310" s="320">
        <v>15.520162656726534</v>
      </c>
      <c r="AJ310" s="320">
        <v>20.603185360894614</v>
      </c>
      <c r="AK310" s="320">
        <v>7.6245340562521173</v>
      </c>
      <c r="AL310" s="320">
        <v>34.733988478481869</v>
      </c>
      <c r="AM310" s="319">
        <v>22385</v>
      </c>
      <c r="AN310" s="319">
        <v>43294</v>
      </c>
      <c r="AO310" s="320">
        <v>51.711284310403251</v>
      </c>
      <c r="AP310" s="319">
        <v>2951</v>
      </c>
      <c r="AQ310" s="319">
        <v>2421</v>
      </c>
      <c r="AR310" s="319">
        <v>2388</v>
      </c>
      <c r="AS310" s="319">
        <v>563</v>
      </c>
      <c r="AT310" s="319">
        <v>76</v>
      </c>
      <c r="AU310" s="319">
        <v>143</v>
      </c>
      <c r="AV310" s="319">
        <v>314</v>
      </c>
      <c r="AW310" s="319">
        <v>320</v>
      </c>
      <c r="AX310" s="319">
        <v>124</v>
      </c>
      <c r="AY310" s="319">
        <v>111</v>
      </c>
      <c r="AZ310" s="319">
        <v>311</v>
      </c>
      <c r="BA310" s="319">
        <v>100</v>
      </c>
      <c r="BB310" s="319">
        <v>21</v>
      </c>
      <c r="BC310" s="319">
        <v>408</v>
      </c>
      <c r="BD310" s="319">
        <v>76</v>
      </c>
      <c r="BE310" s="319">
        <v>61</v>
      </c>
      <c r="BF310" s="319">
        <v>635</v>
      </c>
      <c r="BG310" s="319">
        <v>27</v>
      </c>
      <c r="BH310" s="319">
        <v>21</v>
      </c>
      <c r="BI310" s="320">
        <v>17.892239918671638</v>
      </c>
      <c r="BJ310" s="321">
        <v>4.5</v>
      </c>
      <c r="BK310" s="321">
        <v>3.3</v>
      </c>
      <c r="BL310" s="321">
        <v>5.9</v>
      </c>
      <c r="BM310" s="321">
        <v>5.9</v>
      </c>
      <c r="BN310" s="321">
        <v>5.6</v>
      </c>
      <c r="BO310" s="321">
        <v>4.5999999999999996</v>
      </c>
      <c r="BP310" s="321">
        <v>4.8</v>
      </c>
      <c r="BQ310" s="321">
        <v>4</v>
      </c>
      <c r="BR310" s="321">
        <v>6.8</v>
      </c>
      <c r="BS310" s="321">
        <v>6.8</v>
      </c>
      <c r="BT310" s="321">
        <v>7.8</v>
      </c>
      <c r="BU310" s="321">
        <v>8</v>
      </c>
      <c r="BV310" s="321">
        <v>7.9</v>
      </c>
      <c r="BW310" s="321">
        <v>7.6</v>
      </c>
      <c r="BX310" s="321">
        <v>6.3</v>
      </c>
      <c r="BY310" s="321">
        <v>3.9</v>
      </c>
      <c r="BZ310" s="321">
        <v>3.3</v>
      </c>
      <c r="CA310" s="321">
        <v>2.8</v>
      </c>
      <c r="CB310" s="321">
        <v>13.7</v>
      </c>
      <c r="CC310" s="321">
        <v>62.199999999999996</v>
      </c>
      <c r="CD310" s="321">
        <v>23.9</v>
      </c>
    </row>
    <row r="311" spans="1:82" s="308" customFormat="1" x14ac:dyDescent="0.25">
      <c r="A311" s="301" t="s">
        <v>354</v>
      </c>
      <c r="B311" s="301" t="s">
        <v>102</v>
      </c>
      <c r="C311" s="301" t="s">
        <v>5394</v>
      </c>
      <c r="D311" s="301" t="s">
        <v>103</v>
      </c>
      <c r="E311" s="301" t="s">
        <v>5395</v>
      </c>
      <c r="F311" s="301" t="s">
        <v>4272</v>
      </c>
      <c r="G311" s="301" t="s">
        <v>5396</v>
      </c>
      <c r="H311" s="302">
        <v>540277</v>
      </c>
      <c r="I311" s="303" t="s">
        <v>1631</v>
      </c>
      <c r="J311" s="301" t="s">
        <v>488</v>
      </c>
      <c r="K311" s="301" t="s">
        <v>488</v>
      </c>
      <c r="L311" s="304">
        <v>259.18749926599878</v>
      </c>
      <c r="M311" s="305">
        <v>5473</v>
      </c>
      <c r="N311" s="306">
        <v>21.115987520614077</v>
      </c>
      <c r="O311" s="305">
        <v>2187</v>
      </c>
      <c r="P311" s="306">
        <v>2.4737082761774118</v>
      </c>
      <c r="Q311" s="305">
        <v>5410</v>
      </c>
      <c r="R311" s="305">
        <v>114</v>
      </c>
      <c r="S311" s="305">
        <v>146</v>
      </c>
      <c r="T311" s="305">
        <v>144</v>
      </c>
      <c r="U311" s="305">
        <v>145</v>
      </c>
      <c r="V311" s="305">
        <v>225</v>
      </c>
      <c r="W311" s="305">
        <v>89</v>
      </c>
      <c r="X311" s="305">
        <v>124</v>
      </c>
      <c r="Y311" s="305">
        <v>77</v>
      </c>
      <c r="Z311" s="305">
        <v>125</v>
      </c>
      <c r="AA311" s="305">
        <v>215</v>
      </c>
      <c r="AB311" s="305">
        <v>169</v>
      </c>
      <c r="AC311" s="305">
        <v>247</v>
      </c>
      <c r="AD311" s="305">
        <v>211</v>
      </c>
      <c r="AE311" s="305">
        <v>107</v>
      </c>
      <c r="AF311" s="305">
        <v>3</v>
      </c>
      <c r="AG311" s="305">
        <v>46</v>
      </c>
      <c r="AH311" s="306">
        <v>18.472793781435755</v>
      </c>
      <c r="AI311" s="306">
        <v>16.918152720621858</v>
      </c>
      <c r="AJ311" s="306">
        <v>18.975765889346135</v>
      </c>
      <c r="AK311" s="306">
        <v>9.8308184727937817</v>
      </c>
      <c r="AL311" s="306">
        <v>35.802469135802468</v>
      </c>
      <c r="AM311" s="305">
        <v>24599</v>
      </c>
      <c r="AN311" s="305">
        <v>40902</v>
      </c>
      <c r="AO311" s="306">
        <v>48.651120256058526</v>
      </c>
      <c r="AP311" s="305">
        <v>2187</v>
      </c>
      <c r="AQ311" s="305">
        <v>1151</v>
      </c>
      <c r="AR311" s="305">
        <v>1811</v>
      </c>
      <c r="AS311" s="305">
        <v>376</v>
      </c>
      <c r="AT311" s="305">
        <v>101</v>
      </c>
      <c r="AU311" s="305">
        <v>57</v>
      </c>
      <c r="AV311" s="305">
        <v>147</v>
      </c>
      <c r="AW311" s="305">
        <v>271</v>
      </c>
      <c r="AX311" s="305">
        <v>70</v>
      </c>
      <c r="AY311" s="305">
        <v>78</v>
      </c>
      <c r="AZ311" s="305">
        <v>216</v>
      </c>
      <c r="BA311" s="305">
        <v>33</v>
      </c>
      <c r="BB311" s="305">
        <v>23</v>
      </c>
      <c r="BC311" s="305">
        <v>360</v>
      </c>
      <c r="BD311" s="305">
        <v>12</v>
      </c>
      <c r="BE311" s="305">
        <v>7</v>
      </c>
      <c r="BF311" s="305">
        <v>534</v>
      </c>
      <c r="BG311" s="305">
        <v>61</v>
      </c>
      <c r="BH311" s="305">
        <v>5</v>
      </c>
      <c r="BI311" s="306">
        <v>11.888431641518062</v>
      </c>
      <c r="BJ311" s="307">
        <v>5.3</v>
      </c>
      <c r="BK311" s="307">
        <v>5.4</v>
      </c>
      <c r="BL311" s="307">
        <v>5.5</v>
      </c>
      <c r="BM311" s="307">
        <v>5.6</v>
      </c>
      <c r="BN311" s="307">
        <v>5.4</v>
      </c>
      <c r="BO311" s="307">
        <v>4.9000000000000004</v>
      </c>
      <c r="BP311" s="307">
        <v>4.5999999999999996</v>
      </c>
      <c r="BQ311" s="307">
        <v>6</v>
      </c>
      <c r="BR311" s="307">
        <v>5.6</v>
      </c>
      <c r="BS311" s="307">
        <v>7.1</v>
      </c>
      <c r="BT311" s="307">
        <v>7.5</v>
      </c>
      <c r="BU311" s="307">
        <v>8.6999999999999993</v>
      </c>
      <c r="BV311" s="307">
        <v>7.8</v>
      </c>
      <c r="BW311" s="307">
        <v>7.3</v>
      </c>
      <c r="BX311" s="307">
        <v>4.5999999999999996</v>
      </c>
      <c r="BY311" s="307">
        <v>3.3</v>
      </c>
      <c r="BZ311" s="307">
        <v>3.2</v>
      </c>
      <c r="CA311" s="307">
        <v>2.2000000000000002</v>
      </c>
      <c r="CB311" s="307">
        <v>16.2</v>
      </c>
      <c r="CC311" s="307">
        <v>63.2</v>
      </c>
      <c r="CD311" s="307">
        <v>20.599999999999998</v>
      </c>
    </row>
    <row r="312" spans="1:82" x14ac:dyDescent="0.25">
      <c r="A312" s="130" t="s">
        <v>5397</v>
      </c>
      <c r="B312" s="130" t="s">
        <v>304</v>
      </c>
      <c r="C312" s="130" t="s">
        <v>5398</v>
      </c>
      <c r="D312" s="130" t="s">
        <v>103</v>
      </c>
      <c r="E312" s="130" t="s">
        <v>5395</v>
      </c>
      <c r="F312" s="130" t="s">
        <v>4272</v>
      </c>
      <c r="G312" s="130" t="s">
        <v>5399</v>
      </c>
      <c r="H312" s="309">
        <v>540259</v>
      </c>
      <c r="I312" s="277" t="s">
        <v>1634</v>
      </c>
      <c r="J312" s="130">
        <v>5429404</v>
      </c>
      <c r="K312" s="130" t="s">
        <v>5400</v>
      </c>
      <c r="L312" s="310">
        <v>0.10088221067740284</v>
      </c>
      <c r="M312" s="311">
        <v>123</v>
      </c>
      <c r="N312" s="312">
        <v>1219.2437018784665</v>
      </c>
      <c r="O312" s="311">
        <v>48</v>
      </c>
      <c r="P312" s="312">
        <v>2.56</v>
      </c>
      <c r="Q312" s="311">
        <v>123</v>
      </c>
      <c r="R312" s="311">
        <v>9</v>
      </c>
      <c r="S312" s="311">
        <v>8</v>
      </c>
      <c r="T312" s="311">
        <v>2</v>
      </c>
      <c r="U312" s="311">
        <v>8</v>
      </c>
      <c r="V312" s="311">
        <v>3</v>
      </c>
      <c r="W312" s="311">
        <v>7</v>
      </c>
      <c r="X312" s="311">
        <v>0</v>
      </c>
      <c r="Y312" s="311">
        <v>0</v>
      </c>
      <c r="Z312" s="311">
        <v>4</v>
      </c>
      <c r="AA312" s="311">
        <v>0</v>
      </c>
      <c r="AB312" s="311">
        <v>4</v>
      </c>
      <c r="AC312" s="311">
        <v>3</v>
      </c>
      <c r="AD312" s="311">
        <v>0</v>
      </c>
      <c r="AE312" s="311">
        <v>0</v>
      </c>
      <c r="AF312" s="311">
        <v>0</v>
      </c>
      <c r="AG312" s="311">
        <v>0</v>
      </c>
      <c r="AH312" s="312">
        <v>39.583333333333329</v>
      </c>
      <c r="AI312" s="312">
        <v>22.916666666666664</v>
      </c>
      <c r="AJ312" s="312">
        <v>22.916666666666664</v>
      </c>
      <c r="AK312" s="312">
        <v>0</v>
      </c>
      <c r="AL312" s="312">
        <v>14.583333333333334</v>
      </c>
      <c r="AM312" s="311">
        <v>11730</v>
      </c>
      <c r="AN312" s="311">
        <v>23500</v>
      </c>
      <c r="AO312" s="312">
        <v>77.083333333333343</v>
      </c>
      <c r="AP312" s="311">
        <v>48</v>
      </c>
      <c r="AQ312" s="311">
        <v>32</v>
      </c>
      <c r="AR312" s="311">
        <v>31</v>
      </c>
      <c r="AS312" s="311">
        <v>17</v>
      </c>
      <c r="AT312" s="311">
        <v>1</v>
      </c>
      <c r="AU312" s="311">
        <v>5</v>
      </c>
      <c r="AV312" s="311">
        <v>6</v>
      </c>
      <c r="AW312" s="311">
        <v>5</v>
      </c>
      <c r="AX312" s="311">
        <v>5</v>
      </c>
      <c r="AY312" s="311">
        <v>8</v>
      </c>
      <c r="AZ312" s="311">
        <v>4</v>
      </c>
      <c r="BA312" s="311">
        <v>0</v>
      </c>
      <c r="BB312" s="311">
        <v>0</v>
      </c>
      <c r="BC312" s="311">
        <v>4</v>
      </c>
      <c r="BD312" s="311">
        <v>0</v>
      </c>
      <c r="BE312" s="311">
        <v>0</v>
      </c>
      <c r="BF312" s="311">
        <v>3</v>
      </c>
      <c r="BG312" s="311">
        <v>0</v>
      </c>
      <c r="BH312" s="311">
        <v>0</v>
      </c>
      <c r="BI312" s="312">
        <v>29.166666666666668</v>
      </c>
      <c r="BJ312" s="313">
        <v>8.1</v>
      </c>
      <c r="BK312" s="313">
        <v>13.8</v>
      </c>
      <c r="BL312" s="313">
        <v>6.5</v>
      </c>
      <c r="BM312" s="313">
        <v>0</v>
      </c>
      <c r="BN312" s="313">
        <v>3.3</v>
      </c>
      <c r="BO312" s="313">
        <v>18.7</v>
      </c>
      <c r="BP312" s="313">
        <v>0</v>
      </c>
      <c r="BQ312" s="313">
        <v>3.3</v>
      </c>
      <c r="BR312" s="313">
        <v>17.899999999999999</v>
      </c>
      <c r="BS312" s="313">
        <v>2.4</v>
      </c>
      <c r="BT312" s="313">
        <v>2.4</v>
      </c>
      <c r="BU312" s="313">
        <v>8.9</v>
      </c>
      <c r="BV312" s="313">
        <v>6.5</v>
      </c>
      <c r="BW312" s="313">
        <v>3.3</v>
      </c>
      <c r="BX312" s="313">
        <v>1.6</v>
      </c>
      <c r="BY312" s="313">
        <v>0</v>
      </c>
      <c r="BZ312" s="313">
        <v>3.3</v>
      </c>
      <c r="CA312" s="313">
        <v>0</v>
      </c>
      <c r="CB312" s="313">
        <v>28.4</v>
      </c>
      <c r="CC312" s="313">
        <v>63.4</v>
      </c>
      <c r="CD312" s="313">
        <v>8.1999999999999993</v>
      </c>
    </row>
    <row r="313" spans="1:82" x14ac:dyDescent="0.25">
      <c r="A313" s="130" t="s">
        <v>5401</v>
      </c>
      <c r="B313" s="130" t="s">
        <v>258</v>
      </c>
      <c r="C313" s="130" t="s">
        <v>5402</v>
      </c>
      <c r="D313" s="130" t="s">
        <v>103</v>
      </c>
      <c r="E313" s="130" t="s">
        <v>5395</v>
      </c>
      <c r="F313" s="130" t="s">
        <v>4272</v>
      </c>
      <c r="G313" s="130" t="s">
        <v>5403</v>
      </c>
      <c r="H313" s="309">
        <v>540195</v>
      </c>
      <c r="I313" s="277" t="s">
        <v>1632</v>
      </c>
      <c r="J313" s="130">
        <v>5453572</v>
      </c>
      <c r="K313" s="130" t="s">
        <v>5404</v>
      </c>
      <c r="L313" s="310">
        <v>0.37720735616695195</v>
      </c>
      <c r="M313" s="311">
        <v>715</v>
      </c>
      <c r="N313" s="312">
        <v>1895.5091630915624</v>
      </c>
      <c r="O313" s="311">
        <v>319</v>
      </c>
      <c r="P313" s="312">
        <v>2.17</v>
      </c>
      <c r="Q313" s="311">
        <v>693</v>
      </c>
      <c r="R313" s="311">
        <v>47</v>
      </c>
      <c r="S313" s="311">
        <v>21</v>
      </c>
      <c r="T313" s="311">
        <v>33</v>
      </c>
      <c r="U313" s="311">
        <v>21</v>
      </c>
      <c r="V313" s="311">
        <v>24</v>
      </c>
      <c r="W313" s="311">
        <v>27</v>
      </c>
      <c r="X313" s="311">
        <v>24</v>
      </c>
      <c r="Y313" s="311">
        <v>25</v>
      </c>
      <c r="Z313" s="311">
        <v>14</v>
      </c>
      <c r="AA313" s="311">
        <v>15</v>
      </c>
      <c r="AB313" s="311">
        <v>18</v>
      </c>
      <c r="AC313" s="311">
        <v>17</v>
      </c>
      <c r="AD313" s="311">
        <v>22</v>
      </c>
      <c r="AE313" s="311">
        <v>5</v>
      </c>
      <c r="AF313" s="311">
        <v>0</v>
      </c>
      <c r="AG313" s="311">
        <v>6</v>
      </c>
      <c r="AH313" s="312">
        <v>31.661442006269592</v>
      </c>
      <c r="AI313" s="312">
        <v>14.106583072100312</v>
      </c>
      <c r="AJ313" s="312">
        <v>28.213166144200624</v>
      </c>
      <c r="AK313" s="312">
        <v>4.7021943573667713</v>
      </c>
      <c r="AL313" s="312">
        <v>21.316614420062695</v>
      </c>
      <c r="AM313" s="311">
        <v>25471</v>
      </c>
      <c r="AN313" s="311">
        <v>32891</v>
      </c>
      <c r="AO313" s="312">
        <v>69.592476489028215</v>
      </c>
      <c r="AP313" s="311">
        <v>319</v>
      </c>
      <c r="AQ313" s="311">
        <v>95</v>
      </c>
      <c r="AR313" s="311">
        <v>203</v>
      </c>
      <c r="AS313" s="311">
        <v>116</v>
      </c>
      <c r="AT313" s="311">
        <v>21</v>
      </c>
      <c r="AU313" s="311">
        <v>13</v>
      </c>
      <c r="AV313" s="311">
        <v>59</v>
      </c>
      <c r="AW313" s="311">
        <v>37</v>
      </c>
      <c r="AX313" s="311">
        <v>19</v>
      </c>
      <c r="AY313" s="311">
        <v>16</v>
      </c>
      <c r="AZ313" s="311">
        <v>44</v>
      </c>
      <c r="BA313" s="311">
        <v>13</v>
      </c>
      <c r="BB313" s="311">
        <v>3</v>
      </c>
      <c r="BC313" s="311">
        <v>29</v>
      </c>
      <c r="BD313" s="311">
        <v>2</v>
      </c>
      <c r="BE313" s="311">
        <v>0</v>
      </c>
      <c r="BF313" s="311">
        <v>49</v>
      </c>
      <c r="BG313" s="311">
        <v>0</v>
      </c>
      <c r="BH313" s="311">
        <v>0</v>
      </c>
      <c r="BI313" s="312">
        <v>24.451410658307211</v>
      </c>
      <c r="BJ313" s="313">
        <v>7.6</v>
      </c>
      <c r="BK313" s="313">
        <v>5</v>
      </c>
      <c r="BL313" s="313">
        <v>7.6</v>
      </c>
      <c r="BM313" s="313">
        <v>4.2</v>
      </c>
      <c r="BN313" s="313">
        <v>3.8</v>
      </c>
      <c r="BO313" s="313">
        <v>5.5</v>
      </c>
      <c r="BP313" s="313">
        <v>4.8</v>
      </c>
      <c r="BQ313" s="313">
        <v>6.7</v>
      </c>
      <c r="BR313" s="313">
        <v>5.7</v>
      </c>
      <c r="BS313" s="313">
        <v>4.8</v>
      </c>
      <c r="BT313" s="313">
        <v>5.2</v>
      </c>
      <c r="BU313" s="313">
        <v>6.4</v>
      </c>
      <c r="BV313" s="313">
        <v>5.5</v>
      </c>
      <c r="BW313" s="313">
        <v>6.6</v>
      </c>
      <c r="BX313" s="313">
        <v>3.8</v>
      </c>
      <c r="BY313" s="313">
        <v>5.3</v>
      </c>
      <c r="BZ313" s="313">
        <v>4.5</v>
      </c>
      <c r="CA313" s="313">
        <v>7.3</v>
      </c>
      <c r="CB313" s="313">
        <v>20.2</v>
      </c>
      <c r="CC313" s="313">
        <v>52.6</v>
      </c>
      <c r="CD313" s="313">
        <v>27.5</v>
      </c>
    </row>
    <row r="314" spans="1:82" s="330" customFormat="1" x14ac:dyDescent="0.25">
      <c r="A314" s="323" t="s">
        <v>350</v>
      </c>
      <c r="B314" s="323" t="s">
        <v>259</v>
      </c>
      <c r="C314" s="323" t="s">
        <v>5405</v>
      </c>
      <c r="D314" s="323" t="s">
        <v>624</v>
      </c>
      <c r="E314" s="323" t="s">
        <v>5406</v>
      </c>
      <c r="F314" s="323" t="s">
        <v>4272</v>
      </c>
      <c r="G314" s="323" t="s">
        <v>5407</v>
      </c>
      <c r="H314" s="324">
        <v>540196</v>
      </c>
      <c r="I314" s="325" t="s">
        <v>5408</v>
      </c>
      <c r="J314" s="323">
        <v>5461636</v>
      </c>
      <c r="K314" s="323" t="s">
        <v>5409</v>
      </c>
      <c r="L314" s="326">
        <v>0.32670351949336479</v>
      </c>
      <c r="M314" s="327">
        <v>1103</v>
      </c>
      <c r="N314" s="328">
        <v>3376.149732670393</v>
      </c>
      <c r="O314" s="327">
        <v>438</v>
      </c>
      <c r="P314" s="328">
        <v>2.52</v>
      </c>
      <c r="Q314" s="327">
        <v>1103</v>
      </c>
      <c r="R314" s="327">
        <v>48</v>
      </c>
      <c r="S314" s="327">
        <v>48</v>
      </c>
      <c r="T314" s="327">
        <v>21</v>
      </c>
      <c r="U314" s="327">
        <v>31</v>
      </c>
      <c r="V314" s="327">
        <v>9</v>
      </c>
      <c r="W314" s="327">
        <v>15</v>
      </c>
      <c r="X314" s="327">
        <v>15</v>
      </c>
      <c r="Y314" s="327">
        <v>39</v>
      </c>
      <c r="Z314" s="327">
        <v>29</v>
      </c>
      <c r="AA314" s="327">
        <v>39</v>
      </c>
      <c r="AB314" s="327">
        <v>53</v>
      </c>
      <c r="AC314" s="327">
        <v>56</v>
      </c>
      <c r="AD314" s="327">
        <v>19</v>
      </c>
      <c r="AE314" s="327">
        <v>10</v>
      </c>
      <c r="AF314" s="327">
        <v>6</v>
      </c>
      <c r="AG314" s="327">
        <v>0</v>
      </c>
      <c r="AH314" s="328">
        <v>26.712328767123289</v>
      </c>
      <c r="AI314" s="328">
        <v>9.1324200913241995</v>
      </c>
      <c r="AJ314" s="328">
        <v>22.37442922374429</v>
      </c>
      <c r="AK314" s="328">
        <v>8.9041095890410951</v>
      </c>
      <c r="AL314" s="328">
        <v>32.87671232876712</v>
      </c>
      <c r="AM314" s="327">
        <v>21178</v>
      </c>
      <c r="AN314" s="327">
        <v>43933</v>
      </c>
      <c r="AO314" s="328">
        <v>51.598173515981735</v>
      </c>
      <c r="AP314" s="327">
        <v>438</v>
      </c>
      <c r="AQ314" s="327">
        <v>48</v>
      </c>
      <c r="AR314" s="327">
        <v>310</v>
      </c>
      <c r="AS314" s="327">
        <v>128</v>
      </c>
      <c r="AT314" s="327">
        <v>10</v>
      </c>
      <c r="AU314" s="327">
        <v>17</v>
      </c>
      <c r="AV314" s="327">
        <v>73</v>
      </c>
      <c r="AW314" s="327">
        <v>25</v>
      </c>
      <c r="AX314" s="327">
        <v>12</v>
      </c>
      <c r="AY314" s="327">
        <v>18</v>
      </c>
      <c r="AZ314" s="327">
        <v>59</v>
      </c>
      <c r="BA314" s="327">
        <v>22</v>
      </c>
      <c r="BB314" s="327">
        <v>0</v>
      </c>
      <c r="BC314" s="327">
        <v>78</v>
      </c>
      <c r="BD314" s="327">
        <v>4</v>
      </c>
      <c r="BE314" s="327">
        <v>10</v>
      </c>
      <c r="BF314" s="327">
        <v>88</v>
      </c>
      <c r="BG314" s="327">
        <v>2</v>
      </c>
      <c r="BH314" s="327">
        <v>0</v>
      </c>
      <c r="BI314" s="328">
        <v>21.689497716894977</v>
      </c>
      <c r="BJ314" s="329">
        <v>2.8</v>
      </c>
      <c r="BK314" s="329">
        <v>6.6</v>
      </c>
      <c r="BL314" s="329">
        <v>9</v>
      </c>
      <c r="BM314" s="329">
        <v>5.9</v>
      </c>
      <c r="BN314" s="329">
        <v>3.9</v>
      </c>
      <c r="BO314" s="329">
        <v>4.2</v>
      </c>
      <c r="BP314" s="329">
        <v>5.6</v>
      </c>
      <c r="BQ314" s="329">
        <v>5.5</v>
      </c>
      <c r="BR314" s="329">
        <v>6.3</v>
      </c>
      <c r="BS314" s="329">
        <v>6.1</v>
      </c>
      <c r="BT314" s="329">
        <v>7.4</v>
      </c>
      <c r="BU314" s="329">
        <v>7.9</v>
      </c>
      <c r="BV314" s="329">
        <v>6.5</v>
      </c>
      <c r="BW314" s="329">
        <v>7.3</v>
      </c>
      <c r="BX314" s="329">
        <v>5.3</v>
      </c>
      <c r="BY314" s="329">
        <v>4</v>
      </c>
      <c r="BZ314" s="329">
        <v>2.2999999999999998</v>
      </c>
      <c r="CA314" s="329">
        <v>3.3</v>
      </c>
      <c r="CB314" s="329">
        <v>18.399999999999999</v>
      </c>
      <c r="CC314" s="329">
        <v>59.3</v>
      </c>
      <c r="CD314" s="329">
        <v>22.200000000000003</v>
      </c>
    </row>
    <row r="315" spans="1:82" x14ac:dyDescent="0.25">
      <c r="A315" s="130" t="s">
        <v>5410</v>
      </c>
      <c r="B315" s="130" t="s">
        <v>260</v>
      </c>
      <c r="C315" s="130" t="s">
        <v>5411</v>
      </c>
      <c r="D315" s="130" t="s">
        <v>103</v>
      </c>
      <c r="E315" s="130" t="s">
        <v>5395</v>
      </c>
      <c r="F315" s="130" t="s">
        <v>4272</v>
      </c>
      <c r="G315" s="130" t="s">
        <v>5412</v>
      </c>
      <c r="H315" s="309">
        <v>540197</v>
      </c>
      <c r="I315" s="277" t="s">
        <v>1633</v>
      </c>
      <c r="J315" s="130">
        <v>5474380</v>
      </c>
      <c r="K315" s="130" t="s">
        <v>5413</v>
      </c>
      <c r="L315" s="310">
        <v>0.52491916426529261</v>
      </c>
      <c r="M315" s="311">
        <v>1535</v>
      </c>
      <c r="N315" s="312">
        <v>2924.2597803577532</v>
      </c>
      <c r="O315" s="311">
        <v>571</v>
      </c>
      <c r="P315" s="312">
        <v>2.68</v>
      </c>
      <c r="Q315" s="311">
        <v>1531</v>
      </c>
      <c r="R315" s="311">
        <v>84</v>
      </c>
      <c r="S315" s="311">
        <v>43</v>
      </c>
      <c r="T315" s="311">
        <v>53</v>
      </c>
      <c r="U315" s="311">
        <v>36</v>
      </c>
      <c r="V315" s="311">
        <v>38</v>
      </c>
      <c r="W315" s="311">
        <v>39</v>
      </c>
      <c r="X315" s="311">
        <v>39</v>
      </c>
      <c r="Y315" s="311">
        <v>29</v>
      </c>
      <c r="Z315" s="311">
        <v>14</v>
      </c>
      <c r="AA315" s="311">
        <v>38</v>
      </c>
      <c r="AB315" s="311">
        <v>55</v>
      </c>
      <c r="AC315" s="311">
        <v>43</v>
      </c>
      <c r="AD315" s="311">
        <v>27</v>
      </c>
      <c r="AE315" s="311">
        <v>12</v>
      </c>
      <c r="AF315" s="311">
        <v>12</v>
      </c>
      <c r="AG315" s="311">
        <v>9</v>
      </c>
      <c r="AH315" s="312">
        <v>31.523642732049034</v>
      </c>
      <c r="AI315" s="312">
        <v>12.95971978984238</v>
      </c>
      <c r="AJ315" s="312">
        <v>21.190893169877409</v>
      </c>
      <c r="AK315" s="312">
        <v>6.6549912434325744</v>
      </c>
      <c r="AL315" s="312">
        <v>27.670753064798596</v>
      </c>
      <c r="AM315" s="311">
        <v>18841</v>
      </c>
      <c r="AN315" s="311">
        <v>32386</v>
      </c>
      <c r="AO315" s="312">
        <v>63.22241681260946</v>
      </c>
      <c r="AP315" s="311">
        <v>571</v>
      </c>
      <c r="AQ315" s="311">
        <v>105</v>
      </c>
      <c r="AR315" s="311">
        <v>410</v>
      </c>
      <c r="AS315" s="311">
        <v>161</v>
      </c>
      <c r="AT315" s="311">
        <v>22</v>
      </c>
      <c r="AU315" s="311">
        <v>42</v>
      </c>
      <c r="AV315" s="311">
        <v>76</v>
      </c>
      <c r="AW315" s="311">
        <v>34</v>
      </c>
      <c r="AX315" s="311">
        <v>42</v>
      </c>
      <c r="AY315" s="311">
        <v>32</v>
      </c>
      <c r="AZ315" s="311">
        <v>43</v>
      </c>
      <c r="BA315" s="311">
        <v>31</v>
      </c>
      <c r="BB315" s="311">
        <v>8</v>
      </c>
      <c r="BC315" s="311">
        <v>77</v>
      </c>
      <c r="BD315" s="311">
        <v>10</v>
      </c>
      <c r="BE315" s="311">
        <v>6</v>
      </c>
      <c r="BF315" s="311">
        <v>92</v>
      </c>
      <c r="BG315" s="311">
        <v>0</v>
      </c>
      <c r="BH315" s="311">
        <v>0</v>
      </c>
      <c r="BI315" s="312">
        <v>21.366024518388791</v>
      </c>
      <c r="BJ315" s="313">
        <v>6.8</v>
      </c>
      <c r="BK315" s="313">
        <v>4.9000000000000004</v>
      </c>
      <c r="BL315" s="313">
        <v>6.7</v>
      </c>
      <c r="BM315" s="313">
        <v>8.1</v>
      </c>
      <c r="BN315" s="313">
        <v>8.4</v>
      </c>
      <c r="BO315" s="313">
        <v>6.5</v>
      </c>
      <c r="BP315" s="313">
        <v>4.4000000000000004</v>
      </c>
      <c r="BQ315" s="313">
        <v>4.5</v>
      </c>
      <c r="BR315" s="313">
        <v>4.2</v>
      </c>
      <c r="BS315" s="313">
        <v>6.1</v>
      </c>
      <c r="BT315" s="313">
        <v>10.199999999999999</v>
      </c>
      <c r="BU315" s="313">
        <v>7.1</v>
      </c>
      <c r="BV315" s="313">
        <v>7.8</v>
      </c>
      <c r="BW315" s="313">
        <v>3.5</v>
      </c>
      <c r="BX315" s="313">
        <v>4.5</v>
      </c>
      <c r="BY315" s="313">
        <v>2</v>
      </c>
      <c r="BZ315" s="313">
        <v>2.1</v>
      </c>
      <c r="CA315" s="313">
        <v>2.1</v>
      </c>
      <c r="CB315" s="313">
        <v>18.399999999999999</v>
      </c>
      <c r="CC315" s="313">
        <v>67.300000000000011</v>
      </c>
      <c r="CD315" s="313">
        <v>14.2</v>
      </c>
    </row>
    <row r="316" spans="1:82" s="322" customFormat="1" x14ac:dyDescent="0.25">
      <c r="A316" s="314" t="s">
        <v>5414</v>
      </c>
      <c r="B316" s="315" t="s">
        <v>348</v>
      </c>
      <c r="C316" s="314"/>
      <c r="D316" s="314"/>
      <c r="E316" s="314"/>
      <c r="F316" s="314"/>
      <c r="G316" s="314"/>
      <c r="H316" s="316"/>
      <c r="I316" s="317"/>
      <c r="J316" s="314">
        <v>54095</v>
      </c>
      <c r="K316" s="314" t="s">
        <v>5415</v>
      </c>
      <c r="L316" s="318">
        <v>260.51721151660178</v>
      </c>
      <c r="M316" s="319">
        <v>8949</v>
      </c>
      <c r="N316" s="320">
        <v>34.350897385640543</v>
      </c>
      <c r="O316" s="319">
        <v>3563</v>
      </c>
      <c r="P316" s="320">
        <v>2.4900000000000002</v>
      </c>
      <c r="Q316" s="319">
        <v>8860</v>
      </c>
      <c r="R316" s="319">
        <v>302</v>
      </c>
      <c r="S316" s="319">
        <v>266</v>
      </c>
      <c r="T316" s="319">
        <v>253</v>
      </c>
      <c r="U316" s="319">
        <v>241</v>
      </c>
      <c r="V316" s="319">
        <v>299</v>
      </c>
      <c r="W316" s="319">
        <v>177</v>
      </c>
      <c r="X316" s="319">
        <v>202</v>
      </c>
      <c r="Y316" s="319">
        <v>170</v>
      </c>
      <c r="Z316" s="319">
        <v>186</v>
      </c>
      <c r="AA316" s="319">
        <v>307</v>
      </c>
      <c r="AB316" s="319">
        <v>299</v>
      </c>
      <c r="AC316" s="319">
        <v>366</v>
      </c>
      <c r="AD316" s="319">
        <v>279</v>
      </c>
      <c r="AE316" s="319">
        <v>134</v>
      </c>
      <c r="AF316" s="319">
        <v>21</v>
      </c>
      <c r="AG316" s="319">
        <v>61</v>
      </c>
      <c r="AH316" s="320">
        <v>23.042380016839743</v>
      </c>
      <c r="AI316" s="320">
        <v>15.15576761156329</v>
      </c>
      <c r="AJ316" s="320">
        <v>20.628683693516699</v>
      </c>
      <c r="AK316" s="320">
        <v>8.6163345495369068</v>
      </c>
      <c r="AL316" s="320">
        <v>32.556834128543358</v>
      </c>
      <c r="AM316" s="319">
        <v>24599</v>
      </c>
      <c r="AN316" s="319">
        <v>40902</v>
      </c>
      <c r="AO316" s="320">
        <v>53.606511366825707</v>
      </c>
      <c r="AP316" s="319">
        <v>3563</v>
      </c>
      <c r="AQ316" s="319">
        <v>1431</v>
      </c>
      <c r="AR316" s="319">
        <v>2765</v>
      </c>
      <c r="AS316" s="319">
        <v>798</v>
      </c>
      <c r="AT316" s="319">
        <v>155</v>
      </c>
      <c r="AU316" s="319">
        <v>134</v>
      </c>
      <c r="AV316" s="319">
        <v>361</v>
      </c>
      <c r="AW316" s="319">
        <v>372</v>
      </c>
      <c r="AX316" s="319">
        <v>148</v>
      </c>
      <c r="AY316" s="319">
        <v>152</v>
      </c>
      <c r="AZ316" s="319">
        <v>366</v>
      </c>
      <c r="BA316" s="319">
        <v>99</v>
      </c>
      <c r="BB316" s="319">
        <v>34</v>
      </c>
      <c r="BC316" s="319">
        <v>548</v>
      </c>
      <c r="BD316" s="319">
        <v>28</v>
      </c>
      <c r="BE316" s="319">
        <v>23</v>
      </c>
      <c r="BF316" s="319">
        <v>766</v>
      </c>
      <c r="BG316" s="319">
        <v>63</v>
      </c>
      <c r="BH316" s="319">
        <v>5</v>
      </c>
      <c r="BI316" s="320">
        <v>16.138085882683132</v>
      </c>
      <c r="BJ316" s="321">
        <v>5.3</v>
      </c>
      <c r="BK316" s="321">
        <v>5.4</v>
      </c>
      <c r="BL316" s="321">
        <v>5.5</v>
      </c>
      <c r="BM316" s="321">
        <v>5.6</v>
      </c>
      <c r="BN316" s="321">
        <v>5.4</v>
      </c>
      <c r="BO316" s="321">
        <v>4.9000000000000004</v>
      </c>
      <c r="BP316" s="321">
        <v>4.5999999999999996</v>
      </c>
      <c r="BQ316" s="321">
        <v>6</v>
      </c>
      <c r="BR316" s="321">
        <v>5.6</v>
      </c>
      <c r="BS316" s="321">
        <v>7.1</v>
      </c>
      <c r="BT316" s="321">
        <v>7.5</v>
      </c>
      <c r="BU316" s="321">
        <v>8.6999999999999993</v>
      </c>
      <c r="BV316" s="321">
        <v>7.8</v>
      </c>
      <c r="BW316" s="321">
        <v>7.3</v>
      </c>
      <c r="BX316" s="321">
        <v>4.5999999999999996</v>
      </c>
      <c r="BY316" s="321">
        <v>3.3</v>
      </c>
      <c r="BZ316" s="321">
        <v>3.2</v>
      </c>
      <c r="CA316" s="321">
        <v>2.2000000000000002</v>
      </c>
      <c r="CB316" s="321">
        <v>16.2</v>
      </c>
      <c r="CC316" s="321">
        <v>63.2</v>
      </c>
      <c r="CD316" s="321">
        <v>20.599999999999998</v>
      </c>
    </row>
    <row r="317" spans="1:82" s="308" customFormat="1" x14ac:dyDescent="0.25">
      <c r="A317" s="301" t="s">
        <v>5416</v>
      </c>
      <c r="B317" s="301" t="s">
        <v>82</v>
      </c>
      <c r="C317" s="301" t="s">
        <v>5417</v>
      </c>
      <c r="D317" s="301" t="s">
        <v>83</v>
      </c>
      <c r="E317" s="301" t="s">
        <v>5418</v>
      </c>
      <c r="F317" s="301" t="s">
        <v>4272</v>
      </c>
      <c r="G317" s="301" t="s">
        <v>5419</v>
      </c>
      <c r="H317" s="302">
        <v>540198</v>
      </c>
      <c r="I317" s="303" t="s">
        <v>1594</v>
      </c>
      <c r="J317" s="301" t="s">
        <v>488</v>
      </c>
      <c r="K317" s="301" t="s">
        <v>488</v>
      </c>
      <c r="L317" s="304">
        <v>351.68780574883431</v>
      </c>
      <c r="M317" s="305">
        <v>19008</v>
      </c>
      <c r="N317" s="306">
        <v>54.047935951396013</v>
      </c>
      <c r="O317" s="305">
        <v>7389</v>
      </c>
      <c r="P317" s="306">
        <v>2.5517661388550548</v>
      </c>
      <c r="Q317" s="305">
        <v>18855</v>
      </c>
      <c r="R317" s="305">
        <v>827</v>
      </c>
      <c r="S317" s="305">
        <v>493</v>
      </c>
      <c r="T317" s="305">
        <v>472</v>
      </c>
      <c r="U317" s="305">
        <v>414</v>
      </c>
      <c r="V317" s="305">
        <v>493</v>
      </c>
      <c r="W317" s="305">
        <v>434</v>
      </c>
      <c r="X317" s="305">
        <v>515</v>
      </c>
      <c r="Y317" s="305">
        <v>368</v>
      </c>
      <c r="Z317" s="305">
        <v>267</v>
      </c>
      <c r="AA317" s="305">
        <v>625</v>
      </c>
      <c r="AB317" s="305">
        <v>754</v>
      </c>
      <c r="AC317" s="305">
        <v>750</v>
      </c>
      <c r="AD317" s="305">
        <v>510</v>
      </c>
      <c r="AE317" s="305">
        <v>262</v>
      </c>
      <c r="AF317" s="305">
        <v>167</v>
      </c>
      <c r="AG317" s="305">
        <v>38</v>
      </c>
      <c r="AH317" s="306">
        <v>24.252266883204765</v>
      </c>
      <c r="AI317" s="306">
        <v>12.275003383407768</v>
      </c>
      <c r="AJ317" s="306">
        <v>21.43727161997564</v>
      </c>
      <c r="AK317" s="306">
        <v>8.4585194207605916</v>
      </c>
      <c r="AL317" s="306">
        <v>33.57693869265124</v>
      </c>
      <c r="AM317" s="305">
        <v>21279</v>
      </c>
      <c r="AN317" s="305">
        <v>39434</v>
      </c>
      <c r="AO317" s="306">
        <v>54.351062390039253</v>
      </c>
      <c r="AP317" s="305">
        <v>7389</v>
      </c>
      <c r="AQ317" s="305">
        <v>1555</v>
      </c>
      <c r="AR317" s="305">
        <v>6019</v>
      </c>
      <c r="AS317" s="305">
        <v>1370</v>
      </c>
      <c r="AT317" s="305">
        <v>443</v>
      </c>
      <c r="AU317" s="305">
        <v>307</v>
      </c>
      <c r="AV317" s="305">
        <v>788</v>
      </c>
      <c r="AW317" s="305">
        <v>661</v>
      </c>
      <c r="AX317" s="305">
        <v>246</v>
      </c>
      <c r="AY317" s="305">
        <v>329</v>
      </c>
      <c r="AZ317" s="305">
        <v>720</v>
      </c>
      <c r="BA317" s="305">
        <v>225</v>
      </c>
      <c r="BB317" s="305">
        <v>158</v>
      </c>
      <c r="BC317" s="305">
        <v>1094</v>
      </c>
      <c r="BD317" s="305">
        <v>227</v>
      </c>
      <c r="BE317" s="305">
        <v>17</v>
      </c>
      <c r="BF317" s="305">
        <v>1571</v>
      </c>
      <c r="BG317" s="305">
        <v>136</v>
      </c>
      <c r="BH317" s="305">
        <v>0</v>
      </c>
      <c r="BI317" s="306">
        <v>17.485451346596292</v>
      </c>
      <c r="BJ317" s="307">
        <v>5.5</v>
      </c>
      <c r="BK317" s="307">
        <v>6.1</v>
      </c>
      <c r="BL317" s="307">
        <v>5.6</v>
      </c>
      <c r="BM317" s="307">
        <v>6.8</v>
      </c>
      <c r="BN317" s="307">
        <v>7.9</v>
      </c>
      <c r="BO317" s="307">
        <v>5.6</v>
      </c>
      <c r="BP317" s="307">
        <v>5.3</v>
      </c>
      <c r="BQ317" s="307">
        <v>4.5</v>
      </c>
      <c r="BR317" s="307">
        <v>6.7</v>
      </c>
      <c r="BS317" s="307">
        <v>6.3</v>
      </c>
      <c r="BT317" s="307">
        <v>6.8</v>
      </c>
      <c r="BU317" s="307">
        <v>6.9</v>
      </c>
      <c r="BV317" s="307">
        <v>7</v>
      </c>
      <c r="BW317" s="307">
        <v>6.3</v>
      </c>
      <c r="BX317" s="307">
        <v>4.5999999999999996</v>
      </c>
      <c r="BY317" s="307">
        <v>3.8</v>
      </c>
      <c r="BZ317" s="307">
        <v>2</v>
      </c>
      <c r="CA317" s="307">
        <v>2.1</v>
      </c>
      <c r="CB317" s="307">
        <v>17.2</v>
      </c>
      <c r="CC317" s="307">
        <v>63.79999999999999</v>
      </c>
      <c r="CD317" s="307">
        <v>18.8</v>
      </c>
    </row>
    <row r="318" spans="1:82" x14ac:dyDescent="0.25">
      <c r="A318" s="130" t="s">
        <v>5420</v>
      </c>
      <c r="B318" s="130" t="s">
        <v>261</v>
      </c>
      <c r="C318" s="130" t="s">
        <v>5421</v>
      </c>
      <c r="D318" s="130" t="s">
        <v>83</v>
      </c>
      <c r="E318" s="130" t="s">
        <v>5418</v>
      </c>
      <c r="F318" s="130" t="s">
        <v>4272</v>
      </c>
      <c r="G318" s="130" t="s">
        <v>5422</v>
      </c>
      <c r="H318" s="309">
        <v>540199</v>
      </c>
      <c r="I318" s="277" t="s">
        <v>1595</v>
      </c>
      <c r="J318" s="130">
        <v>5411188</v>
      </c>
      <c r="K318" s="130" t="s">
        <v>5423</v>
      </c>
      <c r="L318" s="310">
        <v>2.8461125232477058</v>
      </c>
      <c r="M318" s="311">
        <v>5596</v>
      </c>
      <c r="N318" s="312">
        <v>1966.1907090076645</v>
      </c>
      <c r="O318" s="311">
        <v>1952</v>
      </c>
      <c r="P318" s="312">
        <v>2.2999999999999998</v>
      </c>
      <c r="Q318" s="311">
        <v>4493</v>
      </c>
      <c r="R318" s="311">
        <v>274</v>
      </c>
      <c r="S318" s="311">
        <v>145</v>
      </c>
      <c r="T318" s="311">
        <v>165</v>
      </c>
      <c r="U318" s="311">
        <v>193</v>
      </c>
      <c r="V318" s="311">
        <v>145</v>
      </c>
      <c r="W318" s="311">
        <v>60</v>
      </c>
      <c r="X318" s="311">
        <v>86</v>
      </c>
      <c r="Y318" s="311">
        <v>70</v>
      </c>
      <c r="Z318" s="311">
        <v>96</v>
      </c>
      <c r="AA318" s="311">
        <v>241</v>
      </c>
      <c r="AB318" s="311">
        <v>114</v>
      </c>
      <c r="AC318" s="311">
        <v>161</v>
      </c>
      <c r="AD318" s="311">
        <v>96</v>
      </c>
      <c r="AE318" s="311">
        <v>29</v>
      </c>
      <c r="AF318" s="311">
        <v>13</v>
      </c>
      <c r="AG318" s="311">
        <v>64</v>
      </c>
      <c r="AH318" s="312">
        <v>29.918032786885245</v>
      </c>
      <c r="AI318" s="312">
        <v>17.315573770491806</v>
      </c>
      <c r="AJ318" s="312">
        <v>15.983606557377051</v>
      </c>
      <c r="AK318" s="312">
        <v>12.346311475409836</v>
      </c>
      <c r="AL318" s="312">
        <v>24.436475409836063</v>
      </c>
      <c r="AM318" s="311">
        <v>19730</v>
      </c>
      <c r="AN318" s="311">
        <v>34423</v>
      </c>
      <c r="AO318" s="312">
        <v>58.299180327868847</v>
      </c>
      <c r="AP318" s="311">
        <v>1952</v>
      </c>
      <c r="AQ318" s="311">
        <v>397</v>
      </c>
      <c r="AR318" s="311">
        <v>943</v>
      </c>
      <c r="AS318" s="311">
        <v>1009</v>
      </c>
      <c r="AT318" s="311">
        <v>78</v>
      </c>
      <c r="AU318" s="311">
        <v>156</v>
      </c>
      <c r="AV318" s="311">
        <v>263</v>
      </c>
      <c r="AW318" s="311">
        <v>89</v>
      </c>
      <c r="AX318" s="311">
        <v>60</v>
      </c>
      <c r="AY318" s="311">
        <v>215</v>
      </c>
      <c r="AZ318" s="311">
        <v>145</v>
      </c>
      <c r="BA318" s="311">
        <v>83</v>
      </c>
      <c r="BB318" s="311">
        <v>24</v>
      </c>
      <c r="BC318" s="311">
        <v>283</v>
      </c>
      <c r="BD318" s="311">
        <v>67</v>
      </c>
      <c r="BE318" s="311">
        <v>5</v>
      </c>
      <c r="BF318" s="311">
        <v>299</v>
      </c>
      <c r="BG318" s="311">
        <v>18</v>
      </c>
      <c r="BH318" s="311">
        <v>0</v>
      </c>
      <c r="BI318" s="312">
        <v>25.973360655737704</v>
      </c>
      <c r="BJ318" s="313">
        <v>6.1</v>
      </c>
      <c r="BK318" s="313">
        <v>3.6</v>
      </c>
      <c r="BL318" s="313">
        <v>3.8</v>
      </c>
      <c r="BM318" s="313">
        <v>16.100000000000001</v>
      </c>
      <c r="BN318" s="313">
        <v>12.3</v>
      </c>
      <c r="BO318" s="313">
        <v>6.4</v>
      </c>
      <c r="BP318" s="313">
        <v>5</v>
      </c>
      <c r="BQ318" s="313">
        <v>4.9000000000000004</v>
      </c>
      <c r="BR318" s="313">
        <v>4.2</v>
      </c>
      <c r="BS318" s="313">
        <v>4.9000000000000004</v>
      </c>
      <c r="BT318" s="313">
        <v>4.4000000000000004</v>
      </c>
      <c r="BU318" s="313">
        <v>4.9000000000000004</v>
      </c>
      <c r="BV318" s="313">
        <v>5.9</v>
      </c>
      <c r="BW318" s="313">
        <v>5</v>
      </c>
      <c r="BX318" s="313">
        <v>4.5</v>
      </c>
      <c r="BY318" s="313">
        <v>2.5</v>
      </c>
      <c r="BZ318" s="313">
        <v>3</v>
      </c>
      <c r="CA318" s="313">
        <v>2.2999999999999998</v>
      </c>
      <c r="CB318" s="313">
        <v>13.5</v>
      </c>
      <c r="CC318" s="313">
        <v>69</v>
      </c>
      <c r="CD318" s="313">
        <v>17.3</v>
      </c>
    </row>
    <row r="319" spans="1:82" s="322" customFormat="1" x14ac:dyDescent="0.25">
      <c r="A319" s="314" t="s">
        <v>5424</v>
      </c>
      <c r="B319" s="315" t="s">
        <v>348</v>
      </c>
      <c r="C319" s="314"/>
      <c r="D319" s="314"/>
      <c r="E319" s="314"/>
      <c r="F319" s="314"/>
      <c r="G319" s="314"/>
      <c r="H319" s="316"/>
      <c r="I319" s="317"/>
      <c r="J319" s="314">
        <v>54097</v>
      </c>
      <c r="K319" s="314" t="s">
        <v>5425</v>
      </c>
      <c r="L319" s="318">
        <v>354.53391827208202</v>
      </c>
      <c r="M319" s="319">
        <v>24604</v>
      </c>
      <c r="N319" s="320">
        <v>69.398155527443805</v>
      </c>
      <c r="O319" s="319">
        <v>9341</v>
      </c>
      <c r="P319" s="320">
        <v>2.5</v>
      </c>
      <c r="Q319" s="319">
        <v>23348</v>
      </c>
      <c r="R319" s="319">
        <v>1101</v>
      </c>
      <c r="S319" s="319">
        <v>638</v>
      </c>
      <c r="T319" s="319">
        <v>637</v>
      </c>
      <c r="U319" s="319">
        <v>607</v>
      </c>
      <c r="V319" s="319">
        <v>638</v>
      </c>
      <c r="W319" s="319">
        <v>494</v>
      </c>
      <c r="X319" s="319">
        <v>601</v>
      </c>
      <c r="Y319" s="319">
        <v>438</v>
      </c>
      <c r="Z319" s="319">
        <v>363</v>
      </c>
      <c r="AA319" s="319">
        <v>866</v>
      </c>
      <c r="AB319" s="319">
        <v>868</v>
      </c>
      <c r="AC319" s="319">
        <v>911</v>
      </c>
      <c r="AD319" s="319">
        <v>606</v>
      </c>
      <c r="AE319" s="319">
        <v>291</v>
      </c>
      <c r="AF319" s="319">
        <v>180</v>
      </c>
      <c r="AG319" s="319">
        <v>102</v>
      </c>
      <c r="AH319" s="320">
        <v>25.43624879563216</v>
      </c>
      <c r="AI319" s="320">
        <v>13.328337437105233</v>
      </c>
      <c r="AJ319" s="320">
        <v>20.297612675302428</v>
      </c>
      <c r="AK319" s="320">
        <v>9.2709560004282192</v>
      </c>
      <c r="AL319" s="320">
        <v>31.666845091531954</v>
      </c>
      <c r="AM319" s="319">
        <v>21279</v>
      </c>
      <c r="AN319" s="319">
        <v>39434</v>
      </c>
      <c r="AO319" s="320">
        <v>55.176105342040472</v>
      </c>
      <c r="AP319" s="319">
        <v>9341</v>
      </c>
      <c r="AQ319" s="319">
        <v>1952</v>
      </c>
      <c r="AR319" s="319">
        <v>6962</v>
      </c>
      <c r="AS319" s="319">
        <v>2379</v>
      </c>
      <c r="AT319" s="319">
        <v>521</v>
      </c>
      <c r="AU319" s="319">
        <v>463</v>
      </c>
      <c r="AV319" s="319">
        <v>1051</v>
      </c>
      <c r="AW319" s="319">
        <v>750</v>
      </c>
      <c r="AX319" s="319">
        <v>306</v>
      </c>
      <c r="AY319" s="319">
        <v>544</v>
      </c>
      <c r="AZ319" s="319">
        <v>865</v>
      </c>
      <c r="BA319" s="319">
        <v>308</v>
      </c>
      <c r="BB319" s="319">
        <v>182</v>
      </c>
      <c r="BC319" s="319">
        <v>1377</v>
      </c>
      <c r="BD319" s="319">
        <v>294</v>
      </c>
      <c r="BE319" s="319">
        <v>22</v>
      </c>
      <c r="BF319" s="319">
        <v>1870</v>
      </c>
      <c r="BG319" s="319">
        <v>154</v>
      </c>
      <c r="BH319" s="319">
        <v>0</v>
      </c>
      <c r="BI319" s="320">
        <v>19.25917995931913</v>
      </c>
      <c r="BJ319" s="321">
        <v>5.5</v>
      </c>
      <c r="BK319" s="321">
        <v>6.1</v>
      </c>
      <c r="BL319" s="321">
        <v>5.6</v>
      </c>
      <c r="BM319" s="321">
        <v>6.8</v>
      </c>
      <c r="BN319" s="321">
        <v>7.9</v>
      </c>
      <c r="BO319" s="321">
        <v>5.6</v>
      </c>
      <c r="BP319" s="321">
        <v>5.3</v>
      </c>
      <c r="BQ319" s="321">
        <v>4.5</v>
      </c>
      <c r="BR319" s="321">
        <v>6.7</v>
      </c>
      <c r="BS319" s="321">
        <v>6.3</v>
      </c>
      <c r="BT319" s="321">
        <v>6.8</v>
      </c>
      <c r="BU319" s="321">
        <v>6.9</v>
      </c>
      <c r="BV319" s="321">
        <v>7</v>
      </c>
      <c r="BW319" s="321">
        <v>6.3</v>
      </c>
      <c r="BX319" s="321">
        <v>4.5999999999999996</v>
      </c>
      <c r="BY319" s="321">
        <v>3.8</v>
      </c>
      <c r="BZ319" s="321">
        <v>2</v>
      </c>
      <c r="CA319" s="321">
        <v>2.1</v>
      </c>
      <c r="CB319" s="321">
        <v>17.2</v>
      </c>
      <c r="CC319" s="321">
        <v>63.79999999999999</v>
      </c>
      <c r="CD319" s="321">
        <v>18.8</v>
      </c>
    </row>
    <row r="320" spans="1:82" s="308" customFormat="1" x14ac:dyDescent="0.25">
      <c r="A320" s="301" t="s">
        <v>353</v>
      </c>
      <c r="B320" s="301" t="s">
        <v>84</v>
      </c>
      <c r="C320" s="301" t="s">
        <v>5426</v>
      </c>
      <c r="D320" s="301" t="s">
        <v>85</v>
      </c>
      <c r="E320" s="301" t="s">
        <v>5427</v>
      </c>
      <c r="F320" s="301" t="s">
        <v>4272</v>
      </c>
      <c r="G320" s="301" t="s">
        <v>5428</v>
      </c>
      <c r="H320" s="302">
        <v>540200</v>
      </c>
      <c r="I320" s="303" t="s">
        <v>1596</v>
      </c>
      <c r="J320" s="301" t="s">
        <v>488</v>
      </c>
      <c r="K320" s="301" t="s">
        <v>488</v>
      </c>
      <c r="L320" s="304">
        <v>505.27640204589784</v>
      </c>
      <c r="M320" s="305">
        <v>30560</v>
      </c>
      <c r="N320" s="306">
        <v>60.4817479626211</v>
      </c>
      <c r="O320" s="305">
        <v>11898</v>
      </c>
      <c r="P320" s="306">
        <v>2.5765674903345102</v>
      </c>
      <c r="Q320" s="305">
        <v>30656</v>
      </c>
      <c r="R320" s="305">
        <v>1450</v>
      </c>
      <c r="S320" s="305">
        <v>804</v>
      </c>
      <c r="T320" s="305">
        <v>711</v>
      </c>
      <c r="U320" s="305">
        <v>740</v>
      </c>
      <c r="V320" s="305">
        <v>898</v>
      </c>
      <c r="W320" s="305">
        <v>702</v>
      </c>
      <c r="X320" s="305">
        <v>354</v>
      </c>
      <c r="Y320" s="305">
        <v>606</v>
      </c>
      <c r="Z320" s="305">
        <v>517</v>
      </c>
      <c r="AA320" s="305">
        <v>1302</v>
      </c>
      <c r="AB320" s="305">
        <v>1281</v>
      </c>
      <c r="AC320" s="305">
        <v>1263</v>
      </c>
      <c r="AD320" s="305">
        <v>555</v>
      </c>
      <c r="AE320" s="305">
        <v>271</v>
      </c>
      <c r="AF320" s="305">
        <v>253</v>
      </c>
      <c r="AG320" s="305">
        <v>192</v>
      </c>
      <c r="AH320" s="306">
        <v>24.920154647839972</v>
      </c>
      <c r="AI320" s="306">
        <v>13.767019667170954</v>
      </c>
      <c r="AJ320" s="306">
        <v>18.314002353336694</v>
      </c>
      <c r="AK320" s="306">
        <v>10.943015632879476</v>
      </c>
      <c r="AL320" s="306">
        <v>32.064212472684481</v>
      </c>
      <c r="AM320" s="305">
        <v>20582</v>
      </c>
      <c r="AN320" s="305">
        <v>38905</v>
      </c>
      <c r="AO320" s="306">
        <v>52.655908556059842</v>
      </c>
      <c r="AP320" s="305">
        <v>11898</v>
      </c>
      <c r="AQ320" s="305">
        <v>2049</v>
      </c>
      <c r="AR320" s="305">
        <v>9636</v>
      </c>
      <c r="AS320" s="305">
        <v>2262</v>
      </c>
      <c r="AT320" s="305">
        <v>493</v>
      </c>
      <c r="AU320" s="305">
        <v>490</v>
      </c>
      <c r="AV320" s="305">
        <v>1270</v>
      </c>
      <c r="AW320" s="305">
        <v>1355</v>
      </c>
      <c r="AX320" s="305">
        <v>363</v>
      </c>
      <c r="AY320" s="305">
        <v>378</v>
      </c>
      <c r="AZ320" s="305">
        <v>997</v>
      </c>
      <c r="BA320" s="305">
        <v>372</v>
      </c>
      <c r="BB320" s="305">
        <v>43</v>
      </c>
      <c r="BC320" s="305">
        <v>1762</v>
      </c>
      <c r="BD320" s="305">
        <v>459</v>
      </c>
      <c r="BE320" s="305">
        <v>108</v>
      </c>
      <c r="BF320" s="305">
        <v>2336</v>
      </c>
      <c r="BG320" s="305">
        <v>177</v>
      </c>
      <c r="BH320" s="305">
        <v>0</v>
      </c>
      <c r="BI320" s="306">
        <v>15.120188266935619</v>
      </c>
      <c r="BJ320" s="307">
        <v>5.3</v>
      </c>
      <c r="BK320" s="307">
        <v>5</v>
      </c>
      <c r="BL320" s="307">
        <v>7</v>
      </c>
      <c r="BM320" s="307">
        <v>6</v>
      </c>
      <c r="BN320" s="307">
        <v>5.6</v>
      </c>
      <c r="BO320" s="307">
        <v>5.4</v>
      </c>
      <c r="BP320" s="307">
        <v>5.3</v>
      </c>
      <c r="BQ320" s="307">
        <v>6.3</v>
      </c>
      <c r="BR320" s="307">
        <v>6.3</v>
      </c>
      <c r="BS320" s="307">
        <v>6.8</v>
      </c>
      <c r="BT320" s="307">
        <v>7</v>
      </c>
      <c r="BU320" s="307">
        <v>8</v>
      </c>
      <c r="BV320" s="307">
        <v>6.8</v>
      </c>
      <c r="BW320" s="307">
        <v>6.8</v>
      </c>
      <c r="BX320" s="307">
        <v>4.4000000000000004</v>
      </c>
      <c r="BY320" s="307">
        <v>3</v>
      </c>
      <c r="BZ320" s="307">
        <v>2.5</v>
      </c>
      <c r="CA320" s="307">
        <v>2.6</v>
      </c>
      <c r="CB320" s="307">
        <v>17.3</v>
      </c>
      <c r="CC320" s="307">
        <v>63.499999999999993</v>
      </c>
      <c r="CD320" s="307">
        <v>19.3</v>
      </c>
    </row>
    <row r="321" spans="1:82" x14ac:dyDescent="0.25">
      <c r="A321" s="130" t="s">
        <v>5429</v>
      </c>
      <c r="B321" s="130" t="s">
        <v>282</v>
      </c>
      <c r="C321" s="130" t="s">
        <v>5430</v>
      </c>
      <c r="D321" s="130" t="s">
        <v>85</v>
      </c>
      <c r="E321" s="130" t="s">
        <v>5427</v>
      </c>
      <c r="F321" s="130" t="s">
        <v>4272</v>
      </c>
      <c r="G321" s="130" t="s">
        <v>5431</v>
      </c>
      <c r="H321" s="309">
        <v>540232</v>
      </c>
      <c r="I321" s="277" t="s">
        <v>1600</v>
      </c>
      <c r="J321" s="130">
        <v>5414308</v>
      </c>
      <c r="K321" s="130" t="s">
        <v>5432</v>
      </c>
      <c r="L321" s="310">
        <v>2.1686786454592726</v>
      </c>
      <c r="M321" s="311">
        <v>1467</v>
      </c>
      <c r="N321" s="312">
        <v>676.44876896425819</v>
      </c>
      <c r="O321" s="311">
        <v>555</v>
      </c>
      <c r="P321" s="312">
        <v>2.62</v>
      </c>
      <c r="Q321" s="311">
        <v>1452</v>
      </c>
      <c r="R321" s="311">
        <v>55</v>
      </c>
      <c r="S321" s="311">
        <v>14</v>
      </c>
      <c r="T321" s="311">
        <v>14</v>
      </c>
      <c r="U321" s="311">
        <v>45</v>
      </c>
      <c r="V321" s="311">
        <v>5</v>
      </c>
      <c r="W321" s="311">
        <v>33</v>
      </c>
      <c r="X321" s="311">
        <v>30</v>
      </c>
      <c r="Y321" s="311">
        <v>34</v>
      </c>
      <c r="Z321" s="311">
        <v>20</v>
      </c>
      <c r="AA321" s="311">
        <v>42</v>
      </c>
      <c r="AB321" s="311">
        <v>53</v>
      </c>
      <c r="AC321" s="311">
        <v>69</v>
      </c>
      <c r="AD321" s="311">
        <v>52</v>
      </c>
      <c r="AE321" s="311">
        <v>69</v>
      </c>
      <c r="AF321" s="311">
        <v>12</v>
      </c>
      <c r="AG321" s="311">
        <v>8</v>
      </c>
      <c r="AH321" s="312">
        <v>14.954954954954955</v>
      </c>
      <c r="AI321" s="312">
        <v>9.0090090090090094</v>
      </c>
      <c r="AJ321" s="312">
        <v>21.081081081081081</v>
      </c>
      <c r="AK321" s="312">
        <v>7.5675675675675684</v>
      </c>
      <c r="AL321" s="312">
        <v>47.387387387387385</v>
      </c>
      <c r="AM321" s="311">
        <v>26913</v>
      </c>
      <c r="AN321" s="311">
        <v>55179</v>
      </c>
      <c r="AO321" s="312"/>
      <c r="AP321" s="311">
        <v>555</v>
      </c>
      <c r="AQ321" s="311">
        <v>117</v>
      </c>
      <c r="AR321" s="311">
        <v>392</v>
      </c>
      <c r="AS321" s="311">
        <v>163</v>
      </c>
      <c r="AT321" s="311">
        <v>5</v>
      </c>
      <c r="AU321" s="311">
        <v>10</v>
      </c>
      <c r="AV321" s="311">
        <v>54</v>
      </c>
      <c r="AW321" s="311">
        <v>53</v>
      </c>
      <c r="AX321" s="311">
        <v>5</v>
      </c>
      <c r="AY321" s="311">
        <v>20</v>
      </c>
      <c r="AZ321" s="311">
        <v>23</v>
      </c>
      <c r="BA321" s="311">
        <v>38</v>
      </c>
      <c r="BB321" s="311">
        <v>6</v>
      </c>
      <c r="BC321" s="311">
        <v>74</v>
      </c>
      <c r="BD321" s="311">
        <v>17</v>
      </c>
      <c r="BE321" s="311">
        <v>0</v>
      </c>
      <c r="BF321" s="311">
        <v>210</v>
      </c>
      <c r="BG321" s="311">
        <v>0</v>
      </c>
      <c r="BH321" s="311">
        <v>0</v>
      </c>
      <c r="BI321" s="312">
        <v>14.414414414414415</v>
      </c>
      <c r="BJ321" s="313">
        <v>6.3</v>
      </c>
      <c r="BK321" s="313">
        <v>2.2000000000000002</v>
      </c>
      <c r="BL321" s="313">
        <v>7</v>
      </c>
      <c r="BM321" s="313">
        <v>6.1</v>
      </c>
      <c r="BN321" s="313">
        <v>9.1</v>
      </c>
      <c r="BO321" s="313">
        <v>5.5</v>
      </c>
      <c r="BP321" s="313">
        <v>1.5</v>
      </c>
      <c r="BQ321" s="313">
        <v>8.1999999999999993</v>
      </c>
      <c r="BR321" s="313">
        <v>3.3</v>
      </c>
      <c r="BS321" s="313">
        <v>8.9</v>
      </c>
      <c r="BT321" s="313">
        <v>7.2</v>
      </c>
      <c r="BU321" s="313">
        <v>9.1</v>
      </c>
      <c r="BV321" s="313">
        <v>7</v>
      </c>
      <c r="BW321" s="313">
        <v>5.3</v>
      </c>
      <c r="BX321" s="313">
        <v>6.2</v>
      </c>
      <c r="BY321" s="313">
        <v>1.4</v>
      </c>
      <c r="BZ321" s="313">
        <v>3.5</v>
      </c>
      <c r="CA321" s="313">
        <v>2.5</v>
      </c>
      <c r="CB321" s="313">
        <v>15.5</v>
      </c>
      <c r="CC321" s="313">
        <v>65.900000000000006</v>
      </c>
      <c r="CD321" s="313">
        <v>18.899999999999999</v>
      </c>
    </row>
    <row r="322" spans="1:82" x14ac:dyDescent="0.25">
      <c r="A322" s="130" t="s">
        <v>5433</v>
      </c>
      <c r="B322" s="130" t="s">
        <v>262</v>
      </c>
      <c r="C322" s="130" t="s">
        <v>5434</v>
      </c>
      <c r="D322" s="130" t="s">
        <v>85</v>
      </c>
      <c r="E322" s="130" t="s">
        <v>5427</v>
      </c>
      <c r="F322" s="130" t="s">
        <v>4272</v>
      </c>
      <c r="G322" s="130" t="s">
        <v>5435</v>
      </c>
      <c r="H322" s="309">
        <v>540202</v>
      </c>
      <c r="I322" s="277" t="s">
        <v>1597</v>
      </c>
      <c r="J322" s="130">
        <v>5428516</v>
      </c>
      <c r="K322" s="130" t="s">
        <v>5436</v>
      </c>
      <c r="L322" s="310">
        <v>0.88533460334024539</v>
      </c>
      <c r="M322" s="311">
        <v>874</v>
      </c>
      <c r="N322" s="312">
        <v>987.19737905026921</v>
      </c>
      <c r="O322" s="311">
        <v>345</v>
      </c>
      <c r="P322" s="312">
        <v>2.5299999999999998</v>
      </c>
      <c r="Q322" s="311">
        <v>874</v>
      </c>
      <c r="R322" s="311">
        <v>101</v>
      </c>
      <c r="S322" s="311">
        <v>55</v>
      </c>
      <c r="T322" s="311">
        <v>28</v>
      </c>
      <c r="U322" s="311">
        <v>41</v>
      </c>
      <c r="V322" s="311">
        <v>13</v>
      </c>
      <c r="W322" s="311">
        <v>12</v>
      </c>
      <c r="X322" s="311">
        <v>0</v>
      </c>
      <c r="Y322" s="311">
        <v>32</v>
      </c>
      <c r="Z322" s="311">
        <v>19</v>
      </c>
      <c r="AA322" s="311">
        <v>22</v>
      </c>
      <c r="AB322" s="311">
        <v>11</v>
      </c>
      <c r="AC322" s="311">
        <v>11</v>
      </c>
      <c r="AD322" s="311">
        <v>0</v>
      </c>
      <c r="AE322" s="311">
        <v>0</v>
      </c>
      <c r="AF322" s="311">
        <v>0</v>
      </c>
      <c r="AG322" s="311">
        <v>0</v>
      </c>
      <c r="AH322" s="312">
        <v>53.333333333333336</v>
      </c>
      <c r="AI322" s="312">
        <v>15.65217391304348</v>
      </c>
      <c r="AJ322" s="312">
        <v>18.260869565217391</v>
      </c>
      <c r="AK322" s="312">
        <v>6.3768115942028984</v>
      </c>
      <c r="AL322" s="312">
        <v>6.3768115942028984</v>
      </c>
      <c r="AM322" s="311">
        <v>10511</v>
      </c>
      <c r="AN322" s="311">
        <v>16964</v>
      </c>
      <c r="AO322" s="312">
        <v>81.739130434782609</v>
      </c>
      <c r="AP322" s="311">
        <v>345</v>
      </c>
      <c r="AQ322" s="311">
        <v>118</v>
      </c>
      <c r="AR322" s="311">
        <v>115</v>
      </c>
      <c r="AS322" s="311">
        <v>230</v>
      </c>
      <c r="AT322" s="311">
        <v>25</v>
      </c>
      <c r="AU322" s="311">
        <v>11</v>
      </c>
      <c r="AV322" s="311">
        <v>102</v>
      </c>
      <c r="AW322" s="311">
        <v>27</v>
      </c>
      <c r="AX322" s="311">
        <v>24</v>
      </c>
      <c r="AY322" s="311">
        <v>10</v>
      </c>
      <c r="AZ322" s="311">
        <v>17</v>
      </c>
      <c r="BA322" s="311">
        <v>12</v>
      </c>
      <c r="BB322" s="311">
        <v>0</v>
      </c>
      <c r="BC322" s="311">
        <v>33</v>
      </c>
      <c r="BD322" s="311">
        <v>0</v>
      </c>
      <c r="BE322" s="311">
        <v>0</v>
      </c>
      <c r="BF322" s="311">
        <v>11</v>
      </c>
      <c r="BG322" s="311">
        <v>0</v>
      </c>
      <c r="BH322" s="311">
        <v>0</v>
      </c>
      <c r="BI322" s="312">
        <v>32.463768115942024</v>
      </c>
      <c r="BJ322" s="313">
        <v>6.3</v>
      </c>
      <c r="BK322" s="313">
        <v>8.6999999999999993</v>
      </c>
      <c r="BL322" s="313">
        <v>10.4</v>
      </c>
      <c r="BM322" s="313">
        <v>6.8</v>
      </c>
      <c r="BN322" s="313">
        <v>4.3</v>
      </c>
      <c r="BO322" s="313">
        <v>8.8000000000000007</v>
      </c>
      <c r="BP322" s="313">
        <v>4.3</v>
      </c>
      <c r="BQ322" s="313">
        <v>7.2</v>
      </c>
      <c r="BR322" s="313">
        <v>5.8</v>
      </c>
      <c r="BS322" s="313">
        <v>5.7</v>
      </c>
      <c r="BT322" s="313">
        <v>8.6</v>
      </c>
      <c r="BU322" s="313">
        <v>6.4</v>
      </c>
      <c r="BV322" s="313">
        <v>5.5</v>
      </c>
      <c r="BW322" s="313">
        <v>5.7</v>
      </c>
      <c r="BX322" s="313">
        <v>2.1</v>
      </c>
      <c r="BY322" s="313">
        <v>1.1000000000000001</v>
      </c>
      <c r="BZ322" s="313">
        <v>0</v>
      </c>
      <c r="CA322" s="313">
        <v>2.2000000000000002</v>
      </c>
      <c r="CB322" s="313">
        <v>25.4</v>
      </c>
      <c r="CC322" s="313">
        <v>63.4</v>
      </c>
      <c r="CD322" s="313">
        <v>11.100000000000001</v>
      </c>
    </row>
    <row r="323" spans="1:82" s="330" customFormat="1" x14ac:dyDescent="0.25">
      <c r="A323" s="323" t="s">
        <v>4384</v>
      </c>
      <c r="B323" s="323" t="s">
        <v>127</v>
      </c>
      <c r="C323" s="323" t="s">
        <v>5437</v>
      </c>
      <c r="D323" s="323" t="s">
        <v>618</v>
      </c>
      <c r="E323" s="323" t="s">
        <v>5427</v>
      </c>
      <c r="F323" s="323" t="s">
        <v>4272</v>
      </c>
      <c r="G323" s="323" t="s">
        <v>4386</v>
      </c>
      <c r="H323" s="324">
        <v>540018</v>
      </c>
      <c r="I323" s="325" t="s">
        <v>5438</v>
      </c>
      <c r="J323" s="323">
        <v>5439460</v>
      </c>
      <c r="K323" s="323" t="s">
        <v>4388</v>
      </c>
      <c r="L323" s="326">
        <v>1.3412977564072175</v>
      </c>
      <c r="M323" s="327">
        <v>3500</v>
      </c>
      <c r="N323" s="328">
        <v>2609.4131472903182</v>
      </c>
      <c r="O323" s="327">
        <v>1480</v>
      </c>
      <c r="P323" s="328">
        <v>2.21</v>
      </c>
      <c r="Q323" s="327">
        <v>3273</v>
      </c>
      <c r="R323" s="327">
        <v>252</v>
      </c>
      <c r="S323" s="327">
        <v>172</v>
      </c>
      <c r="T323" s="327">
        <v>121</v>
      </c>
      <c r="U323" s="327">
        <v>110</v>
      </c>
      <c r="V323" s="327">
        <v>78</v>
      </c>
      <c r="W323" s="327">
        <v>75</v>
      </c>
      <c r="X323" s="327">
        <v>64</v>
      </c>
      <c r="Y323" s="327">
        <v>65</v>
      </c>
      <c r="Z323" s="327">
        <v>59</v>
      </c>
      <c r="AA323" s="327">
        <v>92</v>
      </c>
      <c r="AB323" s="327">
        <v>106</v>
      </c>
      <c r="AC323" s="327">
        <v>133</v>
      </c>
      <c r="AD323" s="327">
        <v>59</v>
      </c>
      <c r="AE323" s="327">
        <v>32</v>
      </c>
      <c r="AF323" s="327">
        <v>22</v>
      </c>
      <c r="AG323" s="327">
        <v>39</v>
      </c>
      <c r="AH323" s="328">
        <v>36.824324324324323</v>
      </c>
      <c r="AI323" s="328">
        <v>12.702702702702704</v>
      </c>
      <c r="AJ323" s="328">
        <v>17.77027027027027</v>
      </c>
      <c r="AK323" s="328">
        <v>6.2162162162162167</v>
      </c>
      <c r="AL323" s="328">
        <v>26.418918918918919</v>
      </c>
      <c r="AM323" s="327">
        <v>21690</v>
      </c>
      <c r="AN323" s="327">
        <v>30359</v>
      </c>
      <c r="AO323" s="328">
        <v>63.310810810810814</v>
      </c>
      <c r="AP323" s="327">
        <v>1480</v>
      </c>
      <c r="AQ323" s="327">
        <v>308</v>
      </c>
      <c r="AR323" s="327">
        <v>742</v>
      </c>
      <c r="AS323" s="327">
        <v>738</v>
      </c>
      <c r="AT323" s="327">
        <v>57</v>
      </c>
      <c r="AU323" s="327">
        <v>51</v>
      </c>
      <c r="AV323" s="327">
        <v>366</v>
      </c>
      <c r="AW323" s="327">
        <v>76</v>
      </c>
      <c r="AX323" s="327">
        <v>67</v>
      </c>
      <c r="AY323" s="327">
        <v>115</v>
      </c>
      <c r="AZ323" s="327">
        <v>93</v>
      </c>
      <c r="BA323" s="327">
        <v>56</v>
      </c>
      <c r="BB323" s="327">
        <v>26</v>
      </c>
      <c r="BC323" s="327">
        <v>139</v>
      </c>
      <c r="BD323" s="327">
        <v>44</v>
      </c>
      <c r="BE323" s="327">
        <v>9</v>
      </c>
      <c r="BF323" s="327">
        <v>261</v>
      </c>
      <c r="BG323" s="327">
        <v>18</v>
      </c>
      <c r="BH323" s="327">
        <v>0</v>
      </c>
      <c r="BI323" s="328">
        <v>35</v>
      </c>
      <c r="BJ323" s="329">
        <v>6</v>
      </c>
      <c r="BK323" s="329">
        <v>5.3</v>
      </c>
      <c r="BL323" s="329">
        <v>5.2</v>
      </c>
      <c r="BM323" s="329">
        <v>7.7</v>
      </c>
      <c r="BN323" s="329">
        <v>13.9</v>
      </c>
      <c r="BO323" s="329">
        <v>7</v>
      </c>
      <c r="BP323" s="329">
        <v>6</v>
      </c>
      <c r="BQ323" s="329">
        <v>5.5</v>
      </c>
      <c r="BR323" s="329">
        <v>5.6</v>
      </c>
      <c r="BS323" s="329">
        <v>5.0999999999999996</v>
      </c>
      <c r="BT323" s="329">
        <v>5.6</v>
      </c>
      <c r="BU323" s="329">
        <v>5.9</v>
      </c>
      <c r="BV323" s="329">
        <v>6</v>
      </c>
      <c r="BW323" s="329">
        <v>5.3</v>
      </c>
      <c r="BX323" s="329">
        <v>3.4</v>
      </c>
      <c r="BY323" s="329">
        <v>2.8</v>
      </c>
      <c r="BZ323" s="329">
        <v>1.7</v>
      </c>
      <c r="CA323" s="329">
        <v>2.1</v>
      </c>
      <c r="CB323" s="329">
        <v>16.5</v>
      </c>
      <c r="CC323" s="329">
        <v>68.300000000000011</v>
      </c>
      <c r="CD323" s="329">
        <v>15.299999999999999</v>
      </c>
    </row>
    <row r="324" spans="1:82" x14ac:dyDescent="0.25">
      <c r="A324" s="130" t="s">
        <v>5439</v>
      </c>
      <c r="B324" s="130" t="s">
        <v>275</v>
      </c>
      <c r="C324" s="130" t="s">
        <v>5440</v>
      </c>
      <c r="D324" s="130" t="s">
        <v>85</v>
      </c>
      <c r="E324" s="130" t="s">
        <v>5427</v>
      </c>
      <c r="F324" s="130" t="s">
        <v>4272</v>
      </c>
      <c r="G324" s="130" t="s">
        <v>5441</v>
      </c>
      <c r="H324" s="309">
        <v>540221</v>
      </c>
      <c r="I324" s="277" t="s">
        <v>1598</v>
      </c>
      <c r="J324" s="130">
        <v>5443180</v>
      </c>
      <c r="K324" s="130" t="s">
        <v>5442</v>
      </c>
      <c r="L324" s="310">
        <v>1.6485103589403929</v>
      </c>
      <c r="M324" s="311">
        <v>3083</v>
      </c>
      <c r="N324" s="312">
        <v>1870.1732647780564</v>
      </c>
      <c r="O324" s="311">
        <v>1329</v>
      </c>
      <c r="P324" s="312">
        <v>2.31</v>
      </c>
      <c r="Q324" s="311">
        <v>3073</v>
      </c>
      <c r="R324" s="311">
        <v>198</v>
      </c>
      <c r="S324" s="311">
        <v>74</v>
      </c>
      <c r="T324" s="311">
        <v>122</v>
      </c>
      <c r="U324" s="311">
        <v>21</v>
      </c>
      <c r="V324" s="311">
        <v>81</v>
      </c>
      <c r="W324" s="311">
        <v>205</v>
      </c>
      <c r="X324" s="311">
        <v>58</v>
      </c>
      <c r="Y324" s="311">
        <v>93</v>
      </c>
      <c r="Z324" s="311">
        <v>11</v>
      </c>
      <c r="AA324" s="311">
        <v>45</v>
      </c>
      <c r="AB324" s="311">
        <v>327</v>
      </c>
      <c r="AC324" s="311">
        <v>25</v>
      </c>
      <c r="AD324" s="311">
        <v>50</v>
      </c>
      <c r="AE324" s="311">
        <v>19</v>
      </c>
      <c r="AF324" s="311">
        <v>0</v>
      </c>
      <c r="AG324" s="311">
        <v>0</v>
      </c>
      <c r="AH324" s="312">
        <v>29.646350639578628</v>
      </c>
      <c r="AI324" s="312">
        <v>7.6749435665914216</v>
      </c>
      <c r="AJ324" s="312">
        <v>27.614747930775017</v>
      </c>
      <c r="AK324" s="312">
        <v>3.3860045146726865</v>
      </c>
      <c r="AL324" s="312">
        <v>31.677953348382243</v>
      </c>
      <c r="AM324" s="311">
        <v>18758</v>
      </c>
      <c r="AN324" s="311">
        <v>34131</v>
      </c>
      <c r="AO324" s="312">
        <v>64.108352144469521</v>
      </c>
      <c r="AP324" s="311">
        <v>1329</v>
      </c>
      <c r="AQ324" s="311">
        <v>272</v>
      </c>
      <c r="AR324" s="311">
        <v>965</v>
      </c>
      <c r="AS324" s="311">
        <v>364</v>
      </c>
      <c r="AT324" s="311">
        <v>20</v>
      </c>
      <c r="AU324" s="311">
        <v>101</v>
      </c>
      <c r="AV324" s="311">
        <v>236</v>
      </c>
      <c r="AW324" s="311">
        <v>86</v>
      </c>
      <c r="AX324" s="311">
        <v>123</v>
      </c>
      <c r="AY324" s="311">
        <v>98</v>
      </c>
      <c r="AZ324" s="311">
        <v>51</v>
      </c>
      <c r="BA324" s="311">
        <v>111</v>
      </c>
      <c r="BB324" s="311">
        <v>0</v>
      </c>
      <c r="BC324" s="311">
        <v>337</v>
      </c>
      <c r="BD324" s="311">
        <v>35</v>
      </c>
      <c r="BE324" s="311">
        <v>0</v>
      </c>
      <c r="BF324" s="311">
        <v>94</v>
      </c>
      <c r="BG324" s="311">
        <v>0</v>
      </c>
      <c r="BH324" s="311">
        <v>0</v>
      </c>
      <c r="BI324" s="312">
        <v>25.13167795334838</v>
      </c>
      <c r="BJ324" s="313">
        <v>3.3</v>
      </c>
      <c r="BK324" s="313">
        <v>6.7</v>
      </c>
      <c r="BL324" s="313">
        <v>6.9</v>
      </c>
      <c r="BM324" s="313">
        <v>1.2</v>
      </c>
      <c r="BN324" s="313">
        <v>7.2</v>
      </c>
      <c r="BO324" s="313">
        <v>4.0999999999999996</v>
      </c>
      <c r="BP324" s="313">
        <v>11.7</v>
      </c>
      <c r="BQ324" s="313">
        <v>7.4</v>
      </c>
      <c r="BR324" s="313">
        <v>4</v>
      </c>
      <c r="BS324" s="313">
        <v>3.3</v>
      </c>
      <c r="BT324" s="313">
        <v>7.4</v>
      </c>
      <c r="BU324" s="313">
        <v>7.1</v>
      </c>
      <c r="BV324" s="313">
        <v>5.6</v>
      </c>
      <c r="BW324" s="313">
        <v>10.3</v>
      </c>
      <c r="BX324" s="313">
        <v>3.4</v>
      </c>
      <c r="BY324" s="313">
        <v>2.7</v>
      </c>
      <c r="BZ324" s="313">
        <v>3</v>
      </c>
      <c r="CA324" s="313">
        <v>4.8</v>
      </c>
      <c r="CB324" s="313">
        <v>16.899999999999999</v>
      </c>
      <c r="CC324" s="313">
        <v>59</v>
      </c>
      <c r="CD324" s="313">
        <v>24.200000000000003</v>
      </c>
    </row>
    <row r="325" spans="1:82" x14ac:dyDescent="0.25">
      <c r="A325" s="130" t="s">
        <v>5443</v>
      </c>
      <c r="B325" s="130" t="s">
        <v>281</v>
      </c>
      <c r="C325" s="130" t="s">
        <v>5444</v>
      </c>
      <c r="D325" s="130" t="s">
        <v>85</v>
      </c>
      <c r="E325" s="130" t="s">
        <v>5427</v>
      </c>
      <c r="F325" s="130" t="s">
        <v>4272</v>
      </c>
      <c r="G325" s="130" t="s">
        <v>5445</v>
      </c>
      <c r="H325" s="309">
        <v>540231</v>
      </c>
      <c r="I325" s="277" t="s">
        <v>1599</v>
      </c>
      <c r="J325" s="130">
        <v>5484940</v>
      </c>
      <c r="K325" s="130" t="s">
        <v>5446</v>
      </c>
      <c r="L325" s="310">
        <v>0.83257621426234407</v>
      </c>
      <c r="M325" s="311">
        <v>1579</v>
      </c>
      <c r="N325" s="312">
        <v>1896.5230725441531</v>
      </c>
      <c r="O325" s="311">
        <v>698</v>
      </c>
      <c r="P325" s="312">
        <v>2.2599999999999998</v>
      </c>
      <c r="Q325" s="311">
        <v>1579</v>
      </c>
      <c r="R325" s="311">
        <v>150</v>
      </c>
      <c r="S325" s="311">
        <v>110</v>
      </c>
      <c r="T325" s="311">
        <v>89</v>
      </c>
      <c r="U325" s="311">
        <v>35</v>
      </c>
      <c r="V325" s="311">
        <v>51</v>
      </c>
      <c r="W325" s="311">
        <v>44</v>
      </c>
      <c r="X325" s="311">
        <v>54</v>
      </c>
      <c r="Y325" s="311">
        <v>26</v>
      </c>
      <c r="Z325" s="311">
        <v>30</v>
      </c>
      <c r="AA325" s="311">
        <v>28</v>
      </c>
      <c r="AB325" s="311">
        <v>39</v>
      </c>
      <c r="AC325" s="311">
        <v>26</v>
      </c>
      <c r="AD325" s="311">
        <v>1</v>
      </c>
      <c r="AE325" s="311">
        <v>15</v>
      </c>
      <c r="AF325" s="311">
        <v>0</v>
      </c>
      <c r="AG325" s="311">
        <v>0</v>
      </c>
      <c r="AH325" s="312">
        <v>50</v>
      </c>
      <c r="AI325" s="312">
        <v>12.320916905444127</v>
      </c>
      <c r="AJ325" s="312">
        <v>22.063037249283667</v>
      </c>
      <c r="AK325" s="312">
        <v>4.0114613180515759</v>
      </c>
      <c r="AL325" s="312">
        <v>11.604584527220631</v>
      </c>
      <c r="AM325" s="311">
        <v>13490</v>
      </c>
      <c r="AN325" s="311">
        <v>20000</v>
      </c>
      <c r="AO325" s="312">
        <v>80.085959885386814</v>
      </c>
      <c r="AP325" s="311">
        <v>698</v>
      </c>
      <c r="AQ325" s="311">
        <v>159</v>
      </c>
      <c r="AR325" s="311">
        <v>332</v>
      </c>
      <c r="AS325" s="311">
        <v>366</v>
      </c>
      <c r="AT325" s="311">
        <v>28</v>
      </c>
      <c r="AU325" s="311">
        <v>72</v>
      </c>
      <c r="AV325" s="311">
        <v>195</v>
      </c>
      <c r="AW325" s="311">
        <v>63</v>
      </c>
      <c r="AX325" s="311">
        <v>34</v>
      </c>
      <c r="AY325" s="311">
        <v>33</v>
      </c>
      <c r="AZ325" s="311">
        <v>55</v>
      </c>
      <c r="BA325" s="311">
        <v>41</v>
      </c>
      <c r="BB325" s="311">
        <v>14</v>
      </c>
      <c r="BC325" s="311">
        <v>60</v>
      </c>
      <c r="BD325" s="311">
        <v>7</v>
      </c>
      <c r="BE325" s="311">
        <v>0</v>
      </c>
      <c r="BF325" s="311">
        <v>42</v>
      </c>
      <c r="BG325" s="311">
        <v>0</v>
      </c>
      <c r="BH325" s="311">
        <v>0</v>
      </c>
      <c r="BI325" s="312">
        <v>34.670487106017191</v>
      </c>
      <c r="BJ325" s="313">
        <v>5.6</v>
      </c>
      <c r="BK325" s="313">
        <v>6.1</v>
      </c>
      <c r="BL325" s="313">
        <v>9</v>
      </c>
      <c r="BM325" s="313">
        <v>6.7</v>
      </c>
      <c r="BN325" s="313">
        <v>3.5</v>
      </c>
      <c r="BO325" s="313">
        <v>7.2</v>
      </c>
      <c r="BP325" s="313">
        <v>7.7</v>
      </c>
      <c r="BQ325" s="313">
        <v>3.3</v>
      </c>
      <c r="BR325" s="313">
        <v>9</v>
      </c>
      <c r="BS325" s="313">
        <v>9.1</v>
      </c>
      <c r="BT325" s="313">
        <v>4.8</v>
      </c>
      <c r="BU325" s="313">
        <v>5.8</v>
      </c>
      <c r="BV325" s="313">
        <v>2.4</v>
      </c>
      <c r="BW325" s="313">
        <v>9.1</v>
      </c>
      <c r="BX325" s="313">
        <v>3.9</v>
      </c>
      <c r="BY325" s="313">
        <v>3.2</v>
      </c>
      <c r="BZ325" s="313">
        <v>1.7</v>
      </c>
      <c r="CA325" s="313">
        <v>1.8</v>
      </c>
      <c r="CB325" s="313">
        <v>20.7</v>
      </c>
      <c r="CC325" s="313">
        <v>59.499999999999993</v>
      </c>
      <c r="CD325" s="313">
        <v>19.7</v>
      </c>
    </row>
    <row r="326" spans="1:82" s="322" customFormat="1" x14ac:dyDescent="0.25">
      <c r="A326" s="314" t="s">
        <v>5447</v>
      </c>
      <c r="B326" s="315" t="s">
        <v>348</v>
      </c>
      <c r="C326" s="314"/>
      <c r="D326" s="314"/>
      <c r="E326" s="314"/>
      <c r="F326" s="314"/>
      <c r="G326" s="314"/>
      <c r="H326" s="316"/>
      <c r="I326" s="317"/>
      <c r="J326" s="314">
        <v>54099</v>
      </c>
      <c r="K326" s="314" t="s">
        <v>5448</v>
      </c>
      <c r="L326" s="318">
        <v>512.15279962430736</v>
      </c>
      <c r="M326" s="319">
        <v>41063</v>
      </c>
      <c r="N326" s="320">
        <v>80.177244037564577</v>
      </c>
      <c r="O326" s="319">
        <v>16305</v>
      </c>
      <c r="P326" s="320">
        <v>2.5099999999999998</v>
      </c>
      <c r="Q326" s="319">
        <v>40907</v>
      </c>
      <c r="R326" s="319">
        <v>2206</v>
      </c>
      <c r="S326" s="319">
        <v>1229</v>
      </c>
      <c r="T326" s="319">
        <v>1085</v>
      </c>
      <c r="U326" s="319">
        <v>992</v>
      </c>
      <c r="V326" s="319">
        <v>1126</v>
      </c>
      <c r="W326" s="319">
        <v>1071</v>
      </c>
      <c r="X326" s="319">
        <v>560</v>
      </c>
      <c r="Y326" s="319">
        <v>856</v>
      </c>
      <c r="Z326" s="319">
        <v>656</v>
      </c>
      <c r="AA326" s="319">
        <v>1531</v>
      </c>
      <c r="AB326" s="319">
        <v>1817</v>
      </c>
      <c r="AC326" s="319">
        <v>1527</v>
      </c>
      <c r="AD326" s="319">
        <v>717</v>
      </c>
      <c r="AE326" s="319">
        <v>406</v>
      </c>
      <c r="AF326" s="319">
        <v>287</v>
      </c>
      <c r="AG326" s="319">
        <v>239</v>
      </c>
      <c r="AH326" s="320">
        <v>27.721557804354489</v>
      </c>
      <c r="AI326" s="320">
        <v>12.989880404783808</v>
      </c>
      <c r="AJ326" s="320">
        <v>19.276295614842073</v>
      </c>
      <c r="AK326" s="320">
        <v>9.3897577430236119</v>
      </c>
      <c r="AL326" s="320">
        <v>30.622508432996014</v>
      </c>
      <c r="AM326" s="319">
        <v>20582</v>
      </c>
      <c r="AN326" s="319">
        <v>38905</v>
      </c>
      <c r="AO326" s="320">
        <v>55.964428089543084</v>
      </c>
      <c r="AP326" s="319">
        <v>16305</v>
      </c>
      <c r="AQ326" s="319">
        <v>3023</v>
      </c>
      <c r="AR326" s="319">
        <v>12182</v>
      </c>
      <c r="AS326" s="319">
        <v>4123</v>
      </c>
      <c r="AT326" s="319">
        <v>628</v>
      </c>
      <c r="AU326" s="319">
        <v>735</v>
      </c>
      <c r="AV326" s="319">
        <v>2223</v>
      </c>
      <c r="AW326" s="319">
        <v>1660</v>
      </c>
      <c r="AX326" s="319">
        <v>616</v>
      </c>
      <c r="AY326" s="319">
        <v>654</v>
      </c>
      <c r="AZ326" s="319">
        <v>1236</v>
      </c>
      <c r="BA326" s="319">
        <v>630</v>
      </c>
      <c r="BB326" s="319">
        <v>89</v>
      </c>
      <c r="BC326" s="319">
        <v>2405</v>
      </c>
      <c r="BD326" s="319">
        <v>562</v>
      </c>
      <c r="BE326" s="319">
        <v>117</v>
      </c>
      <c r="BF326" s="319">
        <v>2954</v>
      </c>
      <c r="BG326" s="319">
        <v>195</v>
      </c>
      <c r="BH326" s="319">
        <v>0</v>
      </c>
      <c r="BI326" s="320">
        <v>18.908310334253297</v>
      </c>
      <c r="BJ326" s="321">
        <v>5.3</v>
      </c>
      <c r="BK326" s="321">
        <v>5</v>
      </c>
      <c r="BL326" s="321">
        <v>7</v>
      </c>
      <c r="BM326" s="321">
        <v>6</v>
      </c>
      <c r="BN326" s="321">
        <v>5.6</v>
      </c>
      <c r="BO326" s="321">
        <v>5.4</v>
      </c>
      <c r="BP326" s="321">
        <v>5.3</v>
      </c>
      <c r="BQ326" s="321">
        <v>6.3</v>
      </c>
      <c r="BR326" s="321">
        <v>6.3</v>
      </c>
      <c r="BS326" s="321">
        <v>6.8</v>
      </c>
      <c r="BT326" s="321">
        <v>7</v>
      </c>
      <c r="BU326" s="321">
        <v>8</v>
      </c>
      <c r="BV326" s="321">
        <v>6.8</v>
      </c>
      <c r="BW326" s="321">
        <v>6.8</v>
      </c>
      <c r="BX326" s="321">
        <v>4.4000000000000004</v>
      </c>
      <c r="BY326" s="321">
        <v>3</v>
      </c>
      <c r="BZ326" s="321">
        <v>2.5</v>
      </c>
      <c r="CA326" s="321">
        <v>2.6</v>
      </c>
      <c r="CB326" s="321">
        <v>17.3</v>
      </c>
      <c r="CC326" s="321">
        <v>63.499999999999993</v>
      </c>
      <c r="CD326" s="321">
        <v>19.3</v>
      </c>
    </row>
    <row r="327" spans="1:82" s="308" customFormat="1" x14ac:dyDescent="0.25">
      <c r="A327" s="301" t="s">
        <v>5449</v>
      </c>
      <c r="B327" s="301" t="s">
        <v>86</v>
      </c>
      <c r="C327" s="301" t="s">
        <v>5450</v>
      </c>
      <c r="D327" s="301" t="s">
        <v>87</v>
      </c>
      <c r="E327" s="301" t="s">
        <v>5451</v>
      </c>
      <c r="F327" s="301" t="s">
        <v>4272</v>
      </c>
      <c r="G327" s="301" t="s">
        <v>5452</v>
      </c>
      <c r="H327" s="302">
        <v>540203</v>
      </c>
      <c r="I327" s="303" t="s">
        <v>1601</v>
      </c>
      <c r="J327" s="301" t="s">
        <v>488</v>
      </c>
      <c r="K327" s="301" t="s">
        <v>488</v>
      </c>
      <c r="L327" s="304">
        <v>554.36863502366123</v>
      </c>
      <c r="M327" s="305">
        <v>6904</v>
      </c>
      <c r="N327" s="306">
        <v>12.453807022659801</v>
      </c>
      <c r="O327" s="305">
        <v>2886</v>
      </c>
      <c r="P327" s="306">
        <v>2.3728343728343728</v>
      </c>
      <c r="Q327" s="305">
        <v>6848</v>
      </c>
      <c r="R327" s="305">
        <v>430</v>
      </c>
      <c r="S327" s="305">
        <v>289</v>
      </c>
      <c r="T327" s="305">
        <v>273</v>
      </c>
      <c r="U327" s="305">
        <v>202</v>
      </c>
      <c r="V327" s="305">
        <v>123</v>
      </c>
      <c r="W327" s="305">
        <v>143</v>
      </c>
      <c r="X327" s="305">
        <v>138</v>
      </c>
      <c r="Y327" s="305">
        <v>182</v>
      </c>
      <c r="Z327" s="305">
        <v>126</v>
      </c>
      <c r="AA327" s="305">
        <v>314</v>
      </c>
      <c r="AB327" s="305">
        <v>214</v>
      </c>
      <c r="AC327" s="305">
        <v>259</v>
      </c>
      <c r="AD327" s="305">
        <v>103</v>
      </c>
      <c r="AE327" s="305">
        <v>30</v>
      </c>
      <c r="AF327" s="305">
        <v>29</v>
      </c>
      <c r="AG327" s="305">
        <v>31</v>
      </c>
      <c r="AH327" s="306">
        <v>34.372834372834369</v>
      </c>
      <c r="AI327" s="306">
        <v>11.261261261261261</v>
      </c>
      <c r="AJ327" s="306">
        <v>20.40887040887041</v>
      </c>
      <c r="AK327" s="306">
        <v>10.88011088011088</v>
      </c>
      <c r="AL327" s="306">
        <v>23.076923076923077</v>
      </c>
      <c r="AM327" s="305">
        <v>20314</v>
      </c>
      <c r="AN327" s="305">
        <v>33390</v>
      </c>
      <c r="AO327" s="306">
        <v>61.677061677061673</v>
      </c>
      <c r="AP327" s="305">
        <v>2886</v>
      </c>
      <c r="AQ327" s="305">
        <v>1600</v>
      </c>
      <c r="AR327" s="305">
        <v>2127</v>
      </c>
      <c r="AS327" s="305">
        <v>759</v>
      </c>
      <c r="AT327" s="305">
        <v>213</v>
      </c>
      <c r="AU327" s="305">
        <v>96</v>
      </c>
      <c r="AV327" s="305">
        <v>420</v>
      </c>
      <c r="AW327" s="305">
        <v>214</v>
      </c>
      <c r="AX327" s="305">
        <v>97</v>
      </c>
      <c r="AY327" s="305">
        <v>117</v>
      </c>
      <c r="AZ327" s="305">
        <v>330</v>
      </c>
      <c r="BA327" s="305">
        <v>85</v>
      </c>
      <c r="BB327" s="305">
        <v>7</v>
      </c>
      <c r="BC327" s="305">
        <v>434</v>
      </c>
      <c r="BD327" s="305">
        <v>17</v>
      </c>
      <c r="BE327" s="305">
        <v>26</v>
      </c>
      <c r="BF327" s="305">
        <v>452</v>
      </c>
      <c r="BG327" s="305">
        <v>0</v>
      </c>
      <c r="BH327" s="305">
        <v>0</v>
      </c>
      <c r="BI327" s="306">
        <v>19.75051975051975</v>
      </c>
      <c r="BJ327" s="307">
        <v>5.5</v>
      </c>
      <c r="BK327" s="307">
        <v>6.4</v>
      </c>
      <c r="BL327" s="307">
        <v>5</v>
      </c>
      <c r="BM327" s="307">
        <v>5.3</v>
      </c>
      <c r="BN327" s="307">
        <v>5.3</v>
      </c>
      <c r="BO327" s="307">
        <v>4.7</v>
      </c>
      <c r="BP327" s="307">
        <v>4.7</v>
      </c>
      <c r="BQ327" s="307">
        <v>5.3</v>
      </c>
      <c r="BR327" s="307">
        <v>6.3</v>
      </c>
      <c r="BS327" s="307">
        <v>6.7</v>
      </c>
      <c r="BT327" s="307">
        <v>7.2</v>
      </c>
      <c r="BU327" s="307">
        <v>8</v>
      </c>
      <c r="BV327" s="307">
        <v>8.4</v>
      </c>
      <c r="BW327" s="307">
        <v>8.1</v>
      </c>
      <c r="BX327" s="307">
        <v>4.9000000000000004</v>
      </c>
      <c r="BY327" s="307">
        <v>3.4</v>
      </c>
      <c r="BZ327" s="307">
        <v>1.8</v>
      </c>
      <c r="CA327" s="307">
        <v>3.1</v>
      </c>
      <c r="CB327" s="307">
        <v>16.899999999999999</v>
      </c>
      <c r="CC327" s="307">
        <v>61.900000000000006</v>
      </c>
      <c r="CD327" s="307">
        <v>21.3</v>
      </c>
    </row>
    <row r="328" spans="1:82" x14ac:dyDescent="0.25">
      <c r="A328" s="130" t="s">
        <v>5453</v>
      </c>
      <c r="B328" s="130" t="s">
        <v>263</v>
      </c>
      <c r="C328" s="130" t="s">
        <v>5454</v>
      </c>
      <c r="D328" s="130" t="s">
        <v>87</v>
      </c>
      <c r="E328" s="130" t="s">
        <v>5451</v>
      </c>
      <c r="F328" s="130" t="s">
        <v>4272</v>
      </c>
      <c r="G328" s="130" t="s">
        <v>5455</v>
      </c>
      <c r="H328" s="309">
        <v>540204</v>
      </c>
      <c r="I328" s="277" t="s">
        <v>1602</v>
      </c>
      <c r="J328" s="130">
        <v>5400364</v>
      </c>
      <c r="K328" s="130" t="s">
        <v>5456</v>
      </c>
      <c r="L328" s="310">
        <v>0.47325912175072449</v>
      </c>
      <c r="M328" s="311">
        <v>926</v>
      </c>
      <c r="N328" s="312">
        <v>1956.6448007900071</v>
      </c>
      <c r="O328" s="311">
        <v>454</v>
      </c>
      <c r="P328" s="312">
        <v>2.04</v>
      </c>
      <c r="Q328" s="311">
        <v>926</v>
      </c>
      <c r="R328" s="311">
        <v>77</v>
      </c>
      <c r="S328" s="311">
        <v>41</v>
      </c>
      <c r="T328" s="311">
        <v>34</v>
      </c>
      <c r="U328" s="311">
        <v>33</v>
      </c>
      <c r="V328" s="311">
        <v>33</v>
      </c>
      <c r="W328" s="311">
        <v>11</v>
      </c>
      <c r="X328" s="311">
        <v>20</v>
      </c>
      <c r="Y328" s="311">
        <v>25</v>
      </c>
      <c r="Z328" s="311">
        <v>29</v>
      </c>
      <c r="AA328" s="311">
        <v>18</v>
      </c>
      <c r="AB328" s="311">
        <v>25</v>
      </c>
      <c r="AC328" s="311">
        <v>50</v>
      </c>
      <c r="AD328" s="311">
        <v>25</v>
      </c>
      <c r="AE328" s="311">
        <v>12</v>
      </c>
      <c r="AF328" s="311">
        <v>17</v>
      </c>
      <c r="AG328" s="311">
        <v>4</v>
      </c>
      <c r="AH328" s="312">
        <v>33.480176211453745</v>
      </c>
      <c r="AI328" s="312">
        <v>14.537444933920703</v>
      </c>
      <c r="AJ328" s="312">
        <v>18.722466960352424</v>
      </c>
      <c r="AK328" s="312">
        <v>3.9647577092511015</v>
      </c>
      <c r="AL328" s="312">
        <v>29.295154185022028</v>
      </c>
      <c r="AM328" s="311">
        <v>24869</v>
      </c>
      <c r="AN328" s="311">
        <v>32500</v>
      </c>
      <c r="AO328" s="312">
        <v>60.352422907488986</v>
      </c>
      <c r="AP328" s="311">
        <v>454</v>
      </c>
      <c r="AQ328" s="311">
        <v>94</v>
      </c>
      <c r="AR328" s="311">
        <v>266</v>
      </c>
      <c r="AS328" s="311">
        <v>188</v>
      </c>
      <c r="AT328" s="311">
        <v>22</v>
      </c>
      <c r="AU328" s="311">
        <v>31</v>
      </c>
      <c r="AV328" s="311">
        <v>95</v>
      </c>
      <c r="AW328" s="311">
        <v>28</v>
      </c>
      <c r="AX328" s="311">
        <v>28</v>
      </c>
      <c r="AY328" s="311">
        <v>7</v>
      </c>
      <c r="AZ328" s="311">
        <v>57</v>
      </c>
      <c r="BA328" s="311">
        <v>11</v>
      </c>
      <c r="BB328" s="311">
        <v>4</v>
      </c>
      <c r="BC328" s="311">
        <v>41</v>
      </c>
      <c r="BD328" s="311">
        <v>2</v>
      </c>
      <c r="BE328" s="311">
        <v>0</v>
      </c>
      <c r="BF328" s="311">
        <v>108</v>
      </c>
      <c r="BG328" s="311">
        <v>0</v>
      </c>
      <c r="BH328" s="311">
        <v>0</v>
      </c>
      <c r="BI328" s="312">
        <v>23.348017621145374</v>
      </c>
      <c r="BJ328" s="313">
        <v>5.9</v>
      </c>
      <c r="BK328" s="313">
        <v>4.0999999999999996</v>
      </c>
      <c r="BL328" s="313">
        <v>4.2</v>
      </c>
      <c r="BM328" s="313">
        <v>4.9000000000000004</v>
      </c>
      <c r="BN328" s="313">
        <v>4.9000000000000004</v>
      </c>
      <c r="BO328" s="313">
        <v>6.7</v>
      </c>
      <c r="BP328" s="313">
        <v>7.9</v>
      </c>
      <c r="BQ328" s="313">
        <v>7</v>
      </c>
      <c r="BR328" s="313">
        <v>2.6</v>
      </c>
      <c r="BS328" s="313">
        <v>4.9000000000000004</v>
      </c>
      <c r="BT328" s="313">
        <v>9.4</v>
      </c>
      <c r="BU328" s="313">
        <v>7.7</v>
      </c>
      <c r="BV328" s="313">
        <v>13.2</v>
      </c>
      <c r="BW328" s="313">
        <v>5.4</v>
      </c>
      <c r="BX328" s="313">
        <v>3.2</v>
      </c>
      <c r="BY328" s="313">
        <v>3.9</v>
      </c>
      <c r="BZ328" s="313">
        <v>2.4</v>
      </c>
      <c r="CA328" s="313">
        <v>1.8</v>
      </c>
      <c r="CB328" s="313">
        <v>14.2</v>
      </c>
      <c r="CC328" s="313">
        <v>69.2</v>
      </c>
      <c r="CD328" s="313">
        <v>16.700000000000003</v>
      </c>
    </row>
    <row r="329" spans="1:82" x14ac:dyDescent="0.25">
      <c r="A329" s="130" t="s">
        <v>5457</v>
      </c>
      <c r="B329" s="130" t="s">
        <v>264</v>
      </c>
      <c r="C329" s="130" t="s">
        <v>5458</v>
      </c>
      <c r="D329" s="130" t="s">
        <v>87</v>
      </c>
      <c r="E329" s="130" t="s">
        <v>5451</v>
      </c>
      <c r="F329" s="130" t="s">
        <v>4272</v>
      </c>
      <c r="G329" s="130" t="s">
        <v>5459</v>
      </c>
      <c r="H329" s="309">
        <v>540205</v>
      </c>
      <c r="I329" s="277" t="s">
        <v>1603</v>
      </c>
      <c r="J329" s="130">
        <v>5412436</v>
      </c>
      <c r="K329" s="130" t="s">
        <v>5460</v>
      </c>
      <c r="L329" s="310">
        <v>0.33287196603670227</v>
      </c>
      <c r="M329" s="311">
        <v>196</v>
      </c>
      <c r="N329" s="312">
        <v>588.81497992651373</v>
      </c>
      <c r="O329" s="311">
        <v>85</v>
      </c>
      <c r="P329" s="312">
        <v>2.31</v>
      </c>
      <c r="Q329" s="311">
        <v>196</v>
      </c>
      <c r="R329" s="311">
        <v>13</v>
      </c>
      <c r="S329" s="311">
        <v>10</v>
      </c>
      <c r="T329" s="311">
        <v>4</v>
      </c>
      <c r="U329" s="311">
        <v>2</v>
      </c>
      <c r="V329" s="311">
        <v>12</v>
      </c>
      <c r="W329" s="311">
        <v>9</v>
      </c>
      <c r="X329" s="311">
        <v>0</v>
      </c>
      <c r="Y329" s="311">
        <v>1</v>
      </c>
      <c r="Z329" s="311">
        <v>10</v>
      </c>
      <c r="AA329" s="311">
        <v>2</v>
      </c>
      <c r="AB329" s="311">
        <v>4</v>
      </c>
      <c r="AC329" s="311">
        <v>4</v>
      </c>
      <c r="AD329" s="311">
        <v>14</v>
      </c>
      <c r="AE329" s="311">
        <v>0</v>
      </c>
      <c r="AF329" s="311">
        <v>0</v>
      </c>
      <c r="AG329" s="311">
        <v>0</v>
      </c>
      <c r="AH329" s="312">
        <v>31.764705882352938</v>
      </c>
      <c r="AI329" s="312">
        <v>16.470588235294116</v>
      </c>
      <c r="AJ329" s="312">
        <v>23.52941176470588</v>
      </c>
      <c r="AK329" s="312">
        <v>2.3529411764705883</v>
      </c>
      <c r="AL329" s="312">
        <v>25.882352941176475</v>
      </c>
      <c r="AM329" s="311">
        <v>17891</v>
      </c>
      <c r="AN329" s="311">
        <v>30536</v>
      </c>
      <c r="AO329" s="312">
        <v>60</v>
      </c>
      <c r="AP329" s="311">
        <v>85</v>
      </c>
      <c r="AQ329" s="311">
        <v>5</v>
      </c>
      <c r="AR329" s="311">
        <v>78</v>
      </c>
      <c r="AS329" s="311">
        <v>7</v>
      </c>
      <c r="AT329" s="311">
        <v>6</v>
      </c>
      <c r="AU329" s="311">
        <v>3</v>
      </c>
      <c r="AV329" s="311">
        <v>14</v>
      </c>
      <c r="AW329" s="311">
        <v>13</v>
      </c>
      <c r="AX329" s="311">
        <v>10</v>
      </c>
      <c r="AY329" s="311">
        <v>0</v>
      </c>
      <c r="AZ329" s="311">
        <v>3</v>
      </c>
      <c r="BA329" s="311">
        <v>7</v>
      </c>
      <c r="BB329" s="311">
        <v>1</v>
      </c>
      <c r="BC329" s="311">
        <v>6</v>
      </c>
      <c r="BD329" s="311">
        <v>0</v>
      </c>
      <c r="BE329" s="311">
        <v>0</v>
      </c>
      <c r="BF329" s="311">
        <v>18</v>
      </c>
      <c r="BG329" s="311">
        <v>0</v>
      </c>
      <c r="BH329" s="311">
        <v>0</v>
      </c>
      <c r="BI329" s="312">
        <v>17.647058823529413</v>
      </c>
      <c r="BJ329" s="313">
        <v>1.5</v>
      </c>
      <c r="BK329" s="313">
        <v>14.8</v>
      </c>
      <c r="BL329" s="313">
        <v>1</v>
      </c>
      <c r="BM329" s="313">
        <v>0</v>
      </c>
      <c r="BN329" s="313">
        <v>8.6999999999999993</v>
      </c>
      <c r="BO329" s="313">
        <v>0</v>
      </c>
      <c r="BP329" s="313">
        <v>13.8</v>
      </c>
      <c r="BQ329" s="313">
        <v>10.7</v>
      </c>
      <c r="BR329" s="313">
        <v>3.6</v>
      </c>
      <c r="BS329" s="313">
        <v>8.1999999999999993</v>
      </c>
      <c r="BT329" s="313">
        <v>3.6</v>
      </c>
      <c r="BU329" s="313">
        <v>12.8</v>
      </c>
      <c r="BV329" s="313">
        <v>12.8</v>
      </c>
      <c r="BW329" s="313">
        <v>3.1</v>
      </c>
      <c r="BX329" s="313">
        <v>2</v>
      </c>
      <c r="BY329" s="313">
        <v>0</v>
      </c>
      <c r="BZ329" s="313">
        <v>2.6</v>
      </c>
      <c r="CA329" s="313">
        <v>1</v>
      </c>
      <c r="CB329" s="313">
        <v>17.3</v>
      </c>
      <c r="CC329" s="313">
        <v>74.2</v>
      </c>
      <c r="CD329" s="313">
        <v>8.6999999999999993</v>
      </c>
    </row>
    <row r="330" spans="1:82" x14ac:dyDescent="0.25">
      <c r="A330" s="130" t="s">
        <v>5461</v>
      </c>
      <c r="B330" s="130" t="s">
        <v>265</v>
      </c>
      <c r="C330" s="130" t="s">
        <v>5462</v>
      </c>
      <c r="D330" s="130" t="s">
        <v>87</v>
      </c>
      <c r="E330" s="130" t="s">
        <v>5451</v>
      </c>
      <c r="F330" s="130" t="s">
        <v>4272</v>
      </c>
      <c r="G330" s="130" t="s">
        <v>5463</v>
      </c>
      <c r="H330" s="309">
        <v>540206</v>
      </c>
      <c r="I330" s="277" t="s">
        <v>1604</v>
      </c>
      <c r="J330" s="130">
        <v>5418412</v>
      </c>
      <c r="K330" s="130" t="s">
        <v>5464</v>
      </c>
      <c r="L330" s="310">
        <v>0.62908445941218316</v>
      </c>
      <c r="M330" s="311">
        <v>611</v>
      </c>
      <c r="N330" s="312">
        <v>971.25273221805332</v>
      </c>
      <c r="O330" s="311">
        <v>265</v>
      </c>
      <c r="P330" s="312">
        <v>2.31</v>
      </c>
      <c r="Q330" s="311">
        <v>611</v>
      </c>
      <c r="R330" s="311">
        <v>41</v>
      </c>
      <c r="S330" s="311">
        <v>40</v>
      </c>
      <c r="T330" s="311">
        <v>23</v>
      </c>
      <c r="U330" s="311">
        <v>10</v>
      </c>
      <c r="V330" s="311">
        <v>21</v>
      </c>
      <c r="W330" s="311">
        <v>9</v>
      </c>
      <c r="X330" s="311">
        <v>38</v>
      </c>
      <c r="Y330" s="311">
        <v>2</v>
      </c>
      <c r="Z330" s="311">
        <v>6</v>
      </c>
      <c r="AA330" s="311">
        <v>28</v>
      </c>
      <c r="AB330" s="311">
        <v>20</v>
      </c>
      <c r="AC330" s="311">
        <v>21</v>
      </c>
      <c r="AD330" s="311">
        <v>4</v>
      </c>
      <c r="AE330" s="311">
        <v>2</v>
      </c>
      <c r="AF330" s="311">
        <v>0</v>
      </c>
      <c r="AG330" s="311">
        <v>0</v>
      </c>
      <c r="AH330" s="312">
        <v>39.24528301886793</v>
      </c>
      <c r="AI330" s="312">
        <v>11.69811320754717</v>
      </c>
      <c r="AJ330" s="312">
        <v>20.754716981132077</v>
      </c>
      <c r="AK330" s="312">
        <v>10.566037735849058</v>
      </c>
      <c r="AL330" s="312">
        <v>17.735849056603772</v>
      </c>
      <c r="AM330" s="311">
        <v>15776</v>
      </c>
      <c r="AN330" s="311">
        <v>29671</v>
      </c>
      <c r="AO330" s="312">
        <v>69.433962264150935</v>
      </c>
      <c r="AP330" s="311">
        <v>265</v>
      </c>
      <c r="AQ330" s="311">
        <v>56</v>
      </c>
      <c r="AR330" s="311">
        <v>162</v>
      </c>
      <c r="AS330" s="311">
        <v>103</v>
      </c>
      <c r="AT330" s="311">
        <v>18</v>
      </c>
      <c r="AU330" s="311">
        <v>4</v>
      </c>
      <c r="AV330" s="311">
        <v>72</v>
      </c>
      <c r="AW330" s="311">
        <v>13</v>
      </c>
      <c r="AX330" s="311">
        <v>20</v>
      </c>
      <c r="AY330" s="311">
        <v>7</v>
      </c>
      <c r="AZ330" s="311">
        <v>15</v>
      </c>
      <c r="BA330" s="311">
        <v>12</v>
      </c>
      <c r="BB330" s="311">
        <v>13</v>
      </c>
      <c r="BC330" s="311">
        <v>27</v>
      </c>
      <c r="BD330" s="311">
        <v>5</v>
      </c>
      <c r="BE330" s="311">
        <v>0</v>
      </c>
      <c r="BF330" s="311">
        <v>27</v>
      </c>
      <c r="BG330" s="311">
        <v>0</v>
      </c>
      <c r="BH330" s="311">
        <v>0</v>
      </c>
      <c r="BI330" s="312">
        <v>34.716981132075468</v>
      </c>
      <c r="BJ330" s="313">
        <v>5.0999999999999996</v>
      </c>
      <c r="BK330" s="313">
        <v>10.1</v>
      </c>
      <c r="BL330" s="313">
        <v>5.4</v>
      </c>
      <c r="BM330" s="313">
        <v>2.6</v>
      </c>
      <c r="BN330" s="313">
        <v>6.5</v>
      </c>
      <c r="BO330" s="313">
        <v>7.4</v>
      </c>
      <c r="BP330" s="313">
        <v>13.7</v>
      </c>
      <c r="BQ330" s="313">
        <v>4.7</v>
      </c>
      <c r="BR330" s="313">
        <v>5.7</v>
      </c>
      <c r="BS330" s="313">
        <v>3.3</v>
      </c>
      <c r="BT330" s="313">
        <v>4.7</v>
      </c>
      <c r="BU330" s="313">
        <v>8</v>
      </c>
      <c r="BV330" s="313">
        <v>6.4</v>
      </c>
      <c r="BW330" s="313">
        <v>3.3</v>
      </c>
      <c r="BX330" s="313">
        <v>5.2</v>
      </c>
      <c r="BY330" s="313">
        <v>2.8</v>
      </c>
      <c r="BZ330" s="313">
        <v>3.4</v>
      </c>
      <c r="CA330" s="313">
        <v>1.5</v>
      </c>
      <c r="CB330" s="313">
        <v>20.6</v>
      </c>
      <c r="CC330" s="313">
        <v>63</v>
      </c>
      <c r="CD330" s="313">
        <v>16.200000000000003</v>
      </c>
    </row>
    <row r="331" spans="1:82" s="322" customFormat="1" x14ac:dyDescent="0.25">
      <c r="A331" s="314" t="s">
        <v>5465</v>
      </c>
      <c r="B331" s="315" t="s">
        <v>348</v>
      </c>
      <c r="C331" s="314"/>
      <c r="D331" s="314"/>
      <c r="E331" s="314"/>
      <c r="F331" s="314"/>
      <c r="G331" s="314"/>
      <c r="H331" s="316"/>
      <c r="I331" s="317"/>
      <c r="J331" s="314">
        <v>54101</v>
      </c>
      <c r="K331" s="314" t="s">
        <v>5466</v>
      </c>
      <c r="L331" s="318">
        <v>555.80385057086085</v>
      </c>
      <c r="M331" s="319">
        <v>8637</v>
      </c>
      <c r="N331" s="320">
        <v>15.539654846091871</v>
      </c>
      <c r="O331" s="319">
        <v>3690</v>
      </c>
      <c r="P331" s="320">
        <v>2.33</v>
      </c>
      <c r="Q331" s="319">
        <v>8581</v>
      </c>
      <c r="R331" s="319">
        <v>561</v>
      </c>
      <c r="S331" s="319">
        <v>380</v>
      </c>
      <c r="T331" s="319">
        <v>334</v>
      </c>
      <c r="U331" s="319">
        <v>247</v>
      </c>
      <c r="V331" s="319">
        <v>189</v>
      </c>
      <c r="W331" s="319">
        <v>172</v>
      </c>
      <c r="X331" s="319">
        <v>196</v>
      </c>
      <c r="Y331" s="319">
        <v>210</v>
      </c>
      <c r="Z331" s="319">
        <v>171</v>
      </c>
      <c r="AA331" s="319">
        <v>362</v>
      </c>
      <c r="AB331" s="319">
        <v>263</v>
      </c>
      <c r="AC331" s="319">
        <v>334</v>
      </c>
      <c r="AD331" s="319">
        <v>146</v>
      </c>
      <c r="AE331" s="319">
        <v>44</v>
      </c>
      <c r="AF331" s="319">
        <v>46</v>
      </c>
      <c r="AG331" s="319">
        <v>35</v>
      </c>
      <c r="AH331" s="320">
        <v>34.552845528455286</v>
      </c>
      <c r="AI331" s="320">
        <v>11.815718157181571</v>
      </c>
      <c r="AJ331" s="320">
        <v>20.29810298102981</v>
      </c>
      <c r="AK331" s="320">
        <v>9.8102981029810294</v>
      </c>
      <c r="AL331" s="320">
        <v>23.523035230352303</v>
      </c>
      <c r="AM331" s="319">
        <v>20314</v>
      </c>
      <c r="AN331" s="319">
        <v>33390</v>
      </c>
      <c r="AO331" s="320">
        <v>62.032520325203258</v>
      </c>
      <c r="AP331" s="319">
        <v>3690</v>
      </c>
      <c r="AQ331" s="319">
        <v>1755</v>
      </c>
      <c r="AR331" s="319">
        <v>2633</v>
      </c>
      <c r="AS331" s="319">
        <v>1057</v>
      </c>
      <c r="AT331" s="319">
        <v>259</v>
      </c>
      <c r="AU331" s="319">
        <v>134</v>
      </c>
      <c r="AV331" s="319">
        <v>601</v>
      </c>
      <c r="AW331" s="319">
        <v>268</v>
      </c>
      <c r="AX331" s="319">
        <v>155</v>
      </c>
      <c r="AY331" s="319">
        <v>131</v>
      </c>
      <c r="AZ331" s="319">
        <v>405</v>
      </c>
      <c r="BA331" s="319">
        <v>115</v>
      </c>
      <c r="BB331" s="319">
        <v>25</v>
      </c>
      <c r="BC331" s="319">
        <v>508</v>
      </c>
      <c r="BD331" s="319">
        <v>24</v>
      </c>
      <c r="BE331" s="319">
        <v>26</v>
      </c>
      <c r="BF331" s="319">
        <v>605</v>
      </c>
      <c r="BG331" s="319">
        <v>0</v>
      </c>
      <c r="BH331" s="319">
        <v>0</v>
      </c>
      <c r="BI331" s="320">
        <v>21.219512195121951</v>
      </c>
      <c r="BJ331" s="321">
        <v>5.5</v>
      </c>
      <c r="BK331" s="321">
        <v>6.4</v>
      </c>
      <c r="BL331" s="321">
        <v>5</v>
      </c>
      <c r="BM331" s="321">
        <v>5.3</v>
      </c>
      <c r="BN331" s="321">
        <v>5.3</v>
      </c>
      <c r="BO331" s="321">
        <v>4.7</v>
      </c>
      <c r="BP331" s="321">
        <v>4.7</v>
      </c>
      <c r="BQ331" s="321">
        <v>5.3</v>
      </c>
      <c r="BR331" s="321">
        <v>6.3</v>
      </c>
      <c r="BS331" s="321">
        <v>6.7</v>
      </c>
      <c r="BT331" s="321">
        <v>7.2</v>
      </c>
      <c r="BU331" s="321">
        <v>8</v>
      </c>
      <c r="BV331" s="321">
        <v>8.4</v>
      </c>
      <c r="BW331" s="321">
        <v>8.1</v>
      </c>
      <c r="BX331" s="321">
        <v>4.9000000000000004</v>
      </c>
      <c r="BY331" s="321">
        <v>3.4</v>
      </c>
      <c r="BZ331" s="321">
        <v>1.8</v>
      </c>
      <c r="CA331" s="321">
        <v>3.1</v>
      </c>
      <c r="CB331" s="321">
        <v>16.899999999999999</v>
      </c>
      <c r="CC331" s="321">
        <v>61.900000000000006</v>
      </c>
      <c r="CD331" s="321">
        <v>21.3</v>
      </c>
    </row>
    <row r="332" spans="1:82" s="308" customFormat="1" x14ac:dyDescent="0.25">
      <c r="A332" s="301" t="s">
        <v>351</v>
      </c>
      <c r="B332" s="301" t="s">
        <v>88</v>
      </c>
      <c r="C332" s="301" t="s">
        <v>5467</v>
      </c>
      <c r="D332" s="301" t="s">
        <v>89</v>
      </c>
      <c r="E332" s="301" t="s">
        <v>5406</v>
      </c>
      <c r="F332" s="301" t="s">
        <v>4272</v>
      </c>
      <c r="G332" s="301" t="s">
        <v>5468</v>
      </c>
      <c r="H332" s="302">
        <v>540207</v>
      </c>
      <c r="I332" s="303" t="s">
        <v>1605</v>
      </c>
      <c r="J332" s="301" t="s">
        <v>488</v>
      </c>
      <c r="K332" s="301" t="s">
        <v>488</v>
      </c>
      <c r="L332" s="304">
        <v>356.59729154752466</v>
      </c>
      <c r="M332" s="305">
        <v>7774</v>
      </c>
      <c r="N332" s="306">
        <v>21.80050209092499</v>
      </c>
      <c r="O332" s="305">
        <v>2824</v>
      </c>
      <c r="P332" s="306">
        <v>2.7528328611898019</v>
      </c>
      <c r="Q332" s="305">
        <v>7774</v>
      </c>
      <c r="R332" s="305">
        <v>217</v>
      </c>
      <c r="S332" s="305">
        <v>213</v>
      </c>
      <c r="T332" s="305">
        <v>155</v>
      </c>
      <c r="U332" s="305">
        <v>206</v>
      </c>
      <c r="V332" s="305">
        <v>166</v>
      </c>
      <c r="W332" s="305">
        <v>231</v>
      </c>
      <c r="X332" s="305">
        <v>193</v>
      </c>
      <c r="Y332" s="305">
        <v>207</v>
      </c>
      <c r="Z332" s="305">
        <v>118</v>
      </c>
      <c r="AA332" s="305">
        <v>215</v>
      </c>
      <c r="AB332" s="305">
        <v>271</v>
      </c>
      <c r="AC332" s="305">
        <v>265</v>
      </c>
      <c r="AD332" s="305">
        <v>203</v>
      </c>
      <c r="AE332" s="305">
        <v>41</v>
      </c>
      <c r="AF332" s="305">
        <v>110</v>
      </c>
      <c r="AG332" s="305">
        <v>13</v>
      </c>
      <c r="AH332" s="306">
        <v>20.715297450424931</v>
      </c>
      <c r="AI332" s="306">
        <v>13.172804532577903</v>
      </c>
      <c r="AJ332" s="306">
        <v>26.522662889518411</v>
      </c>
      <c r="AK332" s="306">
        <v>7.6133144475920673</v>
      </c>
      <c r="AL332" s="306">
        <v>31.975920679886688</v>
      </c>
      <c r="AM332" s="305">
        <v>22088</v>
      </c>
      <c r="AN332" s="305">
        <v>40694</v>
      </c>
      <c r="AO332" s="306">
        <v>56.232294617563738</v>
      </c>
      <c r="AP332" s="305">
        <v>2824</v>
      </c>
      <c r="AQ332" s="305">
        <v>1418</v>
      </c>
      <c r="AR332" s="305">
        <v>2394</v>
      </c>
      <c r="AS332" s="305">
        <v>430</v>
      </c>
      <c r="AT332" s="305">
        <v>171</v>
      </c>
      <c r="AU332" s="305">
        <v>84</v>
      </c>
      <c r="AV332" s="305">
        <v>191</v>
      </c>
      <c r="AW332" s="305">
        <v>430</v>
      </c>
      <c r="AX332" s="305">
        <v>44</v>
      </c>
      <c r="AY332" s="305">
        <v>109</v>
      </c>
      <c r="AZ332" s="305">
        <v>391</v>
      </c>
      <c r="BA332" s="305">
        <v>65</v>
      </c>
      <c r="BB332" s="305">
        <v>39</v>
      </c>
      <c r="BC332" s="305">
        <v>419</v>
      </c>
      <c r="BD332" s="305">
        <v>60</v>
      </c>
      <c r="BE332" s="305">
        <v>0</v>
      </c>
      <c r="BF332" s="305">
        <v>616</v>
      </c>
      <c r="BG332" s="305">
        <v>9</v>
      </c>
      <c r="BH332" s="305">
        <v>0</v>
      </c>
      <c r="BI332" s="306">
        <v>12.004249291784703</v>
      </c>
      <c r="BJ332" s="307">
        <v>5.0999999999999996</v>
      </c>
      <c r="BK332" s="307">
        <v>4.7</v>
      </c>
      <c r="BL332" s="307">
        <v>6.7</v>
      </c>
      <c r="BM332" s="307">
        <v>6.4</v>
      </c>
      <c r="BN332" s="307">
        <v>5.4</v>
      </c>
      <c r="BO332" s="307">
        <v>5</v>
      </c>
      <c r="BP332" s="307">
        <v>4.9000000000000004</v>
      </c>
      <c r="BQ332" s="307">
        <v>6.4</v>
      </c>
      <c r="BR332" s="307">
        <v>4.7</v>
      </c>
      <c r="BS332" s="307">
        <v>6.6</v>
      </c>
      <c r="BT332" s="307">
        <v>7.3</v>
      </c>
      <c r="BU332" s="307">
        <v>8.1999999999999993</v>
      </c>
      <c r="BV332" s="307">
        <v>6.8</v>
      </c>
      <c r="BW332" s="307">
        <v>6.7</v>
      </c>
      <c r="BX332" s="307">
        <v>5.2</v>
      </c>
      <c r="BY332" s="307">
        <v>3.9</v>
      </c>
      <c r="BZ332" s="307">
        <v>3.1</v>
      </c>
      <c r="CA332" s="307">
        <v>2.8</v>
      </c>
      <c r="CB332" s="307">
        <v>16.5</v>
      </c>
      <c r="CC332" s="307">
        <v>61.7</v>
      </c>
      <c r="CD332" s="307">
        <v>21.700000000000003</v>
      </c>
    </row>
    <row r="333" spans="1:82" x14ac:dyDescent="0.25">
      <c r="A333" s="130" t="s">
        <v>5469</v>
      </c>
      <c r="B333" s="130" t="s">
        <v>301</v>
      </c>
      <c r="C333" s="130" t="s">
        <v>5470</v>
      </c>
      <c r="D333" s="130" t="s">
        <v>89</v>
      </c>
      <c r="E333" s="130" t="s">
        <v>5406</v>
      </c>
      <c r="F333" s="130" t="s">
        <v>4272</v>
      </c>
      <c r="G333" s="130" t="s">
        <v>5471</v>
      </c>
      <c r="H333" s="309">
        <v>540256</v>
      </c>
      <c r="I333" s="277" t="s">
        <v>1609</v>
      </c>
      <c r="J333" s="130">
        <v>5439340</v>
      </c>
      <c r="K333" s="130" t="s">
        <v>5472</v>
      </c>
      <c r="L333" s="310">
        <v>0.50178895857535555</v>
      </c>
      <c r="M333" s="311">
        <v>296</v>
      </c>
      <c r="N333" s="312">
        <v>589.88942451101889</v>
      </c>
      <c r="O333" s="311">
        <v>132</v>
      </c>
      <c r="P333" s="312">
        <v>2.2400000000000002</v>
      </c>
      <c r="Q333" s="311">
        <v>296</v>
      </c>
      <c r="R333" s="311">
        <v>30</v>
      </c>
      <c r="S333" s="311">
        <v>21</v>
      </c>
      <c r="T333" s="311">
        <v>0</v>
      </c>
      <c r="U333" s="311">
        <v>16</v>
      </c>
      <c r="V333" s="311">
        <v>8</v>
      </c>
      <c r="W333" s="311">
        <v>15</v>
      </c>
      <c r="X333" s="311">
        <v>6</v>
      </c>
      <c r="Y333" s="311">
        <v>0</v>
      </c>
      <c r="Z333" s="311">
        <v>1</v>
      </c>
      <c r="AA333" s="311">
        <v>7</v>
      </c>
      <c r="AB333" s="311">
        <v>16</v>
      </c>
      <c r="AC333" s="311">
        <v>2</v>
      </c>
      <c r="AD333" s="311">
        <v>9</v>
      </c>
      <c r="AE333" s="311">
        <v>1</v>
      </c>
      <c r="AF333" s="311">
        <v>0</v>
      </c>
      <c r="AG333" s="311">
        <v>0</v>
      </c>
      <c r="AH333" s="312">
        <v>38.636363636363633</v>
      </c>
      <c r="AI333" s="312">
        <v>18.181818181818183</v>
      </c>
      <c r="AJ333" s="312">
        <v>16.666666666666664</v>
      </c>
      <c r="AK333" s="312">
        <v>5.3030303030303028</v>
      </c>
      <c r="AL333" s="312">
        <v>21.212121212121211</v>
      </c>
      <c r="AM333" s="311">
        <v>17979</v>
      </c>
      <c r="AN333" s="311">
        <v>22500</v>
      </c>
      <c r="AO333" s="312">
        <v>72.727272727272734</v>
      </c>
      <c r="AP333" s="311">
        <v>132</v>
      </c>
      <c r="AQ333" s="311">
        <v>60</v>
      </c>
      <c r="AR333" s="311">
        <v>66</v>
      </c>
      <c r="AS333" s="311">
        <v>66</v>
      </c>
      <c r="AT333" s="311">
        <v>5</v>
      </c>
      <c r="AU333" s="311">
        <v>14</v>
      </c>
      <c r="AV333" s="311">
        <v>30</v>
      </c>
      <c r="AW333" s="311">
        <v>5</v>
      </c>
      <c r="AX333" s="311">
        <v>28</v>
      </c>
      <c r="AY333" s="311">
        <v>6</v>
      </c>
      <c r="AZ333" s="311">
        <v>1</v>
      </c>
      <c r="BA333" s="311">
        <v>6</v>
      </c>
      <c r="BB333" s="311">
        <v>0</v>
      </c>
      <c r="BC333" s="311">
        <v>19</v>
      </c>
      <c r="BD333" s="311">
        <v>2</v>
      </c>
      <c r="BE333" s="311">
        <v>0</v>
      </c>
      <c r="BF333" s="311">
        <v>12</v>
      </c>
      <c r="BG333" s="311">
        <v>0</v>
      </c>
      <c r="BH333" s="311">
        <v>0</v>
      </c>
      <c r="BI333" s="312">
        <v>27.27272727272727</v>
      </c>
      <c r="BJ333" s="313">
        <v>1</v>
      </c>
      <c r="BK333" s="313">
        <v>4.0999999999999996</v>
      </c>
      <c r="BL333" s="313">
        <v>2.4</v>
      </c>
      <c r="BM333" s="313">
        <v>5.4</v>
      </c>
      <c r="BN333" s="313">
        <v>5.7</v>
      </c>
      <c r="BO333" s="313">
        <v>5.0999999999999996</v>
      </c>
      <c r="BP333" s="313">
        <v>11.8</v>
      </c>
      <c r="BQ333" s="313">
        <v>1</v>
      </c>
      <c r="BR333" s="313">
        <v>3</v>
      </c>
      <c r="BS333" s="313">
        <v>10.1</v>
      </c>
      <c r="BT333" s="313">
        <v>11.5</v>
      </c>
      <c r="BU333" s="313">
        <v>8.1</v>
      </c>
      <c r="BV333" s="313">
        <v>13.9</v>
      </c>
      <c r="BW333" s="313">
        <v>7.1</v>
      </c>
      <c r="BX333" s="313">
        <v>4.0999999999999996</v>
      </c>
      <c r="BY333" s="313">
        <v>5.0999999999999996</v>
      </c>
      <c r="BZ333" s="313">
        <v>0.7</v>
      </c>
      <c r="CA333" s="313">
        <v>0</v>
      </c>
      <c r="CB333" s="313">
        <v>7.5</v>
      </c>
      <c r="CC333" s="313">
        <v>75.600000000000009</v>
      </c>
      <c r="CD333" s="313">
        <v>16.999999999999996</v>
      </c>
    </row>
    <row r="334" spans="1:82" x14ac:dyDescent="0.25">
      <c r="A334" s="130" t="s">
        <v>5473</v>
      </c>
      <c r="B334" s="130" t="s">
        <v>266</v>
      </c>
      <c r="C334" s="130" t="s">
        <v>5474</v>
      </c>
      <c r="D334" s="130" t="s">
        <v>89</v>
      </c>
      <c r="E334" s="130" t="s">
        <v>5406</v>
      </c>
      <c r="F334" s="130" t="s">
        <v>4272</v>
      </c>
      <c r="G334" s="130" t="s">
        <v>5475</v>
      </c>
      <c r="H334" s="309">
        <v>540208</v>
      </c>
      <c r="I334" s="277" t="s">
        <v>1607</v>
      </c>
      <c r="J334" s="130">
        <v>5458684</v>
      </c>
      <c r="K334" s="130" t="s">
        <v>5476</v>
      </c>
      <c r="L334" s="310">
        <v>2.7094971065029108</v>
      </c>
      <c r="M334" s="311">
        <v>5222</v>
      </c>
      <c r="N334" s="312">
        <v>1927.294916634889</v>
      </c>
      <c r="O334" s="311">
        <v>2057</v>
      </c>
      <c r="P334" s="312">
        <v>2.48</v>
      </c>
      <c r="Q334" s="311">
        <v>5101</v>
      </c>
      <c r="R334" s="311">
        <v>266</v>
      </c>
      <c r="S334" s="311">
        <v>74</v>
      </c>
      <c r="T334" s="311">
        <v>172</v>
      </c>
      <c r="U334" s="311">
        <v>120</v>
      </c>
      <c r="V334" s="311">
        <v>107</v>
      </c>
      <c r="W334" s="311">
        <v>142</v>
      </c>
      <c r="X334" s="311">
        <v>104</v>
      </c>
      <c r="Y334" s="311">
        <v>124</v>
      </c>
      <c r="Z334" s="311">
        <v>114</v>
      </c>
      <c r="AA334" s="311">
        <v>155</v>
      </c>
      <c r="AB334" s="311">
        <v>249</v>
      </c>
      <c r="AC334" s="311">
        <v>202</v>
      </c>
      <c r="AD334" s="311">
        <v>106</v>
      </c>
      <c r="AE334" s="311">
        <v>59</v>
      </c>
      <c r="AF334" s="311">
        <v>20</v>
      </c>
      <c r="AG334" s="311">
        <v>43</v>
      </c>
      <c r="AH334" s="312">
        <v>24.890617403986386</v>
      </c>
      <c r="AI334" s="312">
        <v>11.035488575595528</v>
      </c>
      <c r="AJ334" s="312">
        <v>23.52941176470588</v>
      </c>
      <c r="AK334" s="312">
        <v>7.5352455031599419</v>
      </c>
      <c r="AL334" s="312">
        <v>33.009236752552262</v>
      </c>
      <c r="AM334" s="311">
        <v>24054</v>
      </c>
      <c r="AN334" s="311">
        <v>41673</v>
      </c>
      <c r="AO334" s="312">
        <v>53.913466212931446</v>
      </c>
      <c r="AP334" s="311">
        <v>2057</v>
      </c>
      <c r="AQ334" s="311">
        <v>548</v>
      </c>
      <c r="AR334" s="311">
        <v>1581</v>
      </c>
      <c r="AS334" s="311">
        <v>476</v>
      </c>
      <c r="AT334" s="311">
        <v>18</v>
      </c>
      <c r="AU334" s="311">
        <v>110</v>
      </c>
      <c r="AV334" s="311">
        <v>356</v>
      </c>
      <c r="AW334" s="311">
        <v>189</v>
      </c>
      <c r="AX334" s="311">
        <v>99</v>
      </c>
      <c r="AY334" s="311">
        <v>73</v>
      </c>
      <c r="AZ334" s="311">
        <v>274</v>
      </c>
      <c r="BA334" s="311">
        <v>49</v>
      </c>
      <c r="BB334" s="311">
        <v>7</v>
      </c>
      <c r="BC334" s="311">
        <v>361</v>
      </c>
      <c r="BD334" s="311">
        <v>43</v>
      </c>
      <c r="BE334" s="311">
        <v>0</v>
      </c>
      <c r="BF334" s="311">
        <v>424</v>
      </c>
      <c r="BG334" s="311">
        <v>6</v>
      </c>
      <c r="BH334" s="311">
        <v>0</v>
      </c>
      <c r="BI334" s="312">
        <v>21.195916383082157</v>
      </c>
      <c r="BJ334" s="313">
        <v>6.5</v>
      </c>
      <c r="BK334" s="313">
        <v>4.7</v>
      </c>
      <c r="BL334" s="313">
        <v>5.4</v>
      </c>
      <c r="BM334" s="313">
        <v>6.9</v>
      </c>
      <c r="BN334" s="313">
        <v>6.1</v>
      </c>
      <c r="BO334" s="313">
        <v>4.5999999999999996</v>
      </c>
      <c r="BP334" s="313">
        <v>4.5999999999999996</v>
      </c>
      <c r="BQ334" s="313">
        <v>6.7</v>
      </c>
      <c r="BR334" s="313">
        <v>3.4</v>
      </c>
      <c r="BS334" s="313">
        <v>4.3</v>
      </c>
      <c r="BT334" s="313">
        <v>7.7</v>
      </c>
      <c r="BU334" s="313">
        <v>6.6</v>
      </c>
      <c r="BV334" s="313">
        <v>7.2</v>
      </c>
      <c r="BW334" s="313">
        <v>7</v>
      </c>
      <c r="BX334" s="313">
        <v>4.2</v>
      </c>
      <c r="BY334" s="313">
        <v>5.2</v>
      </c>
      <c r="BZ334" s="313">
        <v>3.8</v>
      </c>
      <c r="CA334" s="313">
        <v>4.9000000000000004</v>
      </c>
      <c r="CB334" s="313">
        <v>16.600000000000001</v>
      </c>
      <c r="CC334" s="313">
        <v>58.100000000000009</v>
      </c>
      <c r="CD334" s="313">
        <v>25.1</v>
      </c>
    </row>
    <row r="335" spans="1:82" s="330" customFormat="1" x14ac:dyDescent="0.25">
      <c r="A335" s="323" t="s">
        <v>350</v>
      </c>
      <c r="B335" s="323" t="s">
        <v>259</v>
      </c>
      <c r="C335" s="323" t="s">
        <v>5477</v>
      </c>
      <c r="D335" s="323" t="s">
        <v>624</v>
      </c>
      <c r="E335" s="323" t="s">
        <v>5406</v>
      </c>
      <c r="F335" s="323" t="s">
        <v>4272</v>
      </c>
      <c r="G335" s="323" t="s">
        <v>5407</v>
      </c>
      <c r="H335" s="324">
        <v>540196</v>
      </c>
      <c r="I335" s="325" t="s">
        <v>5478</v>
      </c>
      <c r="J335" s="323">
        <v>5461636</v>
      </c>
      <c r="K335" s="323" t="s">
        <v>5409</v>
      </c>
      <c r="L335" s="326">
        <v>0.51828171749504981</v>
      </c>
      <c r="M335" s="327">
        <v>1750</v>
      </c>
      <c r="N335" s="328">
        <v>3376.5420251713094</v>
      </c>
      <c r="O335" s="327">
        <v>695</v>
      </c>
      <c r="P335" s="328">
        <v>2.52</v>
      </c>
      <c r="Q335" s="327">
        <v>1750</v>
      </c>
      <c r="R335" s="327">
        <v>76</v>
      </c>
      <c r="S335" s="327">
        <v>75</v>
      </c>
      <c r="T335" s="327">
        <v>34</v>
      </c>
      <c r="U335" s="327">
        <v>50</v>
      </c>
      <c r="V335" s="327">
        <v>15</v>
      </c>
      <c r="W335" s="327">
        <v>24</v>
      </c>
      <c r="X335" s="327">
        <v>23</v>
      </c>
      <c r="Y335" s="327">
        <v>61</v>
      </c>
      <c r="Z335" s="327">
        <v>47</v>
      </c>
      <c r="AA335" s="327">
        <v>62</v>
      </c>
      <c r="AB335" s="327">
        <v>83</v>
      </c>
      <c r="AC335" s="327">
        <v>90</v>
      </c>
      <c r="AD335" s="327">
        <v>31</v>
      </c>
      <c r="AE335" s="327">
        <v>15</v>
      </c>
      <c r="AF335" s="327">
        <v>9</v>
      </c>
      <c r="AG335" s="327">
        <v>0</v>
      </c>
      <c r="AH335" s="328">
        <v>26.618705035971225</v>
      </c>
      <c r="AI335" s="328">
        <v>9.3525179856115113</v>
      </c>
      <c r="AJ335" s="328">
        <v>22.302158273381295</v>
      </c>
      <c r="AK335" s="328">
        <v>8.9208633093525176</v>
      </c>
      <c r="AL335" s="328">
        <v>32.805755395683455</v>
      </c>
      <c r="AM335" s="327">
        <v>21178</v>
      </c>
      <c r="AN335" s="327">
        <v>43933</v>
      </c>
      <c r="AO335" s="328">
        <v>51.510791366906474</v>
      </c>
      <c r="AP335" s="327">
        <v>695</v>
      </c>
      <c r="AQ335" s="327">
        <v>75</v>
      </c>
      <c r="AR335" s="327">
        <v>493</v>
      </c>
      <c r="AS335" s="327">
        <v>202</v>
      </c>
      <c r="AT335" s="327">
        <v>15</v>
      </c>
      <c r="AU335" s="327">
        <v>28</v>
      </c>
      <c r="AV335" s="327">
        <v>117</v>
      </c>
      <c r="AW335" s="327">
        <v>40</v>
      </c>
      <c r="AX335" s="327">
        <v>20</v>
      </c>
      <c r="AY335" s="327">
        <v>29</v>
      </c>
      <c r="AZ335" s="327">
        <v>93</v>
      </c>
      <c r="BA335" s="327">
        <v>35</v>
      </c>
      <c r="BB335" s="327">
        <v>0</v>
      </c>
      <c r="BC335" s="327">
        <v>123</v>
      </c>
      <c r="BD335" s="327">
        <v>6</v>
      </c>
      <c r="BE335" s="327">
        <v>0</v>
      </c>
      <c r="BF335" s="327">
        <v>139</v>
      </c>
      <c r="BG335" s="327">
        <v>2</v>
      </c>
      <c r="BH335" s="327">
        <v>0</v>
      </c>
      <c r="BI335" s="328">
        <v>21.870503597122301</v>
      </c>
      <c r="BJ335" s="329">
        <v>2.8</v>
      </c>
      <c r="BK335" s="329">
        <v>6.6</v>
      </c>
      <c r="BL335" s="329">
        <v>9</v>
      </c>
      <c r="BM335" s="329">
        <v>5.9</v>
      </c>
      <c r="BN335" s="329">
        <v>3.9</v>
      </c>
      <c r="BO335" s="329">
        <v>4.2</v>
      </c>
      <c r="BP335" s="329">
        <v>5.6</v>
      </c>
      <c r="BQ335" s="329">
        <v>5.5</v>
      </c>
      <c r="BR335" s="329">
        <v>6.3</v>
      </c>
      <c r="BS335" s="329">
        <v>6.1</v>
      </c>
      <c r="BT335" s="329">
        <v>7.4</v>
      </c>
      <c r="BU335" s="329">
        <v>7.9</v>
      </c>
      <c r="BV335" s="329">
        <v>6.5</v>
      </c>
      <c r="BW335" s="329">
        <v>7.3</v>
      </c>
      <c r="BX335" s="329">
        <v>5.3</v>
      </c>
      <c r="BY335" s="329">
        <v>4</v>
      </c>
      <c r="BZ335" s="329">
        <v>2.2999999999999998</v>
      </c>
      <c r="CA335" s="329">
        <v>3.3</v>
      </c>
      <c r="CB335" s="329">
        <v>18.399999999999999</v>
      </c>
      <c r="CC335" s="329">
        <v>59.3</v>
      </c>
      <c r="CD335" s="329">
        <v>22.200000000000003</v>
      </c>
    </row>
    <row r="336" spans="1:82" x14ac:dyDescent="0.25">
      <c r="A336" s="130" t="s">
        <v>5479</v>
      </c>
      <c r="B336" s="130" t="s">
        <v>267</v>
      </c>
      <c r="C336" s="130" t="s">
        <v>5480</v>
      </c>
      <c r="D336" s="130" t="s">
        <v>89</v>
      </c>
      <c r="E336" s="130" t="s">
        <v>5406</v>
      </c>
      <c r="F336" s="130" t="s">
        <v>4272</v>
      </c>
      <c r="G336" s="130" t="s">
        <v>5481</v>
      </c>
      <c r="H336" s="309">
        <v>540210</v>
      </c>
      <c r="I336" s="277" t="s">
        <v>1608</v>
      </c>
      <c r="J336" s="130">
        <v>5463892</v>
      </c>
      <c r="K336" s="130" t="s">
        <v>5482</v>
      </c>
      <c r="L336" s="310">
        <v>0.37841686548779269</v>
      </c>
      <c r="M336" s="311">
        <v>610</v>
      </c>
      <c r="N336" s="312">
        <v>1611.9788932073322</v>
      </c>
      <c r="O336" s="311">
        <v>214</v>
      </c>
      <c r="P336" s="312">
        <v>2.85</v>
      </c>
      <c r="Q336" s="311">
        <v>610</v>
      </c>
      <c r="R336" s="311">
        <v>25</v>
      </c>
      <c r="S336" s="311">
        <v>33</v>
      </c>
      <c r="T336" s="311">
        <v>28</v>
      </c>
      <c r="U336" s="311">
        <v>21</v>
      </c>
      <c r="V336" s="311">
        <v>15</v>
      </c>
      <c r="W336" s="311">
        <v>12</v>
      </c>
      <c r="X336" s="311">
        <v>11</v>
      </c>
      <c r="Y336" s="311">
        <v>5</v>
      </c>
      <c r="Z336" s="311">
        <v>5</v>
      </c>
      <c r="AA336" s="311">
        <v>8</v>
      </c>
      <c r="AB336" s="311">
        <v>22</v>
      </c>
      <c r="AC336" s="311">
        <v>13</v>
      </c>
      <c r="AD336" s="311">
        <v>6</v>
      </c>
      <c r="AE336" s="311">
        <v>4</v>
      </c>
      <c r="AF336" s="311">
        <v>6</v>
      </c>
      <c r="AG336" s="311">
        <v>0</v>
      </c>
      <c r="AH336" s="312">
        <v>40.186915887850468</v>
      </c>
      <c r="AI336" s="312">
        <v>16.822429906542055</v>
      </c>
      <c r="AJ336" s="312">
        <v>15.420560747663551</v>
      </c>
      <c r="AK336" s="312">
        <v>3.7383177570093453</v>
      </c>
      <c r="AL336" s="312">
        <v>23.831775700934578</v>
      </c>
      <c r="AM336" s="311">
        <v>15275</v>
      </c>
      <c r="AN336" s="311">
        <v>25000</v>
      </c>
      <c r="AO336" s="312">
        <v>70.09345794392523</v>
      </c>
      <c r="AP336" s="311">
        <v>214</v>
      </c>
      <c r="AQ336" s="311">
        <v>44</v>
      </c>
      <c r="AR336" s="311">
        <v>148</v>
      </c>
      <c r="AS336" s="311">
        <v>66</v>
      </c>
      <c r="AT336" s="311">
        <v>9</v>
      </c>
      <c r="AU336" s="311">
        <v>14</v>
      </c>
      <c r="AV336" s="311">
        <v>36</v>
      </c>
      <c r="AW336" s="311">
        <v>17</v>
      </c>
      <c r="AX336" s="311">
        <v>6</v>
      </c>
      <c r="AY336" s="311">
        <v>25</v>
      </c>
      <c r="AZ336" s="311">
        <v>21</v>
      </c>
      <c r="BA336" s="311">
        <v>0</v>
      </c>
      <c r="BB336" s="311">
        <v>0</v>
      </c>
      <c r="BC336" s="311">
        <v>22</v>
      </c>
      <c r="BD336" s="311">
        <v>8</v>
      </c>
      <c r="BE336" s="311">
        <v>0</v>
      </c>
      <c r="BF336" s="311">
        <v>29</v>
      </c>
      <c r="BG336" s="311">
        <v>0</v>
      </c>
      <c r="BH336" s="311">
        <v>0</v>
      </c>
      <c r="BI336" s="312">
        <v>28.504672897196258</v>
      </c>
      <c r="BJ336" s="313">
        <v>4.4000000000000004</v>
      </c>
      <c r="BK336" s="313">
        <v>4.4000000000000004</v>
      </c>
      <c r="BL336" s="313">
        <v>6.6</v>
      </c>
      <c r="BM336" s="313">
        <v>10.3</v>
      </c>
      <c r="BN336" s="313">
        <v>8.4</v>
      </c>
      <c r="BO336" s="313">
        <v>12.8</v>
      </c>
      <c r="BP336" s="313">
        <v>3.4</v>
      </c>
      <c r="BQ336" s="313">
        <v>0.8</v>
      </c>
      <c r="BR336" s="313">
        <v>5.6</v>
      </c>
      <c r="BS336" s="313">
        <v>13.3</v>
      </c>
      <c r="BT336" s="313">
        <v>4.4000000000000004</v>
      </c>
      <c r="BU336" s="313">
        <v>7.5</v>
      </c>
      <c r="BV336" s="313">
        <v>7.4</v>
      </c>
      <c r="BW336" s="313">
        <v>3.3</v>
      </c>
      <c r="BX336" s="313">
        <v>2.6</v>
      </c>
      <c r="BY336" s="313">
        <v>3.1</v>
      </c>
      <c r="BZ336" s="313">
        <v>1</v>
      </c>
      <c r="CA336" s="313">
        <v>0.7</v>
      </c>
      <c r="CB336" s="313">
        <v>15.4</v>
      </c>
      <c r="CC336" s="313">
        <v>73.900000000000006</v>
      </c>
      <c r="CD336" s="313">
        <v>10.7</v>
      </c>
    </row>
    <row r="337" spans="1:82" x14ac:dyDescent="0.25">
      <c r="A337" s="130" t="s">
        <v>5483</v>
      </c>
      <c r="B337" s="130" t="s">
        <v>303</v>
      </c>
      <c r="C337" s="130" t="s">
        <v>5484</v>
      </c>
      <c r="D337" s="130" t="s">
        <v>89</v>
      </c>
      <c r="E337" s="130" t="s">
        <v>5406</v>
      </c>
      <c r="F337" s="130" t="s">
        <v>4272</v>
      </c>
      <c r="G337" s="130" t="s">
        <v>5485</v>
      </c>
      <c r="H337" s="309">
        <v>540258</v>
      </c>
      <c r="I337" s="277" t="s">
        <v>1610</v>
      </c>
      <c r="J337" s="130">
        <v>5474788</v>
      </c>
      <c r="K337" s="130" t="s">
        <v>5486</v>
      </c>
      <c r="L337" s="310">
        <v>0.29738004048793776</v>
      </c>
      <c r="M337" s="311">
        <v>141</v>
      </c>
      <c r="N337" s="312">
        <v>474.14076536087902</v>
      </c>
      <c r="O337" s="311">
        <v>57</v>
      </c>
      <c r="P337" s="312">
        <v>2.4700000000000002</v>
      </c>
      <c r="Q337" s="311">
        <v>141</v>
      </c>
      <c r="R337" s="311">
        <v>23</v>
      </c>
      <c r="S337" s="311">
        <v>2</v>
      </c>
      <c r="T337" s="311">
        <v>2</v>
      </c>
      <c r="U337" s="311">
        <v>5</v>
      </c>
      <c r="V337" s="311">
        <v>0</v>
      </c>
      <c r="W337" s="311">
        <v>7</v>
      </c>
      <c r="X337" s="311">
        <v>1</v>
      </c>
      <c r="Y337" s="311">
        <v>0</v>
      </c>
      <c r="Z337" s="311">
        <v>2</v>
      </c>
      <c r="AA337" s="311">
        <v>10</v>
      </c>
      <c r="AB337" s="311">
        <v>0</v>
      </c>
      <c r="AC337" s="311">
        <v>5</v>
      </c>
      <c r="AD337" s="311">
        <v>0</v>
      </c>
      <c r="AE337" s="311">
        <v>0</v>
      </c>
      <c r="AF337" s="311">
        <v>0</v>
      </c>
      <c r="AG337" s="311">
        <v>0</v>
      </c>
      <c r="AH337" s="312">
        <v>47.368421052631575</v>
      </c>
      <c r="AI337" s="312">
        <v>8.7719298245614024</v>
      </c>
      <c r="AJ337" s="312">
        <v>17.543859649122805</v>
      </c>
      <c r="AK337" s="312">
        <v>17.543859649122805</v>
      </c>
      <c r="AL337" s="312">
        <v>8.7719298245614024</v>
      </c>
      <c r="AM337" s="311">
        <v>15952</v>
      </c>
      <c r="AN337" s="311">
        <v>20750</v>
      </c>
      <c r="AO337" s="312">
        <v>70.175438596491219</v>
      </c>
      <c r="AP337" s="311">
        <v>57</v>
      </c>
      <c r="AQ337" s="311">
        <v>31</v>
      </c>
      <c r="AR337" s="311">
        <v>34</v>
      </c>
      <c r="AS337" s="311">
        <v>23</v>
      </c>
      <c r="AT337" s="311">
        <v>4</v>
      </c>
      <c r="AU337" s="311">
        <v>9</v>
      </c>
      <c r="AV337" s="311">
        <v>12</v>
      </c>
      <c r="AW337" s="311">
        <v>12</v>
      </c>
      <c r="AX337" s="311">
        <v>0</v>
      </c>
      <c r="AY337" s="311">
        <v>0</v>
      </c>
      <c r="AZ337" s="311">
        <v>2</v>
      </c>
      <c r="BA337" s="311">
        <v>1</v>
      </c>
      <c r="BB337" s="311">
        <v>0</v>
      </c>
      <c r="BC337" s="311">
        <v>10</v>
      </c>
      <c r="BD337" s="311">
        <v>0</v>
      </c>
      <c r="BE337" s="311">
        <v>0</v>
      </c>
      <c r="BF337" s="311">
        <v>3</v>
      </c>
      <c r="BG337" s="311">
        <v>2</v>
      </c>
      <c r="BH337" s="311">
        <v>0</v>
      </c>
      <c r="BI337" s="312">
        <v>21.052631578947366</v>
      </c>
      <c r="BJ337" s="313">
        <v>7.1</v>
      </c>
      <c r="BK337" s="313">
        <v>4.3</v>
      </c>
      <c r="BL337" s="313">
        <v>7.1</v>
      </c>
      <c r="BM337" s="313">
        <v>6.4</v>
      </c>
      <c r="BN337" s="313">
        <v>7.1</v>
      </c>
      <c r="BO337" s="313">
        <v>0</v>
      </c>
      <c r="BP337" s="313">
        <v>6.4</v>
      </c>
      <c r="BQ337" s="313">
        <v>1.4</v>
      </c>
      <c r="BR337" s="313">
        <v>13.5</v>
      </c>
      <c r="BS337" s="313">
        <v>1.4</v>
      </c>
      <c r="BT337" s="313">
        <v>12.1</v>
      </c>
      <c r="BU337" s="313">
        <v>5.7</v>
      </c>
      <c r="BV337" s="313">
        <v>5.7</v>
      </c>
      <c r="BW337" s="313">
        <v>2.8</v>
      </c>
      <c r="BX337" s="313">
        <v>12.8</v>
      </c>
      <c r="BY337" s="313">
        <v>4.3</v>
      </c>
      <c r="BZ337" s="313">
        <v>2.1</v>
      </c>
      <c r="CA337" s="313">
        <v>0</v>
      </c>
      <c r="CB337" s="313">
        <v>18.5</v>
      </c>
      <c r="CC337" s="313">
        <v>59.7</v>
      </c>
      <c r="CD337" s="313">
        <v>22.000000000000004</v>
      </c>
    </row>
    <row r="338" spans="1:82" s="322" customFormat="1" x14ac:dyDescent="0.25">
      <c r="A338" s="314" t="s">
        <v>5487</v>
      </c>
      <c r="B338" s="315" t="s">
        <v>348</v>
      </c>
      <c r="C338" s="314"/>
      <c r="D338" s="314"/>
      <c r="E338" s="314"/>
      <c r="F338" s="314"/>
      <c r="G338" s="314"/>
      <c r="H338" s="316"/>
      <c r="I338" s="317"/>
      <c r="J338" s="314">
        <v>54103</v>
      </c>
      <c r="K338" s="314" t="s">
        <v>5488</v>
      </c>
      <c r="L338" s="318">
        <v>361.00265623607368</v>
      </c>
      <c r="M338" s="319">
        <v>15793</v>
      </c>
      <c r="N338" s="320">
        <v>43.747600543061772</v>
      </c>
      <c r="O338" s="319">
        <v>5979</v>
      </c>
      <c r="P338" s="320">
        <v>2.62</v>
      </c>
      <c r="Q338" s="319">
        <v>15672</v>
      </c>
      <c r="R338" s="319">
        <v>637</v>
      </c>
      <c r="S338" s="319">
        <v>418</v>
      </c>
      <c r="T338" s="319">
        <v>391</v>
      </c>
      <c r="U338" s="319">
        <v>418</v>
      </c>
      <c r="V338" s="319">
        <v>311</v>
      </c>
      <c r="W338" s="319">
        <v>431</v>
      </c>
      <c r="X338" s="319">
        <v>338</v>
      </c>
      <c r="Y338" s="319">
        <v>397</v>
      </c>
      <c r="Z338" s="319">
        <v>287</v>
      </c>
      <c r="AA338" s="319">
        <v>457</v>
      </c>
      <c r="AB338" s="319">
        <v>641</v>
      </c>
      <c r="AC338" s="319">
        <v>577</v>
      </c>
      <c r="AD338" s="319">
        <v>355</v>
      </c>
      <c r="AE338" s="319">
        <v>120</v>
      </c>
      <c r="AF338" s="319">
        <v>145</v>
      </c>
      <c r="AG338" s="319">
        <v>56</v>
      </c>
      <c r="AH338" s="320">
        <v>24.184646261916708</v>
      </c>
      <c r="AI338" s="320">
        <v>12.192674360260913</v>
      </c>
      <c r="AJ338" s="320">
        <v>24.301722696103027</v>
      </c>
      <c r="AK338" s="320">
        <v>7.6434186318782409</v>
      </c>
      <c r="AL338" s="320">
        <v>31.677538049841107</v>
      </c>
      <c r="AM338" s="319">
        <v>22088</v>
      </c>
      <c r="AN338" s="319">
        <v>40694</v>
      </c>
      <c r="AO338" s="320">
        <v>55.878909516641585</v>
      </c>
      <c r="AP338" s="319">
        <v>5979</v>
      </c>
      <c r="AQ338" s="319">
        <v>2176</v>
      </c>
      <c r="AR338" s="319">
        <v>4716</v>
      </c>
      <c r="AS338" s="319">
        <v>1263</v>
      </c>
      <c r="AT338" s="319">
        <v>222</v>
      </c>
      <c r="AU338" s="319">
        <v>259</v>
      </c>
      <c r="AV338" s="319">
        <v>742</v>
      </c>
      <c r="AW338" s="319">
        <v>693</v>
      </c>
      <c r="AX338" s="319">
        <v>197</v>
      </c>
      <c r="AY338" s="319">
        <v>242</v>
      </c>
      <c r="AZ338" s="319">
        <v>782</v>
      </c>
      <c r="BA338" s="319">
        <v>156</v>
      </c>
      <c r="BB338" s="319">
        <v>46</v>
      </c>
      <c r="BC338" s="319">
        <v>954</v>
      </c>
      <c r="BD338" s="319">
        <v>119</v>
      </c>
      <c r="BE338" s="319">
        <v>0</v>
      </c>
      <c r="BF338" s="319">
        <v>1223</v>
      </c>
      <c r="BG338" s="319">
        <v>19</v>
      </c>
      <c r="BH338" s="319">
        <v>0</v>
      </c>
      <c r="BI338" s="320">
        <v>17.226961030272619</v>
      </c>
      <c r="BJ338" s="321">
        <v>5.0999999999999996</v>
      </c>
      <c r="BK338" s="321">
        <v>4.7</v>
      </c>
      <c r="BL338" s="321">
        <v>6.7</v>
      </c>
      <c r="BM338" s="321">
        <v>6.4</v>
      </c>
      <c r="BN338" s="321">
        <v>5.4</v>
      </c>
      <c r="BO338" s="321">
        <v>5</v>
      </c>
      <c r="BP338" s="321">
        <v>4.9000000000000004</v>
      </c>
      <c r="BQ338" s="321">
        <v>6.4</v>
      </c>
      <c r="BR338" s="321">
        <v>4.7</v>
      </c>
      <c r="BS338" s="321">
        <v>6.6</v>
      </c>
      <c r="BT338" s="321">
        <v>7.3</v>
      </c>
      <c r="BU338" s="321">
        <v>8.1999999999999993</v>
      </c>
      <c r="BV338" s="321">
        <v>6.8</v>
      </c>
      <c r="BW338" s="321">
        <v>6.7</v>
      </c>
      <c r="BX338" s="321">
        <v>5.2</v>
      </c>
      <c r="BY338" s="321">
        <v>3.9</v>
      </c>
      <c r="BZ338" s="321">
        <v>3.1</v>
      </c>
      <c r="CA338" s="321">
        <v>2.8</v>
      </c>
      <c r="CB338" s="321">
        <v>16.5</v>
      </c>
      <c r="CC338" s="321">
        <v>61.7</v>
      </c>
      <c r="CD338" s="321">
        <v>21.700000000000003</v>
      </c>
    </row>
    <row r="339" spans="1:82" s="308" customFormat="1" x14ac:dyDescent="0.25">
      <c r="A339" s="301" t="s">
        <v>5489</v>
      </c>
      <c r="B339" s="301" t="s">
        <v>90</v>
      </c>
      <c r="C339" s="301" t="s">
        <v>5490</v>
      </c>
      <c r="D339" s="301" t="s">
        <v>91</v>
      </c>
      <c r="E339" s="301" t="s">
        <v>5491</v>
      </c>
      <c r="F339" s="301" t="s">
        <v>4272</v>
      </c>
      <c r="G339" s="301" t="s">
        <v>5492</v>
      </c>
      <c r="H339" s="302">
        <v>540211</v>
      </c>
      <c r="I339" s="303" t="s">
        <v>1611</v>
      </c>
      <c r="J339" s="301" t="s">
        <v>488</v>
      </c>
      <c r="K339" s="301" t="s">
        <v>488</v>
      </c>
      <c r="L339" s="304">
        <v>234.29195905373126</v>
      </c>
      <c r="M339" s="305">
        <v>4925</v>
      </c>
      <c r="N339" s="306">
        <v>21.020781165052817</v>
      </c>
      <c r="O339" s="305">
        <v>2072</v>
      </c>
      <c r="P339" s="306">
        <v>2.3769305019305018</v>
      </c>
      <c r="Q339" s="305">
        <v>4925</v>
      </c>
      <c r="R339" s="305">
        <v>174</v>
      </c>
      <c r="S339" s="305">
        <v>111</v>
      </c>
      <c r="T339" s="305">
        <v>125</v>
      </c>
      <c r="U339" s="305">
        <v>112</v>
      </c>
      <c r="V339" s="305">
        <v>149</v>
      </c>
      <c r="W339" s="305">
        <v>107</v>
      </c>
      <c r="X339" s="305">
        <v>229</v>
      </c>
      <c r="Y339" s="305">
        <v>93</v>
      </c>
      <c r="Z339" s="305">
        <v>115</v>
      </c>
      <c r="AA339" s="305">
        <v>269</v>
      </c>
      <c r="AB339" s="305">
        <v>311</v>
      </c>
      <c r="AC339" s="305">
        <v>114</v>
      </c>
      <c r="AD339" s="305">
        <v>71</v>
      </c>
      <c r="AE339" s="305">
        <v>76</v>
      </c>
      <c r="AF339" s="305">
        <v>5</v>
      </c>
      <c r="AG339" s="305">
        <v>11</v>
      </c>
      <c r="AH339" s="306">
        <v>19.787644787644787</v>
      </c>
      <c r="AI339" s="306">
        <v>12.596525096525097</v>
      </c>
      <c r="AJ339" s="306">
        <v>26.254826254826252</v>
      </c>
      <c r="AK339" s="306">
        <v>12.982625482625481</v>
      </c>
      <c r="AL339" s="306">
        <v>28.378378378378379</v>
      </c>
      <c r="AM339" s="305">
        <v>19747</v>
      </c>
      <c r="AN339" s="305">
        <v>38936</v>
      </c>
      <c r="AO339" s="306">
        <v>53.088803088803097</v>
      </c>
      <c r="AP339" s="305">
        <v>2072</v>
      </c>
      <c r="AQ339" s="305">
        <v>768</v>
      </c>
      <c r="AR339" s="305">
        <v>1854</v>
      </c>
      <c r="AS339" s="305">
        <v>218</v>
      </c>
      <c r="AT339" s="305">
        <v>102</v>
      </c>
      <c r="AU339" s="305">
        <v>45</v>
      </c>
      <c r="AV339" s="305">
        <v>178</v>
      </c>
      <c r="AW339" s="305">
        <v>220</v>
      </c>
      <c r="AX339" s="305">
        <v>44</v>
      </c>
      <c r="AY339" s="305">
        <v>88</v>
      </c>
      <c r="AZ339" s="305">
        <v>346</v>
      </c>
      <c r="BA339" s="305">
        <v>77</v>
      </c>
      <c r="BB339" s="305">
        <v>0</v>
      </c>
      <c r="BC339" s="305">
        <v>480</v>
      </c>
      <c r="BD339" s="305">
        <v>52</v>
      </c>
      <c r="BE339" s="305">
        <v>11</v>
      </c>
      <c r="BF339" s="305">
        <v>263</v>
      </c>
      <c r="BG339" s="305">
        <v>0</v>
      </c>
      <c r="BH339" s="305">
        <v>0</v>
      </c>
      <c r="BI339" s="306">
        <v>13.368725868725869</v>
      </c>
      <c r="BJ339" s="307">
        <v>5.2</v>
      </c>
      <c r="BK339" s="307">
        <v>8</v>
      </c>
      <c r="BL339" s="307">
        <v>5.6</v>
      </c>
      <c r="BM339" s="307">
        <v>6.3</v>
      </c>
      <c r="BN339" s="307">
        <v>4.8</v>
      </c>
      <c r="BO339" s="307">
        <v>3.9</v>
      </c>
      <c r="BP339" s="307">
        <v>5.3</v>
      </c>
      <c r="BQ339" s="307">
        <v>4.7</v>
      </c>
      <c r="BR339" s="307">
        <v>8.3000000000000007</v>
      </c>
      <c r="BS339" s="307">
        <v>5</v>
      </c>
      <c r="BT339" s="307">
        <v>8.1</v>
      </c>
      <c r="BU339" s="307">
        <v>9.9</v>
      </c>
      <c r="BV339" s="307">
        <v>6.6</v>
      </c>
      <c r="BW339" s="307">
        <v>7.3</v>
      </c>
      <c r="BX339" s="307">
        <v>3.9</v>
      </c>
      <c r="BY339" s="307">
        <v>2.8</v>
      </c>
      <c r="BZ339" s="307">
        <v>3</v>
      </c>
      <c r="CA339" s="307">
        <v>1.2</v>
      </c>
      <c r="CB339" s="307">
        <v>18.799999999999997</v>
      </c>
      <c r="CC339" s="307">
        <v>62.9</v>
      </c>
      <c r="CD339" s="307">
        <v>18.2</v>
      </c>
    </row>
    <row r="340" spans="1:82" x14ac:dyDescent="0.25">
      <c r="A340" s="130" t="s">
        <v>5493</v>
      </c>
      <c r="B340" s="130" t="s">
        <v>268</v>
      </c>
      <c r="C340" s="130" t="s">
        <v>5494</v>
      </c>
      <c r="D340" s="130" t="s">
        <v>91</v>
      </c>
      <c r="E340" s="130" t="s">
        <v>5491</v>
      </c>
      <c r="F340" s="130" t="s">
        <v>4272</v>
      </c>
      <c r="G340" s="130" t="s">
        <v>5495</v>
      </c>
      <c r="H340" s="309">
        <v>540212</v>
      </c>
      <c r="I340" s="277" t="s">
        <v>1612</v>
      </c>
      <c r="J340" s="130">
        <v>5424364</v>
      </c>
      <c r="K340" s="130" t="s">
        <v>5496</v>
      </c>
      <c r="L340" s="310">
        <v>0.53534767963788965</v>
      </c>
      <c r="M340" s="311">
        <v>875</v>
      </c>
      <c r="N340" s="312">
        <v>1634.4518399553949</v>
      </c>
      <c r="O340" s="311">
        <v>355</v>
      </c>
      <c r="P340" s="312">
        <v>2.46</v>
      </c>
      <c r="Q340" s="311">
        <v>875</v>
      </c>
      <c r="R340" s="311">
        <v>68</v>
      </c>
      <c r="S340" s="311">
        <v>49</v>
      </c>
      <c r="T340" s="311">
        <v>61</v>
      </c>
      <c r="U340" s="311">
        <v>33</v>
      </c>
      <c r="V340" s="311">
        <v>15</v>
      </c>
      <c r="W340" s="311">
        <v>26</v>
      </c>
      <c r="X340" s="311">
        <v>6</v>
      </c>
      <c r="Y340" s="311">
        <v>9</v>
      </c>
      <c r="Z340" s="311">
        <v>6</v>
      </c>
      <c r="AA340" s="311">
        <v>23</v>
      </c>
      <c r="AB340" s="311">
        <v>16</v>
      </c>
      <c r="AC340" s="311">
        <v>16</v>
      </c>
      <c r="AD340" s="311">
        <v>15</v>
      </c>
      <c r="AE340" s="311">
        <v>5</v>
      </c>
      <c r="AF340" s="311">
        <v>7</v>
      </c>
      <c r="AG340" s="311">
        <v>0</v>
      </c>
      <c r="AH340" s="312">
        <v>50.140845070422536</v>
      </c>
      <c r="AI340" s="312">
        <v>13.521126760563378</v>
      </c>
      <c r="AJ340" s="312">
        <v>13.239436619718308</v>
      </c>
      <c r="AK340" s="312">
        <v>6.4788732394366191</v>
      </c>
      <c r="AL340" s="312">
        <v>16.619718309859156</v>
      </c>
      <c r="AM340" s="311">
        <v>13997</v>
      </c>
      <c r="AN340" s="311">
        <v>19973</v>
      </c>
      <c r="AO340" s="312">
        <v>75.211267605633807</v>
      </c>
      <c r="AP340" s="311">
        <v>355</v>
      </c>
      <c r="AQ340" s="311">
        <v>95</v>
      </c>
      <c r="AR340" s="311">
        <v>171</v>
      </c>
      <c r="AS340" s="311">
        <v>184</v>
      </c>
      <c r="AT340" s="311">
        <v>45</v>
      </c>
      <c r="AU340" s="311">
        <v>34</v>
      </c>
      <c r="AV340" s="311">
        <v>83</v>
      </c>
      <c r="AW340" s="311">
        <v>28</v>
      </c>
      <c r="AX340" s="311">
        <v>6</v>
      </c>
      <c r="AY340" s="311">
        <v>28</v>
      </c>
      <c r="AZ340" s="311">
        <v>19</v>
      </c>
      <c r="BA340" s="311">
        <v>2</v>
      </c>
      <c r="BB340" s="311">
        <v>0</v>
      </c>
      <c r="BC340" s="311">
        <v>27</v>
      </c>
      <c r="BD340" s="311">
        <v>10</v>
      </c>
      <c r="BE340" s="311">
        <v>0</v>
      </c>
      <c r="BF340" s="311">
        <v>43</v>
      </c>
      <c r="BG340" s="311">
        <v>0</v>
      </c>
      <c r="BH340" s="311">
        <v>0</v>
      </c>
      <c r="BI340" s="312">
        <v>31.26760563380282</v>
      </c>
      <c r="BJ340" s="313">
        <v>8.1999999999999993</v>
      </c>
      <c r="BK340" s="313">
        <v>13.6</v>
      </c>
      <c r="BL340" s="313">
        <v>8.6999999999999993</v>
      </c>
      <c r="BM340" s="313">
        <v>5.0999999999999996</v>
      </c>
      <c r="BN340" s="313">
        <v>2.5</v>
      </c>
      <c r="BO340" s="313">
        <v>3.4</v>
      </c>
      <c r="BP340" s="313">
        <v>5.4</v>
      </c>
      <c r="BQ340" s="313">
        <v>5.7</v>
      </c>
      <c r="BR340" s="313">
        <v>10.1</v>
      </c>
      <c r="BS340" s="313">
        <v>6.5</v>
      </c>
      <c r="BT340" s="313">
        <v>5.7</v>
      </c>
      <c r="BU340" s="313">
        <v>4.3</v>
      </c>
      <c r="BV340" s="313">
        <v>2.9</v>
      </c>
      <c r="BW340" s="313">
        <v>4.5</v>
      </c>
      <c r="BX340" s="313">
        <v>5.0999999999999996</v>
      </c>
      <c r="BY340" s="313">
        <v>2.6</v>
      </c>
      <c r="BZ340" s="313">
        <v>1.8</v>
      </c>
      <c r="CA340" s="313">
        <v>3.8</v>
      </c>
      <c r="CB340" s="313">
        <v>30.499999999999996</v>
      </c>
      <c r="CC340" s="313">
        <v>51.599999999999994</v>
      </c>
      <c r="CD340" s="313">
        <v>17.8</v>
      </c>
    </row>
    <row r="341" spans="1:82" s="322" customFormat="1" x14ac:dyDescent="0.25">
      <c r="A341" s="314" t="s">
        <v>5497</v>
      </c>
      <c r="B341" s="315" t="s">
        <v>348</v>
      </c>
      <c r="C341" s="314"/>
      <c r="D341" s="314"/>
      <c r="E341" s="314"/>
      <c r="F341" s="314"/>
      <c r="G341" s="314"/>
      <c r="H341" s="316"/>
      <c r="I341" s="317"/>
      <c r="J341" s="314">
        <v>54105</v>
      </c>
      <c r="K341" s="314" t="s">
        <v>5498</v>
      </c>
      <c r="L341" s="318">
        <v>234.82730673336914</v>
      </c>
      <c r="M341" s="319">
        <v>5800</v>
      </c>
      <c r="N341" s="320">
        <v>24.699001494683564</v>
      </c>
      <c r="O341" s="319">
        <v>2427</v>
      </c>
      <c r="P341" s="320">
        <v>2.39</v>
      </c>
      <c r="Q341" s="319">
        <v>5800</v>
      </c>
      <c r="R341" s="319">
        <v>242</v>
      </c>
      <c r="S341" s="319">
        <v>160</v>
      </c>
      <c r="T341" s="319">
        <v>186</v>
      </c>
      <c r="U341" s="319">
        <v>145</v>
      </c>
      <c r="V341" s="319">
        <v>164</v>
      </c>
      <c r="W341" s="319">
        <v>133</v>
      </c>
      <c r="X341" s="319">
        <v>235</v>
      </c>
      <c r="Y341" s="319">
        <v>102</v>
      </c>
      <c r="Z341" s="319">
        <v>121</v>
      </c>
      <c r="AA341" s="319">
        <v>292</v>
      </c>
      <c r="AB341" s="319">
        <v>327</v>
      </c>
      <c r="AC341" s="319">
        <v>130</v>
      </c>
      <c r="AD341" s="319">
        <v>86</v>
      </c>
      <c r="AE341" s="319">
        <v>81</v>
      </c>
      <c r="AF341" s="319">
        <v>12</v>
      </c>
      <c r="AG341" s="319">
        <v>11</v>
      </c>
      <c r="AH341" s="320">
        <v>24.227441285537701</v>
      </c>
      <c r="AI341" s="320">
        <v>12.73176761433869</v>
      </c>
      <c r="AJ341" s="320">
        <v>24.351050679851667</v>
      </c>
      <c r="AK341" s="320">
        <v>12.031314379892871</v>
      </c>
      <c r="AL341" s="320">
        <v>26.658426040379069</v>
      </c>
      <c r="AM341" s="319">
        <v>19747</v>
      </c>
      <c r="AN341" s="319">
        <v>38936</v>
      </c>
      <c r="AO341" s="320">
        <v>56.324680675731351</v>
      </c>
      <c r="AP341" s="319">
        <v>2427</v>
      </c>
      <c r="AQ341" s="319">
        <v>863</v>
      </c>
      <c r="AR341" s="319">
        <v>2025</v>
      </c>
      <c r="AS341" s="319">
        <v>402</v>
      </c>
      <c r="AT341" s="319">
        <v>147</v>
      </c>
      <c r="AU341" s="319">
        <v>79</v>
      </c>
      <c r="AV341" s="319">
        <v>261</v>
      </c>
      <c r="AW341" s="319">
        <v>248</v>
      </c>
      <c r="AX341" s="319">
        <v>50</v>
      </c>
      <c r="AY341" s="319">
        <v>116</v>
      </c>
      <c r="AZ341" s="319">
        <v>365</v>
      </c>
      <c r="BA341" s="319">
        <v>79</v>
      </c>
      <c r="BB341" s="319">
        <v>0</v>
      </c>
      <c r="BC341" s="319">
        <v>507</v>
      </c>
      <c r="BD341" s="319">
        <v>62</v>
      </c>
      <c r="BE341" s="319">
        <v>11</v>
      </c>
      <c r="BF341" s="319">
        <v>306</v>
      </c>
      <c r="BG341" s="319">
        <v>0</v>
      </c>
      <c r="BH341" s="319">
        <v>0</v>
      </c>
      <c r="BI341" s="320">
        <v>15.986814997939844</v>
      </c>
      <c r="BJ341" s="321">
        <v>5.2</v>
      </c>
      <c r="BK341" s="321">
        <v>8</v>
      </c>
      <c r="BL341" s="321">
        <v>5.6</v>
      </c>
      <c r="BM341" s="321">
        <v>6.3</v>
      </c>
      <c r="BN341" s="321">
        <v>4.8</v>
      </c>
      <c r="BO341" s="321">
        <v>3.9</v>
      </c>
      <c r="BP341" s="321">
        <v>5.3</v>
      </c>
      <c r="BQ341" s="321">
        <v>4.7</v>
      </c>
      <c r="BR341" s="321">
        <v>8.3000000000000007</v>
      </c>
      <c r="BS341" s="321">
        <v>5</v>
      </c>
      <c r="BT341" s="321">
        <v>8.1</v>
      </c>
      <c r="BU341" s="321">
        <v>9.9</v>
      </c>
      <c r="BV341" s="321">
        <v>6.6</v>
      </c>
      <c r="BW341" s="321">
        <v>7.3</v>
      </c>
      <c r="BX341" s="321">
        <v>3.9</v>
      </c>
      <c r="BY341" s="321">
        <v>2.8</v>
      </c>
      <c r="BZ341" s="321">
        <v>3</v>
      </c>
      <c r="CA341" s="321">
        <v>1.2</v>
      </c>
      <c r="CB341" s="321">
        <v>18.799999999999997</v>
      </c>
      <c r="CC341" s="321">
        <v>62.9</v>
      </c>
      <c r="CD341" s="321">
        <v>18.2</v>
      </c>
    </row>
    <row r="342" spans="1:82" s="308" customFormat="1" x14ac:dyDescent="0.25">
      <c r="A342" s="301" t="s">
        <v>5499</v>
      </c>
      <c r="B342" s="301" t="s">
        <v>92</v>
      </c>
      <c r="C342" s="301" t="s">
        <v>5500</v>
      </c>
      <c r="D342" s="301" t="s">
        <v>93</v>
      </c>
      <c r="E342" s="301" t="s">
        <v>5501</v>
      </c>
      <c r="F342" s="301" t="s">
        <v>4272</v>
      </c>
      <c r="G342" s="301" t="s">
        <v>5502</v>
      </c>
      <c r="H342" s="302">
        <v>540213</v>
      </c>
      <c r="I342" s="303" t="s">
        <v>1613</v>
      </c>
      <c r="J342" s="301" t="s">
        <v>488</v>
      </c>
      <c r="K342" s="301" t="s">
        <v>488</v>
      </c>
      <c r="L342" s="304">
        <v>358.17730663690583</v>
      </c>
      <c r="M342" s="305">
        <v>40946</v>
      </c>
      <c r="N342" s="306">
        <v>114.31768356421331</v>
      </c>
      <c r="O342" s="305">
        <v>16771</v>
      </c>
      <c r="P342" s="306">
        <v>2.4214417744916821</v>
      </c>
      <c r="Q342" s="305">
        <v>40610</v>
      </c>
      <c r="R342" s="305">
        <v>906</v>
      </c>
      <c r="S342" s="305">
        <v>953</v>
      </c>
      <c r="T342" s="305">
        <v>961</v>
      </c>
      <c r="U342" s="305">
        <v>1103</v>
      </c>
      <c r="V342" s="305">
        <v>813</v>
      </c>
      <c r="W342" s="305">
        <v>902</v>
      </c>
      <c r="X342" s="305">
        <v>795</v>
      </c>
      <c r="Y342" s="305">
        <v>888</v>
      </c>
      <c r="Z342" s="305">
        <v>707</v>
      </c>
      <c r="AA342" s="305">
        <v>1389</v>
      </c>
      <c r="AB342" s="305">
        <v>2086</v>
      </c>
      <c r="AC342" s="305">
        <v>1964</v>
      </c>
      <c r="AD342" s="305">
        <v>1430</v>
      </c>
      <c r="AE342" s="305">
        <v>791</v>
      </c>
      <c r="AF342" s="305">
        <v>568</v>
      </c>
      <c r="AG342" s="305">
        <v>515</v>
      </c>
      <c r="AH342" s="306">
        <v>16.814739729294615</v>
      </c>
      <c r="AI342" s="306">
        <v>11.424482738059746</v>
      </c>
      <c r="AJ342" s="306">
        <v>19.62912169816946</v>
      </c>
      <c r="AK342" s="306">
        <v>8.282153717727029</v>
      </c>
      <c r="AL342" s="306">
        <v>43.84950211674915</v>
      </c>
      <c r="AM342" s="305">
        <v>26717</v>
      </c>
      <c r="AN342" s="305">
        <v>45537</v>
      </c>
      <c r="AO342" s="306">
        <v>43.652733885874426</v>
      </c>
      <c r="AP342" s="305">
        <v>16771</v>
      </c>
      <c r="AQ342" s="305">
        <v>1770</v>
      </c>
      <c r="AR342" s="305">
        <v>12818</v>
      </c>
      <c r="AS342" s="305">
        <v>3953</v>
      </c>
      <c r="AT342" s="305">
        <v>399</v>
      </c>
      <c r="AU342" s="305">
        <v>332</v>
      </c>
      <c r="AV342" s="305">
        <v>1734</v>
      </c>
      <c r="AW342" s="305">
        <v>1245</v>
      </c>
      <c r="AX342" s="305">
        <v>458</v>
      </c>
      <c r="AY342" s="305">
        <v>998</v>
      </c>
      <c r="AZ342" s="305">
        <v>1305</v>
      </c>
      <c r="BA342" s="305">
        <v>719</v>
      </c>
      <c r="BB342" s="305">
        <v>240</v>
      </c>
      <c r="BC342" s="305">
        <v>2547</v>
      </c>
      <c r="BD342" s="305">
        <v>608</v>
      </c>
      <c r="BE342" s="305">
        <v>199</v>
      </c>
      <c r="BF342" s="305">
        <v>4706</v>
      </c>
      <c r="BG342" s="305">
        <v>367</v>
      </c>
      <c r="BH342" s="305">
        <v>47</v>
      </c>
      <c r="BI342" s="306">
        <v>19.187883847117046</v>
      </c>
      <c r="BJ342" s="307">
        <v>5.7</v>
      </c>
      <c r="BK342" s="307">
        <v>5.5</v>
      </c>
      <c r="BL342" s="307">
        <v>6.3</v>
      </c>
      <c r="BM342" s="307">
        <v>5.8</v>
      </c>
      <c r="BN342" s="307">
        <v>5.7</v>
      </c>
      <c r="BO342" s="307">
        <v>5.6</v>
      </c>
      <c r="BP342" s="307">
        <v>5.7</v>
      </c>
      <c r="BQ342" s="307">
        <v>5.7</v>
      </c>
      <c r="BR342" s="307">
        <v>6.3</v>
      </c>
      <c r="BS342" s="307">
        <v>6.8</v>
      </c>
      <c r="BT342" s="307">
        <v>7.4</v>
      </c>
      <c r="BU342" s="307">
        <v>7.5</v>
      </c>
      <c r="BV342" s="307">
        <v>6.9</v>
      </c>
      <c r="BW342" s="307">
        <v>6.2</v>
      </c>
      <c r="BX342" s="307">
        <v>4.8</v>
      </c>
      <c r="BY342" s="307">
        <v>3.7</v>
      </c>
      <c r="BZ342" s="307">
        <v>2</v>
      </c>
      <c r="CA342" s="307">
        <v>2.4</v>
      </c>
      <c r="CB342" s="307">
        <v>17.5</v>
      </c>
      <c r="CC342" s="307">
        <v>63.399999999999991</v>
      </c>
      <c r="CD342" s="307">
        <v>19.099999999999998</v>
      </c>
    </row>
    <row r="343" spans="1:82" x14ac:dyDescent="0.25">
      <c r="A343" s="130" t="s">
        <v>5503</v>
      </c>
      <c r="B343" s="130" t="s">
        <v>143</v>
      </c>
      <c r="C343" s="130" t="s">
        <v>5504</v>
      </c>
      <c r="D343" s="130" t="s">
        <v>93</v>
      </c>
      <c r="E343" s="130" t="s">
        <v>5501</v>
      </c>
      <c r="F343" s="130" t="s">
        <v>4272</v>
      </c>
      <c r="G343" s="130" t="s">
        <v>5505</v>
      </c>
      <c r="H343" s="309">
        <v>540042</v>
      </c>
      <c r="I343" s="277" t="s">
        <v>1614</v>
      </c>
      <c r="J343" s="130">
        <v>5459458</v>
      </c>
      <c r="K343" s="130" t="s">
        <v>5506</v>
      </c>
      <c r="L343" s="310">
        <v>0.55020664261024699</v>
      </c>
      <c r="M343" s="311">
        <v>999</v>
      </c>
      <c r="N343" s="312">
        <v>1815.6814597159769</v>
      </c>
      <c r="O343" s="311">
        <v>340</v>
      </c>
      <c r="P343" s="312">
        <v>2.94</v>
      </c>
      <c r="Q343" s="311">
        <v>999</v>
      </c>
      <c r="R343" s="311">
        <v>6</v>
      </c>
      <c r="S343" s="311">
        <v>3</v>
      </c>
      <c r="T343" s="311">
        <v>2</v>
      </c>
      <c r="U343" s="311">
        <v>7</v>
      </c>
      <c r="V343" s="311">
        <v>6</v>
      </c>
      <c r="W343" s="311">
        <v>14</v>
      </c>
      <c r="X343" s="311">
        <v>6</v>
      </c>
      <c r="Y343" s="311">
        <v>3</v>
      </c>
      <c r="Z343" s="311">
        <v>10</v>
      </c>
      <c r="AA343" s="311">
        <v>8</v>
      </c>
      <c r="AB343" s="311">
        <v>47</v>
      </c>
      <c r="AC343" s="311">
        <v>65</v>
      </c>
      <c r="AD343" s="311">
        <v>70</v>
      </c>
      <c r="AE343" s="311">
        <v>49</v>
      </c>
      <c r="AF343" s="311">
        <v>30</v>
      </c>
      <c r="AG343" s="311">
        <v>14</v>
      </c>
      <c r="AH343" s="312">
        <v>3.2352941176470593</v>
      </c>
      <c r="AI343" s="312">
        <v>3.8235294117647061</v>
      </c>
      <c r="AJ343" s="312">
        <v>9.7058823529411775</v>
      </c>
      <c r="AK343" s="312">
        <v>2.3529411764705883</v>
      </c>
      <c r="AL343" s="312">
        <v>80.882352941176478</v>
      </c>
      <c r="AM343" s="311">
        <v>35703</v>
      </c>
      <c r="AN343" s="311">
        <v>96625</v>
      </c>
      <c r="AO343" s="312">
        <v>13.823529411764707</v>
      </c>
      <c r="AP343" s="311">
        <v>340</v>
      </c>
      <c r="AQ343" s="311">
        <v>12</v>
      </c>
      <c r="AR343" s="311">
        <v>327</v>
      </c>
      <c r="AS343" s="311">
        <v>13</v>
      </c>
      <c r="AT343" s="311">
        <v>2</v>
      </c>
      <c r="AU343" s="311">
        <v>0</v>
      </c>
      <c r="AV343" s="311">
        <v>8</v>
      </c>
      <c r="AW343" s="311">
        <v>5</v>
      </c>
      <c r="AX343" s="311">
        <v>8</v>
      </c>
      <c r="AY343" s="311">
        <v>14</v>
      </c>
      <c r="AZ343" s="311">
        <v>6</v>
      </c>
      <c r="BA343" s="311">
        <v>10</v>
      </c>
      <c r="BB343" s="311">
        <v>3</v>
      </c>
      <c r="BC343" s="311">
        <v>33</v>
      </c>
      <c r="BD343" s="311">
        <v>15</v>
      </c>
      <c r="BE343" s="311">
        <v>7</v>
      </c>
      <c r="BF343" s="311">
        <v>190</v>
      </c>
      <c r="BG343" s="311">
        <v>30</v>
      </c>
      <c r="BH343" s="311">
        <v>8</v>
      </c>
      <c r="BI343" s="312">
        <v>11.76470588235294</v>
      </c>
      <c r="BJ343" s="313">
        <v>7.4</v>
      </c>
      <c r="BK343" s="313">
        <v>9.9</v>
      </c>
      <c r="BL343" s="313">
        <v>8.5</v>
      </c>
      <c r="BM343" s="313">
        <v>7</v>
      </c>
      <c r="BN343" s="313">
        <v>3.3</v>
      </c>
      <c r="BO343" s="313">
        <v>3</v>
      </c>
      <c r="BP343" s="313">
        <v>5.3</v>
      </c>
      <c r="BQ343" s="313">
        <v>6.2</v>
      </c>
      <c r="BR343" s="313">
        <v>7.2</v>
      </c>
      <c r="BS343" s="313">
        <v>7.2</v>
      </c>
      <c r="BT343" s="313">
        <v>8.6999999999999993</v>
      </c>
      <c r="BU343" s="313">
        <v>4.3</v>
      </c>
      <c r="BV343" s="313">
        <v>3.3</v>
      </c>
      <c r="BW343" s="313">
        <v>6</v>
      </c>
      <c r="BX343" s="313">
        <v>5</v>
      </c>
      <c r="BY343" s="313">
        <v>5</v>
      </c>
      <c r="BZ343" s="313">
        <v>1.8</v>
      </c>
      <c r="CA343" s="313">
        <v>0.8</v>
      </c>
      <c r="CB343" s="313">
        <v>25.8</v>
      </c>
      <c r="CC343" s="313">
        <v>55.5</v>
      </c>
      <c r="CD343" s="313">
        <v>18.600000000000001</v>
      </c>
    </row>
    <row r="344" spans="1:82" x14ac:dyDescent="0.25">
      <c r="A344" s="130" t="s">
        <v>5507</v>
      </c>
      <c r="B344" s="130" t="s">
        <v>269</v>
      </c>
      <c r="C344" s="130" t="s">
        <v>5508</v>
      </c>
      <c r="D344" s="130" t="s">
        <v>93</v>
      </c>
      <c r="E344" s="130" t="s">
        <v>5501</v>
      </c>
      <c r="F344" s="130" t="s">
        <v>4272</v>
      </c>
      <c r="G344" s="130" t="s">
        <v>5509</v>
      </c>
      <c r="H344" s="309">
        <v>540214</v>
      </c>
      <c r="I344" s="277" t="s">
        <v>1615</v>
      </c>
      <c r="J344" s="130">
        <v>5462140</v>
      </c>
      <c r="K344" s="130" t="s">
        <v>5510</v>
      </c>
      <c r="L344" s="310">
        <v>12.309512375276942</v>
      </c>
      <c r="M344" s="311">
        <v>30596</v>
      </c>
      <c r="N344" s="312">
        <v>2485.5574345455457</v>
      </c>
      <c r="O344" s="311">
        <v>13104</v>
      </c>
      <c r="P344" s="312">
        <v>2.2999999999999998</v>
      </c>
      <c r="Q344" s="311">
        <v>30168</v>
      </c>
      <c r="R344" s="311">
        <v>1679</v>
      </c>
      <c r="S344" s="311">
        <v>940</v>
      </c>
      <c r="T344" s="311">
        <v>1055</v>
      </c>
      <c r="U344" s="311">
        <v>1042</v>
      </c>
      <c r="V344" s="311">
        <v>871</v>
      </c>
      <c r="W344" s="311">
        <v>762</v>
      </c>
      <c r="X344" s="311">
        <v>620</v>
      </c>
      <c r="Y344" s="311">
        <v>701</v>
      </c>
      <c r="Z344" s="311">
        <v>705</v>
      </c>
      <c r="AA344" s="311">
        <v>1086</v>
      </c>
      <c r="AB344" s="311">
        <v>1191</v>
      </c>
      <c r="AC344" s="311">
        <v>1204</v>
      </c>
      <c r="AD344" s="311">
        <v>494</v>
      </c>
      <c r="AE344" s="311">
        <v>325</v>
      </c>
      <c r="AF344" s="311">
        <v>208</v>
      </c>
      <c r="AG344" s="311">
        <v>221</v>
      </c>
      <c r="AH344" s="312">
        <v>28.037240537240539</v>
      </c>
      <c r="AI344" s="312">
        <v>14.598595848595849</v>
      </c>
      <c r="AJ344" s="312">
        <v>21.275946275946275</v>
      </c>
      <c r="AK344" s="312">
        <v>8.2875457875457865</v>
      </c>
      <c r="AL344" s="312">
        <v>27.800671550671552</v>
      </c>
      <c r="AM344" s="311">
        <v>22735</v>
      </c>
      <c r="AN344" s="311">
        <v>36414</v>
      </c>
      <c r="AO344" s="312">
        <v>58.531746031746032</v>
      </c>
      <c r="AP344" s="311">
        <v>13104</v>
      </c>
      <c r="AQ344" s="311">
        <v>1972</v>
      </c>
      <c r="AR344" s="311">
        <v>7994</v>
      </c>
      <c r="AS344" s="311">
        <v>5110</v>
      </c>
      <c r="AT344" s="311">
        <v>246</v>
      </c>
      <c r="AU344" s="311">
        <v>397</v>
      </c>
      <c r="AV344" s="311">
        <v>2437</v>
      </c>
      <c r="AW344" s="311">
        <v>851</v>
      </c>
      <c r="AX344" s="311">
        <v>776</v>
      </c>
      <c r="AY344" s="311">
        <v>1028</v>
      </c>
      <c r="AZ344" s="311">
        <v>1182</v>
      </c>
      <c r="BA344" s="311">
        <v>561</v>
      </c>
      <c r="BB344" s="311">
        <v>217</v>
      </c>
      <c r="BC344" s="311">
        <v>1893</v>
      </c>
      <c r="BD344" s="311">
        <v>291</v>
      </c>
      <c r="BE344" s="311">
        <v>75</v>
      </c>
      <c r="BF344" s="311">
        <v>2217</v>
      </c>
      <c r="BG344" s="311">
        <v>124</v>
      </c>
      <c r="BH344" s="311">
        <v>20</v>
      </c>
      <c r="BI344" s="312">
        <v>28.823260073260069</v>
      </c>
      <c r="BJ344" s="313">
        <v>5.9</v>
      </c>
      <c r="BK344" s="313">
        <v>6.2</v>
      </c>
      <c r="BL344" s="313">
        <v>6.4</v>
      </c>
      <c r="BM344" s="313">
        <v>4.9000000000000004</v>
      </c>
      <c r="BN344" s="313">
        <v>6.7</v>
      </c>
      <c r="BO344" s="313">
        <v>5.2</v>
      </c>
      <c r="BP344" s="313">
        <v>6.1</v>
      </c>
      <c r="BQ344" s="313">
        <v>5.7</v>
      </c>
      <c r="BR344" s="313">
        <v>6.4</v>
      </c>
      <c r="BS344" s="313">
        <v>7.1</v>
      </c>
      <c r="BT344" s="313">
        <v>7.2</v>
      </c>
      <c r="BU344" s="313">
        <v>7</v>
      </c>
      <c r="BV344" s="313">
        <v>6.4</v>
      </c>
      <c r="BW344" s="313">
        <v>6</v>
      </c>
      <c r="BX344" s="313">
        <v>4.5999999999999996</v>
      </c>
      <c r="BY344" s="313">
        <v>3</v>
      </c>
      <c r="BZ344" s="313">
        <v>2.2000000000000002</v>
      </c>
      <c r="CA344" s="313">
        <v>3</v>
      </c>
      <c r="CB344" s="313">
        <v>18.5</v>
      </c>
      <c r="CC344" s="313">
        <v>62.7</v>
      </c>
      <c r="CD344" s="313">
        <v>18.8</v>
      </c>
    </row>
    <row r="345" spans="1:82" x14ac:dyDescent="0.25">
      <c r="A345" s="130" t="s">
        <v>5511</v>
      </c>
      <c r="B345" s="130" t="s">
        <v>270</v>
      </c>
      <c r="C345" s="130" t="s">
        <v>5512</v>
      </c>
      <c r="D345" s="130" t="s">
        <v>93</v>
      </c>
      <c r="E345" s="130" t="s">
        <v>5501</v>
      </c>
      <c r="F345" s="130" t="s">
        <v>4272</v>
      </c>
      <c r="G345" s="130" t="s">
        <v>5513</v>
      </c>
      <c r="H345" s="309">
        <v>540215</v>
      </c>
      <c r="I345" s="277" t="s">
        <v>1616</v>
      </c>
      <c r="J345" s="130">
        <v>5483500</v>
      </c>
      <c r="K345" s="130" t="s">
        <v>5514</v>
      </c>
      <c r="L345" s="310">
        <v>3.9445315517592174</v>
      </c>
      <c r="M345" s="311">
        <v>10547</v>
      </c>
      <c r="N345" s="312">
        <v>2673.8282763376947</v>
      </c>
      <c r="O345" s="311">
        <v>4665</v>
      </c>
      <c r="P345" s="312">
        <v>2.2200000000000002</v>
      </c>
      <c r="Q345" s="311">
        <v>10360</v>
      </c>
      <c r="R345" s="311">
        <v>247</v>
      </c>
      <c r="S345" s="311">
        <v>159</v>
      </c>
      <c r="T345" s="311">
        <v>315</v>
      </c>
      <c r="U345" s="311">
        <v>239</v>
      </c>
      <c r="V345" s="311">
        <v>431</v>
      </c>
      <c r="W345" s="311">
        <v>243</v>
      </c>
      <c r="X345" s="311">
        <v>343</v>
      </c>
      <c r="Y345" s="311">
        <v>341</v>
      </c>
      <c r="Z345" s="311">
        <v>86</v>
      </c>
      <c r="AA345" s="311">
        <v>339</v>
      </c>
      <c r="AB345" s="311">
        <v>460</v>
      </c>
      <c r="AC345" s="311">
        <v>636</v>
      </c>
      <c r="AD345" s="311">
        <v>310</v>
      </c>
      <c r="AE345" s="311">
        <v>138</v>
      </c>
      <c r="AF345" s="311">
        <v>159</v>
      </c>
      <c r="AG345" s="311">
        <v>219</v>
      </c>
      <c r="AH345" s="312">
        <v>15.455519828510184</v>
      </c>
      <c r="AI345" s="312">
        <v>14.362272240085744</v>
      </c>
      <c r="AJ345" s="312">
        <v>21.714898177920684</v>
      </c>
      <c r="AK345" s="312">
        <v>7.266881028938907</v>
      </c>
      <c r="AL345" s="312">
        <v>41.20042872454448</v>
      </c>
      <c r="AM345" s="311">
        <v>32290</v>
      </c>
      <c r="AN345" s="311">
        <v>45575</v>
      </c>
      <c r="AO345" s="312">
        <v>49.68917470525188</v>
      </c>
      <c r="AP345" s="311">
        <v>4665</v>
      </c>
      <c r="AQ345" s="311">
        <v>299</v>
      </c>
      <c r="AR345" s="311">
        <v>3536</v>
      </c>
      <c r="AS345" s="311">
        <v>1129</v>
      </c>
      <c r="AT345" s="311">
        <v>102</v>
      </c>
      <c r="AU345" s="311">
        <v>79</v>
      </c>
      <c r="AV345" s="311">
        <v>478</v>
      </c>
      <c r="AW345" s="311">
        <v>309</v>
      </c>
      <c r="AX345" s="311">
        <v>275</v>
      </c>
      <c r="AY345" s="311">
        <v>276</v>
      </c>
      <c r="AZ345" s="311">
        <v>460</v>
      </c>
      <c r="BA345" s="311">
        <v>264</v>
      </c>
      <c r="BB345" s="311">
        <v>33</v>
      </c>
      <c r="BC345" s="311">
        <v>631</v>
      </c>
      <c r="BD345" s="311">
        <v>85</v>
      </c>
      <c r="BE345" s="311">
        <v>71</v>
      </c>
      <c r="BF345" s="311">
        <v>1331</v>
      </c>
      <c r="BG345" s="311">
        <v>92</v>
      </c>
      <c r="BH345" s="311">
        <v>15</v>
      </c>
      <c r="BI345" s="312">
        <v>18.713826366559484</v>
      </c>
      <c r="BJ345" s="313">
        <v>4.5999999999999996</v>
      </c>
      <c r="BK345" s="313">
        <v>6.1</v>
      </c>
      <c r="BL345" s="313">
        <v>5.4</v>
      </c>
      <c r="BM345" s="313">
        <v>6</v>
      </c>
      <c r="BN345" s="313">
        <v>7.3</v>
      </c>
      <c r="BO345" s="313">
        <v>4.5999999999999996</v>
      </c>
      <c r="BP345" s="313">
        <v>6.3</v>
      </c>
      <c r="BQ345" s="313">
        <v>5.3</v>
      </c>
      <c r="BR345" s="313">
        <v>6.3</v>
      </c>
      <c r="BS345" s="313">
        <v>5.6</v>
      </c>
      <c r="BT345" s="313">
        <v>7</v>
      </c>
      <c r="BU345" s="313">
        <v>6.6</v>
      </c>
      <c r="BV345" s="313">
        <v>5.4</v>
      </c>
      <c r="BW345" s="313">
        <v>6.8</v>
      </c>
      <c r="BX345" s="313">
        <v>5</v>
      </c>
      <c r="BY345" s="313">
        <v>4.9000000000000004</v>
      </c>
      <c r="BZ345" s="313">
        <v>2.7</v>
      </c>
      <c r="CA345" s="313">
        <v>4</v>
      </c>
      <c r="CB345" s="313">
        <v>16.100000000000001</v>
      </c>
      <c r="CC345" s="313">
        <v>60.4</v>
      </c>
      <c r="CD345" s="313">
        <v>23.400000000000002</v>
      </c>
    </row>
    <row r="346" spans="1:82" x14ac:dyDescent="0.25">
      <c r="A346" s="130" t="s">
        <v>5515</v>
      </c>
      <c r="B346" s="130" t="s">
        <v>271</v>
      </c>
      <c r="C346" s="130" t="s">
        <v>5516</v>
      </c>
      <c r="D346" s="130" t="s">
        <v>93</v>
      </c>
      <c r="E346" s="130" t="s">
        <v>5501</v>
      </c>
      <c r="F346" s="130" t="s">
        <v>4272</v>
      </c>
      <c r="G346" s="130" t="s">
        <v>5517</v>
      </c>
      <c r="H346" s="309">
        <v>540216</v>
      </c>
      <c r="I346" s="277" t="s">
        <v>1617</v>
      </c>
      <c r="J346" s="130">
        <v>5487556</v>
      </c>
      <c r="K346" s="130" t="s">
        <v>5518</v>
      </c>
      <c r="L346" s="310">
        <v>1.6469663070901626</v>
      </c>
      <c r="M346" s="311">
        <v>2928</v>
      </c>
      <c r="N346" s="312">
        <v>1777.8141467709502</v>
      </c>
      <c r="O346" s="311">
        <v>1230</v>
      </c>
      <c r="P346" s="312">
        <v>2.38</v>
      </c>
      <c r="Q346" s="311">
        <v>2928</v>
      </c>
      <c r="R346" s="311">
        <v>104</v>
      </c>
      <c r="S346" s="311">
        <v>42</v>
      </c>
      <c r="T346" s="311">
        <v>36</v>
      </c>
      <c r="U346" s="311">
        <v>117</v>
      </c>
      <c r="V346" s="311">
        <v>88</v>
      </c>
      <c r="W346" s="311">
        <v>58</v>
      </c>
      <c r="X346" s="311">
        <v>58</v>
      </c>
      <c r="Y346" s="311">
        <v>19</v>
      </c>
      <c r="Z346" s="311">
        <v>37</v>
      </c>
      <c r="AA346" s="311">
        <v>76</v>
      </c>
      <c r="AB346" s="311">
        <v>104</v>
      </c>
      <c r="AC346" s="311">
        <v>188</v>
      </c>
      <c r="AD346" s="311">
        <v>75</v>
      </c>
      <c r="AE346" s="311">
        <v>71</v>
      </c>
      <c r="AF346" s="311">
        <v>93</v>
      </c>
      <c r="AG346" s="311">
        <v>64</v>
      </c>
      <c r="AH346" s="312">
        <v>14.796747967479677</v>
      </c>
      <c r="AI346" s="312">
        <v>16.666666666666664</v>
      </c>
      <c r="AJ346" s="312">
        <v>13.983739837398373</v>
      </c>
      <c r="AK346" s="312">
        <v>6.178861788617886</v>
      </c>
      <c r="AL346" s="312">
        <v>48.373983739837399</v>
      </c>
      <c r="AM346" s="311">
        <v>31833</v>
      </c>
      <c r="AN346" s="311">
        <v>56750</v>
      </c>
      <c r="AO346" s="312">
        <v>42.439024390243901</v>
      </c>
      <c r="AP346" s="311">
        <v>1230</v>
      </c>
      <c r="AQ346" s="311">
        <v>80</v>
      </c>
      <c r="AR346" s="311">
        <v>1012</v>
      </c>
      <c r="AS346" s="311">
        <v>218</v>
      </c>
      <c r="AT346" s="311">
        <v>10</v>
      </c>
      <c r="AU346" s="311">
        <v>33</v>
      </c>
      <c r="AV346" s="311">
        <v>123</v>
      </c>
      <c r="AW346" s="311">
        <v>127</v>
      </c>
      <c r="AX346" s="311">
        <v>52</v>
      </c>
      <c r="AY346" s="311">
        <v>54</v>
      </c>
      <c r="AZ346" s="311">
        <v>49</v>
      </c>
      <c r="BA346" s="311">
        <v>40</v>
      </c>
      <c r="BB346" s="311">
        <v>25</v>
      </c>
      <c r="BC346" s="311">
        <v>122</v>
      </c>
      <c r="BD346" s="311">
        <v>41</v>
      </c>
      <c r="BE346" s="311">
        <v>0</v>
      </c>
      <c r="BF346" s="311">
        <v>448</v>
      </c>
      <c r="BG346" s="311">
        <v>43</v>
      </c>
      <c r="BH346" s="311">
        <v>0</v>
      </c>
      <c r="BI346" s="312">
        <v>16.422764227642276</v>
      </c>
      <c r="BJ346" s="313">
        <v>7.5</v>
      </c>
      <c r="BK346" s="313">
        <v>2.5</v>
      </c>
      <c r="BL346" s="313">
        <v>8.9</v>
      </c>
      <c r="BM346" s="313">
        <v>3.9</v>
      </c>
      <c r="BN346" s="313">
        <v>4</v>
      </c>
      <c r="BO346" s="313">
        <v>7.8</v>
      </c>
      <c r="BP346" s="313">
        <v>3.4</v>
      </c>
      <c r="BQ346" s="313">
        <v>4.2</v>
      </c>
      <c r="BR346" s="313">
        <v>6</v>
      </c>
      <c r="BS346" s="313">
        <v>5.8</v>
      </c>
      <c r="BT346" s="313">
        <v>9.3000000000000007</v>
      </c>
      <c r="BU346" s="313">
        <v>8.6</v>
      </c>
      <c r="BV346" s="313">
        <v>8.1999999999999993</v>
      </c>
      <c r="BW346" s="313">
        <v>5.9</v>
      </c>
      <c r="BX346" s="313">
        <v>2.2000000000000002</v>
      </c>
      <c r="BY346" s="313">
        <v>3.1</v>
      </c>
      <c r="BZ346" s="313">
        <v>5.3</v>
      </c>
      <c r="CA346" s="313">
        <v>3.5</v>
      </c>
      <c r="CB346" s="313">
        <v>18.899999999999999</v>
      </c>
      <c r="CC346" s="313">
        <v>61.199999999999989</v>
      </c>
      <c r="CD346" s="313">
        <v>20</v>
      </c>
    </row>
    <row r="347" spans="1:82" s="322" customFormat="1" x14ac:dyDescent="0.25">
      <c r="A347" s="314" t="s">
        <v>5519</v>
      </c>
      <c r="B347" s="315" t="s">
        <v>348</v>
      </c>
      <c r="C347" s="314"/>
      <c r="D347" s="314"/>
      <c r="E347" s="314"/>
      <c r="F347" s="314"/>
      <c r="G347" s="314"/>
      <c r="H347" s="316"/>
      <c r="I347" s="317"/>
      <c r="J347" s="314">
        <v>54107</v>
      </c>
      <c r="K347" s="314" t="s">
        <v>5520</v>
      </c>
      <c r="L347" s="318">
        <v>376.62852351364239</v>
      </c>
      <c r="M347" s="319">
        <v>86016</v>
      </c>
      <c r="N347" s="320">
        <v>228.38418927366317</v>
      </c>
      <c r="O347" s="319">
        <v>36110</v>
      </c>
      <c r="P347" s="320">
        <v>2.36</v>
      </c>
      <c r="Q347" s="319">
        <v>85065</v>
      </c>
      <c r="R347" s="319">
        <v>2942</v>
      </c>
      <c r="S347" s="319">
        <v>2097</v>
      </c>
      <c r="T347" s="319">
        <v>2369</v>
      </c>
      <c r="U347" s="319">
        <v>2508</v>
      </c>
      <c r="V347" s="319">
        <v>2209</v>
      </c>
      <c r="W347" s="319">
        <v>1979</v>
      </c>
      <c r="X347" s="319">
        <v>1822</v>
      </c>
      <c r="Y347" s="319">
        <v>1952</v>
      </c>
      <c r="Z347" s="319">
        <v>1545</v>
      </c>
      <c r="AA347" s="319">
        <v>2898</v>
      </c>
      <c r="AB347" s="319">
        <v>3888</v>
      </c>
      <c r="AC347" s="319">
        <v>4057</v>
      </c>
      <c r="AD347" s="319">
        <v>2379</v>
      </c>
      <c r="AE347" s="319">
        <v>1374</v>
      </c>
      <c r="AF347" s="319">
        <v>1058</v>
      </c>
      <c r="AG347" s="319">
        <v>1033</v>
      </c>
      <c r="AH347" s="320">
        <v>20.515092772085293</v>
      </c>
      <c r="AI347" s="320">
        <v>13.062863472722238</v>
      </c>
      <c r="AJ347" s="320">
        <v>20.210468014400444</v>
      </c>
      <c r="AK347" s="320">
        <v>8.0254777070063685</v>
      </c>
      <c r="AL347" s="320">
        <v>38.186098033785655</v>
      </c>
      <c r="AM347" s="319">
        <v>26717</v>
      </c>
      <c r="AN347" s="319">
        <v>45537</v>
      </c>
      <c r="AO347" s="320">
        <v>49.509831071725287</v>
      </c>
      <c r="AP347" s="319">
        <v>36110</v>
      </c>
      <c r="AQ347" s="319">
        <v>4133</v>
      </c>
      <c r="AR347" s="319">
        <v>25687</v>
      </c>
      <c r="AS347" s="319">
        <v>10423</v>
      </c>
      <c r="AT347" s="319">
        <v>759</v>
      </c>
      <c r="AU347" s="319">
        <v>841</v>
      </c>
      <c r="AV347" s="319">
        <v>4780</v>
      </c>
      <c r="AW347" s="319">
        <v>2537</v>
      </c>
      <c r="AX347" s="319">
        <v>1569</v>
      </c>
      <c r="AY347" s="319">
        <v>2370</v>
      </c>
      <c r="AZ347" s="319">
        <v>3002</v>
      </c>
      <c r="BA347" s="319">
        <v>1594</v>
      </c>
      <c r="BB347" s="319">
        <v>518</v>
      </c>
      <c r="BC347" s="319">
        <v>5226</v>
      </c>
      <c r="BD347" s="319">
        <v>1040</v>
      </c>
      <c r="BE347" s="319">
        <v>352</v>
      </c>
      <c r="BF347" s="319">
        <v>8892</v>
      </c>
      <c r="BG347" s="319">
        <v>656</v>
      </c>
      <c r="BH347" s="319">
        <v>90</v>
      </c>
      <c r="BI347" s="320">
        <v>22.459152589310442</v>
      </c>
      <c r="BJ347" s="321">
        <v>5.7</v>
      </c>
      <c r="BK347" s="321">
        <v>5.5</v>
      </c>
      <c r="BL347" s="321">
        <v>6.3</v>
      </c>
      <c r="BM347" s="321">
        <v>5.8</v>
      </c>
      <c r="BN347" s="321">
        <v>5.7</v>
      </c>
      <c r="BO347" s="321">
        <v>5.6</v>
      </c>
      <c r="BP347" s="321">
        <v>5.7</v>
      </c>
      <c r="BQ347" s="321">
        <v>5.7</v>
      </c>
      <c r="BR347" s="321">
        <v>6.3</v>
      </c>
      <c r="BS347" s="321">
        <v>6.8</v>
      </c>
      <c r="BT347" s="321">
        <v>7.4</v>
      </c>
      <c r="BU347" s="321">
        <v>7.5</v>
      </c>
      <c r="BV347" s="321">
        <v>6.9</v>
      </c>
      <c r="BW347" s="321">
        <v>6.2</v>
      </c>
      <c r="BX347" s="321">
        <v>4.8</v>
      </c>
      <c r="BY347" s="321">
        <v>3.7</v>
      </c>
      <c r="BZ347" s="321">
        <v>2</v>
      </c>
      <c r="CA347" s="321">
        <v>2.4</v>
      </c>
      <c r="CB347" s="321">
        <v>17.5</v>
      </c>
      <c r="CC347" s="321">
        <v>63.399999999999991</v>
      </c>
      <c r="CD347" s="321">
        <v>19.099999999999998</v>
      </c>
    </row>
    <row r="348" spans="1:82" s="308" customFormat="1" x14ac:dyDescent="0.25">
      <c r="A348" s="301" t="s">
        <v>5521</v>
      </c>
      <c r="B348" s="301" t="s">
        <v>94</v>
      </c>
      <c r="C348" s="301" t="s">
        <v>5522</v>
      </c>
      <c r="D348" s="301" t="s">
        <v>95</v>
      </c>
      <c r="E348" s="301" t="s">
        <v>5523</v>
      </c>
      <c r="F348" s="301" t="s">
        <v>4272</v>
      </c>
      <c r="G348" s="301" t="s">
        <v>5524</v>
      </c>
      <c r="H348" s="302">
        <v>540217</v>
      </c>
      <c r="I348" s="303" t="s">
        <v>1677</v>
      </c>
      <c r="J348" s="301" t="s">
        <v>488</v>
      </c>
      <c r="K348" s="301" t="s">
        <v>488</v>
      </c>
      <c r="L348" s="304">
        <v>497.53760711501315</v>
      </c>
      <c r="M348" s="305">
        <v>18650</v>
      </c>
      <c r="N348" s="306">
        <v>37.484603642612242</v>
      </c>
      <c r="O348" s="305">
        <v>7667</v>
      </c>
      <c r="P348" s="306">
        <v>2.4246771879483502</v>
      </c>
      <c r="Q348" s="305">
        <v>18590</v>
      </c>
      <c r="R348" s="305">
        <v>975</v>
      </c>
      <c r="S348" s="305">
        <v>529</v>
      </c>
      <c r="T348" s="305">
        <v>547</v>
      </c>
      <c r="U348" s="305">
        <v>633</v>
      </c>
      <c r="V348" s="305">
        <v>504</v>
      </c>
      <c r="W348" s="305">
        <v>448</v>
      </c>
      <c r="X348" s="305">
        <v>357</v>
      </c>
      <c r="Y348" s="305">
        <v>443</v>
      </c>
      <c r="Z348" s="305">
        <v>308</v>
      </c>
      <c r="AA348" s="305">
        <v>710</v>
      </c>
      <c r="AB348" s="305">
        <v>550</v>
      </c>
      <c r="AC348" s="305">
        <v>832</v>
      </c>
      <c r="AD348" s="305">
        <v>489</v>
      </c>
      <c r="AE348" s="305">
        <v>170</v>
      </c>
      <c r="AF348" s="305">
        <v>54</v>
      </c>
      <c r="AG348" s="305">
        <v>118</v>
      </c>
      <c r="AH348" s="306">
        <v>26.751010825616277</v>
      </c>
      <c r="AI348" s="306">
        <v>14.829790009130036</v>
      </c>
      <c r="AJ348" s="306">
        <v>20.294769792617711</v>
      </c>
      <c r="AK348" s="306">
        <v>9.2604669362201637</v>
      </c>
      <c r="AL348" s="306">
        <v>28.863962436415807</v>
      </c>
      <c r="AM348" s="305">
        <v>20474</v>
      </c>
      <c r="AN348" s="305">
        <v>37644</v>
      </c>
      <c r="AO348" s="306">
        <v>57.858353984609366</v>
      </c>
      <c r="AP348" s="305">
        <v>7667</v>
      </c>
      <c r="AQ348" s="305">
        <v>1396</v>
      </c>
      <c r="AR348" s="305">
        <v>6301</v>
      </c>
      <c r="AS348" s="305">
        <v>1366</v>
      </c>
      <c r="AT348" s="305">
        <v>424</v>
      </c>
      <c r="AU348" s="305">
        <v>331</v>
      </c>
      <c r="AV348" s="305">
        <v>823</v>
      </c>
      <c r="AW348" s="305">
        <v>946</v>
      </c>
      <c r="AX348" s="305">
        <v>273</v>
      </c>
      <c r="AY348" s="305">
        <v>289</v>
      </c>
      <c r="AZ348" s="305">
        <v>951</v>
      </c>
      <c r="BA348" s="305">
        <v>68</v>
      </c>
      <c r="BB348" s="305">
        <v>65</v>
      </c>
      <c r="BC348" s="305">
        <v>1103</v>
      </c>
      <c r="BD348" s="305">
        <v>126</v>
      </c>
      <c r="BE348" s="305">
        <v>0</v>
      </c>
      <c r="BF348" s="305">
        <v>1623</v>
      </c>
      <c r="BG348" s="305">
        <v>10</v>
      </c>
      <c r="BH348" s="305">
        <v>17</v>
      </c>
      <c r="BI348" s="306">
        <v>15.573235946263205</v>
      </c>
      <c r="BJ348" s="307">
        <v>5.4</v>
      </c>
      <c r="BK348" s="307">
        <v>6.3</v>
      </c>
      <c r="BL348" s="307">
        <v>5.5</v>
      </c>
      <c r="BM348" s="307">
        <v>5.9</v>
      </c>
      <c r="BN348" s="307">
        <v>5.2</v>
      </c>
      <c r="BO348" s="307">
        <v>5.3</v>
      </c>
      <c r="BP348" s="307">
        <v>5</v>
      </c>
      <c r="BQ348" s="307">
        <v>6.8</v>
      </c>
      <c r="BR348" s="307">
        <v>6.4</v>
      </c>
      <c r="BS348" s="307">
        <v>6.4</v>
      </c>
      <c r="BT348" s="307">
        <v>6.7</v>
      </c>
      <c r="BU348" s="307">
        <v>7.3</v>
      </c>
      <c r="BV348" s="307">
        <v>9.1999999999999993</v>
      </c>
      <c r="BW348" s="307">
        <v>7.4</v>
      </c>
      <c r="BX348" s="307">
        <v>4.0999999999999996</v>
      </c>
      <c r="BY348" s="307">
        <v>3.2</v>
      </c>
      <c r="BZ348" s="307">
        <v>2.2000000000000002</v>
      </c>
      <c r="CA348" s="307">
        <v>1.8</v>
      </c>
      <c r="CB348" s="307">
        <v>17.2</v>
      </c>
      <c r="CC348" s="307">
        <v>64.2</v>
      </c>
      <c r="CD348" s="307">
        <v>18.7</v>
      </c>
    </row>
    <row r="349" spans="1:82" x14ac:dyDescent="0.25">
      <c r="A349" s="130" t="s">
        <v>5525</v>
      </c>
      <c r="B349" s="130" t="s">
        <v>272</v>
      </c>
      <c r="C349" s="130" t="s">
        <v>5526</v>
      </c>
      <c r="D349" s="130" t="s">
        <v>95</v>
      </c>
      <c r="E349" s="130" t="s">
        <v>5523</v>
      </c>
      <c r="F349" s="130" t="s">
        <v>4272</v>
      </c>
      <c r="G349" s="130" t="s">
        <v>5527</v>
      </c>
      <c r="H349" s="309">
        <v>540218</v>
      </c>
      <c r="I349" s="277" t="s">
        <v>1676</v>
      </c>
      <c r="J349" s="130">
        <v>5457148</v>
      </c>
      <c r="K349" s="130" t="s">
        <v>5528</v>
      </c>
      <c r="L349" s="310">
        <v>1.8884643584429102</v>
      </c>
      <c r="M349" s="311">
        <v>1675</v>
      </c>
      <c r="N349" s="312">
        <v>886.96405230601374</v>
      </c>
      <c r="O349" s="311">
        <v>695</v>
      </c>
      <c r="P349" s="312">
        <v>2.41</v>
      </c>
      <c r="Q349" s="311">
        <v>1675</v>
      </c>
      <c r="R349" s="311">
        <v>45</v>
      </c>
      <c r="S349" s="311">
        <v>67</v>
      </c>
      <c r="T349" s="311">
        <v>23</v>
      </c>
      <c r="U349" s="311">
        <v>44</v>
      </c>
      <c r="V349" s="311">
        <v>32</v>
      </c>
      <c r="W349" s="311">
        <v>68</v>
      </c>
      <c r="X349" s="311">
        <v>37</v>
      </c>
      <c r="Y349" s="311">
        <v>35</v>
      </c>
      <c r="Z349" s="311">
        <v>24</v>
      </c>
      <c r="AA349" s="311">
        <v>51</v>
      </c>
      <c r="AB349" s="311">
        <v>80</v>
      </c>
      <c r="AC349" s="311">
        <v>104</v>
      </c>
      <c r="AD349" s="311">
        <v>43</v>
      </c>
      <c r="AE349" s="311">
        <v>25</v>
      </c>
      <c r="AF349" s="311">
        <v>13</v>
      </c>
      <c r="AG349" s="311">
        <v>4</v>
      </c>
      <c r="AH349" s="312">
        <v>19.424460431654676</v>
      </c>
      <c r="AI349" s="312">
        <v>10.935251798561151</v>
      </c>
      <c r="AJ349" s="312">
        <v>23.597122302158276</v>
      </c>
      <c r="AK349" s="312">
        <v>7.3381294964028774</v>
      </c>
      <c r="AL349" s="312">
        <v>38.705035971223026</v>
      </c>
      <c r="AM349" s="311">
        <v>23088</v>
      </c>
      <c r="AN349" s="311">
        <v>44485</v>
      </c>
      <c r="AO349" s="312">
        <v>50.50359712230216</v>
      </c>
      <c r="AP349" s="311">
        <v>695</v>
      </c>
      <c r="AQ349" s="311">
        <v>201</v>
      </c>
      <c r="AR349" s="311">
        <v>557</v>
      </c>
      <c r="AS349" s="311">
        <v>138</v>
      </c>
      <c r="AT349" s="311">
        <v>27</v>
      </c>
      <c r="AU349" s="311">
        <v>16</v>
      </c>
      <c r="AV349" s="311">
        <v>74</v>
      </c>
      <c r="AW349" s="311">
        <v>52</v>
      </c>
      <c r="AX349" s="311">
        <v>58</v>
      </c>
      <c r="AY349" s="311">
        <v>23</v>
      </c>
      <c r="AZ349" s="311">
        <v>65</v>
      </c>
      <c r="BA349" s="311">
        <v>24</v>
      </c>
      <c r="BB349" s="311">
        <v>7</v>
      </c>
      <c r="BC349" s="311">
        <v>108</v>
      </c>
      <c r="BD349" s="311">
        <v>13</v>
      </c>
      <c r="BE349" s="311">
        <v>0</v>
      </c>
      <c r="BF349" s="311">
        <v>189</v>
      </c>
      <c r="BG349" s="311">
        <v>0</v>
      </c>
      <c r="BH349" s="311">
        <v>0</v>
      </c>
      <c r="BI349" s="312">
        <v>14.964028776978417</v>
      </c>
      <c r="BJ349" s="313">
        <v>5</v>
      </c>
      <c r="BK349" s="313">
        <v>4.4000000000000004</v>
      </c>
      <c r="BL349" s="313">
        <v>6.4</v>
      </c>
      <c r="BM349" s="313">
        <v>7.5</v>
      </c>
      <c r="BN349" s="313">
        <v>10.6</v>
      </c>
      <c r="BO349" s="313">
        <v>3</v>
      </c>
      <c r="BP349" s="313">
        <v>6.1</v>
      </c>
      <c r="BQ349" s="313">
        <v>6.7</v>
      </c>
      <c r="BR349" s="313">
        <v>2.8</v>
      </c>
      <c r="BS349" s="313">
        <v>8.1</v>
      </c>
      <c r="BT349" s="313">
        <v>8.6</v>
      </c>
      <c r="BU349" s="313">
        <v>5.0999999999999996</v>
      </c>
      <c r="BV349" s="313">
        <v>8.5</v>
      </c>
      <c r="BW349" s="313">
        <v>4.5</v>
      </c>
      <c r="BX349" s="313">
        <v>3.7</v>
      </c>
      <c r="BY349" s="313">
        <v>4.5</v>
      </c>
      <c r="BZ349" s="313">
        <v>1.5</v>
      </c>
      <c r="CA349" s="313">
        <v>2.9</v>
      </c>
      <c r="CB349" s="313">
        <v>15.8</v>
      </c>
      <c r="CC349" s="313">
        <v>67</v>
      </c>
      <c r="CD349" s="313">
        <v>17.099999999999998</v>
      </c>
    </row>
    <row r="350" spans="1:82" x14ac:dyDescent="0.25">
      <c r="A350" s="130" t="s">
        <v>5529</v>
      </c>
      <c r="B350" s="130" t="s">
        <v>273</v>
      </c>
      <c r="C350" s="130" t="s">
        <v>5530</v>
      </c>
      <c r="D350" s="130" t="s">
        <v>95</v>
      </c>
      <c r="E350" s="130" t="s">
        <v>5523</v>
      </c>
      <c r="F350" s="130" t="s">
        <v>4272</v>
      </c>
      <c r="G350" s="130" t="s">
        <v>5531</v>
      </c>
      <c r="H350" s="309">
        <v>540219</v>
      </c>
      <c r="I350" s="277" t="s">
        <v>1674</v>
      </c>
      <c r="J350" s="130">
        <v>5460364</v>
      </c>
      <c r="K350" s="130" t="s">
        <v>5532</v>
      </c>
      <c r="L350" s="310">
        <v>1.330228356476959</v>
      </c>
      <c r="M350" s="311">
        <v>1313</v>
      </c>
      <c r="N350" s="312">
        <v>987.0485722296678</v>
      </c>
      <c r="O350" s="311">
        <v>599</v>
      </c>
      <c r="P350" s="312">
        <v>2.19</v>
      </c>
      <c r="Q350" s="311">
        <v>1313</v>
      </c>
      <c r="R350" s="311">
        <v>90</v>
      </c>
      <c r="S350" s="311">
        <v>44</v>
      </c>
      <c r="T350" s="311">
        <v>65</v>
      </c>
      <c r="U350" s="311">
        <v>63</v>
      </c>
      <c r="V350" s="311">
        <v>41</v>
      </c>
      <c r="W350" s="311">
        <v>39</v>
      </c>
      <c r="X350" s="311">
        <v>39</v>
      </c>
      <c r="Y350" s="311">
        <v>27</v>
      </c>
      <c r="Z350" s="311">
        <v>11</v>
      </c>
      <c r="AA350" s="311">
        <v>36</v>
      </c>
      <c r="AB350" s="311">
        <v>49</v>
      </c>
      <c r="AC350" s="311">
        <v>45</v>
      </c>
      <c r="AD350" s="311">
        <v>35</v>
      </c>
      <c r="AE350" s="311">
        <v>6</v>
      </c>
      <c r="AF350" s="311">
        <v>9</v>
      </c>
      <c r="AG350" s="311">
        <v>0</v>
      </c>
      <c r="AH350" s="312">
        <v>33.222036727879797</v>
      </c>
      <c r="AI350" s="312">
        <v>17.362270450751254</v>
      </c>
      <c r="AJ350" s="312">
        <v>19.365609348914859</v>
      </c>
      <c r="AK350" s="312">
        <v>6.010016694490818</v>
      </c>
      <c r="AL350" s="312">
        <v>24.040066777963272</v>
      </c>
      <c r="AM350" s="311">
        <v>18576</v>
      </c>
      <c r="AN350" s="311">
        <v>27287</v>
      </c>
      <c r="AO350" s="312">
        <v>68.113522537562616</v>
      </c>
      <c r="AP350" s="311">
        <v>599</v>
      </c>
      <c r="AQ350" s="311">
        <v>88</v>
      </c>
      <c r="AR350" s="311">
        <v>458</v>
      </c>
      <c r="AS350" s="311">
        <v>141</v>
      </c>
      <c r="AT350" s="311">
        <v>31</v>
      </c>
      <c r="AU350" s="311">
        <v>31</v>
      </c>
      <c r="AV350" s="311">
        <v>117</v>
      </c>
      <c r="AW350" s="311">
        <v>74</v>
      </c>
      <c r="AX350" s="311">
        <v>15</v>
      </c>
      <c r="AY350" s="311">
        <v>39</v>
      </c>
      <c r="AZ350" s="311">
        <v>44</v>
      </c>
      <c r="BA350" s="311">
        <v>23</v>
      </c>
      <c r="BB350" s="311">
        <v>0</v>
      </c>
      <c r="BC350" s="311">
        <v>66</v>
      </c>
      <c r="BD350" s="311">
        <v>19</v>
      </c>
      <c r="BE350" s="311">
        <v>0</v>
      </c>
      <c r="BF350" s="311">
        <v>95</v>
      </c>
      <c r="BG350" s="311">
        <v>0</v>
      </c>
      <c r="BH350" s="311">
        <v>0</v>
      </c>
      <c r="BI350" s="312">
        <v>26.043405676126881</v>
      </c>
      <c r="BJ350" s="313">
        <v>7.8</v>
      </c>
      <c r="BK350" s="313">
        <v>5.4</v>
      </c>
      <c r="BL350" s="313">
        <v>8.4</v>
      </c>
      <c r="BM350" s="313">
        <v>3</v>
      </c>
      <c r="BN350" s="313">
        <v>4.8</v>
      </c>
      <c r="BO350" s="313">
        <v>5.3</v>
      </c>
      <c r="BP350" s="313">
        <v>4.9000000000000004</v>
      </c>
      <c r="BQ350" s="313">
        <v>8.3000000000000007</v>
      </c>
      <c r="BR350" s="313">
        <v>6.3</v>
      </c>
      <c r="BS350" s="313">
        <v>4.5999999999999996</v>
      </c>
      <c r="BT350" s="313">
        <v>7.5</v>
      </c>
      <c r="BU350" s="313">
        <v>9.4</v>
      </c>
      <c r="BV350" s="313">
        <v>6.9</v>
      </c>
      <c r="BW350" s="313">
        <v>5.9</v>
      </c>
      <c r="BX350" s="313">
        <v>3.9</v>
      </c>
      <c r="BY350" s="313">
        <v>4.0999999999999996</v>
      </c>
      <c r="BZ350" s="313">
        <v>2</v>
      </c>
      <c r="CA350" s="313">
        <v>1.5</v>
      </c>
      <c r="CB350" s="313">
        <v>21.6</v>
      </c>
      <c r="CC350" s="313">
        <v>61</v>
      </c>
      <c r="CD350" s="313">
        <v>17.399999999999999</v>
      </c>
    </row>
    <row r="351" spans="1:82" x14ac:dyDescent="0.25">
      <c r="A351" s="130" t="s">
        <v>5533</v>
      </c>
      <c r="B351" s="130" t="s">
        <v>274</v>
      </c>
      <c r="C351" s="130" t="s">
        <v>5534</v>
      </c>
      <c r="D351" s="130" t="s">
        <v>95</v>
      </c>
      <c r="E351" s="130" t="s">
        <v>5523</v>
      </c>
      <c r="F351" s="130" t="s">
        <v>4272</v>
      </c>
      <c r="G351" s="130" t="s">
        <v>5535</v>
      </c>
      <c r="H351" s="309">
        <v>540220</v>
      </c>
      <c r="I351" s="277" t="s">
        <v>1675</v>
      </c>
      <c r="J351" s="130">
        <v>5463940</v>
      </c>
      <c r="K351" s="130" t="s">
        <v>5536</v>
      </c>
      <c r="L351" s="310">
        <v>0.80878710001690457</v>
      </c>
      <c r="M351" s="311">
        <v>492</v>
      </c>
      <c r="N351" s="312">
        <v>608.31830773477554</v>
      </c>
      <c r="O351" s="311">
        <v>208</v>
      </c>
      <c r="P351" s="312">
        <v>2.2799999999999998</v>
      </c>
      <c r="Q351" s="311">
        <v>475</v>
      </c>
      <c r="R351" s="311">
        <v>11</v>
      </c>
      <c r="S351" s="311">
        <v>0</v>
      </c>
      <c r="T351" s="311">
        <v>25</v>
      </c>
      <c r="U351" s="311">
        <v>19</v>
      </c>
      <c r="V351" s="311">
        <v>31</v>
      </c>
      <c r="W351" s="311">
        <v>2</v>
      </c>
      <c r="X351" s="311">
        <v>11</v>
      </c>
      <c r="Y351" s="311">
        <v>11</v>
      </c>
      <c r="Z351" s="311">
        <v>4</v>
      </c>
      <c r="AA351" s="311">
        <v>13</v>
      </c>
      <c r="AB351" s="311">
        <v>13</v>
      </c>
      <c r="AC351" s="311">
        <v>20</v>
      </c>
      <c r="AD351" s="311">
        <v>19</v>
      </c>
      <c r="AE351" s="311">
        <v>8</v>
      </c>
      <c r="AF351" s="311">
        <v>21</v>
      </c>
      <c r="AG351" s="311">
        <v>0</v>
      </c>
      <c r="AH351" s="312">
        <v>17.307692307692307</v>
      </c>
      <c r="AI351" s="312">
        <v>24.03846153846154</v>
      </c>
      <c r="AJ351" s="312">
        <v>13.461538461538462</v>
      </c>
      <c r="AK351" s="312">
        <v>6.25</v>
      </c>
      <c r="AL351" s="312">
        <v>38.942307692307693</v>
      </c>
      <c r="AM351" s="311">
        <v>25046</v>
      </c>
      <c r="AN351" s="311">
        <v>42857</v>
      </c>
      <c r="AO351" s="312">
        <v>52.884615384615387</v>
      </c>
      <c r="AP351" s="311">
        <v>208</v>
      </c>
      <c r="AQ351" s="311">
        <v>54</v>
      </c>
      <c r="AR351" s="311">
        <v>161</v>
      </c>
      <c r="AS351" s="311">
        <v>47</v>
      </c>
      <c r="AT351" s="311">
        <v>8</v>
      </c>
      <c r="AU351" s="311">
        <v>0</v>
      </c>
      <c r="AV351" s="311">
        <v>19</v>
      </c>
      <c r="AW351" s="311">
        <v>25</v>
      </c>
      <c r="AX351" s="311">
        <v>6</v>
      </c>
      <c r="AY351" s="311">
        <v>14</v>
      </c>
      <c r="AZ351" s="311">
        <v>13</v>
      </c>
      <c r="BA351" s="311">
        <v>0</v>
      </c>
      <c r="BB351" s="311">
        <v>6</v>
      </c>
      <c r="BC351" s="311">
        <v>26</v>
      </c>
      <c r="BD351" s="311">
        <v>0</v>
      </c>
      <c r="BE351" s="311">
        <v>0</v>
      </c>
      <c r="BF351" s="311">
        <v>68</v>
      </c>
      <c r="BG351" s="311">
        <v>0</v>
      </c>
      <c r="BH351" s="311">
        <v>0</v>
      </c>
      <c r="BI351" s="312">
        <v>18.75</v>
      </c>
      <c r="BJ351" s="313">
        <v>7.5</v>
      </c>
      <c r="BK351" s="313">
        <v>4.7</v>
      </c>
      <c r="BL351" s="313">
        <v>4.7</v>
      </c>
      <c r="BM351" s="313">
        <v>3.9</v>
      </c>
      <c r="BN351" s="313">
        <v>6.3</v>
      </c>
      <c r="BO351" s="313">
        <v>4.0999999999999996</v>
      </c>
      <c r="BP351" s="313">
        <v>3.7</v>
      </c>
      <c r="BQ351" s="313">
        <v>9.3000000000000007</v>
      </c>
      <c r="BR351" s="313">
        <v>6.1</v>
      </c>
      <c r="BS351" s="313">
        <v>3.9</v>
      </c>
      <c r="BT351" s="313">
        <v>7.9</v>
      </c>
      <c r="BU351" s="313">
        <v>6.7</v>
      </c>
      <c r="BV351" s="313">
        <v>6.7</v>
      </c>
      <c r="BW351" s="313">
        <v>8.5</v>
      </c>
      <c r="BX351" s="313">
        <v>3.7</v>
      </c>
      <c r="BY351" s="313">
        <v>4.9000000000000004</v>
      </c>
      <c r="BZ351" s="313">
        <v>4.0999999999999996</v>
      </c>
      <c r="CA351" s="313">
        <v>3.5</v>
      </c>
      <c r="CB351" s="313">
        <v>16.899999999999999</v>
      </c>
      <c r="CC351" s="313">
        <v>58.6</v>
      </c>
      <c r="CD351" s="313">
        <v>24.700000000000003</v>
      </c>
    </row>
    <row r="352" spans="1:82" s="322" customFormat="1" x14ac:dyDescent="0.25">
      <c r="A352" s="314" t="s">
        <v>5537</v>
      </c>
      <c r="B352" s="315" t="s">
        <v>348</v>
      </c>
      <c r="C352" s="314"/>
      <c r="D352" s="314"/>
      <c r="E352" s="314"/>
      <c r="F352" s="314"/>
      <c r="G352" s="314"/>
      <c r="H352" s="316"/>
      <c r="I352" s="317"/>
      <c r="J352" s="314">
        <v>54109</v>
      </c>
      <c r="K352" s="314" t="s">
        <v>5538</v>
      </c>
      <c r="L352" s="318">
        <v>501.56508692994987</v>
      </c>
      <c r="M352" s="319">
        <v>22130</v>
      </c>
      <c r="N352" s="320">
        <v>44.121890810734889</v>
      </c>
      <c r="O352" s="319">
        <v>9169</v>
      </c>
      <c r="P352" s="320">
        <v>2.41</v>
      </c>
      <c r="Q352" s="319">
        <v>22053</v>
      </c>
      <c r="R352" s="319">
        <v>1121</v>
      </c>
      <c r="S352" s="319">
        <v>640</v>
      </c>
      <c r="T352" s="319">
        <v>660</v>
      </c>
      <c r="U352" s="319">
        <v>759</v>
      </c>
      <c r="V352" s="319">
        <v>608</v>
      </c>
      <c r="W352" s="319">
        <v>557</v>
      </c>
      <c r="X352" s="319">
        <v>444</v>
      </c>
      <c r="Y352" s="319">
        <v>516</v>
      </c>
      <c r="Z352" s="319">
        <v>347</v>
      </c>
      <c r="AA352" s="319">
        <v>810</v>
      </c>
      <c r="AB352" s="319">
        <v>692</v>
      </c>
      <c r="AC352" s="319">
        <v>1001</v>
      </c>
      <c r="AD352" s="319">
        <v>586</v>
      </c>
      <c r="AE352" s="319">
        <v>209</v>
      </c>
      <c r="AF352" s="319">
        <v>97</v>
      </c>
      <c r="AG352" s="319">
        <v>122</v>
      </c>
      <c r="AH352" s="320">
        <v>26.4041880248664</v>
      </c>
      <c r="AI352" s="320">
        <v>14.908932271785364</v>
      </c>
      <c r="AJ352" s="320">
        <v>20.329370705638564</v>
      </c>
      <c r="AK352" s="320">
        <v>8.8341149525575311</v>
      </c>
      <c r="AL352" s="320">
        <v>29.523394045152141</v>
      </c>
      <c r="AM352" s="319">
        <v>20474</v>
      </c>
      <c r="AN352" s="319">
        <v>37644</v>
      </c>
      <c r="AO352" s="320">
        <v>57.857999781873701</v>
      </c>
      <c r="AP352" s="319">
        <v>9169</v>
      </c>
      <c r="AQ352" s="319">
        <v>1739</v>
      </c>
      <c r="AR352" s="319">
        <v>7477</v>
      </c>
      <c r="AS352" s="319">
        <v>1692</v>
      </c>
      <c r="AT352" s="319">
        <v>490</v>
      </c>
      <c r="AU352" s="319">
        <v>378</v>
      </c>
      <c r="AV352" s="319">
        <v>1033</v>
      </c>
      <c r="AW352" s="319">
        <v>1097</v>
      </c>
      <c r="AX352" s="319">
        <v>352</v>
      </c>
      <c r="AY352" s="319">
        <v>365</v>
      </c>
      <c r="AZ352" s="319">
        <v>1073</v>
      </c>
      <c r="BA352" s="319">
        <v>115</v>
      </c>
      <c r="BB352" s="319">
        <v>78</v>
      </c>
      <c r="BC352" s="319">
        <v>1303</v>
      </c>
      <c r="BD352" s="319">
        <v>158</v>
      </c>
      <c r="BE352" s="319">
        <v>0</v>
      </c>
      <c r="BF352" s="319">
        <v>1975</v>
      </c>
      <c r="BG352" s="319">
        <v>10</v>
      </c>
      <c r="BH352" s="319">
        <v>17</v>
      </c>
      <c r="BI352" s="320">
        <v>16.283127931072091</v>
      </c>
      <c r="BJ352" s="321">
        <v>5.4</v>
      </c>
      <c r="BK352" s="321">
        <v>6.3</v>
      </c>
      <c r="BL352" s="321">
        <v>5.5</v>
      </c>
      <c r="BM352" s="321">
        <v>5.9</v>
      </c>
      <c r="BN352" s="321">
        <v>5.2</v>
      </c>
      <c r="BO352" s="321">
        <v>5.3</v>
      </c>
      <c r="BP352" s="321">
        <v>5</v>
      </c>
      <c r="BQ352" s="321">
        <v>6.8</v>
      </c>
      <c r="BR352" s="321">
        <v>6.4</v>
      </c>
      <c r="BS352" s="321">
        <v>6.4</v>
      </c>
      <c r="BT352" s="321">
        <v>6.7</v>
      </c>
      <c r="BU352" s="321">
        <v>7.3</v>
      </c>
      <c r="BV352" s="321">
        <v>9.1999999999999993</v>
      </c>
      <c r="BW352" s="321">
        <v>7.4</v>
      </c>
      <c r="BX352" s="321">
        <v>4.0999999999999996</v>
      </c>
      <c r="BY352" s="321">
        <v>3.2</v>
      </c>
      <c r="BZ352" s="321">
        <v>2.2000000000000002</v>
      </c>
      <c r="CA352" s="321">
        <v>1.8</v>
      </c>
      <c r="CB352" s="321">
        <v>17.2</v>
      </c>
      <c r="CC352" s="321">
        <v>64.2</v>
      </c>
      <c r="CD352" s="321">
        <v>18.7</v>
      </c>
    </row>
  </sheetData>
  <hyperlinks>
    <hyperlink ref="CG2" r:id="rId1"/>
  </hyperlinks>
  <pageMargins left="0.7" right="0.7" top="0.75" bottom="0.75" header="0.3" footer="0.3"/>
  <pageSetup orientation="portrait" horizontalDpi="4294967295" verticalDpi="4294967295"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G23" sqref="G23"/>
    </sheetView>
  </sheetViews>
  <sheetFormatPr defaultRowHeight="15" x14ac:dyDescent="0.25"/>
  <cols>
    <col min="1" max="1" width="18.5703125" customWidth="1"/>
    <col min="2" max="2" width="14.28515625" customWidth="1"/>
    <col min="3" max="3" width="16.5703125" customWidth="1"/>
  </cols>
  <sheetData>
    <row r="1" spans="1:3" x14ac:dyDescent="0.25">
      <c r="A1" t="s">
        <v>349</v>
      </c>
    </row>
    <row r="3" spans="1:3" x14ac:dyDescent="0.25">
      <c r="A3" s="3" t="s">
        <v>374</v>
      </c>
      <c r="B3" s="3" t="s">
        <v>372</v>
      </c>
      <c r="C3" s="3" t="s">
        <v>373</v>
      </c>
    </row>
    <row r="4" spans="1:3" x14ac:dyDescent="0.25">
      <c r="A4" s="2" t="s">
        <v>359</v>
      </c>
      <c r="B4" s="2" t="s">
        <v>367</v>
      </c>
      <c r="C4" s="2" t="s">
        <v>360</v>
      </c>
    </row>
    <row r="5" spans="1:3" x14ac:dyDescent="0.25">
      <c r="A5" s="2" t="s">
        <v>352</v>
      </c>
      <c r="B5" s="2" t="s">
        <v>371</v>
      </c>
      <c r="C5" s="2" t="s">
        <v>353</v>
      </c>
    </row>
    <row r="6" spans="1:3" x14ac:dyDescent="0.25">
      <c r="A6" s="2" t="s">
        <v>364</v>
      </c>
      <c r="B6" s="2" t="s">
        <v>369</v>
      </c>
      <c r="C6" s="2" t="s">
        <v>363</v>
      </c>
    </row>
    <row r="7" spans="1:3" x14ac:dyDescent="0.25">
      <c r="A7" s="2" t="s">
        <v>355</v>
      </c>
      <c r="B7" s="2" t="s">
        <v>363</v>
      </c>
      <c r="C7" s="2" t="s">
        <v>356</v>
      </c>
    </row>
    <row r="8" spans="1:3" x14ac:dyDescent="0.25">
      <c r="A8" s="2" t="s">
        <v>350</v>
      </c>
      <c r="B8" s="2" t="s">
        <v>354</v>
      </c>
      <c r="C8" s="2" t="s">
        <v>351</v>
      </c>
    </row>
    <row r="9" spans="1:3" x14ac:dyDescent="0.25">
      <c r="A9" s="2" t="s">
        <v>362</v>
      </c>
      <c r="B9" s="2" t="s">
        <v>368</v>
      </c>
      <c r="C9" s="2" t="s">
        <v>363</v>
      </c>
    </row>
    <row r="10" spans="1:3" x14ac:dyDescent="0.25">
      <c r="A10" s="2" t="s">
        <v>357</v>
      </c>
      <c r="B10" s="2" t="s">
        <v>361</v>
      </c>
      <c r="C10" s="2" t="s">
        <v>358</v>
      </c>
    </row>
    <row r="11" spans="1:3" x14ac:dyDescent="0.25">
      <c r="A11" s="2" t="s">
        <v>365</v>
      </c>
      <c r="B11" s="2" t="s">
        <v>370</v>
      </c>
      <c r="C11" s="2" t="s">
        <v>366</v>
      </c>
    </row>
  </sheetData>
  <sortState ref="A4:C10">
    <sortCondition ref="A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2"/>
  <sheetViews>
    <sheetView topLeftCell="N1" zoomScale="90" zoomScaleNormal="90" workbookViewId="0">
      <pane ySplit="3" topLeftCell="A4" activePane="bottomLeft" state="frozen"/>
      <selection pane="bottomLeft" activeCell="AB1" sqref="AB1:AC2"/>
    </sheetView>
  </sheetViews>
  <sheetFormatPr defaultRowHeight="15" x14ac:dyDescent="0.25"/>
  <cols>
    <col min="1" max="1" width="10.28515625" style="114" bestFit="1" customWidth="1"/>
    <col min="2" max="2" width="20.28515625" customWidth="1"/>
    <col min="3" max="3" width="21.85546875" bestFit="1" customWidth="1"/>
    <col min="4" max="4" width="15" bestFit="1" customWidth="1"/>
    <col min="6" max="6" width="10.7109375" style="61" customWidth="1"/>
    <col min="13" max="13" width="11.7109375" customWidth="1"/>
    <col min="14" max="14" width="3.42578125" style="16" customWidth="1"/>
    <col min="15" max="15" width="10.140625" bestFit="1" customWidth="1"/>
    <col min="16" max="16" width="11.28515625" customWidth="1"/>
    <col min="18" max="18" width="9.140625" style="16"/>
    <col min="21" max="21" width="7.7109375" customWidth="1"/>
    <col min="22" max="22" width="8.28515625" customWidth="1"/>
    <col min="23" max="23" width="3.7109375" style="16" customWidth="1"/>
    <col min="29" max="29" width="121.42578125" bestFit="1" customWidth="1"/>
  </cols>
  <sheetData>
    <row r="1" spans="1:31" ht="18.75" customHeight="1" x14ac:dyDescent="0.3">
      <c r="A1" s="397" t="s">
        <v>424</v>
      </c>
      <c r="B1" s="397"/>
      <c r="C1" s="397"/>
      <c r="D1" s="397"/>
      <c r="F1" s="16"/>
      <c r="G1" s="400" t="s">
        <v>434</v>
      </c>
      <c r="H1" s="400"/>
      <c r="I1" s="400"/>
      <c r="J1" s="400"/>
      <c r="K1" s="400"/>
      <c r="L1" s="400"/>
      <c r="M1" s="400"/>
      <c r="O1" s="400" t="s">
        <v>436</v>
      </c>
      <c r="P1" s="400"/>
      <c r="Q1" s="400"/>
      <c r="R1" s="400"/>
      <c r="S1" s="400"/>
      <c r="T1" s="400"/>
      <c r="U1" s="400"/>
      <c r="V1" s="400"/>
      <c r="X1" s="400" t="s">
        <v>394</v>
      </c>
      <c r="Y1" s="400"/>
      <c r="AB1" s="199" t="s">
        <v>1325</v>
      </c>
      <c r="AC1" s="63" t="s">
        <v>1329</v>
      </c>
    </row>
    <row r="2" spans="1:31" x14ac:dyDescent="0.25">
      <c r="F2" s="16"/>
      <c r="G2" s="2" t="s">
        <v>431</v>
      </c>
      <c r="H2" s="401" t="s">
        <v>432</v>
      </c>
      <c r="I2" s="403"/>
      <c r="J2" s="403"/>
      <c r="K2" s="403"/>
      <c r="L2" s="402"/>
      <c r="M2" s="2" t="s">
        <v>433</v>
      </c>
      <c r="O2" s="399" t="s">
        <v>430</v>
      </c>
      <c r="P2" s="399"/>
      <c r="Q2" s="401" t="s">
        <v>428</v>
      </c>
      <c r="R2" s="402"/>
      <c r="S2" s="401" t="s">
        <v>429</v>
      </c>
      <c r="T2" s="402"/>
      <c r="U2" s="401" t="s">
        <v>348</v>
      </c>
      <c r="V2" s="402"/>
      <c r="X2" s="399" t="s">
        <v>435</v>
      </c>
      <c r="Y2" s="399"/>
      <c r="AB2" s="199" t="s">
        <v>1326</v>
      </c>
      <c r="AC2" s="63" t="s">
        <v>1330</v>
      </c>
    </row>
    <row r="3" spans="1:31" s="15" customFormat="1" ht="57" customHeight="1" x14ac:dyDescent="0.25">
      <c r="A3" s="115" t="s">
        <v>0</v>
      </c>
      <c r="B3" s="18" t="s">
        <v>1</v>
      </c>
      <c r="C3" s="18" t="s">
        <v>2</v>
      </c>
      <c r="D3" s="18" t="s">
        <v>347</v>
      </c>
      <c r="E3" s="18" t="s">
        <v>403</v>
      </c>
      <c r="F3" s="83" t="s">
        <v>578</v>
      </c>
      <c r="G3" s="12" t="s">
        <v>404</v>
      </c>
      <c r="H3" s="12" t="s">
        <v>405</v>
      </c>
      <c r="I3" s="12" t="s">
        <v>406</v>
      </c>
      <c r="J3" s="12" t="s">
        <v>407</v>
      </c>
      <c r="K3" s="12" t="s">
        <v>408</v>
      </c>
      <c r="L3" s="12" t="s">
        <v>409</v>
      </c>
      <c r="M3" s="12" t="s">
        <v>410</v>
      </c>
      <c r="N3" s="16"/>
      <c r="O3" s="12" t="s">
        <v>443</v>
      </c>
      <c r="P3" s="13" t="s">
        <v>388</v>
      </c>
      <c r="Q3" s="12" t="s">
        <v>389</v>
      </c>
      <c r="R3" s="13" t="s">
        <v>390</v>
      </c>
      <c r="S3" s="12" t="s">
        <v>442</v>
      </c>
      <c r="T3" s="13" t="s">
        <v>393</v>
      </c>
      <c r="U3" s="12" t="s">
        <v>426</v>
      </c>
      <c r="V3" s="13" t="s">
        <v>427</v>
      </c>
      <c r="W3" s="16"/>
      <c r="X3" s="14" t="s">
        <v>395</v>
      </c>
      <c r="Y3" s="14" t="s">
        <v>396</v>
      </c>
    </row>
    <row r="4" spans="1:31" x14ac:dyDescent="0.25">
      <c r="A4" s="128">
        <v>540001</v>
      </c>
      <c r="B4" s="128" t="s">
        <v>3</v>
      </c>
      <c r="C4" s="128" t="s">
        <v>4</v>
      </c>
      <c r="D4" s="128" t="s">
        <v>5</v>
      </c>
      <c r="E4" s="128">
        <v>7</v>
      </c>
      <c r="F4" s="206"/>
      <c r="G4" s="128">
        <v>391</v>
      </c>
      <c r="H4" s="128">
        <v>2</v>
      </c>
      <c r="I4" s="128">
        <v>0</v>
      </c>
      <c r="J4" s="128">
        <v>0</v>
      </c>
      <c r="K4" s="128">
        <v>0</v>
      </c>
      <c r="L4" s="128">
        <v>2</v>
      </c>
      <c r="M4" s="128">
        <v>393</v>
      </c>
      <c r="N4" s="210"/>
      <c r="O4" s="128" t="s">
        <v>488</v>
      </c>
      <c r="P4" s="128" t="s">
        <v>488</v>
      </c>
      <c r="Q4" s="128">
        <v>145</v>
      </c>
      <c r="R4" s="128">
        <v>169</v>
      </c>
      <c r="S4" s="128" t="s">
        <v>488</v>
      </c>
      <c r="T4" s="128" t="s">
        <v>488</v>
      </c>
      <c r="U4" s="128"/>
      <c r="V4" s="202">
        <f xml:space="preserve"> SUM(P4, R4, T4)</f>
        <v>169</v>
      </c>
      <c r="W4" s="210"/>
      <c r="X4" s="128">
        <v>0</v>
      </c>
      <c r="Y4" s="128">
        <v>0</v>
      </c>
    </row>
    <row r="5" spans="1:31" x14ac:dyDescent="0.25">
      <c r="A5" s="130">
        <v>540002</v>
      </c>
      <c r="B5" s="130" t="s">
        <v>114</v>
      </c>
      <c r="C5" s="130" t="s">
        <v>4</v>
      </c>
      <c r="D5" s="130" t="s">
        <v>115</v>
      </c>
      <c r="E5" s="130">
        <v>7</v>
      </c>
      <c r="F5" s="207"/>
      <c r="G5" s="130">
        <v>0</v>
      </c>
      <c r="H5" s="130">
        <v>111</v>
      </c>
      <c r="I5" s="130">
        <v>9</v>
      </c>
      <c r="J5" s="130">
        <v>0</v>
      </c>
      <c r="K5" s="130">
        <v>0</v>
      </c>
      <c r="L5" s="130">
        <v>120</v>
      </c>
      <c r="M5" s="130">
        <v>120</v>
      </c>
      <c r="N5" s="211"/>
      <c r="O5" s="130" t="s">
        <v>488</v>
      </c>
      <c r="P5" s="130" t="s">
        <v>488</v>
      </c>
      <c r="Q5" s="130">
        <v>0</v>
      </c>
      <c r="R5" s="130">
        <v>0</v>
      </c>
      <c r="S5" s="130" t="s">
        <v>488</v>
      </c>
      <c r="T5" s="130" t="s">
        <v>488</v>
      </c>
      <c r="U5" s="130"/>
      <c r="V5" s="202">
        <f t="shared" ref="V5:V68" si="0" xml:space="preserve"> SUM(P5, R5, T5)</f>
        <v>0</v>
      </c>
      <c r="W5" s="211"/>
      <c r="X5" s="130">
        <v>40</v>
      </c>
      <c r="Y5" s="130">
        <v>0</v>
      </c>
    </row>
    <row r="6" spans="1:31" x14ac:dyDescent="0.25">
      <c r="A6" s="130">
        <v>540003</v>
      </c>
      <c r="B6" s="130" t="s">
        <v>116</v>
      </c>
      <c r="C6" s="130" t="s">
        <v>4</v>
      </c>
      <c r="D6" s="130" t="s">
        <v>115</v>
      </c>
      <c r="E6" s="130">
        <v>7</v>
      </c>
      <c r="F6" s="207"/>
      <c r="G6" s="130">
        <v>12</v>
      </c>
      <c r="H6" s="130">
        <v>0</v>
      </c>
      <c r="I6" s="130">
        <v>0</v>
      </c>
      <c r="J6" s="130">
        <v>0</v>
      </c>
      <c r="K6" s="130">
        <v>0</v>
      </c>
      <c r="L6" s="130">
        <v>0</v>
      </c>
      <c r="M6" s="130">
        <v>12</v>
      </c>
      <c r="N6" s="211"/>
      <c r="O6" s="130" t="s">
        <v>488</v>
      </c>
      <c r="P6" s="130" t="s">
        <v>488</v>
      </c>
      <c r="Q6" s="130">
        <v>3</v>
      </c>
      <c r="R6" s="130">
        <v>3</v>
      </c>
      <c r="S6" s="130" t="s">
        <v>488</v>
      </c>
      <c r="T6" s="130" t="s">
        <v>488</v>
      </c>
      <c r="U6" s="130"/>
      <c r="V6" s="202">
        <f t="shared" si="0"/>
        <v>3</v>
      </c>
      <c r="W6" s="211"/>
      <c r="X6" s="130">
        <v>0</v>
      </c>
      <c r="Y6" s="130">
        <v>0</v>
      </c>
      <c r="AA6" t="s">
        <v>444</v>
      </c>
      <c r="AC6" t="s">
        <v>445</v>
      </c>
    </row>
    <row r="7" spans="1:31" x14ac:dyDescent="0.25">
      <c r="A7" s="130">
        <v>540004</v>
      </c>
      <c r="B7" s="130" t="s">
        <v>117</v>
      </c>
      <c r="C7" s="130" t="s">
        <v>4</v>
      </c>
      <c r="D7" s="130" t="s">
        <v>115</v>
      </c>
      <c r="E7" s="130">
        <v>7</v>
      </c>
      <c r="F7" s="207"/>
      <c r="G7" s="130">
        <v>2</v>
      </c>
      <c r="H7" s="130">
        <v>250</v>
      </c>
      <c r="I7" s="130">
        <v>12</v>
      </c>
      <c r="J7" s="130">
        <v>0</v>
      </c>
      <c r="K7" s="130">
        <v>0</v>
      </c>
      <c r="L7" s="130">
        <v>262</v>
      </c>
      <c r="M7" s="130">
        <v>264</v>
      </c>
      <c r="N7" s="211"/>
      <c r="O7" s="130" t="s">
        <v>488</v>
      </c>
      <c r="P7" s="130" t="s">
        <v>488</v>
      </c>
      <c r="Q7" s="130">
        <v>0</v>
      </c>
      <c r="R7" s="130">
        <v>4</v>
      </c>
      <c r="S7" s="130" t="s">
        <v>488</v>
      </c>
      <c r="T7" s="130" t="s">
        <v>488</v>
      </c>
      <c r="U7" s="130"/>
      <c r="V7" s="202">
        <f t="shared" si="0"/>
        <v>4</v>
      </c>
      <c r="W7" s="211"/>
      <c r="X7" s="130">
        <v>163</v>
      </c>
      <c r="Y7" s="130">
        <v>0</v>
      </c>
      <c r="AA7" t="s">
        <v>428</v>
      </c>
      <c r="AC7" t="s">
        <v>446</v>
      </c>
      <c r="AE7" t="s">
        <v>449</v>
      </c>
    </row>
    <row r="8" spans="1:31" x14ac:dyDescent="0.25">
      <c r="A8" s="130"/>
      <c r="B8" s="130"/>
      <c r="C8" s="130" t="s">
        <v>4</v>
      </c>
      <c r="D8" s="130"/>
      <c r="E8" s="130"/>
      <c r="F8" s="207"/>
      <c r="G8" s="130">
        <v>405</v>
      </c>
      <c r="H8" s="130">
        <v>363</v>
      </c>
      <c r="I8" s="130">
        <v>21</v>
      </c>
      <c r="J8" s="130">
        <v>0</v>
      </c>
      <c r="K8" s="130">
        <v>0</v>
      </c>
      <c r="L8" s="130">
        <v>384</v>
      </c>
      <c r="M8" s="130">
        <v>789</v>
      </c>
      <c r="N8" s="211"/>
      <c r="O8" s="130" t="s">
        <v>488</v>
      </c>
      <c r="P8" s="130" t="s">
        <v>488</v>
      </c>
      <c r="Q8" s="130">
        <v>148</v>
      </c>
      <c r="R8" s="130">
        <v>176</v>
      </c>
      <c r="S8" s="130" t="s">
        <v>488</v>
      </c>
      <c r="T8" s="130" t="s">
        <v>488</v>
      </c>
      <c r="U8" s="130">
        <f>SUM(U4:U7)</f>
        <v>0</v>
      </c>
      <c r="V8" s="202">
        <f t="shared" si="0"/>
        <v>176</v>
      </c>
      <c r="W8" s="211"/>
      <c r="X8" s="130">
        <v>203</v>
      </c>
      <c r="Y8" s="130">
        <v>0</v>
      </c>
    </row>
    <row r="9" spans="1:31" x14ac:dyDescent="0.25">
      <c r="A9" s="128">
        <v>540007</v>
      </c>
      <c r="B9" s="128" t="s">
        <v>6</v>
      </c>
      <c r="C9" s="128" t="s">
        <v>7</v>
      </c>
      <c r="D9" s="128" t="s">
        <v>5</v>
      </c>
      <c r="E9" s="128">
        <v>3</v>
      </c>
      <c r="F9" s="206"/>
      <c r="G9" s="128">
        <v>737</v>
      </c>
      <c r="H9" s="128">
        <v>1741</v>
      </c>
      <c r="I9" s="128">
        <v>454</v>
      </c>
      <c r="J9" s="128">
        <v>0</v>
      </c>
      <c r="K9" s="128">
        <v>0</v>
      </c>
      <c r="L9" s="128">
        <v>2195</v>
      </c>
      <c r="M9" s="128">
        <v>2932</v>
      </c>
      <c r="N9" s="210"/>
      <c r="O9" s="128" t="s">
        <v>488</v>
      </c>
      <c r="P9" s="128" t="s">
        <v>488</v>
      </c>
      <c r="Q9" s="128">
        <v>268</v>
      </c>
      <c r="R9" s="128">
        <v>535</v>
      </c>
      <c r="S9" s="128" t="s">
        <v>488</v>
      </c>
      <c r="T9" s="128" t="s">
        <v>488</v>
      </c>
      <c r="U9" s="128"/>
      <c r="V9" s="202">
        <f t="shared" si="0"/>
        <v>535</v>
      </c>
      <c r="W9" s="210"/>
      <c r="X9" s="128">
        <v>0</v>
      </c>
      <c r="Y9" s="128">
        <v>0</v>
      </c>
      <c r="AA9" t="s">
        <v>429</v>
      </c>
      <c r="AC9" t="s">
        <v>447</v>
      </c>
      <c r="AD9" t="s">
        <v>448</v>
      </c>
    </row>
    <row r="10" spans="1:31" x14ac:dyDescent="0.25">
      <c r="A10" s="130">
        <v>540008</v>
      </c>
      <c r="B10" s="130" t="s">
        <v>120</v>
      </c>
      <c r="C10" s="130" t="s">
        <v>7</v>
      </c>
      <c r="D10" s="130" t="s">
        <v>115</v>
      </c>
      <c r="E10" s="130">
        <v>3</v>
      </c>
      <c r="F10" s="207"/>
      <c r="G10" s="130">
        <v>0</v>
      </c>
      <c r="H10" s="130">
        <v>282</v>
      </c>
      <c r="I10" s="130">
        <v>42</v>
      </c>
      <c r="J10" s="130">
        <v>0</v>
      </c>
      <c r="K10" s="130">
        <v>0</v>
      </c>
      <c r="L10" s="130">
        <v>324</v>
      </c>
      <c r="M10" s="130">
        <v>324</v>
      </c>
      <c r="N10" s="211"/>
      <c r="O10" s="130" t="s">
        <v>488</v>
      </c>
      <c r="P10" s="130" t="s">
        <v>488</v>
      </c>
      <c r="Q10" s="130">
        <v>0</v>
      </c>
      <c r="R10" s="130">
        <v>0</v>
      </c>
      <c r="S10" s="130" t="s">
        <v>488</v>
      </c>
      <c r="T10" s="130" t="s">
        <v>488</v>
      </c>
      <c r="U10" s="130"/>
      <c r="V10" s="202">
        <f t="shared" si="0"/>
        <v>0</v>
      </c>
      <c r="W10" s="211"/>
      <c r="X10" s="130">
        <v>0</v>
      </c>
      <c r="Y10" s="130">
        <v>0</v>
      </c>
    </row>
    <row r="11" spans="1:31" x14ac:dyDescent="0.25">
      <c r="A11" s="130">
        <v>540229</v>
      </c>
      <c r="B11" s="130" t="s">
        <v>279</v>
      </c>
      <c r="C11" s="130" t="s">
        <v>7</v>
      </c>
      <c r="D11" s="130" t="s">
        <v>115</v>
      </c>
      <c r="E11" s="130">
        <v>3</v>
      </c>
      <c r="F11" s="207"/>
      <c r="G11" s="130">
        <v>0</v>
      </c>
      <c r="H11" s="130">
        <v>50</v>
      </c>
      <c r="I11" s="130">
        <v>35</v>
      </c>
      <c r="J11" s="130">
        <v>0</v>
      </c>
      <c r="K11" s="130">
        <v>0</v>
      </c>
      <c r="L11" s="130">
        <v>85</v>
      </c>
      <c r="M11" s="130">
        <v>85</v>
      </c>
      <c r="N11" s="211"/>
      <c r="O11" s="130" t="s">
        <v>488</v>
      </c>
      <c r="P11" s="130" t="s">
        <v>488</v>
      </c>
      <c r="Q11" s="130">
        <v>0</v>
      </c>
      <c r="R11" s="130">
        <v>5</v>
      </c>
      <c r="S11" s="130" t="s">
        <v>488</v>
      </c>
      <c r="T11" s="130" t="s">
        <v>488</v>
      </c>
      <c r="U11" s="130"/>
      <c r="V11" s="202">
        <f t="shared" si="0"/>
        <v>5</v>
      </c>
      <c r="W11" s="211"/>
      <c r="X11" s="130">
        <v>0</v>
      </c>
      <c r="Y11" s="130">
        <v>0</v>
      </c>
    </row>
    <row r="12" spans="1:31" x14ac:dyDescent="0.25">
      <c r="A12" s="130">
        <v>540230</v>
      </c>
      <c r="B12" s="130" t="s">
        <v>280</v>
      </c>
      <c r="C12" s="130" t="s">
        <v>7</v>
      </c>
      <c r="D12" s="130" t="s">
        <v>115</v>
      </c>
      <c r="E12" s="130">
        <v>3</v>
      </c>
      <c r="F12" s="207"/>
      <c r="G12" s="130">
        <v>5</v>
      </c>
      <c r="H12" s="130">
        <v>116</v>
      </c>
      <c r="I12" s="130">
        <v>34</v>
      </c>
      <c r="J12" s="130">
        <v>0</v>
      </c>
      <c r="K12" s="130">
        <v>0</v>
      </c>
      <c r="L12" s="130">
        <v>150</v>
      </c>
      <c r="M12" s="130">
        <v>155</v>
      </c>
      <c r="N12" s="211"/>
      <c r="O12" s="130" t="s">
        <v>488</v>
      </c>
      <c r="P12" s="130" t="s">
        <v>488</v>
      </c>
      <c r="Q12" s="130">
        <v>0</v>
      </c>
      <c r="R12" s="130">
        <v>5</v>
      </c>
      <c r="S12" s="130" t="s">
        <v>488</v>
      </c>
      <c r="T12" s="130" t="s">
        <v>488</v>
      </c>
      <c r="U12" s="130"/>
      <c r="V12" s="202">
        <f t="shared" si="0"/>
        <v>5</v>
      </c>
      <c r="W12" s="211"/>
      <c r="X12" s="130">
        <v>0</v>
      </c>
      <c r="Y12" s="130">
        <v>0</v>
      </c>
    </row>
    <row r="13" spans="1:31" x14ac:dyDescent="0.25">
      <c r="A13" s="130">
        <v>540238</v>
      </c>
      <c r="B13" s="130" t="s">
        <v>286</v>
      </c>
      <c r="C13" s="130" t="s">
        <v>7</v>
      </c>
      <c r="D13" s="130" t="s">
        <v>115</v>
      </c>
      <c r="E13" s="130">
        <v>3</v>
      </c>
      <c r="F13" s="207"/>
      <c r="G13" s="130">
        <v>0</v>
      </c>
      <c r="H13" s="130">
        <v>69</v>
      </c>
      <c r="I13" s="130">
        <v>0</v>
      </c>
      <c r="J13" s="130">
        <v>0</v>
      </c>
      <c r="K13" s="130">
        <v>0</v>
      </c>
      <c r="L13" s="130">
        <v>69</v>
      </c>
      <c r="M13" s="130">
        <v>69</v>
      </c>
      <c r="N13" s="211"/>
      <c r="O13" s="130" t="s">
        <v>488</v>
      </c>
      <c r="P13" s="130" t="s">
        <v>488</v>
      </c>
      <c r="Q13" s="130">
        <v>0</v>
      </c>
      <c r="R13" s="130">
        <v>0</v>
      </c>
      <c r="S13" s="130" t="s">
        <v>488</v>
      </c>
      <c r="T13" s="130" t="s">
        <v>488</v>
      </c>
      <c r="U13" s="130"/>
      <c r="V13" s="202">
        <f t="shared" si="0"/>
        <v>0</v>
      </c>
      <c r="W13" s="211"/>
      <c r="X13" s="130">
        <v>0</v>
      </c>
      <c r="Y13" s="130">
        <v>0</v>
      </c>
    </row>
    <row r="14" spans="1:31" x14ac:dyDescent="0.25">
      <c r="A14" s="130"/>
      <c r="B14" s="130"/>
      <c r="C14" s="130" t="s">
        <v>7</v>
      </c>
      <c r="D14" s="130"/>
      <c r="E14" s="130"/>
      <c r="F14" s="207"/>
      <c r="G14" s="130">
        <v>742</v>
      </c>
      <c r="H14" s="130">
        <v>2258</v>
      </c>
      <c r="I14" s="130">
        <v>565</v>
      </c>
      <c r="J14" s="130">
        <v>0</v>
      </c>
      <c r="K14" s="130">
        <v>0</v>
      </c>
      <c r="L14" s="130">
        <v>2823</v>
      </c>
      <c r="M14" s="130">
        <v>3565</v>
      </c>
      <c r="N14" s="211"/>
      <c r="O14" s="130" t="s">
        <v>488</v>
      </c>
      <c r="P14" s="130" t="s">
        <v>488</v>
      </c>
      <c r="Q14" s="130">
        <v>268</v>
      </c>
      <c r="R14" s="130">
        <v>545</v>
      </c>
      <c r="S14" s="130" t="s">
        <v>488</v>
      </c>
      <c r="T14" s="130" t="s">
        <v>488</v>
      </c>
      <c r="U14" s="130"/>
      <c r="V14" s="202">
        <f t="shared" si="0"/>
        <v>545</v>
      </c>
      <c r="W14" s="211"/>
      <c r="X14" s="130">
        <v>0</v>
      </c>
      <c r="Y14" s="130">
        <v>0</v>
      </c>
    </row>
    <row r="15" spans="1:31" x14ac:dyDescent="0.25">
      <c r="A15" s="128">
        <v>540009</v>
      </c>
      <c r="B15" s="128" t="s">
        <v>8</v>
      </c>
      <c r="C15" s="128" t="s">
        <v>9</v>
      </c>
      <c r="D15" s="128" t="s">
        <v>5</v>
      </c>
      <c r="E15" s="128">
        <v>7</v>
      </c>
      <c r="F15" s="206"/>
      <c r="G15" s="128">
        <v>1063</v>
      </c>
      <c r="H15" s="128">
        <v>227</v>
      </c>
      <c r="I15" s="128">
        <v>0</v>
      </c>
      <c r="J15" s="128">
        <v>0</v>
      </c>
      <c r="K15" s="128">
        <v>0</v>
      </c>
      <c r="L15" s="128">
        <v>227</v>
      </c>
      <c r="M15" s="128">
        <v>1290</v>
      </c>
      <c r="N15" s="210"/>
      <c r="O15" s="128" t="s">
        <v>488</v>
      </c>
      <c r="P15" s="128" t="s">
        <v>488</v>
      </c>
      <c r="Q15" s="128" t="s">
        <v>488</v>
      </c>
      <c r="R15" s="128" t="s">
        <v>488</v>
      </c>
      <c r="S15" s="128" t="s">
        <v>488</v>
      </c>
      <c r="T15" s="128" t="s">
        <v>488</v>
      </c>
      <c r="U15" s="128"/>
      <c r="V15" s="202">
        <f t="shared" si="0"/>
        <v>0</v>
      </c>
      <c r="W15" s="210"/>
      <c r="X15" s="128">
        <v>0</v>
      </c>
      <c r="Y15" s="128">
        <v>0</v>
      </c>
    </row>
    <row r="16" spans="1:31" x14ac:dyDescent="0.25">
      <c r="A16" s="130">
        <v>540010</v>
      </c>
      <c r="B16" s="130" t="s">
        <v>121</v>
      </c>
      <c r="C16" s="130" t="s">
        <v>9</v>
      </c>
      <c r="D16" s="130" t="s">
        <v>115</v>
      </c>
      <c r="E16" s="130">
        <v>7</v>
      </c>
      <c r="F16" s="207"/>
      <c r="G16" s="130">
        <v>0</v>
      </c>
      <c r="H16" s="130">
        <v>35</v>
      </c>
      <c r="I16" s="130">
        <v>0</v>
      </c>
      <c r="J16" s="130">
        <v>0</v>
      </c>
      <c r="K16" s="130">
        <v>0</v>
      </c>
      <c r="L16" s="130">
        <v>35</v>
      </c>
      <c r="M16" s="130">
        <v>35</v>
      </c>
      <c r="N16" s="211"/>
      <c r="O16" s="130" t="s">
        <v>488</v>
      </c>
      <c r="P16" s="130" t="s">
        <v>488</v>
      </c>
      <c r="Q16" s="130" t="s">
        <v>488</v>
      </c>
      <c r="R16" s="130" t="s">
        <v>488</v>
      </c>
      <c r="S16" s="130" t="s">
        <v>488</v>
      </c>
      <c r="T16" s="130" t="s">
        <v>488</v>
      </c>
      <c r="U16" s="130"/>
      <c r="V16" s="202">
        <f t="shared" si="0"/>
        <v>0</v>
      </c>
      <c r="W16" s="211"/>
      <c r="X16" s="130">
        <v>0</v>
      </c>
      <c r="Y16" s="130">
        <v>0</v>
      </c>
    </row>
    <row r="17" spans="1:25" s="16" customFormat="1" x14ac:dyDescent="0.25">
      <c r="A17" s="130">
        <v>540235</v>
      </c>
      <c r="B17" s="130" t="s">
        <v>283</v>
      </c>
      <c r="C17" s="130" t="s">
        <v>9</v>
      </c>
      <c r="D17" s="130" t="s">
        <v>115</v>
      </c>
      <c r="E17" s="130">
        <v>7</v>
      </c>
      <c r="F17" s="207"/>
      <c r="G17" s="130">
        <v>0</v>
      </c>
      <c r="H17" s="130">
        <v>0</v>
      </c>
      <c r="I17" s="130">
        <v>0</v>
      </c>
      <c r="J17" s="130">
        <v>0</v>
      </c>
      <c r="K17" s="130">
        <v>0</v>
      </c>
      <c r="L17" s="130">
        <v>0</v>
      </c>
      <c r="M17" s="130">
        <v>0</v>
      </c>
      <c r="N17" s="211"/>
      <c r="O17" s="130" t="s">
        <v>488</v>
      </c>
      <c r="P17" s="130" t="s">
        <v>488</v>
      </c>
      <c r="Q17" s="130" t="s">
        <v>488</v>
      </c>
      <c r="R17" s="130" t="s">
        <v>488</v>
      </c>
      <c r="S17" s="130" t="s">
        <v>488</v>
      </c>
      <c r="T17" s="130" t="s">
        <v>488</v>
      </c>
      <c r="U17" s="130"/>
      <c r="V17" s="202">
        <f t="shared" si="0"/>
        <v>0</v>
      </c>
      <c r="W17" s="211"/>
      <c r="X17" s="130">
        <v>0</v>
      </c>
      <c r="Y17" s="130">
        <v>0</v>
      </c>
    </row>
    <row r="18" spans="1:25" s="16" customFormat="1" x14ac:dyDescent="0.25">
      <c r="A18" s="130">
        <v>540236</v>
      </c>
      <c r="B18" s="130" t="s">
        <v>284</v>
      </c>
      <c r="C18" s="130" t="s">
        <v>9</v>
      </c>
      <c r="D18" s="130" t="s">
        <v>115</v>
      </c>
      <c r="E18" s="130">
        <v>7</v>
      </c>
      <c r="F18" s="207"/>
      <c r="G18" s="130">
        <v>0</v>
      </c>
      <c r="H18" s="130">
        <v>41</v>
      </c>
      <c r="I18" s="130">
        <v>0</v>
      </c>
      <c r="J18" s="130">
        <v>0</v>
      </c>
      <c r="K18" s="130">
        <v>0</v>
      </c>
      <c r="L18" s="130">
        <v>41</v>
      </c>
      <c r="M18" s="130">
        <v>41</v>
      </c>
      <c r="N18" s="211"/>
      <c r="O18" s="130" t="s">
        <v>488</v>
      </c>
      <c r="P18" s="130" t="s">
        <v>488</v>
      </c>
      <c r="Q18" s="130" t="s">
        <v>488</v>
      </c>
      <c r="R18" s="130" t="s">
        <v>488</v>
      </c>
      <c r="S18" s="130" t="s">
        <v>488</v>
      </c>
      <c r="T18" s="130" t="s">
        <v>488</v>
      </c>
      <c r="U18" s="130"/>
      <c r="V18" s="202">
        <f t="shared" si="0"/>
        <v>0</v>
      </c>
      <c r="W18" s="211"/>
      <c r="X18" s="130">
        <v>0</v>
      </c>
      <c r="Y18" s="130">
        <v>0</v>
      </c>
    </row>
    <row r="19" spans="1:25" s="16" customFormat="1" x14ac:dyDescent="0.25">
      <c r="A19" s="130">
        <v>540237</v>
      </c>
      <c r="B19" s="130" t="s">
        <v>285</v>
      </c>
      <c r="C19" s="130" t="s">
        <v>9</v>
      </c>
      <c r="D19" s="130" t="s">
        <v>115</v>
      </c>
      <c r="E19" s="130">
        <v>7</v>
      </c>
      <c r="F19" s="207"/>
      <c r="G19" s="130">
        <v>1</v>
      </c>
      <c r="H19" s="130">
        <v>56</v>
      </c>
      <c r="I19" s="130">
        <v>0</v>
      </c>
      <c r="J19" s="130">
        <v>0</v>
      </c>
      <c r="K19" s="130">
        <v>0</v>
      </c>
      <c r="L19" s="130">
        <v>56</v>
      </c>
      <c r="M19" s="130">
        <v>57</v>
      </c>
      <c r="N19" s="211"/>
      <c r="O19" s="130" t="s">
        <v>488</v>
      </c>
      <c r="P19" s="130" t="s">
        <v>488</v>
      </c>
      <c r="Q19" s="130" t="s">
        <v>488</v>
      </c>
      <c r="R19" s="130" t="s">
        <v>488</v>
      </c>
      <c r="S19" s="130" t="s">
        <v>488</v>
      </c>
      <c r="T19" s="130" t="s">
        <v>488</v>
      </c>
      <c r="U19" s="130"/>
      <c r="V19" s="202">
        <f t="shared" si="0"/>
        <v>0</v>
      </c>
      <c r="W19" s="211"/>
      <c r="X19" s="130">
        <v>0</v>
      </c>
      <c r="Y19" s="130">
        <v>0</v>
      </c>
    </row>
    <row r="20" spans="1:25" s="16" customFormat="1" x14ac:dyDescent="0.25">
      <c r="A20" s="130"/>
      <c r="B20" s="130"/>
      <c r="C20" s="130" t="s">
        <v>9</v>
      </c>
      <c r="D20" s="130"/>
      <c r="E20" s="130"/>
      <c r="F20" s="207"/>
      <c r="G20" s="130">
        <v>1064</v>
      </c>
      <c r="H20" s="130">
        <v>359</v>
      </c>
      <c r="I20" s="130">
        <v>0</v>
      </c>
      <c r="J20" s="130">
        <v>0</v>
      </c>
      <c r="K20" s="130">
        <v>0</v>
      </c>
      <c r="L20" s="130">
        <v>359</v>
      </c>
      <c r="M20" s="130">
        <v>1423</v>
      </c>
      <c r="N20" s="211"/>
      <c r="O20" s="130" t="s">
        <v>488</v>
      </c>
      <c r="P20" s="130" t="s">
        <v>488</v>
      </c>
      <c r="Q20" s="130" t="s">
        <v>488</v>
      </c>
      <c r="R20" s="130" t="s">
        <v>488</v>
      </c>
      <c r="S20" s="130" t="s">
        <v>488</v>
      </c>
      <c r="T20" s="130" t="s">
        <v>488</v>
      </c>
      <c r="U20" s="130"/>
      <c r="V20" s="202">
        <f t="shared" si="0"/>
        <v>0</v>
      </c>
      <c r="W20" s="211"/>
      <c r="X20" s="130">
        <v>0</v>
      </c>
      <c r="Y20" s="130">
        <v>0</v>
      </c>
    </row>
    <row r="21" spans="1:25" s="16" customFormat="1" x14ac:dyDescent="0.25">
      <c r="A21" s="128">
        <v>540011</v>
      </c>
      <c r="B21" s="128" t="s">
        <v>10</v>
      </c>
      <c r="C21" s="128" t="s">
        <v>11</v>
      </c>
      <c r="D21" s="128" t="s">
        <v>5</v>
      </c>
      <c r="E21" s="128">
        <v>11</v>
      </c>
      <c r="F21" s="206"/>
      <c r="G21" s="128">
        <v>104</v>
      </c>
      <c r="H21" s="128">
        <v>189</v>
      </c>
      <c r="I21" s="128">
        <v>14</v>
      </c>
      <c r="J21" s="128">
        <v>0</v>
      </c>
      <c r="K21" s="128">
        <v>0</v>
      </c>
      <c r="L21" s="128">
        <v>203</v>
      </c>
      <c r="M21" s="128">
        <v>307</v>
      </c>
      <c r="N21" s="210"/>
      <c r="O21" s="128" t="s">
        <v>488</v>
      </c>
      <c r="P21" s="128" t="s">
        <v>488</v>
      </c>
      <c r="Q21" s="128">
        <v>31</v>
      </c>
      <c r="R21" s="128">
        <v>51</v>
      </c>
      <c r="S21" s="128" t="s">
        <v>488</v>
      </c>
      <c r="T21" s="128" t="s">
        <v>488</v>
      </c>
      <c r="U21" s="128"/>
      <c r="V21" s="202">
        <f t="shared" si="0"/>
        <v>51</v>
      </c>
      <c r="W21" s="210"/>
      <c r="X21" s="128">
        <v>56</v>
      </c>
      <c r="Y21" s="128">
        <v>0</v>
      </c>
    </row>
    <row r="22" spans="1:25" s="16" customFormat="1" x14ac:dyDescent="0.25">
      <c r="A22" s="130">
        <v>540012</v>
      </c>
      <c r="B22" s="130" t="s">
        <v>122</v>
      </c>
      <c r="C22" s="130" t="s">
        <v>11</v>
      </c>
      <c r="D22" s="130" t="s">
        <v>115</v>
      </c>
      <c r="E22" s="130">
        <v>11</v>
      </c>
      <c r="F22" s="207"/>
      <c r="G22" s="130">
        <v>15</v>
      </c>
      <c r="H22" s="130">
        <v>0</v>
      </c>
      <c r="I22" s="130">
        <v>0</v>
      </c>
      <c r="J22" s="130">
        <v>0</v>
      </c>
      <c r="K22" s="130">
        <v>0</v>
      </c>
      <c r="L22" s="130">
        <v>0</v>
      </c>
      <c r="M22" s="130">
        <v>15</v>
      </c>
      <c r="N22" s="211"/>
      <c r="O22" s="130" t="s">
        <v>488</v>
      </c>
      <c r="P22" s="130" t="s">
        <v>488</v>
      </c>
      <c r="Q22" s="130">
        <v>3</v>
      </c>
      <c r="R22" s="130">
        <v>1</v>
      </c>
      <c r="S22" s="130" t="s">
        <v>488</v>
      </c>
      <c r="T22" s="130" t="s">
        <v>488</v>
      </c>
      <c r="U22" s="130"/>
      <c r="V22" s="202">
        <f t="shared" si="0"/>
        <v>1</v>
      </c>
      <c r="W22" s="211"/>
      <c r="X22" s="130">
        <v>0</v>
      </c>
      <c r="Y22" s="130">
        <v>0</v>
      </c>
    </row>
    <row r="23" spans="1:25" s="16" customFormat="1" x14ac:dyDescent="0.25">
      <c r="A23" s="130">
        <v>540013</v>
      </c>
      <c r="B23" s="130" t="s">
        <v>123</v>
      </c>
      <c r="C23" s="130" t="s">
        <v>11</v>
      </c>
      <c r="D23" s="130" t="s">
        <v>115</v>
      </c>
      <c r="E23" s="130">
        <v>11</v>
      </c>
      <c r="F23" s="207"/>
      <c r="G23" s="130">
        <v>0</v>
      </c>
      <c r="H23" s="130">
        <v>111</v>
      </c>
      <c r="I23" s="130">
        <v>1</v>
      </c>
      <c r="J23" s="130">
        <v>0</v>
      </c>
      <c r="K23" s="130">
        <v>0</v>
      </c>
      <c r="L23" s="130">
        <v>112</v>
      </c>
      <c r="M23" s="130">
        <v>112</v>
      </c>
      <c r="N23" s="211"/>
      <c r="O23" s="130" t="s">
        <v>488</v>
      </c>
      <c r="P23" s="130" t="s">
        <v>488</v>
      </c>
      <c r="Q23" s="130">
        <v>0</v>
      </c>
      <c r="R23" s="130">
        <v>0</v>
      </c>
      <c r="S23" s="130" t="s">
        <v>488</v>
      </c>
      <c r="T23" s="130" t="s">
        <v>488</v>
      </c>
      <c r="U23" s="130"/>
      <c r="V23" s="202">
        <f t="shared" si="0"/>
        <v>0</v>
      </c>
      <c r="W23" s="211"/>
      <c r="X23" s="130">
        <v>324</v>
      </c>
      <c r="Y23" s="130">
        <v>0</v>
      </c>
    </row>
    <row r="24" spans="1:25" s="16" customFormat="1" x14ac:dyDescent="0.25">
      <c r="A24" s="130">
        <v>540014</v>
      </c>
      <c r="B24" s="130" t="s">
        <v>124</v>
      </c>
      <c r="C24" s="130" t="s">
        <v>11</v>
      </c>
      <c r="D24" s="130" t="s">
        <v>115</v>
      </c>
      <c r="E24" s="130">
        <v>11</v>
      </c>
      <c r="F24" s="207"/>
      <c r="G24" s="130">
        <v>0</v>
      </c>
      <c r="H24" s="130">
        <v>90</v>
      </c>
      <c r="I24" s="130">
        <v>7</v>
      </c>
      <c r="J24" s="130">
        <v>0</v>
      </c>
      <c r="K24" s="130">
        <v>0</v>
      </c>
      <c r="L24" s="130">
        <v>97</v>
      </c>
      <c r="M24" s="130">
        <v>97</v>
      </c>
      <c r="N24" s="211"/>
      <c r="O24" s="130" t="s">
        <v>488</v>
      </c>
      <c r="P24" s="130" t="s">
        <v>488</v>
      </c>
      <c r="Q24" s="130">
        <v>0</v>
      </c>
      <c r="R24" s="130">
        <v>18</v>
      </c>
      <c r="S24" s="130" t="s">
        <v>488</v>
      </c>
      <c r="T24" s="130" t="s">
        <v>488</v>
      </c>
      <c r="U24" s="130"/>
      <c r="V24" s="202">
        <f t="shared" si="0"/>
        <v>18</v>
      </c>
      <c r="W24" s="211"/>
      <c r="X24" s="130">
        <v>210</v>
      </c>
      <c r="Y24" s="130">
        <v>0</v>
      </c>
    </row>
    <row r="25" spans="1:25" s="16" customFormat="1" x14ac:dyDescent="0.25">
      <c r="A25" s="130">
        <v>540015</v>
      </c>
      <c r="B25" s="130" t="s">
        <v>125</v>
      </c>
      <c r="C25" s="130" t="s">
        <v>11</v>
      </c>
      <c r="D25" s="130" t="s">
        <v>115</v>
      </c>
      <c r="E25" s="130">
        <v>11</v>
      </c>
      <c r="F25" s="207"/>
      <c r="G25" s="130">
        <v>0</v>
      </c>
      <c r="H25" s="130">
        <v>1328</v>
      </c>
      <c r="I25" s="130">
        <v>3</v>
      </c>
      <c r="J25" s="130">
        <v>0</v>
      </c>
      <c r="K25" s="130">
        <v>0</v>
      </c>
      <c r="L25" s="130">
        <v>1331</v>
      </c>
      <c r="M25" s="130">
        <v>1331</v>
      </c>
      <c r="N25" s="211"/>
      <c r="O25" s="130" t="s">
        <v>488</v>
      </c>
      <c r="P25" s="130" t="s">
        <v>488</v>
      </c>
      <c r="Q25" s="130">
        <v>0</v>
      </c>
      <c r="R25" s="130">
        <v>0</v>
      </c>
      <c r="S25" s="130" t="s">
        <v>488</v>
      </c>
      <c r="T25" s="130" t="s">
        <v>488</v>
      </c>
      <c r="U25" s="130"/>
      <c r="V25" s="202">
        <f t="shared" si="0"/>
        <v>0</v>
      </c>
      <c r="W25" s="211"/>
      <c r="X25" s="130">
        <v>154</v>
      </c>
      <c r="Y25" s="130">
        <v>0</v>
      </c>
    </row>
    <row r="26" spans="1:25" s="16" customFormat="1" x14ac:dyDescent="0.25">
      <c r="A26" s="130">
        <v>540093</v>
      </c>
      <c r="B26" s="130" t="s">
        <v>184</v>
      </c>
      <c r="C26" s="130" t="s">
        <v>11</v>
      </c>
      <c r="D26" s="130" t="s">
        <v>115</v>
      </c>
      <c r="E26" s="130">
        <v>11</v>
      </c>
      <c r="F26" s="207"/>
      <c r="G26" s="130">
        <v>0</v>
      </c>
      <c r="H26" s="130">
        <v>35</v>
      </c>
      <c r="I26" s="130">
        <v>1</v>
      </c>
      <c r="J26" s="130">
        <v>0</v>
      </c>
      <c r="K26" s="130">
        <v>0</v>
      </c>
      <c r="L26" s="130">
        <v>36</v>
      </c>
      <c r="M26" s="130">
        <v>36</v>
      </c>
      <c r="N26" s="211"/>
      <c r="O26" s="130" t="s">
        <v>488</v>
      </c>
      <c r="P26" s="130" t="s">
        <v>488</v>
      </c>
      <c r="Q26" s="130">
        <v>0</v>
      </c>
      <c r="R26" s="130">
        <v>0</v>
      </c>
      <c r="S26" s="130" t="s">
        <v>488</v>
      </c>
      <c r="T26" s="130" t="s">
        <v>488</v>
      </c>
      <c r="U26" s="130"/>
      <c r="V26" s="202">
        <f t="shared" si="0"/>
        <v>0</v>
      </c>
      <c r="W26" s="211"/>
      <c r="X26" s="130">
        <v>25</v>
      </c>
      <c r="Y26" s="130">
        <v>0</v>
      </c>
    </row>
    <row r="27" spans="1:25" s="16" customFormat="1" x14ac:dyDescent="0.25">
      <c r="A27" s="130">
        <v>540084</v>
      </c>
      <c r="B27" s="130" t="s">
        <v>341</v>
      </c>
      <c r="C27" s="130" t="s">
        <v>11</v>
      </c>
      <c r="D27" s="130" t="s">
        <v>115</v>
      </c>
      <c r="E27" s="130">
        <v>11</v>
      </c>
      <c r="F27" s="207"/>
      <c r="G27" s="130">
        <v>0</v>
      </c>
      <c r="H27" s="130">
        <v>0</v>
      </c>
      <c r="I27" s="130">
        <v>0</v>
      </c>
      <c r="J27" s="130">
        <v>0</v>
      </c>
      <c r="K27" s="130">
        <v>0</v>
      </c>
      <c r="L27" s="130">
        <v>0</v>
      </c>
      <c r="M27" s="130">
        <v>0</v>
      </c>
      <c r="N27" s="211"/>
      <c r="O27" s="130" t="s">
        <v>488</v>
      </c>
      <c r="P27" s="130" t="s">
        <v>488</v>
      </c>
      <c r="Q27" s="130">
        <v>0</v>
      </c>
      <c r="R27" s="130">
        <v>0</v>
      </c>
      <c r="S27" s="130" t="s">
        <v>488</v>
      </c>
      <c r="T27" s="130" t="s">
        <v>488</v>
      </c>
      <c r="U27" s="130"/>
      <c r="V27" s="202">
        <f t="shared" si="0"/>
        <v>0</v>
      </c>
      <c r="W27" s="211"/>
      <c r="X27" s="130">
        <v>0</v>
      </c>
      <c r="Y27" s="130">
        <v>0</v>
      </c>
    </row>
    <row r="28" spans="1:25" s="16" customFormat="1" x14ac:dyDescent="0.25">
      <c r="A28" s="130"/>
      <c r="B28" s="130"/>
      <c r="C28" s="130" t="s">
        <v>11</v>
      </c>
      <c r="D28" s="130"/>
      <c r="E28" s="130"/>
      <c r="F28" s="207"/>
      <c r="G28" s="130">
        <v>119</v>
      </c>
      <c r="H28" s="130">
        <v>1753</v>
      </c>
      <c r="I28" s="130">
        <v>26</v>
      </c>
      <c r="J28" s="130">
        <v>0</v>
      </c>
      <c r="K28" s="130">
        <v>0</v>
      </c>
      <c r="L28" s="130">
        <v>1779</v>
      </c>
      <c r="M28" s="130">
        <v>1898</v>
      </c>
      <c r="N28" s="211"/>
      <c r="O28" s="130" t="s">
        <v>488</v>
      </c>
      <c r="P28" s="130" t="s">
        <v>488</v>
      </c>
      <c r="Q28" s="130">
        <v>34</v>
      </c>
      <c r="R28" s="130">
        <v>70</v>
      </c>
      <c r="S28" s="130" t="s">
        <v>488</v>
      </c>
      <c r="T28" s="130" t="s">
        <v>488</v>
      </c>
      <c r="U28" s="130"/>
      <c r="V28" s="202">
        <f t="shared" si="0"/>
        <v>70</v>
      </c>
      <c r="W28" s="211"/>
      <c r="X28" s="130">
        <v>769</v>
      </c>
      <c r="Y28" s="130">
        <v>0</v>
      </c>
    </row>
    <row r="29" spans="1:25" s="16" customFormat="1" x14ac:dyDescent="0.25">
      <c r="A29" s="128">
        <v>540016</v>
      </c>
      <c r="B29" s="128" t="s">
        <v>12</v>
      </c>
      <c r="C29" s="128" t="s">
        <v>13</v>
      </c>
      <c r="D29" s="128" t="s">
        <v>5</v>
      </c>
      <c r="E29" s="128">
        <v>2</v>
      </c>
      <c r="F29" s="206"/>
      <c r="G29" s="128">
        <v>581</v>
      </c>
      <c r="H29" s="128">
        <v>805</v>
      </c>
      <c r="I29" s="128">
        <v>81</v>
      </c>
      <c r="J29" s="128">
        <v>0</v>
      </c>
      <c r="K29" s="128">
        <v>0</v>
      </c>
      <c r="L29" s="128">
        <v>886</v>
      </c>
      <c r="M29" s="128">
        <v>1467</v>
      </c>
      <c r="N29" s="210"/>
      <c r="O29" s="128" t="s">
        <v>488</v>
      </c>
      <c r="P29" s="128" t="s">
        <v>488</v>
      </c>
      <c r="Q29" s="128">
        <v>509</v>
      </c>
      <c r="R29" s="128">
        <v>65</v>
      </c>
      <c r="S29" s="128" t="s">
        <v>488</v>
      </c>
      <c r="T29" s="128" t="s">
        <v>488</v>
      </c>
      <c r="U29" s="128"/>
      <c r="V29" s="202">
        <f t="shared" si="0"/>
        <v>65</v>
      </c>
      <c r="W29" s="210"/>
      <c r="X29" s="128">
        <v>951</v>
      </c>
      <c r="Y29" s="128">
        <v>2</v>
      </c>
    </row>
    <row r="30" spans="1:25" s="16" customFormat="1" x14ac:dyDescent="0.25">
      <c r="A30" s="130">
        <v>540017</v>
      </c>
      <c r="B30" s="130" t="s">
        <v>126</v>
      </c>
      <c r="C30" s="130" t="s">
        <v>13</v>
      </c>
      <c r="D30" s="130" t="s">
        <v>115</v>
      </c>
      <c r="E30" s="130">
        <v>2</v>
      </c>
      <c r="F30" s="207"/>
      <c r="G30" s="130">
        <v>7</v>
      </c>
      <c r="H30" s="130">
        <v>24</v>
      </c>
      <c r="I30" s="130">
        <v>0</v>
      </c>
      <c r="J30" s="130">
        <v>0</v>
      </c>
      <c r="K30" s="130">
        <v>0</v>
      </c>
      <c r="L30" s="130">
        <v>24</v>
      </c>
      <c r="M30" s="130">
        <v>31</v>
      </c>
      <c r="N30" s="211"/>
      <c r="O30" s="130" t="s">
        <v>488</v>
      </c>
      <c r="P30" s="130" t="s">
        <v>488</v>
      </c>
      <c r="Q30" s="130">
        <v>7</v>
      </c>
      <c r="R30" s="130">
        <v>0</v>
      </c>
      <c r="S30" s="130" t="s">
        <v>488</v>
      </c>
      <c r="T30" s="130" t="s">
        <v>488</v>
      </c>
      <c r="U30" s="130"/>
      <c r="V30" s="202">
        <f t="shared" si="0"/>
        <v>0</v>
      </c>
      <c r="W30" s="211"/>
      <c r="X30" s="130">
        <v>75</v>
      </c>
      <c r="Y30" s="130">
        <v>0</v>
      </c>
    </row>
    <row r="31" spans="1:25" s="16" customFormat="1" x14ac:dyDescent="0.25">
      <c r="A31" s="130">
        <v>540018</v>
      </c>
      <c r="B31" s="130" t="s">
        <v>127</v>
      </c>
      <c r="C31" s="130" t="s">
        <v>13</v>
      </c>
      <c r="D31" s="130" t="s">
        <v>115</v>
      </c>
      <c r="E31" s="130">
        <v>2</v>
      </c>
      <c r="F31" s="207"/>
      <c r="G31" s="130">
        <v>3</v>
      </c>
      <c r="H31" s="130">
        <v>407</v>
      </c>
      <c r="I31" s="130">
        <v>48</v>
      </c>
      <c r="J31" s="130">
        <v>0</v>
      </c>
      <c r="K31" s="130">
        <v>0</v>
      </c>
      <c r="L31" s="130">
        <v>455</v>
      </c>
      <c r="M31" s="130">
        <v>458</v>
      </c>
      <c r="N31" s="211"/>
      <c r="O31" s="130" t="s">
        <v>488</v>
      </c>
      <c r="P31" s="130" t="s">
        <v>488</v>
      </c>
      <c r="Q31" s="130">
        <v>3</v>
      </c>
      <c r="R31" s="130">
        <v>1</v>
      </c>
      <c r="S31" s="130" t="s">
        <v>488</v>
      </c>
      <c r="T31" s="130" t="s">
        <v>488</v>
      </c>
      <c r="U31" s="130"/>
      <c r="V31" s="202">
        <f t="shared" si="0"/>
        <v>1</v>
      </c>
      <c r="W31" s="211"/>
      <c r="X31" s="130">
        <v>461</v>
      </c>
      <c r="Y31" s="130">
        <v>3674</v>
      </c>
    </row>
    <row r="32" spans="1:25" s="16" customFormat="1" x14ac:dyDescent="0.25">
      <c r="A32" s="130">
        <v>540019</v>
      </c>
      <c r="B32" s="130" t="s">
        <v>128</v>
      </c>
      <c r="C32" s="130" t="s">
        <v>13</v>
      </c>
      <c r="D32" s="130" t="s">
        <v>115</v>
      </c>
      <c r="E32" s="130">
        <v>2</v>
      </c>
      <c r="F32" s="207"/>
      <c r="G32" s="130">
        <v>0</v>
      </c>
      <c r="H32" s="130">
        <v>377</v>
      </c>
      <c r="I32" s="130">
        <v>40</v>
      </c>
      <c r="J32" s="130">
        <v>0</v>
      </c>
      <c r="K32" s="130">
        <v>0</v>
      </c>
      <c r="L32" s="130">
        <v>417</v>
      </c>
      <c r="M32" s="130">
        <v>417</v>
      </c>
      <c r="N32" s="211"/>
      <c r="O32" s="130" t="s">
        <v>488</v>
      </c>
      <c r="P32" s="130" t="s">
        <v>488</v>
      </c>
      <c r="Q32" s="130">
        <v>0</v>
      </c>
      <c r="R32" s="130">
        <v>0</v>
      </c>
      <c r="S32" s="130" t="s">
        <v>488</v>
      </c>
      <c r="T32" s="130" t="s">
        <v>488</v>
      </c>
      <c r="U32" s="130"/>
      <c r="V32" s="202">
        <f t="shared" si="0"/>
        <v>0</v>
      </c>
      <c r="W32" s="211"/>
      <c r="X32" s="130">
        <v>62</v>
      </c>
      <c r="Y32" s="130">
        <v>0</v>
      </c>
    </row>
    <row r="33" spans="1:25" s="16" customFormat="1" x14ac:dyDescent="0.25">
      <c r="A33" s="130"/>
      <c r="B33" s="130"/>
      <c r="C33" s="130" t="s">
        <v>13</v>
      </c>
      <c r="D33" s="130"/>
      <c r="E33" s="130"/>
      <c r="F33" s="207"/>
      <c r="G33" s="130">
        <v>591</v>
      </c>
      <c r="H33" s="130">
        <v>1613</v>
      </c>
      <c r="I33" s="130">
        <v>169</v>
      </c>
      <c r="J33" s="130">
        <v>0</v>
      </c>
      <c r="K33" s="130">
        <v>0</v>
      </c>
      <c r="L33" s="130">
        <v>1782</v>
      </c>
      <c r="M33" s="130">
        <v>2373</v>
      </c>
      <c r="N33" s="211"/>
      <c r="O33" s="130" t="s">
        <v>488</v>
      </c>
      <c r="P33" s="130" t="s">
        <v>488</v>
      </c>
      <c r="Q33" s="130">
        <v>519</v>
      </c>
      <c r="R33" s="130">
        <v>66</v>
      </c>
      <c r="S33" s="130" t="s">
        <v>488</v>
      </c>
      <c r="T33" s="130" t="s">
        <v>488</v>
      </c>
      <c r="U33" s="130"/>
      <c r="V33" s="202">
        <f t="shared" si="0"/>
        <v>66</v>
      </c>
      <c r="W33" s="211"/>
      <c r="X33" s="130">
        <v>1549</v>
      </c>
      <c r="Y33" s="130">
        <v>3676</v>
      </c>
    </row>
    <row r="34" spans="1:25" s="16" customFormat="1" x14ac:dyDescent="0.25">
      <c r="A34" s="128">
        <v>540020</v>
      </c>
      <c r="B34" s="128" t="s">
        <v>14</v>
      </c>
      <c r="C34" s="128" t="s">
        <v>15</v>
      </c>
      <c r="D34" s="128" t="s">
        <v>5</v>
      </c>
      <c r="E34" s="128">
        <v>5</v>
      </c>
      <c r="F34" s="206"/>
      <c r="G34" s="128">
        <v>137</v>
      </c>
      <c r="H34" s="128">
        <v>108</v>
      </c>
      <c r="I34" s="128">
        <v>0</v>
      </c>
      <c r="J34" s="128">
        <v>0</v>
      </c>
      <c r="K34" s="128">
        <v>0</v>
      </c>
      <c r="L34" s="128">
        <v>108</v>
      </c>
      <c r="M34" s="128">
        <v>245</v>
      </c>
      <c r="N34" s="210"/>
      <c r="O34" s="128" t="s">
        <v>488</v>
      </c>
      <c r="P34" s="128" t="s">
        <v>488</v>
      </c>
      <c r="Q34" s="128" t="s">
        <v>488</v>
      </c>
      <c r="R34" s="128" t="s">
        <v>488</v>
      </c>
      <c r="S34" s="128" t="s">
        <v>488</v>
      </c>
      <c r="T34" s="128" t="s">
        <v>488</v>
      </c>
      <c r="U34" s="128"/>
      <c r="V34" s="202">
        <f t="shared" si="0"/>
        <v>0</v>
      </c>
      <c r="W34" s="210"/>
      <c r="X34" s="128">
        <v>0</v>
      </c>
      <c r="Y34" s="128">
        <v>0</v>
      </c>
    </row>
    <row r="35" spans="1:25" s="16" customFormat="1" x14ac:dyDescent="0.25">
      <c r="A35" s="130">
        <v>540021</v>
      </c>
      <c r="B35" s="130" t="s">
        <v>129</v>
      </c>
      <c r="C35" s="130" t="s">
        <v>15</v>
      </c>
      <c r="D35" s="130" t="s">
        <v>115</v>
      </c>
      <c r="E35" s="130">
        <v>5</v>
      </c>
      <c r="F35" s="207"/>
      <c r="G35" s="130">
        <v>0</v>
      </c>
      <c r="H35" s="130">
        <v>127</v>
      </c>
      <c r="I35" s="130">
        <v>0</v>
      </c>
      <c r="J35" s="130">
        <v>0</v>
      </c>
      <c r="K35" s="130">
        <v>0</v>
      </c>
      <c r="L35" s="130">
        <v>127</v>
      </c>
      <c r="M35" s="130">
        <v>127</v>
      </c>
      <c r="N35" s="211"/>
      <c r="O35" s="130" t="s">
        <v>488</v>
      </c>
      <c r="P35" s="130" t="s">
        <v>488</v>
      </c>
      <c r="Q35" s="130" t="s">
        <v>488</v>
      </c>
      <c r="R35" s="130" t="s">
        <v>488</v>
      </c>
      <c r="S35" s="130" t="s">
        <v>488</v>
      </c>
      <c r="T35" s="130" t="s">
        <v>488</v>
      </c>
      <c r="U35" s="130"/>
      <c r="V35" s="202">
        <f t="shared" si="0"/>
        <v>0</v>
      </c>
      <c r="W35" s="211"/>
      <c r="X35" s="130">
        <v>0</v>
      </c>
      <c r="Y35" s="130">
        <v>0</v>
      </c>
    </row>
    <row r="36" spans="1:25" s="16" customFormat="1" x14ac:dyDescent="0.25">
      <c r="A36" s="130"/>
      <c r="B36" s="130"/>
      <c r="C36" s="130" t="s">
        <v>15</v>
      </c>
      <c r="D36" s="130"/>
      <c r="E36" s="130"/>
      <c r="F36" s="207"/>
      <c r="G36" s="130">
        <v>137</v>
      </c>
      <c r="H36" s="130">
        <v>235</v>
      </c>
      <c r="I36" s="130">
        <v>0</v>
      </c>
      <c r="J36" s="130">
        <v>0</v>
      </c>
      <c r="K36" s="130">
        <v>0</v>
      </c>
      <c r="L36" s="130">
        <v>235</v>
      </c>
      <c r="M36" s="130">
        <v>372</v>
      </c>
      <c r="N36" s="211"/>
      <c r="O36" s="130" t="s">
        <v>488</v>
      </c>
      <c r="P36" s="130" t="s">
        <v>488</v>
      </c>
      <c r="Q36" s="130" t="s">
        <v>488</v>
      </c>
      <c r="R36" s="130" t="s">
        <v>488</v>
      </c>
      <c r="S36" s="130" t="s">
        <v>488</v>
      </c>
      <c r="T36" s="130" t="s">
        <v>488</v>
      </c>
      <c r="U36" s="130"/>
      <c r="V36" s="202">
        <f t="shared" si="0"/>
        <v>0</v>
      </c>
      <c r="W36" s="211"/>
      <c r="X36" s="130">
        <v>0</v>
      </c>
      <c r="Y36" s="130">
        <v>0</v>
      </c>
    </row>
    <row r="37" spans="1:25" s="16" customFormat="1" x14ac:dyDescent="0.25">
      <c r="A37" s="128">
        <v>540022</v>
      </c>
      <c r="B37" s="128" t="s">
        <v>16</v>
      </c>
      <c r="C37" s="128" t="s">
        <v>17</v>
      </c>
      <c r="D37" s="128" t="s">
        <v>5</v>
      </c>
      <c r="E37" s="128">
        <v>3</v>
      </c>
      <c r="F37" s="206"/>
      <c r="G37" s="128">
        <v>751</v>
      </c>
      <c r="H37" s="128">
        <v>936</v>
      </c>
      <c r="I37" s="128">
        <v>7</v>
      </c>
      <c r="J37" s="128">
        <v>0</v>
      </c>
      <c r="K37" s="128">
        <v>0</v>
      </c>
      <c r="L37" s="128">
        <v>943</v>
      </c>
      <c r="M37" s="128">
        <v>1694</v>
      </c>
      <c r="N37" s="210"/>
      <c r="O37" s="128" t="s">
        <v>488</v>
      </c>
      <c r="P37" s="128" t="s">
        <v>488</v>
      </c>
      <c r="Q37" s="128" t="s">
        <v>488</v>
      </c>
      <c r="R37" s="128" t="s">
        <v>488</v>
      </c>
      <c r="S37" s="128" t="s">
        <v>488</v>
      </c>
      <c r="T37" s="128" t="s">
        <v>488</v>
      </c>
      <c r="U37" s="128"/>
      <c r="V37" s="202">
        <f t="shared" si="0"/>
        <v>0</v>
      </c>
      <c r="W37" s="210"/>
      <c r="X37" s="128">
        <v>19</v>
      </c>
      <c r="Y37" s="128">
        <v>0</v>
      </c>
    </row>
    <row r="38" spans="1:25" s="16" customFormat="1" x14ac:dyDescent="0.25">
      <c r="A38" s="130">
        <v>540023</v>
      </c>
      <c r="B38" s="130" t="s">
        <v>130</v>
      </c>
      <c r="C38" s="130" t="s">
        <v>17</v>
      </c>
      <c r="D38" s="130" t="s">
        <v>115</v>
      </c>
      <c r="E38" s="130">
        <v>3</v>
      </c>
      <c r="F38" s="207"/>
      <c r="G38" s="130">
        <v>0</v>
      </c>
      <c r="H38" s="130">
        <v>51</v>
      </c>
      <c r="I38" s="130">
        <v>0</v>
      </c>
      <c r="J38" s="130">
        <v>0</v>
      </c>
      <c r="K38" s="130">
        <v>0</v>
      </c>
      <c r="L38" s="130">
        <v>51</v>
      </c>
      <c r="M38" s="130">
        <v>51</v>
      </c>
      <c r="N38" s="211"/>
      <c r="O38" s="130" t="s">
        <v>488</v>
      </c>
      <c r="P38" s="130" t="s">
        <v>488</v>
      </c>
      <c r="Q38" s="130" t="s">
        <v>488</v>
      </c>
      <c r="R38" s="130" t="s">
        <v>488</v>
      </c>
      <c r="S38" s="130" t="s">
        <v>488</v>
      </c>
      <c r="T38" s="130" t="s">
        <v>488</v>
      </c>
      <c r="U38" s="130"/>
      <c r="V38" s="202">
        <f t="shared" si="0"/>
        <v>0</v>
      </c>
      <c r="W38" s="211"/>
      <c r="X38" s="130">
        <v>0</v>
      </c>
      <c r="Y38" s="130">
        <v>0</v>
      </c>
    </row>
    <row r="39" spans="1:25" s="16" customFormat="1" x14ac:dyDescent="0.25">
      <c r="A39" s="130"/>
      <c r="B39" s="130"/>
      <c r="C39" s="130" t="s">
        <v>17</v>
      </c>
      <c r="D39" s="130"/>
      <c r="E39" s="130"/>
      <c r="F39" s="207"/>
      <c r="G39" s="130">
        <v>751</v>
      </c>
      <c r="H39" s="130">
        <v>987</v>
      </c>
      <c r="I39" s="130">
        <v>7</v>
      </c>
      <c r="J39" s="130">
        <v>0</v>
      </c>
      <c r="K39" s="130">
        <v>0</v>
      </c>
      <c r="L39" s="130">
        <v>994</v>
      </c>
      <c r="M39" s="130">
        <v>1745</v>
      </c>
      <c r="N39" s="211"/>
      <c r="O39" s="130" t="s">
        <v>488</v>
      </c>
      <c r="P39" s="130" t="s">
        <v>488</v>
      </c>
      <c r="Q39" s="130" t="s">
        <v>488</v>
      </c>
      <c r="R39" s="130" t="s">
        <v>488</v>
      </c>
      <c r="S39" s="130" t="s">
        <v>488</v>
      </c>
      <c r="T39" s="130" t="s">
        <v>488</v>
      </c>
      <c r="U39" s="130"/>
      <c r="V39" s="202">
        <f t="shared" si="0"/>
        <v>0</v>
      </c>
      <c r="W39" s="211"/>
      <c r="X39" s="130">
        <v>19</v>
      </c>
      <c r="Y39" s="130">
        <v>0</v>
      </c>
    </row>
    <row r="40" spans="1:25" s="16" customFormat="1" x14ac:dyDescent="0.25">
      <c r="A40" s="128">
        <v>540024</v>
      </c>
      <c r="B40" s="128" t="s">
        <v>18</v>
      </c>
      <c r="C40" s="128" t="s">
        <v>19</v>
      </c>
      <c r="D40" s="128" t="s">
        <v>5</v>
      </c>
      <c r="E40" s="128">
        <v>6</v>
      </c>
      <c r="F40" s="206"/>
      <c r="G40" s="128">
        <v>1043</v>
      </c>
      <c r="H40" s="128">
        <v>310</v>
      </c>
      <c r="I40" s="128">
        <v>0</v>
      </c>
      <c r="J40" s="128">
        <v>0</v>
      </c>
      <c r="K40" s="128">
        <v>0</v>
      </c>
      <c r="L40" s="128">
        <v>310</v>
      </c>
      <c r="M40" s="128">
        <v>1353</v>
      </c>
      <c r="N40" s="210"/>
      <c r="O40" s="128" t="s">
        <v>488</v>
      </c>
      <c r="P40" s="128" t="s">
        <v>488</v>
      </c>
      <c r="Q40" s="128">
        <v>725</v>
      </c>
      <c r="R40" s="128">
        <v>38</v>
      </c>
      <c r="S40" s="128" t="s">
        <v>488</v>
      </c>
      <c r="T40" s="128" t="s">
        <v>488</v>
      </c>
      <c r="U40" s="128"/>
      <c r="V40" s="202">
        <f t="shared" si="0"/>
        <v>38</v>
      </c>
      <c r="W40" s="210"/>
      <c r="X40" s="128">
        <v>0</v>
      </c>
      <c r="Y40" s="128">
        <v>0</v>
      </c>
    </row>
    <row r="41" spans="1:25" s="16" customFormat="1" x14ac:dyDescent="0.25">
      <c r="A41" s="130">
        <v>540025</v>
      </c>
      <c r="B41" s="130" t="s">
        <v>131</v>
      </c>
      <c r="C41" s="130" t="s">
        <v>19</v>
      </c>
      <c r="D41" s="130" t="s">
        <v>115</v>
      </c>
      <c r="E41" s="130">
        <v>6</v>
      </c>
      <c r="F41" s="207"/>
      <c r="G41" s="130">
        <v>0</v>
      </c>
      <c r="H41" s="130">
        <v>15</v>
      </c>
      <c r="I41" s="130">
        <v>0</v>
      </c>
      <c r="J41" s="130">
        <v>0</v>
      </c>
      <c r="K41" s="130">
        <v>0</v>
      </c>
      <c r="L41" s="130">
        <v>15</v>
      </c>
      <c r="M41" s="130">
        <v>15</v>
      </c>
      <c r="N41" s="211"/>
      <c r="O41" s="130" t="s">
        <v>488</v>
      </c>
      <c r="P41" s="130" t="s">
        <v>488</v>
      </c>
      <c r="Q41" s="130">
        <v>0</v>
      </c>
      <c r="R41" s="130">
        <v>0</v>
      </c>
      <c r="S41" s="130" t="s">
        <v>488</v>
      </c>
      <c r="T41" s="130" t="s">
        <v>488</v>
      </c>
      <c r="U41" s="130"/>
      <c r="V41" s="202">
        <f t="shared" si="0"/>
        <v>0</v>
      </c>
      <c r="W41" s="211"/>
      <c r="X41" s="130">
        <v>0</v>
      </c>
      <c r="Y41" s="130">
        <v>0</v>
      </c>
    </row>
    <row r="42" spans="1:25" s="16" customFormat="1" x14ac:dyDescent="0.25">
      <c r="A42" s="130"/>
      <c r="B42" s="130"/>
      <c r="C42" s="130" t="s">
        <v>19</v>
      </c>
      <c r="D42" s="130"/>
      <c r="E42" s="130"/>
      <c r="F42" s="207"/>
      <c r="G42" s="130">
        <v>1043</v>
      </c>
      <c r="H42" s="130">
        <v>325</v>
      </c>
      <c r="I42" s="130">
        <v>0</v>
      </c>
      <c r="J42" s="130">
        <v>0</v>
      </c>
      <c r="K42" s="130">
        <v>0</v>
      </c>
      <c r="L42" s="130">
        <v>325</v>
      </c>
      <c r="M42" s="130">
        <v>1368</v>
      </c>
      <c r="N42" s="211"/>
      <c r="O42" s="130" t="s">
        <v>488</v>
      </c>
      <c r="P42" s="130" t="s">
        <v>488</v>
      </c>
      <c r="Q42" s="130">
        <v>725</v>
      </c>
      <c r="R42" s="130">
        <v>38</v>
      </c>
      <c r="S42" s="130" t="s">
        <v>488</v>
      </c>
      <c r="T42" s="130" t="s">
        <v>488</v>
      </c>
      <c r="U42" s="130"/>
      <c r="V42" s="202">
        <f t="shared" si="0"/>
        <v>38</v>
      </c>
      <c r="W42" s="211"/>
      <c r="X42" s="130">
        <v>0</v>
      </c>
      <c r="Y42" s="130">
        <v>0</v>
      </c>
    </row>
    <row r="43" spans="1:25" s="16" customFormat="1" x14ac:dyDescent="0.25">
      <c r="A43" s="128">
        <v>540035</v>
      </c>
      <c r="B43" s="128" t="s">
        <v>22</v>
      </c>
      <c r="C43" s="128" t="s">
        <v>23</v>
      </c>
      <c r="D43" s="128" t="s">
        <v>5</v>
      </c>
      <c r="E43" s="128">
        <v>7</v>
      </c>
      <c r="F43" s="206"/>
      <c r="G43" s="128">
        <v>382</v>
      </c>
      <c r="H43" s="128">
        <v>267</v>
      </c>
      <c r="I43" s="128">
        <v>0</v>
      </c>
      <c r="J43" s="128">
        <v>0</v>
      </c>
      <c r="K43" s="128">
        <v>0</v>
      </c>
      <c r="L43" s="128">
        <v>267</v>
      </c>
      <c r="M43" s="128">
        <v>649</v>
      </c>
      <c r="N43" s="210"/>
      <c r="O43" s="128" t="s">
        <v>488</v>
      </c>
      <c r="P43" s="128" t="s">
        <v>488</v>
      </c>
      <c r="Q43" s="128" t="s">
        <v>488</v>
      </c>
      <c r="R43" s="128" t="s">
        <v>488</v>
      </c>
      <c r="S43" s="128" t="s">
        <v>488</v>
      </c>
      <c r="T43" s="128" t="s">
        <v>488</v>
      </c>
      <c r="U43" s="128"/>
      <c r="V43" s="202">
        <f t="shared" si="0"/>
        <v>0</v>
      </c>
      <c r="W43" s="210"/>
      <c r="X43" s="128">
        <v>432</v>
      </c>
      <c r="Y43" s="128">
        <v>0</v>
      </c>
    </row>
    <row r="44" spans="1:25" s="16" customFormat="1" x14ac:dyDescent="0.25">
      <c r="A44" s="130">
        <v>540036</v>
      </c>
      <c r="B44" s="130" t="s">
        <v>139</v>
      </c>
      <c r="C44" s="130" t="s">
        <v>23</v>
      </c>
      <c r="D44" s="130" t="s">
        <v>115</v>
      </c>
      <c r="E44" s="130">
        <v>7</v>
      </c>
      <c r="F44" s="207"/>
      <c r="G44" s="130">
        <v>0</v>
      </c>
      <c r="H44" s="130">
        <v>134</v>
      </c>
      <c r="I44" s="130">
        <v>0</v>
      </c>
      <c r="J44" s="130">
        <v>0</v>
      </c>
      <c r="K44" s="130">
        <v>0</v>
      </c>
      <c r="L44" s="130">
        <v>134</v>
      </c>
      <c r="M44" s="130">
        <v>134</v>
      </c>
      <c r="N44" s="211"/>
      <c r="O44" s="130" t="s">
        <v>488</v>
      </c>
      <c r="P44" s="130" t="s">
        <v>488</v>
      </c>
      <c r="Q44" s="130" t="s">
        <v>488</v>
      </c>
      <c r="R44" s="130" t="s">
        <v>488</v>
      </c>
      <c r="S44" s="130" t="s">
        <v>488</v>
      </c>
      <c r="T44" s="130" t="s">
        <v>488</v>
      </c>
      <c r="U44" s="130"/>
      <c r="V44" s="202">
        <f t="shared" si="0"/>
        <v>0</v>
      </c>
      <c r="W44" s="211"/>
      <c r="X44" s="130">
        <v>111</v>
      </c>
      <c r="Y44" s="130">
        <v>0</v>
      </c>
    </row>
    <row r="45" spans="1:25" s="16" customFormat="1" x14ac:dyDescent="0.25">
      <c r="A45" s="130">
        <v>540037</v>
      </c>
      <c r="B45" s="130" t="s">
        <v>140</v>
      </c>
      <c r="C45" s="130" t="s">
        <v>23</v>
      </c>
      <c r="D45" s="130" t="s">
        <v>115</v>
      </c>
      <c r="E45" s="130">
        <v>7</v>
      </c>
      <c r="F45" s="207"/>
      <c r="G45" s="130">
        <v>0</v>
      </c>
      <c r="H45" s="130">
        <v>22</v>
      </c>
      <c r="I45" s="130">
        <v>0</v>
      </c>
      <c r="J45" s="130">
        <v>0</v>
      </c>
      <c r="K45" s="130">
        <v>0</v>
      </c>
      <c r="L45" s="130">
        <v>22</v>
      </c>
      <c r="M45" s="130">
        <v>22</v>
      </c>
      <c r="N45" s="211"/>
      <c r="O45" s="130" t="s">
        <v>488</v>
      </c>
      <c r="P45" s="130" t="s">
        <v>488</v>
      </c>
      <c r="Q45" s="130" t="s">
        <v>488</v>
      </c>
      <c r="R45" s="130" t="s">
        <v>488</v>
      </c>
      <c r="S45" s="130" t="s">
        <v>488</v>
      </c>
      <c r="T45" s="130" t="s">
        <v>488</v>
      </c>
      <c r="U45" s="130"/>
      <c r="V45" s="202">
        <f t="shared" si="0"/>
        <v>0</v>
      </c>
      <c r="W45" s="211"/>
      <c r="X45" s="130">
        <v>44</v>
      </c>
      <c r="Y45" s="130">
        <v>0</v>
      </c>
    </row>
    <row r="46" spans="1:25" s="16" customFormat="1" x14ac:dyDescent="0.25">
      <c r="A46" s="130"/>
      <c r="B46" s="130"/>
      <c r="C46" s="130" t="s">
        <v>23</v>
      </c>
      <c r="D46" s="130"/>
      <c r="E46" s="130"/>
      <c r="F46" s="207"/>
      <c r="G46" s="130">
        <v>382</v>
      </c>
      <c r="H46" s="130">
        <v>423</v>
      </c>
      <c r="I46" s="130">
        <v>0</v>
      </c>
      <c r="J46" s="130">
        <v>0</v>
      </c>
      <c r="K46" s="130">
        <v>0</v>
      </c>
      <c r="L46" s="130">
        <v>423</v>
      </c>
      <c r="M46" s="130">
        <v>805</v>
      </c>
      <c r="N46" s="211"/>
      <c r="O46" s="130" t="s">
        <v>488</v>
      </c>
      <c r="P46" s="130" t="s">
        <v>488</v>
      </c>
      <c r="Q46" s="130" t="s">
        <v>488</v>
      </c>
      <c r="R46" s="130" t="s">
        <v>488</v>
      </c>
      <c r="S46" s="130" t="s">
        <v>488</v>
      </c>
      <c r="T46" s="130" t="s">
        <v>488</v>
      </c>
      <c r="U46" s="130"/>
      <c r="V46" s="202">
        <f t="shared" si="0"/>
        <v>0</v>
      </c>
      <c r="W46" s="211"/>
      <c r="X46" s="130">
        <v>587</v>
      </c>
      <c r="Y46" s="130">
        <v>0</v>
      </c>
    </row>
    <row r="47" spans="1:25" s="16" customFormat="1" x14ac:dyDescent="0.25">
      <c r="A47" s="128">
        <v>540038</v>
      </c>
      <c r="B47" s="128" t="s">
        <v>24</v>
      </c>
      <c r="C47" s="128" t="s">
        <v>25</v>
      </c>
      <c r="D47" s="128" t="s">
        <v>5</v>
      </c>
      <c r="E47" s="128">
        <v>8</v>
      </c>
      <c r="F47" s="206"/>
      <c r="G47" s="128">
        <v>258</v>
      </c>
      <c r="H47" s="128">
        <v>22</v>
      </c>
      <c r="I47" s="128">
        <v>0</v>
      </c>
      <c r="J47" s="128">
        <v>0</v>
      </c>
      <c r="K47" s="128">
        <v>0</v>
      </c>
      <c r="L47" s="128">
        <v>22</v>
      </c>
      <c r="M47" s="128">
        <v>280</v>
      </c>
      <c r="N47" s="210"/>
      <c r="O47" s="128" t="s">
        <v>488</v>
      </c>
      <c r="P47" s="128" t="s">
        <v>488</v>
      </c>
      <c r="Q47" s="128" t="s">
        <v>488</v>
      </c>
      <c r="R47" s="128" t="s">
        <v>488</v>
      </c>
      <c r="S47" s="128" t="s">
        <v>488</v>
      </c>
      <c r="T47" s="128" t="s">
        <v>488</v>
      </c>
      <c r="U47" s="128"/>
      <c r="V47" s="202">
        <f t="shared" si="0"/>
        <v>0</v>
      </c>
      <c r="W47" s="210"/>
      <c r="X47" s="128">
        <v>0</v>
      </c>
      <c r="Y47" s="128">
        <v>38</v>
      </c>
    </row>
    <row r="48" spans="1:25" s="16" customFormat="1" x14ac:dyDescent="0.25">
      <c r="A48" s="130">
        <v>540039</v>
      </c>
      <c r="B48" s="130" t="s">
        <v>141</v>
      </c>
      <c r="C48" s="130" t="s">
        <v>25</v>
      </c>
      <c r="D48" s="130" t="s">
        <v>115</v>
      </c>
      <c r="E48" s="130">
        <v>8</v>
      </c>
      <c r="F48" s="207"/>
      <c r="G48" s="130">
        <v>1</v>
      </c>
      <c r="H48" s="130">
        <v>2</v>
      </c>
      <c r="I48" s="130">
        <v>0</v>
      </c>
      <c r="J48" s="130">
        <v>0</v>
      </c>
      <c r="K48" s="130">
        <v>2</v>
      </c>
      <c r="L48" s="130">
        <v>4</v>
      </c>
      <c r="M48" s="130">
        <v>5</v>
      </c>
      <c r="N48" s="211"/>
      <c r="O48" s="130" t="s">
        <v>488</v>
      </c>
      <c r="P48" s="130" t="s">
        <v>488</v>
      </c>
      <c r="Q48" s="130" t="s">
        <v>488</v>
      </c>
      <c r="R48" s="130" t="s">
        <v>488</v>
      </c>
      <c r="S48" s="130" t="s">
        <v>488</v>
      </c>
      <c r="T48" s="130" t="s">
        <v>488</v>
      </c>
      <c r="U48" s="130"/>
      <c r="V48" s="202">
        <f t="shared" si="0"/>
        <v>0</v>
      </c>
      <c r="W48" s="211"/>
      <c r="X48" s="130">
        <v>0</v>
      </c>
      <c r="Y48" s="130">
        <v>280</v>
      </c>
    </row>
    <row r="49" spans="1:25" s="16" customFormat="1" x14ac:dyDescent="0.25">
      <c r="A49" s="130">
        <v>540240</v>
      </c>
      <c r="B49" s="130" t="s">
        <v>287</v>
      </c>
      <c r="C49" s="130" t="s">
        <v>25</v>
      </c>
      <c r="D49" s="130" t="s">
        <v>115</v>
      </c>
      <c r="E49" s="130">
        <v>8</v>
      </c>
      <c r="F49" s="207"/>
      <c r="G49" s="130">
        <v>0</v>
      </c>
      <c r="H49" s="130">
        <v>21</v>
      </c>
      <c r="I49" s="130">
        <v>0</v>
      </c>
      <c r="J49" s="130">
        <v>0</v>
      </c>
      <c r="K49" s="130">
        <v>0</v>
      </c>
      <c r="L49" s="130">
        <v>21</v>
      </c>
      <c r="M49" s="130">
        <v>21</v>
      </c>
      <c r="N49" s="211"/>
      <c r="O49" s="130" t="s">
        <v>488</v>
      </c>
      <c r="P49" s="130" t="s">
        <v>488</v>
      </c>
      <c r="Q49" s="130" t="s">
        <v>488</v>
      </c>
      <c r="R49" s="130" t="s">
        <v>488</v>
      </c>
      <c r="S49" s="130" t="s">
        <v>488</v>
      </c>
      <c r="T49" s="130" t="s">
        <v>488</v>
      </c>
      <c r="U49" s="130"/>
      <c r="V49" s="202">
        <f t="shared" si="0"/>
        <v>0</v>
      </c>
      <c r="W49" s="211"/>
      <c r="X49" s="130">
        <v>21</v>
      </c>
      <c r="Y49" s="130">
        <v>0</v>
      </c>
    </row>
    <row r="50" spans="1:25" s="16" customFormat="1" x14ac:dyDescent="0.25">
      <c r="A50" s="130"/>
      <c r="B50" s="130"/>
      <c r="C50" s="130" t="s">
        <v>25</v>
      </c>
      <c r="D50" s="130"/>
      <c r="E50" s="130"/>
      <c r="F50" s="207"/>
      <c r="G50" s="130">
        <v>259</v>
      </c>
      <c r="H50" s="130">
        <v>45</v>
      </c>
      <c r="I50" s="130">
        <v>0</v>
      </c>
      <c r="J50" s="130">
        <v>0</v>
      </c>
      <c r="K50" s="130">
        <v>2</v>
      </c>
      <c r="L50" s="130">
        <v>47</v>
      </c>
      <c r="M50" s="130">
        <v>306</v>
      </c>
      <c r="N50" s="211"/>
      <c r="O50" s="130" t="s">
        <v>488</v>
      </c>
      <c r="P50" s="130" t="s">
        <v>488</v>
      </c>
      <c r="Q50" s="130" t="s">
        <v>488</v>
      </c>
      <c r="R50" s="130" t="s">
        <v>488</v>
      </c>
      <c r="S50" s="130" t="s">
        <v>488</v>
      </c>
      <c r="T50" s="130" t="s">
        <v>488</v>
      </c>
      <c r="U50" s="130"/>
      <c r="V50" s="202">
        <f t="shared" si="0"/>
        <v>0</v>
      </c>
      <c r="W50" s="211"/>
      <c r="X50" s="130">
        <v>21</v>
      </c>
      <c r="Y50" s="130">
        <v>318</v>
      </c>
    </row>
    <row r="51" spans="1:25" s="16" customFormat="1" x14ac:dyDescent="0.25">
      <c r="A51" s="128">
        <v>540040</v>
      </c>
      <c r="B51" s="128" t="s">
        <v>26</v>
      </c>
      <c r="C51" s="128" t="s">
        <v>27</v>
      </c>
      <c r="D51" s="128" t="s">
        <v>5</v>
      </c>
      <c r="E51" s="128">
        <v>4</v>
      </c>
      <c r="F51" s="206"/>
      <c r="G51" s="128">
        <v>715</v>
      </c>
      <c r="H51" s="128">
        <v>207</v>
      </c>
      <c r="I51" s="128">
        <v>57</v>
      </c>
      <c r="J51" s="128">
        <v>0</v>
      </c>
      <c r="K51" s="128">
        <v>0</v>
      </c>
      <c r="L51" s="128">
        <v>264</v>
      </c>
      <c r="M51" s="128">
        <v>979</v>
      </c>
      <c r="N51" s="210"/>
      <c r="O51" s="128" t="s">
        <v>488</v>
      </c>
      <c r="P51" s="128" t="s">
        <v>488</v>
      </c>
      <c r="Q51" s="128">
        <v>24</v>
      </c>
      <c r="R51" s="128">
        <v>9</v>
      </c>
      <c r="S51" s="128" t="s">
        <v>488</v>
      </c>
      <c r="T51" s="128" t="s">
        <v>488</v>
      </c>
      <c r="U51" s="128"/>
      <c r="V51" s="202">
        <f t="shared" si="0"/>
        <v>9</v>
      </c>
      <c r="W51" s="210"/>
      <c r="X51" s="128">
        <v>115</v>
      </c>
      <c r="Y51" s="128">
        <v>0</v>
      </c>
    </row>
    <row r="52" spans="1:25" s="16" customFormat="1" x14ac:dyDescent="0.25">
      <c r="A52" s="130">
        <v>540041</v>
      </c>
      <c r="B52" s="130" t="s">
        <v>142</v>
      </c>
      <c r="C52" s="130" t="s">
        <v>27</v>
      </c>
      <c r="D52" s="130" t="s">
        <v>115</v>
      </c>
      <c r="E52" s="130">
        <v>4</v>
      </c>
      <c r="F52" s="207"/>
      <c r="G52" s="130">
        <v>0</v>
      </c>
      <c r="H52" s="130">
        <v>124</v>
      </c>
      <c r="I52" s="130">
        <v>12</v>
      </c>
      <c r="J52" s="130">
        <v>0</v>
      </c>
      <c r="K52" s="130">
        <v>0</v>
      </c>
      <c r="L52" s="130">
        <v>136</v>
      </c>
      <c r="M52" s="130">
        <v>136</v>
      </c>
      <c r="N52" s="211"/>
      <c r="O52" s="130" t="s">
        <v>488</v>
      </c>
      <c r="P52" s="130" t="s">
        <v>488</v>
      </c>
      <c r="Q52" s="130">
        <v>0</v>
      </c>
      <c r="R52" s="130">
        <v>98</v>
      </c>
      <c r="S52" s="130" t="s">
        <v>488</v>
      </c>
      <c r="T52" s="130" t="s">
        <v>488</v>
      </c>
      <c r="U52" s="130"/>
      <c r="V52" s="202">
        <f t="shared" si="0"/>
        <v>98</v>
      </c>
      <c r="W52" s="211"/>
      <c r="X52" s="130">
        <v>13</v>
      </c>
      <c r="Y52" s="130">
        <v>0</v>
      </c>
    </row>
    <row r="53" spans="1:25" s="16" customFormat="1" x14ac:dyDescent="0.25">
      <c r="A53" s="130">
        <v>540043</v>
      </c>
      <c r="B53" s="130" t="s">
        <v>144</v>
      </c>
      <c r="C53" s="130" t="s">
        <v>27</v>
      </c>
      <c r="D53" s="130" t="s">
        <v>115</v>
      </c>
      <c r="E53" s="130">
        <v>4</v>
      </c>
      <c r="F53" s="207"/>
      <c r="G53" s="130">
        <v>14</v>
      </c>
      <c r="H53" s="130">
        <v>55</v>
      </c>
      <c r="I53" s="130">
        <v>0</v>
      </c>
      <c r="J53" s="130">
        <v>0</v>
      </c>
      <c r="K53" s="130">
        <v>0</v>
      </c>
      <c r="L53" s="130">
        <v>55</v>
      </c>
      <c r="M53" s="130">
        <v>69</v>
      </c>
      <c r="N53" s="211"/>
      <c r="O53" s="130" t="s">
        <v>488</v>
      </c>
      <c r="P53" s="130" t="s">
        <v>488</v>
      </c>
      <c r="Q53" s="130">
        <v>0</v>
      </c>
      <c r="R53" s="130">
        <v>0</v>
      </c>
      <c r="S53" s="130" t="s">
        <v>488</v>
      </c>
      <c r="T53" s="130" t="s">
        <v>488</v>
      </c>
      <c r="U53" s="130"/>
      <c r="V53" s="202">
        <f t="shared" si="0"/>
        <v>0</v>
      </c>
      <c r="W53" s="211"/>
      <c r="X53" s="130">
        <v>0</v>
      </c>
      <c r="Y53" s="130">
        <v>0</v>
      </c>
    </row>
    <row r="54" spans="1:25" s="16" customFormat="1" x14ac:dyDescent="0.25">
      <c r="A54" s="130">
        <v>540044</v>
      </c>
      <c r="B54" s="130" t="s">
        <v>145</v>
      </c>
      <c r="C54" s="130" t="s">
        <v>27</v>
      </c>
      <c r="D54" s="130" t="s">
        <v>115</v>
      </c>
      <c r="E54" s="130">
        <v>4</v>
      </c>
      <c r="F54" s="207"/>
      <c r="G54" s="130">
        <v>22</v>
      </c>
      <c r="H54" s="130">
        <v>0</v>
      </c>
      <c r="I54" s="130">
        <v>0</v>
      </c>
      <c r="J54" s="130">
        <v>0</v>
      </c>
      <c r="K54" s="130">
        <v>0</v>
      </c>
      <c r="L54" s="130">
        <v>0</v>
      </c>
      <c r="M54" s="130">
        <v>22</v>
      </c>
      <c r="N54" s="211"/>
      <c r="O54" s="130" t="s">
        <v>488</v>
      </c>
      <c r="P54" s="130" t="s">
        <v>488</v>
      </c>
      <c r="Q54" s="130">
        <v>0</v>
      </c>
      <c r="R54" s="130">
        <v>2</v>
      </c>
      <c r="S54" s="130" t="s">
        <v>488</v>
      </c>
      <c r="T54" s="130" t="s">
        <v>488</v>
      </c>
      <c r="U54" s="130"/>
      <c r="V54" s="202">
        <f t="shared" si="0"/>
        <v>2</v>
      </c>
      <c r="W54" s="211"/>
      <c r="X54" s="130">
        <v>0</v>
      </c>
      <c r="Y54" s="130">
        <v>0</v>
      </c>
    </row>
    <row r="55" spans="1:25" s="16" customFormat="1" x14ac:dyDescent="0.25">
      <c r="A55" s="130">
        <v>540045</v>
      </c>
      <c r="B55" s="130" t="s">
        <v>146</v>
      </c>
      <c r="C55" s="130" t="s">
        <v>27</v>
      </c>
      <c r="D55" s="130" t="s">
        <v>115</v>
      </c>
      <c r="E55" s="130">
        <v>4</v>
      </c>
      <c r="F55" s="207"/>
      <c r="G55" s="130">
        <v>1</v>
      </c>
      <c r="H55" s="130">
        <v>370</v>
      </c>
      <c r="I55" s="130">
        <v>99</v>
      </c>
      <c r="J55" s="130">
        <v>0</v>
      </c>
      <c r="K55" s="130">
        <v>0</v>
      </c>
      <c r="L55" s="130">
        <v>469</v>
      </c>
      <c r="M55" s="130">
        <v>470</v>
      </c>
      <c r="N55" s="211"/>
      <c r="O55" s="130" t="s">
        <v>488</v>
      </c>
      <c r="P55" s="130" t="s">
        <v>488</v>
      </c>
      <c r="Q55" s="130">
        <v>0</v>
      </c>
      <c r="R55" s="130">
        <v>0</v>
      </c>
      <c r="S55" s="130" t="s">
        <v>488</v>
      </c>
      <c r="T55" s="130" t="s">
        <v>488</v>
      </c>
      <c r="U55" s="130"/>
      <c r="V55" s="202">
        <f t="shared" si="0"/>
        <v>0</v>
      </c>
      <c r="W55" s="211"/>
      <c r="X55" s="130">
        <v>177</v>
      </c>
      <c r="Y55" s="130">
        <v>0</v>
      </c>
    </row>
    <row r="56" spans="1:25" x14ac:dyDescent="0.25">
      <c r="A56" s="130">
        <v>540228</v>
      </c>
      <c r="B56" s="130" t="s">
        <v>278</v>
      </c>
      <c r="C56" s="130" t="s">
        <v>27</v>
      </c>
      <c r="D56" s="130" t="s">
        <v>115</v>
      </c>
      <c r="E56" s="130">
        <v>4</v>
      </c>
      <c r="F56" s="207"/>
      <c r="G56" s="130">
        <v>0</v>
      </c>
      <c r="H56" s="130">
        <v>0</v>
      </c>
      <c r="I56" s="130">
        <v>19</v>
      </c>
      <c r="J56" s="130">
        <v>0</v>
      </c>
      <c r="K56" s="130">
        <v>0</v>
      </c>
      <c r="L56" s="130">
        <v>19</v>
      </c>
      <c r="M56" s="130">
        <v>19</v>
      </c>
      <c r="N56" s="211"/>
      <c r="O56" s="130" t="s">
        <v>488</v>
      </c>
      <c r="P56" s="130" t="s">
        <v>488</v>
      </c>
      <c r="Q56" s="130">
        <v>0</v>
      </c>
      <c r="R56" s="130">
        <v>0</v>
      </c>
      <c r="S56" s="130" t="s">
        <v>488</v>
      </c>
      <c r="T56" s="130" t="s">
        <v>488</v>
      </c>
      <c r="U56" s="130"/>
      <c r="V56" s="202">
        <f t="shared" si="0"/>
        <v>0</v>
      </c>
      <c r="W56" s="211"/>
      <c r="X56" s="130">
        <v>0</v>
      </c>
      <c r="Y56" s="130">
        <v>0</v>
      </c>
    </row>
    <row r="57" spans="1:25" x14ac:dyDescent="0.25">
      <c r="A57" s="130">
        <v>540243</v>
      </c>
      <c r="B57" s="130" t="s">
        <v>290</v>
      </c>
      <c r="C57" s="130" t="s">
        <v>27</v>
      </c>
      <c r="D57" s="130" t="s">
        <v>115</v>
      </c>
      <c r="E57" s="130">
        <v>4</v>
      </c>
      <c r="F57" s="207"/>
      <c r="G57" s="130">
        <v>7</v>
      </c>
      <c r="H57" s="130">
        <v>0</v>
      </c>
      <c r="I57" s="130">
        <v>0</v>
      </c>
      <c r="J57" s="130">
        <v>0</v>
      </c>
      <c r="K57" s="130">
        <v>0</v>
      </c>
      <c r="L57" s="130">
        <v>0</v>
      </c>
      <c r="M57" s="130">
        <v>7</v>
      </c>
      <c r="N57" s="211"/>
      <c r="O57" s="130" t="s">
        <v>488</v>
      </c>
      <c r="P57" s="130" t="s">
        <v>488</v>
      </c>
      <c r="Q57" s="130">
        <v>0</v>
      </c>
      <c r="R57" s="130">
        <v>0</v>
      </c>
      <c r="S57" s="130" t="s">
        <v>488</v>
      </c>
      <c r="T57" s="130" t="s">
        <v>488</v>
      </c>
      <c r="U57" s="130"/>
      <c r="V57" s="202">
        <f t="shared" si="0"/>
        <v>0</v>
      </c>
      <c r="W57" s="211"/>
      <c r="X57" s="130">
        <v>0</v>
      </c>
      <c r="Y57" s="130">
        <v>0</v>
      </c>
    </row>
    <row r="58" spans="1:25" x14ac:dyDescent="0.25">
      <c r="A58" s="130">
        <v>540244</v>
      </c>
      <c r="B58" s="130" t="s">
        <v>291</v>
      </c>
      <c r="C58" s="130" t="s">
        <v>27</v>
      </c>
      <c r="D58" s="130" t="s">
        <v>115</v>
      </c>
      <c r="E58" s="130">
        <v>4</v>
      </c>
      <c r="F58" s="207"/>
      <c r="G58" s="130">
        <v>0</v>
      </c>
      <c r="H58" s="130">
        <v>0</v>
      </c>
      <c r="I58" s="130">
        <v>0</v>
      </c>
      <c r="J58" s="130">
        <v>0</v>
      </c>
      <c r="K58" s="130">
        <v>0</v>
      </c>
      <c r="L58" s="130">
        <v>0</v>
      </c>
      <c r="M58" s="130">
        <v>0</v>
      </c>
      <c r="N58" s="211"/>
      <c r="O58" s="130" t="s">
        <v>488</v>
      </c>
      <c r="P58" s="130" t="s">
        <v>488</v>
      </c>
      <c r="Q58" s="130">
        <v>0</v>
      </c>
      <c r="R58" s="130">
        <v>0</v>
      </c>
      <c r="S58" s="130" t="s">
        <v>488</v>
      </c>
      <c r="T58" s="130" t="s">
        <v>488</v>
      </c>
      <c r="U58" s="130"/>
      <c r="V58" s="202">
        <f t="shared" si="0"/>
        <v>0</v>
      </c>
      <c r="W58" s="211"/>
      <c r="X58" s="130">
        <v>0</v>
      </c>
      <c r="Y58" s="130">
        <v>0</v>
      </c>
    </row>
    <row r="59" spans="1:25" x14ac:dyDescent="0.25">
      <c r="A59" s="130">
        <v>540281</v>
      </c>
      <c r="B59" s="130" t="s">
        <v>322</v>
      </c>
      <c r="C59" s="130" t="s">
        <v>27</v>
      </c>
      <c r="D59" s="130" t="s">
        <v>115</v>
      </c>
      <c r="E59" s="130">
        <v>4</v>
      </c>
      <c r="F59" s="207"/>
      <c r="G59" s="130">
        <v>0</v>
      </c>
      <c r="H59" s="130">
        <v>0</v>
      </c>
      <c r="I59" s="130">
        <v>0</v>
      </c>
      <c r="J59" s="130">
        <v>0</v>
      </c>
      <c r="K59" s="130">
        <v>0</v>
      </c>
      <c r="L59" s="130">
        <v>0</v>
      </c>
      <c r="M59" s="130">
        <v>0</v>
      </c>
      <c r="N59" s="211"/>
      <c r="O59" s="130" t="s">
        <v>488</v>
      </c>
      <c r="P59" s="130" t="s">
        <v>488</v>
      </c>
      <c r="Q59" s="130">
        <v>0</v>
      </c>
      <c r="R59" s="130">
        <v>0</v>
      </c>
      <c r="S59" s="130" t="s">
        <v>488</v>
      </c>
      <c r="T59" s="130" t="s">
        <v>488</v>
      </c>
      <c r="U59" s="130"/>
      <c r="V59" s="202">
        <f t="shared" si="0"/>
        <v>0</v>
      </c>
      <c r="W59" s="211"/>
      <c r="X59" s="130">
        <v>0</v>
      </c>
      <c r="Y59" s="130">
        <v>0</v>
      </c>
    </row>
    <row r="60" spans="1:25" x14ac:dyDescent="0.25">
      <c r="A60" s="130"/>
      <c r="B60" s="130"/>
      <c r="C60" s="130" t="s">
        <v>27</v>
      </c>
      <c r="D60" s="130"/>
      <c r="E60" s="130"/>
      <c r="F60" s="207"/>
      <c r="G60" s="130">
        <v>759</v>
      </c>
      <c r="H60" s="130">
        <v>756</v>
      </c>
      <c r="I60" s="130">
        <v>187</v>
      </c>
      <c r="J60" s="130">
        <v>0</v>
      </c>
      <c r="K60" s="130">
        <v>0</v>
      </c>
      <c r="L60" s="130">
        <v>943</v>
      </c>
      <c r="M60" s="130">
        <v>1702</v>
      </c>
      <c r="N60" s="211"/>
      <c r="O60" s="130" t="s">
        <v>488</v>
      </c>
      <c r="P60" s="130" t="s">
        <v>488</v>
      </c>
      <c r="Q60" s="130">
        <v>24</v>
      </c>
      <c r="R60" s="130">
        <v>109</v>
      </c>
      <c r="S60" s="130" t="s">
        <v>488</v>
      </c>
      <c r="T60" s="130" t="s">
        <v>488</v>
      </c>
      <c r="U60" s="130"/>
      <c r="V60" s="202">
        <f t="shared" si="0"/>
        <v>109</v>
      </c>
      <c r="W60" s="211"/>
      <c r="X60" s="130">
        <v>305</v>
      </c>
      <c r="Y60" s="130">
        <v>0</v>
      </c>
    </row>
    <row r="61" spans="1:25" x14ac:dyDescent="0.25">
      <c r="A61" s="128">
        <v>540047</v>
      </c>
      <c r="B61" s="128" t="s">
        <v>28</v>
      </c>
      <c r="C61" s="128" t="s">
        <v>1331</v>
      </c>
      <c r="D61" s="128" t="s">
        <v>5</v>
      </c>
      <c r="E61" s="128">
        <v>11</v>
      </c>
      <c r="F61" s="206"/>
      <c r="G61" s="128">
        <v>5</v>
      </c>
      <c r="H61" s="128">
        <v>137</v>
      </c>
      <c r="I61" s="128">
        <v>69</v>
      </c>
      <c r="J61" s="128">
        <v>0</v>
      </c>
      <c r="K61" s="128">
        <v>0</v>
      </c>
      <c r="L61" s="128">
        <v>206</v>
      </c>
      <c r="M61" s="128">
        <v>211</v>
      </c>
      <c r="N61" s="210"/>
      <c r="O61" s="128" t="s">
        <v>488</v>
      </c>
      <c r="P61" s="128" t="s">
        <v>488</v>
      </c>
      <c r="Q61" s="128">
        <v>4</v>
      </c>
      <c r="R61" s="128">
        <v>34</v>
      </c>
      <c r="S61" s="128" t="s">
        <v>488</v>
      </c>
      <c r="T61" s="128" t="s">
        <v>488</v>
      </c>
      <c r="U61" s="128"/>
      <c r="V61" s="202">
        <f t="shared" si="0"/>
        <v>34</v>
      </c>
      <c r="W61" s="210"/>
      <c r="X61" s="128">
        <v>0</v>
      </c>
      <c r="Y61" s="128">
        <v>0</v>
      </c>
    </row>
    <row r="62" spans="1:25" x14ac:dyDescent="0.25">
      <c r="A62" s="130">
        <v>540014</v>
      </c>
      <c r="B62" s="130" t="s">
        <v>124</v>
      </c>
      <c r="C62" s="130" t="s">
        <v>1331</v>
      </c>
      <c r="D62" s="130" t="s">
        <v>115</v>
      </c>
      <c r="E62" s="130">
        <v>11</v>
      </c>
      <c r="F62" s="207"/>
      <c r="G62" s="130">
        <v>0</v>
      </c>
      <c r="H62" s="130">
        <v>86</v>
      </c>
      <c r="I62" s="130">
        <v>34</v>
      </c>
      <c r="J62" s="130">
        <v>0</v>
      </c>
      <c r="K62" s="130">
        <v>0</v>
      </c>
      <c r="L62" s="130">
        <v>120</v>
      </c>
      <c r="M62" s="130">
        <v>120</v>
      </c>
      <c r="N62" s="211"/>
      <c r="O62" s="130" t="s">
        <v>488</v>
      </c>
      <c r="P62" s="130" t="s">
        <v>488</v>
      </c>
      <c r="Q62" s="130">
        <v>0</v>
      </c>
      <c r="R62" s="130">
        <v>0</v>
      </c>
      <c r="S62" s="130" t="s">
        <v>488</v>
      </c>
      <c r="T62" s="130" t="s">
        <v>488</v>
      </c>
      <c r="U62" s="130"/>
      <c r="V62" s="202">
        <f t="shared" si="0"/>
        <v>0</v>
      </c>
      <c r="W62" s="211"/>
      <c r="X62" s="130">
        <v>0</v>
      </c>
      <c r="Y62" s="130">
        <v>0</v>
      </c>
    </row>
    <row r="63" spans="1:25" x14ac:dyDescent="0.25">
      <c r="A63" s="130">
        <v>540048</v>
      </c>
      <c r="B63" s="130" t="s">
        <v>148</v>
      </c>
      <c r="C63" s="130" t="s">
        <v>1331</v>
      </c>
      <c r="D63" s="130" t="s">
        <v>115</v>
      </c>
      <c r="E63" s="130">
        <v>11</v>
      </c>
      <c r="F63" s="207"/>
      <c r="G63" s="130">
        <v>0</v>
      </c>
      <c r="H63" s="130">
        <v>15</v>
      </c>
      <c r="I63" s="130">
        <v>0</v>
      </c>
      <c r="J63" s="130">
        <v>0</v>
      </c>
      <c r="K63" s="130">
        <v>0</v>
      </c>
      <c r="L63" s="130">
        <v>15</v>
      </c>
      <c r="M63" s="130">
        <v>15</v>
      </c>
      <c r="N63" s="211"/>
      <c r="O63" s="130" t="s">
        <v>488</v>
      </c>
      <c r="P63" s="130" t="s">
        <v>488</v>
      </c>
      <c r="Q63" s="130">
        <v>0</v>
      </c>
      <c r="R63" s="130">
        <v>0</v>
      </c>
      <c r="S63" s="130" t="s">
        <v>488</v>
      </c>
      <c r="T63" s="130" t="s">
        <v>488</v>
      </c>
      <c r="U63" s="130"/>
      <c r="V63" s="202">
        <f t="shared" si="0"/>
        <v>0</v>
      </c>
      <c r="W63" s="211"/>
      <c r="X63" s="130">
        <v>0</v>
      </c>
      <c r="Y63" s="130">
        <v>0</v>
      </c>
    </row>
    <row r="64" spans="1:25" x14ac:dyDescent="0.25">
      <c r="A64" s="130">
        <v>540049</v>
      </c>
      <c r="B64" s="130" t="s">
        <v>149</v>
      </c>
      <c r="C64" s="130" t="s">
        <v>1331</v>
      </c>
      <c r="D64" s="130" t="s">
        <v>115</v>
      </c>
      <c r="E64" s="130">
        <v>11</v>
      </c>
      <c r="F64" s="207"/>
      <c r="G64" s="130">
        <v>0</v>
      </c>
      <c r="H64" s="130">
        <v>175</v>
      </c>
      <c r="I64" s="130">
        <v>1</v>
      </c>
      <c r="J64" s="130">
        <v>0</v>
      </c>
      <c r="K64" s="130">
        <v>0</v>
      </c>
      <c r="L64" s="130">
        <v>176</v>
      </c>
      <c r="M64" s="130">
        <v>176</v>
      </c>
      <c r="N64" s="211"/>
      <c r="O64" s="130" t="s">
        <v>488</v>
      </c>
      <c r="P64" s="130" t="s">
        <v>488</v>
      </c>
      <c r="Q64" s="130">
        <v>0</v>
      </c>
      <c r="R64" s="130">
        <v>0</v>
      </c>
      <c r="S64" s="130" t="s">
        <v>488</v>
      </c>
      <c r="T64" s="130" t="s">
        <v>488</v>
      </c>
      <c r="U64" s="130"/>
      <c r="V64" s="202">
        <f t="shared" si="0"/>
        <v>0</v>
      </c>
      <c r="W64" s="211"/>
      <c r="X64" s="130">
        <v>0</v>
      </c>
      <c r="Y64" s="130">
        <v>0</v>
      </c>
    </row>
    <row r="65" spans="1:25" x14ac:dyDescent="0.25">
      <c r="A65" s="130"/>
      <c r="B65" s="130"/>
      <c r="C65" s="130" t="s">
        <v>1331</v>
      </c>
      <c r="D65" s="130"/>
      <c r="E65" s="130"/>
      <c r="F65" s="207"/>
      <c r="G65" s="130">
        <v>5</v>
      </c>
      <c r="H65" s="130">
        <v>413</v>
      </c>
      <c r="I65" s="130">
        <v>104</v>
      </c>
      <c r="J65" s="130">
        <v>0</v>
      </c>
      <c r="K65" s="130">
        <v>0</v>
      </c>
      <c r="L65" s="130">
        <v>517</v>
      </c>
      <c r="M65" s="130">
        <v>522</v>
      </c>
      <c r="N65" s="211"/>
      <c r="O65" s="130" t="s">
        <v>488</v>
      </c>
      <c r="P65" s="130" t="s">
        <v>488</v>
      </c>
      <c r="Q65" s="130">
        <v>4</v>
      </c>
      <c r="R65" s="130">
        <v>34</v>
      </c>
      <c r="S65" s="130" t="s">
        <v>488</v>
      </c>
      <c r="T65" s="130" t="s">
        <v>488</v>
      </c>
      <c r="U65" s="130"/>
      <c r="V65" s="202">
        <f t="shared" si="0"/>
        <v>34</v>
      </c>
      <c r="W65" s="211"/>
      <c r="X65" s="130">
        <v>0</v>
      </c>
      <c r="Y65" s="130">
        <v>0</v>
      </c>
    </row>
    <row r="66" spans="1:25" x14ac:dyDescent="0.25">
      <c r="A66" s="128">
        <v>540051</v>
      </c>
      <c r="B66" s="128" t="s">
        <v>30</v>
      </c>
      <c r="C66" s="128" t="s">
        <v>31</v>
      </c>
      <c r="D66" s="128" t="s">
        <v>5</v>
      </c>
      <c r="E66" s="128">
        <v>8</v>
      </c>
      <c r="F66" s="206"/>
      <c r="G66" s="128">
        <v>387</v>
      </c>
      <c r="H66" s="128">
        <v>29</v>
      </c>
      <c r="I66" s="128">
        <v>0</v>
      </c>
      <c r="J66" s="128">
        <v>0</v>
      </c>
      <c r="K66" s="128">
        <v>0</v>
      </c>
      <c r="L66" s="128">
        <v>29</v>
      </c>
      <c r="M66" s="128">
        <v>416</v>
      </c>
      <c r="N66" s="210"/>
      <c r="O66" s="128" t="s">
        <v>488</v>
      </c>
      <c r="P66" s="128" t="s">
        <v>488</v>
      </c>
      <c r="Q66" s="128" t="s">
        <v>488</v>
      </c>
      <c r="R66" s="128" t="s">
        <v>488</v>
      </c>
      <c r="S66" s="128" t="s">
        <v>488</v>
      </c>
      <c r="T66" s="128" t="s">
        <v>488</v>
      </c>
      <c r="U66" s="128"/>
      <c r="V66" s="202">
        <f t="shared" si="0"/>
        <v>0</v>
      </c>
      <c r="W66" s="210"/>
      <c r="X66" s="128">
        <v>0</v>
      </c>
      <c r="Y66" s="128">
        <v>3</v>
      </c>
    </row>
    <row r="67" spans="1:25" x14ac:dyDescent="0.25">
      <c r="A67" s="130">
        <v>540052</v>
      </c>
      <c r="B67" s="130" t="s">
        <v>151</v>
      </c>
      <c r="C67" s="130" t="s">
        <v>31</v>
      </c>
      <c r="D67" s="130" t="s">
        <v>115</v>
      </c>
      <c r="E67" s="130">
        <v>8</v>
      </c>
      <c r="F67" s="207"/>
      <c r="G67" s="130">
        <v>3</v>
      </c>
      <c r="H67" s="130">
        <v>74</v>
      </c>
      <c r="I67" s="130">
        <v>0</v>
      </c>
      <c r="J67" s="130">
        <v>0</v>
      </c>
      <c r="K67" s="130">
        <v>0</v>
      </c>
      <c r="L67" s="130">
        <v>74</v>
      </c>
      <c r="M67" s="130">
        <v>77</v>
      </c>
      <c r="N67" s="211"/>
      <c r="O67" s="130" t="s">
        <v>488</v>
      </c>
      <c r="P67" s="130" t="s">
        <v>488</v>
      </c>
      <c r="Q67" s="130" t="s">
        <v>488</v>
      </c>
      <c r="R67" s="130" t="s">
        <v>488</v>
      </c>
      <c r="S67" s="130" t="s">
        <v>488</v>
      </c>
      <c r="T67" s="130" t="s">
        <v>488</v>
      </c>
      <c r="U67" s="130"/>
      <c r="V67" s="202">
        <f t="shared" si="0"/>
        <v>0</v>
      </c>
      <c r="W67" s="211"/>
      <c r="X67" s="130">
        <v>0</v>
      </c>
      <c r="Y67" s="130">
        <v>663</v>
      </c>
    </row>
    <row r="68" spans="1:25" x14ac:dyDescent="0.25">
      <c r="A68" s="130">
        <v>540245</v>
      </c>
      <c r="B68" s="130" t="s">
        <v>292</v>
      </c>
      <c r="C68" s="130" t="s">
        <v>31</v>
      </c>
      <c r="D68" s="130" t="s">
        <v>115</v>
      </c>
      <c r="E68" s="130">
        <v>8</v>
      </c>
      <c r="F68" s="207"/>
      <c r="G68" s="130">
        <v>1</v>
      </c>
      <c r="H68" s="130">
        <v>0</v>
      </c>
      <c r="I68" s="130">
        <v>0</v>
      </c>
      <c r="J68" s="130">
        <v>0</v>
      </c>
      <c r="K68" s="130">
        <v>0</v>
      </c>
      <c r="L68" s="130">
        <v>0</v>
      </c>
      <c r="M68" s="130">
        <v>1</v>
      </c>
      <c r="N68" s="211"/>
      <c r="O68" s="130" t="s">
        <v>488</v>
      </c>
      <c r="P68" s="130" t="s">
        <v>488</v>
      </c>
      <c r="Q68" s="130" t="s">
        <v>488</v>
      </c>
      <c r="R68" s="130" t="s">
        <v>488</v>
      </c>
      <c r="S68" s="130" t="s">
        <v>488</v>
      </c>
      <c r="T68" s="130" t="s">
        <v>488</v>
      </c>
      <c r="U68" s="130"/>
      <c r="V68" s="202">
        <f t="shared" si="0"/>
        <v>0</v>
      </c>
      <c r="W68" s="211"/>
      <c r="X68" s="130">
        <v>0</v>
      </c>
      <c r="Y68" s="130">
        <v>0</v>
      </c>
    </row>
    <row r="69" spans="1:25" x14ac:dyDescent="0.25">
      <c r="A69" s="130"/>
      <c r="B69" s="130"/>
      <c r="C69" s="130" t="s">
        <v>31</v>
      </c>
      <c r="D69" s="130"/>
      <c r="E69" s="130"/>
      <c r="F69" s="207"/>
      <c r="G69" s="130">
        <v>391</v>
      </c>
      <c r="H69" s="130">
        <v>103</v>
      </c>
      <c r="I69" s="130">
        <v>0</v>
      </c>
      <c r="J69" s="130">
        <v>0</v>
      </c>
      <c r="K69" s="130">
        <v>0</v>
      </c>
      <c r="L69" s="130">
        <v>103</v>
      </c>
      <c r="M69" s="130">
        <v>494</v>
      </c>
      <c r="N69" s="211"/>
      <c r="O69" s="130" t="s">
        <v>488</v>
      </c>
      <c r="P69" s="130" t="s">
        <v>488</v>
      </c>
      <c r="Q69" s="130" t="s">
        <v>488</v>
      </c>
      <c r="R69" s="130" t="s">
        <v>488</v>
      </c>
      <c r="S69" s="130" t="s">
        <v>488</v>
      </c>
      <c r="T69" s="130" t="s">
        <v>488</v>
      </c>
      <c r="U69" s="130"/>
      <c r="V69" s="202">
        <f t="shared" ref="V69:V132" si="1" xml:space="preserve"> SUM(P69, R69, T69)</f>
        <v>0</v>
      </c>
      <c r="W69" s="211"/>
      <c r="X69" s="130">
        <v>0</v>
      </c>
      <c r="Y69" s="130">
        <v>666</v>
      </c>
    </row>
    <row r="70" spans="1:25" x14ac:dyDescent="0.25">
      <c r="A70" s="128">
        <v>540053</v>
      </c>
      <c r="B70" s="128" t="s">
        <v>32</v>
      </c>
      <c r="C70" s="128" t="s">
        <v>33</v>
      </c>
      <c r="D70" s="128" t="s">
        <v>5</v>
      </c>
      <c r="E70" s="128">
        <v>6</v>
      </c>
      <c r="F70" s="206"/>
      <c r="G70" s="128">
        <v>413</v>
      </c>
      <c r="H70" s="128">
        <v>562</v>
      </c>
      <c r="I70" s="128">
        <v>54</v>
      </c>
      <c r="J70" s="128">
        <v>0</v>
      </c>
      <c r="K70" s="128">
        <v>0</v>
      </c>
      <c r="L70" s="128">
        <v>616</v>
      </c>
      <c r="M70" s="128">
        <v>1029</v>
      </c>
      <c r="N70" s="210"/>
      <c r="O70" s="128" t="s">
        <v>488</v>
      </c>
      <c r="P70" s="128" t="s">
        <v>488</v>
      </c>
      <c r="Q70" s="128">
        <v>11</v>
      </c>
      <c r="R70" s="128">
        <v>220</v>
      </c>
      <c r="S70" s="128" t="s">
        <v>488</v>
      </c>
      <c r="T70" s="128" t="s">
        <v>488</v>
      </c>
      <c r="U70" s="128"/>
      <c r="V70" s="202">
        <f t="shared" si="1"/>
        <v>220</v>
      </c>
      <c r="W70" s="210"/>
      <c r="X70" s="128">
        <v>309</v>
      </c>
      <c r="Y70" s="128">
        <v>0</v>
      </c>
    </row>
    <row r="71" spans="1:25" x14ac:dyDescent="0.25">
      <c r="A71" s="130">
        <v>540054</v>
      </c>
      <c r="B71" s="130" t="s">
        <v>152</v>
      </c>
      <c r="C71" s="130" t="s">
        <v>33</v>
      </c>
      <c r="D71" s="130" t="s">
        <v>115</v>
      </c>
      <c r="E71" s="130">
        <v>6</v>
      </c>
      <c r="F71" s="207"/>
      <c r="G71" s="130">
        <v>0</v>
      </c>
      <c r="H71" s="130">
        <v>11</v>
      </c>
      <c r="I71" s="130">
        <v>10</v>
      </c>
      <c r="J71" s="130">
        <v>0</v>
      </c>
      <c r="K71" s="130">
        <v>0</v>
      </c>
      <c r="L71" s="130">
        <v>21</v>
      </c>
      <c r="M71" s="130">
        <v>21</v>
      </c>
      <c r="N71" s="211"/>
      <c r="O71" s="130" t="s">
        <v>488</v>
      </c>
      <c r="P71" s="130" t="s">
        <v>488</v>
      </c>
      <c r="Q71" s="130">
        <v>0</v>
      </c>
      <c r="R71" s="130">
        <v>0</v>
      </c>
      <c r="S71" s="130" t="s">
        <v>488</v>
      </c>
      <c r="T71" s="130" t="s">
        <v>488</v>
      </c>
      <c r="U71" s="130"/>
      <c r="V71" s="202">
        <f t="shared" si="1"/>
        <v>0</v>
      </c>
      <c r="W71" s="211"/>
      <c r="X71" s="130">
        <v>5</v>
      </c>
      <c r="Y71" s="130">
        <v>0</v>
      </c>
    </row>
    <row r="72" spans="1:25" x14ac:dyDescent="0.25">
      <c r="A72" s="130">
        <v>540055</v>
      </c>
      <c r="B72" s="130" t="s">
        <v>153</v>
      </c>
      <c r="C72" s="130" t="s">
        <v>33</v>
      </c>
      <c r="D72" s="130" t="s">
        <v>115</v>
      </c>
      <c r="E72" s="130">
        <v>6</v>
      </c>
      <c r="F72" s="207"/>
      <c r="G72" s="130">
        <v>7</v>
      </c>
      <c r="H72" s="130">
        <v>82</v>
      </c>
      <c r="I72" s="130">
        <v>6</v>
      </c>
      <c r="J72" s="130">
        <v>0</v>
      </c>
      <c r="K72" s="130">
        <v>0</v>
      </c>
      <c r="L72" s="130">
        <v>88</v>
      </c>
      <c r="M72" s="130">
        <v>95</v>
      </c>
      <c r="N72" s="211"/>
      <c r="O72" s="130" t="s">
        <v>488</v>
      </c>
      <c r="P72" s="130" t="s">
        <v>488</v>
      </c>
      <c r="Q72" s="130">
        <v>2</v>
      </c>
      <c r="R72" s="130">
        <v>2</v>
      </c>
      <c r="S72" s="130" t="s">
        <v>488</v>
      </c>
      <c r="T72" s="130" t="s">
        <v>488</v>
      </c>
      <c r="U72" s="130"/>
      <c r="V72" s="202">
        <f t="shared" si="1"/>
        <v>2</v>
      </c>
      <c r="W72" s="211"/>
      <c r="X72" s="130">
        <v>53</v>
      </c>
      <c r="Y72" s="130">
        <v>0</v>
      </c>
    </row>
    <row r="73" spans="1:25" x14ac:dyDescent="0.25">
      <c r="A73" s="130">
        <v>540056</v>
      </c>
      <c r="B73" s="130" t="s">
        <v>154</v>
      </c>
      <c r="C73" s="130" t="s">
        <v>33</v>
      </c>
      <c r="D73" s="130" t="s">
        <v>115</v>
      </c>
      <c r="E73" s="130">
        <v>6</v>
      </c>
      <c r="F73" s="207"/>
      <c r="G73" s="130">
        <v>0</v>
      </c>
      <c r="H73" s="130">
        <v>247</v>
      </c>
      <c r="I73" s="130">
        <v>44</v>
      </c>
      <c r="J73" s="130">
        <v>0</v>
      </c>
      <c r="K73" s="130">
        <v>0</v>
      </c>
      <c r="L73" s="130">
        <v>291</v>
      </c>
      <c r="M73" s="130">
        <v>291</v>
      </c>
      <c r="N73" s="211"/>
      <c r="O73" s="130" t="s">
        <v>488</v>
      </c>
      <c r="P73" s="130" t="s">
        <v>488</v>
      </c>
      <c r="Q73" s="130">
        <v>0</v>
      </c>
      <c r="R73" s="130">
        <v>0</v>
      </c>
      <c r="S73" s="130" t="s">
        <v>488</v>
      </c>
      <c r="T73" s="130" t="s">
        <v>488</v>
      </c>
      <c r="U73" s="130"/>
      <c r="V73" s="202">
        <f t="shared" si="1"/>
        <v>0</v>
      </c>
      <c r="W73" s="211"/>
      <c r="X73" s="130">
        <v>146</v>
      </c>
      <c r="Y73" s="130">
        <v>0</v>
      </c>
    </row>
    <row r="74" spans="1:25" x14ac:dyDescent="0.25">
      <c r="A74" s="130">
        <v>540057</v>
      </c>
      <c r="B74" s="130" t="s">
        <v>155</v>
      </c>
      <c r="C74" s="130" t="s">
        <v>33</v>
      </c>
      <c r="D74" s="130" t="s">
        <v>115</v>
      </c>
      <c r="E74" s="130">
        <v>6</v>
      </c>
      <c r="F74" s="207"/>
      <c r="G74" s="130">
        <v>1</v>
      </c>
      <c r="H74" s="130">
        <v>76</v>
      </c>
      <c r="I74" s="130">
        <v>0</v>
      </c>
      <c r="J74" s="130">
        <v>0</v>
      </c>
      <c r="K74" s="130">
        <v>0</v>
      </c>
      <c r="L74" s="130">
        <v>76</v>
      </c>
      <c r="M74" s="130">
        <v>77</v>
      </c>
      <c r="N74" s="211"/>
      <c r="O74" s="130" t="s">
        <v>488</v>
      </c>
      <c r="P74" s="130" t="s">
        <v>488</v>
      </c>
      <c r="Q74" s="130">
        <v>0</v>
      </c>
      <c r="R74" s="130">
        <v>1</v>
      </c>
      <c r="S74" s="130" t="s">
        <v>488</v>
      </c>
      <c r="T74" s="130" t="s">
        <v>488</v>
      </c>
      <c r="U74" s="130"/>
      <c r="V74" s="202">
        <f t="shared" si="1"/>
        <v>1</v>
      </c>
      <c r="W74" s="211"/>
      <c r="X74" s="130">
        <v>0</v>
      </c>
      <c r="Y74" s="130">
        <v>0</v>
      </c>
    </row>
    <row r="75" spans="1:25" x14ac:dyDescent="0.25">
      <c r="A75" s="130">
        <v>540058</v>
      </c>
      <c r="B75" s="130" t="s">
        <v>156</v>
      </c>
      <c r="C75" s="130" t="s">
        <v>33</v>
      </c>
      <c r="D75" s="130" t="s">
        <v>115</v>
      </c>
      <c r="E75" s="130">
        <v>6</v>
      </c>
      <c r="F75" s="207"/>
      <c r="G75" s="130">
        <v>0</v>
      </c>
      <c r="H75" s="130">
        <v>44</v>
      </c>
      <c r="I75" s="130">
        <v>0</v>
      </c>
      <c r="J75" s="130">
        <v>0</v>
      </c>
      <c r="K75" s="130">
        <v>0</v>
      </c>
      <c r="L75" s="130">
        <v>44</v>
      </c>
      <c r="M75" s="130">
        <v>44</v>
      </c>
      <c r="N75" s="211"/>
      <c r="O75" s="130" t="s">
        <v>488</v>
      </c>
      <c r="P75" s="130" t="s">
        <v>488</v>
      </c>
      <c r="Q75" s="130">
        <v>0</v>
      </c>
      <c r="R75" s="130">
        <v>0</v>
      </c>
      <c r="S75" s="130" t="s">
        <v>488</v>
      </c>
      <c r="T75" s="130" t="s">
        <v>488</v>
      </c>
      <c r="U75" s="130"/>
      <c r="V75" s="202">
        <f t="shared" si="1"/>
        <v>0</v>
      </c>
      <c r="W75" s="211"/>
      <c r="X75" s="130">
        <v>38</v>
      </c>
      <c r="Y75" s="130">
        <v>0</v>
      </c>
    </row>
    <row r="76" spans="1:25" x14ac:dyDescent="0.25">
      <c r="A76" s="130">
        <v>540059</v>
      </c>
      <c r="B76" s="130" t="s">
        <v>157</v>
      </c>
      <c r="C76" s="130" t="s">
        <v>33</v>
      </c>
      <c r="D76" s="130" t="s">
        <v>115</v>
      </c>
      <c r="E76" s="130">
        <v>6</v>
      </c>
      <c r="F76" s="207"/>
      <c r="G76" s="130">
        <v>0</v>
      </c>
      <c r="H76" s="130">
        <v>36</v>
      </c>
      <c r="I76" s="130">
        <v>5</v>
      </c>
      <c r="J76" s="130">
        <v>0</v>
      </c>
      <c r="K76" s="130">
        <v>0</v>
      </c>
      <c r="L76" s="130">
        <v>41</v>
      </c>
      <c r="M76" s="130">
        <v>41</v>
      </c>
      <c r="N76" s="211"/>
      <c r="O76" s="130" t="s">
        <v>488</v>
      </c>
      <c r="P76" s="130" t="s">
        <v>488</v>
      </c>
      <c r="Q76" s="130">
        <v>0</v>
      </c>
      <c r="R76" s="130">
        <v>0</v>
      </c>
      <c r="S76" s="130" t="s">
        <v>488</v>
      </c>
      <c r="T76" s="130" t="s">
        <v>488</v>
      </c>
      <c r="U76" s="130"/>
      <c r="V76" s="202">
        <f t="shared" si="1"/>
        <v>0</v>
      </c>
      <c r="W76" s="211"/>
      <c r="X76" s="130">
        <v>16</v>
      </c>
      <c r="Y76" s="130">
        <v>0</v>
      </c>
    </row>
    <row r="77" spans="1:25" x14ac:dyDescent="0.25">
      <c r="A77" s="130">
        <v>540060</v>
      </c>
      <c r="B77" s="130" t="s">
        <v>158</v>
      </c>
      <c r="C77" s="130" t="s">
        <v>33</v>
      </c>
      <c r="D77" s="130" t="s">
        <v>115</v>
      </c>
      <c r="E77" s="130">
        <v>6</v>
      </c>
      <c r="F77" s="207"/>
      <c r="G77" s="130">
        <v>2</v>
      </c>
      <c r="H77" s="130">
        <v>62</v>
      </c>
      <c r="I77" s="130">
        <v>2</v>
      </c>
      <c r="J77" s="130">
        <v>0</v>
      </c>
      <c r="K77" s="130">
        <v>0</v>
      </c>
      <c r="L77" s="130">
        <v>64</v>
      </c>
      <c r="M77" s="130">
        <v>66</v>
      </c>
      <c r="N77" s="211"/>
      <c r="O77" s="130" t="s">
        <v>488</v>
      </c>
      <c r="P77" s="130" t="s">
        <v>488</v>
      </c>
      <c r="Q77" s="130">
        <v>0</v>
      </c>
      <c r="R77" s="130">
        <v>1</v>
      </c>
      <c r="S77" s="130" t="s">
        <v>488</v>
      </c>
      <c r="T77" s="130" t="s">
        <v>488</v>
      </c>
      <c r="U77" s="130"/>
      <c r="V77" s="202">
        <f t="shared" si="1"/>
        <v>1</v>
      </c>
      <c r="W77" s="211"/>
      <c r="X77" s="130">
        <v>80</v>
      </c>
      <c r="Y77" s="130">
        <v>0</v>
      </c>
    </row>
    <row r="78" spans="1:25" x14ac:dyDescent="0.25">
      <c r="A78" s="130">
        <v>540061</v>
      </c>
      <c r="B78" s="130" t="s">
        <v>159</v>
      </c>
      <c r="C78" s="130" t="s">
        <v>33</v>
      </c>
      <c r="D78" s="130" t="s">
        <v>115</v>
      </c>
      <c r="E78" s="130">
        <v>6</v>
      </c>
      <c r="F78" s="207"/>
      <c r="G78" s="130">
        <v>0</v>
      </c>
      <c r="H78" s="130">
        <v>16</v>
      </c>
      <c r="I78" s="130">
        <v>0</v>
      </c>
      <c r="J78" s="130">
        <v>0</v>
      </c>
      <c r="K78" s="130">
        <v>0</v>
      </c>
      <c r="L78" s="130">
        <v>16</v>
      </c>
      <c r="M78" s="130">
        <v>16</v>
      </c>
      <c r="N78" s="211"/>
      <c r="O78" s="130" t="s">
        <v>488</v>
      </c>
      <c r="P78" s="130" t="s">
        <v>488</v>
      </c>
      <c r="Q78" s="130">
        <v>0</v>
      </c>
      <c r="R78" s="130">
        <v>0</v>
      </c>
      <c r="S78" s="130" t="s">
        <v>488</v>
      </c>
      <c r="T78" s="130" t="s">
        <v>488</v>
      </c>
      <c r="U78" s="130"/>
      <c r="V78" s="202">
        <f t="shared" si="1"/>
        <v>0</v>
      </c>
      <c r="W78" s="211"/>
      <c r="X78" s="130">
        <v>10</v>
      </c>
      <c r="Y78" s="130">
        <v>0</v>
      </c>
    </row>
    <row r="79" spans="1:25" x14ac:dyDescent="0.25">
      <c r="A79" s="130">
        <v>540062</v>
      </c>
      <c r="B79" s="130" t="s">
        <v>160</v>
      </c>
      <c r="C79" s="130" t="s">
        <v>33</v>
      </c>
      <c r="D79" s="130" t="s">
        <v>115</v>
      </c>
      <c r="E79" s="130">
        <v>6</v>
      </c>
      <c r="F79" s="207"/>
      <c r="G79" s="130">
        <v>0</v>
      </c>
      <c r="H79" s="130">
        <v>0</v>
      </c>
      <c r="I79" s="130">
        <v>0</v>
      </c>
      <c r="J79" s="130">
        <v>0</v>
      </c>
      <c r="K79" s="130">
        <v>0</v>
      </c>
      <c r="L79" s="130">
        <v>0</v>
      </c>
      <c r="M79" s="130">
        <v>0</v>
      </c>
      <c r="N79" s="211"/>
      <c r="O79" s="130" t="s">
        <v>488</v>
      </c>
      <c r="P79" s="130" t="s">
        <v>488</v>
      </c>
      <c r="Q79" s="130">
        <v>0</v>
      </c>
      <c r="R79" s="130">
        <v>0</v>
      </c>
      <c r="S79" s="130" t="s">
        <v>488</v>
      </c>
      <c r="T79" s="130" t="s">
        <v>488</v>
      </c>
      <c r="U79" s="130"/>
      <c r="V79" s="202">
        <f t="shared" si="1"/>
        <v>0</v>
      </c>
      <c r="W79" s="211"/>
      <c r="X79" s="130">
        <v>0</v>
      </c>
      <c r="Y79" s="130">
        <v>0</v>
      </c>
    </row>
    <row r="80" spans="1:25" x14ac:dyDescent="0.25">
      <c r="A80" s="130">
        <v>540242</v>
      </c>
      <c r="B80" s="130" t="s">
        <v>289</v>
      </c>
      <c r="C80" s="130" t="s">
        <v>33</v>
      </c>
      <c r="D80" s="130" t="s">
        <v>115</v>
      </c>
      <c r="E80" s="130">
        <v>6</v>
      </c>
      <c r="F80" s="207"/>
      <c r="G80" s="130">
        <v>54</v>
      </c>
      <c r="H80" s="130">
        <v>0</v>
      </c>
      <c r="I80" s="130">
        <v>0</v>
      </c>
      <c r="J80" s="130">
        <v>0</v>
      </c>
      <c r="K80" s="130">
        <v>0</v>
      </c>
      <c r="L80" s="130">
        <v>0</v>
      </c>
      <c r="M80" s="130">
        <v>54</v>
      </c>
      <c r="N80" s="211"/>
      <c r="O80" s="130" t="s">
        <v>488</v>
      </c>
      <c r="P80" s="130" t="s">
        <v>488</v>
      </c>
      <c r="Q80" s="130">
        <v>0</v>
      </c>
      <c r="R80" s="130">
        <v>102</v>
      </c>
      <c r="S80" s="130" t="s">
        <v>488</v>
      </c>
      <c r="T80" s="130" t="s">
        <v>488</v>
      </c>
      <c r="U80" s="130"/>
      <c r="V80" s="202">
        <f t="shared" si="1"/>
        <v>102</v>
      </c>
      <c r="W80" s="211"/>
      <c r="X80" s="130">
        <v>0</v>
      </c>
      <c r="Y80" s="130">
        <v>0</v>
      </c>
    </row>
    <row r="81" spans="1:25" x14ac:dyDescent="0.25">
      <c r="A81" s="130"/>
      <c r="B81" s="130"/>
      <c r="C81" s="130" t="s">
        <v>33</v>
      </c>
      <c r="D81" s="130"/>
      <c r="E81" s="130"/>
      <c r="F81" s="207"/>
      <c r="G81" s="130">
        <v>477</v>
      </c>
      <c r="H81" s="130">
        <v>1136</v>
      </c>
      <c r="I81" s="130">
        <v>121</v>
      </c>
      <c r="J81" s="130">
        <v>0</v>
      </c>
      <c r="K81" s="130">
        <v>0</v>
      </c>
      <c r="L81" s="130">
        <v>1257</v>
      </c>
      <c r="M81" s="130">
        <v>1734</v>
      </c>
      <c r="N81" s="211"/>
      <c r="O81" s="130" t="s">
        <v>488</v>
      </c>
      <c r="P81" s="130" t="s">
        <v>488</v>
      </c>
      <c r="Q81" s="130">
        <v>13</v>
      </c>
      <c r="R81" s="130">
        <v>326</v>
      </c>
      <c r="S81" s="130" t="s">
        <v>488</v>
      </c>
      <c r="T81" s="130" t="s">
        <v>488</v>
      </c>
      <c r="U81" s="130"/>
      <c r="V81" s="202">
        <f t="shared" si="1"/>
        <v>326</v>
      </c>
      <c r="W81" s="211"/>
      <c r="X81" s="130">
        <v>657</v>
      </c>
      <c r="Y81" s="130">
        <v>0</v>
      </c>
    </row>
    <row r="82" spans="1:25" x14ac:dyDescent="0.25">
      <c r="A82" s="128">
        <v>540063</v>
      </c>
      <c r="B82" s="128" t="s">
        <v>34</v>
      </c>
      <c r="C82" s="128" t="s">
        <v>35</v>
      </c>
      <c r="D82" s="128" t="s">
        <v>5</v>
      </c>
      <c r="E82" s="128">
        <v>5</v>
      </c>
      <c r="F82" s="206"/>
      <c r="G82" s="128">
        <v>575</v>
      </c>
      <c r="H82" s="128">
        <v>301</v>
      </c>
      <c r="I82" s="128">
        <v>12</v>
      </c>
      <c r="J82" s="128">
        <v>0</v>
      </c>
      <c r="K82" s="128">
        <v>0</v>
      </c>
      <c r="L82" s="128">
        <v>313</v>
      </c>
      <c r="M82" s="128">
        <v>888</v>
      </c>
      <c r="N82" s="210"/>
      <c r="O82" s="128" t="s">
        <v>488</v>
      </c>
      <c r="P82" s="128" t="s">
        <v>488</v>
      </c>
      <c r="Q82" s="128" t="s">
        <v>488</v>
      </c>
      <c r="R82" s="128" t="s">
        <v>488</v>
      </c>
      <c r="S82" s="128" t="s">
        <v>488</v>
      </c>
      <c r="T82" s="128" t="s">
        <v>488</v>
      </c>
      <c r="U82" s="128"/>
      <c r="V82" s="202">
        <f t="shared" si="1"/>
        <v>0</v>
      </c>
      <c r="W82" s="210"/>
      <c r="X82" s="128">
        <v>42</v>
      </c>
      <c r="Y82" s="128">
        <v>0</v>
      </c>
    </row>
    <row r="83" spans="1:25" x14ac:dyDescent="0.25">
      <c r="A83" s="130">
        <v>540064</v>
      </c>
      <c r="B83" s="130" t="s">
        <v>161</v>
      </c>
      <c r="C83" s="130" t="s">
        <v>35</v>
      </c>
      <c r="D83" s="130" t="s">
        <v>115</v>
      </c>
      <c r="E83" s="130">
        <v>5</v>
      </c>
      <c r="F83" s="207"/>
      <c r="G83" s="130">
        <v>14</v>
      </c>
      <c r="H83" s="130">
        <v>0</v>
      </c>
      <c r="I83" s="130">
        <v>0</v>
      </c>
      <c r="J83" s="130">
        <v>0</v>
      </c>
      <c r="K83" s="130">
        <v>0</v>
      </c>
      <c r="L83" s="130">
        <v>0</v>
      </c>
      <c r="M83" s="130">
        <v>14</v>
      </c>
      <c r="N83" s="211"/>
      <c r="O83" s="130" t="s">
        <v>488</v>
      </c>
      <c r="P83" s="130" t="s">
        <v>488</v>
      </c>
      <c r="Q83" s="130" t="s">
        <v>488</v>
      </c>
      <c r="R83" s="130" t="s">
        <v>488</v>
      </c>
      <c r="S83" s="130" t="s">
        <v>488</v>
      </c>
      <c r="T83" s="130" t="s">
        <v>488</v>
      </c>
      <c r="U83" s="130"/>
      <c r="V83" s="202">
        <f t="shared" si="1"/>
        <v>0</v>
      </c>
      <c r="W83" s="211"/>
      <c r="X83" s="130">
        <v>8</v>
      </c>
      <c r="Y83" s="130">
        <v>0</v>
      </c>
    </row>
    <row r="84" spans="1:25" x14ac:dyDescent="0.25">
      <c r="A84" s="130">
        <v>540241</v>
      </c>
      <c r="B84" s="130" t="s">
        <v>288</v>
      </c>
      <c r="C84" s="130" t="s">
        <v>35</v>
      </c>
      <c r="D84" s="130" t="s">
        <v>115</v>
      </c>
      <c r="E84" s="130">
        <v>5</v>
      </c>
      <c r="F84" s="207"/>
      <c r="G84" s="130">
        <v>0</v>
      </c>
      <c r="H84" s="130">
        <v>142</v>
      </c>
      <c r="I84" s="130">
        <v>0</v>
      </c>
      <c r="J84" s="130">
        <v>0</v>
      </c>
      <c r="K84" s="130">
        <v>0</v>
      </c>
      <c r="L84" s="130">
        <v>142</v>
      </c>
      <c r="M84" s="130">
        <v>142</v>
      </c>
      <c r="N84" s="211"/>
      <c r="O84" s="130" t="s">
        <v>488</v>
      </c>
      <c r="P84" s="130" t="s">
        <v>488</v>
      </c>
      <c r="Q84" s="130" t="s">
        <v>488</v>
      </c>
      <c r="R84" s="130" t="s">
        <v>488</v>
      </c>
      <c r="S84" s="130" t="s">
        <v>488</v>
      </c>
      <c r="T84" s="130" t="s">
        <v>488</v>
      </c>
      <c r="U84" s="130"/>
      <c r="V84" s="202">
        <f t="shared" si="1"/>
        <v>0</v>
      </c>
      <c r="W84" s="211"/>
      <c r="X84" s="130">
        <v>32</v>
      </c>
      <c r="Y84" s="130">
        <v>0</v>
      </c>
    </row>
    <row r="85" spans="1:25" x14ac:dyDescent="0.25">
      <c r="A85" s="130"/>
      <c r="B85" s="130"/>
      <c r="C85" s="130" t="s">
        <v>35</v>
      </c>
      <c r="D85" s="130"/>
      <c r="E85" s="130"/>
      <c r="F85" s="207"/>
      <c r="G85" s="130">
        <v>589</v>
      </c>
      <c r="H85" s="130">
        <v>443</v>
      </c>
      <c r="I85" s="130">
        <v>12</v>
      </c>
      <c r="J85" s="130">
        <v>0</v>
      </c>
      <c r="K85" s="130">
        <v>0</v>
      </c>
      <c r="L85" s="130">
        <v>455</v>
      </c>
      <c r="M85" s="130">
        <v>1044</v>
      </c>
      <c r="N85" s="211"/>
      <c r="O85" s="130" t="s">
        <v>488</v>
      </c>
      <c r="P85" s="130" t="s">
        <v>488</v>
      </c>
      <c r="Q85" s="130" t="s">
        <v>488</v>
      </c>
      <c r="R85" s="130" t="s">
        <v>488</v>
      </c>
      <c r="S85" s="130" t="s">
        <v>488</v>
      </c>
      <c r="T85" s="130" t="s">
        <v>488</v>
      </c>
      <c r="U85" s="130"/>
      <c r="V85" s="202">
        <f t="shared" si="1"/>
        <v>0</v>
      </c>
      <c r="W85" s="211"/>
      <c r="X85" s="130">
        <v>82</v>
      </c>
      <c r="Y85" s="130">
        <v>0</v>
      </c>
    </row>
    <row r="86" spans="1:25" x14ac:dyDescent="0.25">
      <c r="A86" s="128">
        <v>540065</v>
      </c>
      <c r="B86" s="128" t="s">
        <v>36</v>
      </c>
      <c r="C86" s="128" t="s">
        <v>1332</v>
      </c>
      <c r="D86" s="128" t="s">
        <v>5</v>
      </c>
      <c r="E86" s="128">
        <v>9</v>
      </c>
      <c r="F86" s="64">
        <v>485</v>
      </c>
      <c r="G86" s="128">
        <v>339</v>
      </c>
      <c r="H86" s="128">
        <v>103</v>
      </c>
      <c r="I86" s="128">
        <v>37</v>
      </c>
      <c r="J86" s="128">
        <v>0</v>
      </c>
      <c r="K86" s="128">
        <v>0</v>
      </c>
      <c r="L86" s="128">
        <v>140</v>
      </c>
      <c r="M86" s="128">
        <v>479</v>
      </c>
      <c r="N86" s="210"/>
      <c r="O86" s="128" t="s">
        <v>488</v>
      </c>
      <c r="P86" s="128" t="s">
        <v>488</v>
      </c>
      <c r="Q86" s="128">
        <v>169</v>
      </c>
      <c r="R86" s="128">
        <v>20</v>
      </c>
      <c r="S86" s="128">
        <v>91</v>
      </c>
      <c r="T86" s="128">
        <v>23</v>
      </c>
      <c r="U86" s="128"/>
      <c r="V86" s="202">
        <f t="shared" si="1"/>
        <v>43</v>
      </c>
      <c r="W86" s="210"/>
      <c r="X86" s="128">
        <v>0</v>
      </c>
      <c r="Y86" s="128">
        <v>0</v>
      </c>
    </row>
    <row r="87" spans="1:25" x14ac:dyDescent="0.25">
      <c r="A87" s="130">
        <v>540030</v>
      </c>
      <c r="B87" s="130" t="s">
        <v>135</v>
      </c>
      <c r="C87" s="130" t="s">
        <v>1332</v>
      </c>
      <c r="D87" s="130" t="s">
        <v>115</v>
      </c>
      <c r="E87" s="130">
        <v>9</v>
      </c>
      <c r="F87" s="64">
        <v>0</v>
      </c>
      <c r="G87" s="130">
        <v>0</v>
      </c>
      <c r="H87" s="130">
        <v>0</v>
      </c>
      <c r="I87" s="130">
        <v>0</v>
      </c>
      <c r="J87" s="130">
        <v>0</v>
      </c>
      <c r="K87" s="130">
        <v>0</v>
      </c>
      <c r="L87" s="130">
        <v>0</v>
      </c>
      <c r="M87" s="130">
        <v>0</v>
      </c>
      <c r="N87" s="211"/>
      <c r="O87" s="130" t="s">
        <v>488</v>
      </c>
      <c r="P87" s="130" t="s">
        <v>488</v>
      </c>
      <c r="Q87" s="130">
        <v>0</v>
      </c>
      <c r="R87" s="130">
        <v>3</v>
      </c>
      <c r="S87" s="130">
        <v>0</v>
      </c>
      <c r="T87" s="130">
        <v>0</v>
      </c>
      <c r="U87" s="130"/>
      <c r="V87" s="202">
        <f t="shared" si="1"/>
        <v>3</v>
      </c>
      <c r="W87" s="211"/>
      <c r="X87" s="130">
        <v>0</v>
      </c>
      <c r="Y87" s="130">
        <v>0</v>
      </c>
    </row>
    <row r="88" spans="1:25" x14ac:dyDescent="0.25">
      <c r="A88" s="130">
        <v>540066</v>
      </c>
      <c r="B88" s="130" t="s">
        <v>162</v>
      </c>
      <c r="C88" s="130" t="s">
        <v>1332</v>
      </c>
      <c r="D88" s="130" t="s">
        <v>115</v>
      </c>
      <c r="E88" s="130">
        <v>9</v>
      </c>
      <c r="F88" s="64">
        <v>22</v>
      </c>
      <c r="G88" s="130">
        <v>2</v>
      </c>
      <c r="H88" s="130">
        <v>17</v>
      </c>
      <c r="I88" s="130">
        <v>3</v>
      </c>
      <c r="J88" s="130">
        <v>0</v>
      </c>
      <c r="K88" s="130">
        <v>0</v>
      </c>
      <c r="L88" s="130">
        <v>20</v>
      </c>
      <c r="M88" s="130">
        <v>22</v>
      </c>
      <c r="N88" s="211"/>
      <c r="O88" s="130" t="s">
        <v>488</v>
      </c>
      <c r="P88" s="130" t="s">
        <v>488</v>
      </c>
      <c r="Q88" s="130">
        <v>2</v>
      </c>
      <c r="R88" s="130">
        <v>0</v>
      </c>
      <c r="S88" s="130">
        <v>11</v>
      </c>
      <c r="T88" s="130">
        <v>4</v>
      </c>
      <c r="U88" s="130"/>
      <c r="V88" s="202">
        <f t="shared" si="1"/>
        <v>4</v>
      </c>
      <c r="W88" s="211"/>
      <c r="X88" s="130">
        <v>0</v>
      </c>
      <c r="Y88" s="130">
        <v>0</v>
      </c>
    </row>
    <row r="89" spans="1:25" ht="16.5" customHeight="1" x14ac:dyDescent="0.25">
      <c r="A89" s="130">
        <v>540067</v>
      </c>
      <c r="B89" s="130" t="s">
        <v>163</v>
      </c>
      <c r="C89" s="130" t="s">
        <v>1332</v>
      </c>
      <c r="D89" s="130" t="s">
        <v>115</v>
      </c>
      <c r="E89" s="130">
        <v>9</v>
      </c>
      <c r="F89" s="64">
        <v>1</v>
      </c>
      <c r="G89" s="130">
        <v>1</v>
      </c>
      <c r="H89" s="130">
        <v>0</v>
      </c>
      <c r="I89" s="130">
        <v>0</v>
      </c>
      <c r="J89" s="130">
        <v>0</v>
      </c>
      <c r="K89" s="130">
        <v>0</v>
      </c>
      <c r="L89" s="130">
        <v>0</v>
      </c>
      <c r="M89" s="130">
        <v>1</v>
      </c>
      <c r="N89" s="211"/>
      <c r="O89" s="130" t="s">
        <v>488</v>
      </c>
      <c r="P89" s="130" t="s">
        <v>488</v>
      </c>
      <c r="Q89" s="130">
        <v>0</v>
      </c>
      <c r="R89" s="130">
        <v>30</v>
      </c>
      <c r="S89" s="130">
        <v>0</v>
      </c>
      <c r="T89" s="130">
        <v>0</v>
      </c>
      <c r="U89" s="130"/>
      <c r="V89" s="202">
        <f t="shared" si="1"/>
        <v>30</v>
      </c>
      <c r="W89" s="211"/>
      <c r="X89" s="130">
        <v>0</v>
      </c>
      <c r="Y89" s="130">
        <v>0</v>
      </c>
    </row>
    <row r="90" spans="1:25" x14ac:dyDescent="0.25">
      <c r="A90" s="130">
        <v>540068</v>
      </c>
      <c r="B90" s="130" t="s">
        <v>164</v>
      </c>
      <c r="C90" s="130" t="s">
        <v>1332</v>
      </c>
      <c r="D90" s="130" t="s">
        <v>115</v>
      </c>
      <c r="E90" s="130">
        <v>9</v>
      </c>
      <c r="F90" s="64">
        <v>77</v>
      </c>
      <c r="G90" s="130">
        <v>2</v>
      </c>
      <c r="H90" s="130">
        <v>75</v>
      </c>
      <c r="I90" s="130">
        <v>0</v>
      </c>
      <c r="J90" s="130">
        <v>0</v>
      </c>
      <c r="K90" s="130">
        <v>0</v>
      </c>
      <c r="L90" s="130">
        <v>75</v>
      </c>
      <c r="M90" s="130">
        <v>77</v>
      </c>
      <c r="N90" s="211"/>
      <c r="O90" s="130" t="s">
        <v>488</v>
      </c>
      <c r="P90" s="130" t="s">
        <v>488</v>
      </c>
      <c r="Q90" s="130">
        <v>2</v>
      </c>
      <c r="R90" s="130">
        <v>0</v>
      </c>
      <c r="S90" s="130">
        <v>27</v>
      </c>
      <c r="T90" s="130">
        <v>3</v>
      </c>
      <c r="U90" s="130"/>
      <c r="V90" s="202">
        <f t="shared" si="1"/>
        <v>3</v>
      </c>
      <c r="W90" s="211"/>
      <c r="X90" s="130">
        <v>0</v>
      </c>
      <c r="Y90" s="130">
        <v>0</v>
      </c>
    </row>
    <row r="91" spans="1:25" x14ac:dyDescent="0.25">
      <c r="A91" s="130">
        <v>540069</v>
      </c>
      <c r="B91" s="130" t="s">
        <v>165</v>
      </c>
      <c r="C91" s="130" t="s">
        <v>1332</v>
      </c>
      <c r="D91" s="130" t="s">
        <v>115</v>
      </c>
      <c r="E91" s="130">
        <v>9</v>
      </c>
      <c r="F91" s="64">
        <v>65</v>
      </c>
      <c r="G91" s="130">
        <v>0</v>
      </c>
      <c r="H91" s="130">
        <v>5</v>
      </c>
      <c r="I91" s="130">
        <v>0</v>
      </c>
      <c r="J91" s="130">
        <v>60</v>
      </c>
      <c r="K91" s="130">
        <v>0</v>
      </c>
      <c r="L91" s="130">
        <v>65</v>
      </c>
      <c r="M91" s="130">
        <v>65</v>
      </c>
      <c r="N91" s="211"/>
      <c r="O91" s="130" t="s">
        <v>488</v>
      </c>
      <c r="P91" s="130" t="s">
        <v>488</v>
      </c>
      <c r="Q91" s="130">
        <v>0</v>
      </c>
      <c r="R91" s="130">
        <v>1</v>
      </c>
      <c r="S91" s="130">
        <v>3</v>
      </c>
      <c r="T91" s="130">
        <v>0</v>
      </c>
      <c r="U91" s="130"/>
      <c r="V91" s="202">
        <f t="shared" si="1"/>
        <v>1</v>
      </c>
      <c r="W91" s="211"/>
      <c r="X91" s="130">
        <v>0</v>
      </c>
      <c r="Y91" s="130">
        <v>0</v>
      </c>
    </row>
    <row r="92" spans="1:25" x14ac:dyDescent="0.25">
      <c r="A92" s="130"/>
      <c r="B92" s="130"/>
      <c r="C92" s="130" t="s">
        <v>1332</v>
      </c>
      <c r="D92" s="130"/>
      <c r="E92" s="130"/>
      <c r="F92" s="207"/>
      <c r="G92" s="130">
        <v>344</v>
      </c>
      <c r="H92" s="130">
        <v>200</v>
      </c>
      <c r="I92" s="130">
        <v>40</v>
      </c>
      <c r="J92" s="130">
        <v>60</v>
      </c>
      <c r="K92" s="130">
        <v>0</v>
      </c>
      <c r="L92" s="130">
        <v>300</v>
      </c>
      <c r="M92" s="130">
        <v>644</v>
      </c>
      <c r="N92" s="211"/>
      <c r="O92" s="130" t="s">
        <v>488</v>
      </c>
      <c r="P92" s="130" t="s">
        <v>488</v>
      </c>
      <c r="Q92" s="130">
        <v>173</v>
      </c>
      <c r="R92" s="130">
        <v>54</v>
      </c>
      <c r="S92" s="130">
        <v>132</v>
      </c>
      <c r="T92" s="130">
        <v>30</v>
      </c>
      <c r="U92" s="130"/>
      <c r="V92" s="202">
        <f t="shared" si="1"/>
        <v>84</v>
      </c>
      <c r="W92" s="211"/>
      <c r="X92" s="130">
        <v>0</v>
      </c>
      <c r="Y92" s="130">
        <v>0</v>
      </c>
    </row>
    <row r="93" spans="1:25" x14ac:dyDescent="0.25">
      <c r="A93" s="128">
        <v>540070</v>
      </c>
      <c r="B93" s="128" t="s">
        <v>38</v>
      </c>
      <c r="C93" s="128" t="s">
        <v>39</v>
      </c>
      <c r="D93" s="128" t="s">
        <v>5</v>
      </c>
      <c r="E93" s="128">
        <v>3</v>
      </c>
      <c r="F93" s="206"/>
      <c r="G93" s="128">
        <v>1641</v>
      </c>
      <c r="H93" s="128">
        <v>5373</v>
      </c>
      <c r="I93" s="128">
        <v>1216</v>
      </c>
      <c r="J93" s="128">
        <v>0</v>
      </c>
      <c r="K93" s="128">
        <v>0</v>
      </c>
      <c r="L93" s="128">
        <v>6589</v>
      </c>
      <c r="M93" s="128">
        <v>8230</v>
      </c>
      <c r="N93" s="210"/>
      <c r="O93" s="128" t="s">
        <v>488</v>
      </c>
      <c r="P93" s="128" t="s">
        <v>488</v>
      </c>
      <c r="Q93" s="128">
        <v>1062</v>
      </c>
      <c r="R93" s="128">
        <v>234</v>
      </c>
      <c r="S93" s="128" t="s">
        <v>488</v>
      </c>
      <c r="T93" s="128" t="s">
        <v>488</v>
      </c>
      <c r="U93" s="128"/>
      <c r="V93" s="202">
        <f t="shared" si="1"/>
        <v>234</v>
      </c>
      <c r="W93" s="210"/>
      <c r="X93" s="128">
        <v>4988</v>
      </c>
      <c r="Y93" s="128">
        <v>0</v>
      </c>
    </row>
    <row r="94" spans="1:25" x14ac:dyDescent="0.25">
      <c r="A94" s="130">
        <v>540029</v>
      </c>
      <c r="B94" s="130" t="s">
        <v>134</v>
      </c>
      <c r="C94" s="130" t="s">
        <v>39</v>
      </c>
      <c r="D94" s="130" t="s">
        <v>115</v>
      </c>
      <c r="E94" s="130">
        <v>3</v>
      </c>
      <c r="F94" s="207"/>
      <c r="G94" s="130">
        <v>7</v>
      </c>
      <c r="H94" s="130">
        <v>11</v>
      </c>
      <c r="I94" s="130">
        <v>0</v>
      </c>
      <c r="J94" s="130">
        <v>0</v>
      </c>
      <c r="K94" s="130">
        <v>0</v>
      </c>
      <c r="L94" s="130">
        <v>11</v>
      </c>
      <c r="M94" s="130">
        <v>18</v>
      </c>
      <c r="N94" s="211"/>
      <c r="O94" s="130" t="s">
        <v>488</v>
      </c>
      <c r="P94" s="130" t="s">
        <v>488</v>
      </c>
      <c r="Q94" s="130">
        <v>4</v>
      </c>
      <c r="R94" s="130">
        <v>31</v>
      </c>
      <c r="S94" s="130" t="s">
        <v>488</v>
      </c>
      <c r="T94" s="130" t="s">
        <v>488</v>
      </c>
      <c r="U94" s="130"/>
      <c r="V94" s="202">
        <f t="shared" si="1"/>
        <v>31</v>
      </c>
      <c r="W94" s="211"/>
      <c r="X94" s="130">
        <v>197</v>
      </c>
      <c r="Y94" s="130">
        <v>0</v>
      </c>
    </row>
    <row r="95" spans="1:25" x14ac:dyDescent="0.25">
      <c r="A95" s="130">
        <v>540071</v>
      </c>
      <c r="B95" s="130" t="s">
        <v>166</v>
      </c>
      <c r="C95" s="130" t="s">
        <v>39</v>
      </c>
      <c r="D95" s="130" t="s">
        <v>115</v>
      </c>
      <c r="E95" s="130">
        <v>3</v>
      </c>
      <c r="F95" s="207"/>
      <c r="G95" s="130">
        <v>0</v>
      </c>
      <c r="H95" s="130">
        <v>91</v>
      </c>
      <c r="I95" s="130">
        <v>3</v>
      </c>
      <c r="J95" s="130">
        <v>0</v>
      </c>
      <c r="K95" s="130">
        <v>0</v>
      </c>
      <c r="L95" s="130">
        <v>94</v>
      </c>
      <c r="M95" s="130">
        <v>94</v>
      </c>
      <c r="N95" s="211"/>
      <c r="O95" s="130" t="s">
        <v>488</v>
      </c>
      <c r="P95" s="130" t="s">
        <v>488</v>
      </c>
      <c r="Q95" s="130">
        <v>0</v>
      </c>
      <c r="R95" s="130">
        <v>0</v>
      </c>
      <c r="S95" s="130" t="s">
        <v>488</v>
      </c>
      <c r="T95" s="130" t="s">
        <v>488</v>
      </c>
      <c r="U95" s="130"/>
      <c r="V95" s="202">
        <f t="shared" si="1"/>
        <v>0</v>
      </c>
      <c r="W95" s="211"/>
      <c r="X95" s="130">
        <v>396</v>
      </c>
      <c r="Y95" s="130">
        <v>0</v>
      </c>
    </row>
    <row r="96" spans="1:25" x14ac:dyDescent="0.25">
      <c r="A96" s="130">
        <v>540072</v>
      </c>
      <c r="B96" s="130" t="s">
        <v>167</v>
      </c>
      <c r="C96" s="130" t="s">
        <v>39</v>
      </c>
      <c r="D96" s="130" t="s">
        <v>115</v>
      </c>
      <c r="E96" s="130">
        <v>3</v>
      </c>
      <c r="F96" s="207"/>
      <c r="G96" s="130">
        <v>1</v>
      </c>
      <c r="H96" s="130">
        <v>62</v>
      </c>
      <c r="I96" s="130">
        <v>2</v>
      </c>
      <c r="J96" s="130">
        <v>0</v>
      </c>
      <c r="K96" s="130">
        <v>0</v>
      </c>
      <c r="L96" s="130">
        <v>64</v>
      </c>
      <c r="M96" s="130">
        <v>65</v>
      </c>
      <c r="N96" s="211"/>
      <c r="O96" s="130" t="s">
        <v>488</v>
      </c>
      <c r="P96" s="130" t="s">
        <v>488</v>
      </c>
      <c r="Q96" s="130">
        <v>1</v>
      </c>
      <c r="R96" s="130">
        <v>0</v>
      </c>
      <c r="S96" s="130" t="s">
        <v>488</v>
      </c>
      <c r="T96" s="130" t="s">
        <v>488</v>
      </c>
      <c r="U96" s="130"/>
      <c r="V96" s="202">
        <f t="shared" si="1"/>
        <v>0</v>
      </c>
      <c r="W96" s="211"/>
      <c r="X96" s="130">
        <v>287</v>
      </c>
      <c r="Y96" s="130">
        <v>0</v>
      </c>
    </row>
    <row r="97" spans="1:25" x14ac:dyDescent="0.25">
      <c r="A97" s="130">
        <v>540073</v>
      </c>
      <c r="B97" s="130" t="s">
        <v>168</v>
      </c>
      <c r="C97" s="130" t="s">
        <v>39</v>
      </c>
      <c r="D97" s="130" t="s">
        <v>115</v>
      </c>
      <c r="E97" s="130">
        <v>3</v>
      </c>
      <c r="F97" s="207"/>
      <c r="G97" s="130">
        <v>152</v>
      </c>
      <c r="H97" s="130">
        <v>1447</v>
      </c>
      <c r="I97" s="130">
        <v>31</v>
      </c>
      <c r="J97" s="130">
        <v>0</v>
      </c>
      <c r="K97" s="130">
        <v>0</v>
      </c>
      <c r="L97" s="130">
        <v>1478</v>
      </c>
      <c r="M97" s="130">
        <v>1630</v>
      </c>
      <c r="N97" s="211"/>
      <c r="O97" s="130" t="s">
        <v>488</v>
      </c>
      <c r="P97" s="130" t="s">
        <v>488</v>
      </c>
      <c r="Q97" s="130">
        <v>149</v>
      </c>
      <c r="R97" s="130">
        <v>0</v>
      </c>
      <c r="S97" s="130" t="s">
        <v>488</v>
      </c>
      <c r="T97" s="130" t="s">
        <v>488</v>
      </c>
      <c r="U97" s="130"/>
      <c r="V97" s="202">
        <f t="shared" si="1"/>
        <v>0</v>
      </c>
      <c r="W97" s="211"/>
      <c r="X97" s="130">
        <v>7835</v>
      </c>
      <c r="Y97" s="130">
        <v>0</v>
      </c>
    </row>
    <row r="98" spans="1:25" x14ac:dyDescent="0.25">
      <c r="A98" s="130">
        <v>540074</v>
      </c>
      <c r="B98" s="130" t="s">
        <v>169</v>
      </c>
      <c r="C98" s="130" t="s">
        <v>39</v>
      </c>
      <c r="D98" s="130" t="s">
        <v>115</v>
      </c>
      <c r="E98" s="130">
        <v>3</v>
      </c>
      <c r="F98" s="207"/>
      <c r="G98" s="130">
        <v>0</v>
      </c>
      <c r="H98" s="130">
        <v>147</v>
      </c>
      <c r="I98" s="130">
        <v>18</v>
      </c>
      <c r="J98" s="130">
        <v>0</v>
      </c>
      <c r="K98" s="130">
        <v>0</v>
      </c>
      <c r="L98" s="130">
        <v>165</v>
      </c>
      <c r="M98" s="130">
        <v>165</v>
      </c>
      <c r="N98" s="211"/>
      <c r="O98" s="130" t="s">
        <v>488</v>
      </c>
      <c r="P98" s="130" t="s">
        <v>488</v>
      </c>
      <c r="Q98" s="130">
        <v>0</v>
      </c>
      <c r="R98" s="130">
        <v>0</v>
      </c>
      <c r="S98" s="130" t="s">
        <v>488</v>
      </c>
      <c r="T98" s="130" t="s">
        <v>488</v>
      </c>
      <c r="U98" s="130"/>
      <c r="V98" s="202">
        <f t="shared" si="1"/>
        <v>0</v>
      </c>
      <c r="W98" s="211"/>
      <c r="X98" s="130">
        <v>620</v>
      </c>
      <c r="Y98" s="130">
        <v>0</v>
      </c>
    </row>
    <row r="99" spans="1:25" x14ac:dyDescent="0.25">
      <c r="A99" s="130">
        <v>540075</v>
      </c>
      <c r="B99" s="130" t="s">
        <v>170</v>
      </c>
      <c r="C99" s="130" t="s">
        <v>39</v>
      </c>
      <c r="D99" s="130" t="s">
        <v>115</v>
      </c>
      <c r="E99" s="130">
        <v>3</v>
      </c>
      <c r="F99" s="207"/>
      <c r="G99" s="130">
        <v>0</v>
      </c>
      <c r="H99" s="130">
        <v>362</v>
      </c>
      <c r="I99" s="130">
        <v>2</v>
      </c>
      <c r="J99" s="130">
        <v>0</v>
      </c>
      <c r="K99" s="130">
        <v>0</v>
      </c>
      <c r="L99" s="130">
        <v>364</v>
      </c>
      <c r="M99" s="130">
        <v>364</v>
      </c>
      <c r="N99" s="211"/>
      <c r="O99" s="130" t="s">
        <v>488</v>
      </c>
      <c r="P99" s="130" t="s">
        <v>488</v>
      </c>
      <c r="Q99" s="130">
        <v>0</v>
      </c>
      <c r="R99" s="130">
        <v>0</v>
      </c>
      <c r="S99" s="130" t="s">
        <v>488</v>
      </c>
      <c r="T99" s="130" t="s">
        <v>488</v>
      </c>
      <c r="U99" s="130"/>
      <c r="V99" s="202">
        <f t="shared" si="1"/>
        <v>0</v>
      </c>
      <c r="W99" s="211"/>
      <c r="X99" s="130">
        <v>48</v>
      </c>
      <c r="Y99" s="130">
        <v>0</v>
      </c>
    </row>
    <row r="100" spans="1:25" x14ac:dyDescent="0.25">
      <c r="A100" s="130">
        <v>540076</v>
      </c>
      <c r="B100" s="130" t="s">
        <v>171</v>
      </c>
      <c r="C100" s="130" t="s">
        <v>39</v>
      </c>
      <c r="D100" s="130" t="s">
        <v>115</v>
      </c>
      <c r="E100" s="130">
        <v>3</v>
      </c>
      <c r="F100" s="207"/>
      <c r="G100" s="130">
        <v>58</v>
      </c>
      <c r="H100" s="130">
        <v>915</v>
      </c>
      <c r="I100" s="130">
        <v>0</v>
      </c>
      <c r="J100" s="130">
        <v>0</v>
      </c>
      <c r="K100" s="130">
        <v>0</v>
      </c>
      <c r="L100" s="130">
        <v>915</v>
      </c>
      <c r="M100" s="130">
        <v>973</v>
      </c>
      <c r="N100" s="211"/>
      <c r="O100" s="130" t="s">
        <v>488</v>
      </c>
      <c r="P100" s="130" t="s">
        <v>488</v>
      </c>
      <c r="Q100" s="130">
        <v>58</v>
      </c>
      <c r="R100" s="130">
        <v>0</v>
      </c>
      <c r="S100" s="130" t="s">
        <v>488</v>
      </c>
      <c r="T100" s="130" t="s">
        <v>488</v>
      </c>
      <c r="U100" s="130"/>
      <c r="V100" s="202">
        <f t="shared" si="1"/>
        <v>0</v>
      </c>
      <c r="W100" s="211"/>
      <c r="X100" s="130">
        <v>1249</v>
      </c>
      <c r="Y100" s="130">
        <v>0</v>
      </c>
    </row>
    <row r="101" spans="1:25" x14ac:dyDescent="0.25">
      <c r="A101" s="130">
        <v>540077</v>
      </c>
      <c r="B101" s="130" t="s">
        <v>172</v>
      </c>
      <c r="C101" s="130" t="s">
        <v>39</v>
      </c>
      <c r="D101" s="130" t="s">
        <v>115</v>
      </c>
      <c r="E101" s="130">
        <v>3</v>
      </c>
      <c r="F101" s="207"/>
      <c r="G101" s="130">
        <v>0</v>
      </c>
      <c r="H101" s="130">
        <v>50</v>
      </c>
      <c r="I101" s="130">
        <v>1</v>
      </c>
      <c r="J101" s="130">
        <v>0</v>
      </c>
      <c r="K101" s="130">
        <v>0</v>
      </c>
      <c r="L101" s="130">
        <v>51</v>
      </c>
      <c r="M101" s="130">
        <v>51</v>
      </c>
      <c r="N101" s="211"/>
      <c r="O101" s="130" t="s">
        <v>488</v>
      </c>
      <c r="P101" s="130" t="s">
        <v>488</v>
      </c>
      <c r="Q101" s="130">
        <v>0</v>
      </c>
      <c r="R101" s="130">
        <v>0</v>
      </c>
      <c r="S101" s="130" t="s">
        <v>488</v>
      </c>
      <c r="T101" s="130" t="s">
        <v>488</v>
      </c>
      <c r="U101" s="130"/>
      <c r="V101" s="202">
        <f t="shared" si="1"/>
        <v>0</v>
      </c>
      <c r="W101" s="211"/>
      <c r="X101" s="130">
        <v>201</v>
      </c>
      <c r="Y101" s="130">
        <v>0</v>
      </c>
    </row>
    <row r="102" spans="1:25" x14ac:dyDescent="0.25">
      <c r="A102" s="130">
        <v>540078</v>
      </c>
      <c r="B102" s="130" t="s">
        <v>173</v>
      </c>
      <c r="C102" s="130" t="s">
        <v>39</v>
      </c>
      <c r="D102" s="130" t="s">
        <v>115</v>
      </c>
      <c r="E102" s="130">
        <v>3</v>
      </c>
      <c r="F102" s="207"/>
      <c r="G102" s="130">
        <v>0</v>
      </c>
      <c r="H102" s="130">
        <v>83</v>
      </c>
      <c r="I102" s="130">
        <v>1</v>
      </c>
      <c r="J102" s="130">
        <v>0</v>
      </c>
      <c r="K102" s="130">
        <v>0</v>
      </c>
      <c r="L102" s="130">
        <v>84</v>
      </c>
      <c r="M102" s="130">
        <v>84</v>
      </c>
      <c r="N102" s="211"/>
      <c r="O102" s="130" t="s">
        <v>488</v>
      </c>
      <c r="P102" s="130" t="s">
        <v>488</v>
      </c>
      <c r="Q102" s="130">
        <v>0</v>
      </c>
      <c r="R102" s="130">
        <v>0</v>
      </c>
      <c r="S102" s="130" t="s">
        <v>488</v>
      </c>
      <c r="T102" s="130" t="s">
        <v>488</v>
      </c>
      <c r="U102" s="130"/>
      <c r="V102" s="202">
        <f t="shared" si="1"/>
        <v>0</v>
      </c>
      <c r="W102" s="211"/>
      <c r="X102" s="130">
        <v>179</v>
      </c>
      <c r="Y102" s="130">
        <v>0</v>
      </c>
    </row>
    <row r="103" spans="1:25" x14ac:dyDescent="0.25">
      <c r="A103" s="130">
        <v>540079</v>
      </c>
      <c r="B103" s="130" t="s">
        <v>174</v>
      </c>
      <c r="C103" s="130" t="s">
        <v>39</v>
      </c>
      <c r="D103" s="130" t="s">
        <v>115</v>
      </c>
      <c r="E103" s="130">
        <v>3</v>
      </c>
      <c r="F103" s="207"/>
      <c r="G103" s="130">
        <v>0</v>
      </c>
      <c r="H103" s="130">
        <v>26</v>
      </c>
      <c r="I103" s="130">
        <v>4</v>
      </c>
      <c r="J103" s="130">
        <v>0</v>
      </c>
      <c r="K103" s="130">
        <v>0</v>
      </c>
      <c r="L103" s="130">
        <v>30</v>
      </c>
      <c r="M103" s="130">
        <v>30</v>
      </c>
      <c r="N103" s="211"/>
      <c r="O103" s="130" t="s">
        <v>488</v>
      </c>
      <c r="P103" s="130" t="s">
        <v>488</v>
      </c>
      <c r="Q103" s="130">
        <v>0</v>
      </c>
      <c r="R103" s="130">
        <v>0</v>
      </c>
      <c r="S103" s="130" t="s">
        <v>488</v>
      </c>
      <c r="T103" s="130" t="s">
        <v>488</v>
      </c>
      <c r="U103" s="130"/>
      <c r="V103" s="202">
        <f t="shared" si="1"/>
        <v>0</v>
      </c>
      <c r="W103" s="211"/>
      <c r="X103" s="130">
        <v>575</v>
      </c>
      <c r="Y103" s="130">
        <v>0</v>
      </c>
    </row>
    <row r="104" spans="1:25" x14ac:dyDescent="0.25">
      <c r="A104" s="130">
        <v>540081</v>
      </c>
      <c r="B104" s="130" t="s">
        <v>176</v>
      </c>
      <c r="C104" s="130" t="s">
        <v>39</v>
      </c>
      <c r="D104" s="130" t="s">
        <v>115</v>
      </c>
      <c r="E104" s="130">
        <v>3</v>
      </c>
      <c r="F104" s="207"/>
      <c r="G104" s="130">
        <v>4</v>
      </c>
      <c r="H104" s="130">
        <v>455</v>
      </c>
      <c r="I104" s="130">
        <v>9</v>
      </c>
      <c r="J104" s="130">
        <v>0</v>
      </c>
      <c r="K104" s="130">
        <v>0</v>
      </c>
      <c r="L104" s="130">
        <v>464</v>
      </c>
      <c r="M104" s="130">
        <v>468</v>
      </c>
      <c r="N104" s="211"/>
      <c r="O104" s="130" t="s">
        <v>488</v>
      </c>
      <c r="P104" s="130" t="s">
        <v>488</v>
      </c>
      <c r="Q104" s="130">
        <v>4</v>
      </c>
      <c r="R104" s="130">
        <v>0</v>
      </c>
      <c r="S104" s="130" t="s">
        <v>488</v>
      </c>
      <c r="T104" s="130" t="s">
        <v>488</v>
      </c>
      <c r="U104" s="130"/>
      <c r="V104" s="202">
        <f t="shared" si="1"/>
        <v>0</v>
      </c>
      <c r="W104" s="211"/>
      <c r="X104" s="130">
        <v>1214</v>
      </c>
      <c r="Y104" s="130">
        <v>0</v>
      </c>
    </row>
    <row r="105" spans="1:25" x14ac:dyDescent="0.25">
      <c r="A105" s="130">
        <v>540082</v>
      </c>
      <c r="B105" s="130" t="s">
        <v>177</v>
      </c>
      <c r="C105" s="130" t="s">
        <v>39</v>
      </c>
      <c r="D105" s="130" t="s">
        <v>115</v>
      </c>
      <c r="E105" s="130">
        <v>3</v>
      </c>
      <c r="F105" s="207"/>
      <c r="G105" s="130">
        <v>0</v>
      </c>
      <c r="H105" s="130">
        <v>45</v>
      </c>
      <c r="I105" s="130">
        <v>0</v>
      </c>
      <c r="J105" s="130">
        <v>0</v>
      </c>
      <c r="K105" s="130">
        <v>0</v>
      </c>
      <c r="L105" s="130">
        <v>45</v>
      </c>
      <c r="M105" s="130">
        <v>45</v>
      </c>
      <c r="N105" s="211"/>
      <c r="O105" s="130" t="s">
        <v>488</v>
      </c>
      <c r="P105" s="130" t="s">
        <v>488</v>
      </c>
      <c r="Q105" s="130">
        <v>0</v>
      </c>
      <c r="R105" s="130">
        <v>0</v>
      </c>
      <c r="S105" s="130" t="s">
        <v>488</v>
      </c>
      <c r="T105" s="130" t="s">
        <v>488</v>
      </c>
      <c r="U105" s="130"/>
      <c r="V105" s="202">
        <f t="shared" si="1"/>
        <v>0</v>
      </c>
      <c r="W105" s="211"/>
      <c r="X105" s="130">
        <v>112</v>
      </c>
      <c r="Y105" s="130">
        <v>0</v>
      </c>
    </row>
    <row r="106" spans="1:25" x14ac:dyDescent="0.25">
      <c r="A106" s="130">
        <v>540083</v>
      </c>
      <c r="B106" s="130" t="s">
        <v>178</v>
      </c>
      <c r="C106" s="130" t="s">
        <v>39</v>
      </c>
      <c r="D106" s="130" t="s">
        <v>115</v>
      </c>
      <c r="E106" s="130">
        <v>3</v>
      </c>
      <c r="F106" s="207"/>
      <c r="G106" s="130">
        <v>92</v>
      </c>
      <c r="H106" s="130">
        <v>54</v>
      </c>
      <c r="I106" s="130">
        <v>1</v>
      </c>
      <c r="J106" s="130">
        <v>0</v>
      </c>
      <c r="K106" s="130">
        <v>0</v>
      </c>
      <c r="L106" s="130">
        <v>55</v>
      </c>
      <c r="M106" s="130">
        <v>147</v>
      </c>
      <c r="N106" s="211"/>
      <c r="O106" s="130" t="s">
        <v>488</v>
      </c>
      <c r="P106" s="130" t="s">
        <v>488</v>
      </c>
      <c r="Q106" s="130">
        <v>92</v>
      </c>
      <c r="R106" s="130">
        <v>0</v>
      </c>
      <c r="S106" s="130" t="s">
        <v>488</v>
      </c>
      <c r="T106" s="130" t="s">
        <v>488</v>
      </c>
      <c r="U106" s="130"/>
      <c r="V106" s="202">
        <f t="shared" si="1"/>
        <v>0</v>
      </c>
      <c r="W106" s="211"/>
      <c r="X106" s="130">
        <v>2752</v>
      </c>
      <c r="Y106" s="130">
        <v>0</v>
      </c>
    </row>
    <row r="107" spans="1:25" x14ac:dyDescent="0.25">
      <c r="A107" s="130">
        <v>540223</v>
      </c>
      <c r="B107" s="130" t="s">
        <v>277</v>
      </c>
      <c r="C107" s="130" t="s">
        <v>39</v>
      </c>
      <c r="D107" s="130" t="s">
        <v>115</v>
      </c>
      <c r="E107" s="130">
        <v>3</v>
      </c>
      <c r="F107" s="207"/>
      <c r="G107" s="130">
        <v>6</v>
      </c>
      <c r="H107" s="130">
        <v>367</v>
      </c>
      <c r="I107" s="130">
        <v>9</v>
      </c>
      <c r="J107" s="130">
        <v>0</v>
      </c>
      <c r="K107" s="130">
        <v>0</v>
      </c>
      <c r="L107" s="130">
        <v>376</v>
      </c>
      <c r="M107" s="130">
        <v>382</v>
      </c>
      <c r="N107" s="211"/>
      <c r="O107" s="130" t="s">
        <v>488</v>
      </c>
      <c r="P107" s="130" t="s">
        <v>488</v>
      </c>
      <c r="Q107" s="130">
        <v>2</v>
      </c>
      <c r="R107" s="130">
        <v>0</v>
      </c>
      <c r="S107" s="130" t="s">
        <v>488</v>
      </c>
      <c r="T107" s="130" t="s">
        <v>488</v>
      </c>
      <c r="U107" s="130"/>
      <c r="V107" s="202">
        <f t="shared" si="1"/>
        <v>0</v>
      </c>
      <c r="W107" s="211"/>
      <c r="X107" s="130">
        <v>2146</v>
      </c>
      <c r="Y107" s="130">
        <v>0</v>
      </c>
    </row>
    <row r="108" spans="1:25" x14ac:dyDescent="0.25">
      <c r="A108" s="130">
        <v>540279</v>
      </c>
      <c r="B108" s="130" t="s">
        <v>320</v>
      </c>
      <c r="C108" s="130" t="s">
        <v>39</v>
      </c>
      <c r="D108" s="130" t="s">
        <v>115</v>
      </c>
      <c r="E108" s="130">
        <v>3</v>
      </c>
      <c r="F108" s="207"/>
      <c r="G108" s="130">
        <v>0</v>
      </c>
      <c r="H108" s="130">
        <v>21</v>
      </c>
      <c r="I108" s="130">
        <v>2</v>
      </c>
      <c r="J108" s="130">
        <v>0</v>
      </c>
      <c r="K108" s="130">
        <v>0</v>
      </c>
      <c r="L108" s="130">
        <v>23</v>
      </c>
      <c r="M108" s="130">
        <v>23</v>
      </c>
      <c r="N108" s="211"/>
      <c r="O108" s="130" t="s">
        <v>488</v>
      </c>
      <c r="P108" s="130" t="s">
        <v>488</v>
      </c>
      <c r="Q108" s="130">
        <v>0</v>
      </c>
      <c r="R108" s="130">
        <v>0</v>
      </c>
      <c r="S108" s="130" t="s">
        <v>488</v>
      </c>
      <c r="T108" s="130" t="s">
        <v>488</v>
      </c>
      <c r="U108" s="130"/>
      <c r="V108" s="202">
        <f t="shared" si="1"/>
        <v>0</v>
      </c>
      <c r="W108" s="211"/>
      <c r="X108" s="130">
        <v>21</v>
      </c>
      <c r="Y108" s="130">
        <v>0</v>
      </c>
    </row>
    <row r="109" spans="1:25" x14ac:dyDescent="0.25">
      <c r="A109" s="130">
        <v>540033</v>
      </c>
      <c r="B109" s="130" t="s">
        <v>138</v>
      </c>
      <c r="C109" s="130" t="s">
        <v>39</v>
      </c>
      <c r="D109" s="130" t="s">
        <v>115</v>
      </c>
      <c r="E109" s="130">
        <v>3</v>
      </c>
      <c r="F109" s="207"/>
      <c r="G109" s="130">
        <v>0</v>
      </c>
      <c r="H109" s="130">
        <v>0</v>
      </c>
      <c r="I109" s="130">
        <v>0</v>
      </c>
      <c r="J109" s="130">
        <v>0</v>
      </c>
      <c r="K109" s="130">
        <v>0</v>
      </c>
      <c r="L109" s="130">
        <v>0</v>
      </c>
      <c r="M109" s="130">
        <v>0</v>
      </c>
      <c r="N109" s="211"/>
      <c r="O109" s="130" t="s">
        <v>488</v>
      </c>
      <c r="P109" s="130" t="s">
        <v>488</v>
      </c>
      <c r="Q109" s="130">
        <v>0</v>
      </c>
      <c r="R109" s="130">
        <v>0</v>
      </c>
      <c r="S109" s="130" t="s">
        <v>488</v>
      </c>
      <c r="T109" s="130" t="s">
        <v>488</v>
      </c>
      <c r="U109" s="130"/>
      <c r="V109" s="202">
        <f t="shared" si="1"/>
        <v>0</v>
      </c>
      <c r="W109" s="211"/>
      <c r="X109" s="130">
        <v>2</v>
      </c>
      <c r="Y109" s="130">
        <v>0</v>
      </c>
    </row>
    <row r="110" spans="1:25" x14ac:dyDescent="0.25">
      <c r="A110" s="130"/>
      <c r="B110" s="130"/>
      <c r="C110" s="130" t="s">
        <v>39</v>
      </c>
      <c r="D110" s="130"/>
      <c r="E110" s="130"/>
      <c r="F110" s="207"/>
      <c r="G110" s="130">
        <v>1961</v>
      </c>
      <c r="H110" s="130">
        <v>9509</v>
      </c>
      <c r="I110" s="130">
        <v>1299</v>
      </c>
      <c r="J110" s="130">
        <v>0</v>
      </c>
      <c r="K110" s="130">
        <v>0</v>
      </c>
      <c r="L110" s="130">
        <v>10808</v>
      </c>
      <c r="M110" s="130">
        <v>12769</v>
      </c>
      <c r="N110" s="211"/>
      <c r="O110" s="130" t="s">
        <v>488</v>
      </c>
      <c r="P110" s="130" t="s">
        <v>488</v>
      </c>
      <c r="Q110" s="130">
        <v>1372</v>
      </c>
      <c r="R110" s="130">
        <v>265</v>
      </c>
      <c r="S110" s="130" t="s">
        <v>488</v>
      </c>
      <c r="T110" s="130" t="s">
        <v>488</v>
      </c>
      <c r="U110" s="130"/>
      <c r="V110" s="202">
        <f t="shared" si="1"/>
        <v>265</v>
      </c>
      <c r="W110" s="211"/>
      <c r="X110" s="130">
        <v>22822</v>
      </c>
      <c r="Y110" s="130">
        <v>0</v>
      </c>
    </row>
    <row r="111" spans="1:25" x14ac:dyDescent="0.25">
      <c r="A111" s="128">
        <v>540085</v>
      </c>
      <c r="B111" s="128" t="s">
        <v>40</v>
      </c>
      <c r="C111" s="128" t="s">
        <v>41</v>
      </c>
      <c r="D111" s="128" t="s">
        <v>5</v>
      </c>
      <c r="E111" s="128">
        <v>7</v>
      </c>
      <c r="F111" s="206"/>
      <c r="G111" s="128">
        <v>1531</v>
      </c>
      <c r="H111" s="128">
        <v>125</v>
      </c>
      <c r="I111" s="128">
        <v>33</v>
      </c>
      <c r="J111" s="128">
        <v>0</v>
      </c>
      <c r="K111" s="128">
        <v>0</v>
      </c>
      <c r="L111" s="128">
        <v>158</v>
      </c>
      <c r="M111" s="128">
        <v>1689</v>
      </c>
      <c r="N111" s="210"/>
      <c r="O111" s="128" t="s">
        <v>488</v>
      </c>
      <c r="P111" s="128" t="s">
        <v>488</v>
      </c>
      <c r="Q111" s="128">
        <v>1523</v>
      </c>
      <c r="R111" s="128">
        <v>1</v>
      </c>
      <c r="S111" s="128" t="s">
        <v>488</v>
      </c>
      <c r="T111" s="128" t="s">
        <v>488</v>
      </c>
      <c r="U111" s="128"/>
      <c r="V111" s="202">
        <f t="shared" si="1"/>
        <v>1</v>
      </c>
      <c r="W111" s="210"/>
      <c r="X111" s="128">
        <v>89</v>
      </c>
      <c r="Y111" s="128">
        <v>0</v>
      </c>
    </row>
    <row r="112" spans="1:25" x14ac:dyDescent="0.25">
      <c r="A112" s="130">
        <v>540086</v>
      </c>
      <c r="B112" s="130" t="s">
        <v>179</v>
      </c>
      <c r="C112" s="130" t="s">
        <v>41</v>
      </c>
      <c r="D112" s="130" t="s">
        <v>115</v>
      </c>
      <c r="E112" s="130">
        <v>7</v>
      </c>
      <c r="F112" s="207"/>
      <c r="G112" s="130">
        <v>62</v>
      </c>
      <c r="H112" s="130">
        <v>0</v>
      </c>
      <c r="I112" s="130">
        <v>0</v>
      </c>
      <c r="J112" s="130">
        <v>0</v>
      </c>
      <c r="K112" s="130">
        <v>0</v>
      </c>
      <c r="L112" s="130">
        <v>0</v>
      </c>
      <c r="M112" s="130">
        <v>62</v>
      </c>
      <c r="N112" s="211"/>
      <c r="O112" s="130" t="s">
        <v>488</v>
      </c>
      <c r="P112" s="130" t="s">
        <v>488</v>
      </c>
      <c r="Q112" s="130">
        <v>62</v>
      </c>
      <c r="R112" s="130">
        <v>0</v>
      </c>
      <c r="S112" s="130" t="s">
        <v>488</v>
      </c>
      <c r="T112" s="130" t="s">
        <v>488</v>
      </c>
      <c r="U112" s="130"/>
      <c r="V112" s="202">
        <f t="shared" si="1"/>
        <v>0</v>
      </c>
      <c r="W112" s="211"/>
      <c r="X112" s="130">
        <v>0</v>
      </c>
      <c r="Y112" s="130">
        <v>0</v>
      </c>
    </row>
    <row r="113" spans="1:25" x14ac:dyDescent="0.25">
      <c r="A113" s="130">
        <v>540087</v>
      </c>
      <c r="B113" s="130" t="s">
        <v>180</v>
      </c>
      <c r="C113" s="130" t="s">
        <v>41</v>
      </c>
      <c r="D113" s="130" t="s">
        <v>115</v>
      </c>
      <c r="E113" s="130">
        <v>7</v>
      </c>
      <c r="F113" s="207"/>
      <c r="G113" s="130">
        <v>19</v>
      </c>
      <c r="H113" s="130">
        <v>307</v>
      </c>
      <c r="I113" s="130">
        <v>69</v>
      </c>
      <c r="J113" s="130">
        <v>0</v>
      </c>
      <c r="K113" s="130">
        <v>0</v>
      </c>
      <c r="L113" s="130">
        <v>376</v>
      </c>
      <c r="M113" s="130">
        <v>395</v>
      </c>
      <c r="N113" s="211"/>
      <c r="O113" s="130" t="s">
        <v>488</v>
      </c>
      <c r="P113" s="130" t="s">
        <v>488</v>
      </c>
      <c r="Q113" s="130">
        <v>19</v>
      </c>
      <c r="R113" s="130">
        <v>0</v>
      </c>
      <c r="S113" s="130" t="s">
        <v>488</v>
      </c>
      <c r="T113" s="130" t="s">
        <v>488</v>
      </c>
      <c r="U113" s="130"/>
      <c r="V113" s="202">
        <f t="shared" si="1"/>
        <v>0</v>
      </c>
      <c r="W113" s="211"/>
      <c r="X113" s="130">
        <v>314</v>
      </c>
      <c r="Y113" s="130">
        <v>0</v>
      </c>
    </row>
    <row r="114" spans="1:25" x14ac:dyDescent="0.25">
      <c r="A114" s="130"/>
      <c r="B114" s="130"/>
      <c r="C114" s="130" t="s">
        <v>41</v>
      </c>
      <c r="D114" s="130"/>
      <c r="E114" s="130"/>
      <c r="F114" s="207"/>
      <c r="G114" s="130">
        <v>1612</v>
      </c>
      <c r="H114" s="130">
        <v>432</v>
      </c>
      <c r="I114" s="130">
        <v>102</v>
      </c>
      <c r="J114" s="130">
        <v>0</v>
      </c>
      <c r="K114" s="130">
        <v>0</v>
      </c>
      <c r="L114" s="130">
        <v>534</v>
      </c>
      <c r="M114" s="130">
        <v>2146</v>
      </c>
      <c r="N114" s="211"/>
      <c r="O114" s="130" t="s">
        <v>488</v>
      </c>
      <c r="P114" s="130" t="s">
        <v>488</v>
      </c>
      <c r="Q114" s="130">
        <v>1604</v>
      </c>
      <c r="R114" s="130">
        <v>1</v>
      </c>
      <c r="S114" s="130" t="s">
        <v>488</v>
      </c>
      <c r="T114" s="130" t="s">
        <v>488</v>
      </c>
      <c r="U114" s="130"/>
      <c r="V114" s="202">
        <f t="shared" si="1"/>
        <v>1</v>
      </c>
      <c r="W114" s="211"/>
      <c r="X114" s="130">
        <v>403</v>
      </c>
      <c r="Y114" s="130">
        <v>0</v>
      </c>
    </row>
    <row r="115" spans="1:25" x14ac:dyDescent="0.25">
      <c r="A115" s="128">
        <v>540088</v>
      </c>
      <c r="B115" s="128" t="s">
        <v>42</v>
      </c>
      <c r="C115" s="128" t="s">
        <v>43</v>
      </c>
      <c r="D115" s="128" t="s">
        <v>5</v>
      </c>
      <c r="E115" s="128">
        <v>2</v>
      </c>
      <c r="F115" s="206"/>
      <c r="G115" s="128">
        <v>1874</v>
      </c>
      <c r="H115" s="128">
        <v>430</v>
      </c>
      <c r="I115" s="128">
        <v>43</v>
      </c>
      <c r="J115" s="128">
        <v>0</v>
      </c>
      <c r="K115" s="128">
        <v>0</v>
      </c>
      <c r="L115" s="128">
        <v>473</v>
      </c>
      <c r="M115" s="128">
        <v>2347</v>
      </c>
      <c r="N115" s="210"/>
      <c r="O115" s="128" t="s">
        <v>488</v>
      </c>
      <c r="P115" s="128" t="s">
        <v>488</v>
      </c>
      <c r="Q115" s="128" t="s">
        <v>488</v>
      </c>
      <c r="R115" s="128" t="s">
        <v>488</v>
      </c>
      <c r="S115" s="128" t="s">
        <v>488</v>
      </c>
      <c r="T115" s="128" t="s">
        <v>488</v>
      </c>
      <c r="U115" s="128"/>
      <c r="V115" s="202">
        <f t="shared" si="1"/>
        <v>0</v>
      </c>
      <c r="W115" s="210"/>
      <c r="X115" s="128">
        <v>269</v>
      </c>
      <c r="Y115" s="128">
        <v>0</v>
      </c>
    </row>
    <row r="116" spans="1:25" x14ac:dyDescent="0.25">
      <c r="A116" s="130">
        <v>540089</v>
      </c>
      <c r="B116" s="130" t="s">
        <v>181</v>
      </c>
      <c r="C116" s="130" t="s">
        <v>43</v>
      </c>
      <c r="D116" s="130" t="s">
        <v>115</v>
      </c>
      <c r="E116" s="130">
        <v>2</v>
      </c>
      <c r="F116" s="207"/>
      <c r="G116" s="130">
        <v>4</v>
      </c>
      <c r="H116" s="130">
        <v>33</v>
      </c>
      <c r="I116" s="130">
        <v>61</v>
      </c>
      <c r="J116" s="130">
        <v>0</v>
      </c>
      <c r="K116" s="130">
        <v>0</v>
      </c>
      <c r="L116" s="130">
        <v>94</v>
      </c>
      <c r="M116" s="130">
        <v>98</v>
      </c>
      <c r="N116" s="211"/>
      <c r="O116" s="130" t="s">
        <v>488</v>
      </c>
      <c r="P116" s="130" t="s">
        <v>488</v>
      </c>
      <c r="Q116" s="130" t="s">
        <v>488</v>
      </c>
      <c r="R116" s="130" t="s">
        <v>488</v>
      </c>
      <c r="S116" s="130" t="s">
        <v>488</v>
      </c>
      <c r="T116" s="130" t="s">
        <v>488</v>
      </c>
      <c r="U116" s="130"/>
      <c r="V116" s="202">
        <f t="shared" si="1"/>
        <v>0</v>
      </c>
      <c r="W116" s="211"/>
      <c r="X116" s="130">
        <v>6</v>
      </c>
      <c r="Y116" s="130">
        <v>0</v>
      </c>
    </row>
    <row r="117" spans="1:25" x14ac:dyDescent="0.25">
      <c r="A117" s="130">
        <v>540090</v>
      </c>
      <c r="B117" s="130" t="s">
        <v>182</v>
      </c>
      <c r="C117" s="130" t="s">
        <v>43</v>
      </c>
      <c r="D117" s="130" t="s">
        <v>115</v>
      </c>
      <c r="E117" s="130">
        <v>2</v>
      </c>
      <c r="F117" s="207"/>
      <c r="G117" s="130">
        <v>55</v>
      </c>
      <c r="H117" s="130">
        <v>1</v>
      </c>
      <c r="I117" s="130">
        <v>1</v>
      </c>
      <c r="J117" s="130">
        <v>0</v>
      </c>
      <c r="K117" s="130">
        <v>0</v>
      </c>
      <c r="L117" s="130">
        <v>2</v>
      </c>
      <c r="M117" s="130">
        <v>57</v>
      </c>
      <c r="N117" s="211"/>
      <c r="O117" s="130" t="s">
        <v>488</v>
      </c>
      <c r="P117" s="130" t="s">
        <v>488</v>
      </c>
      <c r="Q117" s="130" t="s">
        <v>488</v>
      </c>
      <c r="R117" s="130" t="s">
        <v>488</v>
      </c>
      <c r="S117" s="130" t="s">
        <v>488</v>
      </c>
      <c r="T117" s="130" t="s">
        <v>488</v>
      </c>
      <c r="U117" s="130"/>
      <c r="V117" s="202">
        <f t="shared" si="1"/>
        <v>0</v>
      </c>
      <c r="W117" s="211"/>
      <c r="X117" s="130">
        <v>3</v>
      </c>
      <c r="Y117" s="130">
        <v>0</v>
      </c>
    </row>
    <row r="118" spans="1:25" x14ac:dyDescent="0.25">
      <c r="A118" s="130"/>
      <c r="B118" s="130"/>
      <c r="C118" s="130" t="s">
        <v>43</v>
      </c>
      <c r="D118" s="130"/>
      <c r="E118" s="130"/>
      <c r="F118" s="207"/>
      <c r="G118" s="130">
        <v>1933</v>
      </c>
      <c r="H118" s="130">
        <v>464</v>
      </c>
      <c r="I118" s="130">
        <v>105</v>
      </c>
      <c r="J118" s="130">
        <v>0</v>
      </c>
      <c r="K118" s="130">
        <v>0</v>
      </c>
      <c r="L118" s="130">
        <v>569</v>
      </c>
      <c r="M118" s="130">
        <v>2502</v>
      </c>
      <c r="N118" s="211"/>
      <c r="O118" s="130" t="s">
        <v>488</v>
      </c>
      <c r="P118" s="130" t="s">
        <v>488</v>
      </c>
      <c r="Q118" s="130" t="s">
        <v>488</v>
      </c>
      <c r="R118" s="130" t="s">
        <v>488</v>
      </c>
      <c r="S118" s="130" t="s">
        <v>488</v>
      </c>
      <c r="T118" s="130" t="s">
        <v>488</v>
      </c>
      <c r="U118" s="130"/>
      <c r="V118" s="202">
        <f t="shared" si="1"/>
        <v>0</v>
      </c>
      <c r="W118" s="211"/>
      <c r="X118" s="130">
        <v>278</v>
      </c>
      <c r="Y118" s="130">
        <v>0</v>
      </c>
    </row>
    <row r="119" spans="1:25" x14ac:dyDescent="0.25">
      <c r="A119" s="128">
        <v>540097</v>
      </c>
      <c r="B119" s="128" t="s">
        <v>44</v>
      </c>
      <c r="C119" s="128" t="s">
        <v>45</v>
      </c>
      <c r="D119" s="128" t="s">
        <v>5</v>
      </c>
      <c r="E119" s="128">
        <v>6</v>
      </c>
      <c r="F119" s="206"/>
      <c r="G119" s="128">
        <v>765</v>
      </c>
      <c r="H119" s="128">
        <v>526</v>
      </c>
      <c r="I119" s="128">
        <v>21</v>
      </c>
      <c r="J119" s="128">
        <v>0</v>
      </c>
      <c r="K119" s="128">
        <v>0</v>
      </c>
      <c r="L119" s="128">
        <v>547</v>
      </c>
      <c r="M119" s="128">
        <v>1312</v>
      </c>
      <c r="N119" s="210"/>
      <c r="O119" s="128">
        <v>2</v>
      </c>
      <c r="P119" s="128">
        <v>4</v>
      </c>
      <c r="Q119" s="128">
        <v>67</v>
      </c>
      <c r="R119" s="128">
        <v>204</v>
      </c>
      <c r="S119" s="128" t="s">
        <v>488</v>
      </c>
      <c r="T119" s="128" t="s">
        <v>488</v>
      </c>
      <c r="U119" s="128"/>
      <c r="V119" s="202">
        <f t="shared" si="1"/>
        <v>208</v>
      </c>
      <c r="W119" s="210"/>
      <c r="X119" s="128">
        <v>59</v>
      </c>
      <c r="Y119" s="128">
        <v>0</v>
      </c>
    </row>
    <row r="120" spans="1:25" x14ac:dyDescent="0.25">
      <c r="A120" s="130">
        <v>540098</v>
      </c>
      <c r="B120" s="130" t="s">
        <v>187</v>
      </c>
      <c r="C120" s="130" t="s">
        <v>45</v>
      </c>
      <c r="D120" s="130" t="s">
        <v>115</v>
      </c>
      <c r="E120" s="130">
        <v>6</v>
      </c>
      <c r="F120" s="207"/>
      <c r="G120" s="130">
        <v>12</v>
      </c>
      <c r="H120" s="130">
        <v>14</v>
      </c>
      <c r="I120" s="130">
        <v>0</v>
      </c>
      <c r="J120" s="130">
        <v>0</v>
      </c>
      <c r="K120" s="130">
        <v>0</v>
      </c>
      <c r="L120" s="130">
        <v>14</v>
      </c>
      <c r="M120" s="130">
        <v>26</v>
      </c>
      <c r="N120" s="211"/>
      <c r="O120" s="130">
        <v>0</v>
      </c>
      <c r="P120" s="130">
        <v>0</v>
      </c>
      <c r="Q120" s="130">
        <v>1</v>
      </c>
      <c r="R120" s="130">
        <v>0</v>
      </c>
      <c r="S120" s="130" t="s">
        <v>488</v>
      </c>
      <c r="T120" s="130" t="s">
        <v>488</v>
      </c>
      <c r="U120" s="130"/>
      <c r="V120" s="202">
        <f t="shared" si="1"/>
        <v>0</v>
      </c>
      <c r="W120" s="211"/>
      <c r="X120" s="130">
        <v>0</v>
      </c>
      <c r="Y120" s="130">
        <v>0</v>
      </c>
    </row>
    <row r="121" spans="1:25" x14ac:dyDescent="0.25">
      <c r="A121" s="130">
        <v>540099</v>
      </c>
      <c r="B121" s="130" t="s">
        <v>188</v>
      </c>
      <c r="C121" s="130" t="s">
        <v>45</v>
      </c>
      <c r="D121" s="130" t="s">
        <v>115</v>
      </c>
      <c r="E121" s="130">
        <v>6</v>
      </c>
      <c r="F121" s="207"/>
      <c r="G121" s="130">
        <v>1</v>
      </c>
      <c r="H121" s="130">
        <v>35</v>
      </c>
      <c r="I121" s="130">
        <v>5</v>
      </c>
      <c r="J121" s="130">
        <v>0</v>
      </c>
      <c r="K121" s="130">
        <v>0</v>
      </c>
      <c r="L121" s="130">
        <v>40</v>
      </c>
      <c r="M121" s="130">
        <v>41</v>
      </c>
      <c r="N121" s="211"/>
      <c r="O121" s="130">
        <v>16</v>
      </c>
      <c r="P121" s="130">
        <v>11</v>
      </c>
      <c r="Q121" s="130">
        <v>0</v>
      </c>
      <c r="R121" s="130">
        <v>3</v>
      </c>
      <c r="S121" s="130" t="s">
        <v>488</v>
      </c>
      <c r="T121" s="130" t="s">
        <v>488</v>
      </c>
      <c r="U121" s="130"/>
      <c r="V121" s="202">
        <f t="shared" si="1"/>
        <v>14</v>
      </c>
      <c r="W121" s="211"/>
      <c r="X121" s="130">
        <v>3</v>
      </c>
      <c r="Y121" s="130">
        <v>0</v>
      </c>
    </row>
    <row r="122" spans="1:25" x14ac:dyDescent="0.25">
      <c r="A122" s="130">
        <v>540100</v>
      </c>
      <c r="B122" s="130" t="s">
        <v>189</v>
      </c>
      <c r="C122" s="130" t="s">
        <v>45</v>
      </c>
      <c r="D122" s="130" t="s">
        <v>115</v>
      </c>
      <c r="E122" s="130">
        <v>6</v>
      </c>
      <c r="F122" s="207"/>
      <c r="G122" s="130">
        <v>2</v>
      </c>
      <c r="H122" s="130">
        <v>28</v>
      </c>
      <c r="I122" s="130">
        <v>0</v>
      </c>
      <c r="J122" s="130">
        <v>0</v>
      </c>
      <c r="K122" s="130">
        <v>0</v>
      </c>
      <c r="L122" s="130">
        <v>28</v>
      </c>
      <c r="M122" s="130">
        <v>30</v>
      </c>
      <c r="N122" s="211"/>
      <c r="O122" s="130">
        <v>0</v>
      </c>
      <c r="P122" s="130">
        <v>0</v>
      </c>
      <c r="Q122" s="130">
        <v>0</v>
      </c>
      <c r="R122" s="130">
        <v>0</v>
      </c>
      <c r="S122" s="130" t="s">
        <v>488</v>
      </c>
      <c r="T122" s="130" t="s">
        <v>488</v>
      </c>
      <c r="U122" s="130"/>
      <c r="V122" s="202">
        <f t="shared" si="1"/>
        <v>0</v>
      </c>
      <c r="W122" s="211"/>
      <c r="X122" s="130">
        <v>0</v>
      </c>
      <c r="Y122" s="130">
        <v>0</v>
      </c>
    </row>
    <row r="123" spans="1:25" x14ac:dyDescent="0.25">
      <c r="A123" s="130">
        <v>540101</v>
      </c>
      <c r="B123" s="130" t="s">
        <v>190</v>
      </c>
      <c r="C123" s="130" t="s">
        <v>45</v>
      </c>
      <c r="D123" s="130" t="s">
        <v>115</v>
      </c>
      <c r="E123" s="130">
        <v>6</v>
      </c>
      <c r="F123" s="207"/>
      <c r="G123" s="130">
        <v>0</v>
      </c>
      <c r="H123" s="130">
        <v>67</v>
      </c>
      <c r="I123" s="130">
        <v>0</v>
      </c>
      <c r="J123" s="130">
        <v>0</v>
      </c>
      <c r="K123" s="130">
        <v>0</v>
      </c>
      <c r="L123" s="130">
        <v>67</v>
      </c>
      <c r="M123" s="130">
        <v>67</v>
      </c>
      <c r="N123" s="211"/>
      <c r="O123" s="130">
        <v>0</v>
      </c>
      <c r="P123" s="130">
        <v>0</v>
      </c>
      <c r="Q123" s="130">
        <v>0</v>
      </c>
      <c r="R123" s="130">
        <v>0</v>
      </c>
      <c r="S123" s="130" t="s">
        <v>488</v>
      </c>
      <c r="T123" s="130" t="s">
        <v>488</v>
      </c>
      <c r="U123" s="130"/>
      <c r="V123" s="202">
        <f t="shared" si="1"/>
        <v>0</v>
      </c>
      <c r="W123" s="211"/>
      <c r="X123" s="130">
        <v>0</v>
      </c>
      <c r="Y123" s="130">
        <v>0</v>
      </c>
    </row>
    <row r="124" spans="1:25" x14ac:dyDescent="0.25">
      <c r="A124" s="130">
        <v>540102</v>
      </c>
      <c r="B124" s="130" t="s">
        <v>191</v>
      </c>
      <c r="C124" s="130" t="s">
        <v>45</v>
      </c>
      <c r="D124" s="130" t="s">
        <v>115</v>
      </c>
      <c r="E124" s="130">
        <v>6</v>
      </c>
      <c r="F124" s="207"/>
      <c r="G124" s="130">
        <v>0</v>
      </c>
      <c r="H124" s="130">
        <v>48</v>
      </c>
      <c r="I124" s="130">
        <v>0</v>
      </c>
      <c r="J124" s="130">
        <v>0</v>
      </c>
      <c r="K124" s="130">
        <v>0</v>
      </c>
      <c r="L124" s="130">
        <v>48</v>
      </c>
      <c r="M124" s="130">
        <v>48</v>
      </c>
      <c r="N124" s="211"/>
      <c r="O124" s="130">
        <v>0</v>
      </c>
      <c r="P124" s="130">
        <v>0</v>
      </c>
      <c r="Q124" s="130">
        <v>0</v>
      </c>
      <c r="R124" s="130">
        <v>0</v>
      </c>
      <c r="S124" s="130" t="s">
        <v>488</v>
      </c>
      <c r="T124" s="130" t="s">
        <v>488</v>
      </c>
      <c r="U124" s="130"/>
      <c r="V124" s="202">
        <f t="shared" si="1"/>
        <v>0</v>
      </c>
      <c r="W124" s="211"/>
      <c r="X124" s="130">
        <v>0</v>
      </c>
      <c r="Y124" s="130">
        <v>0</v>
      </c>
    </row>
    <row r="125" spans="1:25" x14ac:dyDescent="0.25">
      <c r="A125" s="130">
        <v>540103</v>
      </c>
      <c r="B125" s="130" t="s">
        <v>192</v>
      </c>
      <c r="C125" s="130" t="s">
        <v>45</v>
      </c>
      <c r="D125" s="130" t="s">
        <v>115</v>
      </c>
      <c r="E125" s="130">
        <v>6</v>
      </c>
      <c r="F125" s="207"/>
      <c r="G125" s="130">
        <v>2</v>
      </c>
      <c r="H125" s="130">
        <v>258</v>
      </c>
      <c r="I125" s="130">
        <v>13</v>
      </c>
      <c r="J125" s="130">
        <v>0</v>
      </c>
      <c r="K125" s="130">
        <v>0</v>
      </c>
      <c r="L125" s="130">
        <v>271</v>
      </c>
      <c r="M125" s="130">
        <v>273</v>
      </c>
      <c r="N125" s="211"/>
      <c r="O125" s="130">
        <v>0</v>
      </c>
      <c r="P125" s="130">
        <v>0</v>
      </c>
      <c r="Q125" s="130">
        <v>1</v>
      </c>
      <c r="R125" s="130">
        <v>0</v>
      </c>
      <c r="S125" s="130" t="s">
        <v>488</v>
      </c>
      <c r="T125" s="130" t="s">
        <v>488</v>
      </c>
      <c r="U125" s="130"/>
      <c r="V125" s="202">
        <f t="shared" si="1"/>
        <v>0</v>
      </c>
      <c r="W125" s="211"/>
      <c r="X125" s="130">
        <v>170</v>
      </c>
      <c r="Y125" s="130">
        <v>0</v>
      </c>
    </row>
    <row r="126" spans="1:25" x14ac:dyDescent="0.25">
      <c r="A126" s="130">
        <v>540104</v>
      </c>
      <c r="B126" s="130" t="s">
        <v>193</v>
      </c>
      <c r="C126" s="130" t="s">
        <v>45</v>
      </c>
      <c r="D126" s="130" t="s">
        <v>115</v>
      </c>
      <c r="E126" s="130">
        <v>6</v>
      </c>
      <c r="F126" s="207"/>
      <c r="G126" s="130">
        <v>0</v>
      </c>
      <c r="H126" s="130">
        <v>23</v>
      </c>
      <c r="I126" s="130">
        <v>2</v>
      </c>
      <c r="J126" s="130">
        <v>0</v>
      </c>
      <c r="K126" s="130">
        <v>0</v>
      </c>
      <c r="L126" s="130">
        <v>25</v>
      </c>
      <c r="M126" s="130">
        <v>25</v>
      </c>
      <c r="N126" s="211"/>
      <c r="O126" s="130">
        <v>0</v>
      </c>
      <c r="P126" s="130">
        <v>0</v>
      </c>
      <c r="Q126" s="130">
        <v>0</v>
      </c>
      <c r="R126" s="130">
        <v>0</v>
      </c>
      <c r="S126" s="130" t="s">
        <v>488</v>
      </c>
      <c r="T126" s="130" t="s">
        <v>488</v>
      </c>
      <c r="U126" s="130"/>
      <c r="V126" s="202">
        <f t="shared" si="1"/>
        <v>0</v>
      </c>
      <c r="W126" s="211"/>
      <c r="X126" s="130">
        <v>19</v>
      </c>
      <c r="Y126" s="130">
        <v>0</v>
      </c>
    </row>
    <row r="127" spans="1:25" x14ac:dyDescent="0.25">
      <c r="A127" s="130">
        <v>540105</v>
      </c>
      <c r="B127" s="130" t="s">
        <v>194</v>
      </c>
      <c r="C127" s="130" t="s">
        <v>45</v>
      </c>
      <c r="D127" s="130" t="s">
        <v>115</v>
      </c>
      <c r="E127" s="130">
        <v>6</v>
      </c>
      <c r="F127" s="207"/>
      <c r="G127" s="130">
        <v>0</v>
      </c>
      <c r="H127" s="130">
        <v>33</v>
      </c>
      <c r="I127" s="130">
        <v>2</v>
      </c>
      <c r="J127" s="130">
        <v>0</v>
      </c>
      <c r="K127" s="130">
        <v>0</v>
      </c>
      <c r="L127" s="130">
        <v>35</v>
      </c>
      <c r="M127" s="130">
        <v>35</v>
      </c>
      <c r="N127" s="211"/>
      <c r="O127" s="130">
        <v>0</v>
      </c>
      <c r="P127" s="130">
        <v>0</v>
      </c>
      <c r="Q127" s="130">
        <v>0</v>
      </c>
      <c r="R127" s="130">
        <v>0</v>
      </c>
      <c r="S127" s="130" t="s">
        <v>488</v>
      </c>
      <c r="T127" s="130" t="s">
        <v>488</v>
      </c>
      <c r="U127" s="130"/>
      <c r="V127" s="202">
        <f t="shared" si="1"/>
        <v>0</v>
      </c>
      <c r="W127" s="211"/>
      <c r="X127" s="130">
        <v>14</v>
      </c>
      <c r="Y127" s="130">
        <v>0</v>
      </c>
    </row>
    <row r="128" spans="1:25" x14ac:dyDescent="0.25">
      <c r="A128" s="130">
        <v>540106</v>
      </c>
      <c r="B128" s="130" t="s">
        <v>195</v>
      </c>
      <c r="C128" s="130" t="s">
        <v>45</v>
      </c>
      <c r="D128" s="130" t="s">
        <v>115</v>
      </c>
      <c r="E128" s="130">
        <v>6</v>
      </c>
      <c r="F128" s="207"/>
      <c r="G128" s="130">
        <v>0</v>
      </c>
      <c r="H128" s="130">
        <v>28</v>
      </c>
      <c r="I128" s="130">
        <v>0</v>
      </c>
      <c r="J128" s="130">
        <v>0</v>
      </c>
      <c r="K128" s="130">
        <v>0</v>
      </c>
      <c r="L128" s="130">
        <v>28</v>
      </c>
      <c r="M128" s="130">
        <v>28</v>
      </c>
      <c r="N128" s="211"/>
      <c r="O128" s="130">
        <v>0</v>
      </c>
      <c r="P128" s="130">
        <v>0</v>
      </c>
      <c r="Q128" s="130">
        <v>0</v>
      </c>
      <c r="R128" s="130">
        <v>0</v>
      </c>
      <c r="S128" s="130" t="s">
        <v>488</v>
      </c>
      <c r="T128" s="130" t="s">
        <v>488</v>
      </c>
      <c r="U128" s="130"/>
      <c r="V128" s="202">
        <f t="shared" si="1"/>
        <v>0</v>
      </c>
      <c r="W128" s="211"/>
      <c r="X128" s="130">
        <v>0</v>
      </c>
      <c r="Y128" s="130">
        <v>0</v>
      </c>
    </row>
    <row r="129" spans="1:25" x14ac:dyDescent="0.25">
      <c r="A129" s="130">
        <v>540292</v>
      </c>
      <c r="B129" s="130" t="s">
        <v>329</v>
      </c>
      <c r="C129" s="130" t="s">
        <v>45</v>
      </c>
      <c r="D129" s="130" t="s">
        <v>115</v>
      </c>
      <c r="E129" s="130">
        <v>6</v>
      </c>
      <c r="F129" s="207"/>
      <c r="G129" s="130">
        <v>37</v>
      </c>
      <c r="H129" s="130">
        <v>4</v>
      </c>
      <c r="I129" s="130">
        <v>7</v>
      </c>
      <c r="J129" s="130">
        <v>0</v>
      </c>
      <c r="K129" s="130">
        <v>0</v>
      </c>
      <c r="L129" s="130">
        <v>11</v>
      </c>
      <c r="M129" s="130">
        <v>48</v>
      </c>
      <c r="N129" s="211"/>
      <c r="O129" s="130">
        <v>0</v>
      </c>
      <c r="P129" s="130">
        <v>0</v>
      </c>
      <c r="Q129" s="130">
        <v>7</v>
      </c>
      <c r="R129" s="130">
        <v>0</v>
      </c>
      <c r="S129" s="130" t="s">
        <v>488</v>
      </c>
      <c r="T129" s="130" t="s">
        <v>488</v>
      </c>
      <c r="U129" s="130"/>
      <c r="V129" s="202">
        <f t="shared" si="1"/>
        <v>0</v>
      </c>
      <c r="W129" s="211"/>
      <c r="X129" s="130">
        <v>0</v>
      </c>
      <c r="Y129" s="130">
        <v>0</v>
      </c>
    </row>
    <row r="130" spans="1:25" x14ac:dyDescent="0.25">
      <c r="A130" s="130">
        <v>545556</v>
      </c>
      <c r="B130" s="130" t="s">
        <v>337</v>
      </c>
      <c r="C130" s="130" t="s">
        <v>45</v>
      </c>
      <c r="D130" s="130" t="s">
        <v>115</v>
      </c>
      <c r="E130" s="130">
        <v>6</v>
      </c>
      <c r="F130" s="207"/>
      <c r="G130" s="130">
        <v>4</v>
      </c>
      <c r="H130" s="130">
        <v>0</v>
      </c>
      <c r="I130" s="130">
        <v>0</v>
      </c>
      <c r="J130" s="130">
        <v>0</v>
      </c>
      <c r="K130" s="130">
        <v>0</v>
      </c>
      <c r="L130" s="130">
        <v>0</v>
      </c>
      <c r="M130" s="130">
        <v>4</v>
      </c>
      <c r="N130" s="211"/>
      <c r="O130" s="130">
        <v>0</v>
      </c>
      <c r="P130" s="130">
        <v>0</v>
      </c>
      <c r="Q130" s="130">
        <v>0</v>
      </c>
      <c r="R130" s="130">
        <v>1</v>
      </c>
      <c r="S130" s="130" t="s">
        <v>488</v>
      </c>
      <c r="T130" s="130" t="s">
        <v>488</v>
      </c>
      <c r="U130" s="130"/>
      <c r="V130" s="202">
        <f t="shared" si="1"/>
        <v>1</v>
      </c>
      <c r="W130" s="211"/>
      <c r="X130" s="130">
        <v>0</v>
      </c>
      <c r="Y130" s="130">
        <v>0</v>
      </c>
    </row>
    <row r="131" spans="1:25" x14ac:dyDescent="0.25">
      <c r="A131" s="130"/>
      <c r="B131" s="130"/>
      <c r="C131" s="130" t="s">
        <v>45</v>
      </c>
      <c r="D131" s="130"/>
      <c r="E131" s="130"/>
      <c r="F131" s="207"/>
      <c r="G131" s="130">
        <v>823</v>
      </c>
      <c r="H131" s="130">
        <v>1064</v>
      </c>
      <c r="I131" s="130">
        <v>50</v>
      </c>
      <c r="J131" s="130">
        <v>0</v>
      </c>
      <c r="K131" s="130">
        <v>0</v>
      </c>
      <c r="L131" s="130">
        <v>1114</v>
      </c>
      <c r="M131" s="130">
        <v>1937</v>
      </c>
      <c r="N131" s="211"/>
      <c r="O131" s="130">
        <v>18</v>
      </c>
      <c r="P131" s="130">
        <v>15</v>
      </c>
      <c r="Q131" s="130">
        <v>76</v>
      </c>
      <c r="R131" s="130">
        <v>208</v>
      </c>
      <c r="S131" s="130" t="s">
        <v>488</v>
      </c>
      <c r="T131" s="130" t="s">
        <v>488</v>
      </c>
      <c r="U131" s="130"/>
      <c r="V131" s="202">
        <f t="shared" si="1"/>
        <v>223</v>
      </c>
      <c r="W131" s="211"/>
      <c r="X131" s="130">
        <v>265</v>
      </c>
      <c r="Y131" s="130">
        <v>0</v>
      </c>
    </row>
    <row r="132" spans="1:25" x14ac:dyDescent="0.25">
      <c r="A132" s="128">
        <v>540107</v>
      </c>
      <c r="B132" s="128" t="s">
        <v>46</v>
      </c>
      <c r="C132" s="128" t="s">
        <v>47</v>
      </c>
      <c r="D132" s="128" t="s">
        <v>5</v>
      </c>
      <c r="E132" s="128">
        <v>10</v>
      </c>
      <c r="F132" s="206"/>
      <c r="G132" s="128">
        <v>297</v>
      </c>
      <c r="H132" s="128">
        <v>279</v>
      </c>
      <c r="I132" s="128">
        <v>14</v>
      </c>
      <c r="J132" s="128">
        <v>0</v>
      </c>
      <c r="K132" s="128">
        <v>0</v>
      </c>
      <c r="L132" s="128">
        <v>293</v>
      </c>
      <c r="M132" s="128">
        <v>590</v>
      </c>
      <c r="N132" s="210"/>
      <c r="O132" s="128" t="s">
        <v>488</v>
      </c>
      <c r="P132" s="128" t="s">
        <v>488</v>
      </c>
      <c r="Q132" s="128" t="s">
        <v>488</v>
      </c>
      <c r="R132" s="128" t="s">
        <v>488</v>
      </c>
      <c r="S132" s="128" t="s">
        <v>488</v>
      </c>
      <c r="T132" s="128" t="s">
        <v>488</v>
      </c>
      <c r="U132" s="128"/>
      <c r="V132" s="202">
        <f t="shared" si="1"/>
        <v>0</v>
      </c>
      <c r="W132" s="210"/>
      <c r="X132" s="128">
        <v>21</v>
      </c>
      <c r="Y132" s="128">
        <v>0</v>
      </c>
    </row>
    <row r="133" spans="1:25" x14ac:dyDescent="0.25">
      <c r="A133" s="130">
        <v>540108</v>
      </c>
      <c r="B133" s="130" t="s">
        <v>196</v>
      </c>
      <c r="C133" s="130" t="s">
        <v>47</v>
      </c>
      <c r="D133" s="130" t="s">
        <v>115</v>
      </c>
      <c r="E133" s="130">
        <v>10</v>
      </c>
      <c r="F133" s="207"/>
      <c r="G133" s="130">
        <v>35</v>
      </c>
      <c r="H133" s="130">
        <v>305</v>
      </c>
      <c r="I133" s="130">
        <v>0</v>
      </c>
      <c r="J133" s="130">
        <v>0</v>
      </c>
      <c r="K133" s="130">
        <v>0</v>
      </c>
      <c r="L133" s="130">
        <v>305</v>
      </c>
      <c r="M133" s="130">
        <v>340</v>
      </c>
      <c r="N133" s="211"/>
      <c r="O133" s="130" t="s">
        <v>488</v>
      </c>
      <c r="P133" s="130" t="s">
        <v>488</v>
      </c>
      <c r="Q133" s="130" t="s">
        <v>488</v>
      </c>
      <c r="R133" s="130" t="s">
        <v>488</v>
      </c>
      <c r="S133" s="130" t="s">
        <v>488</v>
      </c>
      <c r="T133" s="130" t="s">
        <v>488</v>
      </c>
      <c r="U133" s="130"/>
      <c r="V133" s="202">
        <f t="shared" ref="V133:V196" si="2" xml:space="preserve"> SUM(P133, R133, T133)</f>
        <v>0</v>
      </c>
      <c r="W133" s="211"/>
      <c r="X133" s="130">
        <v>15</v>
      </c>
      <c r="Y133" s="130">
        <v>0</v>
      </c>
    </row>
    <row r="134" spans="1:25" x14ac:dyDescent="0.25">
      <c r="A134" s="130">
        <v>540109</v>
      </c>
      <c r="B134" s="130" t="s">
        <v>197</v>
      </c>
      <c r="C134" s="130" t="s">
        <v>47</v>
      </c>
      <c r="D134" s="130" t="s">
        <v>115</v>
      </c>
      <c r="E134" s="130">
        <v>10</v>
      </c>
      <c r="F134" s="207"/>
      <c r="G134" s="130">
        <v>0</v>
      </c>
      <c r="H134" s="130">
        <v>20</v>
      </c>
      <c r="I134" s="130">
        <v>9</v>
      </c>
      <c r="J134" s="130">
        <v>0</v>
      </c>
      <c r="K134" s="130">
        <v>0</v>
      </c>
      <c r="L134" s="130">
        <v>29</v>
      </c>
      <c r="M134" s="130">
        <v>29</v>
      </c>
      <c r="N134" s="211"/>
      <c r="O134" s="130" t="s">
        <v>488</v>
      </c>
      <c r="P134" s="130" t="s">
        <v>488</v>
      </c>
      <c r="Q134" s="130" t="s">
        <v>488</v>
      </c>
      <c r="R134" s="130" t="s">
        <v>488</v>
      </c>
      <c r="S134" s="130" t="s">
        <v>488</v>
      </c>
      <c r="T134" s="130" t="s">
        <v>488</v>
      </c>
      <c r="U134" s="130"/>
      <c r="V134" s="202">
        <f t="shared" si="2"/>
        <v>0</v>
      </c>
      <c r="W134" s="211"/>
      <c r="X134" s="130">
        <v>1</v>
      </c>
      <c r="Y134" s="130">
        <v>0</v>
      </c>
    </row>
    <row r="135" spans="1:25" x14ac:dyDescent="0.25">
      <c r="A135" s="130">
        <v>540110</v>
      </c>
      <c r="B135" s="130" t="s">
        <v>198</v>
      </c>
      <c r="C135" s="130" t="s">
        <v>47</v>
      </c>
      <c r="D135" s="130" t="s">
        <v>115</v>
      </c>
      <c r="E135" s="130">
        <v>10</v>
      </c>
      <c r="F135" s="207"/>
      <c r="G135" s="130">
        <v>78</v>
      </c>
      <c r="H135" s="130">
        <v>46</v>
      </c>
      <c r="I135" s="130">
        <v>0</v>
      </c>
      <c r="J135" s="130">
        <v>0</v>
      </c>
      <c r="K135" s="130">
        <v>0</v>
      </c>
      <c r="L135" s="130">
        <v>46</v>
      </c>
      <c r="M135" s="130">
        <v>124</v>
      </c>
      <c r="N135" s="211"/>
      <c r="O135" s="130" t="s">
        <v>488</v>
      </c>
      <c r="P135" s="130" t="s">
        <v>488</v>
      </c>
      <c r="Q135" s="130" t="s">
        <v>488</v>
      </c>
      <c r="R135" s="130" t="s">
        <v>488</v>
      </c>
      <c r="S135" s="130" t="s">
        <v>488</v>
      </c>
      <c r="T135" s="130" t="s">
        <v>488</v>
      </c>
      <c r="U135" s="130"/>
      <c r="V135" s="202">
        <f t="shared" si="2"/>
        <v>0</v>
      </c>
      <c r="W135" s="211"/>
      <c r="X135" s="130">
        <v>27</v>
      </c>
      <c r="Y135" s="130">
        <v>0</v>
      </c>
    </row>
    <row r="136" spans="1:25" x14ac:dyDescent="0.25">
      <c r="A136" s="130">
        <v>540111</v>
      </c>
      <c r="B136" s="130" t="s">
        <v>199</v>
      </c>
      <c r="C136" s="130" t="s">
        <v>47</v>
      </c>
      <c r="D136" s="130" t="s">
        <v>115</v>
      </c>
      <c r="E136" s="130">
        <v>10</v>
      </c>
      <c r="F136" s="207"/>
      <c r="G136" s="130">
        <v>10</v>
      </c>
      <c r="H136" s="130">
        <v>290</v>
      </c>
      <c r="I136" s="130">
        <v>0</v>
      </c>
      <c r="J136" s="130">
        <v>0</v>
      </c>
      <c r="K136" s="130">
        <v>0</v>
      </c>
      <c r="L136" s="130">
        <v>290</v>
      </c>
      <c r="M136" s="130">
        <v>300</v>
      </c>
      <c r="N136" s="211"/>
      <c r="O136" s="130" t="s">
        <v>488</v>
      </c>
      <c r="P136" s="130" t="s">
        <v>488</v>
      </c>
      <c r="Q136" s="130" t="s">
        <v>488</v>
      </c>
      <c r="R136" s="130" t="s">
        <v>488</v>
      </c>
      <c r="S136" s="130" t="s">
        <v>488</v>
      </c>
      <c r="T136" s="130" t="s">
        <v>488</v>
      </c>
      <c r="U136" s="130"/>
      <c r="V136" s="202">
        <f t="shared" si="2"/>
        <v>0</v>
      </c>
      <c r="W136" s="211"/>
      <c r="X136" s="130">
        <v>70</v>
      </c>
      <c r="Y136" s="130">
        <v>0</v>
      </c>
    </row>
    <row r="137" spans="1:25" x14ac:dyDescent="0.25">
      <c r="A137" s="130">
        <v>540287</v>
      </c>
      <c r="B137" s="130" t="s">
        <v>326</v>
      </c>
      <c r="C137" s="130" t="s">
        <v>47</v>
      </c>
      <c r="D137" s="130" t="s">
        <v>115</v>
      </c>
      <c r="E137" s="130">
        <v>10</v>
      </c>
      <c r="F137" s="207"/>
      <c r="G137" s="130">
        <v>0</v>
      </c>
      <c r="H137" s="130">
        <v>51</v>
      </c>
      <c r="I137" s="130">
        <v>6</v>
      </c>
      <c r="J137" s="130">
        <v>0</v>
      </c>
      <c r="K137" s="130">
        <v>0</v>
      </c>
      <c r="L137" s="130">
        <v>57</v>
      </c>
      <c r="M137" s="130">
        <v>57</v>
      </c>
      <c r="N137" s="211"/>
      <c r="O137" s="130" t="s">
        <v>488</v>
      </c>
      <c r="P137" s="130" t="s">
        <v>488</v>
      </c>
      <c r="Q137" s="130" t="s">
        <v>488</v>
      </c>
      <c r="R137" s="130" t="s">
        <v>488</v>
      </c>
      <c r="S137" s="130" t="s">
        <v>488</v>
      </c>
      <c r="T137" s="130" t="s">
        <v>488</v>
      </c>
      <c r="U137" s="130"/>
      <c r="V137" s="202">
        <f t="shared" si="2"/>
        <v>0</v>
      </c>
      <c r="W137" s="211"/>
      <c r="X137" s="130">
        <v>1</v>
      </c>
      <c r="Y137" s="130">
        <v>0</v>
      </c>
    </row>
    <row r="138" spans="1:25" x14ac:dyDescent="0.25">
      <c r="A138" s="130">
        <v>540152</v>
      </c>
      <c r="B138" s="130" t="s">
        <v>229</v>
      </c>
      <c r="C138" s="130" t="s">
        <v>47</v>
      </c>
      <c r="D138" s="130" t="s">
        <v>115</v>
      </c>
      <c r="E138" s="130">
        <v>10</v>
      </c>
      <c r="F138" s="207"/>
      <c r="G138" s="130">
        <v>0</v>
      </c>
      <c r="H138" s="130">
        <v>6</v>
      </c>
      <c r="I138" s="130">
        <v>0</v>
      </c>
      <c r="J138" s="130">
        <v>0</v>
      </c>
      <c r="K138" s="130">
        <v>0</v>
      </c>
      <c r="L138" s="130">
        <v>6</v>
      </c>
      <c r="M138" s="130">
        <v>6</v>
      </c>
      <c r="N138" s="211"/>
      <c r="O138" s="130" t="s">
        <v>488</v>
      </c>
      <c r="P138" s="130" t="s">
        <v>488</v>
      </c>
      <c r="Q138" s="130" t="s">
        <v>488</v>
      </c>
      <c r="R138" s="130" t="s">
        <v>488</v>
      </c>
      <c r="S138" s="130" t="s">
        <v>488</v>
      </c>
      <c r="T138" s="130" t="s">
        <v>488</v>
      </c>
      <c r="U138" s="130"/>
      <c r="V138" s="202">
        <f t="shared" si="2"/>
        <v>0</v>
      </c>
      <c r="W138" s="211"/>
      <c r="X138" s="130">
        <v>15</v>
      </c>
      <c r="Y138" s="130">
        <v>0</v>
      </c>
    </row>
    <row r="139" spans="1:25" x14ac:dyDescent="0.25">
      <c r="A139" s="130"/>
      <c r="B139" s="130"/>
      <c r="C139" s="130" t="s">
        <v>47</v>
      </c>
      <c r="D139" s="130"/>
      <c r="E139" s="130"/>
      <c r="F139" s="207"/>
      <c r="G139" s="130">
        <v>420</v>
      </c>
      <c r="H139" s="130">
        <v>997</v>
      </c>
      <c r="I139" s="130">
        <v>29</v>
      </c>
      <c r="J139" s="130">
        <v>0</v>
      </c>
      <c r="K139" s="130">
        <v>0</v>
      </c>
      <c r="L139" s="130">
        <v>1026</v>
      </c>
      <c r="M139" s="130">
        <v>1446</v>
      </c>
      <c r="N139" s="211"/>
      <c r="O139" s="130" t="s">
        <v>488</v>
      </c>
      <c r="P139" s="130" t="s">
        <v>488</v>
      </c>
      <c r="Q139" s="130" t="s">
        <v>488</v>
      </c>
      <c r="R139" s="130" t="s">
        <v>488</v>
      </c>
      <c r="S139" s="130" t="s">
        <v>488</v>
      </c>
      <c r="T139" s="130" t="s">
        <v>488</v>
      </c>
      <c r="U139" s="130"/>
      <c r="V139" s="202">
        <f t="shared" si="2"/>
        <v>0</v>
      </c>
      <c r="W139" s="211"/>
      <c r="X139" s="130">
        <v>150</v>
      </c>
      <c r="Y139" s="130">
        <v>0</v>
      </c>
    </row>
    <row r="140" spans="1:25" x14ac:dyDescent="0.25">
      <c r="A140" s="128">
        <v>540112</v>
      </c>
      <c r="B140" s="128" t="s">
        <v>48</v>
      </c>
      <c r="C140" s="128" t="s">
        <v>49</v>
      </c>
      <c r="D140" s="128" t="s">
        <v>5</v>
      </c>
      <c r="E140" s="128">
        <v>2</v>
      </c>
      <c r="F140" s="206"/>
      <c r="G140" s="128">
        <v>211</v>
      </c>
      <c r="H140" s="128">
        <v>869</v>
      </c>
      <c r="I140" s="128">
        <v>102</v>
      </c>
      <c r="J140" s="128">
        <v>0</v>
      </c>
      <c r="K140" s="128">
        <v>0</v>
      </c>
      <c r="L140" s="128">
        <v>971</v>
      </c>
      <c r="M140" s="128">
        <v>1182</v>
      </c>
      <c r="N140" s="210"/>
      <c r="O140" s="128" t="s">
        <v>488</v>
      </c>
      <c r="P140" s="128" t="s">
        <v>488</v>
      </c>
      <c r="Q140" s="128" t="s">
        <v>488</v>
      </c>
      <c r="R140" s="128" t="s">
        <v>488</v>
      </c>
      <c r="S140" s="128" t="s">
        <v>488</v>
      </c>
      <c r="T140" s="128" t="s">
        <v>488</v>
      </c>
      <c r="U140" s="128"/>
      <c r="V140" s="202">
        <f t="shared" si="2"/>
        <v>0</v>
      </c>
      <c r="W140" s="210"/>
      <c r="X140" s="128">
        <v>474</v>
      </c>
      <c r="Y140" s="128">
        <v>1</v>
      </c>
    </row>
    <row r="141" spans="1:25" x14ac:dyDescent="0.25">
      <c r="A141" s="130">
        <v>540113</v>
      </c>
      <c r="B141" s="130" t="s">
        <v>200</v>
      </c>
      <c r="C141" s="130" t="s">
        <v>49</v>
      </c>
      <c r="D141" s="130" t="s">
        <v>115</v>
      </c>
      <c r="E141" s="130">
        <v>2</v>
      </c>
      <c r="F141" s="207"/>
      <c r="G141" s="130">
        <v>0</v>
      </c>
      <c r="H141" s="130">
        <v>30</v>
      </c>
      <c r="I141" s="130">
        <v>4</v>
      </c>
      <c r="J141" s="130">
        <v>0</v>
      </c>
      <c r="K141" s="130">
        <v>0</v>
      </c>
      <c r="L141" s="130">
        <v>34</v>
      </c>
      <c r="M141" s="130">
        <v>34</v>
      </c>
      <c r="N141" s="211"/>
      <c r="O141" s="130" t="s">
        <v>488</v>
      </c>
      <c r="P141" s="130" t="s">
        <v>488</v>
      </c>
      <c r="Q141" s="130" t="s">
        <v>488</v>
      </c>
      <c r="R141" s="130" t="s">
        <v>488</v>
      </c>
      <c r="S141" s="130" t="s">
        <v>488</v>
      </c>
      <c r="T141" s="130" t="s">
        <v>488</v>
      </c>
      <c r="U141" s="130"/>
      <c r="V141" s="202">
        <f t="shared" si="2"/>
        <v>0</v>
      </c>
      <c r="W141" s="211"/>
      <c r="X141" s="130">
        <v>11</v>
      </c>
      <c r="Y141" s="130">
        <v>0</v>
      </c>
    </row>
    <row r="142" spans="1:25" x14ac:dyDescent="0.25">
      <c r="A142" s="130">
        <v>540247</v>
      </c>
      <c r="B142" s="130" t="s">
        <v>293</v>
      </c>
      <c r="C142" s="130" t="s">
        <v>49</v>
      </c>
      <c r="D142" s="130" t="s">
        <v>115</v>
      </c>
      <c r="E142" s="130">
        <v>2</v>
      </c>
      <c r="F142" s="207"/>
      <c r="G142" s="130">
        <v>0</v>
      </c>
      <c r="H142" s="130">
        <v>218</v>
      </c>
      <c r="I142" s="130">
        <v>54</v>
      </c>
      <c r="J142" s="130">
        <v>0</v>
      </c>
      <c r="K142" s="130">
        <v>0</v>
      </c>
      <c r="L142" s="130">
        <v>272</v>
      </c>
      <c r="M142" s="130">
        <v>272</v>
      </c>
      <c r="N142" s="211"/>
      <c r="O142" s="130" t="s">
        <v>488</v>
      </c>
      <c r="P142" s="130" t="s">
        <v>488</v>
      </c>
      <c r="Q142" s="130" t="s">
        <v>488</v>
      </c>
      <c r="R142" s="130" t="s">
        <v>488</v>
      </c>
      <c r="S142" s="130" t="s">
        <v>488</v>
      </c>
      <c r="T142" s="130" t="s">
        <v>488</v>
      </c>
      <c r="U142" s="130"/>
      <c r="V142" s="202">
        <f t="shared" si="2"/>
        <v>0</v>
      </c>
      <c r="W142" s="211"/>
      <c r="X142" s="130">
        <v>16</v>
      </c>
      <c r="Y142" s="130">
        <v>0</v>
      </c>
    </row>
    <row r="143" spans="1:25" x14ac:dyDescent="0.25">
      <c r="A143" s="130">
        <v>540248</v>
      </c>
      <c r="B143" s="130" t="s">
        <v>294</v>
      </c>
      <c r="C143" s="130" t="s">
        <v>49</v>
      </c>
      <c r="D143" s="130" t="s">
        <v>115</v>
      </c>
      <c r="E143" s="130">
        <v>2</v>
      </c>
      <c r="F143" s="207"/>
      <c r="G143" s="130">
        <v>0</v>
      </c>
      <c r="H143" s="130">
        <v>107</v>
      </c>
      <c r="I143" s="130">
        <v>17</v>
      </c>
      <c r="J143" s="130">
        <v>0</v>
      </c>
      <c r="K143" s="130">
        <v>0</v>
      </c>
      <c r="L143" s="130">
        <v>124</v>
      </c>
      <c r="M143" s="130">
        <v>124</v>
      </c>
      <c r="N143" s="211"/>
      <c r="O143" s="130" t="s">
        <v>488</v>
      </c>
      <c r="P143" s="130" t="s">
        <v>488</v>
      </c>
      <c r="Q143" s="130" t="s">
        <v>488</v>
      </c>
      <c r="R143" s="130" t="s">
        <v>488</v>
      </c>
      <c r="S143" s="130" t="s">
        <v>488</v>
      </c>
      <c r="T143" s="130" t="s">
        <v>488</v>
      </c>
      <c r="U143" s="130"/>
      <c r="V143" s="202">
        <f t="shared" si="2"/>
        <v>0</v>
      </c>
      <c r="W143" s="211"/>
      <c r="X143" s="130">
        <v>102</v>
      </c>
      <c r="Y143" s="130">
        <v>0</v>
      </c>
    </row>
    <row r="144" spans="1:25" x14ac:dyDescent="0.25">
      <c r="A144" s="130">
        <v>540249</v>
      </c>
      <c r="B144" s="130" t="s">
        <v>295</v>
      </c>
      <c r="C144" s="130" t="s">
        <v>49</v>
      </c>
      <c r="D144" s="130" t="s">
        <v>115</v>
      </c>
      <c r="E144" s="130">
        <v>2</v>
      </c>
      <c r="F144" s="207"/>
      <c r="G144" s="130">
        <v>0</v>
      </c>
      <c r="H144" s="130">
        <v>59</v>
      </c>
      <c r="I144" s="130">
        <v>0</v>
      </c>
      <c r="J144" s="130">
        <v>0</v>
      </c>
      <c r="K144" s="130">
        <v>0</v>
      </c>
      <c r="L144" s="130">
        <v>59</v>
      </c>
      <c r="M144" s="130">
        <v>59</v>
      </c>
      <c r="N144" s="211"/>
      <c r="O144" s="130" t="s">
        <v>488</v>
      </c>
      <c r="P144" s="130" t="s">
        <v>488</v>
      </c>
      <c r="Q144" s="130" t="s">
        <v>488</v>
      </c>
      <c r="R144" s="130" t="s">
        <v>488</v>
      </c>
      <c r="S144" s="130" t="s">
        <v>488</v>
      </c>
      <c r="T144" s="130" t="s">
        <v>488</v>
      </c>
      <c r="U144" s="130"/>
      <c r="V144" s="202">
        <f t="shared" si="2"/>
        <v>0</v>
      </c>
      <c r="W144" s="211"/>
      <c r="X144" s="130">
        <v>234</v>
      </c>
      <c r="Y144" s="130">
        <v>0</v>
      </c>
    </row>
    <row r="145" spans="1:25" x14ac:dyDescent="0.25">
      <c r="A145" s="130">
        <v>540250</v>
      </c>
      <c r="B145" s="130" t="s">
        <v>296</v>
      </c>
      <c r="C145" s="130" t="s">
        <v>49</v>
      </c>
      <c r="D145" s="130" t="s">
        <v>115</v>
      </c>
      <c r="E145" s="130">
        <v>2</v>
      </c>
      <c r="F145" s="207"/>
      <c r="G145" s="130">
        <v>0</v>
      </c>
      <c r="H145" s="130">
        <v>75</v>
      </c>
      <c r="I145" s="130">
        <v>0</v>
      </c>
      <c r="J145" s="130">
        <v>0</v>
      </c>
      <c r="K145" s="130">
        <v>0</v>
      </c>
      <c r="L145" s="130">
        <v>75</v>
      </c>
      <c r="M145" s="130">
        <v>75</v>
      </c>
      <c r="N145" s="211"/>
      <c r="O145" s="130" t="s">
        <v>488</v>
      </c>
      <c r="P145" s="130" t="s">
        <v>488</v>
      </c>
      <c r="Q145" s="130" t="s">
        <v>488</v>
      </c>
      <c r="R145" s="130" t="s">
        <v>488</v>
      </c>
      <c r="S145" s="130" t="s">
        <v>488</v>
      </c>
      <c r="T145" s="130" t="s">
        <v>488</v>
      </c>
      <c r="U145" s="130"/>
      <c r="V145" s="202">
        <f t="shared" si="2"/>
        <v>0</v>
      </c>
      <c r="W145" s="211"/>
      <c r="X145" s="130">
        <v>49</v>
      </c>
      <c r="Y145" s="130">
        <v>620</v>
      </c>
    </row>
    <row r="146" spans="1:25" x14ac:dyDescent="0.25">
      <c r="A146" s="130">
        <v>540251</v>
      </c>
      <c r="B146" s="130" t="s">
        <v>297</v>
      </c>
      <c r="C146" s="130" t="s">
        <v>49</v>
      </c>
      <c r="D146" s="130" t="s">
        <v>115</v>
      </c>
      <c r="E146" s="130">
        <v>2</v>
      </c>
      <c r="F146" s="207"/>
      <c r="G146" s="130">
        <v>0</v>
      </c>
      <c r="H146" s="130">
        <v>166</v>
      </c>
      <c r="I146" s="130">
        <v>0</v>
      </c>
      <c r="J146" s="130">
        <v>0</v>
      </c>
      <c r="K146" s="130">
        <v>0</v>
      </c>
      <c r="L146" s="130">
        <v>166</v>
      </c>
      <c r="M146" s="130">
        <v>166</v>
      </c>
      <c r="N146" s="211"/>
      <c r="O146" s="130" t="s">
        <v>488</v>
      </c>
      <c r="P146" s="130" t="s">
        <v>488</v>
      </c>
      <c r="Q146" s="130" t="s">
        <v>488</v>
      </c>
      <c r="R146" s="130" t="s">
        <v>488</v>
      </c>
      <c r="S146" s="130" t="s">
        <v>488</v>
      </c>
      <c r="T146" s="130" t="s">
        <v>488</v>
      </c>
      <c r="U146" s="130"/>
      <c r="V146" s="202">
        <f t="shared" si="2"/>
        <v>0</v>
      </c>
      <c r="W146" s="211"/>
      <c r="X146" s="130">
        <v>2</v>
      </c>
      <c r="Y146" s="130">
        <v>0</v>
      </c>
    </row>
    <row r="147" spans="1:25" x14ac:dyDescent="0.25">
      <c r="A147" s="130"/>
      <c r="B147" s="130"/>
      <c r="C147" s="130" t="s">
        <v>49</v>
      </c>
      <c r="D147" s="130"/>
      <c r="E147" s="130"/>
      <c r="F147" s="207"/>
      <c r="G147" s="130">
        <v>211</v>
      </c>
      <c r="H147" s="130">
        <v>1524</v>
      </c>
      <c r="I147" s="130">
        <v>177</v>
      </c>
      <c r="J147" s="130">
        <v>0</v>
      </c>
      <c r="K147" s="130">
        <v>0</v>
      </c>
      <c r="L147" s="130">
        <v>1701</v>
      </c>
      <c r="M147" s="130">
        <v>1912</v>
      </c>
      <c r="N147" s="211"/>
      <c r="O147" s="130" t="s">
        <v>488</v>
      </c>
      <c r="P147" s="130" t="s">
        <v>488</v>
      </c>
      <c r="Q147" s="130" t="s">
        <v>488</v>
      </c>
      <c r="R147" s="130" t="s">
        <v>488</v>
      </c>
      <c r="S147" s="130" t="s">
        <v>488</v>
      </c>
      <c r="T147" s="130" t="s">
        <v>488</v>
      </c>
      <c r="U147" s="130"/>
      <c r="V147" s="202">
        <f t="shared" si="2"/>
        <v>0</v>
      </c>
      <c r="W147" s="211"/>
      <c r="X147" s="130">
        <v>888</v>
      </c>
      <c r="Y147" s="130">
        <v>621</v>
      </c>
    </row>
    <row r="148" spans="1:25" x14ac:dyDescent="0.25">
      <c r="A148" s="128">
        <v>540114</v>
      </c>
      <c r="B148" s="128" t="s">
        <v>50</v>
      </c>
      <c r="C148" s="128" t="s">
        <v>51</v>
      </c>
      <c r="D148" s="128" t="s">
        <v>5</v>
      </c>
      <c r="E148" s="128">
        <v>1</v>
      </c>
      <c r="F148" s="206"/>
      <c r="G148" s="128">
        <v>1198</v>
      </c>
      <c r="H148" s="128">
        <v>845</v>
      </c>
      <c r="I148" s="128">
        <v>332</v>
      </c>
      <c r="J148" s="128">
        <v>0</v>
      </c>
      <c r="K148" s="128">
        <v>0</v>
      </c>
      <c r="L148" s="128">
        <v>1177</v>
      </c>
      <c r="M148" s="128">
        <v>2375</v>
      </c>
      <c r="N148" s="210"/>
      <c r="O148" s="128" t="s">
        <v>488</v>
      </c>
      <c r="P148" s="128" t="s">
        <v>488</v>
      </c>
      <c r="Q148" s="128">
        <v>419</v>
      </c>
      <c r="R148" s="128">
        <v>929</v>
      </c>
      <c r="S148" s="128" t="s">
        <v>488</v>
      </c>
      <c r="T148" s="128" t="s">
        <v>488</v>
      </c>
      <c r="U148" s="128"/>
      <c r="V148" s="202">
        <f t="shared" si="2"/>
        <v>929</v>
      </c>
      <c r="W148" s="210"/>
      <c r="X148" s="128">
        <v>384</v>
      </c>
      <c r="Y148" s="128">
        <v>0</v>
      </c>
    </row>
    <row r="149" spans="1:25" x14ac:dyDescent="0.25">
      <c r="A149" s="130">
        <v>540115</v>
      </c>
      <c r="B149" s="130" t="s">
        <v>201</v>
      </c>
      <c r="C149" s="130" t="s">
        <v>51</v>
      </c>
      <c r="D149" s="130" t="s">
        <v>115</v>
      </c>
      <c r="E149" s="130">
        <v>1</v>
      </c>
      <c r="F149" s="207"/>
      <c r="G149" s="130">
        <v>0</v>
      </c>
      <c r="H149" s="130">
        <v>41</v>
      </c>
      <c r="I149" s="130">
        <v>24</v>
      </c>
      <c r="J149" s="130">
        <v>0</v>
      </c>
      <c r="K149" s="130">
        <v>0</v>
      </c>
      <c r="L149" s="130">
        <v>65</v>
      </c>
      <c r="M149" s="130">
        <v>65</v>
      </c>
      <c r="N149" s="211"/>
      <c r="O149" s="130" t="s">
        <v>488</v>
      </c>
      <c r="P149" s="130" t="s">
        <v>488</v>
      </c>
      <c r="Q149" s="130">
        <v>0</v>
      </c>
      <c r="R149" s="130">
        <v>0</v>
      </c>
      <c r="S149" s="130" t="s">
        <v>488</v>
      </c>
      <c r="T149" s="130" t="s">
        <v>488</v>
      </c>
      <c r="U149" s="130"/>
      <c r="V149" s="202">
        <f t="shared" si="2"/>
        <v>0</v>
      </c>
      <c r="W149" s="211"/>
      <c r="X149" s="130">
        <v>12</v>
      </c>
      <c r="Y149" s="130">
        <v>0</v>
      </c>
    </row>
    <row r="150" spans="1:25" x14ac:dyDescent="0.25">
      <c r="A150" s="130">
        <v>540116</v>
      </c>
      <c r="B150" s="130" t="s">
        <v>202</v>
      </c>
      <c r="C150" s="130" t="s">
        <v>51</v>
      </c>
      <c r="D150" s="130" t="s">
        <v>115</v>
      </c>
      <c r="E150" s="130">
        <v>1</v>
      </c>
      <c r="F150" s="207"/>
      <c r="G150" s="130">
        <v>0</v>
      </c>
      <c r="H150" s="130">
        <v>87</v>
      </c>
      <c r="I150" s="130">
        <v>15</v>
      </c>
      <c r="J150" s="130">
        <v>0</v>
      </c>
      <c r="K150" s="130">
        <v>0</v>
      </c>
      <c r="L150" s="130">
        <v>102</v>
      </c>
      <c r="M150" s="130">
        <v>102</v>
      </c>
      <c r="N150" s="211"/>
      <c r="O150" s="130" t="s">
        <v>488</v>
      </c>
      <c r="P150" s="130" t="s">
        <v>488</v>
      </c>
      <c r="Q150" s="130">
        <v>0</v>
      </c>
      <c r="R150" s="130">
        <v>4</v>
      </c>
      <c r="S150" s="130" t="s">
        <v>488</v>
      </c>
      <c r="T150" s="130" t="s">
        <v>488</v>
      </c>
      <c r="U150" s="130"/>
      <c r="V150" s="202">
        <f t="shared" si="2"/>
        <v>4</v>
      </c>
      <c r="W150" s="211"/>
      <c r="X150" s="130">
        <v>4</v>
      </c>
      <c r="Y150" s="130">
        <v>0</v>
      </c>
    </row>
    <row r="151" spans="1:25" x14ac:dyDescent="0.25">
      <c r="A151" s="130">
        <v>540117</v>
      </c>
      <c r="B151" s="130" t="s">
        <v>203</v>
      </c>
      <c r="C151" s="130" t="s">
        <v>51</v>
      </c>
      <c r="D151" s="130" t="s">
        <v>115</v>
      </c>
      <c r="E151" s="130">
        <v>1</v>
      </c>
      <c r="F151" s="207"/>
      <c r="G151" s="130">
        <v>147</v>
      </c>
      <c r="H151" s="130">
        <v>204</v>
      </c>
      <c r="I151" s="130">
        <v>61</v>
      </c>
      <c r="J151" s="130">
        <v>0</v>
      </c>
      <c r="K151" s="130">
        <v>0</v>
      </c>
      <c r="L151" s="130">
        <v>265</v>
      </c>
      <c r="M151" s="130">
        <v>412</v>
      </c>
      <c r="N151" s="211"/>
      <c r="O151" s="130" t="s">
        <v>488</v>
      </c>
      <c r="P151" s="130" t="s">
        <v>488</v>
      </c>
      <c r="Q151" s="130">
        <v>115</v>
      </c>
      <c r="R151" s="130">
        <v>5</v>
      </c>
      <c r="S151" s="130" t="s">
        <v>488</v>
      </c>
      <c r="T151" s="130" t="s">
        <v>488</v>
      </c>
      <c r="U151" s="130"/>
      <c r="V151" s="202">
        <f t="shared" si="2"/>
        <v>5</v>
      </c>
      <c r="W151" s="211"/>
      <c r="X151" s="130">
        <v>32</v>
      </c>
      <c r="Y151" s="130">
        <v>0</v>
      </c>
    </row>
    <row r="152" spans="1:25" x14ac:dyDescent="0.25">
      <c r="A152" s="130">
        <v>540118</v>
      </c>
      <c r="B152" s="130" t="s">
        <v>204</v>
      </c>
      <c r="C152" s="130" t="s">
        <v>51</v>
      </c>
      <c r="D152" s="130" t="s">
        <v>115</v>
      </c>
      <c r="E152" s="130">
        <v>1</v>
      </c>
      <c r="F152" s="207"/>
      <c r="G152" s="130">
        <v>0</v>
      </c>
      <c r="H152" s="130">
        <v>40</v>
      </c>
      <c r="I152" s="130">
        <v>4</v>
      </c>
      <c r="J152" s="130">
        <v>0</v>
      </c>
      <c r="K152" s="130">
        <v>0</v>
      </c>
      <c r="L152" s="130">
        <v>44</v>
      </c>
      <c r="M152" s="130">
        <v>44</v>
      </c>
      <c r="N152" s="211"/>
      <c r="O152" s="130" t="s">
        <v>488</v>
      </c>
      <c r="P152" s="130" t="s">
        <v>488</v>
      </c>
      <c r="Q152" s="130">
        <v>0</v>
      </c>
      <c r="R152" s="130">
        <v>5</v>
      </c>
      <c r="S152" s="130" t="s">
        <v>488</v>
      </c>
      <c r="T152" s="130" t="s">
        <v>488</v>
      </c>
      <c r="U152" s="130"/>
      <c r="V152" s="202">
        <f t="shared" si="2"/>
        <v>5</v>
      </c>
      <c r="W152" s="211"/>
      <c r="X152" s="130">
        <v>67</v>
      </c>
      <c r="Y152" s="130">
        <v>0</v>
      </c>
    </row>
    <row r="153" spans="1:25" x14ac:dyDescent="0.25">
      <c r="A153" s="130">
        <v>540119</v>
      </c>
      <c r="B153" s="130" t="s">
        <v>205</v>
      </c>
      <c r="C153" s="130" t="s">
        <v>51</v>
      </c>
      <c r="D153" s="130" t="s">
        <v>115</v>
      </c>
      <c r="E153" s="130">
        <v>1</v>
      </c>
      <c r="F153" s="207"/>
      <c r="G153" s="130">
        <v>0</v>
      </c>
      <c r="H153" s="130">
        <v>79</v>
      </c>
      <c r="I153" s="130">
        <v>59</v>
      </c>
      <c r="J153" s="130">
        <v>0</v>
      </c>
      <c r="K153" s="130">
        <v>0</v>
      </c>
      <c r="L153" s="130">
        <v>138</v>
      </c>
      <c r="M153" s="130">
        <v>138</v>
      </c>
      <c r="N153" s="211"/>
      <c r="O153" s="130" t="s">
        <v>488</v>
      </c>
      <c r="P153" s="130" t="s">
        <v>488</v>
      </c>
      <c r="Q153" s="130">
        <v>0</v>
      </c>
      <c r="R153" s="130">
        <v>0</v>
      </c>
      <c r="S153" s="130" t="s">
        <v>488</v>
      </c>
      <c r="T153" s="130" t="s">
        <v>488</v>
      </c>
      <c r="U153" s="130"/>
      <c r="V153" s="202">
        <f t="shared" si="2"/>
        <v>0</v>
      </c>
      <c r="W153" s="211"/>
      <c r="X153" s="130">
        <v>15</v>
      </c>
      <c r="Y153" s="130">
        <v>0</v>
      </c>
    </row>
    <row r="154" spans="1:25" x14ac:dyDescent="0.25">
      <c r="A154" s="130">
        <v>540120</v>
      </c>
      <c r="B154" s="130" t="s">
        <v>206</v>
      </c>
      <c r="C154" s="130" t="s">
        <v>51</v>
      </c>
      <c r="D154" s="130" t="s">
        <v>115</v>
      </c>
      <c r="E154" s="130">
        <v>1</v>
      </c>
      <c r="F154" s="207"/>
      <c r="G154" s="130">
        <v>0</v>
      </c>
      <c r="H154" s="130">
        <v>40</v>
      </c>
      <c r="I154" s="130">
        <v>37</v>
      </c>
      <c r="J154" s="130">
        <v>0</v>
      </c>
      <c r="K154" s="130">
        <v>0</v>
      </c>
      <c r="L154" s="130">
        <v>77</v>
      </c>
      <c r="M154" s="130">
        <v>77</v>
      </c>
      <c r="N154" s="211"/>
      <c r="O154" s="130" t="s">
        <v>488</v>
      </c>
      <c r="P154" s="130" t="s">
        <v>488</v>
      </c>
      <c r="Q154" s="130">
        <v>0</v>
      </c>
      <c r="R154" s="130">
        <v>1</v>
      </c>
      <c r="S154" s="130" t="s">
        <v>488</v>
      </c>
      <c r="T154" s="130" t="s">
        <v>488</v>
      </c>
      <c r="U154" s="130"/>
      <c r="V154" s="202">
        <f t="shared" si="2"/>
        <v>1</v>
      </c>
      <c r="W154" s="211"/>
      <c r="X154" s="130">
        <v>5</v>
      </c>
      <c r="Y154" s="130">
        <v>0</v>
      </c>
    </row>
    <row r="155" spans="1:25" x14ac:dyDescent="0.25">
      <c r="A155" s="130">
        <v>540121</v>
      </c>
      <c r="B155" s="130" t="s">
        <v>207</v>
      </c>
      <c r="C155" s="130" t="s">
        <v>51</v>
      </c>
      <c r="D155" s="130" t="s">
        <v>115</v>
      </c>
      <c r="E155" s="130">
        <v>1</v>
      </c>
      <c r="F155" s="207"/>
      <c r="G155" s="130">
        <v>49</v>
      </c>
      <c r="H155" s="130">
        <v>108</v>
      </c>
      <c r="I155" s="130">
        <v>8</v>
      </c>
      <c r="J155" s="130">
        <v>0</v>
      </c>
      <c r="K155" s="130">
        <v>0</v>
      </c>
      <c r="L155" s="130">
        <v>116</v>
      </c>
      <c r="M155" s="130">
        <v>165</v>
      </c>
      <c r="N155" s="211"/>
      <c r="O155" s="130" t="s">
        <v>488</v>
      </c>
      <c r="P155" s="130" t="s">
        <v>488</v>
      </c>
      <c r="Q155" s="130">
        <v>17</v>
      </c>
      <c r="R155" s="130">
        <v>3</v>
      </c>
      <c r="S155" s="130" t="s">
        <v>488</v>
      </c>
      <c r="T155" s="130" t="s">
        <v>488</v>
      </c>
      <c r="U155" s="130"/>
      <c r="V155" s="202">
        <f t="shared" si="2"/>
        <v>3</v>
      </c>
      <c r="W155" s="211"/>
      <c r="X155" s="130">
        <v>9</v>
      </c>
      <c r="Y155" s="130">
        <v>0</v>
      </c>
    </row>
    <row r="156" spans="1:25" x14ac:dyDescent="0.25">
      <c r="A156" s="130">
        <v>540122</v>
      </c>
      <c r="B156" s="130" t="s">
        <v>208</v>
      </c>
      <c r="C156" s="130" t="s">
        <v>51</v>
      </c>
      <c r="D156" s="130" t="s">
        <v>115</v>
      </c>
      <c r="E156" s="130">
        <v>1</v>
      </c>
      <c r="F156" s="207"/>
      <c r="G156" s="130">
        <v>7</v>
      </c>
      <c r="H156" s="130">
        <v>62</v>
      </c>
      <c r="I156" s="130">
        <v>13</v>
      </c>
      <c r="J156" s="130">
        <v>0</v>
      </c>
      <c r="K156" s="130">
        <v>0</v>
      </c>
      <c r="L156" s="130">
        <v>75</v>
      </c>
      <c r="M156" s="130">
        <v>82</v>
      </c>
      <c r="N156" s="211"/>
      <c r="O156" s="130" t="s">
        <v>488</v>
      </c>
      <c r="P156" s="130" t="s">
        <v>488</v>
      </c>
      <c r="Q156" s="130">
        <v>3</v>
      </c>
      <c r="R156" s="130">
        <v>0</v>
      </c>
      <c r="S156" s="130" t="s">
        <v>488</v>
      </c>
      <c r="T156" s="130" t="s">
        <v>488</v>
      </c>
      <c r="U156" s="130"/>
      <c r="V156" s="202">
        <f t="shared" si="2"/>
        <v>0</v>
      </c>
      <c r="W156" s="211"/>
      <c r="X156" s="130">
        <v>97</v>
      </c>
      <c r="Y156" s="130">
        <v>0</v>
      </c>
    </row>
    <row r="157" spans="1:25" x14ac:dyDescent="0.25">
      <c r="A157" s="130">
        <v>540123</v>
      </c>
      <c r="B157" s="130" t="s">
        <v>209</v>
      </c>
      <c r="C157" s="130" t="s">
        <v>51</v>
      </c>
      <c r="D157" s="130" t="s">
        <v>115</v>
      </c>
      <c r="E157" s="130">
        <v>1</v>
      </c>
      <c r="F157" s="207"/>
      <c r="G157" s="130">
        <v>0</v>
      </c>
      <c r="H157" s="130">
        <v>289</v>
      </c>
      <c r="I157" s="130">
        <v>90</v>
      </c>
      <c r="J157" s="130">
        <v>0</v>
      </c>
      <c r="K157" s="130">
        <v>0</v>
      </c>
      <c r="L157" s="130">
        <v>379</v>
      </c>
      <c r="M157" s="130">
        <v>379</v>
      </c>
      <c r="N157" s="211"/>
      <c r="O157" s="130" t="s">
        <v>488</v>
      </c>
      <c r="P157" s="130" t="s">
        <v>488</v>
      </c>
      <c r="Q157" s="130">
        <v>0</v>
      </c>
      <c r="R157" s="130">
        <v>18</v>
      </c>
      <c r="S157" s="130" t="s">
        <v>488</v>
      </c>
      <c r="T157" s="130" t="s">
        <v>488</v>
      </c>
      <c r="U157" s="130"/>
      <c r="V157" s="202">
        <f t="shared" si="2"/>
        <v>18</v>
      </c>
      <c r="W157" s="211"/>
      <c r="X157" s="130">
        <v>140</v>
      </c>
      <c r="Y157" s="130">
        <v>0</v>
      </c>
    </row>
    <row r="158" spans="1:25" x14ac:dyDescent="0.25">
      <c r="A158" s="130">
        <v>540291</v>
      </c>
      <c r="B158" s="130" t="s">
        <v>328</v>
      </c>
      <c r="C158" s="130" t="s">
        <v>51</v>
      </c>
      <c r="D158" s="130" t="s">
        <v>115</v>
      </c>
      <c r="E158" s="130">
        <v>1</v>
      </c>
      <c r="F158" s="207"/>
      <c r="G158" s="130">
        <v>0</v>
      </c>
      <c r="H158" s="130">
        <v>16</v>
      </c>
      <c r="I158" s="130">
        <v>2</v>
      </c>
      <c r="J158" s="130">
        <v>0</v>
      </c>
      <c r="K158" s="130">
        <v>0</v>
      </c>
      <c r="L158" s="130">
        <v>18</v>
      </c>
      <c r="M158" s="130">
        <v>18</v>
      </c>
      <c r="N158" s="211"/>
      <c r="O158" s="130" t="s">
        <v>488</v>
      </c>
      <c r="P158" s="130" t="s">
        <v>488</v>
      </c>
      <c r="Q158" s="130">
        <v>0</v>
      </c>
      <c r="R158" s="130">
        <v>14</v>
      </c>
      <c r="S158" s="130" t="s">
        <v>488</v>
      </c>
      <c r="T158" s="130" t="s">
        <v>488</v>
      </c>
      <c r="U158" s="130"/>
      <c r="V158" s="202">
        <f t="shared" si="2"/>
        <v>14</v>
      </c>
      <c r="W158" s="211"/>
      <c r="X158" s="130">
        <v>28</v>
      </c>
      <c r="Y158" s="130">
        <v>0</v>
      </c>
    </row>
    <row r="159" spans="1:25" x14ac:dyDescent="0.25">
      <c r="A159" s="130"/>
      <c r="B159" s="130"/>
      <c r="C159" s="130" t="s">
        <v>51</v>
      </c>
      <c r="D159" s="130"/>
      <c r="E159" s="130"/>
      <c r="F159" s="207"/>
      <c r="G159" s="130">
        <v>1401</v>
      </c>
      <c r="H159" s="130">
        <v>1811</v>
      </c>
      <c r="I159" s="130">
        <v>645</v>
      </c>
      <c r="J159" s="130">
        <v>0</v>
      </c>
      <c r="K159" s="130">
        <v>0</v>
      </c>
      <c r="L159" s="130">
        <v>2456</v>
      </c>
      <c r="M159" s="130">
        <v>3857</v>
      </c>
      <c r="N159" s="211"/>
      <c r="O159" s="130" t="s">
        <v>488</v>
      </c>
      <c r="P159" s="130" t="s">
        <v>488</v>
      </c>
      <c r="Q159" s="130">
        <v>554</v>
      </c>
      <c r="R159" s="130">
        <v>979</v>
      </c>
      <c r="S159" s="130" t="s">
        <v>488</v>
      </c>
      <c r="T159" s="130" t="s">
        <v>488</v>
      </c>
      <c r="U159" s="130"/>
      <c r="V159" s="202">
        <f t="shared" si="2"/>
        <v>979</v>
      </c>
      <c r="W159" s="211"/>
      <c r="X159" s="130">
        <v>793</v>
      </c>
      <c r="Y159" s="130">
        <v>0</v>
      </c>
    </row>
    <row r="160" spans="1:25" x14ac:dyDescent="0.25">
      <c r="A160" s="128">
        <v>540124</v>
      </c>
      <c r="B160" s="128" t="s">
        <v>52</v>
      </c>
      <c r="C160" s="128" t="s">
        <v>52</v>
      </c>
      <c r="D160" s="128" t="s">
        <v>5</v>
      </c>
      <c r="E160" s="128">
        <v>1</v>
      </c>
      <c r="F160" s="206"/>
      <c r="G160" s="128">
        <v>853</v>
      </c>
      <c r="H160" s="128">
        <v>934</v>
      </c>
      <c r="I160" s="128">
        <v>93</v>
      </c>
      <c r="J160" s="128">
        <v>0</v>
      </c>
      <c r="K160" s="128">
        <v>0</v>
      </c>
      <c r="L160" s="128">
        <v>1027</v>
      </c>
      <c r="M160" s="128">
        <v>1880</v>
      </c>
      <c r="N160" s="210"/>
      <c r="O160" s="128" t="s">
        <v>488</v>
      </c>
      <c r="P160" s="128" t="s">
        <v>488</v>
      </c>
      <c r="Q160" s="128">
        <v>718</v>
      </c>
      <c r="R160" s="128">
        <v>56</v>
      </c>
      <c r="S160" s="128" t="s">
        <v>488</v>
      </c>
      <c r="T160" s="128" t="s">
        <v>488</v>
      </c>
      <c r="U160" s="128"/>
      <c r="V160" s="202">
        <f t="shared" si="2"/>
        <v>56</v>
      </c>
      <c r="W160" s="210"/>
      <c r="X160" s="128">
        <v>9</v>
      </c>
      <c r="Y160" s="128">
        <v>0</v>
      </c>
    </row>
    <row r="161" spans="1:25" x14ac:dyDescent="0.25">
      <c r="A161" s="130">
        <v>540125</v>
      </c>
      <c r="B161" s="130" t="s">
        <v>210</v>
      </c>
      <c r="C161" s="130" t="s">
        <v>52</v>
      </c>
      <c r="D161" s="130" t="s">
        <v>115</v>
      </c>
      <c r="E161" s="130">
        <v>1</v>
      </c>
      <c r="F161" s="207"/>
      <c r="G161" s="130">
        <v>0</v>
      </c>
      <c r="H161" s="130">
        <v>14</v>
      </c>
      <c r="I161" s="130">
        <v>4</v>
      </c>
      <c r="J161" s="130">
        <v>0</v>
      </c>
      <c r="K161" s="130">
        <v>0</v>
      </c>
      <c r="L161" s="130">
        <v>18</v>
      </c>
      <c r="M161" s="130">
        <v>18</v>
      </c>
      <c r="N161" s="211"/>
      <c r="O161" s="130" t="s">
        <v>488</v>
      </c>
      <c r="P161" s="130" t="s">
        <v>488</v>
      </c>
      <c r="Q161" s="130">
        <v>0</v>
      </c>
      <c r="R161" s="130">
        <v>1</v>
      </c>
      <c r="S161" s="130" t="s">
        <v>488</v>
      </c>
      <c r="T161" s="130" t="s">
        <v>488</v>
      </c>
      <c r="U161" s="130"/>
      <c r="V161" s="202">
        <f t="shared" si="2"/>
        <v>1</v>
      </c>
      <c r="W161" s="211"/>
      <c r="X161" s="130">
        <v>1</v>
      </c>
      <c r="Y161" s="130">
        <v>0</v>
      </c>
    </row>
    <row r="162" spans="1:25" x14ac:dyDescent="0.25">
      <c r="A162" s="130">
        <v>540126</v>
      </c>
      <c r="B162" s="130" t="s">
        <v>211</v>
      </c>
      <c r="C162" s="130" t="s">
        <v>52</v>
      </c>
      <c r="D162" s="130" t="s">
        <v>115</v>
      </c>
      <c r="E162" s="130">
        <v>1</v>
      </c>
      <c r="F162" s="207"/>
      <c r="G162" s="130">
        <v>0</v>
      </c>
      <c r="H162" s="130">
        <v>52</v>
      </c>
      <c r="I162" s="130">
        <v>1</v>
      </c>
      <c r="J162" s="130">
        <v>0</v>
      </c>
      <c r="K162" s="130">
        <v>0</v>
      </c>
      <c r="L162" s="130">
        <v>53</v>
      </c>
      <c r="M162" s="130">
        <v>53</v>
      </c>
      <c r="N162" s="211"/>
      <c r="O162" s="130" t="s">
        <v>488</v>
      </c>
      <c r="P162" s="130" t="s">
        <v>488</v>
      </c>
      <c r="Q162" s="130">
        <v>0</v>
      </c>
      <c r="R162" s="130">
        <v>0</v>
      </c>
      <c r="S162" s="130" t="s">
        <v>488</v>
      </c>
      <c r="T162" s="130" t="s">
        <v>488</v>
      </c>
      <c r="U162" s="130"/>
      <c r="V162" s="202">
        <f t="shared" si="2"/>
        <v>0</v>
      </c>
      <c r="W162" s="211"/>
      <c r="X162" s="130">
        <v>0</v>
      </c>
      <c r="Y162" s="130">
        <v>0</v>
      </c>
    </row>
    <row r="163" spans="1:25" x14ac:dyDescent="0.25">
      <c r="A163" s="130">
        <v>540127</v>
      </c>
      <c r="B163" s="130" t="s">
        <v>212</v>
      </c>
      <c r="C163" s="130" t="s">
        <v>52</v>
      </c>
      <c r="D163" s="130" t="s">
        <v>115</v>
      </c>
      <c r="E163" s="130">
        <v>1</v>
      </c>
      <c r="F163" s="207"/>
      <c r="G163" s="130">
        <v>0</v>
      </c>
      <c r="H163" s="130">
        <v>19</v>
      </c>
      <c r="I163" s="130">
        <v>0</v>
      </c>
      <c r="J163" s="130">
        <v>0</v>
      </c>
      <c r="K163" s="130">
        <v>0</v>
      </c>
      <c r="L163" s="130">
        <v>19</v>
      </c>
      <c r="M163" s="130">
        <v>19</v>
      </c>
      <c r="N163" s="211"/>
      <c r="O163" s="130" t="s">
        <v>488</v>
      </c>
      <c r="P163" s="130" t="s">
        <v>488</v>
      </c>
      <c r="Q163" s="130">
        <v>0</v>
      </c>
      <c r="R163" s="130">
        <v>0</v>
      </c>
      <c r="S163" s="130" t="s">
        <v>488</v>
      </c>
      <c r="T163" s="130" t="s">
        <v>488</v>
      </c>
      <c r="U163" s="130"/>
      <c r="V163" s="202">
        <f t="shared" si="2"/>
        <v>0</v>
      </c>
      <c r="W163" s="211"/>
      <c r="X163" s="130">
        <v>0</v>
      </c>
      <c r="Y163" s="130">
        <v>0</v>
      </c>
    </row>
    <row r="164" spans="1:25" x14ac:dyDescent="0.25">
      <c r="A164" s="130">
        <v>540128</v>
      </c>
      <c r="B164" s="130" t="s">
        <v>213</v>
      </c>
      <c r="C164" s="130" t="s">
        <v>52</v>
      </c>
      <c r="D164" s="130" t="s">
        <v>115</v>
      </c>
      <c r="E164" s="130">
        <v>1</v>
      </c>
      <c r="F164" s="207"/>
      <c r="G164" s="130">
        <v>6</v>
      </c>
      <c r="H164" s="130">
        <v>207</v>
      </c>
      <c r="I164" s="130">
        <v>3</v>
      </c>
      <c r="J164" s="130">
        <v>0</v>
      </c>
      <c r="K164" s="130">
        <v>0</v>
      </c>
      <c r="L164" s="130">
        <v>210</v>
      </c>
      <c r="M164" s="130">
        <v>216</v>
      </c>
      <c r="N164" s="211"/>
      <c r="O164" s="130" t="s">
        <v>488</v>
      </c>
      <c r="P164" s="130" t="s">
        <v>488</v>
      </c>
      <c r="Q164" s="130">
        <v>6</v>
      </c>
      <c r="R164" s="130">
        <v>0</v>
      </c>
      <c r="S164" s="130" t="s">
        <v>488</v>
      </c>
      <c r="T164" s="130" t="s">
        <v>488</v>
      </c>
      <c r="U164" s="130"/>
      <c r="V164" s="202">
        <f t="shared" si="2"/>
        <v>0</v>
      </c>
      <c r="W164" s="211"/>
      <c r="X164" s="130">
        <v>16</v>
      </c>
      <c r="Y164" s="130">
        <v>0</v>
      </c>
    </row>
    <row r="165" spans="1:25" x14ac:dyDescent="0.25">
      <c r="A165" s="130">
        <v>540172</v>
      </c>
      <c r="B165" s="130" t="s">
        <v>244</v>
      </c>
      <c r="C165" s="130" t="s">
        <v>52</v>
      </c>
      <c r="D165" s="130" t="s">
        <v>115</v>
      </c>
      <c r="E165" s="130">
        <v>1</v>
      </c>
      <c r="F165" s="207"/>
      <c r="G165" s="130">
        <v>0</v>
      </c>
      <c r="H165" s="130">
        <v>0</v>
      </c>
      <c r="I165" s="130">
        <v>0</v>
      </c>
      <c r="J165" s="130">
        <v>0</v>
      </c>
      <c r="K165" s="130">
        <v>0</v>
      </c>
      <c r="L165" s="130">
        <v>0</v>
      </c>
      <c r="M165" s="130">
        <v>0</v>
      </c>
      <c r="N165" s="211"/>
      <c r="O165" s="130" t="s">
        <v>488</v>
      </c>
      <c r="P165" s="130" t="s">
        <v>488</v>
      </c>
      <c r="Q165" s="130">
        <v>0</v>
      </c>
      <c r="R165" s="130">
        <v>0</v>
      </c>
      <c r="S165" s="130" t="s">
        <v>488</v>
      </c>
      <c r="T165" s="130" t="s">
        <v>488</v>
      </c>
      <c r="U165" s="130"/>
      <c r="V165" s="202">
        <f t="shared" si="2"/>
        <v>0</v>
      </c>
      <c r="W165" s="211"/>
      <c r="X165" s="130">
        <v>0</v>
      </c>
      <c r="Y165" s="130">
        <v>0</v>
      </c>
    </row>
    <row r="166" spans="1:25" x14ac:dyDescent="0.25">
      <c r="A166" s="130">
        <v>540285</v>
      </c>
      <c r="B166" s="130" t="s">
        <v>324</v>
      </c>
      <c r="C166" s="130" t="s">
        <v>52</v>
      </c>
      <c r="D166" s="130" t="s">
        <v>115</v>
      </c>
      <c r="E166" s="130">
        <v>1</v>
      </c>
      <c r="F166" s="207"/>
      <c r="G166" s="130">
        <v>2</v>
      </c>
      <c r="H166" s="130">
        <v>0</v>
      </c>
      <c r="I166" s="130">
        <v>0</v>
      </c>
      <c r="J166" s="130">
        <v>0</v>
      </c>
      <c r="K166" s="130">
        <v>0</v>
      </c>
      <c r="L166" s="130">
        <v>0</v>
      </c>
      <c r="M166" s="130">
        <v>2</v>
      </c>
      <c r="N166" s="211"/>
      <c r="O166" s="130" t="s">
        <v>488</v>
      </c>
      <c r="P166" s="130" t="s">
        <v>488</v>
      </c>
      <c r="Q166" s="130">
        <v>2</v>
      </c>
      <c r="R166" s="130">
        <v>0</v>
      </c>
      <c r="S166" s="130" t="s">
        <v>488</v>
      </c>
      <c r="T166" s="130" t="s">
        <v>488</v>
      </c>
      <c r="U166" s="130"/>
      <c r="V166" s="202">
        <f t="shared" si="2"/>
        <v>0</v>
      </c>
      <c r="W166" s="211"/>
      <c r="X166" s="130">
        <v>0</v>
      </c>
      <c r="Y166" s="130">
        <v>0</v>
      </c>
    </row>
    <row r="167" spans="1:25" x14ac:dyDescent="0.25">
      <c r="A167" s="130"/>
      <c r="B167" s="130"/>
      <c r="C167" s="130" t="s">
        <v>52</v>
      </c>
      <c r="D167" s="130"/>
      <c r="E167" s="130"/>
      <c r="F167" s="207"/>
      <c r="G167" s="130">
        <v>861</v>
      </c>
      <c r="H167" s="130">
        <v>1226</v>
      </c>
      <c r="I167" s="130">
        <v>101</v>
      </c>
      <c r="J167" s="130">
        <v>0</v>
      </c>
      <c r="K167" s="130">
        <v>0</v>
      </c>
      <c r="L167" s="130">
        <v>1327</v>
      </c>
      <c r="M167" s="130">
        <v>2188</v>
      </c>
      <c r="N167" s="211"/>
      <c r="O167" s="130" t="s">
        <v>488</v>
      </c>
      <c r="P167" s="130" t="s">
        <v>488</v>
      </c>
      <c r="Q167" s="130">
        <v>726</v>
      </c>
      <c r="R167" s="130">
        <v>57</v>
      </c>
      <c r="S167" s="130" t="s">
        <v>488</v>
      </c>
      <c r="T167" s="130" t="s">
        <v>488</v>
      </c>
      <c r="U167" s="130"/>
      <c r="V167" s="202">
        <f t="shared" si="2"/>
        <v>57</v>
      </c>
      <c r="W167" s="211"/>
      <c r="X167" s="130">
        <v>26</v>
      </c>
      <c r="Y167" s="130">
        <v>0</v>
      </c>
    </row>
    <row r="168" spans="1:25" x14ac:dyDescent="0.25">
      <c r="A168" s="128">
        <v>540129</v>
      </c>
      <c r="B168" s="128" t="s">
        <v>54</v>
      </c>
      <c r="C168" s="128" t="s">
        <v>1333</v>
      </c>
      <c r="D168" s="128" t="s">
        <v>5</v>
      </c>
      <c r="E168" s="128">
        <v>8</v>
      </c>
      <c r="F168" s="206"/>
      <c r="G168" s="128">
        <v>108</v>
      </c>
      <c r="H168" s="128">
        <v>278</v>
      </c>
      <c r="I168" s="128">
        <v>204</v>
      </c>
      <c r="J168" s="128">
        <v>0</v>
      </c>
      <c r="K168" s="128">
        <v>0</v>
      </c>
      <c r="L168" s="128">
        <v>482</v>
      </c>
      <c r="M168" s="128">
        <v>590</v>
      </c>
      <c r="N168" s="210"/>
      <c r="O168" s="128" t="s">
        <v>488</v>
      </c>
      <c r="P168" s="128" t="s">
        <v>488</v>
      </c>
      <c r="Q168" s="128">
        <v>1</v>
      </c>
      <c r="R168" s="128">
        <v>2</v>
      </c>
      <c r="S168" s="128" t="s">
        <v>488</v>
      </c>
      <c r="T168" s="128" t="s">
        <v>488</v>
      </c>
      <c r="U168" s="128"/>
      <c r="V168" s="202">
        <f t="shared" si="2"/>
        <v>2</v>
      </c>
      <c r="W168" s="210"/>
      <c r="X168" s="128">
        <v>0</v>
      </c>
      <c r="Y168" s="128">
        <v>0</v>
      </c>
    </row>
    <row r="169" spans="1:25" x14ac:dyDescent="0.25">
      <c r="A169" s="130">
        <v>540130</v>
      </c>
      <c r="B169" s="130" t="s">
        <v>214</v>
      </c>
      <c r="C169" s="130" t="s">
        <v>1333</v>
      </c>
      <c r="D169" s="130" t="s">
        <v>115</v>
      </c>
      <c r="E169" s="130">
        <v>8</v>
      </c>
      <c r="F169" s="207"/>
      <c r="G169" s="130">
        <v>1</v>
      </c>
      <c r="H169" s="130">
        <v>160</v>
      </c>
      <c r="I169" s="130">
        <v>106</v>
      </c>
      <c r="J169" s="130">
        <v>0</v>
      </c>
      <c r="K169" s="130">
        <v>0</v>
      </c>
      <c r="L169" s="130">
        <v>266</v>
      </c>
      <c r="M169" s="130">
        <v>267</v>
      </c>
      <c r="N169" s="211"/>
      <c r="O169" s="130" t="s">
        <v>488</v>
      </c>
      <c r="P169" s="130" t="s">
        <v>488</v>
      </c>
      <c r="Q169" s="130">
        <v>0</v>
      </c>
      <c r="R169" s="130">
        <v>0</v>
      </c>
      <c r="S169" s="130" t="s">
        <v>488</v>
      </c>
      <c r="T169" s="130" t="s">
        <v>488</v>
      </c>
      <c r="U169" s="130"/>
      <c r="V169" s="202">
        <f t="shared" si="2"/>
        <v>0</v>
      </c>
      <c r="W169" s="211"/>
      <c r="X169" s="130">
        <v>0</v>
      </c>
      <c r="Y169" s="130">
        <v>0</v>
      </c>
    </row>
    <row r="170" spans="1:25" x14ac:dyDescent="0.25">
      <c r="A170" s="130">
        <v>540131</v>
      </c>
      <c r="B170" s="130" t="s">
        <v>215</v>
      </c>
      <c r="C170" s="130" t="s">
        <v>1333</v>
      </c>
      <c r="D170" s="130" t="s">
        <v>115</v>
      </c>
      <c r="E170" s="130">
        <v>8</v>
      </c>
      <c r="F170" s="207"/>
      <c r="G170" s="130">
        <v>3</v>
      </c>
      <c r="H170" s="130">
        <v>33</v>
      </c>
      <c r="I170" s="130">
        <v>2</v>
      </c>
      <c r="J170" s="130">
        <v>0</v>
      </c>
      <c r="K170" s="130">
        <v>0</v>
      </c>
      <c r="L170" s="130">
        <v>35</v>
      </c>
      <c r="M170" s="130">
        <v>38</v>
      </c>
      <c r="N170" s="211"/>
      <c r="O170" s="130" t="s">
        <v>488</v>
      </c>
      <c r="P170" s="130" t="s">
        <v>488</v>
      </c>
      <c r="Q170" s="130">
        <v>0</v>
      </c>
      <c r="R170" s="130">
        <v>0</v>
      </c>
      <c r="S170" s="130" t="s">
        <v>488</v>
      </c>
      <c r="T170" s="130" t="s">
        <v>488</v>
      </c>
      <c r="U170" s="130"/>
      <c r="V170" s="202">
        <f t="shared" si="2"/>
        <v>0</v>
      </c>
      <c r="W170" s="211"/>
      <c r="X170" s="130">
        <v>0</v>
      </c>
      <c r="Y170" s="130">
        <v>0</v>
      </c>
    </row>
    <row r="171" spans="1:25" x14ac:dyDescent="0.25">
      <c r="A171" s="130">
        <v>540155</v>
      </c>
      <c r="B171" s="130" t="s">
        <v>231</v>
      </c>
      <c r="C171" s="130" t="s">
        <v>1333</v>
      </c>
      <c r="D171" s="130" t="s">
        <v>115</v>
      </c>
      <c r="E171" s="130">
        <v>8</v>
      </c>
      <c r="F171" s="207"/>
      <c r="G171" s="130">
        <v>0</v>
      </c>
      <c r="H171" s="130">
        <v>9</v>
      </c>
      <c r="I171" s="130">
        <v>0</v>
      </c>
      <c r="J171" s="130">
        <v>0</v>
      </c>
      <c r="K171" s="130">
        <v>0</v>
      </c>
      <c r="L171" s="130">
        <v>9</v>
      </c>
      <c r="M171" s="130">
        <v>9</v>
      </c>
      <c r="N171" s="211"/>
      <c r="O171" s="130" t="s">
        <v>488</v>
      </c>
      <c r="P171" s="130" t="s">
        <v>488</v>
      </c>
      <c r="Q171" s="130">
        <v>0</v>
      </c>
      <c r="R171" s="130">
        <v>0</v>
      </c>
      <c r="S171" s="130" t="s">
        <v>488</v>
      </c>
      <c r="T171" s="130" t="s">
        <v>488</v>
      </c>
      <c r="U171" s="130"/>
      <c r="V171" s="202">
        <f t="shared" si="2"/>
        <v>0</v>
      </c>
      <c r="W171" s="211"/>
      <c r="X171" s="130">
        <v>0</v>
      </c>
      <c r="Y171" s="130">
        <v>0</v>
      </c>
    </row>
    <row r="172" spans="1:25" x14ac:dyDescent="0.25">
      <c r="A172" s="130">
        <v>545555</v>
      </c>
      <c r="B172" s="130" t="s">
        <v>336</v>
      </c>
      <c r="C172" s="130" t="s">
        <v>1333</v>
      </c>
      <c r="D172" s="130" t="s">
        <v>115</v>
      </c>
      <c r="E172" s="130">
        <v>8</v>
      </c>
      <c r="F172" s="207"/>
      <c r="G172" s="130">
        <v>0</v>
      </c>
      <c r="H172" s="130">
        <v>0</v>
      </c>
      <c r="I172" s="130">
        <v>0</v>
      </c>
      <c r="J172" s="130">
        <v>0</v>
      </c>
      <c r="K172" s="130">
        <v>0</v>
      </c>
      <c r="L172" s="130">
        <v>0</v>
      </c>
      <c r="M172" s="130">
        <v>0</v>
      </c>
      <c r="N172" s="211"/>
      <c r="O172" s="130" t="s">
        <v>488</v>
      </c>
      <c r="P172" s="130" t="s">
        <v>488</v>
      </c>
      <c r="Q172" s="130">
        <v>0</v>
      </c>
      <c r="R172" s="130">
        <v>0</v>
      </c>
      <c r="S172" s="130" t="s">
        <v>488</v>
      </c>
      <c r="T172" s="130" t="s">
        <v>488</v>
      </c>
      <c r="U172" s="130"/>
      <c r="V172" s="202">
        <f t="shared" si="2"/>
        <v>0</v>
      </c>
      <c r="W172" s="211"/>
      <c r="X172" s="130">
        <v>0</v>
      </c>
      <c r="Y172" s="130">
        <v>0</v>
      </c>
    </row>
    <row r="173" spans="1:25" x14ac:dyDescent="0.25">
      <c r="A173" s="130">
        <v>540091</v>
      </c>
      <c r="B173" s="130" t="s">
        <v>338</v>
      </c>
      <c r="C173" s="130" t="s">
        <v>1333</v>
      </c>
      <c r="D173" s="130" t="s">
        <v>115</v>
      </c>
      <c r="E173" s="130">
        <v>8</v>
      </c>
      <c r="F173" s="207"/>
      <c r="G173" s="130">
        <v>0</v>
      </c>
      <c r="H173" s="130">
        <v>0</v>
      </c>
      <c r="I173" s="130">
        <v>0</v>
      </c>
      <c r="J173" s="130">
        <v>0</v>
      </c>
      <c r="K173" s="130">
        <v>0</v>
      </c>
      <c r="L173" s="130">
        <v>0</v>
      </c>
      <c r="M173" s="130">
        <v>0</v>
      </c>
      <c r="N173" s="211"/>
      <c r="O173" s="130" t="s">
        <v>488</v>
      </c>
      <c r="P173" s="130" t="s">
        <v>488</v>
      </c>
      <c r="Q173" s="130">
        <v>0</v>
      </c>
      <c r="R173" s="130">
        <v>0</v>
      </c>
      <c r="S173" s="130" t="s">
        <v>488</v>
      </c>
      <c r="T173" s="130" t="s">
        <v>488</v>
      </c>
      <c r="U173" s="130"/>
      <c r="V173" s="202">
        <f t="shared" si="2"/>
        <v>0</v>
      </c>
      <c r="W173" s="211"/>
      <c r="X173" s="130">
        <v>0</v>
      </c>
      <c r="Y173" s="130">
        <v>0</v>
      </c>
    </row>
    <row r="174" spans="1:25" x14ac:dyDescent="0.25">
      <c r="A174" s="130"/>
      <c r="B174" s="130"/>
      <c r="C174" s="130" t="s">
        <v>1333</v>
      </c>
      <c r="D174" s="130"/>
      <c r="E174" s="130"/>
      <c r="F174" s="207"/>
      <c r="G174" s="130">
        <v>112</v>
      </c>
      <c r="H174" s="130">
        <v>480</v>
      </c>
      <c r="I174" s="130">
        <v>312</v>
      </c>
      <c r="J174" s="130">
        <v>0</v>
      </c>
      <c r="K174" s="130">
        <v>0</v>
      </c>
      <c r="L174" s="130">
        <v>792</v>
      </c>
      <c r="M174" s="130">
        <v>904</v>
      </c>
      <c r="N174" s="211"/>
      <c r="O174" s="130" t="s">
        <v>488</v>
      </c>
      <c r="P174" s="130" t="s">
        <v>488</v>
      </c>
      <c r="Q174" s="130">
        <v>1</v>
      </c>
      <c r="R174" s="130">
        <v>2</v>
      </c>
      <c r="S174" s="130" t="s">
        <v>488</v>
      </c>
      <c r="T174" s="130" t="s">
        <v>488</v>
      </c>
      <c r="U174" s="130"/>
      <c r="V174" s="202">
        <f t="shared" si="2"/>
        <v>2</v>
      </c>
      <c r="W174" s="211"/>
      <c r="X174" s="130">
        <v>0</v>
      </c>
      <c r="Y174" s="130">
        <v>0</v>
      </c>
    </row>
    <row r="175" spans="1:25" x14ac:dyDescent="0.25">
      <c r="A175" s="128">
        <v>540133</v>
      </c>
      <c r="B175" s="128" t="s">
        <v>56</v>
      </c>
      <c r="C175" s="128" t="s">
        <v>57</v>
      </c>
      <c r="D175" s="128" t="s">
        <v>5</v>
      </c>
      <c r="E175" s="128">
        <v>2</v>
      </c>
      <c r="F175" s="206"/>
      <c r="G175" s="128">
        <v>925</v>
      </c>
      <c r="H175" s="128">
        <v>1974</v>
      </c>
      <c r="I175" s="128">
        <v>398</v>
      </c>
      <c r="J175" s="128">
        <v>0</v>
      </c>
      <c r="K175" s="128">
        <v>0</v>
      </c>
      <c r="L175" s="128">
        <v>2372</v>
      </c>
      <c r="M175" s="128">
        <v>3297</v>
      </c>
      <c r="N175" s="210"/>
      <c r="O175" s="128" t="s">
        <v>488</v>
      </c>
      <c r="P175" s="128" t="s">
        <v>488</v>
      </c>
      <c r="Q175" s="128">
        <v>51</v>
      </c>
      <c r="R175" s="128">
        <v>257</v>
      </c>
      <c r="S175" s="128" t="s">
        <v>488</v>
      </c>
      <c r="T175" s="128" t="s">
        <v>488</v>
      </c>
      <c r="U175" s="128"/>
      <c r="V175" s="202">
        <f t="shared" si="2"/>
        <v>257</v>
      </c>
      <c r="W175" s="210"/>
      <c r="X175" s="128">
        <v>1121</v>
      </c>
      <c r="Y175" s="128">
        <v>0</v>
      </c>
    </row>
    <row r="176" spans="1:25" x14ac:dyDescent="0.25">
      <c r="A176" s="130">
        <v>540134</v>
      </c>
      <c r="B176" s="130" t="s">
        <v>217</v>
      </c>
      <c r="C176" s="130" t="s">
        <v>57</v>
      </c>
      <c r="D176" s="130" t="s">
        <v>115</v>
      </c>
      <c r="E176" s="130">
        <v>2</v>
      </c>
      <c r="F176" s="207"/>
      <c r="G176" s="130">
        <v>0</v>
      </c>
      <c r="H176" s="130">
        <v>122</v>
      </c>
      <c r="I176" s="130">
        <v>54</v>
      </c>
      <c r="J176" s="130">
        <v>0</v>
      </c>
      <c r="K176" s="130">
        <v>0</v>
      </c>
      <c r="L176" s="130">
        <v>176</v>
      </c>
      <c r="M176" s="130">
        <v>176</v>
      </c>
      <c r="N176" s="211"/>
      <c r="O176" s="130" t="s">
        <v>488</v>
      </c>
      <c r="P176" s="130" t="s">
        <v>488</v>
      </c>
      <c r="Q176" s="130">
        <v>0</v>
      </c>
      <c r="R176" s="130">
        <v>2</v>
      </c>
      <c r="S176" s="130" t="s">
        <v>488</v>
      </c>
      <c r="T176" s="130" t="s">
        <v>488</v>
      </c>
      <c r="U176" s="130"/>
      <c r="V176" s="202">
        <f t="shared" si="2"/>
        <v>2</v>
      </c>
      <c r="W176" s="211"/>
      <c r="X176" s="130">
        <v>43</v>
      </c>
      <c r="Y176" s="130">
        <v>0</v>
      </c>
    </row>
    <row r="177" spans="1:25" x14ac:dyDescent="0.25">
      <c r="A177" s="130">
        <v>540135</v>
      </c>
      <c r="B177" s="130" t="s">
        <v>218</v>
      </c>
      <c r="C177" s="130" t="s">
        <v>57</v>
      </c>
      <c r="D177" s="130" t="s">
        <v>115</v>
      </c>
      <c r="E177" s="130">
        <v>2</v>
      </c>
      <c r="F177" s="207"/>
      <c r="G177" s="130">
        <v>0</v>
      </c>
      <c r="H177" s="130">
        <v>71</v>
      </c>
      <c r="I177" s="130">
        <v>10</v>
      </c>
      <c r="J177" s="130">
        <v>0</v>
      </c>
      <c r="K177" s="130">
        <v>0</v>
      </c>
      <c r="L177" s="130">
        <v>81</v>
      </c>
      <c r="M177" s="130">
        <v>81</v>
      </c>
      <c r="N177" s="211"/>
      <c r="O177" s="130" t="s">
        <v>488</v>
      </c>
      <c r="P177" s="130" t="s">
        <v>488</v>
      </c>
      <c r="Q177" s="130">
        <v>0</v>
      </c>
      <c r="R177" s="130">
        <v>0</v>
      </c>
      <c r="S177" s="130" t="s">
        <v>488</v>
      </c>
      <c r="T177" s="130" t="s">
        <v>488</v>
      </c>
      <c r="U177" s="130"/>
      <c r="V177" s="202">
        <f t="shared" si="2"/>
        <v>0</v>
      </c>
      <c r="W177" s="211"/>
      <c r="X177" s="130">
        <v>36</v>
      </c>
      <c r="Y177" s="130">
        <v>0</v>
      </c>
    </row>
    <row r="178" spans="1:25" x14ac:dyDescent="0.25">
      <c r="A178" s="130">
        <v>540136</v>
      </c>
      <c r="B178" s="130" t="s">
        <v>219</v>
      </c>
      <c r="C178" s="130" t="s">
        <v>57</v>
      </c>
      <c r="D178" s="130" t="s">
        <v>115</v>
      </c>
      <c r="E178" s="130">
        <v>2</v>
      </c>
      <c r="F178" s="207"/>
      <c r="G178" s="130">
        <v>0</v>
      </c>
      <c r="H178" s="130">
        <v>117</v>
      </c>
      <c r="I178" s="130">
        <v>0</v>
      </c>
      <c r="J178" s="130">
        <v>0</v>
      </c>
      <c r="K178" s="130">
        <v>0</v>
      </c>
      <c r="L178" s="130">
        <v>117</v>
      </c>
      <c r="M178" s="130">
        <v>117</v>
      </c>
      <c r="N178" s="211"/>
      <c r="O178" s="130" t="s">
        <v>488</v>
      </c>
      <c r="P178" s="130" t="s">
        <v>488</v>
      </c>
      <c r="Q178" s="130">
        <v>0</v>
      </c>
      <c r="R178" s="130">
        <v>0</v>
      </c>
      <c r="S178" s="130" t="s">
        <v>488</v>
      </c>
      <c r="T178" s="130" t="s">
        <v>488</v>
      </c>
      <c r="U178" s="130"/>
      <c r="V178" s="202">
        <f t="shared" si="2"/>
        <v>0</v>
      </c>
      <c r="W178" s="211"/>
      <c r="X178" s="130">
        <v>15</v>
      </c>
      <c r="Y178" s="130">
        <v>0</v>
      </c>
    </row>
    <row r="179" spans="1:25" x14ac:dyDescent="0.25">
      <c r="A179" s="130">
        <v>540138</v>
      </c>
      <c r="B179" s="130" t="s">
        <v>221</v>
      </c>
      <c r="C179" s="130" t="s">
        <v>57</v>
      </c>
      <c r="D179" s="130" t="s">
        <v>115</v>
      </c>
      <c r="E179" s="130">
        <v>2</v>
      </c>
      <c r="F179" s="207"/>
      <c r="G179" s="130">
        <v>0</v>
      </c>
      <c r="H179" s="130">
        <v>44</v>
      </c>
      <c r="I179" s="130">
        <v>3</v>
      </c>
      <c r="J179" s="130">
        <v>0</v>
      </c>
      <c r="K179" s="130">
        <v>0</v>
      </c>
      <c r="L179" s="130">
        <v>47</v>
      </c>
      <c r="M179" s="130">
        <v>47</v>
      </c>
      <c r="N179" s="211"/>
      <c r="O179" s="130" t="s">
        <v>488</v>
      </c>
      <c r="P179" s="130" t="s">
        <v>488</v>
      </c>
      <c r="Q179" s="130">
        <v>0</v>
      </c>
      <c r="R179" s="130">
        <v>0</v>
      </c>
      <c r="S179" s="130" t="s">
        <v>488</v>
      </c>
      <c r="T179" s="130" t="s">
        <v>488</v>
      </c>
      <c r="U179" s="130"/>
      <c r="V179" s="202">
        <f t="shared" si="2"/>
        <v>0</v>
      </c>
      <c r="W179" s="211"/>
      <c r="X179" s="130">
        <v>275</v>
      </c>
      <c r="Y179" s="130">
        <v>151</v>
      </c>
    </row>
    <row r="180" spans="1:25" x14ac:dyDescent="0.25">
      <c r="A180" s="130">
        <v>545538</v>
      </c>
      <c r="B180" s="130" t="s">
        <v>334</v>
      </c>
      <c r="C180" s="130" t="s">
        <v>57</v>
      </c>
      <c r="D180" s="130" t="s">
        <v>115</v>
      </c>
      <c r="E180" s="130">
        <v>2</v>
      </c>
      <c r="F180" s="207"/>
      <c r="G180" s="130">
        <v>0</v>
      </c>
      <c r="H180" s="130">
        <v>55</v>
      </c>
      <c r="I180" s="130">
        <v>1</v>
      </c>
      <c r="J180" s="130">
        <v>0</v>
      </c>
      <c r="K180" s="130">
        <v>0</v>
      </c>
      <c r="L180" s="130">
        <v>56</v>
      </c>
      <c r="M180" s="130">
        <v>56</v>
      </c>
      <c r="N180" s="211"/>
      <c r="O180" s="130" t="s">
        <v>488</v>
      </c>
      <c r="P180" s="130" t="s">
        <v>488</v>
      </c>
      <c r="Q180" s="130">
        <v>0</v>
      </c>
      <c r="R180" s="130">
        <v>0</v>
      </c>
      <c r="S180" s="130" t="s">
        <v>488</v>
      </c>
      <c r="T180" s="130" t="s">
        <v>488</v>
      </c>
      <c r="U180" s="130"/>
      <c r="V180" s="202">
        <f t="shared" si="2"/>
        <v>0</v>
      </c>
      <c r="W180" s="211"/>
      <c r="X180" s="130">
        <v>67</v>
      </c>
      <c r="Y180" s="130">
        <v>37</v>
      </c>
    </row>
    <row r="181" spans="1:25" x14ac:dyDescent="0.25">
      <c r="A181" s="130"/>
      <c r="B181" s="130"/>
      <c r="C181" s="130" t="s">
        <v>57</v>
      </c>
      <c r="D181" s="130"/>
      <c r="E181" s="130"/>
      <c r="F181" s="207"/>
      <c r="G181" s="130">
        <v>925</v>
      </c>
      <c r="H181" s="130">
        <v>2383</v>
      </c>
      <c r="I181" s="130">
        <v>466</v>
      </c>
      <c r="J181" s="130">
        <v>0</v>
      </c>
      <c r="K181" s="130">
        <v>0</v>
      </c>
      <c r="L181" s="130">
        <v>2849</v>
      </c>
      <c r="M181" s="130">
        <v>3774</v>
      </c>
      <c r="N181" s="211"/>
      <c r="O181" s="130" t="s">
        <v>488</v>
      </c>
      <c r="P181" s="130" t="s">
        <v>488</v>
      </c>
      <c r="Q181" s="130">
        <v>51</v>
      </c>
      <c r="R181" s="130">
        <v>259</v>
      </c>
      <c r="S181" s="130" t="s">
        <v>488</v>
      </c>
      <c r="T181" s="130" t="s">
        <v>488</v>
      </c>
      <c r="U181" s="130"/>
      <c r="V181" s="202">
        <f t="shared" si="2"/>
        <v>259</v>
      </c>
      <c r="W181" s="211"/>
      <c r="X181" s="130">
        <v>1557</v>
      </c>
      <c r="Y181" s="130">
        <v>188</v>
      </c>
    </row>
    <row r="182" spans="1:25" x14ac:dyDescent="0.25">
      <c r="A182" s="128">
        <v>540139</v>
      </c>
      <c r="B182" s="128" t="s">
        <v>58</v>
      </c>
      <c r="C182" s="128" t="s">
        <v>59</v>
      </c>
      <c r="D182" s="128" t="s">
        <v>5</v>
      </c>
      <c r="E182" s="128">
        <v>6</v>
      </c>
      <c r="F182" s="206"/>
      <c r="G182" s="128">
        <v>542</v>
      </c>
      <c r="H182" s="128">
        <v>158</v>
      </c>
      <c r="I182" s="128">
        <v>19</v>
      </c>
      <c r="J182" s="128">
        <v>0</v>
      </c>
      <c r="K182" s="128">
        <v>0</v>
      </c>
      <c r="L182" s="128">
        <v>177</v>
      </c>
      <c r="M182" s="128">
        <v>719</v>
      </c>
      <c r="N182" s="210"/>
      <c r="O182" s="128">
        <v>6</v>
      </c>
      <c r="P182" s="128">
        <v>4</v>
      </c>
      <c r="Q182" s="128">
        <v>307</v>
      </c>
      <c r="R182" s="128">
        <v>215</v>
      </c>
      <c r="S182" s="128" t="s">
        <v>488</v>
      </c>
      <c r="T182" s="128" t="s">
        <v>488</v>
      </c>
      <c r="U182" s="128"/>
      <c r="V182" s="202">
        <f t="shared" si="2"/>
        <v>219</v>
      </c>
      <c r="W182" s="210"/>
      <c r="X182" s="128">
        <v>42</v>
      </c>
      <c r="Y182" s="128">
        <v>0</v>
      </c>
    </row>
    <row r="183" spans="1:25" x14ac:dyDescent="0.25">
      <c r="A183" s="130">
        <v>540140</v>
      </c>
      <c r="B183" s="130" t="s">
        <v>222</v>
      </c>
      <c r="C183" s="130" t="s">
        <v>59</v>
      </c>
      <c r="D183" s="130" t="s">
        <v>115</v>
      </c>
      <c r="E183" s="130">
        <v>6</v>
      </c>
      <c r="F183" s="207"/>
      <c r="G183" s="130">
        <v>0</v>
      </c>
      <c r="H183" s="130">
        <v>0</v>
      </c>
      <c r="I183" s="130">
        <v>0</v>
      </c>
      <c r="J183" s="130">
        <v>0</v>
      </c>
      <c r="K183" s="130">
        <v>0</v>
      </c>
      <c r="L183" s="130">
        <v>0</v>
      </c>
      <c r="M183" s="130">
        <v>0</v>
      </c>
      <c r="N183" s="211"/>
      <c r="O183" s="130">
        <v>0</v>
      </c>
      <c r="P183" s="130">
        <v>0</v>
      </c>
      <c r="Q183" s="130">
        <v>0</v>
      </c>
      <c r="R183" s="130">
        <v>10</v>
      </c>
      <c r="S183" s="130" t="s">
        <v>488</v>
      </c>
      <c r="T183" s="130" t="s">
        <v>488</v>
      </c>
      <c r="U183" s="130"/>
      <c r="V183" s="202">
        <f t="shared" si="2"/>
        <v>10</v>
      </c>
      <c r="W183" s="211"/>
      <c r="X183" s="130">
        <v>0</v>
      </c>
      <c r="Y183" s="130">
        <v>0</v>
      </c>
    </row>
    <row r="184" spans="1:25" x14ac:dyDescent="0.25">
      <c r="A184" s="130">
        <v>540141</v>
      </c>
      <c r="B184" s="130" t="s">
        <v>223</v>
      </c>
      <c r="C184" s="130" t="s">
        <v>59</v>
      </c>
      <c r="D184" s="130" t="s">
        <v>115</v>
      </c>
      <c r="E184" s="130">
        <v>6</v>
      </c>
      <c r="F184" s="207"/>
      <c r="G184" s="130">
        <v>4</v>
      </c>
      <c r="H184" s="130">
        <v>160</v>
      </c>
      <c r="I184" s="130">
        <v>8</v>
      </c>
      <c r="J184" s="130">
        <v>0</v>
      </c>
      <c r="K184" s="130">
        <v>0</v>
      </c>
      <c r="L184" s="130">
        <v>168</v>
      </c>
      <c r="M184" s="130">
        <v>172</v>
      </c>
      <c r="N184" s="211"/>
      <c r="O184" s="130">
        <v>136</v>
      </c>
      <c r="P184" s="130">
        <v>44</v>
      </c>
      <c r="Q184" s="130">
        <v>4</v>
      </c>
      <c r="R184" s="130">
        <v>0</v>
      </c>
      <c r="S184" s="130" t="s">
        <v>488</v>
      </c>
      <c r="T184" s="130" t="s">
        <v>488</v>
      </c>
      <c r="U184" s="130"/>
      <c r="V184" s="202">
        <f t="shared" si="2"/>
        <v>44</v>
      </c>
      <c r="W184" s="211"/>
      <c r="X184" s="130">
        <v>83</v>
      </c>
      <c r="Y184" s="130">
        <v>0</v>
      </c>
    </row>
    <row r="185" spans="1:25" x14ac:dyDescent="0.25">
      <c r="A185" s="130">
        <v>540272</v>
      </c>
      <c r="B185" s="130" t="s">
        <v>315</v>
      </c>
      <c r="C185" s="130" t="s">
        <v>59</v>
      </c>
      <c r="D185" s="130" t="s">
        <v>115</v>
      </c>
      <c r="E185" s="130">
        <v>6</v>
      </c>
      <c r="F185" s="207"/>
      <c r="G185" s="130">
        <v>0</v>
      </c>
      <c r="H185" s="130">
        <v>26</v>
      </c>
      <c r="I185" s="130">
        <v>1</v>
      </c>
      <c r="J185" s="130">
        <v>0</v>
      </c>
      <c r="K185" s="130">
        <v>0</v>
      </c>
      <c r="L185" s="130">
        <v>27</v>
      </c>
      <c r="M185" s="130">
        <v>27</v>
      </c>
      <c r="N185" s="211"/>
      <c r="O185" s="130">
        <v>5</v>
      </c>
      <c r="P185" s="130">
        <v>0</v>
      </c>
      <c r="Q185" s="130">
        <v>0</v>
      </c>
      <c r="R185" s="130">
        <v>0</v>
      </c>
      <c r="S185" s="130" t="s">
        <v>488</v>
      </c>
      <c r="T185" s="130" t="s">
        <v>488</v>
      </c>
      <c r="U185" s="130"/>
      <c r="V185" s="202">
        <f t="shared" si="2"/>
        <v>0</v>
      </c>
      <c r="W185" s="211"/>
      <c r="X185" s="130">
        <v>198</v>
      </c>
      <c r="Y185" s="130">
        <v>0</v>
      </c>
    </row>
    <row r="186" spans="1:25" x14ac:dyDescent="0.25">
      <c r="A186" s="130">
        <v>540273</v>
      </c>
      <c r="B186" s="130" t="s">
        <v>316</v>
      </c>
      <c r="C186" s="130" t="s">
        <v>59</v>
      </c>
      <c r="D186" s="130" t="s">
        <v>115</v>
      </c>
      <c r="E186" s="130">
        <v>6</v>
      </c>
      <c r="F186" s="207"/>
      <c r="G186" s="130">
        <v>0</v>
      </c>
      <c r="H186" s="130">
        <v>1</v>
      </c>
      <c r="I186" s="130">
        <v>0</v>
      </c>
      <c r="J186" s="130">
        <v>0</v>
      </c>
      <c r="K186" s="130">
        <v>0</v>
      </c>
      <c r="L186" s="130">
        <v>1</v>
      </c>
      <c r="M186" s="130">
        <v>1</v>
      </c>
      <c r="N186" s="211"/>
      <c r="O186" s="130">
        <v>0</v>
      </c>
      <c r="P186" s="130">
        <v>0</v>
      </c>
      <c r="Q186" s="130">
        <v>0</v>
      </c>
      <c r="R186" s="130">
        <v>0</v>
      </c>
      <c r="S186" s="130" t="s">
        <v>488</v>
      </c>
      <c r="T186" s="130" t="s">
        <v>488</v>
      </c>
      <c r="U186" s="130"/>
      <c r="V186" s="202">
        <f t="shared" si="2"/>
        <v>0</v>
      </c>
      <c r="W186" s="211"/>
      <c r="X186" s="130">
        <v>84</v>
      </c>
      <c r="Y186" s="130">
        <v>0</v>
      </c>
    </row>
    <row r="187" spans="1:25" x14ac:dyDescent="0.25">
      <c r="A187" s="130">
        <v>540274</v>
      </c>
      <c r="B187" s="130" t="s">
        <v>317</v>
      </c>
      <c r="C187" s="130" t="s">
        <v>59</v>
      </c>
      <c r="D187" s="130" t="s">
        <v>115</v>
      </c>
      <c r="E187" s="130">
        <v>6</v>
      </c>
      <c r="F187" s="207"/>
      <c r="G187" s="130">
        <v>0</v>
      </c>
      <c r="H187" s="130">
        <v>21</v>
      </c>
      <c r="I187" s="130">
        <v>5</v>
      </c>
      <c r="J187" s="130">
        <v>0</v>
      </c>
      <c r="K187" s="130">
        <v>0</v>
      </c>
      <c r="L187" s="130">
        <v>26</v>
      </c>
      <c r="M187" s="130">
        <v>26</v>
      </c>
      <c r="N187" s="211"/>
      <c r="O187" s="130">
        <v>4</v>
      </c>
      <c r="P187" s="130">
        <v>0</v>
      </c>
      <c r="Q187" s="130">
        <v>0</v>
      </c>
      <c r="R187" s="130">
        <v>0</v>
      </c>
      <c r="S187" s="130" t="s">
        <v>488</v>
      </c>
      <c r="T187" s="130" t="s">
        <v>488</v>
      </c>
      <c r="U187" s="130"/>
      <c r="V187" s="202">
        <f t="shared" si="2"/>
        <v>0</v>
      </c>
      <c r="W187" s="211"/>
      <c r="X187" s="130">
        <v>13</v>
      </c>
      <c r="Y187" s="130">
        <v>0</v>
      </c>
    </row>
    <row r="188" spans="1:25" x14ac:dyDescent="0.25">
      <c r="A188" s="130"/>
      <c r="B188" s="130"/>
      <c r="C188" s="130" t="s">
        <v>59</v>
      </c>
      <c r="D188" s="130"/>
      <c r="E188" s="130"/>
      <c r="F188" s="207"/>
      <c r="G188" s="130">
        <v>546</v>
      </c>
      <c r="H188" s="130">
        <v>366</v>
      </c>
      <c r="I188" s="130">
        <v>33</v>
      </c>
      <c r="J188" s="130">
        <v>0</v>
      </c>
      <c r="K188" s="130">
        <v>0</v>
      </c>
      <c r="L188" s="130">
        <v>399</v>
      </c>
      <c r="M188" s="130">
        <v>945</v>
      </c>
      <c r="N188" s="211"/>
      <c r="O188" s="130">
        <v>151</v>
      </c>
      <c r="P188" s="130">
        <v>48</v>
      </c>
      <c r="Q188" s="130">
        <v>311</v>
      </c>
      <c r="R188" s="130">
        <v>225</v>
      </c>
      <c r="S188" s="130" t="s">
        <v>488</v>
      </c>
      <c r="T188" s="130" t="s">
        <v>488</v>
      </c>
      <c r="U188" s="130"/>
      <c r="V188" s="202">
        <f t="shared" si="2"/>
        <v>273</v>
      </c>
      <c r="W188" s="211"/>
      <c r="X188" s="130">
        <v>420</v>
      </c>
      <c r="Y188" s="130">
        <v>0</v>
      </c>
    </row>
    <row r="189" spans="1:25" x14ac:dyDescent="0.25">
      <c r="A189" s="128">
        <v>540144</v>
      </c>
      <c r="B189" s="128" t="s">
        <v>60</v>
      </c>
      <c r="C189" s="128" t="s">
        <v>61</v>
      </c>
      <c r="D189" s="128" t="s">
        <v>5</v>
      </c>
      <c r="E189" s="128">
        <v>9</v>
      </c>
      <c r="F189" s="206"/>
      <c r="G189" s="128">
        <v>221</v>
      </c>
      <c r="H189" s="128">
        <v>431</v>
      </c>
      <c r="I189" s="128">
        <v>115</v>
      </c>
      <c r="J189" s="128">
        <v>0</v>
      </c>
      <c r="K189" s="128">
        <v>0</v>
      </c>
      <c r="L189" s="128">
        <v>546</v>
      </c>
      <c r="M189" s="128">
        <v>767</v>
      </c>
      <c r="N189" s="210"/>
      <c r="O189" s="128" t="s">
        <v>488</v>
      </c>
      <c r="P189" s="128" t="s">
        <v>488</v>
      </c>
      <c r="Q189" s="128">
        <v>171</v>
      </c>
      <c r="R189" s="128">
        <v>54</v>
      </c>
      <c r="S189" s="128" t="s">
        <v>488</v>
      </c>
      <c r="T189" s="128" t="s">
        <v>488</v>
      </c>
      <c r="U189" s="128"/>
      <c r="V189" s="202">
        <f t="shared" si="2"/>
        <v>54</v>
      </c>
      <c r="W189" s="210"/>
      <c r="X189" s="128">
        <v>29</v>
      </c>
      <c r="Y189" s="128">
        <v>0</v>
      </c>
    </row>
    <row r="190" spans="1:25" x14ac:dyDescent="0.25">
      <c r="A190" s="130">
        <v>540005</v>
      </c>
      <c r="B190" s="130" t="s">
        <v>118</v>
      </c>
      <c r="C190" s="130" t="s">
        <v>61</v>
      </c>
      <c r="D190" s="130" t="s">
        <v>115</v>
      </c>
      <c r="E190" s="130">
        <v>9</v>
      </c>
      <c r="F190" s="207"/>
      <c r="G190" s="130">
        <v>0</v>
      </c>
      <c r="H190" s="130">
        <v>47</v>
      </c>
      <c r="I190" s="130">
        <v>44</v>
      </c>
      <c r="J190" s="130">
        <v>0</v>
      </c>
      <c r="K190" s="130">
        <v>0</v>
      </c>
      <c r="L190" s="130">
        <v>91</v>
      </c>
      <c r="M190" s="130">
        <v>91</v>
      </c>
      <c r="N190" s="211"/>
      <c r="O190" s="130" t="s">
        <v>488</v>
      </c>
      <c r="P190" s="130" t="s">
        <v>488</v>
      </c>
      <c r="Q190" s="130">
        <v>0</v>
      </c>
      <c r="R190" s="130">
        <v>0</v>
      </c>
      <c r="S190" s="130" t="s">
        <v>488</v>
      </c>
      <c r="T190" s="130" t="s">
        <v>488</v>
      </c>
      <c r="U190" s="130"/>
      <c r="V190" s="202">
        <f t="shared" si="2"/>
        <v>0</v>
      </c>
      <c r="W190" s="211"/>
      <c r="X190" s="130">
        <v>27</v>
      </c>
      <c r="Y190" s="130">
        <v>0</v>
      </c>
    </row>
    <row r="191" spans="1:25" x14ac:dyDescent="0.25">
      <c r="A191" s="130">
        <v>540252</v>
      </c>
      <c r="B191" s="130" t="s">
        <v>298</v>
      </c>
      <c r="C191" s="130" t="s">
        <v>61</v>
      </c>
      <c r="D191" s="130" t="s">
        <v>115</v>
      </c>
      <c r="E191" s="130">
        <v>9</v>
      </c>
      <c r="F191" s="207"/>
      <c r="G191" s="130">
        <v>12</v>
      </c>
      <c r="H191" s="130">
        <v>43</v>
      </c>
      <c r="I191" s="130">
        <v>0</v>
      </c>
      <c r="J191" s="130">
        <v>0</v>
      </c>
      <c r="K191" s="130">
        <v>0</v>
      </c>
      <c r="L191" s="130">
        <v>43</v>
      </c>
      <c r="M191" s="130">
        <v>55</v>
      </c>
      <c r="N191" s="211"/>
      <c r="O191" s="130" t="s">
        <v>488</v>
      </c>
      <c r="P191" s="130" t="s">
        <v>488</v>
      </c>
      <c r="Q191" s="130">
        <v>12</v>
      </c>
      <c r="R191" s="130">
        <v>0</v>
      </c>
      <c r="S191" s="130" t="s">
        <v>488</v>
      </c>
      <c r="T191" s="130" t="s">
        <v>488</v>
      </c>
      <c r="U191" s="130"/>
      <c r="V191" s="202">
        <f t="shared" si="2"/>
        <v>0</v>
      </c>
      <c r="W191" s="211"/>
      <c r="X191" s="130">
        <v>0</v>
      </c>
      <c r="Y191" s="130">
        <v>0</v>
      </c>
    </row>
    <row r="192" spans="1:25" x14ac:dyDescent="0.25">
      <c r="A192" s="130"/>
      <c r="B192" s="130"/>
      <c r="C192" s="130" t="s">
        <v>61</v>
      </c>
      <c r="D192" s="130"/>
      <c r="E192" s="130"/>
      <c r="F192" s="207"/>
      <c r="G192" s="130">
        <v>233</v>
      </c>
      <c r="H192" s="130">
        <v>521</v>
      </c>
      <c r="I192" s="130">
        <v>159</v>
      </c>
      <c r="J192" s="130">
        <v>0</v>
      </c>
      <c r="K192" s="130">
        <v>0</v>
      </c>
      <c r="L192" s="130">
        <v>680</v>
      </c>
      <c r="M192" s="130">
        <v>913</v>
      </c>
      <c r="N192" s="211"/>
      <c r="O192" s="130" t="s">
        <v>488</v>
      </c>
      <c r="P192" s="130" t="s">
        <v>488</v>
      </c>
      <c r="Q192" s="130">
        <v>183</v>
      </c>
      <c r="R192" s="130">
        <v>54</v>
      </c>
      <c r="S192" s="130" t="s">
        <v>488</v>
      </c>
      <c r="T192" s="130" t="s">
        <v>488</v>
      </c>
      <c r="U192" s="130"/>
      <c r="V192" s="202">
        <f t="shared" si="2"/>
        <v>54</v>
      </c>
      <c r="W192" s="211"/>
      <c r="X192" s="130">
        <v>56</v>
      </c>
      <c r="Y192" s="130">
        <v>0</v>
      </c>
    </row>
    <row r="193" spans="1:25" x14ac:dyDescent="0.25">
      <c r="A193" s="128">
        <v>540146</v>
      </c>
      <c r="B193" s="128" t="s">
        <v>62</v>
      </c>
      <c r="C193" s="128" t="s">
        <v>63</v>
      </c>
      <c r="D193" s="128" t="s">
        <v>5</v>
      </c>
      <c r="E193" s="128">
        <v>4</v>
      </c>
      <c r="F193" s="206"/>
      <c r="G193" s="128">
        <v>614</v>
      </c>
      <c r="H193" s="128">
        <v>94</v>
      </c>
      <c r="I193" s="128">
        <v>25</v>
      </c>
      <c r="J193" s="128">
        <v>0</v>
      </c>
      <c r="K193" s="128">
        <v>0</v>
      </c>
      <c r="L193" s="128">
        <v>119</v>
      </c>
      <c r="M193" s="128">
        <v>733</v>
      </c>
      <c r="N193" s="210"/>
      <c r="O193" s="128" t="s">
        <v>488</v>
      </c>
      <c r="P193" s="128" t="s">
        <v>488</v>
      </c>
      <c r="Q193" s="128" t="s">
        <v>488</v>
      </c>
      <c r="R193" s="128" t="s">
        <v>488</v>
      </c>
      <c r="S193" s="128" t="s">
        <v>488</v>
      </c>
      <c r="T193" s="128" t="s">
        <v>488</v>
      </c>
      <c r="U193" s="128"/>
      <c r="V193" s="202">
        <f t="shared" si="2"/>
        <v>0</v>
      </c>
      <c r="W193" s="210"/>
      <c r="X193" s="128">
        <v>42</v>
      </c>
      <c r="Y193" s="128">
        <v>0</v>
      </c>
    </row>
    <row r="194" spans="1:25" x14ac:dyDescent="0.25">
      <c r="A194" s="130">
        <v>540147</v>
      </c>
      <c r="B194" s="130" t="s">
        <v>225</v>
      </c>
      <c r="C194" s="130" t="s">
        <v>63</v>
      </c>
      <c r="D194" s="130" t="s">
        <v>115</v>
      </c>
      <c r="E194" s="130">
        <v>4</v>
      </c>
      <c r="F194" s="207"/>
      <c r="G194" s="130">
        <v>0</v>
      </c>
      <c r="H194" s="130">
        <v>230</v>
      </c>
      <c r="I194" s="130">
        <v>136</v>
      </c>
      <c r="J194" s="130">
        <v>0</v>
      </c>
      <c r="K194" s="130">
        <v>0</v>
      </c>
      <c r="L194" s="130">
        <v>366</v>
      </c>
      <c r="M194" s="130">
        <v>366</v>
      </c>
      <c r="N194" s="211"/>
      <c r="O194" s="130" t="s">
        <v>488</v>
      </c>
      <c r="P194" s="130" t="s">
        <v>488</v>
      </c>
      <c r="Q194" s="130" t="s">
        <v>488</v>
      </c>
      <c r="R194" s="130" t="s">
        <v>488</v>
      </c>
      <c r="S194" s="130" t="s">
        <v>488</v>
      </c>
      <c r="T194" s="130" t="s">
        <v>488</v>
      </c>
      <c r="U194" s="130"/>
      <c r="V194" s="202">
        <f t="shared" si="2"/>
        <v>0</v>
      </c>
      <c r="W194" s="211"/>
      <c r="X194" s="130">
        <v>100</v>
      </c>
      <c r="Y194" s="130">
        <v>0</v>
      </c>
    </row>
    <row r="195" spans="1:25" x14ac:dyDescent="0.25">
      <c r="A195" s="130">
        <v>540148</v>
      </c>
      <c r="B195" s="130" t="s">
        <v>226</v>
      </c>
      <c r="C195" s="130" t="s">
        <v>63</v>
      </c>
      <c r="D195" s="130" t="s">
        <v>115</v>
      </c>
      <c r="E195" s="130">
        <v>4</v>
      </c>
      <c r="F195" s="207"/>
      <c r="G195" s="130">
        <v>52</v>
      </c>
      <c r="H195" s="130">
        <v>0</v>
      </c>
      <c r="I195" s="130">
        <v>0</v>
      </c>
      <c r="J195" s="130">
        <v>0</v>
      </c>
      <c r="K195" s="130">
        <v>0</v>
      </c>
      <c r="L195" s="130">
        <v>0</v>
      </c>
      <c r="M195" s="130">
        <v>52</v>
      </c>
      <c r="N195" s="211"/>
      <c r="O195" s="130" t="s">
        <v>488</v>
      </c>
      <c r="P195" s="130" t="s">
        <v>488</v>
      </c>
      <c r="Q195" s="130" t="s">
        <v>488</v>
      </c>
      <c r="R195" s="130" t="s">
        <v>488</v>
      </c>
      <c r="S195" s="130" t="s">
        <v>488</v>
      </c>
      <c r="T195" s="130" t="s">
        <v>488</v>
      </c>
      <c r="U195" s="130"/>
      <c r="V195" s="202">
        <f t="shared" si="2"/>
        <v>0</v>
      </c>
      <c r="W195" s="211"/>
      <c r="X195" s="130">
        <v>0</v>
      </c>
      <c r="Y195" s="130">
        <v>0</v>
      </c>
    </row>
    <row r="196" spans="1:25" x14ac:dyDescent="0.25">
      <c r="A196" s="130"/>
      <c r="B196" s="130"/>
      <c r="C196" s="130" t="s">
        <v>63</v>
      </c>
      <c r="D196" s="130"/>
      <c r="E196" s="130"/>
      <c r="F196" s="207"/>
      <c r="G196" s="130">
        <v>666</v>
      </c>
      <c r="H196" s="130">
        <v>324</v>
      </c>
      <c r="I196" s="130">
        <v>161</v>
      </c>
      <c r="J196" s="130">
        <v>0</v>
      </c>
      <c r="K196" s="130">
        <v>0</v>
      </c>
      <c r="L196" s="130">
        <v>485</v>
      </c>
      <c r="M196" s="130">
        <v>1151</v>
      </c>
      <c r="N196" s="211"/>
      <c r="O196" s="130" t="s">
        <v>488</v>
      </c>
      <c r="P196" s="130" t="s">
        <v>488</v>
      </c>
      <c r="Q196" s="130" t="s">
        <v>488</v>
      </c>
      <c r="R196" s="130" t="s">
        <v>488</v>
      </c>
      <c r="S196" s="130" t="s">
        <v>488</v>
      </c>
      <c r="T196" s="130" t="s">
        <v>488</v>
      </c>
      <c r="U196" s="130"/>
      <c r="V196" s="202">
        <f t="shared" si="2"/>
        <v>0</v>
      </c>
      <c r="W196" s="211"/>
      <c r="X196" s="130">
        <v>142</v>
      </c>
      <c r="Y196" s="130">
        <v>0</v>
      </c>
    </row>
    <row r="197" spans="1:25" x14ac:dyDescent="0.25">
      <c r="A197" s="128">
        <v>540149</v>
      </c>
      <c r="B197" s="128" t="s">
        <v>64</v>
      </c>
      <c r="C197" s="128" t="s">
        <v>65</v>
      </c>
      <c r="D197" s="128" t="s">
        <v>5</v>
      </c>
      <c r="E197" s="128">
        <v>10</v>
      </c>
      <c r="F197" s="206"/>
      <c r="G197" s="128">
        <v>293</v>
      </c>
      <c r="H197" s="128">
        <v>9</v>
      </c>
      <c r="I197" s="128">
        <v>3</v>
      </c>
      <c r="J197" s="128">
        <v>0</v>
      </c>
      <c r="K197" s="128">
        <v>0</v>
      </c>
      <c r="L197" s="128">
        <v>12</v>
      </c>
      <c r="M197" s="128">
        <v>305</v>
      </c>
      <c r="N197" s="210"/>
      <c r="O197" s="128" t="s">
        <v>488</v>
      </c>
      <c r="P197" s="128" t="s">
        <v>488</v>
      </c>
      <c r="Q197" s="128">
        <v>215</v>
      </c>
      <c r="R197" s="128">
        <v>34</v>
      </c>
      <c r="S197" s="128" t="s">
        <v>488</v>
      </c>
      <c r="T197" s="128" t="s">
        <v>488</v>
      </c>
      <c r="U197" s="128"/>
      <c r="V197" s="202">
        <f t="shared" ref="V197:V260" si="3" xml:space="preserve"> SUM(P197, R197, T197)</f>
        <v>34</v>
      </c>
      <c r="W197" s="210"/>
      <c r="X197" s="128">
        <v>3</v>
      </c>
      <c r="Y197" s="128">
        <v>0</v>
      </c>
    </row>
    <row r="198" spans="1:25" x14ac:dyDescent="0.25">
      <c r="A198" s="130">
        <v>540080</v>
      </c>
      <c r="B198" s="130" t="s">
        <v>175</v>
      </c>
      <c r="C198" s="130" t="s">
        <v>65</v>
      </c>
      <c r="D198" s="130" t="s">
        <v>115</v>
      </c>
      <c r="E198" s="130">
        <v>10</v>
      </c>
      <c r="F198" s="207"/>
      <c r="G198" s="130">
        <v>0</v>
      </c>
      <c r="H198" s="130">
        <v>0</v>
      </c>
      <c r="I198" s="130">
        <v>0</v>
      </c>
      <c r="J198" s="130">
        <v>0</v>
      </c>
      <c r="K198" s="130">
        <v>0</v>
      </c>
      <c r="L198" s="130">
        <v>0</v>
      </c>
      <c r="M198" s="130">
        <v>0</v>
      </c>
      <c r="N198" s="211"/>
      <c r="O198" s="130" t="s">
        <v>488</v>
      </c>
      <c r="P198" s="130" t="s">
        <v>488</v>
      </c>
      <c r="Q198" s="130">
        <v>0</v>
      </c>
      <c r="R198" s="130">
        <v>0</v>
      </c>
      <c r="S198" s="130" t="s">
        <v>488</v>
      </c>
      <c r="T198" s="130" t="s">
        <v>488</v>
      </c>
      <c r="U198" s="130"/>
      <c r="V198" s="202">
        <f t="shared" si="3"/>
        <v>0</v>
      </c>
      <c r="W198" s="211"/>
      <c r="X198" s="130">
        <v>0</v>
      </c>
      <c r="Y198" s="130">
        <v>0</v>
      </c>
    </row>
    <row r="199" spans="1:25" x14ac:dyDescent="0.25">
      <c r="A199" s="130">
        <v>540094</v>
      </c>
      <c r="B199" s="130" t="s">
        <v>185</v>
      </c>
      <c r="C199" s="130" t="s">
        <v>65</v>
      </c>
      <c r="D199" s="130" t="s">
        <v>115</v>
      </c>
      <c r="E199" s="130">
        <v>10</v>
      </c>
      <c r="F199" s="207"/>
      <c r="G199" s="130">
        <v>11</v>
      </c>
      <c r="H199" s="130">
        <v>0</v>
      </c>
      <c r="I199" s="130">
        <v>0</v>
      </c>
      <c r="J199" s="130">
        <v>0</v>
      </c>
      <c r="K199" s="130">
        <v>0</v>
      </c>
      <c r="L199" s="130">
        <v>0</v>
      </c>
      <c r="M199" s="130">
        <v>11</v>
      </c>
      <c r="N199" s="211"/>
      <c r="O199" s="130" t="s">
        <v>488</v>
      </c>
      <c r="P199" s="130" t="s">
        <v>488</v>
      </c>
      <c r="Q199" s="130">
        <v>11</v>
      </c>
      <c r="R199" s="130">
        <v>0</v>
      </c>
      <c r="S199" s="130" t="s">
        <v>488</v>
      </c>
      <c r="T199" s="130" t="s">
        <v>488</v>
      </c>
      <c r="U199" s="130"/>
      <c r="V199" s="202">
        <f t="shared" si="3"/>
        <v>0</v>
      </c>
      <c r="W199" s="211"/>
      <c r="X199" s="130">
        <v>0</v>
      </c>
      <c r="Y199" s="130">
        <v>0</v>
      </c>
    </row>
    <row r="200" spans="1:25" x14ac:dyDescent="0.25">
      <c r="A200" s="130">
        <v>540150</v>
      </c>
      <c r="B200" s="130" t="s">
        <v>227</v>
      </c>
      <c r="C200" s="130" t="s">
        <v>65</v>
      </c>
      <c r="D200" s="130" t="s">
        <v>115</v>
      </c>
      <c r="E200" s="130">
        <v>10</v>
      </c>
      <c r="F200" s="207"/>
      <c r="G200" s="130">
        <v>0</v>
      </c>
      <c r="H200" s="130">
        <v>93</v>
      </c>
      <c r="I200" s="130">
        <v>4</v>
      </c>
      <c r="J200" s="130">
        <v>0</v>
      </c>
      <c r="K200" s="130">
        <v>0</v>
      </c>
      <c r="L200" s="130">
        <v>97</v>
      </c>
      <c r="M200" s="130">
        <v>97</v>
      </c>
      <c r="N200" s="211"/>
      <c r="O200" s="130" t="s">
        <v>488</v>
      </c>
      <c r="P200" s="130" t="s">
        <v>488</v>
      </c>
      <c r="Q200" s="130">
        <v>0</v>
      </c>
      <c r="R200" s="130">
        <v>0</v>
      </c>
      <c r="S200" s="130" t="s">
        <v>488</v>
      </c>
      <c r="T200" s="130" t="s">
        <v>488</v>
      </c>
      <c r="U200" s="130"/>
      <c r="V200" s="202">
        <f t="shared" si="3"/>
        <v>0</v>
      </c>
      <c r="W200" s="211"/>
      <c r="X200" s="130">
        <v>44</v>
      </c>
      <c r="Y200" s="130">
        <v>0</v>
      </c>
    </row>
    <row r="201" spans="1:25" x14ac:dyDescent="0.25">
      <c r="A201" s="130">
        <v>540151</v>
      </c>
      <c r="B201" s="130" t="s">
        <v>228</v>
      </c>
      <c r="C201" s="130" t="s">
        <v>65</v>
      </c>
      <c r="D201" s="130" t="s">
        <v>115</v>
      </c>
      <c r="E201" s="130">
        <v>10</v>
      </c>
      <c r="F201" s="207"/>
      <c r="G201" s="130">
        <v>53</v>
      </c>
      <c r="H201" s="130">
        <v>0</v>
      </c>
      <c r="I201" s="130">
        <v>0</v>
      </c>
      <c r="J201" s="130">
        <v>0</v>
      </c>
      <c r="K201" s="130">
        <v>0</v>
      </c>
      <c r="L201" s="130">
        <v>0</v>
      </c>
      <c r="M201" s="130">
        <v>53</v>
      </c>
      <c r="N201" s="211"/>
      <c r="O201" s="130" t="s">
        <v>488</v>
      </c>
      <c r="P201" s="130" t="s">
        <v>488</v>
      </c>
      <c r="Q201" s="130">
        <v>41</v>
      </c>
      <c r="R201" s="130">
        <v>8</v>
      </c>
      <c r="S201" s="130" t="s">
        <v>488</v>
      </c>
      <c r="T201" s="130" t="s">
        <v>488</v>
      </c>
      <c r="U201" s="130"/>
      <c r="V201" s="202">
        <f t="shared" si="3"/>
        <v>8</v>
      </c>
      <c r="W201" s="211"/>
      <c r="X201" s="130">
        <v>0</v>
      </c>
      <c r="Y201" s="130">
        <v>0</v>
      </c>
    </row>
    <row r="202" spans="1:25" x14ac:dyDescent="0.25">
      <c r="A202" s="130">
        <v>540152</v>
      </c>
      <c r="B202" s="130" t="s">
        <v>229</v>
      </c>
      <c r="C202" s="130" t="s">
        <v>65</v>
      </c>
      <c r="D202" s="130" t="s">
        <v>115</v>
      </c>
      <c r="E202" s="130">
        <v>10</v>
      </c>
      <c r="F202" s="207"/>
      <c r="G202" s="130">
        <v>9</v>
      </c>
      <c r="H202" s="130">
        <v>2539</v>
      </c>
      <c r="I202" s="130">
        <v>110</v>
      </c>
      <c r="J202" s="130">
        <v>0</v>
      </c>
      <c r="K202" s="130">
        <v>0</v>
      </c>
      <c r="L202" s="130">
        <v>2649</v>
      </c>
      <c r="M202" s="130">
        <v>2658</v>
      </c>
      <c r="N202" s="211"/>
      <c r="O202" s="130" t="s">
        <v>488</v>
      </c>
      <c r="P202" s="130" t="s">
        <v>488</v>
      </c>
      <c r="Q202" s="130">
        <v>9</v>
      </c>
      <c r="R202" s="130">
        <v>1</v>
      </c>
      <c r="S202" s="130" t="s">
        <v>488</v>
      </c>
      <c r="T202" s="130" t="s">
        <v>488</v>
      </c>
      <c r="U202" s="130"/>
      <c r="V202" s="202">
        <f t="shared" si="3"/>
        <v>1</v>
      </c>
      <c r="W202" s="211"/>
      <c r="X202" s="130">
        <v>660</v>
      </c>
      <c r="Y202" s="130">
        <v>0</v>
      </c>
    </row>
    <row r="203" spans="1:25" x14ac:dyDescent="0.25">
      <c r="A203" s="130">
        <v>540275</v>
      </c>
      <c r="B203" s="130" t="s">
        <v>318</v>
      </c>
      <c r="C203" s="130" t="s">
        <v>65</v>
      </c>
      <c r="D203" s="130" t="s">
        <v>115</v>
      </c>
      <c r="E203" s="130">
        <v>10</v>
      </c>
      <c r="F203" s="207"/>
      <c r="G203" s="130">
        <v>0</v>
      </c>
      <c r="H203" s="130">
        <v>0</v>
      </c>
      <c r="I203" s="130">
        <v>0</v>
      </c>
      <c r="J203" s="130">
        <v>0</v>
      </c>
      <c r="K203" s="130">
        <v>0</v>
      </c>
      <c r="L203" s="130">
        <v>0</v>
      </c>
      <c r="M203" s="130">
        <v>0</v>
      </c>
      <c r="N203" s="211"/>
      <c r="O203" s="130" t="s">
        <v>488</v>
      </c>
      <c r="P203" s="130" t="s">
        <v>488</v>
      </c>
      <c r="Q203" s="130">
        <v>0</v>
      </c>
      <c r="R203" s="130">
        <v>0</v>
      </c>
      <c r="S203" s="130" t="s">
        <v>488</v>
      </c>
      <c r="T203" s="130" t="s">
        <v>488</v>
      </c>
      <c r="U203" s="130"/>
      <c r="V203" s="202">
        <f t="shared" si="3"/>
        <v>0</v>
      </c>
      <c r="W203" s="211"/>
      <c r="X203" s="130">
        <v>0</v>
      </c>
      <c r="Y203" s="130">
        <v>0</v>
      </c>
    </row>
    <row r="204" spans="1:25" x14ac:dyDescent="0.25">
      <c r="A204" s="130"/>
      <c r="B204" s="130"/>
      <c r="C204" s="130" t="s">
        <v>65</v>
      </c>
      <c r="D204" s="130"/>
      <c r="E204" s="130"/>
      <c r="F204" s="207"/>
      <c r="G204" s="130">
        <v>366</v>
      </c>
      <c r="H204" s="130">
        <v>2641</v>
      </c>
      <c r="I204" s="130">
        <v>117</v>
      </c>
      <c r="J204" s="130">
        <v>0</v>
      </c>
      <c r="K204" s="130">
        <v>0</v>
      </c>
      <c r="L204" s="130">
        <v>2758</v>
      </c>
      <c r="M204" s="130">
        <v>3124</v>
      </c>
      <c r="N204" s="211"/>
      <c r="O204" s="130" t="s">
        <v>488</v>
      </c>
      <c r="P204" s="130" t="s">
        <v>488</v>
      </c>
      <c r="Q204" s="130">
        <v>276</v>
      </c>
      <c r="R204" s="130">
        <v>43</v>
      </c>
      <c r="S204" s="130" t="s">
        <v>488</v>
      </c>
      <c r="T204" s="130" t="s">
        <v>488</v>
      </c>
      <c r="U204" s="130"/>
      <c r="V204" s="202">
        <f t="shared" si="3"/>
        <v>43</v>
      </c>
      <c r="W204" s="211"/>
      <c r="X204" s="130">
        <v>707</v>
      </c>
      <c r="Y204" s="130">
        <v>0</v>
      </c>
    </row>
    <row r="205" spans="1:25" x14ac:dyDescent="0.25">
      <c r="A205" s="128">
        <v>540153</v>
      </c>
      <c r="B205" s="128" t="s">
        <v>66</v>
      </c>
      <c r="C205" s="128" t="s">
        <v>67</v>
      </c>
      <c r="D205" s="128" t="s">
        <v>5</v>
      </c>
      <c r="E205" s="128">
        <v>8</v>
      </c>
      <c r="F205" s="206"/>
      <c r="G205" s="128">
        <v>634</v>
      </c>
      <c r="H205" s="128">
        <v>5</v>
      </c>
      <c r="I205" s="128">
        <v>0</v>
      </c>
      <c r="J205" s="128">
        <v>0</v>
      </c>
      <c r="K205" s="128">
        <v>0</v>
      </c>
      <c r="L205" s="128">
        <v>5</v>
      </c>
      <c r="M205" s="128">
        <v>639</v>
      </c>
      <c r="N205" s="210"/>
      <c r="O205" s="128" t="s">
        <v>488</v>
      </c>
      <c r="P205" s="128" t="s">
        <v>488</v>
      </c>
      <c r="Q205" s="128" t="s">
        <v>488</v>
      </c>
      <c r="R205" s="128" t="s">
        <v>488</v>
      </c>
      <c r="S205" s="128" t="s">
        <v>488</v>
      </c>
      <c r="T205" s="128" t="s">
        <v>488</v>
      </c>
      <c r="U205" s="128"/>
      <c r="V205" s="202">
        <f t="shared" si="3"/>
        <v>0</v>
      </c>
      <c r="W205" s="210"/>
      <c r="X205" s="128">
        <v>0</v>
      </c>
      <c r="Y205" s="128">
        <v>0</v>
      </c>
    </row>
    <row r="206" spans="1:25" x14ac:dyDescent="0.25">
      <c r="A206" s="130">
        <v>540154</v>
      </c>
      <c r="B206" s="130" t="s">
        <v>230</v>
      </c>
      <c r="C206" s="130" t="s">
        <v>67</v>
      </c>
      <c r="D206" s="130" t="s">
        <v>115</v>
      </c>
      <c r="E206" s="130">
        <v>8</v>
      </c>
      <c r="F206" s="207"/>
      <c r="G206" s="130">
        <v>0</v>
      </c>
      <c r="H206" s="130">
        <v>20</v>
      </c>
      <c r="I206" s="130">
        <v>0</v>
      </c>
      <c r="J206" s="130">
        <v>0</v>
      </c>
      <c r="K206" s="130">
        <v>0</v>
      </c>
      <c r="L206" s="130">
        <v>20</v>
      </c>
      <c r="M206" s="130">
        <v>20</v>
      </c>
      <c r="N206" s="211"/>
      <c r="O206" s="130" t="s">
        <v>488</v>
      </c>
      <c r="P206" s="130" t="s">
        <v>488</v>
      </c>
      <c r="Q206" s="130" t="s">
        <v>488</v>
      </c>
      <c r="R206" s="130" t="s">
        <v>488</v>
      </c>
      <c r="S206" s="130" t="s">
        <v>488</v>
      </c>
      <c r="T206" s="130" t="s">
        <v>488</v>
      </c>
      <c r="U206" s="130"/>
      <c r="V206" s="202">
        <f t="shared" si="3"/>
        <v>0</v>
      </c>
      <c r="W206" s="211"/>
      <c r="X206" s="130">
        <v>0</v>
      </c>
      <c r="Y206" s="130">
        <v>0</v>
      </c>
    </row>
    <row r="207" spans="1:25" x14ac:dyDescent="0.25">
      <c r="A207" s="130"/>
      <c r="B207" s="130"/>
      <c r="C207" s="130" t="s">
        <v>67</v>
      </c>
      <c r="D207" s="130"/>
      <c r="E207" s="130"/>
      <c r="F207" s="207"/>
      <c r="G207" s="130">
        <v>634</v>
      </c>
      <c r="H207" s="130">
        <v>25</v>
      </c>
      <c r="I207" s="130">
        <v>0</v>
      </c>
      <c r="J207" s="130">
        <v>0</v>
      </c>
      <c r="K207" s="130">
        <v>0</v>
      </c>
      <c r="L207" s="130">
        <v>25</v>
      </c>
      <c r="M207" s="130">
        <v>659</v>
      </c>
      <c r="N207" s="211"/>
      <c r="O207" s="130" t="s">
        <v>488</v>
      </c>
      <c r="P207" s="130" t="s">
        <v>488</v>
      </c>
      <c r="Q207" s="130" t="s">
        <v>488</v>
      </c>
      <c r="R207" s="130" t="s">
        <v>488</v>
      </c>
      <c r="S207" s="130" t="s">
        <v>488</v>
      </c>
      <c r="T207" s="130" t="s">
        <v>488</v>
      </c>
      <c r="U207" s="130"/>
      <c r="V207" s="202">
        <f t="shared" si="3"/>
        <v>0</v>
      </c>
      <c r="W207" s="211"/>
      <c r="X207" s="130">
        <v>0</v>
      </c>
      <c r="Y207" s="130">
        <v>0</v>
      </c>
    </row>
    <row r="208" spans="1:25" x14ac:dyDescent="0.25">
      <c r="A208" s="128">
        <v>540160</v>
      </c>
      <c r="B208" s="128" t="s">
        <v>68</v>
      </c>
      <c r="C208" s="128" t="s">
        <v>68</v>
      </c>
      <c r="D208" s="128" t="s">
        <v>5</v>
      </c>
      <c r="E208" s="128">
        <v>6</v>
      </c>
      <c r="F208" s="206"/>
      <c r="G208" s="128">
        <v>156</v>
      </c>
      <c r="H208" s="128">
        <v>280</v>
      </c>
      <c r="I208" s="128">
        <v>0</v>
      </c>
      <c r="J208" s="128">
        <v>0</v>
      </c>
      <c r="K208" s="128">
        <v>0</v>
      </c>
      <c r="L208" s="128">
        <v>280</v>
      </c>
      <c r="M208" s="128">
        <v>436</v>
      </c>
      <c r="N208" s="210"/>
      <c r="O208" s="128" t="s">
        <v>488</v>
      </c>
      <c r="P208" s="128" t="s">
        <v>488</v>
      </c>
      <c r="Q208" s="128">
        <v>6</v>
      </c>
      <c r="R208" s="128">
        <v>87</v>
      </c>
      <c r="S208" s="128" t="s">
        <v>488</v>
      </c>
      <c r="T208" s="128" t="s">
        <v>488</v>
      </c>
      <c r="U208" s="128"/>
      <c r="V208" s="202">
        <f t="shared" si="3"/>
        <v>87</v>
      </c>
      <c r="W208" s="210"/>
      <c r="X208" s="128">
        <v>0</v>
      </c>
      <c r="Y208" s="128">
        <v>0</v>
      </c>
    </row>
    <row r="209" spans="1:25" x14ac:dyDescent="0.25">
      <c r="A209" s="130">
        <v>540137</v>
      </c>
      <c r="B209" s="130" t="s">
        <v>220</v>
      </c>
      <c r="C209" s="130" t="s">
        <v>68</v>
      </c>
      <c r="D209" s="130" t="s">
        <v>115</v>
      </c>
      <c r="E209" s="130">
        <v>6</v>
      </c>
      <c r="F209" s="207"/>
      <c r="G209" s="130">
        <v>0</v>
      </c>
      <c r="H209" s="130">
        <v>0</v>
      </c>
      <c r="I209" s="130">
        <v>0</v>
      </c>
      <c r="J209" s="130">
        <v>0</v>
      </c>
      <c r="K209" s="130">
        <v>0</v>
      </c>
      <c r="L209" s="130">
        <v>0</v>
      </c>
      <c r="M209" s="130">
        <v>0</v>
      </c>
      <c r="N209" s="211"/>
      <c r="O209" s="130" t="s">
        <v>488</v>
      </c>
      <c r="P209" s="130" t="s">
        <v>488</v>
      </c>
      <c r="Q209" s="130">
        <v>0</v>
      </c>
      <c r="R209" s="130">
        <v>0</v>
      </c>
      <c r="S209" s="130" t="s">
        <v>488</v>
      </c>
      <c r="T209" s="130" t="s">
        <v>488</v>
      </c>
      <c r="U209" s="130"/>
      <c r="V209" s="202">
        <f t="shared" si="3"/>
        <v>0</v>
      </c>
      <c r="W209" s="211"/>
      <c r="X209" s="130">
        <v>0</v>
      </c>
      <c r="Y209" s="130">
        <v>0</v>
      </c>
    </row>
    <row r="210" spans="1:25" x14ac:dyDescent="0.25">
      <c r="A210" s="130">
        <v>540161</v>
      </c>
      <c r="B210" s="130" t="s">
        <v>235</v>
      </c>
      <c r="C210" s="130" t="s">
        <v>68</v>
      </c>
      <c r="D210" s="130" t="s">
        <v>115</v>
      </c>
      <c r="E210" s="130">
        <v>6</v>
      </c>
      <c r="F210" s="207"/>
      <c r="G210" s="130">
        <v>0</v>
      </c>
      <c r="H210" s="130">
        <v>49</v>
      </c>
      <c r="I210" s="130">
        <v>3</v>
      </c>
      <c r="J210" s="130">
        <v>0</v>
      </c>
      <c r="K210" s="130">
        <v>0</v>
      </c>
      <c r="L210" s="130">
        <v>52</v>
      </c>
      <c r="M210" s="130">
        <v>52</v>
      </c>
      <c r="N210" s="211"/>
      <c r="O210" s="130" t="s">
        <v>488</v>
      </c>
      <c r="P210" s="130" t="s">
        <v>488</v>
      </c>
      <c r="Q210" s="130">
        <v>0</v>
      </c>
      <c r="R210" s="130">
        <v>0</v>
      </c>
      <c r="S210" s="130" t="s">
        <v>488</v>
      </c>
      <c r="T210" s="130" t="s">
        <v>488</v>
      </c>
      <c r="U210" s="130"/>
      <c r="V210" s="202">
        <f t="shared" si="3"/>
        <v>0</v>
      </c>
      <c r="W210" s="211"/>
      <c r="X210" s="130">
        <v>0</v>
      </c>
      <c r="Y210" s="130">
        <v>0</v>
      </c>
    </row>
    <row r="211" spans="1:25" x14ac:dyDescent="0.25">
      <c r="A211" s="130">
        <v>540162</v>
      </c>
      <c r="B211" s="130" t="s">
        <v>236</v>
      </c>
      <c r="C211" s="130" t="s">
        <v>68</v>
      </c>
      <c r="D211" s="130" t="s">
        <v>115</v>
      </c>
      <c r="E211" s="130">
        <v>6</v>
      </c>
      <c r="F211" s="207"/>
      <c r="G211" s="130">
        <v>0</v>
      </c>
      <c r="H211" s="130">
        <v>26</v>
      </c>
      <c r="I211" s="130">
        <v>3</v>
      </c>
      <c r="J211" s="130">
        <v>0</v>
      </c>
      <c r="K211" s="130">
        <v>0</v>
      </c>
      <c r="L211" s="130">
        <v>29</v>
      </c>
      <c r="M211" s="130">
        <v>29</v>
      </c>
      <c r="N211" s="211"/>
      <c r="O211" s="130" t="s">
        <v>488</v>
      </c>
      <c r="P211" s="130" t="s">
        <v>488</v>
      </c>
      <c r="Q211" s="130">
        <v>0</v>
      </c>
      <c r="R211" s="130">
        <v>0</v>
      </c>
      <c r="S211" s="130" t="s">
        <v>488</v>
      </c>
      <c r="T211" s="130" t="s">
        <v>488</v>
      </c>
      <c r="U211" s="130"/>
      <c r="V211" s="202">
        <f t="shared" si="3"/>
        <v>0</v>
      </c>
      <c r="W211" s="211"/>
      <c r="X211" s="130">
        <v>0</v>
      </c>
      <c r="Y211" s="130">
        <v>0</v>
      </c>
    </row>
    <row r="212" spans="1:25" x14ac:dyDescent="0.25">
      <c r="A212" s="130">
        <v>540163</v>
      </c>
      <c r="B212" s="130" t="s">
        <v>237</v>
      </c>
      <c r="C212" s="130" t="s">
        <v>68</v>
      </c>
      <c r="D212" s="130" t="s">
        <v>115</v>
      </c>
      <c r="E212" s="130">
        <v>6</v>
      </c>
      <c r="F212" s="207"/>
      <c r="G212" s="130">
        <v>0</v>
      </c>
      <c r="H212" s="130">
        <v>128</v>
      </c>
      <c r="I212" s="130">
        <v>0</v>
      </c>
      <c r="J212" s="130">
        <v>0</v>
      </c>
      <c r="K212" s="130">
        <v>0</v>
      </c>
      <c r="L212" s="130">
        <v>128</v>
      </c>
      <c r="M212" s="130">
        <v>128</v>
      </c>
      <c r="N212" s="211"/>
      <c r="O212" s="130" t="s">
        <v>488</v>
      </c>
      <c r="P212" s="130" t="s">
        <v>488</v>
      </c>
      <c r="Q212" s="130">
        <v>0</v>
      </c>
      <c r="R212" s="130">
        <v>2</v>
      </c>
      <c r="S212" s="130" t="s">
        <v>488</v>
      </c>
      <c r="T212" s="130" t="s">
        <v>488</v>
      </c>
      <c r="U212" s="130"/>
      <c r="V212" s="202">
        <f t="shared" si="3"/>
        <v>2</v>
      </c>
      <c r="W212" s="211"/>
      <c r="X212" s="130">
        <v>0</v>
      </c>
      <c r="Y212" s="130">
        <v>0</v>
      </c>
    </row>
    <row r="213" spans="1:25" x14ac:dyDescent="0.25">
      <c r="A213" s="130">
        <v>540254</v>
      </c>
      <c r="B213" s="130" t="s">
        <v>300</v>
      </c>
      <c r="C213" s="130" t="s">
        <v>68</v>
      </c>
      <c r="D213" s="130" t="s">
        <v>115</v>
      </c>
      <c r="E213" s="130">
        <v>6</v>
      </c>
      <c r="F213" s="207"/>
      <c r="G213" s="130">
        <v>0</v>
      </c>
      <c r="H213" s="130">
        <v>0</v>
      </c>
      <c r="I213" s="130">
        <v>0</v>
      </c>
      <c r="J213" s="130">
        <v>0</v>
      </c>
      <c r="K213" s="130">
        <v>0</v>
      </c>
      <c r="L213" s="130">
        <v>0</v>
      </c>
      <c r="M213" s="130">
        <v>0</v>
      </c>
      <c r="N213" s="211"/>
      <c r="O213" s="130" t="s">
        <v>488</v>
      </c>
      <c r="P213" s="130" t="s">
        <v>488</v>
      </c>
      <c r="Q213" s="130">
        <v>0</v>
      </c>
      <c r="R213" s="130">
        <v>1</v>
      </c>
      <c r="S213" s="130" t="s">
        <v>488</v>
      </c>
      <c r="T213" s="130" t="s">
        <v>488</v>
      </c>
      <c r="U213" s="130"/>
      <c r="V213" s="202">
        <f t="shared" si="3"/>
        <v>1</v>
      </c>
      <c r="W213" s="211"/>
      <c r="X213" s="130">
        <v>0</v>
      </c>
      <c r="Y213" s="130">
        <v>0</v>
      </c>
    </row>
    <row r="214" spans="1:25" x14ac:dyDescent="0.25">
      <c r="A214" s="130">
        <v>540257</v>
      </c>
      <c r="B214" s="130" t="s">
        <v>302</v>
      </c>
      <c r="C214" s="130" t="s">
        <v>68</v>
      </c>
      <c r="D214" s="130" t="s">
        <v>115</v>
      </c>
      <c r="E214" s="130">
        <v>6</v>
      </c>
      <c r="F214" s="207"/>
      <c r="G214" s="130">
        <v>24</v>
      </c>
      <c r="H214" s="130">
        <v>0</v>
      </c>
      <c r="I214" s="130">
        <v>0</v>
      </c>
      <c r="J214" s="130">
        <v>0</v>
      </c>
      <c r="K214" s="130">
        <v>0</v>
      </c>
      <c r="L214" s="130">
        <v>0</v>
      </c>
      <c r="M214" s="130">
        <v>24</v>
      </c>
      <c r="N214" s="211"/>
      <c r="O214" s="130" t="s">
        <v>488</v>
      </c>
      <c r="P214" s="130" t="s">
        <v>488</v>
      </c>
      <c r="Q214" s="130">
        <v>4</v>
      </c>
      <c r="R214" s="130">
        <v>3</v>
      </c>
      <c r="S214" s="130" t="s">
        <v>488</v>
      </c>
      <c r="T214" s="130" t="s">
        <v>488</v>
      </c>
      <c r="U214" s="130"/>
      <c r="V214" s="202">
        <f t="shared" si="3"/>
        <v>3</v>
      </c>
      <c r="W214" s="211"/>
      <c r="X214" s="130">
        <v>0</v>
      </c>
      <c r="Y214" s="130">
        <v>0</v>
      </c>
    </row>
    <row r="215" spans="1:25" x14ac:dyDescent="0.25">
      <c r="A215" s="130">
        <v>540268</v>
      </c>
      <c r="B215" s="130" t="s">
        <v>311</v>
      </c>
      <c r="C215" s="130" t="s">
        <v>68</v>
      </c>
      <c r="D215" s="130" t="s">
        <v>115</v>
      </c>
      <c r="E215" s="130">
        <v>6</v>
      </c>
      <c r="F215" s="207"/>
      <c r="G215" s="130">
        <v>16</v>
      </c>
      <c r="H215" s="130">
        <v>0</v>
      </c>
      <c r="I215" s="130">
        <v>0</v>
      </c>
      <c r="J215" s="130">
        <v>0</v>
      </c>
      <c r="K215" s="130">
        <v>0</v>
      </c>
      <c r="L215" s="130">
        <v>0</v>
      </c>
      <c r="M215" s="130">
        <v>16</v>
      </c>
      <c r="N215" s="211"/>
      <c r="O215" s="130" t="s">
        <v>488</v>
      </c>
      <c r="P215" s="130" t="s">
        <v>488</v>
      </c>
      <c r="Q215" s="130">
        <v>0</v>
      </c>
      <c r="R215" s="130">
        <v>5</v>
      </c>
      <c r="S215" s="130" t="s">
        <v>488</v>
      </c>
      <c r="T215" s="130" t="s">
        <v>488</v>
      </c>
      <c r="U215" s="130"/>
      <c r="V215" s="202">
        <f t="shared" si="3"/>
        <v>5</v>
      </c>
      <c r="W215" s="211"/>
      <c r="X215" s="130">
        <v>0</v>
      </c>
      <c r="Y215" s="130">
        <v>0</v>
      </c>
    </row>
    <row r="216" spans="1:25" x14ac:dyDescent="0.25">
      <c r="A216" s="130">
        <v>540269</v>
      </c>
      <c r="B216" s="130" t="s">
        <v>312</v>
      </c>
      <c r="C216" s="130" t="s">
        <v>68</v>
      </c>
      <c r="D216" s="130" t="s">
        <v>115</v>
      </c>
      <c r="E216" s="130">
        <v>6</v>
      </c>
      <c r="F216" s="207"/>
      <c r="G216" s="130">
        <v>0</v>
      </c>
      <c r="H216" s="130">
        <v>0</v>
      </c>
      <c r="I216" s="130">
        <v>0</v>
      </c>
      <c r="J216" s="130">
        <v>0</v>
      </c>
      <c r="K216" s="130">
        <v>0</v>
      </c>
      <c r="L216" s="130">
        <v>0</v>
      </c>
      <c r="M216" s="130">
        <v>0</v>
      </c>
      <c r="N216" s="211"/>
      <c r="O216" s="130" t="s">
        <v>488</v>
      </c>
      <c r="P216" s="130" t="s">
        <v>488</v>
      </c>
      <c r="Q216" s="130">
        <v>0</v>
      </c>
      <c r="R216" s="130">
        <v>0</v>
      </c>
      <c r="S216" s="130" t="s">
        <v>488</v>
      </c>
      <c r="T216" s="130" t="s">
        <v>488</v>
      </c>
      <c r="U216" s="130"/>
      <c r="V216" s="202">
        <f t="shared" si="3"/>
        <v>0</v>
      </c>
      <c r="W216" s="211"/>
      <c r="X216" s="130">
        <v>0</v>
      </c>
      <c r="Y216" s="130">
        <v>0</v>
      </c>
    </row>
    <row r="217" spans="1:25" x14ac:dyDescent="0.25">
      <c r="A217" s="130">
        <v>540270</v>
      </c>
      <c r="B217" s="130" t="s">
        <v>313</v>
      </c>
      <c r="C217" s="130" t="s">
        <v>68</v>
      </c>
      <c r="D217" s="130" t="s">
        <v>115</v>
      </c>
      <c r="E217" s="130">
        <v>6</v>
      </c>
      <c r="F217" s="207"/>
      <c r="G217" s="130">
        <v>0</v>
      </c>
      <c r="H217" s="130">
        <v>0</v>
      </c>
      <c r="I217" s="130">
        <v>0</v>
      </c>
      <c r="J217" s="130">
        <v>0</v>
      </c>
      <c r="K217" s="130">
        <v>0</v>
      </c>
      <c r="L217" s="130">
        <v>0</v>
      </c>
      <c r="M217" s="130">
        <v>0</v>
      </c>
      <c r="N217" s="211"/>
      <c r="O217" s="130" t="s">
        <v>488</v>
      </c>
      <c r="P217" s="130" t="s">
        <v>488</v>
      </c>
      <c r="Q217" s="130">
        <v>0</v>
      </c>
      <c r="R217" s="130">
        <v>0</v>
      </c>
      <c r="S217" s="130" t="s">
        <v>488</v>
      </c>
      <c r="T217" s="130" t="s">
        <v>488</v>
      </c>
      <c r="U217" s="130"/>
      <c r="V217" s="202">
        <f t="shared" si="3"/>
        <v>0</v>
      </c>
      <c r="W217" s="211"/>
      <c r="X217" s="130">
        <v>0</v>
      </c>
      <c r="Y217" s="130">
        <v>0</v>
      </c>
    </row>
    <row r="218" spans="1:25" x14ac:dyDescent="0.25">
      <c r="A218" s="130">
        <v>540284</v>
      </c>
      <c r="B218" s="130" t="s">
        <v>323</v>
      </c>
      <c r="C218" s="130" t="s">
        <v>68</v>
      </c>
      <c r="D218" s="130" t="s">
        <v>115</v>
      </c>
      <c r="E218" s="130">
        <v>6</v>
      </c>
      <c r="F218" s="207"/>
      <c r="G218" s="130">
        <v>0</v>
      </c>
      <c r="H218" s="130">
        <v>0</v>
      </c>
      <c r="I218" s="130">
        <v>0</v>
      </c>
      <c r="J218" s="130">
        <v>0</v>
      </c>
      <c r="K218" s="130">
        <v>0</v>
      </c>
      <c r="L218" s="130">
        <v>0</v>
      </c>
      <c r="M218" s="130">
        <v>0</v>
      </c>
      <c r="N218" s="211"/>
      <c r="O218" s="130" t="s">
        <v>488</v>
      </c>
      <c r="P218" s="130" t="s">
        <v>488</v>
      </c>
      <c r="Q218" s="130">
        <v>0</v>
      </c>
      <c r="R218" s="130">
        <v>0</v>
      </c>
      <c r="S218" s="130" t="s">
        <v>488</v>
      </c>
      <c r="T218" s="130" t="s">
        <v>488</v>
      </c>
      <c r="U218" s="130"/>
      <c r="V218" s="202">
        <f t="shared" si="3"/>
        <v>0</v>
      </c>
      <c r="W218" s="211"/>
      <c r="X218" s="130">
        <v>0</v>
      </c>
      <c r="Y218" s="130">
        <v>0</v>
      </c>
    </row>
    <row r="219" spans="1:25" x14ac:dyDescent="0.25">
      <c r="A219" s="130"/>
      <c r="B219" s="130"/>
      <c r="C219" s="130" t="s">
        <v>68</v>
      </c>
      <c r="D219" s="130"/>
      <c r="E219" s="130"/>
      <c r="F219" s="207"/>
      <c r="G219" s="130">
        <v>196</v>
      </c>
      <c r="H219" s="130">
        <v>483</v>
      </c>
      <c r="I219" s="130">
        <v>6</v>
      </c>
      <c r="J219" s="130">
        <v>0</v>
      </c>
      <c r="K219" s="130">
        <v>0</v>
      </c>
      <c r="L219" s="130">
        <v>489</v>
      </c>
      <c r="M219" s="130">
        <v>685</v>
      </c>
      <c r="N219" s="211"/>
      <c r="O219" s="130" t="s">
        <v>488</v>
      </c>
      <c r="P219" s="130" t="s">
        <v>488</v>
      </c>
      <c r="Q219" s="130">
        <v>10</v>
      </c>
      <c r="R219" s="130">
        <v>98</v>
      </c>
      <c r="S219" s="130" t="s">
        <v>488</v>
      </c>
      <c r="T219" s="130" t="s">
        <v>488</v>
      </c>
      <c r="U219" s="130"/>
      <c r="V219" s="202">
        <f t="shared" si="3"/>
        <v>98</v>
      </c>
      <c r="W219" s="211"/>
      <c r="X219" s="130">
        <v>0</v>
      </c>
      <c r="Y219" s="130">
        <v>0</v>
      </c>
    </row>
    <row r="220" spans="1:25" x14ac:dyDescent="0.25">
      <c r="A220" s="128">
        <v>540164</v>
      </c>
      <c r="B220" s="128" t="s">
        <v>70</v>
      </c>
      <c r="C220" s="128" t="s">
        <v>71</v>
      </c>
      <c r="D220" s="128" t="s">
        <v>5</v>
      </c>
      <c r="E220" s="128">
        <v>3</v>
      </c>
      <c r="F220" s="206"/>
      <c r="G220" s="128">
        <v>506</v>
      </c>
      <c r="H220" s="128">
        <v>1240</v>
      </c>
      <c r="I220" s="128">
        <v>15</v>
      </c>
      <c r="J220" s="128">
        <v>0</v>
      </c>
      <c r="K220" s="128">
        <v>0</v>
      </c>
      <c r="L220" s="128">
        <v>1255</v>
      </c>
      <c r="M220" s="128">
        <v>1761</v>
      </c>
      <c r="N220" s="210"/>
      <c r="O220" s="128" t="s">
        <v>488</v>
      </c>
      <c r="P220" s="128" t="s">
        <v>488</v>
      </c>
      <c r="Q220" s="128">
        <v>396</v>
      </c>
      <c r="R220" s="128">
        <v>57</v>
      </c>
      <c r="S220" s="128" t="s">
        <v>488</v>
      </c>
      <c r="T220" s="128" t="s">
        <v>488</v>
      </c>
      <c r="U220" s="128"/>
      <c r="V220" s="202">
        <f t="shared" si="3"/>
        <v>57</v>
      </c>
      <c r="W220" s="210"/>
      <c r="X220" s="128">
        <v>1941</v>
      </c>
      <c r="Y220" s="128">
        <v>0</v>
      </c>
    </row>
    <row r="221" spans="1:25" x14ac:dyDescent="0.25">
      <c r="A221" s="130">
        <v>540081</v>
      </c>
      <c r="B221" s="130" t="s">
        <v>176</v>
      </c>
      <c r="C221" s="130" t="s">
        <v>71</v>
      </c>
      <c r="D221" s="130" t="s">
        <v>115</v>
      </c>
      <c r="E221" s="130">
        <v>3</v>
      </c>
      <c r="F221" s="207"/>
      <c r="G221" s="130">
        <v>0</v>
      </c>
      <c r="H221" s="130">
        <v>113</v>
      </c>
      <c r="I221" s="130">
        <v>11</v>
      </c>
      <c r="J221" s="130">
        <v>0</v>
      </c>
      <c r="K221" s="130">
        <v>0</v>
      </c>
      <c r="L221" s="130">
        <v>124</v>
      </c>
      <c r="M221" s="130">
        <v>124</v>
      </c>
      <c r="N221" s="211"/>
      <c r="O221" s="130" t="s">
        <v>488</v>
      </c>
      <c r="P221" s="130" t="s">
        <v>488</v>
      </c>
      <c r="Q221" s="130">
        <v>0</v>
      </c>
      <c r="R221" s="130">
        <v>22</v>
      </c>
      <c r="S221" s="130" t="s">
        <v>488</v>
      </c>
      <c r="T221" s="130" t="s">
        <v>488</v>
      </c>
      <c r="U221" s="130"/>
      <c r="V221" s="202">
        <f t="shared" si="3"/>
        <v>22</v>
      </c>
      <c r="W221" s="211"/>
      <c r="X221" s="130">
        <v>295</v>
      </c>
      <c r="Y221" s="130">
        <v>0</v>
      </c>
    </row>
    <row r="222" spans="1:25" x14ac:dyDescent="0.25">
      <c r="A222" s="130">
        <v>540165</v>
      </c>
      <c r="B222" s="130" t="s">
        <v>238</v>
      </c>
      <c r="C222" s="130" t="s">
        <v>71</v>
      </c>
      <c r="D222" s="130" t="s">
        <v>115</v>
      </c>
      <c r="E222" s="130">
        <v>3</v>
      </c>
      <c r="F222" s="207"/>
      <c r="G222" s="130">
        <v>0</v>
      </c>
      <c r="H222" s="130">
        <v>72</v>
      </c>
      <c r="I222" s="130">
        <v>0</v>
      </c>
      <c r="J222" s="130">
        <v>0</v>
      </c>
      <c r="K222" s="130">
        <v>0</v>
      </c>
      <c r="L222" s="130">
        <v>72</v>
      </c>
      <c r="M222" s="130">
        <v>72</v>
      </c>
      <c r="N222" s="211"/>
      <c r="O222" s="130" t="s">
        <v>488</v>
      </c>
      <c r="P222" s="130" t="s">
        <v>488</v>
      </c>
      <c r="Q222" s="130">
        <v>0</v>
      </c>
      <c r="R222" s="130">
        <v>0</v>
      </c>
      <c r="S222" s="130" t="s">
        <v>488</v>
      </c>
      <c r="T222" s="130" t="s">
        <v>488</v>
      </c>
      <c r="U222" s="130"/>
      <c r="V222" s="202">
        <f t="shared" si="3"/>
        <v>0</v>
      </c>
      <c r="W222" s="211"/>
      <c r="X222" s="130">
        <v>92</v>
      </c>
      <c r="Y222" s="130">
        <v>0</v>
      </c>
    </row>
    <row r="223" spans="1:25" x14ac:dyDescent="0.25">
      <c r="A223" s="130">
        <v>540166</v>
      </c>
      <c r="B223" s="130" t="s">
        <v>239</v>
      </c>
      <c r="C223" s="130" t="s">
        <v>71</v>
      </c>
      <c r="D223" s="130" t="s">
        <v>115</v>
      </c>
      <c r="E223" s="130">
        <v>3</v>
      </c>
      <c r="F223" s="207"/>
      <c r="G223" s="130">
        <v>0</v>
      </c>
      <c r="H223" s="130">
        <v>369</v>
      </c>
      <c r="I223" s="130">
        <v>0</v>
      </c>
      <c r="J223" s="130">
        <v>0</v>
      </c>
      <c r="K223" s="130">
        <v>0</v>
      </c>
      <c r="L223" s="130">
        <v>369</v>
      </c>
      <c r="M223" s="130">
        <v>369</v>
      </c>
      <c r="N223" s="211"/>
      <c r="O223" s="130" t="s">
        <v>488</v>
      </c>
      <c r="P223" s="130" t="s">
        <v>488</v>
      </c>
      <c r="Q223" s="130">
        <v>0</v>
      </c>
      <c r="R223" s="130">
        <v>0</v>
      </c>
      <c r="S223" s="130" t="s">
        <v>488</v>
      </c>
      <c r="T223" s="130" t="s">
        <v>488</v>
      </c>
      <c r="U223" s="130"/>
      <c r="V223" s="202">
        <f t="shared" si="3"/>
        <v>0</v>
      </c>
      <c r="W223" s="211"/>
      <c r="X223" s="130">
        <v>360</v>
      </c>
      <c r="Y223" s="130">
        <v>0</v>
      </c>
    </row>
    <row r="224" spans="1:25" x14ac:dyDescent="0.25">
      <c r="A224" s="130">
        <v>540167</v>
      </c>
      <c r="B224" s="130" t="s">
        <v>240</v>
      </c>
      <c r="C224" s="130" t="s">
        <v>71</v>
      </c>
      <c r="D224" s="130" t="s">
        <v>115</v>
      </c>
      <c r="E224" s="130">
        <v>3</v>
      </c>
      <c r="F224" s="207"/>
      <c r="G224" s="130">
        <v>0</v>
      </c>
      <c r="H224" s="130">
        <v>16</v>
      </c>
      <c r="I224" s="130">
        <v>3</v>
      </c>
      <c r="J224" s="130">
        <v>0</v>
      </c>
      <c r="K224" s="130">
        <v>0</v>
      </c>
      <c r="L224" s="130">
        <v>19</v>
      </c>
      <c r="M224" s="130">
        <v>19</v>
      </c>
      <c r="N224" s="211"/>
      <c r="O224" s="130" t="s">
        <v>488</v>
      </c>
      <c r="P224" s="130" t="s">
        <v>488</v>
      </c>
      <c r="Q224" s="130">
        <v>0</v>
      </c>
      <c r="R224" s="130">
        <v>1</v>
      </c>
      <c r="S224" s="130" t="s">
        <v>488</v>
      </c>
      <c r="T224" s="130" t="s">
        <v>488</v>
      </c>
      <c r="U224" s="130"/>
      <c r="V224" s="202">
        <f t="shared" si="3"/>
        <v>1</v>
      </c>
      <c r="W224" s="211"/>
      <c r="X224" s="130">
        <v>23</v>
      </c>
      <c r="Y224" s="130">
        <v>0</v>
      </c>
    </row>
    <row r="225" spans="1:25" x14ac:dyDescent="0.25">
      <c r="A225" s="130">
        <v>540168</v>
      </c>
      <c r="B225" s="130" t="s">
        <v>241</v>
      </c>
      <c r="C225" s="130" t="s">
        <v>71</v>
      </c>
      <c r="D225" s="130" t="s">
        <v>115</v>
      </c>
      <c r="E225" s="130">
        <v>3</v>
      </c>
      <c r="F225" s="207"/>
      <c r="G225" s="130">
        <v>0</v>
      </c>
      <c r="H225" s="130">
        <v>34</v>
      </c>
      <c r="I225" s="130">
        <v>0</v>
      </c>
      <c r="J225" s="130">
        <v>0</v>
      </c>
      <c r="K225" s="130">
        <v>0</v>
      </c>
      <c r="L225" s="130">
        <v>34</v>
      </c>
      <c r="M225" s="130">
        <v>34</v>
      </c>
      <c r="N225" s="211"/>
      <c r="O225" s="130" t="s">
        <v>488</v>
      </c>
      <c r="P225" s="130" t="s">
        <v>488</v>
      </c>
      <c r="Q225" s="130">
        <v>0</v>
      </c>
      <c r="R225" s="130">
        <v>0</v>
      </c>
      <c r="S225" s="130" t="s">
        <v>488</v>
      </c>
      <c r="T225" s="130" t="s">
        <v>488</v>
      </c>
      <c r="U225" s="130"/>
      <c r="V225" s="202">
        <f t="shared" si="3"/>
        <v>0</v>
      </c>
      <c r="W225" s="211"/>
      <c r="X225" s="130">
        <v>114</v>
      </c>
      <c r="Y225" s="130">
        <v>0</v>
      </c>
    </row>
    <row r="226" spans="1:25" x14ac:dyDescent="0.25">
      <c r="A226" s="130">
        <v>540222</v>
      </c>
      <c r="B226" s="130" t="s">
        <v>276</v>
      </c>
      <c r="C226" s="130" t="s">
        <v>71</v>
      </c>
      <c r="D226" s="130" t="s">
        <v>115</v>
      </c>
      <c r="E226" s="130">
        <v>3</v>
      </c>
      <c r="F226" s="207"/>
      <c r="G226" s="130">
        <v>0</v>
      </c>
      <c r="H226" s="130">
        <v>14</v>
      </c>
      <c r="I226" s="130">
        <v>0</v>
      </c>
      <c r="J226" s="130">
        <v>0</v>
      </c>
      <c r="K226" s="130">
        <v>0</v>
      </c>
      <c r="L226" s="130">
        <v>14</v>
      </c>
      <c r="M226" s="130">
        <v>14</v>
      </c>
      <c r="N226" s="211"/>
      <c r="O226" s="130" t="s">
        <v>488</v>
      </c>
      <c r="P226" s="130" t="s">
        <v>488</v>
      </c>
      <c r="Q226" s="130">
        <v>0</v>
      </c>
      <c r="R226" s="130">
        <v>0</v>
      </c>
      <c r="S226" s="130" t="s">
        <v>488</v>
      </c>
      <c r="T226" s="130" t="s">
        <v>488</v>
      </c>
      <c r="U226" s="130"/>
      <c r="V226" s="202">
        <f t="shared" si="3"/>
        <v>0</v>
      </c>
      <c r="W226" s="211"/>
      <c r="X226" s="130">
        <v>40</v>
      </c>
      <c r="Y226" s="130">
        <v>0</v>
      </c>
    </row>
    <row r="227" spans="1:25" x14ac:dyDescent="0.25">
      <c r="A227" s="130">
        <v>540271</v>
      </c>
      <c r="B227" s="130" t="s">
        <v>314</v>
      </c>
      <c r="C227" s="130" t="s">
        <v>71</v>
      </c>
      <c r="D227" s="130" t="s">
        <v>115</v>
      </c>
      <c r="E227" s="130">
        <v>3</v>
      </c>
      <c r="F227" s="207"/>
      <c r="G227" s="130">
        <v>0</v>
      </c>
      <c r="H227" s="130">
        <v>99</v>
      </c>
      <c r="I227" s="130">
        <v>0</v>
      </c>
      <c r="J227" s="130">
        <v>0</v>
      </c>
      <c r="K227" s="130">
        <v>0</v>
      </c>
      <c r="L227" s="130">
        <v>99</v>
      </c>
      <c r="M227" s="130">
        <v>99</v>
      </c>
      <c r="N227" s="211"/>
      <c r="O227" s="130" t="s">
        <v>488</v>
      </c>
      <c r="P227" s="130" t="s">
        <v>488</v>
      </c>
      <c r="Q227" s="130">
        <v>0</v>
      </c>
      <c r="R227" s="130">
        <v>0</v>
      </c>
      <c r="S227" s="130" t="s">
        <v>488</v>
      </c>
      <c r="T227" s="130" t="s">
        <v>488</v>
      </c>
      <c r="U227" s="130"/>
      <c r="V227" s="202">
        <f t="shared" si="3"/>
        <v>0</v>
      </c>
      <c r="W227" s="211"/>
      <c r="X227" s="130">
        <v>368</v>
      </c>
      <c r="Y227" s="130">
        <v>0</v>
      </c>
    </row>
    <row r="228" spans="1:25" x14ac:dyDescent="0.25">
      <c r="A228" s="130"/>
      <c r="B228" s="130"/>
      <c r="C228" s="130" t="s">
        <v>71</v>
      </c>
      <c r="D228" s="130"/>
      <c r="E228" s="130"/>
      <c r="F228" s="207"/>
      <c r="G228" s="130">
        <v>506</v>
      </c>
      <c r="H228" s="130">
        <v>1957</v>
      </c>
      <c r="I228" s="130">
        <v>29</v>
      </c>
      <c r="J228" s="130">
        <v>0</v>
      </c>
      <c r="K228" s="130">
        <v>0</v>
      </c>
      <c r="L228" s="130">
        <v>1986</v>
      </c>
      <c r="M228" s="130">
        <v>2492</v>
      </c>
      <c r="N228" s="211"/>
      <c r="O228" s="130" t="s">
        <v>488</v>
      </c>
      <c r="P228" s="130" t="s">
        <v>488</v>
      </c>
      <c r="Q228" s="130">
        <v>396</v>
      </c>
      <c r="R228" s="130">
        <v>80</v>
      </c>
      <c r="S228" s="130" t="s">
        <v>488</v>
      </c>
      <c r="T228" s="130" t="s">
        <v>488</v>
      </c>
      <c r="U228" s="130"/>
      <c r="V228" s="202">
        <f t="shared" si="3"/>
        <v>80</v>
      </c>
      <c r="W228" s="211"/>
      <c r="X228" s="130">
        <v>3233</v>
      </c>
      <c r="Y228" s="130">
        <v>0</v>
      </c>
    </row>
    <row r="229" spans="1:25" x14ac:dyDescent="0.25">
      <c r="A229" s="128">
        <v>540169</v>
      </c>
      <c r="B229" s="128" t="s">
        <v>72</v>
      </c>
      <c r="C229" s="128" t="s">
        <v>73</v>
      </c>
      <c r="D229" s="128" t="s">
        <v>5</v>
      </c>
      <c r="E229" s="128">
        <v>1</v>
      </c>
      <c r="F229" s="206"/>
      <c r="G229" s="128">
        <v>1265</v>
      </c>
      <c r="H229" s="128">
        <v>875</v>
      </c>
      <c r="I229" s="128">
        <v>10</v>
      </c>
      <c r="J229" s="128">
        <v>0</v>
      </c>
      <c r="K229" s="128">
        <v>0</v>
      </c>
      <c r="L229" s="128">
        <v>885</v>
      </c>
      <c r="M229" s="128">
        <v>2150</v>
      </c>
      <c r="N229" s="210"/>
      <c r="O229" s="128" t="s">
        <v>488</v>
      </c>
      <c r="P229" s="128" t="s">
        <v>488</v>
      </c>
      <c r="Q229" s="128">
        <v>487</v>
      </c>
      <c r="R229" s="128">
        <v>300</v>
      </c>
      <c r="S229" s="128" t="s">
        <v>488</v>
      </c>
      <c r="T229" s="128" t="s">
        <v>488</v>
      </c>
      <c r="U229" s="128"/>
      <c r="V229" s="202">
        <f t="shared" si="3"/>
        <v>300</v>
      </c>
      <c r="W229" s="210"/>
      <c r="X229" s="128">
        <v>316</v>
      </c>
      <c r="Y229" s="128">
        <v>0</v>
      </c>
    </row>
    <row r="230" spans="1:25" x14ac:dyDescent="0.25">
      <c r="A230" s="130">
        <v>540170</v>
      </c>
      <c r="B230" s="130" t="s">
        <v>242</v>
      </c>
      <c r="C230" s="130" t="s">
        <v>73</v>
      </c>
      <c r="D230" s="130" t="s">
        <v>115</v>
      </c>
      <c r="E230" s="130">
        <v>1</v>
      </c>
      <c r="F230" s="207"/>
      <c r="G230" s="130">
        <v>2</v>
      </c>
      <c r="H230" s="130">
        <v>17</v>
      </c>
      <c r="I230" s="130">
        <v>0</v>
      </c>
      <c r="J230" s="130">
        <v>0</v>
      </c>
      <c r="K230" s="130">
        <v>0</v>
      </c>
      <c r="L230" s="130">
        <v>17</v>
      </c>
      <c r="M230" s="130">
        <v>19</v>
      </c>
      <c r="N230" s="211"/>
      <c r="O230" s="130" t="s">
        <v>488</v>
      </c>
      <c r="P230" s="130" t="s">
        <v>488</v>
      </c>
      <c r="Q230" s="130">
        <v>2</v>
      </c>
      <c r="R230" s="130">
        <v>0</v>
      </c>
      <c r="S230" s="130" t="s">
        <v>488</v>
      </c>
      <c r="T230" s="130" t="s">
        <v>488</v>
      </c>
      <c r="U230" s="130"/>
      <c r="V230" s="202">
        <f t="shared" si="3"/>
        <v>0</v>
      </c>
      <c r="W230" s="211"/>
      <c r="X230" s="130">
        <v>2</v>
      </c>
      <c r="Y230" s="130">
        <v>0</v>
      </c>
    </row>
    <row r="231" spans="1:25" x14ac:dyDescent="0.25">
      <c r="A231" s="130">
        <v>540171</v>
      </c>
      <c r="B231" s="130" t="s">
        <v>243</v>
      </c>
      <c r="C231" s="130" t="s">
        <v>73</v>
      </c>
      <c r="D231" s="130" t="s">
        <v>115</v>
      </c>
      <c r="E231" s="130">
        <v>1</v>
      </c>
      <c r="F231" s="207"/>
      <c r="G231" s="130">
        <v>22</v>
      </c>
      <c r="H231" s="130">
        <v>0</v>
      </c>
      <c r="I231" s="130">
        <v>0</v>
      </c>
      <c r="J231" s="130">
        <v>0</v>
      </c>
      <c r="K231" s="130">
        <v>0</v>
      </c>
      <c r="L231" s="130">
        <v>0</v>
      </c>
      <c r="M231" s="130">
        <v>22</v>
      </c>
      <c r="N231" s="211"/>
      <c r="O231" s="130" t="s">
        <v>488</v>
      </c>
      <c r="P231" s="130" t="s">
        <v>488</v>
      </c>
      <c r="Q231" s="130">
        <v>16</v>
      </c>
      <c r="R231" s="130">
        <v>13</v>
      </c>
      <c r="S231" s="130" t="s">
        <v>488</v>
      </c>
      <c r="T231" s="130" t="s">
        <v>488</v>
      </c>
      <c r="U231" s="130"/>
      <c r="V231" s="202">
        <f t="shared" si="3"/>
        <v>13</v>
      </c>
      <c r="W231" s="211"/>
      <c r="X231" s="130">
        <v>0</v>
      </c>
      <c r="Y231" s="130">
        <v>0</v>
      </c>
    </row>
    <row r="232" spans="1:25" x14ac:dyDescent="0.25">
      <c r="A232" s="130">
        <v>540173</v>
      </c>
      <c r="B232" s="130" t="s">
        <v>245</v>
      </c>
      <c r="C232" s="130" t="s">
        <v>73</v>
      </c>
      <c r="D232" s="130" t="s">
        <v>115</v>
      </c>
      <c r="E232" s="130">
        <v>1</v>
      </c>
      <c r="F232" s="207"/>
      <c r="G232" s="130">
        <v>114</v>
      </c>
      <c r="H232" s="130">
        <v>0</v>
      </c>
      <c r="I232" s="130">
        <v>0</v>
      </c>
      <c r="J232" s="130">
        <v>0</v>
      </c>
      <c r="K232" s="130">
        <v>0</v>
      </c>
      <c r="L232" s="130">
        <v>0</v>
      </c>
      <c r="M232" s="130">
        <v>114</v>
      </c>
      <c r="N232" s="211"/>
      <c r="O232" s="130" t="s">
        <v>488</v>
      </c>
      <c r="P232" s="130" t="s">
        <v>488</v>
      </c>
      <c r="Q232" s="130">
        <v>48</v>
      </c>
      <c r="R232" s="130">
        <v>3</v>
      </c>
      <c r="S232" s="130" t="s">
        <v>488</v>
      </c>
      <c r="T232" s="130" t="s">
        <v>488</v>
      </c>
      <c r="U232" s="130"/>
      <c r="V232" s="202">
        <f t="shared" si="3"/>
        <v>3</v>
      </c>
      <c r="W232" s="211"/>
      <c r="X232" s="130">
        <v>0</v>
      </c>
      <c r="Y232" s="130">
        <v>0</v>
      </c>
    </row>
    <row r="233" spans="1:25" x14ac:dyDescent="0.25">
      <c r="A233" s="130">
        <v>540174</v>
      </c>
      <c r="B233" s="130" t="s">
        <v>246</v>
      </c>
      <c r="C233" s="130" t="s">
        <v>73</v>
      </c>
      <c r="D233" s="130" t="s">
        <v>115</v>
      </c>
      <c r="E233" s="130">
        <v>1</v>
      </c>
      <c r="F233" s="207"/>
      <c r="G233" s="130">
        <v>11</v>
      </c>
      <c r="H233" s="130">
        <v>1</v>
      </c>
      <c r="I233" s="130">
        <v>0</v>
      </c>
      <c r="J233" s="130">
        <v>0</v>
      </c>
      <c r="K233" s="130">
        <v>0</v>
      </c>
      <c r="L233" s="130">
        <v>1</v>
      </c>
      <c r="M233" s="130">
        <v>12</v>
      </c>
      <c r="N233" s="211"/>
      <c r="O233" s="130" t="s">
        <v>488</v>
      </c>
      <c r="P233" s="130" t="s">
        <v>488</v>
      </c>
      <c r="Q233" s="130">
        <v>11</v>
      </c>
      <c r="R233" s="130">
        <v>0</v>
      </c>
      <c r="S233" s="130" t="s">
        <v>488</v>
      </c>
      <c r="T233" s="130" t="s">
        <v>488</v>
      </c>
      <c r="U233" s="130"/>
      <c r="V233" s="202">
        <f t="shared" si="3"/>
        <v>0</v>
      </c>
      <c r="W233" s="211"/>
      <c r="X233" s="130">
        <v>0</v>
      </c>
      <c r="Y233" s="130">
        <v>0</v>
      </c>
    </row>
    <row r="234" spans="1:25" x14ac:dyDescent="0.25">
      <c r="A234" s="130">
        <v>540286</v>
      </c>
      <c r="B234" s="130" t="s">
        <v>325</v>
      </c>
      <c r="C234" s="130" t="s">
        <v>73</v>
      </c>
      <c r="D234" s="130" t="s">
        <v>115</v>
      </c>
      <c r="E234" s="130">
        <v>1</v>
      </c>
      <c r="F234" s="207"/>
      <c r="G234" s="130">
        <v>0</v>
      </c>
      <c r="H234" s="130">
        <v>58</v>
      </c>
      <c r="I234" s="130">
        <v>0</v>
      </c>
      <c r="J234" s="130">
        <v>0</v>
      </c>
      <c r="K234" s="130">
        <v>0</v>
      </c>
      <c r="L234" s="130">
        <v>58</v>
      </c>
      <c r="M234" s="130">
        <v>58</v>
      </c>
      <c r="N234" s="211"/>
      <c r="O234" s="130" t="s">
        <v>488</v>
      </c>
      <c r="P234" s="130" t="s">
        <v>488</v>
      </c>
      <c r="Q234" s="130">
        <v>0</v>
      </c>
      <c r="R234" s="130">
        <v>0</v>
      </c>
      <c r="S234" s="130" t="s">
        <v>488</v>
      </c>
      <c r="T234" s="130" t="s">
        <v>488</v>
      </c>
      <c r="U234" s="130"/>
      <c r="V234" s="202">
        <f t="shared" si="3"/>
        <v>0</v>
      </c>
      <c r="W234" s="211"/>
      <c r="X234" s="130">
        <v>3</v>
      </c>
      <c r="Y234" s="130">
        <v>0</v>
      </c>
    </row>
    <row r="235" spans="1:25" x14ac:dyDescent="0.25">
      <c r="A235" s="130"/>
      <c r="B235" s="130"/>
      <c r="C235" s="130" t="s">
        <v>73</v>
      </c>
      <c r="D235" s="130"/>
      <c r="E235" s="130"/>
      <c r="F235" s="207"/>
      <c r="G235" s="130">
        <v>1414</v>
      </c>
      <c r="H235" s="130">
        <v>951</v>
      </c>
      <c r="I235" s="130">
        <v>10</v>
      </c>
      <c r="J235" s="130">
        <v>0</v>
      </c>
      <c r="K235" s="130">
        <v>0</v>
      </c>
      <c r="L235" s="130">
        <v>961</v>
      </c>
      <c r="M235" s="130">
        <v>2375</v>
      </c>
      <c r="N235" s="211"/>
      <c r="O235" s="130" t="s">
        <v>488</v>
      </c>
      <c r="P235" s="130" t="s">
        <v>488</v>
      </c>
      <c r="Q235" s="130">
        <v>564</v>
      </c>
      <c r="R235" s="130">
        <v>316</v>
      </c>
      <c r="S235" s="130" t="s">
        <v>488</v>
      </c>
      <c r="T235" s="130" t="s">
        <v>488</v>
      </c>
      <c r="U235" s="130"/>
      <c r="V235" s="202">
        <f t="shared" si="3"/>
        <v>316</v>
      </c>
      <c r="W235" s="211"/>
      <c r="X235" s="130">
        <v>321</v>
      </c>
      <c r="Y235" s="130">
        <v>0</v>
      </c>
    </row>
    <row r="236" spans="1:25" x14ac:dyDescent="0.25">
      <c r="A236" s="128">
        <v>540183</v>
      </c>
      <c r="B236" s="128" t="s">
        <v>76</v>
      </c>
      <c r="C236" s="128" t="s">
        <v>77</v>
      </c>
      <c r="D236" s="128" t="s">
        <v>5</v>
      </c>
      <c r="E236" s="128">
        <v>5</v>
      </c>
      <c r="F236" s="206"/>
      <c r="G236" s="128">
        <v>1261</v>
      </c>
      <c r="H236" s="128">
        <v>9</v>
      </c>
      <c r="I236" s="128">
        <v>2</v>
      </c>
      <c r="J236" s="128">
        <v>0</v>
      </c>
      <c r="K236" s="128">
        <v>0</v>
      </c>
      <c r="L236" s="128">
        <v>11</v>
      </c>
      <c r="M236" s="128">
        <v>1272</v>
      </c>
      <c r="N236" s="210"/>
      <c r="O236" s="128" t="s">
        <v>488</v>
      </c>
      <c r="P236" s="128" t="s">
        <v>488</v>
      </c>
      <c r="Q236" s="128">
        <v>743</v>
      </c>
      <c r="R236" s="128">
        <v>446</v>
      </c>
      <c r="S236" s="128" t="s">
        <v>488</v>
      </c>
      <c r="T236" s="128" t="s">
        <v>488</v>
      </c>
      <c r="U236" s="128"/>
      <c r="V236" s="202">
        <f t="shared" si="3"/>
        <v>446</v>
      </c>
      <c r="W236" s="210"/>
      <c r="X236" s="128">
        <v>1</v>
      </c>
      <c r="Y236" s="128">
        <v>0</v>
      </c>
    </row>
    <row r="237" spans="1:25" x14ac:dyDescent="0.25">
      <c r="A237" s="130">
        <v>540184</v>
      </c>
      <c r="B237" s="130" t="s">
        <v>253</v>
      </c>
      <c r="C237" s="130" t="s">
        <v>77</v>
      </c>
      <c r="D237" s="130" t="s">
        <v>115</v>
      </c>
      <c r="E237" s="130">
        <v>5</v>
      </c>
      <c r="F237" s="207"/>
      <c r="G237" s="130">
        <v>0</v>
      </c>
      <c r="H237" s="130">
        <v>52</v>
      </c>
      <c r="I237" s="130">
        <v>0</v>
      </c>
      <c r="J237" s="130">
        <v>0</v>
      </c>
      <c r="K237" s="130">
        <v>0</v>
      </c>
      <c r="L237" s="130">
        <v>52</v>
      </c>
      <c r="M237" s="130">
        <v>52</v>
      </c>
      <c r="N237" s="211"/>
      <c r="O237" s="130" t="s">
        <v>488</v>
      </c>
      <c r="P237" s="130" t="s">
        <v>488</v>
      </c>
      <c r="Q237" s="130">
        <v>0</v>
      </c>
      <c r="R237" s="130">
        <v>0</v>
      </c>
      <c r="S237" s="130" t="s">
        <v>488</v>
      </c>
      <c r="T237" s="130" t="s">
        <v>488</v>
      </c>
      <c r="U237" s="130"/>
      <c r="V237" s="202">
        <f t="shared" si="3"/>
        <v>0</v>
      </c>
      <c r="W237" s="211"/>
      <c r="X237" s="130">
        <v>9</v>
      </c>
      <c r="Y237" s="130">
        <v>0</v>
      </c>
    </row>
    <row r="238" spans="1:25" x14ac:dyDescent="0.25">
      <c r="A238" s="130">
        <v>540185</v>
      </c>
      <c r="B238" s="130" t="s">
        <v>254</v>
      </c>
      <c r="C238" s="130" t="s">
        <v>77</v>
      </c>
      <c r="D238" s="130" t="s">
        <v>115</v>
      </c>
      <c r="E238" s="130">
        <v>5</v>
      </c>
      <c r="F238" s="207"/>
      <c r="G238" s="130">
        <v>2</v>
      </c>
      <c r="H238" s="130">
        <v>158</v>
      </c>
      <c r="I238" s="130">
        <v>77</v>
      </c>
      <c r="J238" s="130">
        <v>0</v>
      </c>
      <c r="K238" s="130">
        <v>0</v>
      </c>
      <c r="L238" s="130">
        <v>235</v>
      </c>
      <c r="M238" s="130">
        <v>237</v>
      </c>
      <c r="N238" s="211"/>
      <c r="O238" s="130" t="s">
        <v>488</v>
      </c>
      <c r="P238" s="130" t="s">
        <v>488</v>
      </c>
      <c r="Q238" s="130">
        <v>2</v>
      </c>
      <c r="R238" s="130">
        <v>0</v>
      </c>
      <c r="S238" s="130" t="s">
        <v>488</v>
      </c>
      <c r="T238" s="130" t="s">
        <v>488</v>
      </c>
      <c r="U238" s="130"/>
      <c r="V238" s="202">
        <f t="shared" si="3"/>
        <v>0</v>
      </c>
      <c r="W238" s="211"/>
      <c r="X238" s="130">
        <v>54</v>
      </c>
      <c r="Y238" s="130">
        <v>0</v>
      </c>
    </row>
    <row r="239" spans="1:25" x14ac:dyDescent="0.25">
      <c r="A239" s="130"/>
      <c r="B239" s="130"/>
      <c r="C239" s="130" t="s">
        <v>77</v>
      </c>
      <c r="D239" s="130"/>
      <c r="E239" s="130"/>
      <c r="F239" s="207"/>
      <c r="G239" s="130">
        <v>1263</v>
      </c>
      <c r="H239" s="130">
        <v>219</v>
      </c>
      <c r="I239" s="130">
        <v>79</v>
      </c>
      <c r="J239" s="130">
        <v>0</v>
      </c>
      <c r="K239" s="130">
        <v>0</v>
      </c>
      <c r="L239" s="130">
        <v>298</v>
      </c>
      <c r="M239" s="130">
        <v>1561</v>
      </c>
      <c r="N239" s="211"/>
      <c r="O239" s="130" t="s">
        <v>488</v>
      </c>
      <c r="P239" s="130" t="s">
        <v>488</v>
      </c>
      <c r="Q239" s="130">
        <v>745</v>
      </c>
      <c r="R239" s="130">
        <v>446</v>
      </c>
      <c r="S239" s="130" t="s">
        <v>488</v>
      </c>
      <c r="T239" s="130" t="s">
        <v>488</v>
      </c>
      <c r="U239" s="130"/>
      <c r="V239" s="202">
        <f t="shared" si="3"/>
        <v>446</v>
      </c>
      <c r="W239" s="211"/>
      <c r="X239" s="130">
        <v>64</v>
      </c>
      <c r="Y239" s="130">
        <v>0</v>
      </c>
    </row>
    <row r="240" spans="1:25" x14ac:dyDescent="0.25">
      <c r="A240" s="128">
        <v>540186</v>
      </c>
      <c r="B240" s="128" t="s">
        <v>78</v>
      </c>
      <c r="C240" s="128" t="s">
        <v>79</v>
      </c>
      <c r="D240" s="128" t="s">
        <v>5</v>
      </c>
      <c r="E240" s="128">
        <v>1</v>
      </c>
      <c r="F240" s="206"/>
      <c r="G240" s="128">
        <v>76</v>
      </c>
      <c r="H240" s="128">
        <v>817</v>
      </c>
      <c r="I240" s="128">
        <v>275</v>
      </c>
      <c r="J240" s="128">
        <v>0</v>
      </c>
      <c r="K240" s="128">
        <v>0</v>
      </c>
      <c r="L240" s="128">
        <v>1092</v>
      </c>
      <c r="M240" s="128">
        <v>1168</v>
      </c>
      <c r="N240" s="210"/>
      <c r="O240" s="128" t="s">
        <v>488</v>
      </c>
      <c r="P240" s="128" t="s">
        <v>488</v>
      </c>
      <c r="Q240" s="128">
        <v>66</v>
      </c>
      <c r="R240" s="128">
        <v>33</v>
      </c>
      <c r="S240" s="128" t="s">
        <v>488</v>
      </c>
      <c r="T240" s="128" t="s">
        <v>488</v>
      </c>
      <c r="U240" s="128"/>
      <c r="V240" s="202">
        <f t="shared" si="3"/>
        <v>33</v>
      </c>
      <c r="W240" s="210"/>
      <c r="X240" s="128">
        <v>207</v>
      </c>
      <c r="Y240" s="128">
        <v>0</v>
      </c>
    </row>
    <row r="241" spans="1:25" x14ac:dyDescent="0.25">
      <c r="A241" s="130">
        <v>540187</v>
      </c>
      <c r="B241" s="130" t="s">
        <v>255</v>
      </c>
      <c r="C241" s="130" t="s">
        <v>79</v>
      </c>
      <c r="D241" s="130" t="s">
        <v>115</v>
      </c>
      <c r="E241" s="130">
        <v>1</v>
      </c>
      <c r="F241" s="207"/>
      <c r="G241" s="130">
        <v>0</v>
      </c>
      <c r="H241" s="130">
        <v>67</v>
      </c>
      <c r="I241" s="130">
        <v>3</v>
      </c>
      <c r="J241" s="130">
        <v>0</v>
      </c>
      <c r="K241" s="130">
        <v>0</v>
      </c>
      <c r="L241" s="130">
        <v>70</v>
      </c>
      <c r="M241" s="130">
        <v>70</v>
      </c>
      <c r="N241" s="211"/>
      <c r="O241" s="130" t="s">
        <v>488</v>
      </c>
      <c r="P241" s="130" t="s">
        <v>488</v>
      </c>
      <c r="Q241" s="130">
        <v>0</v>
      </c>
      <c r="R241" s="130">
        <v>0</v>
      </c>
      <c r="S241" s="130" t="s">
        <v>488</v>
      </c>
      <c r="T241" s="130" t="s">
        <v>488</v>
      </c>
      <c r="U241" s="130"/>
      <c r="V241" s="202">
        <f t="shared" si="3"/>
        <v>0</v>
      </c>
      <c r="W241" s="211"/>
      <c r="X241" s="130">
        <v>299</v>
      </c>
      <c r="Y241" s="130">
        <v>0</v>
      </c>
    </row>
    <row r="242" spans="1:25" x14ac:dyDescent="0.25">
      <c r="A242" s="130"/>
      <c r="B242" s="130"/>
      <c r="C242" s="130" t="s">
        <v>79</v>
      </c>
      <c r="D242" s="130"/>
      <c r="E242" s="130"/>
      <c r="F242" s="207"/>
      <c r="G242" s="130">
        <v>76</v>
      </c>
      <c r="H242" s="130">
        <v>884</v>
      </c>
      <c r="I242" s="130">
        <v>278</v>
      </c>
      <c r="J242" s="130">
        <v>0</v>
      </c>
      <c r="K242" s="130">
        <v>0</v>
      </c>
      <c r="L242" s="130">
        <v>1162</v>
      </c>
      <c r="M242" s="130">
        <v>1238</v>
      </c>
      <c r="N242" s="211"/>
      <c r="O242" s="130" t="s">
        <v>488</v>
      </c>
      <c r="P242" s="130" t="s">
        <v>488</v>
      </c>
      <c r="Q242" s="130">
        <v>66</v>
      </c>
      <c r="R242" s="130">
        <v>33</v>
      </c>
      <c r="S242" s="130" t="s">
        <v>488</v>
      </c>
      <c r="T242" s="130" t="s">
        <v>488</v>
      </c>
      <c r="U242" s="130"/>
      <c r="V242" s="202">
        <f t="shared" si="3"/>
        <v>33</v>
      </c>
      <c r="W242" s="211"/>
      <c r="X242" s="130">
        <v>506</v>
      </c>
      <c r="Y242" s="130">
        <v>0</v>
      </c>
    </row>
    <row r="243" spans="1:25" x14ac:dyDescent="0.25">
      <c r="A243" s="128">
        <v>540188</v>
      </c>
      <c r="B243" s="128" t="s">
        <v>80</v>
      </c>
      <c r="C243" s="128" t="s">
        <v>81</v>
      </c>
      <c r="D243" s="128" t="s">
        <v>5</v>
      </c>
      <c r="E243" s="128">
        <v>6</v>
      </c>
      <c r="F243" s="206"/>
      <c r="G243" s="128">
        <v>97</v>
      </c>
      <c r="H243" s="128">
        <v>23</v>
      </c>
      <c r="I243" s="128">
        <v>10</v>
      </c>
      <c r="J243" s="128">
        <v>0</v>
      </c>
      <c r="K243" s="128">
        <v>0</v>
      </c>
      <c r="L243" s="128">
        <v>33</v>
      </c>
      <c r="M243" s="128">
        <v>130</v>
      </c>
      <c r="N243" s="210"/>
      <c r="O243" s="128" t="s">
        <v>488</v>
      </c>
      <c r="P243" s="128" t="s">
        <v>488</v>
      </c>
      <c r="Q243" s="128">
        <v>33</v>
      </c>
      <c r="R243" s="128">
        <v>99</v>
      </c>
      <c r="S243" s="128" t="s">
        <v>488</v>
      </c>
      <c r="T243" s="128" t="s">
        <v>488</v>
      </c>
      <c r="U243" s="128"/>
      <c r="V243" s="202">
        <f t="shared" si="3"/>
        <v>99</v>
      </c>
      <c r="W243" s="210"/>
      <c r="X243" s="128">
        <v>4</v>
      </c>
      <c r="Y243" s="128">
        <v>0</v>
      </c>
    </row>
    <row r="244" spans="1:25" x14ac:dyDescent="0.25">
      <c r="A244" s="130">
        <v>540189</v>
      </c>
      <c r="B244" s="130" t="s">
        <v>256</v>
      </c>
      <c r="C244" s="130" t="s">
        <v>81</v>
      </c>
      <c r="D244" s="130" t="s">
        <v>115</v>
      </c>
      <c r="E244" s="130">
        <v>6</v>
      </c>
      <c r="F244" s="207"/>
      <c r="G244" s="130">
        <v>10</v>
      </c>
      <c r="H244" s="130">
        <v>0</v>
      </c>
      <c r="I244" s="130">
        <v>0</v>
      </c>
      <c r="J244" s="130">
        <v>0</v>
      </c>
      <c r="K244" s="130">
        <v>0</v>
      </c>
      <c r="L244" s="130">
        <v>0</v>
      </c>
      <c r="M244" s="130">
        <v>10</v>
      </c>
      <c r="N244" s="211"/>
      <c r="O244" s="130" t="s">
        <v>488</v>
      </c>
      <c r="P244" s="130" t="s">
        <v>488</v>
      </c>
      <c r="Q244" s="130">
        <v>1</v>
      </c>
      <c r="R244" s="130">
        <v>1</v>
      </c>
      <c r="S244" s="130" t="s">
        <v>488</v>
      </c>
      <c r="T244" s="130" t="s">
        <v>488</v>
      </c>
      <c r="U244" s="130"/>
      <c r="V244" s="202">
        <f t="shared" si="3"/>
        <v>1</v>
      </c>
      <c r="W244" s="211"/>
      <c r="X244" s="130">
        <v>0</v>
      </c>
      <c r="Y244" s="130">
        <v>0</v>
      </c>
    </row>
    <row r="245" spans="1:25" x14ac:dyDescent="0.25">
      <c r="A245" s="130">
        <v>540190</v>
      </c>
      <c r="B245" s="130" t="s">
        <v>257</v>
      </c>
      <c r="C245" s="130" t="s">
        <v>81</v>
      </c>
      <c r="D245" s="130" t="s">
        <v>115</v>
      </c>
      <c r="E245" s="130">
        <v>6</v>
      </c>
      <c r="F245" s="207"/>
      <c r="G245" s="130">
        <v>61</v>
      </c>
      <c r="H245" s="130">
        <v>0</v>
      </c>
      <c r="I245" s="130">
        <v>0</v>
      </c>
      <c r="J245" s="130">
        <v>0</v>
      </c>
      <c r="K245" s="130">
        <v>0</v>
      </c>
      <c r="L245" s="130">
        <v>0</v>
      </c>
      <c r="M245" s="130">
        <v>61</v>
      </c>
      <c r="N245" s="211"/>
      <c r="O245" s="130" t="s">
        <v>488</v>
      </c>
      <c r="P245" s="130" t="s">
        <v>488</v>
      </c>
      <c r="Q245" s="130">
        <v>47</v>
      </c>
      <c r="R245" s="130">
        <v>55</v>
      </c>
      <c r="S245" s="130" t="s">
        <v>488</v>
      </c>
      <c r="T245" s="130" t="s">
        <v>488</v>
      </c>
      <c r="U245" s="130"/>
      <c r="V245" s="202">
        <f t="shared" si="3"/>
        <v>55</v>
      </c>
      <c r="W245" s="211"/>
      <c r="X245" s="130">
        <v>0</v>
      </c>
      <c r="Y245" s="130">
        <v>0</v>
      </c>
    </row>
    <row r="246" spans="1:25" x14ac:dyDescent="0.25">
      <c r="A246" s="130"/>
      <c r="B246" s="130"/>
      <c r="C246" s="130" t="s">
        <v>81</v>
      </c>
      <c r="D246" s="130"/>
      <c r="E246" s="130"/>
      <c r="F246" s="207"/>
      <c r="G246" s="130">
        <v>168</v>
      </c>
      <c r="H246" s="130">
        <v>23</v>
      </c>
      <c r="I246" s="130">
        <v>10</v>
      </c>
      <c r="J246" s="130">
        <v>0</v>
      </c>
      <c r="K246" s="130">
        <v>0</v>
      </c>
      <c r="L246" s="130">
        <v>33</v>
      </c>
      <c r="M246" s="130">
        <v>201</v>
      </c>
      <c r="N246" s="211"/>
      <c r="O246" s="130" t="s">
        <v>488</v>
      </c>
      <c r="P246" s="130" t="s">
        <v>488</v>
      </c>
      <c r="Q246" s="130">
        <v>81</v>
      </c>
      <c r="R246" s="130">
        <v>155</v>
      </c>
      <c r="S246" s="130" t="s">
        <v>488</v>
      </c>
      <c r="T246" s="130" t="s">
        <v>488</v>
      </c>
      <c r="U246" s="130"/>
      <c r="V246" s="202">
        <f t="shared" si="3"/>
        <v>155</v>
      </c>
      <c r="W246" s="211"/>
      <c r="X246" s="130">
        <v>4</v>
      </c>
      <c r="Y246" s="130">
        <v>0</v>
      </c>
    </row>
    <row r="247" spans="1:25" x14ac:dyDescent="0.25">
      <c r="A247" s="128">
        <v>540198</v>
      </c>
      <c r="B247" s="128" t="s">
        <v>82</v>
      </c>
      <c r="C247" s="128" t="s">
        <v>83</v>
      </c>
      <c r="D247" s="128" t="s">
        <v>5</v>
      </c>
      <c r="E247" s="128">
        <v>7</v>
      </c>
      <c r="F247" s="206"/>
      <c r="G247" s="128">
        <v>592</v>
      </c>
      <c r="H247" s="128">
        <v>42</v>
      </c>
      <c r="I247" s="128">
        <v>37</v>
      </c>
      <c r="J247" s="128">
        <v>0</v>
      </c>
      <c r="K247" s="128">
        <v>0</v>
      </c>
      <c r="L247" s="128">
        <v>79</v>
      </c>
      <c r="M247" s="128">
        <v>671</v>
      </c>
      <c r="N247" s="210"/>
      <c r="O247" s="128" t="s">
        <v>488</v>
      </c>
      <c r="P247" s="128" t="s">
        <v>488</v>
      </c>
      <c r="Q247" s="128" t="s">
        <v>488</v>
      </c>
      <c r="R247" s="128" t="s">
        <v>488</v>
      </c>
      <c r="S247" s="128" t="s">
        <v>488</v>
      </c>
      <c r="T247" s="128" t="s">
        <v>488</v>
      </c>
      <c r="U247" s="128"/>
      <c r="V247" s="202">
        <f t="shared" si="3"/>
        <v>0</v>
      </c>
      <c r="W247" s="210"/>
      <c r="X247" s="128">
        <v>27</v>
      </c>
      <c r="Y247" s="128">
        <v>0</v>
      </c>
    </row>
    <row r="248" spans="1:25" x14ac:dyDescent="0.25">
      <c r="A248" s="130">
        <v>540199</v>
      </c>
      <c r="B248" s="130" t="s">
        <v>261</v>
      </c>
      <c r="C248" s="130" t="s">
        <v>83</v>
      </c>
      <c r="D248" s="130" t="s">
        <v>115</v>
      </c>
      <c r="E248" s="130">
        <v>7</v>
      </c>
      <c r="F248" s="207"/>
      <c r="G248" s="130">
        <v>7</v>
      </c>
      <c r="H248" s="130">
        <v>578</v>
      </c>
      <c r="I248" s="130">
        <v>9</v>
      </c>
      <c r="J248" s="130">
        <v>0</v>
      </c>
      <c r="K248" s="130">
        <v>0</v>
      </c>
      <c r="L248" s="130">
        <v>587</v>
      </c>
      <c r="M248" s="130">
        <v>594</v>
      </c>
      <c r="N248" s="211"/>
      <c r="O248" s="130" t="s">
        <v>488</v>
      </c>
      <c r="P248" s="130" t="s">
        <v>488</v>
      </c>
      <c r="Q248" s="130" t="s">
        <v>488</v>
      </c>
      <c r="R248" s="130" t="s">
        <v>488</v>
      </c>
      <c r="S248" s="130" t="s">
        <v>488</v>
      </c>
      <c r="T248" s="130" t="s">
        <v>488</v>
      </c>
      <c r="U248" s="130"/>
      <c r="V248" s="202">
        <f t="shared" si="3"/>
        <v>0</v>
      </c>
      <c r="W248" s="211"/>
      <c r="X248" s="130">
        <v>241</v>
      </c>
      <c r="Y248" s="130">
        <v>0</v>
      </c>
    </row>
    <row r="249" spans="1:25" x14ac:dyDescent="0.25">
      <c r="A249" s="130"/>
      <c r="B249" s="130"/>
      <c r="C249" s="130" t="s">
        <v>83</v>
      </c>
      <c r="D249" s="130"/>
      <c r="E249" s="130"/>
      <c r="F249" s="207"/>
      <c r="G249" s="130">
        <v>599</v>
      </c>
      <c r="H249" s="130">
        <v>620</v>
      </c>
      <c r="I249" s="130">
        <v>46</v>
      </c>
      <c r="J249" s="130">
        <v>0</v>
      </c>
      <c r="K249" s="130">
        <v>0</v>
      </c>
      <c r="L249" s="130">
        <v>666</v>
      </c>
      <c r="M249" s="130">
        <v>1265</v>
      </c>
      <c r="N249" s="211"/>
      <c r="O249" s="130" t="s">
        <v>488</v>
      </c>
      <c r="P249" s="130" t="s">
        <v>488</v>
      </c>
      <c r="Q249" s="130" t="s">
        <v>488</v>
      </c>
      <c r="R249" s="130" t="s">
        <v>488</v>
      </c>
      <c r="S249" s="130" t="s">
        <v>488</v>
      </c>
      <c r="T249" s="130" t="s">
        <v>488</v>
      </c>
      <c r="U249" s="130"/>
      <c r="V249" s="202">
        <f t="shared" si="3"/>
        <v>0</v>
      </c>
      <c r="W249" s="211"/>
      <c r="X249" s="130">
        <v>268</v>
      </c>
      <c r="Y249" s="130">
        <v>0</v>
      </c>
    </row>
    <row r="250" spans="1:25" x14ac:dyDescent="0.25">
      <c r="A250" s="128">
        <v>540200</v>
      </c>
      <c r="B250" s="128" t="s">
        <v>84</v>
      </c>
      <c r="C250" s="128" t="s">
        <v>85</v>
      </c>
      <c r="D250" s="128" t="s">
        <v>5</v>
      </c>
      <c r="E250" s="128">
        <v>2</v>
      </c>
      <c r="F250" s="206"/>
      <c r="G250" s="128">
        <v>1311</v>
      </c>
      <c r="H250" s="128">
        <v>1464</v>
      </c>
      <c r="I250" s="128">
        <v>332</v>
      </c>
      <c r="J250" s="128">
        <v>0</v>
      </c>
      <c r="K250" s="128">
        <v>0</v>
      </c>
      <c r="L250" s="128">
        <v>1796</v>
      </c>
      <c r="M250" s="128">
        <v>3107</v>
      </c>
      <c r="N250" s="210"/>
      <c r="O250" s="128" t="s">
        <v>488</v>
      </c>
      <c r="P250" s="128" t="s">
        <v>488</v>
      </c>
      <c r="Q250" s="128">
        <v>124</v>
      </c>
      <c r="R250" s="128">
        <v>232</v>
      </c>
      <c r="S250" s="128" t="s">
        <v>488</v>
      </c>
      <c r="T250" s="128" t="s">
        <v>488</v>
      </c>
      <c r="U250" s="128"/>
      <c r="V250" s="202">
        <f t="shared" si="3"/>
        <v>232</v>
      </c>
      <c r="W250" s="210"/>
      <c r="X250" s="128">
        <v>976</v>
      </c>
      <c r="Y250" s="128">
        <v>10</v>
      </c>
    </row>
    <row r="251" spans="1:25" x14ac:dyDescent="0.25">
      <c r="A251" s="130">
        <v>540018</v>
      </c>
      <c r="B251" s="130" t="s">
        <v>127</v>
      </c>
      <c r="C251" s="130" t="s">
        <v>85</v>
      </c>
      <c r="D251" s="130" t="s">
        <v>115</v>
      </c>
      <c r="E251" s="130">
        <v>2</v>
      </c>
      <c r="F251" s="207"/>
      <c r="G251" s="130">
        <v>0</v>
      </c>
      <c r="H251" s="130">
        <v>171</v>
      </c>
      <c r="I251" s="130">
        <v>31</v>
      </c>
      <c r="J251" s="130">
        <v>0</v>
      </c>
      <c r="K251" s="130">
        <v>0</v>
      </c>
      <c r="L251" s="130">
        <v>202</v>
      </c>
      <c r="M251" s="130">
        <v>202</v>
      </c>
      <c r="N251" s="211"/>
      <c r="O251" s="130" t="s">
        <v>488</v>
      </c>
      <c r="P251" s="130" t="s">
        <v>488</v>
      </c>
      <c r="Q251" s="130">
        <v>0</v>
      </c>
      <c r="R251" s="130">
        <v>0</v>
      </c>
      <c r="S251" s="130" t="s">
        <v>488</v>
      </c>
      <c r="T251" s="130" t="s">
        <v>488</v>
      </c>
      <c r="U251" s="130"/>
      <c r="V251" s="202">
        <f t="shared" si="3"/>
        <v>0</v>
      </c>
      <c r="W251" s="211"/>
      <c r="X251" s="130">
        <v>101</v>
      </c>
      <c r="Y251" s="130">
        <v>1249</v>
      </c>
    </row>
    <row r="252" spans="1:25" x14ac:dyDescent="0.25">
      <c r="A252" s="130">
        <v>540202</v>
      </c>
      <c r="B252" s="130" t="s">
        <v>262</v>
      </c>
      <c r="C252" s="130" t="s">
        <v>85</v>
      </c>
      <c r="D252" s="130" t="s">
        <v>115</v>
      </c>
      <c r="E252" s="130">
        <v>2</v>
      </c>
      <c r="F252" s="207"/>
      <c r="G252" s="130">
        <v>0</v>
      </c>
      <c r="H252" s="130">
        <v>125</v>
      </c>
      <c r="I252" s="130">
        <v>2</v>
      </c>
      <c r="J252" s="130">
        <v>0</v>
      </c>
      <c r="K252" s="130">
        <v>0</v>
      </c>
      <c r="L252" s="130">
        <v>127</v>
      </c>
      <c r="M252" s="130">
        <v>127</v>
      </c>
      <c r="N252" s="211"/>
      <c r="O252" s="130" t="s">
        <v>488</v>
      </c>
      <c r="P252" s="130" t="s">
        <v>488</v>
      </c>
      <c r="Q252" s="130">
        <v>0</v>
      </c>
      <c r="R252" s="130">
        <v>0</v>
      </c>
      <c r="S252" s="130" t="s">
        <v>488</v>
      </c>
      <c r="T252" s="130" t="s">
        <v>488</v>
      </c>
      <c r="U252" s="130"/>
      <c r="V252" s="202">
        <f t="shared" si="3"/>
        <v>0</v>
      </c>
      <c r="W252" s="211"/>
      <c r="X252" s="130">
        <v>207</v>
      </c>
      <c r="Y252" s="130">
        <v>0</v>
      </c>
    </row>
    <row r="253" spans="1:25" x14ac:dyDescent="0.25">
      <c r="A253" s="130">
        <v>540221</v>
      </c>
      <c r="B253" s="130" t="s">
        <v>275</v>
      </c>
      <c r="C253" s="130" t="s">
        <v>85</v>
      </c>
      <c r="D253" s="130" t="s">
        <v>115</v>
      </c>
      <c r="E253" s="130">
        <v>2</v>
      </c>
      <c r="F253" s="207"/>
      <c r="G253" s="130">
        <v>0</v>
      </c>
      <c r="H253" s="130">
        <v>103</v>
      </c>
      <c r="I253" s="130">
        <v>3</v>
      </c>
      <c r="J253" s="130">
        <v>0</v>
      </c>
      <c r="K253" s="130">
        <v>0</v>
      </c>
      <c r="L253" s="130">
        <v>106</v>
      </c>
      <c r="M253" s="130">
        <v>106</v>
      </c>
      <c r="N253" s="211"/>
      <c r="O253" s="130" t="s">
        <v>488</v>
      </c>
      <c r="P253" s="130" t="s">
        <v>488</v>
      </c>
      <c r="Q253" s="130">
        <v>0</v>
      </c>
      <c r="R253" s="130">
        <v>0</v>
      </c>
      <c r="S253" s="130" t="s">
        <v>488</v>
      </c>
      <c r="T253" s="130" t="s">
        <v>488</v>
      </c>
      <c r="U253" s="130"/>
      <c r="V253" s="202">
        <f t="shared" si="3"/>
        <v>0</v>
      </c>
      <c r="W253" s="211"/>
      <c r="X253" s="130">
        <v>0</v>
      </c>
      <c r="Y253" s="130">
        <v>1316</v>
      </c>
    </row>
    <row r="254" spans="1:25" x14ac:dyDescent="0.25">
      <c r="A254" s="130">
        <v>540231</v>
      </c>
      <c r="B254" s="130" t="s">
        <v>281</v>
      </c>
      <c r="C254" s="130" t="s">
        <v>85</v>
      </c>
      <c r="D254" s="130" t="s">
        <v>115</v>
      </c>
      <c r="E254" s="130">
        <v>2</v>
      </c>
      <c r="F254" s="207"/>
      <c r="G254" s="130">
        <v>0</v>
      </c>
      <c r="H254" s="130">
        <v>212</v>
      </c>
      <c r="I254" s="130">
        <v>15</v>
      </c>
      <c r="J254" s="130">
        <v>0</v>
      </c>
      <c r="K254" s="130">
        <v>0</v>
      </c>
      <c r="L254" s="130">
        <v>227</v>
      </c>
      <c r="M254" s="130">
        <v>227</v>
      </c>
      <c r="N254" s="211"/>
      <c r="O254" s="130" t="s">
        <v>488</v>
      </c>
      <c r="P254" s="130" t="s">
        <v>488</v>
      </c>
      <c r="Q254" s="130">
        <v>0</v>
      </c>
      <c r="R254" s="130">
        <v>0</v>
      </c>
      <c r="S254" s="130" t="s">
        <v>488</v>
      </c>
      <c r="T254" s="130" t="s">
        <v>488</v>
      </c>
      <c r="U254" s="130"/>
      <c r="V254" s="202">
        <f t="shared" si="3"/>
        <v>0</v>
      </c>
      <c r="W254" s="211"/>
      <c r="X254" s="130">
        <v>143</v>
      </c>
      <c r="Y254" s="130">
        <v>0</v>
      </c>
    </row>
    <row r="255" spans="1:25" x14ac:dyDescent="0.25">
      <c r="A255" s="130">
        <v>540232</v>
      </c>
      <c r="B255" s="130" t="s">
        <v>282</v>
      </c>
      <c r="C255" s="130" t="s">
        <v>85</v>
      </c>
      <c r="D255" s="130" t="s">
        <v>115</v>
      </c>
      <c r="E255" s="130">
        <v>2</v>
      </c>
      <c r="F255" s="207"/>
      <c r="G255" s="130">
        <v>0</v>
      </c>
      <c r="H255" s="130">
        <v>74</v>
      </c>
      <c r="I255" s="130">
        <v>5</v>
      </c>
      <c r="J255" s="130">
        <v>0</v>
      </c>
      <c r="K255" s="130">
        <v>0</v>
      </c>
      <c r="L255" s="130">
        <v>79</v>
      </c>
      <c r="M255" s="130">
        <v>79</v>
      </c>
      <c r="N255" s="211"/>
      <c r="O255" s="130" t="s">
        <v>488</v>
      </c>
      <c r="P255" s="130" t="s">
        <v>488</v>
      </c>
      <c r="Q255" s="130">
        <v>0</v>
      </c>
      <c r="R255" s="130">
        <v>0</v>
      </c>
      <c r="S255" s="130" t="s">
        <v>488</v>
      </c>
      <c r="T255" s="130" t="s">
        <v>488</v>
      </c>
      <c r="U255" s="130"/>
      <c r="V255" s="202">
        <f t="shared" si="3"/>
        <v>0</v>
      </c>
      <c r="W255" s="211"/>
      <c r="X255" s="130">
        <v>15</v>
      </c>
      <c r="Y255" s="130">
        <v>494</v>
      </c>
    </row>
    <row r="256" spans="1:25" x14ac:dyDescent="0.25">
      <c r="A256" s="130"/>
      <c r="B256" s="130"/>
      <c r="C256" s="130" t="s">
        <v>85</v>
      </c>
      <c r="D256" s="130"/>
      <c r="E256" s="130"/>
      <c r="F256" s="207"/>
      <c r="G256" s="130">
        <v>1311</v>
      </c>
      <c r="H256" s="130">
        <v>2149</v>
      </c>
      <c r="I256" s="130">
        <v>388</v>
      </c>
      <c r="J256" s="130">
        <v>0</v>
      </c>
      <c r="K256" s="130">
        <v>0</v>
      </c>
      <c r="L256" s="130">
        <v>2537</v>
      </c>
      <c r="M256" s="130">
        <v>3848</v>
      </c>
      <c r="N256" s="211"/>
      <c r="O256" s="130" t="s">
        <v>488</v>
      </c>
      <c r="P256" s="130" t="s">
        <v>488</v>
      </c>
      <c r="Q256" s="130">
        <v>124</v>
      </c>
      <c r="R256" s="130">
        <v>232</v>
      </c>
      <c r="S256" s="130" t="s">
        <v>488</v>
      </c>
      <c r="T256" s="130" t="s">
        <v>488</v>
      </c>
      <c r="U256" s="130"/>
      <c r="V256" s="202">
        <f t="shared" si="3"/>
        <v>232</v>
      </c>
      <c r="W256" s="211"/>
      <c r="X256" s="130">
        <v>1442</v>
      </c>
      <c r="Y256" s="130">
        <v>3069</v>
      </c>
    </row>
    <row r="257" spans="1:25" x14ac:dyDescent="0.25">
      <c r="A257" s="128">
        <v>540203</v>
      </c>
      <c r="B257" s="128" t="s">
        <v>86</v>
      </c>
      <c r="C257" s="128" t="s">
        <v>87</v>
      </c>
      <c r="D257" s="128" t="s">
        <v>5</v>
      </c>
      <c r="E257" s="128">
        <v>4</v>
      </c>
      <c r="F257" s="206"/>
      <c r="G257" s="128">
        <v>169</v>
      </c>
      <c r="H257" s="128">
        <v>408</v>
      </c>
      <c r="I257" s="128">
        <v>67</v>
      </c>
      <c r="J257" s="128">
        <v>0</v>
      </c>
      <c r="K257" s="128">
        <v>0</v>
      </c>
      <c r="L257" s="128">
        <v>475</v>
      </c>
      <c r="M257" s="128">
        <v>644</v>
      </c>
      <c r="N257" s="210"/>
      <c r="O257" s="128" t="s">
        <v>488</v>
      </c>
      <c r="P257" s="128" t="s">
        <v>488</v>
      </c>
      <c r="Q257" s="128" t="s">
        <v>488</v>
      </c>
      <c r="R257" s="128" t="s">
        <v>488</v>
      </c>
      <c r="S257" s="128" t="s">
        <v>488</v>
      </c>
      <c r="T257" s="128" t="s">
        <v>488</v>
      </c>
      <c r="U257" s="128"/>
      <c r="V257" s="202">
        <f t="shared" si="3"/>
        <v>0</v>
      </c>
      <c r="W257" s="210"/>
      <c r="X257" s="128">
        <v>110</v>
      </c>
      <c r="Y257" s="128">
        <v>0</v>
      </c>
    </row>
    <row r="258" spans="1:25" x14ac:dyDescent="0.25">
      <c r="A258" s="130">
        <v>540204</v>
      </c>
      <c r="B258" s="130" t="s">
        <v>263</v>
      </c>
      <c r="C258" s="130" t="s">
        <v>87</v>
      </c>
      <c r="D258" s="130" t="s">
        <v>115</v>
      </c>
      <c r="E258" s="130">
        <v>4</v>
      </c>
      <c r="F258" s="207"/>
      <c r="G258" s="130">
        <v>0</v>
      </c>
      <c r="H258" s="130">
        <v>106</v>
      </c>
      <c r="I258" s="130">
        <v>10</v>
      </c>
      <c r="J258" s="130">
        <v>0</v>
      </c>
      <c r="K258" s="130">
        <v>0</v>
      </c>
      <c r="L258" s="130">
        <v>116</v>
      </c>
      <c r="M258" s="130">
        <v>116</v>
      </c>
      <c r="N258" s="211"/>
      <c r="O258" s="130" t="s">
        <v>488</v>
      </c>
      <c r="P258" s="130" t="s">
        <v>488</v>
      </c>
      <c r="Q258" s="130" t="s">
        <v>488</v>
      </c>
      <c r="R258" s="130" t="s">
        <v>488</v>
      </c>
      <c r="S258" s="130" t="s">
        <v>488</v>
      </c>
      <c r="T258" s="130" t="s">
        <v>488</v>
      </c>
      <c r="U258" s="130"/>
      <c r="V258" s="202">
        <f t="shared" si="3"/>
        <v>0</v>
      </c>
      <c r="W258" s="211"/>
      <c r="X258" s="130">
        <v>31</v>
      </c>
      <c r="Y258" s="130">
        <v>0</v>
      </c>
    </row>
    <row r="259" spans="1:25" x14ac:dyDescent="0.25">
      <c r="A259" s="130">
        <v>540205</v>
      </c>
      <c r="B259" s="130" t="s">
        <v>264</v>
      </c>
      <c r="C259" s="130" t="s">
        <v>87</v>
      </c>
      <c r="D259" s="130" t="s">
        <v>115</v>
      </c>
      <c r="E259" s="130">
        <v>4</v>
      </c>
      <c r="F259" s="207"/>
      <c r="G259" s="130">
        <v>14</v>
      </c>
      <c r="H259" s="130">
        <v>6</v>
      </c>
      <c r="I259" s="130">
        <v>0</v>
      </c>
      <c r="J259" s="130">
        <v>0</v>
      </c>
      <c r="K259" s="130">
        <v>0</v>
      </c>
      <c r="L259" s="130">
        <v>6</v>
      </c>
      <c r="M259" s="130">
        <v>20</v>
      </c>
      <c r="N259" s="211"/>
      <c r="O259" s="130" t="s">
        <v>488</v>
      </c>
      <c r="P259" s="130" t="s">
        <v>488</v>
      </c>
      <c r="Q259" s="130" t="s">
        <v>488</v>
      </c>
      <c r="R259" s="130" t="s">
        <v>488</v>
      </c>
      <c r="S259" s="130" t="s">
        <v>488</v>
      </c>
      <c r="T259" s="130" t="s">
        <v>488</v>
      </c>
      <c r="U259" s="130"/>
      <c r="V259" s="202">
        <f t="shared" si="3"/>
        <v>0</v>
      </c>
      <c r="W259" s="211"/>
      <c r="X259" s="130">
        <v>6</v>
      </c>
      <c r="Y259" s="130">
        <v>0</v>
      </c>
    </row>
    <row r="260" spans="1:25" x14ac:dyDescent="0.25">
      <c r="A260" s="130">
        <v>540206</v>
      </c>
      <c r="B260" s="130" t="s">
        <v>265</v>
      </c>
      <c r="C260" s="130" t="s">
        <v>87</v>
      </c>
      <c r="D260" s="130" t="s">
        <v>115</v>
      </c>
      <c r="E260" s="130">
        <v>4</v>
      </c>
      <c r="F260" s="207"/>
      <c r="G260" s="130">
        <v>39</v>
      </c>
      <c r="H260" s="130">
        <v>0</v>
      </c>
      <c r="I260" s="130">
        <v>0</v>
      </c>
      <c r="J260" s="130">
        <v>0</v>
      </c>
      <c r="K260" s="130">
        <v>0</v>
      </c>
      <c r="L260" s="130">
        <v>0</v>
      </c>
      <c r="M260" s="130">
        <v>39</v>
      </c>
      <c r="N260" s="211"/>
      <c r="O260" s="130" t="s">
        <v>488</v>
      </c>
      <c r="P260" s="130" t="s">
        <v>488</v>
      </c>
      <c r="Q260" s="130" t="s">
        <v>488</v>
      </c>
      <c r="R260" s="130" t="s">
        <v>488</v>
      </c>
      <c r="S260" s="130" t="s">
        <v>488</v>
      </c>
      <c r="T260" s="130" t="s">
        <v>488</v>
      </c>
      <c r="U260" s="130"/>
      <c r="V260" s="202">
        <f t="shared" si="3"/>
        <v>0</v>
      </c>
      <c r="W260" s="211"/>
      <c r="X260" s="130">
        <v>0</v>
      </c>
      <c r="Y260" s="130">
        <v>0</v>
      </c>
    </row>
    <row r="261" spans="1:25" x14ac:dyDescent="0.25">
      <c r="A261" s="130"/>
      <c r="B261" s="130"/>
      <c r="C261" s="130" t="s">
        <v>87</v>
      </c>
      <c r="D261" s="130"/>
      <c r="E261" s="130"/>
      <c r="F261" s="207"/>
      <c r="G261" s="130">
        <v>222</v>
      </c>
      <c r="H261" s="130">
        <v>520</v>
      </c>
      <c r="I261" s="130">
        <v>77</v>
      </c>
      <c r="J261" s="130">
        <v>0</v>
      </c>
      <c r="K261" s="130">
        <v>0</v>
      </c>
      <c r="L261" s="130">
        <v>597</v>
      </c>
      <c r="M261" s="130">
        <v>819</v>
      </c>
      <c r="N261" s="211"/>
      <c r="O261" s="130" t="s">
        <v>488</v>
      </c>
      <c r="P261" s="130" t="s">
        <v>488</v>
      </c>
      <c r="Q261" s="130" t="s">
        <v>488</v>
      </c>
      <c r="R261" s="130" t="s">
        <v>488</v>
      </c>
      <c r="S261" s="130" t="s">
        <v>488</v>
      </c>
      <c r="T261" s="130" t="s">
        <v>488</v>
      </c>
      <c r="U261" s="130"/>
      <c r="V261" s="202">
        <f t="shared" ref="V261:V324" si="4" xml:space="preserve"> SUM(P261, R261, T261)</f>
        <v>0</v>
      </c>
      <c r="W261" s="211"/>
      <c r="X261" s="130">
        <v>147</v>
      </c>
      <c r="Y261" s="130">
        <v>0</v>
      </c>
    </row>
    <row r="262" spans="1:25" x14ac:dyDescent="0.25">
      <c r="A262" s="128">
        <v>540207</v>
      </c>
      <c r="B262" s="128" t="s">
        <v>88</v>
      </c>
      <c r="C262" s="128" t="s">
        <v>89</v>
      </c>
      <c r="D262" s="128" t="s">
        <v>5</v>
      </c>
      <c r="E262" s="128">
        <v>10</v>
      </c>
      <c r="F262" s="206"/>
      <c r="G262" s="128">
        <v>808</v>
      </c>
      <c r="H262" s="128">
        <v>71</v>
      </c>
      <c r="I262" s="128">
        <v>4</v>
      </c>
      <c r="J262" s="128">
        <v>0</v>
      </c>
      <c r="K262" s="128">
        <v>0</v>
      </c>
      <c r="L262" s="128">
        <v>75</v>
      </c>
      <c r="M262" s="128">
        <v>883</v>
      </c>
      <c r="N262" s="210"/>
      <c r="O262" s="128" t="s">
        <v>488</v>
      </c>
      <c r="P262" s="128" t="s">
        <v>488</v>
      </c>
      <c r="Q262" s="128" t="s">
        <v>488</v>
      </c>
      <c r="R262" s="128" t="s">
        <v>488</v>
      </c>
      <c r="S262" s="128" t="s">
        <v>488</v>
      </c>
      <c r="T262" s="128" t="s">
        <v>488</v>
      </c>
      <c r="U262" s="128"/>
      <c r="V262" s="202">
        <f t="shared" si="4"/>
        <v>0</v>
      </c>
      <c r="W262" s="210"/>
      <c r="X262" s="128">
        <v>24</v>
      </c>
      <c r="Y262" s="128">
        <v>0</v>
      </c>
    </row>
    <row r="263" spans="1:25" x14ac:dyDescent="0.25">
      <c r="A263" s="130">
        <v>540196</v>
      </c>
      <c r="B263" s="130" t="s">
        <v>259</v>
      </c>
      <c r="C263" s="130" t="s">
        <v>89</v>
      </c>
      <c r="D263" s="130" t="s">
        <v>115</v>
      </c>
      <c r="E263" s="130">
        <v>5</v>
      </c>
      <c r="F263" s="207"/>
      <c r="G263" s="130">
        <v>0</v>
      </c>
      <c r="H263" s="130">
        <v>7</v>
      </c>
      <c r="I263" s="130">
        <v>0</v>
      </c>
      <c r="J263" s="130">
        <v>0</v>
      </c>
      <c r="K263" s="130">
        <v>0</v>
      </c>
      <c r="L263" s="130">
        <v>7</v>
      </c>
      <c r="M263" s="130">
        <v>7</v>
      </c>
      <c r="N263" s="211"/>
      <c r="O263" s="130" t="s">
        <v>488</v>
      </c>
      <c r="P263" s="130" t="s">
        <v>488</v>
      </c>
      <c r="Q263" s="130" t="s">
        <v>488</v>
      </c>
      <c r="R263" s="130" t="s">
        <v>488</v>
      </c>
      <c r="S263" s="130" t="s">
        <v>488</v>
      </c>
      <c r="T263" s="130" t="s">
        <v>488</v>
      </c>
      <c r="U263" s="130"/>
      <c r="V263" s="202">
        <f t="shared" si="4"/>
        <v>0</v>
      </c>
      <c r="W263" s="211"/>
      <c r="X263" s="130">
        <v>3</v>
      </c>
      <c r="Y263" s="130">
        <v>0</v>
      </c>
    </row>
    <row r="264" spans="1:25" x14ac:dyDescent="0.25">
      <c r="A264" s="130">
        <v>540208</v>
      </c>
      <c r="B264" s="130" t="s">
        <v>266</v>
      </c>
      <c r="C264" s="130" t="s">
        <v>89</v>
      </c>
      <c r="D264" s="130" t="s">
        <v>115</v>
      </c>
      <c r="E264" s="130">
        <v>10</v>
      </c>
      <c r="F264" s="207"/>
      <c r="G264" s="130">
        <v>0</v>
      </c>
      <c r="H264" s="130">
        <v>802</v>
      </c>
      <c r="I264" s="130">
        <v>103</v>
      </c>
      <c r="J264" s="130">
        <v>0</v>
      </c>
      <c r="K264" s="130">
        <v>0</v>
      </c>
      <c r="L264" s="130">
        <v>905</v>
      </c>
      <c r="M264" s="130">
        <v>905</v>
      </c>
      <c r="N264" s="211"/>
      <c r="O264" s="130" t="s">
        <v>488</v>
      </c>
      <c r="P264" s="130" t="s">
        <v>488</v>
      </c>
      <c r="Q264" s="130" t="s">
        <v>488</v>
      </c>
      <c r="R264" s="130" t="s">
        <v>488</v>
      </c>
      <c r="S264" s="130" t="s">
        <v>488</v>
      </c>
      <c r="T264" s="130" t="s">
        <v>488</v>
      </c>
      <c r="U264" s="130"/>
      <c r="V264" s="202">
        <f t="shared" si="4"/>
        <v>0</v>
      </c>
      <c r="W264" s="211"/>
      <c r="X264" s="130">
        <v>86</v>
      </c>
      <c r="Y264" s="130">
        <v>0</v>
      </c>
    </row>
    <row r="265" spans="1:25" x14ac:dyDescent="0.25">
      <c r="A265" s="130">
        <v>540210</v>
      </c>
      <c r="B265" s="130" t="s">
        <v>267</v>
      </c>
      <c r="C265" s="130" t="s">
        <v>89</v>
      </c>
      <c r="D265" s="130" t="s">
        <v>115</v>
      </c>
      <c r="E265" s="130">
        <v>10</v>
      </c>
      <c r="F265" s="207"/>
      <c r="G265" s="130">
        <v>90</v>
      </c>
      <c r="H265" s="130">
        <v>0</v>
      </c>
      <c r="I265" s="130">
        <v>0</v>
      </c>
      <c r="J265" s="130">
        <v>0</v>
      </c>
      <c r="K265" s="130">
        <v>0</v>
      </c>
      <c r="L265" s="130">
        <v>0</v>
      </c>
      <c r="M265" s="130">
        <v>90</v>
      </c>
      <c r="N265" s="211"/>
      <c r="O265" s="130" t="s">
        <v>488</v>
      </c>
      <c r="P265" s="130" t="s">
        <v>488</v>
      </c>
      <c r="Q265" s="130" t="s">
        <v>488</v>
      </c>
      <c r="R265" s="130" t="s">
        <v>488</v>
      </c>
      <c r="S265" s="130" t="s">
        <v>488</v>
      </c>
      <c r="T265" s="130" t="s">
        <v>488</v>
      </c>
      <c r="U265" s="130"/>
      <c r="V265" s="202">
        <f t="shared" si="4"/>
        <v>0</v>
      </c>
      <c r="W265" s="211"/>
      <c r="X265" s="130">
        <v>0</v>
      </c>
      <c r="Y265" s="130">
        <v>0</v>
      </c>
    </row>
    <row r="266" spans="1:25" x14ac:dyDescent="0.25">
      <c r="A266" s="130">
        <v>540256</v>
      </c>
      <c r="B266" s="130" t="s">
        <v>301</v>
      </c>
      <c r="C266" s="130" t="s">
        <v>89</v>
      </c>
      <c r="D266" s="130" t="s">
        <v>115</v>
      </c>
      <c r="E266" s="130">
        <v>10</v>
      </c>
      <c r="F266" s="207"/>
      <c r="G266" s="130">
        <v>96</v>
      </c>
      <c r="H266" s="130">
        <v>0</v>
      </c>
      <c r="I266" s="130">
        <v>0</v>
      </c>
      <c r="J266" s="130">
        <v>0</v>
      </c>
      <c r="K266" s="130">
        <v>0</v>
      </c>
      <c r="L266" s="130">
        <v>0</v>
      </c>
      <c r="M266" s="130">
        <v>96</v>
      </c>
      <c r="N266" s="211"/>
      <c r="O266" s="130" t="s">
        <v>488</v>
      </c>
      <c r="P266" s="130" t="s">
        <v>488</v>
      </c>
      <c r="Q266" s="130" t="s">
        <v>488</v>
      </c>
      <c r="R266" s="130" t="s">
        <v>488</v>
      </c>
      <c r="S266" s="130" t="s">
        <v>488</v>
      </c>
      <c r="T266" s="130" t="s">
        <v>488</v>
      </c>
      <c r="U266" s="130"/>
      <c r="V266" s="202">
        <f t="shared" si="4"/>
        <v>0</v>
      </c>
      <c r="W266" s="211"/>
      <c r="X266" s="130">
        <v>0</v>
      </c>
      <c r="Y266" s="130">
        <v>0</v>
      </c>
    </row>
    <row r="267" spans="1:25" x14ac:dyDescent="0.25">
      <c r="A267" s="130">
        <v>540258</v>
      </c>
      <c r="B267" s="130" t="s">
        <v>303</v>
      </c>
      <c r="C267" s="130" t="s">
        <v>89</v>
      </c>
      <c r="D267" s="130" t="s">
        <v>115</v>
      </c>
      <c r="E267" s="130">
        <v>10</v>
      </c>
      <c r="F267" s="207"/>
      <c r="G267" s="130">
        <v>29</v>
      </c>
      <c r="H267" s="130">
        <v>0</v>
      </c>
      <c r="I267" s="130">
        <v>0</v>
      </c>
      <c r="J267" s="130">
        <v>0</v>
      </c>
      <c r="K267" s="130">
        <v>0</v>
      </c>
      <c r="L267" s="130">
        <v>0</v>
      </c>
      <c r="M267" s="130">
        <v>29</v>
      </c>
      <c r="N267" s="211"/>
      <c r="O267" s="130" t="s">
        <v>488</v>
      </c>
      <c r="P267" s="130" t="s">
        <v>488</v>
      </c>
      <c r="Q267" s="130" t="s">
        <v>488</v>
      </c>
      <c r="R267" s="130" t="s">
        <v>488</v>
      </c>
      <c r="S267" s="130" t="s">
        <v>488</v>
      </c>
      <c r="T267" s="130" t="s">
        <v>488</v>
      </c>
      <c r="U267" s="130"/>
      <c r="V267" s="202">
        <f t="shared" si="4"/>
        <v>0</v>
      </c>
      <c r="W267" s="211"/>
      <c r="X267" s="130">
        <v>0</v>
      </c>
      <c r="Y267" s="130">
        <v>0</v>
      </c>
    </row>
    <row r="268" spans="1:25" x14ac:dyDescent="0.25">
      <c r="A268" s="203"/>
      <c r="B268" s="203"/>
      <c r="C268" s="203" t="s">
        <v>89</v>
      </c>
      <c r="D268" s="203"/>
      <c r="E268" s="203"/>
      <c r="F268" s="208"/>
      <c r="G268" s="203">
        <v>1023</v>
      </c>
      <c r="H268" s="203">
        <v>880</v>
      </c>
      <c r="I268" s="203">
        <v>107</v>
      </c>
      <c r="J268" s="203">
        <v>0</v>
      </c>
      <c r="K268" s="203">
        <v>0</v>
      </c>
      <c r="L268" s="203">
        <v>987</v>
      </c>
      <c r="M268" s="203">
        <v>2010</v>
      </c>
      <c r="N268" s="212"/>
      <c r="O268" s="203" t="s">
        <v>488</v>
      </c>
      <c r="P268" s="203" t="s">
        <v>488</v>
      </c>
      <c r="Q268" s="203" t="s">
        <v>488</v>
      </c>
      <c r="R268" s="203" t="s">
        <v>488</v>
      </c>
      <c r="S268" s="203" t="s">
        <v>488</v>
      </c>
      <c r="T268" s="203" t="s">
        <v>488</v>
      </c>
      <c r="U268" s="203"/>
      <c r="V268" s="202">
        <f t="shared" si="4"/>
        <v>0</v>
      </c>
      <c r="W268" s="212"/>
      <c r="X268" s="203">
        <v>113</v>
      </c>
      <c r="Y268" s="203">
        <v>0</v>
      </c>
    </row>
    <row r="269" spans="1:25" x14ac:dyDescent="0.25">
      <c r="A269" s="204">
        <v>540211</v>
      </c>
      <c r="B269" s="204" t="s">
        <v>90</v>
      </c>
      <c r="C269" s="204" t="s">
        <v>91</v>
      </c>
      <c r="D269" s="204" t="s">
        <v>5</v>
      </c>
      <c r="E269" s="204">
        <v>5</v>
      </c>
      <c r="F269" s="206"/>
      <c r="G269" s="204">
        <v>774</v>
      </c>
      <c r="H269" s="204">
        <v>23</v>
      </c>
      <c r="I269" s="204">
        <v>0</v>
      </c>
      <c r="J269" s="204">
        <v>0</v>
      </c>
      <c r="K269" s="204">
        <v>0</v>
      </c>
      <c r="L269" s="204">
        <v>23</v>
      </c>
      <c r="M269" s="204">
        <v>797</v>
      </c>
      <c r="N269" s="210"/>
      <c r="O269" s="204" t="s">
        <v>488</v>
      </c>
      <c r="P269" s="204" t="s">
        <v>488</v>
      </c>
      <c r="Q269" s="204" t="s">
        <v>488</v>
      </c>
      <c r="R269" s="204" t="s">
        <v>488</v>
      </c>
      <c r="S269" s="204" t="s">
        <v>488</v>
      </c>
      <c r="T269" s="204" t="s">
        <v>488</v>
      </c>
      <c r="U269" s="204"/>
      <c r="V269" s="202">
        <f t="shared" si="4"/>
        <v>0</v>
      </c>
      <c r="W269" s="210"/>
      <c r="X269" s="204">
        <v>0</v>
      </c>
      <c r="Y269" s="204">
        <v>0</v>
      </c>
    </row>
    <row r="270" spans="1:25" x14ac:dyDescent="0.25">
      <c r="A270" s="205">
        <v>540212</v>
      </c>
      <c r="B270" s="205" t="s">
        <v>268</v>
      </c>
      <c r="C270" s="205" t="s">
        <v>91</v>
      </c>
      <c r="D270" s="205" t="s">
        <v>115</v>
      </c>
      <c r="E270" s="205">
        <v>5</v>
      </c>
      <c r="F270" s="209"/>
      <c r="G270" s="205">
        <v>0</v>
      </c>
      <c r="H270" s="205">
        <v>87</v>
      </c>
      <c r="I270" s="205">
        <v>0</v>
      </c>
      <c r="J270" s="205">
        <v>0</v>
      </c>
      <c r="K270" s="205">
        <v>0</v>
      </c>
      <c r="L270" s="205">
        <v>87</v>
      </c>
      <c r="M270" s="205">
        <v>87</v>
      </c>
      <c r="N270" s="213"/>
      <c r="O270" s="205" t="s">
        <v>488</v>
      </c>
      <c r="P270" s="205" t="s">
        <v>488</v>
      </c>
      <c r="Q270" s="205" t="s">
        <v>488</v>
      </c>
      <c r="R270" s="205" t="s">
        <v>488</v>
      </c>
      <c r="S270" s="205" t="s">
        <v>488</v>
      </c>
      <c r="T270" s="205" t="s">
        <v>488</v>
      </c>
      <c r="U270" s="205"/>
      <c r="V270" s="202">
        <f t="shared" si="4"/>
        <v>0</v>
      </c>
      <c r="W270" s="213"/>
      <c r="X270" s="205">
        <v>0</v>
      </c>
      <c r="Y270" s="205">
        <v>0</v>
      </c>
    </row>
    <row r="271" spans="1:25" x14ac:dyDescent="0.25">
      <c r="A271" s="203"/>
      <c r="B271" s="203"/>
      <c r="C271" s="203" t="s">
        <v>91</v>
      </c>
      <c r="D271" s="203"/>
      <c r="E271" s="203"/>
      <c r="F271" s="208"/>
      <c r="G271" s="203">
        <v>774</v>
      </c>
      <c r="H271" s="203">
        <v>110</v>
      </c>
      <c r="I271" s="203">
        <v>0</v>
      </c>
      <c r="J271" s="203">
        <v>0</v>
      </c>
      <c r="K271" s="203">
        <v>0</v>
      </c>
      <c r="L271" s="203">
        <v>110</v>
      </c>
      <c r="M271" s="203">
        <v>884</v>
      </c>
      <c r="N271" s="212"/>
      <c r="O271" s="203" t="s">
        <v>488</v>
      </c>
      <c r="P271" s="203" t="s">
        <v>488</v>
      </c>
      <c r="Q271" s="203" t="s">
        <v>488</v>
      </c>
      <c r="R271" s="203" t="s">
        <v>488</v>
      </c>
      <c r="S271" s="203" t="s">
        <v>488</v>
      </c>
      <c r="T271" s="203" t="s">
        <v>488</v>
      </c>
      <c r="U271" s="203"/>
      <c r="V271" s="202">
        <f t="shared" si="4"/>
        <v>0</v>
      </c>
      <c r="W271" s="212"/>
      <c r="X271" s="203">
        <v>0</v>
      </c>
      <c r="Y271" s="203">
        <v>0</v>
      </c>
    </row>
    <row r="272" spans="1:25" x14ac:dyDescent="0.25">
      <c r="A272" s="204">
        <v>540213</v>
      </c>
      <c r="B272" s="204" t="s">
        <v>92</v>
      </c>
      <c r="C272" s="204" t="s">
        <v>93</v>
      </c>
      <c r="D272" s="204" t="s">
        <v>5</v>
      </c>
      <c r="E272" s="204">
        <v>5</v>
      </c>
      <c r="F272" s="206"/>
      <c r="G272" s="204">
        <v>681</v>
      </c>
      <c r="H272" s="204">
        <v>964</v>
      </c>
      <c r="I272" s="204">
        <v>40</v>
      </c>
      <c r="J272" s="204">
        <v>0</v>
      </c>
      <c r="K272" s="204">
        <v>0</v>
      </c>
      <c r="L272" s="204">
        <v>1004</v>
      </c>
      <c r="M272" s="204">
        <v>1685</v>
      </c>
      <c r="N272" s="210"/>
      <c r="O272" s="204" t="s">
        <v>488</v>
      </c>
      <c r="P272" s="204" t="s">
        <v>488</v>
      </c>
      <c r="Q272" s="204" t="s">
        <v>488</v>
      </c>
      <c r="R272" s="204" t="s">
        <v>488</v>
      </c>
      <c r="S272" s="204" t="s">
        <v>488</v>
      </c>
      <c r="T272" s="204" t="s">
        <v>488</v>
      </c>
      <c r="U272" s="204"/>
      <c r="V272" s="202">
        <f t="shared" si="4"/>
        <v>0</v>
      </c>
      <c r="W272" s="210"/>
      <c r="X272" s="204">
        <v>472</v>
      </c>
      <c r="Y272" s="204">
        <v>12</v>
      </c>
    </row>
    <row r="273" spans="1:25" x14ac:dyDescent="0.25">
      <c r="A273" s="205">
        <v>540042</v>
      </c>
      <c r="B273" s="205" t="s">
        <v>143</v>
      </c>
      <c r="C273" s="205" t="s">
        <v>93</v>
      </c>
      <c r="D273" s="205" t="s">
        <v>115</v>
      </c>
      <c r="E273" s="205">
        <v>5</v>
      </c>
      <c r="F273" s="209"/>
      <c r="G273" s="205">
        <v>0</v>
      </c>
      <c r="H273" s="205">
        <v>0</v>
      </c>
      <c r="I273" s="205">
        <v>0</v>
      </c>
      <c r="J273" s="205">
        <v>0</v>
      </c>
      <c r="K273" s="205">
        <v>0</v>
      </c>
      <c r="L273" s="205">
        <v>0</v>
      </c>
      <c r="M273" s="205">
        <v>0</v>
      </c>
      <c r="N273" s="213"/>
      <c r="O273" s="205" t="s">
        <v>488</v>
      </c>
      <c r="P273" s="205" t="s">
        <v>488</v>
      </c>
      <c r="Q273" s="205" t="s">
        <v>488</v>
      </c>
      <c r="R273" s="205" t="s">
        <v>488</v>
      </c>
      <c r="S273" s="205" t="s">
        <v>488</v>
      </c>
      <c r="T273" s="205" t="s">
        <v>488</v>
      </c>
      <c r="U273" s="205"/>
      <c r="V273" s="202">
        <f t="shared" si="4"/>
        <v>0</v>
      </c>
      <c r="W273" s="213"/>
      <c r="X273" s="205">
        <v>0</v>
      </c>
      <c r="Y273" s="205">
        <v>0</v>
      </c>
    </row>
    <row r="274" spans="1:25" x14ac:dyDescent="0.25">
      <c r="A274" s="130">
        <v>540214</v>
      </c>
      <c r="B274" s="130" t="s">
        <v>269</v>
      </c>
      <c r="C274" s="130" t="s">
        <v>93</v>
      </c>
      <c r="D274" s="130" t="s">
        <v>115</v>
      </c>
      <c r="E274" s="130">
        <v>5</v>
      </c>
      <c r="F274" s="207"/>
      <c r="G274" s="130">
        <v>29</v>
      </c>
      <c r="H274" s="130">
        <v>195</v>
      </c>
      <c r="I274" s="130">
        <v>2</v>
      </c>
      <c r="J274" s="130">
        <v>0</v>
      </c>
      <c r="K274" s="130">
        <v>0</v>
      </c>
      <c r="L274" s="130">
        <v>197</v>
      </c>
      <c r="M274" s="130">
        <v>226</v>
      </c>
      <c r="N274" s="211"/>
      <c r="O274" s="130" t="s">
        <v>488</v>
      </c>
      <c r="P274" s="130" t="s">
        <v>488</v>
      </c>
      <c r="Q274" s="130" t="s">
        <v>488</v>
      </c>
      <c r="R274" s="130" t="s">
        <v>488</v>
      </c>
      <c r="S274" s="130" t="s">
        <v>488</v>
      </c>
      <c r="T274" s="130" t="s">
        <v>488</v>
      </c>
      <c r="U274" s="130"/>
      <c r="V274" s="202">
        <f t="shared" si="4"/>
        <v>0</v>
      </c>
      <c r="W274" s="211"/>
      <c r="X274" s="130">
        <v>228</v>
      </c>
      <c r="Y274" s="130">
        <v>549</v>
      </c>
    </row>
    <row r="275" spans="1:25" x14ac:dyDescent="0.25">
      <c r="A275" s="130">
        <v>540215</v>
      </c>
      <c r="B275" s="130" t="s">
        <v>270</v>
      </c>
      <c r="C275" s="130" t="s">
        <v>93</v>
      </c>
      <c r="D275" s="130" t="s">
        <v>115</v>
      </c>
      <c r="E275" s="130">
        <v>5</v>
      </c>
      <c r="F275" s="207"/>
      <c r="G275" s="130">
        <v>1</v>
      </c>
      <c r="H275" s="130">
        <v>273</v>
      </c>
      <c r="I275" s="130">
        <v>50</v>
      </c>
      <c r="J275" s="130">
        <v>0</v>
      </c>
      <c r="K275" s="130">
        <v>0</v>
      </c>
      <c r="L275" s="130">
        <v>323</v>
      </c>
      <c r="M275" s="130">
        <v>324</v>
      </c>
      <c r="N275" s="211"/>
      <c r="O275" s="130" t="s">
        <v>488</v>
      </c>
      <c r="P275" s="130" t="s">
        <v>488</v>
      </c>
      <c r="Q275" s="130" t="s">
        <v>488</v>
      </c>
      <c r="R275" s="130" t="s">
        <v>488</v>
      </c>
      <c r="S275" s="130" t="s">
        <v>488</v>
      </c>
      <c r="T275" s="130" t="s">
        <v>488</v>
      </c>
      <c r="U275" s="130"/>
      <c r="V275" s="202">
        <f t="shared" si="4"/>
        <v>0</v>
      </c>
      <c r="W275" s="211"/>
      <c r="X275" s="130">
        <v>339</v>
      </c>
      <c r="Y275" s="130">
        <v>0</v>
      </c>
    </row>
    <row r="276" spans="1:25" x14ac:dyDescent="0.25">
      <c r="A276" s="130">
        <v>540216</v>
      </c>
      <c r="B276" s="130" t="s">
        <v>271</v>
      </c>
      <c r="C276" s="130" t="s">
        <v>93</v>
      </c>
      <c r="D276" s="130" t="s">
        <v>115</v>
      </c>
      <c r="E276" s="130">
        <v>5</v>
      </c>
      <c r="F276" s="207"/>
      <c r="G276" s="130">
        <v>0</v>
      </c>
      <c r="H276" s="130">
        <v>90</v>
      </c>
      <c r="I276" s="130">
        <v>6</v>
      </c>
      <c r="J276" s="130">
        <v>0</v>
      </c>
      <c r="K276" s="130">
        <v>0</v>
      </c>
      <c r="L276" s="130">
        <v>96</v>
      </c>
      <c r="M276" s="130">
        <v>96</v>
      </c>
      <c r="N276" s="211"/>
      <c r="O276" s="130" t="s">
        <v>488</v>
      </c>
      <c r="P276" s="130" t="s">
        <v>488</v>
      </c>
      <c r="Q276" s="130" t="s">
        <v>488</v>
      </c>
      <c r="R276" s="130" t="s">
        <v>488</v>
      </c>
      <c r="S276" s="130" t="s">
        <v>488</v>
      </c>
      <c r="T276" s="130" t="s">
        <v>488</v>
      </c>
      <c r="U276" s="130"/>
      <c r="V276" s="202">
        <f t="shared" si="4"/>
        <v>0</v>
      </c>
      <c r="W276" s="211"/>
      <c r="X276" s="130">
        <v>9</v>
      </c>
      <c r="Y276" s="130">
        <v>0</v>
      </c>
    </row>
    <row r="277" spans="1:25" x14ac:dyDescent="0.25">
      <c r="A277" s="130"/>
      <c r="B277" s="130"/>
      <c r="C277" s="130" t="s">
        <v>93</v>
      </c>
      <c r="D277" s="130"/>
      <c r="E277" s="130"/>
      <c r="F277" s="207"/>
      <c r="G277" s="130">
        <v>711</v>
      </c>
      <c r="H277" s="130">
        <v>1522</v>
      </c>
      <c r="I277" s="130">
        <v>98</v>
      </c>
      <c r="J277" s="130">
        <v>0</v>
      </c>
      <c r="K277" s="130">
        <v>0</v>
      </c>
      <c r="L277" s="130">
        <v>1620</v>
      </c>
      <c r="M277" s="130">
        <v>2331</v>
      </c>
      <c r="N277" s="211"/>
      <c r="O277" s="130" t="s">
        <v>488</v>
      </c>
      <c r="P277" s="130" t="s">
        <v>488</v>
      </c>
      <c r="Q277" s="130" t="s">
        <v>488</v>
      </c>
      <c r="R277" s="130" t="s">
        <v>488</v>
      </c>
      <c r="S277" s="130" t="s">
        <v>488</v>
      </c>
      <c r="T277" s="130" t="s">
        <v>488</v>
      </c>
      <c r="U277" s="130"/>
      <c r="V277" s="202">
        <f t="shared" si="4"/>
        <v>0</v>
      </c>
      <c r="W277" s="211"/>
      <c r="X277" s="130">
        <v>1048</v>
      </c>
      <c r="Y277" s="130">
        <v>561</v>
      </c>
    </row>
    <row r="278" spans="1:25" x14ac:dyDescent="0.25">
      <c r="A278" s="128">
        <v>540224</v>
      </c>
      <c r="B278" s="128" t="s">
        <v>96</v>
      </c>
      <c r="C278" s="128" t="s">
        <v>97</v>
      </c>
      <c r="D278" s="128" t="s">
        <v>5</v>
      </c>
      <c r="E278" s="128">
        <v>5</v>
      </c>
      <c r="F278" s="206"/>
      <c r="G278" s="128">
        <v>567</v>
      </c>
      <c r="H278" s="128">
        <v>0</v>
      </c>
      <c r="I278" s="128">
        <v>0</v>
      </c>
      <c r="J278" s="128">
        <v>0</v>
      </c>
      <c r="K278" s="128">
        <v>0</v>
      </c>
      <c r="L278" s="128">
        <v>0</v>
      </c>
      <c r="M278" s="128">
        <v>567</v>
      </c>
      <c r="N278" s="210"/>
      <c r="O278" s="128" t="s">
        <v>488</v>
      </c>
      <c r="P278" s="128" t="s">
        <v>488</v>
      </c>
      <c r="Q278" s="128">
        <v>261</v>
      </c>
      <c r="R278" s="128">
        <v>243</v>
      </c>
      <c r="S278" s="128" t="s">
        <v>488</v>
      </c>
      <c r="T278" s="128" t="s">
        <v>488</v>
      </c>
      <c r="U278" s="128"/>
      <c r="V278" s="202">
        <f t="shared" si="4"/>
        <v>243</v>
      </c>
      <c r="W278" s="210"/>
      <c r="X278" s="128">
        <v>0</v>
      </c>
      <c r="Y278" s="128">
        <v>0</v>
      </c>
    </row>
    <row r="279" spans="1:25" x14ac:dyDescent="0.25">
      <c r="A279" s="130">
        <v>540132</v>
      </c>
      <c r="B279" s="130" t="s">
        <v>216</v>
      </c>
      <c r="C279" s="130" t="s">
        <v>97</v>
      </c>
      <c r="D279" s="130" t="s">
        <v>115</v>
      </c>
      <c r="E279" s="130">
        <v>5</v>
      </c>
      <c r="F279" s="207"/>
      <c r="G279" s="130">
        <v>0</v>
      </c>
      <c r="H279" s="130">
        <v>0</v>
      </c>
      <c r="I279" s="130">
        <v>0</v>
      </c>
      <c r="J279" s="130">
        <v>0</v>
      </c>
      <c r="K279" s="130">
        <v>0</v>
      </c>
      <c r="L279" s="130">
        <v>0</v>
      </c>
      <c r="M279" s="130">
        <v>0</v>
      </c>
      <c r="N279" s="211"/>
      <c r="O279" s="130" t="s">
        <v>488</v>
      </c>
      <c r="P279" s="130" t="s">
        <v>488</v>
      </c>
      <c r="Q279" s="130">
        <v>0</v>
      </c>
      <c r="R279" s="130">
        <v>1</v>
      </c>
      <c r="S279" s="130" t="s">
        <v>488</v>
      </c>
      <c r="T279" s="130" t="s">
        <v>488</v>
      </c>
      <c r="U279" s="130"/>
      <c r="V279" s="202">
        <f t="shared" si="4"/>
        <v>1</v>
      </c>
      <c r="W279" s="211"/>
      <c r="X279" s="130">
        <v>0</v>
      </c>
      <c r="Y279" s="130">
        <v>0</v>
      </c>
    </row>
    <row r="280" spans="1:25" x14ac:dyDescent="0.25">
      <c r="A280" s="130">
        <v>540179</v>
      </c>
      <c r="B280" s="130" t="s">
        <v>250</v>
      </c>
      <c r="C280" s="130" t="s">
        <v>97</v>
      </c>
      <c r="D280" s="130" t="s">
        <v>115</v>
      </c>
      <c r="E280" s="130">
        <v>5</v>
      </c>
      <c r="F280" s="207"/>
      <c r="G280" s="130">
        <v>0</v>
      </c>
      <c r="H280" s="130">
        <v>25</v>
      </c>
      <c r="I280" s="130">
        <v>0</v>
      </c>
      <c r="J280" s="130">
        <v>0</v>
      </c>
      <c r="K280" s="130">
        <v>0</v>
      </c>
      <c r="L280" s="130">
        <v>25</v>
      </c>
      <c r="M280" s="130">
        <v>25</v>
      </c>
      <c r="N280" s="211"/>
      <c r="O280" s="130" t="s">
        <v>488</v>
      </c>
      <c r="P280" s="130" t="s">
        <v>488</v>
      </c>
      <c r="Q280" s="130">
        <v>0</v>
      </c>
      <c r="R280" s="130">
        <v>0</v>
      </c>
      <c r="S280" s="130" t="s">
        <v>488</v>
      </c>
      <c r="T280" s="130" t="s">
        <v>488</v>
      </c>
      <c r="U280" s="130"/>
      <c r="V280" s="202">
        <f t="shared" si="4"/>
        <v>0</v>
      </c>
      <c r="W280" s="211"/>
      <c r="X280" s="130">
        <v>0</v>
      </c>
      <c r="Y280" s="130">
        <v>0</v>
      </c>
    </row>
    <row r="281" spans="1:25" x14ac:dyDescent="0.25">
      <c r="A281" s="130">
        <v>540180</v>
      </c>
      <c r="B281" s="130" t="s">
        <v>251</v>
      </c>
      <c r="C281" s="130" t="s">
        <v>97</v>
      </c>
      <c r="D281" s="130" t="s">
        <v>115</v>
      </c>
      <c r="E281" s="130">
        <v>5</v>
      </c>
      <c r="F281" s="207"/>
      <c r="G281" s="130">
        <v>19</v>
      </c>
      <c r="H281" s="130">
        <v>0</v>
      </c>
      <c r="I281" s="130">
        <v>0</v>
      </c>
      <c r="J281" s="130">
        <v>0</v>
      </c>
      <c r="K281" s="130">
        <v>0</v>
      </c>
      <c r="L281" s="130">
        <v>0</v>
      </c>
      <c r="M281" s="130">
        <v>19</v>
      </c>
      <c r="N281" s="211"/>
      <c r="O281" s="130" t="s">
        <v>488</v>
      </c>
      <c r="P281" s="130" t="s">
        <v>488</v>
      </c>
      <c r="Q281" s="130">
        <v>10</v>
      </c>
      <c r="R281" s="130">
        <v>27</v>
      </c>
      <c r="S281" s="130" t="s">
        <v>488</v>
      </c>
      <c r="T281" s="130" t="s">
        <v>488</v>
      </c>
      <c r="U281" s="130"/>
      <c r="V281" s="202">
        <f t="shared" si="4"/>
        <v>27</v>
      </c>
      <c r="W281" s="211"/>
      <c r="X281" s="130">
        <v>0</v>
      </c>
      <c r="Y281" s="130">
        <v>0</v>
      </c>
    </row>
    <row r="282" spans="1:25" x14ac:dyDescent="0.25">
      <c r="A282" s="130">
        <v>540182</v>
      </c>
      <c r="B282" s="130" t="s">
        <v>252</v>
      </c>
      <c r="C282" s="130" t="s">
        <v>97</v>
      </c>
      <c r="D282" s="130" t="s">
        <v>115</v>
      </c>
      <c r="E282" s="130">
        <v>5</v>
      </c>
      <c r="F282" s="207"/>
      <c r="G282" s="130">
        <v>38</v>
      </c>
      <c r="H282" s="130">
        <v>0</v>
      </c>
      <c r="I282" s="130">
        <v>0</v>
      </c>
      <c r="J282" s="130">
        <v>0</v>
      </c>
      <c r="K282" s="130">
        <v>0</v>
      </c>
      <c r="L282" s="130">
        <v>0</v>
      </c>
      <c r="M282" s="130">
        <v>38</v>
      </c>
      <c r="N282" s="211"/>
      <c r="O282" s="130" t="s">
        <v>488</v>
      </c>
      <c r="P282" s="130" t="s">
        <v>488</v>
      </c>
      <c r="Q282" s="130">
        <v>20</v>
      </c>
      <c r="R282" s="130">
        <v>8</v>
      </c>
      <c r="S282" s="130" t="s">
        <v>488</v>
      </c>
      <c r="T282" s="130" t="s">
        <v>488</v>
      </c>
      <c r="U282" s="130"/>
      <c r="V282" s="202">
        <f t="shared" si="4"/>
        <v>8</v>
      </c>
      <c r="W282" s="211"/>
      <c r="X282" s="130">
        <v>0</v>
      </c>
      <c r="Y282" s="130">
        <v>0</v>
      </c>
    </row>
    <row r="283" spans="1:25" x14ac:dyDescent="0.25">
      <c r="A283" s="130">
        <v>540262</v>
      </c>
      <c r="B283" s="130" t="s">
        <v>305</v>
      </c>
      <c r="C283" s="130" t="s">
        <v>97</v>
      </c>
      <c r="D283" s="130" t="s">
        <v>115</v>
      </c>
      <c r="E283" s="130">
        <v>5</v>
      </c>
      <c r="F283" s="207"/>
      <c r="G283" s="130">
        <v>21</v>
      </c>
      <c r="H283" s="130">
        <v>0</v>
      </c>
      <c r="I283" s="130">
        <v>0</v>
      </c>
      <c r="J283" s="130">
        <v>0</v>
      </c>
      <c r="K283" s="130">
        <v>0</v>
      </c>
      <c r="L283" s="130">
        <v>0</v>
      </c>
      <c r="M283" s="130">
        <v>21</v>
      </c>
      <c r="N283" s="211"/>
      <c r="O283" s="130" t="s">
        <v>488</v>
      </c>
      <c r="P283" s="130" t="s">
        <v>488</v>
      </c>
      <c r="Q283" s="130">
        <v>7</v>
      </c>
      <c r="R283" s="130">
        <v>8</v>
      </c>
      <c r="S283" s="130" t="s">
        <v>488</v>
      </c>
      <c r="T283" s="130" t="s">
        <v>488</v>
      </c>
      <c r="U283" s="130"/>
      <c r="V283" s="202">
        <f t="shared" si="4"/>
        <v>8</v>
      </c>
      <c r="W283" s="211"/>
      <c r="X283" s="130">
        <v>0</v>
      </c>
      <c r="Y283" s="130">
        <v>0</v>
      </c>
    </row>
    <row r="284" spans="1:25" x14ac:dyDescent="0.25">
      <c r="A284" s="130">
        <v>540263</v>
      </c>
      <c r="B284" s="130" t="s">
        <v>306</v>
      </c>
      <c r="C284" s="130" t="s">
        <v>97</v>
      </c>
      <c r="D284" s="130" t="s">
        <v>115</v>
      </c>
      <c r="E284" s="130">
        <v>5</v>
      </c>
      <c r="F284" s="207"/>
      <c r="G284" s="130">
        <v>17</v>
      </c>
      <c r="H284" s="130">
        <v>0</v>
      </c>
      <c r="I284" s="130">
        <v>0</v>
      </c>
      <c r="J284" s="130">
        <v>0</v>
      </c>
      <c r="K284" s="130">
        <v>0</v>
      </c>
      <c r="L284" s="130">
        <v>0</v>
      </c>
      <c r="M284" s="130">
        <v>17</v>
      </c>
      <c r="N284" s="211"/>
      <c r="O284" s="130" t="s">
        <v>488</v>
      </c>
      <c r="P284" s="130" t="s">
        <v>488</v>
      </c>
      <c r="Q284" s="130">
        <v>15</v>
      </c>
      <c r="R284" s="130">
        <v>9</v>
      </c>
      <c r="S284" s="130" t="s">
        <v>488</v>
      </c>
      <c r="T284" s="130" t="s">
        <v>488</v>
      </c>
      <c r="U284" s="130"/>
      <c r="V284" s="202">
        <f t="shared" si="4"/>
        <v>9</v>
      </c>
      <c r="W284" s="211"/>
      <c r="X284" s="130">
        <v>0</v>
      </c>
      <c r="Y284" s="130">
        <v>0</v>
      </c>
    </row>
    <row r="285" spans="1:25" x14ac:dyDescent="0.25">
      <c r="A285" s="130"/>
      <c r="B285" s="130"/>
      <c r="C285" s="130" t="s">
        <v>97</v>
      </c>
      <c r="D285" s="130"/>
      <c r="E285" s="130"/>
      <c r="F285" s="207"/>
      <c r="G285" s="130">
        <v>662</v>
      </c>
      <c r="H285" s="130">
        <v>25</v>
      </c>
      <c r="I285" s="130">
        <v>0</v>
      </c>
      <c r="J285" s="130">
        <v>0</v>
      </c>
      <c r="K285" s="130">
        <v>0</v>
      </c>
      <c r="L285" s="130">
        <v>25</v>
      </c>
      <c r="M285" s="130">
        <v>687</v>
      </c>
      <c r="N285" s="211"/>
      <c r="O285" s="130" t="s">
        <v>488</v>
      </c>
      <c r="P285" s="130" t="s">
        <v>488</v>
      </c>
      <c r="Q285" s="130">
        <v>313</v>
      </c>
      <c r="R285" s="130">
        <v>296</v>
      </c>
      <c r="S285" s="130" t="s">
        <v>488</v>
      </c>
      <c r="T285" s="130" t="s">
        <v>488</v>
      </c>
      <c r="U285" s="130"/>
      <c r="V285" s="202">
        <f t="shared" si="4"/>
        <v>296</v>
      </c>
      <c r="W285" s="211"/>
      <c r="X285" s="130">
        <v>0</v>
      </c>
      <c r="Y285" s="130">
        <v>0</v>
      </c>
    </row>
    <row r="286" spans="1:25" x14ac:dyDescent="0.25">
      <c r="A286" s="128">
        <v>540225</v>
      </c>
      <c r="B286" s="128" t="s">
        <v>98</v>
      </c>
      <c r="C286" s="128" t="s">
        <v>99</v>
      </c>
      <c r="D286" s="128" t="s">
        <v>5</v>
      </c>
      <c r="E286" s="128">
        <v>5</v>
      </c>
      <c r="F286" s="206"/>
      <c r="G286" s="128">
        <v>82</v>
      </c>
      <c r="H286" s="128">
        <v>307</v>
      </c>
      <c r="I286" s="128">
        <v>93</v>
      </c>
      <c r="J286" s="128">
        <v>0</v>
      </c>
      <c r="K286" s="128">
        <v>0</v>
      </c>
      <c r="L286" s="128">
        <v>400</v>
      </c>
      <c r="M286" s="128">
        <v>482</v>
      </c>
      <c r="N286" s="210"/>
      <c r="O286" s="128" t="s">
        <v>488</v>
      </c>
      <c r="P286" s="128" t="s">
        <v>488</v>
      </c>
      <c r="Q286" s="128">
        <v>63</v>
      </c>
      <c r="R286" s="128">
        <v>66</v>
      </c>
      <c r="S286" s="128" t="s">
        <v>488</v>
      </c>
      <c r="T286" s="128" t="s">
        <v>488</v>
      </c>
      <c r="U286" s="128"/>
      <c r="V286" s="202">
        <f t="shared" si="4"/>
        <v>66</v>
      </c>
      <c r="W286" s="210"/>
      <c r="X286" s="128">
        <v>22</v>
      </c>
      <c r="Y286" s="128">
        <v>0</v>
      </c>
    </row>
    <row r="287" spans="1:25" x14ac:dyDescent="0.25">
      <c r="A287" s="130">
        <v>540156</v>
      </c>
      <c r="B287" s="130" t="s">
        <v>232</v>
      </c>
      <c r="C287" s="130" t="s">
        <v>99</v>
      </c>
      <c r="D287" s="130" t="s">
        <v>115</v>
      </c>
      <c r="E287" s="130">
        <v>5</v>
      </c>
      <c r="F287" s="207"/>
      <c r="G287" s="130">
        <v>0</v>
      </c>
      <c r="H287" s="130">
        <v>145</v>
      </c>
      <c r="I287" s="130">
        <v>4</v>
      </c>
      <c r="J287" s="130">
        <v>0</v>
      </c>
      <c r="K287" s="130">
        <v>0</v>
      </c>
      <c r="L287" s="130">
        <v>149</v>
      </c>
      <c r="M287" s="130">
        <v>149</v>
      </c>
      <c r="N287" s="211"/>
      <c r="O287" s="130" t="s">
        <v>488</v>
      </c>
      <c r="P287" s="130" t="s">
        <v>488</v>
      </c>
      <c r="Q287" s="130">
        <v>0</v>
      </c>
      <c r="R287" s="130">
        <v>0</v>
      </c>
      <c r="S287" s="130" t="s">
        <v>488</v>
      </c>
      <c r="T287" s="130" t="s">
        <v>488</v>
      </c>
      <c r="U287" s="130"/>
      <c r="V287" s="202">
        <f t="shared" si="4"/>
        <v>0</v>
      </c>
      <c r="W287" s="211"/>
      <c r="X287" s="130">
        <v>109</v>
      </c>
      <c r="Y287" s="130">
        <v>0</v>
      </c>
    </row>
    <row r="288" spans="1:25" x14ac:dyDescent="0.25">
      <c r="A288" s="130">
        <v>540253</v>
      </c>
      <c r="B288" s="130" t="s">
        <v>299</v>
      </c>
      <c r="C288" s="130" t="s">
        <v>99</v>
      </c>
      <c r="D288" s="130" t="s">
        <v>115</v>
      </c>
      <c r="E288" s="130">
        <v>5</v>
      </c>
      <c r="F288" s="207"/>
      <c r="G288" s="130">
        <v>0</v>
      </c>
      <c r="H288" s="130">
        <v>13</v>
      </c>
      <c r="I288" s="130">
        <v>3</v>
      </c>
      <c r="J288" s="130">
        <v>0</v>
      </c>
      <c r="K288" s="130">
        <v>0</v>
      </c>
      <c r="L288" s="130">
        <v>16</v>
      </c>
      <c r="M288" s="130">
        <v>16</v>
      </c>
      <c r="N288" s="211"/>
      <c r="O288" s="130" t="s">
        <v>488</v>
      </c>
      <c r="P288" s="130" t="s">
        <v>488</v>
      </c>
      <c r="Q288" s="130">
        <v>0</v>
      </c>
      <c r="R288" s="130">
        <v>0</v>
      </c>
      <c r="S288" s="130" t="s">
        <v>488</v>
      </c>
      <c r="T288" s="130" t="s">
        <v>488</v>
      </c>
      <c r="U288" s="130"/>
      <c r="V288" s="202">
        <f t="shared" si="4"/>
        <v>0</v>
      </c>
      <c r="W288" s="211"/>
      <c r="X288" s="130">
        <v>16</v>
      </c>
      <c r="Y288" s="130">
        <v>0</v>
      </c>
    </row>
    <row r="289" spans="1:25" x14ac:dyDescent="0.25">
      <c r="A289" s="130"/>
      <c r="B289" s="130"/>
      <c r="C289" s="130" t="s">
        <v>99</v>
      </c>
      <c r="D289" s="130"/>
      <c r="E289" s="130"/>
      <c r="F289" s="207"/>
      <c r="G289" s="130">
        <v>82</v>
      </c>
      <c r="H289" s="130">
        <v>465</v>
      </c>
      <c r="I289" s="130">
        <v>100</v>
      </c>
      <c r="J289" s="130">
        <v>0</v>
      </c>
      <c r="K289" s="130">
        <v>0</v>
      </c>
      <c r="L289" s="130">
        <v>565</v>
      </c>
      <c r="M289" s="130">
        <v>647</v>
      </c>
      <c r="N289" s="211"/>
      <c r="O289" s="130" t="s">
        <v>488</v>
      </c>
      <c r="P289" s="130" t="s">
        <v>488</v>
      </c>
      <c r="Q289" s="130">
        <v>63</v>
      </c>
      <c r="R289" s="130">
        <v>66</v>
      </c>
      <c r="S289" s="130" t="s">
        <v>488</v>
      </c>
      <c r="T289" s="130" t="s">
        <v>488</v>
      </c>
      <c r="U289" s="130"/>
      <c r="V289" s="202">
        <f t="shared" si="4"/>
        <v>66</v>
      </c>
      <c r="W289" s="211"/>
      <c r="X289" s="130">
        <v>147</v>
      </c>
      <c r="Y289" s="130">
        <v>0</v>
      </c>
    </row>
    <row r="290" spans="1:25" x14ac:dyDescent="0.25">
      <c r="A290" s="128">
        <v>540226</v>
      </c>
      <c r="B290" s="128" t="s">
        <v>100</v>
      </c>
      <c r="C290" s="128" t="s">
        <v>101</v>
      </c>
      <c r="D290" s="128" t="s">
        <v>5</v>
      </c>
      <c r="E290" s="128">
        <v>8</v>
      </c>
      <c r="F290" s="206"/>
      <c r="G290" s="128">
        <v>566</v>
      </c>
      <c r="H290" s="128">
        <v>322</v>
      </c>
      <c r="I290" s="128">
        <v>613</v>
      </c>
      <c r="J290" s="128">
        <v>0</v>
      </c>
      <c r="K290" s="128">
        <v>0</v>
      </c>
      <c r="L290" s="128">
        <v>935</v>
      </c>
      <c r="M290" s="128">
        <v>1501</v>
      </c>
      <c r="N290" s="210"/>
      <c r="O290" s="128" t="s">
        <v>488</v>
      </c>
      <c r="P290" s="128" t="s">
        <v>488</v>
      </c>
      <c r="Q290" s="128" t="s">
        <v>488</v>
      </c>
      <c r="R290" s="128" t="s">
        <v>488</v>
      </c>
      <c r="S290" s="128" t="s">
        <v>488</v>
      </c>
      <c r="T290" s="128" t="s">
        <v>488</v>
      </c>
      <c r="U290" s="128"/>
      <c r="V290" s="202">
        <f t="shared" si="4"/>
        <v>0</v>
      </c>
      <c r="W290" s="210"/>
      <c r="X290" s="128">
        <v>81</v>
      </c>
      <c r="Y290" s="128">
        <v>0</v>
      </c>
    </row>
    <row r="291" spans="1:25" x14ac:dyDescent="0.25">
      <c r="A291" s="130">
        <v>540046</v>
      </c>
      <c r="B291" s="130" t="s">
        <v>147</v>
      </c>
      <c r="C291" s="130" t="s">
        <v>101</v>
      </c>
      <c r="D291" s="130" t="s">
        <v>115</v>
      </c>
      <c r="E291" s="130">
        <v>8</v>
      </c>
      <c r="F291" s="207"/>
      <c r="G291" s="130">
        <v>0</v>
      </c>
      <c r="H291" s="130">
        <v>16</v>
      </c>
      <c r="I291" s="130">
        <v>21</v>
      </c>
      <c r="J291" s="130">
        <v>0</v>
      </c>
      <c r="K291" s="130">
        <v>0</v>
      </c>
      <c r="L291" s="130">
        <v>37</v>
      </c>
      <c r="M291" s="130">
        <v>37</v>
      </c>
      <c r="N291" s="211"/>
      <c r="O291" s="130" t="s">
        <v>488</v>
      </c>
      <c r="P291" s="130" t="s">
        <v>488</v>
      </c>
      <c r="Q291" s="130" t="s">
        <v>488</v>
      </c>
      <c r="R291" s="130" t="s">
        <v>488</v>
      </c>
      <c r="S291" s="130" t="s">
        <v>488</v>
      </c>
      <c r="T291" s="130" t="s">
        <v>488</v>
      </c>
      <c r="U291" s="130"/>
      <c r="V291" s="202">
        <f t="shared" si="4"/>
        <v>0</v>
      </c>
      <c r="W291" s="211"/>
      <c r="X291" s="130">
        <v>63</v>
      </c>
      <c r="Y291" s="130">
        <v>0</v>
      </c>
    </row>
    <row r="292" spans="1:25" x14ac:dyDescent="0.25">
      <c r="A292" s="130">
        <v>540276</v>
      </c>
      <c r="B292" s="130" t="s">
        <v>319</v>
      </c>
      <c r="C292" s="130" t="s">
        <v>101</v>
      </c>
      <c r="D292" s="130" t="s">
        <v>115</v>
      </c>
      <c r="E292" s="130">
        <v>8</v>
      </c>
      <c r="F292" s="207"/>
      <c r="G292" s="130">
        <v>0</v>
      </c>
      <c r="H292" s="130">
        <v>5</v>
      </c>
      <c r="I292" s="130">
        <v>1</v>
      </c>
      <c r="J292" s="130">
        <v>0</v>
      </c>
      <c r="K292" s="130">
        <v>0</v>
      </c>
      <c r="L292" s="130">
        <v>6</v>
      </c>
      <c r="M292" s="130">
        <v>6</v>
      </c>
      <c r="N292" s="211"/>
      <c r="O292" s="130" t="s">
        <v>488</v>
      </c>
      <c r="P292" s="130" t="s">
        <v>488</v>
      </c>
      <c r="Q292" s="130" t="s">
        <v>488</v>
      </c>
      <c r="R292" s="130" t="s">
        <v>488</v>
      </c>
      <c r="S292" s="130" t="s">
        <v>488</v>
      </c>
      <c r="T292" s="130" t="s">
        <v>488</v>
      </c>
      <c r="U292" s="130"/>
      <c r="V292" s="202">
        <f t="shared" si="4"/>
        <v>0</v>
      </c>
      <c r="W292" s="211"/>
      <c r="X292" s="130">
        <v>4</v>
      </c>
      <c r="Y292" s="130">
        <v>0</v>
      </c>
    </row>
    <row r="293" spans="1:25" x14ac:dyDescent="0.25">
      <c r="A293" s="130"/>
      <c r="B293" s="130"/>
      <c r="C293" s="130" t="s">
        <v>101</v>
      </c>
      <c r="D293" s="130"/>
      <c r="E293" s="130"/>
      <c r="F293" s="207"/>
      <c r="G293" s="130">
        <v>566</v>
      </c>
      <c r="H293" s="130">
        <v>343</v>
      </c>
      <c r="I293" s="130">
        <v>635</v>
      </c>
      <c r="J293" s="130">
        <v>0</v>
      </c>
      <c r="K293" s="130">
        <v>0</v>
      </c>
      <c r="L293" s="130">
        <v>978</v>
      </c>
      <c r="M293" s="130">
        <v>1544</v>
      </c>
      <c r="N293" s="211"/>
      <c r="O293" s="130" t="s">
        <v>488</v>
      </c>
      <c r="P293" s="130" t="s">
        <v>488</v>
      </c>
      <c r="Q293" s="130" t="s">
        <v>488</v>
      </c>
      <c r="R293" s="130" t="s">
        <v>488</v>
      </c>
      <c r="S293" s="130" t="s">
        <v>488</v>
      </c>
      <c r="T293" s="130" t="s">
        <v>488</v>
      </c>
      <c r="U293" s="130"/>
      <c r="V293" s="202">
        <f t="shared" si="4"/>
        <v>0</v>
      </c>
      <c r="W293" s="211"/>
      <c r="X293" s="130">
        <v>148</v>
      </c>
      <c r="Y293" s="130">
        <v>0</v>
      </c>
    </row>
    <row r="294" spans="1:25" x14ac:dyDescent="0.25">
      <c r="A294" s="128">
        <v>540277</v>
      </c>
      <c r="B294" s="128" t="s">
        <v>102</v>
      </c>
      <c r="C294" s="128" t="s">
        <v>103</v>
      </c>
      <c r="D294" s="128" t="s">
        <v>5</v>
      </c>
      <c r="E294" s="128">
        <v>5</v>
      </c>
      <c r="F294" s="206"/>
      <c r="G294" s="128">
        <v>524</v>
      </c>
      <c r="H294" s="128">
        <v>146</v>
      </c>
      <c r="I294" s="128">
        <v>7</v>
      </c>
      <c r="J294" s="128">
        <v>0</v>
      </c>
      <c r="K294" s="128">
        <v>0</v>
      </c>
      <c r="L294" s="128">
        <v>153</v>
      </c>
      <c r="M294" s="128">
        <v>677</v>
      </c>
      <c r="N294" s="210"/>
      <c r="O294" s="128" t="s">
        <v>488</v>
      </c>
      <c r="P294" s="128" t="s">
        <v>488</v>
      </c>
      <c r="Q294" s="128">
        <v>345</v>
      </c>
      <c r="R294" s="128">
        <v>70</v>
      </c>
      <c r="S294" s="128" t="s">
        <v>488</v>
      </c>
      <c r="T294" s="128" t="s">
        <v>488</v>
      </c>
      <c r="U294" s="128"/>
      <c r="V294" s="202">
        <f t="shared" si="4"/>
        <v>70</v>
      </c>
      <c r="W294" s="210"/>
      <c r="X294" s="128">
        <v>50</v>
      </c>
      <c r="Y294" s="128">
        <v>0</v>
      </c>
    </row>
    <row r="295" spans="1:25" x14ac:dyDescent="0.25">
      <c r="A295" s="130">
        <v>540195</v>
      </c>
      <c r="B295" s="130" t="s">
        <v>258</v>
      </c>
      <c r="C295" s="130" t="s">
        <v>103</v>
      </c>
      <c r="D295" s="130" t="s">
        <v>115</v>
      </c>
      <c r="E295" s="130">
        <v>5</v>
      </c>
      <c r="F295" s="207"/>
      <c r="G295" s="130">
        <v>0</v>
      </c>
      <c r="H295" s="130">
        <v>1</v>
      </c>
      <c r="I295" s="130">
        <v>0</v>
      </c>
      <c r="J295" s="130">
        <v>0</v>
      </c>
      <c r="K295" s="130">
        <v>0</v>
      </c>
      <c r="L295" s="130">
        <v>1</v>
      </c>
      <c r="M295" s="130">
        <v>1</v>
      </c>
      <c r="N295" s="211"/>
      <c r="O295" s="130" t="s">
        <v>488</v>
      </c>
      <c r="P295" s="130" t="s">
        <v>488</v>
      </c>
      <c r="Q295" s="130">
        <v>0</v>
      </c>
      <c r="R295" s="130">
        <v>0</v>
      </c>
      <c r="S295" s="130" t="s">
        <v>488</v>
      </c>
      <c r="T295" s="130" t="s">
        <v>488</v>
      </c>
      <c r="U295" s="130"/>
      <c r="V295" s="202">
        <f t="shared" si="4"/>
        <v>0</v>
      </c>
      <c r="W295" s="211"/>
      <c r="X295" s="130">
        <v>0</v>
      </c>
      <c r="Y295" s="130">
        <v>0</v>
      </c>
    </row>
    <row r="296" spans="1:25" x14ac:dyDescent="0.25">
      <c r="A296" s="130">
        <v>540196</v>
      </c>
      <c r="B296" s="130" t="s">
        <v>259</v>
      </c>
      <c r="C296" s="130" t="s">
        <v>103</v>
      </c>
      <c r="D296" s="130" t="s">
        <v>115</v>
      </c>
      <c r="E296" s="130">
        <v>5</v>
      </c>
      <c r="F296" s="207"/>
      <c r="G296" s="130">
        <v>0</v>
      </c>
      <c r="H296" s="130">
        <v>1</v>
      </c>
      <c r="I296" s="130">
        <v>0</v>
      </c>
      <c r="J296" s="130">
        <v>0</v>
      </c>
      <c r="K296" s="130">
        <v>0</v>
      </c>
      <c r="L296" s="130">
        <v>1</v>
      </c>
      <c r="M296" s="130">
        <v>1</v>
      </c>
      <c r="N296" s="211"/>
      <c r="O296" s="130" t="s">
        <v>488</v>
      </c>
      <c r="P296" s="130" t="s">
        <v>488</v>
      </c>
      <c r="Q296" s="130">
        <v>0</v>
      </c>
      <c r="R296" s="130">
        <v>0</v>
      </c>
      <c r="S296" s="130" t="s">
        <v>488</v>
      </c>
      <c r="T296" s="130" t="s">
        <v>488</v>
      </c>
      <c r="U296" s="130"/>
      <c r="V296" s="202">
        <f t="shared" si="4"/>
        <v>0</v>
      </c>
      <c r="W296" s="211"/>
      <c r="X296" s="130">
        <v>1</v>
      </c>
      <c r="Y296" s="130">
        <v>0</v>
      </c>
    </row>
    <row r="297" spans="1:25" x14ac:dyDescent="0.25">
      <c r="A297" s="130">
        <v>540197</v>
      </c>
      <c r="B297" s="130" t="s">
        <v>260</v>
      </c>
      <c r="C297" s="130" t="s">
        <v>103</v>
      </c>
      <c r="D297" s="130" t="s">
        <v>115</v>
      </c>
      <c r="E297" s="130">
        <v>5</v>
      </c>
      <c r="F297" s="207"/>
      <c r="G297" s="130">
        <v>0</v>
      </c>
      <c r="H297" s="130">
        <v>75</v>
      </c>
      <c r="I297" s="130">
        <v>1</v>
      </c>
      <c r="J297" s="130">
        <v>0</v>
      </c>
      <c r="K297" s="130">
        <v>0</v>
      </c>
      <c r="L297" s="130">
        <v>76</v>
      </c>
      <c r="M297" s="130">
        <v>76</v>
      </c>
      <c r="N297" s="211"/>
      <c r="O297" s="130" t="s">
        <v>488</v>
      </c>
      <c r="P297" s="130" t="s">
        <v>488</v>
      </c>
      <c r="Q297" s="130">
        <v>0</v>
      </c>
      <c r="R297" s="130">
        <v>0</v>
      </c>
      <c r="S297" s="130" t="s">
        <v>488</v>
      </c>
      <c r="T297" s="130" t="s">
        <v>488</v>
      </c>
      <c r="U297" s="130"/>
      <c r="V297" s="202">
        <f t="shared" si="4"/>
        <v>0</v>
      </c>
      <c r="W297" s="211"/>
      <c r="X297" s="130">
        <v>23</v>
      </c>
      <c r="Y297" s="130">
        <v>0</v>
      </c>
    </row>
    <row r="298" spans="1:25" x14ac:dyDescent="0.25">
      <c r="A298" s="130">
        <v>540259</v>
      </c>
      <c r="B298" s="130" t="s">
        <v>304</v>
      </c>
      <c r="C298" s="130" t="s">
        <v>103</v>
      </c>
      <c r="D298" s="130" t="s">
        <v>115</v>
      </c>
      <c r="E298" s="130">
        <v>5</v>
      </c>
      <c r="F298" s="207"/>
      <c r="G298" s="130">
        <v>0</v>
      </c>
      <c r="H298" s="130">
        <v>68</v>
      </c>
      <c r="I298" s="130">
        <v>0</v>
      </c>
      <c r="J298" s="130">
        <v>0</v>
      </c>
      <c r="K298" s="130">
        <v>0</v>
      </c>
      <c r="L298" s="130">
        <v>68</v>
      </c>
      <c r="M298" s="130">
        <v>68</v>
      </c>
      <c r="N298" s="211"/>
      <c r="O298" s="130" t="s">
        <v>488</v>
      </c>
      <c r="P298" s="130" t="s">
        <v>488</v>
      </c>
      <c r="Q298" s="130">
        <v>0</v>
      </c>
      <c r="R298" s="130">
        <v>0</v>
      </c>
      <c r="S298" s="130" t="s">
        <v>488</v>
      </c>
      <c r="T298" s="130" t="s">
        <v>488</v>
      </c>
      <c r="U298" s="130"/>
      <c r="V298" s="202">
        <f t="shared" si="4"/>
        <v>0</v>
      </c>
      <c r="W298" s="211"/>
      <c r="X298" s="130">
        <v>9</v>
      </c>
      <c r="Y298" s="130">
        <v>0</v>
      </c>
    </row>
    <row r="299" spans="1:25" x14ac:dyDescent="0.25">
      <c r="A299" s="130"/>
      <c r="B299" s="130"/>
      <c r="C299" s="130" t="s">
        <v>103</v>
      </c>
      <c r="D299" s="130"/>
      <c r="E299" s="130"/>
      <c r="F299" s="207"/>
      <c r="G299" s="130">
        <v>524</v>
      </c>
      <c r="H299" s="130">
        <v>291</v>
      </c>
      <c r="I299" s="130">
        <v>8</v>
      </c>
      <c r="J299" s="130">
        <v>0</v>
      </c>
      <c r="K299" s="130">
        <v>0</v>
      </c>
      <c r="L299" s="130">
        <v>299</v>
      </c>
      <c r="M299" s="130">
        <v>823</v>
      </c>
      <c r="N299" s="211"/>
      <c r="O299" s="130" t="s">
        <v>488</v>
      </c>
      <c r="P299" s="130" t="s">
        <v>488</v>
      </c>
      <c r="Q299" s="130">
        <v>345</v>
      </c>
      <c r="R299" s="130">
        <v>70</v>
      </c>
      <c r="S299" s="130" t="s">
        <v>488</v>
      </c>
      <c r="T299" s="130" t="s">
        <v>488</v>
      </c>
      <c r="U299" s="130"/>
      <c r="V299" s="202">
        <f t="shared" si="4"/>
        <v>70</v>
      </c>
      <c r="W299" s="211"/>
      <c r="X299" s="130">
        <v>83</v>
      </c>
      <c r="Y299" s="130">
        <v>0</v>
      </c>
    </row>
    <row r="300" spans="1:25" x14ac:dyDescent="0.25">
      <c r="A300" s="128">
        <v>540278</v>
      </c>
      <c r="B300" s="128" t="s">
        <v>104</v>
      </c>
      <c r="C300" s="128" t="s">
        <v>105</v>
      </c>
      <c r="D300" s="128" t="s">
        <v>5</v>
      </c>
      <c r="E300" s="128">
        <v>1</v>
      </c>
      <c r="F300" s="206"/>
      <c r="G300" s="128">
        <v>301</v>
      </c>
      <c r="H300" s="128">
        <v>2</v>
      </c>
      <c r="I300" s="128">
        <v>0</v>
      </c>
      <c r="J300" s="128">
        <v>0</v>
      </c>
      <c r="K300" s="128">
        <v>0</v>
      </c>
      <c r="L300" s="128">
        <v>2</v>
      </c>
      <c r="M300" s="128">
        <v>303</v>
      </c>
      <c r="N300" s="210"/>
      <c r="O300" s="128" t="s">
        <v>488</v>
      </c>
      <c r="P300" s="128" t="s">
        <v>488</v>
      </c>
      <c r="Q300" s="128">
        <v>214</v>
      </c>
      <c r="R300" s="128">
        <v>35</v>
      </c>
      <c r="S300" s="128" t="s">
        <v>488</v>
      </c>
      <c r="T300" s="128" t="s">
        <v>488</v>
      </c>
      <c r="U300" s="128"/>
      <c r="V300" s="202">
        <f t="shared" si="4"/>
        <v>35</v>
      </c>
      <c r="W300" s="210"/>
      <c r="X300" s="128">
        <v>0</v>
      </c>
      <c r="Y300" s="128">
        <v>0</v>
      </c>
    </row>
    <row r="301" spans="1:25" x14ac:dyDescent="0.25">
      <c r="A301" s="130">
        <v>540041</v>
      </c>
      <c r="B301" s="130" t="s">
        <v>142</v>
      </c>
      <c r="C301" s="130" t="s">
        <v>105</v>
      </c>
      <c r="D301" s="130" t="s">
        <v>115</v>
      </c>
      <c r="E301" s="130">
        <v>1</v>
      </c>
      <c r="F301" s="207"/>
      <c r="G301" s="130">
        <v>5</v>
      </c>
      <c r="H301" s="130">
        <v>67</v>
      </c>
      <c r="I301" s="130">
        <v>7</v>
      </c>
      <c r="J301" s="130">
        <v>0</v>
      </c>
      <c r="K301" s="130">
        <v>0</v>
      </c>
      <c r="L301" s="130">
        <v>74</v>
      </c>
      <c r="M301" s="130">
        <v>79</v>
      </c>
      <c r="N301" s="211"/>
      <c r="O301" s="130" t="s">
        <v>488</v>
      </c>
      <c r="P301" s="130" t="s">
        <v>488</v>
      </c>
      <c r="Q301" s="130">
        <v>5</v>
      </c>
      <c r="R301" s="130">
        <v>0</v>
      </c>
      <c r="S301" s="130" t="s">
        <v>488</v>
      </c>
      <c r="T301" s="130" t="s">
        <v>488</v>
      </c>
      <c r="U301" s="130"/>
      <c r="V301" s="202">
        <f t="shared" si="4"/>
        <v>0</v>
      </c>
      <c r="W301" s="211"/>
      <c r="X301" s="130">
        <v>50</v>
      </c>
      <c r="Y301" s="130">
        <v>0</v>
      </c>
    </row>
    <row r="302" spans="1:25" x14ac:dyDescent="0.25">
      <c r="A302" s="130">
        <v>540143</v>
      </c>
      <c r="B302" s="130" t="s">
        <v>224</v>
      </c>
      <c r="C302" s="130" t="s">
        <v>105</v>
      </c>
      <c r="D302" s="130" t="s">
        <v>115</v>
      </c>
      <c r="E302" s="130">
        <v>1</v>
      </c>
      <c r="F302" s="207"/>
      <c r="G302" s="130">
        <v>2</v>
      </c>
      <c r="H302" s="130">
        <v>21</v>
      </c>
      <c r="I302" s="130">
        <v>1</v>
      </c>
      <c r="J302" s="130">
        <v>0</v>
      </c>
      <c r="K302" s="130">
        <v>0</v>
      </c>
      <c r="L302" s="130">
        <v>22</v>
      </c>
      <c r="M302" s="130">
        <v>24</v>
      </c>
      <c r="N302" s="211"/>
      <c r="O302" s="130" t="s">
        <v>488</v>
      </c>
      <c r="P302" s="130" t="s">
        <v>488</v>
      </c>
      <c r="Q302" s="130">
        <v>2</v>
      </c>
      <c r="R302" s="130">
        <v>3</v>
      </c>
      <c r="S302" s="130" t="s">
        <v>488</v>
      </c>
      <c r="T302" s="130" t="s">
        <v>488</v>
      </c>
      <c r="U302" s="130"/>
      <c r="V302" s="202">
        <f t="shared" si="4"/>
        <v>3</v>
      </c>
      <c r="W302" s="211"/>
      <c r="X302" s="130">
        <v>0</v>
      </c>
      <c r="Y302" s="130">
        <v>0</v>
      </c>
    </row>
    <row r="303" spans="1:25" x14ac:dyDescent="0.25">
      <c r="A303" s="130">
        <v>540290</v>
      </c>
      <c r="B303" s="130" t="s">
        <v>327</v>
      </c>
      <c r="C303" s="130" t="s">
        <v>105</v>
      </c>
      <c r="D303" s="130" t="s">
        <v>115</v>
      </c>
      <c r="E303" s="130">
        <v>1</v>
      </c>
      <c r="F303" s="207"/>
      <c r="G303" s="130">
        <v>0</v>
      </c>
      <c r="H303" s="130">
        <v>0</v>
      </c>
      <c r="I303" s="130">
        <v>0</v>
      </c>
      <c r="J303" s="130">
        <v>0</v>
      </c>
      <c r="K303" s="130">
        <v>0</v>
      </c>
      <c r="L303" s="130">
        <v>0</v>
      </c>
      <c r="M303" s="130">
        <v>0</v>
      </c>
      <c r="N303" s="211"/>
      <c r="O303" s="130" t="s">
        <v>488</v>
      </c>
      <c r="P303" s="130" t="s">
        <v>488</v>
      </c>
      <c r="Q303" s="130">
        <v>0</v>
      </c>
      <c r="R303" s="130">
        <v>0</v>
      </c>
      <c r="S303" s="130" t="s">
        <v>488</v>
      </c>
      <c r="T303" s="130" t="s">
        <v>488</v>
      </c>
      <c r="U303" s="130"/>
      <c r="V303" s="202">
        <f t="shared" si="4"/>
        <v>0</v>
      </c>
      <c r="W303" s="211"/>
      <c r="X303" s="130">
        <v>0</v>
      </c>
      <c r="Y303" s="130">
        <v>0</v>
      </c>
    </row>
    <row r="304" spans="1:25" x14ac:dyDescent="0.25">
      <c r="A304" s="130"/>
      <c r="B304" s="130"/>
      <c r="C304" s="130" t="s">
        <v>105</v>
      </c>
      <c r="D304" s="130"/>
      <c r="E304" s="130"/>
      <c r="F304" s="207"/>
      <c r="G304" s="130">
        <v>308</v>
      </c>
      <c r="H304" s="130">
        <v>90</v>
      </c>
      <c r="I304" s="130">
        <v>8</v>
      </c>
      <c r="J304" s="130">
        <v>0</v>
      </c>
      <c r="K304" s="130">
        <v>0</v>
      </c>
      <c r="L304" s="130">
        <v>98</v>
      </c>
      <c r="M304" s="130">
        <v>406</v>
      </c>
      <c r="N304" s="211"/>
      <c r="O304" s="130" t="s">
        <v>488</v>
      </c>
      <c r="P304" s="130" t="s">
        <v>488</v>
      </c>
      <c r="Q304" s="130">
        <v>221</v>
      </c>
      <c r="R304" s="130">
        <v>38</v>
      </c>
      <c r="S304" s="130" t="s">
        <v>488</v>
      </c>
      <c r="T304" s="130" t="s">
        <v>488</v>
      </c>
      <c r="U304" s="130"/>
      <c r="V304" s="202">
        <f t="shared" si="4"/>
        <v>38</v>
      </c>
      <c r="W304" s="211"/>
      <c r="X304" s="130">
        <v>50</v>
      </c>
      <c r="Y304" s="130">
        <v>0</v>
      </c>
    </row>
    <row r="305" spans="1:25" x14ac:dyDescent="0.25">
      <c r="A305" s="128">
        <v>540282</v>
      </c>
      <c r="B305" s="128" t="s">
        <v>106</v>
      </c>
      <c r="C305" s="128" t="s">
        <v>107</v>
      </c>
      <c r="D305" s="128" t="s">
        <v>5</v>
      </c>
      <c r="E305" s="128">
        <v>9</v>
      </c>
      <c r="F305" s="206"/>
      <c r="G305" s="128">
        <v>147</v>
      </c>
      <c r="H305" s="128">
        <v>349</v>
      </c>
      <c r="I305" s="128">
        <v>5</v>
      </c>
      <c r="J305" s="128">
        <v>0</v>
      </c>
      <c r="K305" s="128">
        <v>0</v>
      </c>
      <c r="L305" s="128">
        <v>354</v>
      </c>
      <c r="M305" s="128">
        <v>501</v>
      </c>
      <c r="N305" s="210"/>
      <c r="O305" s="128" t="s">
        <v>488</v>
      </c>
      <c r="P305" s="128" t="s">
        <v>488</v>
      </c>
      <c r="Q305" s="128">
        <v>107</v>
      </c>
      <c r="R305" s="128">
        <v>51</v>
      </c>
      <c r="S305" s="128">
        <v>344</v>
      </c>
      <c r="T305" s="128">
        <v>4</v>
      </c>
      <c r="U305" s="128"/>
      <c r="V305" s="202">
        <f t="shared" si="4"/>
        <v>55</v>
      </c>
      <c r="W305" s="210"/>
      <c r="X305" s="128">
        <v>145</v>
      </c>
      <c r="Y305" s="128">
        <v>0</v>
      </c>
    </row>
    <row r="306" spans="1:25" x14ac:dyDescent="0.25">
      <c r="A306" s="130">
        <v>540006</v>
      </c>
      <c r="B306" s="130" t="s">
        <v>119</v>
      </c>
      <c r="C306" s="130" t="s">
        <v>107</v>
      </c>
      <c r="D306" s="130" t="s">
        <v>115</v>
      </c>
      <c r="E306" s="130">
        <v>9</v>
      </c>
      <c r="F306" s="207"/>
      <c r="G306" s="130">
        <v>0</v>
      </c>
      <c r="H306" s="130">
        <v>76</v>
      </c>
      <c r="I306" s="130">
        <v>11</v>
      </c>
      <c r="J306" s="130">
        <v>0</v>
      </c>
      <c r="K306" s="130">
        <v>0</v>
      </c>
      <c r="L306" s="130">
        <v>87</v>
      </c>
      <c r="M306" s="130">
        <v>87</v>
      </c>
      <c r="N306" s="211"/>
      <c r="O306" s="130" t="s">
        <v>488</v>
      </c>
      <c r="P306" s="130" t="s">
        <v>488</v>
      </c>
      <c r="Q306" s="130">
        <v>0</v>
      </c>
      <c r="R306" s="130">
        <v>0</v>
      </c>
      <c r="S306" s="130">
        <v>87</v>
      </c>
      <c r="T306" s="130">
        <v>0</v>
      </c>
      <c r="U306" s="130"/>
      <c r="V306" s="202">
        <f t="shared" si="4"/>
        <v>0</v>
      </c>
      <c r="W306" s="211"/>
      <c r="X306" s="130">
        <v>23</v>
      </c>
      <c r="Y306" s="130">
        <v>0</v>
      </c>
    </row>
    <row r="307" spans="1:25" x14ac:dyDescent="0.25">
      <c r="A307" s="130">
        <v>545550</v>
      </c>
      <c r="B307" s="130" t="s">
        <v>339</v>
      </c>
      <c r="C307" s="130" t="s">
        <v>107</v>
      </c>
      <c r="D307" s="130" t="s">
        <v>115</v>
      </c>
      <c r="E307" s="130">
        <v>9</v>
      </c>
      <c r="F307" s="207"/>
      <c r="G307" s="130">
        <v>0</v>
      </c>
      <c r="H307" s="130">
        <v>0</v>
      </c>
      <c r="I307" s="130">
        <v>0</v>
      </c>
      <c r="J307" s="130">
        <v>0</v>
      </c>
      <c r="K307" s="130">
        <v>0</v>
      </c>
      <c r="L307" s="130">
        <v>0</v>
      </c>
      <c r="M307" s="130">
        <v>0</v>
      </c>
      <c r="N307" s="211"/>
      <c r="O307" s="130" t="s">
        <v>488</v>
      </c>
      <c r="P307" s="130" t="s">
        <v>488</v>
      </c>
      <c r="Q307" s="130">
        <v>0</v>
      </c>
      <c r="R307" s="130">
        <v>0</v>
      </c>
      <c r="S307" s="130">
        <v>0</v>
      </c>
      <c r="T307" s="130">
        <v>0</v>
      </c>
      <c r="U307" s="130"/>
      <c r="V307" s="202">
        <f t="shared" si="4"/>
        <v>0</v>
      </c>
      <c r="W307" s="211"/>
      <c r="X307" s="130">
        <v>0</v>
      </c>
      <c r="Y307" s="130">
        <v>0</v>
      </c>
    </row>
    <row r="308" spans="1:25" x14ac:dyDescent="0.25">
      <c r="A308" s="130"/>
      <c r="B308" s="130"/>
      <c r="C308" s="130" t="s">
        <v>107</v>
      </c>
      <c r="D308" s="130"/>
      <c r="E308" s="130"/>
      <c r="F308" s="207"/>
      <c r="G308" s="130">
        <v>147</v>
      </c>
      <c r="H308" s="130">
        <v>425</v>
      </c>
      <c r="I308" s="130">
        <v>16</v>
      </c>
      <c r="J308" s="130">
        <v>0</v>
      </c>
      <c r="K308" s="130">
        <v>0</v>
      </c>
      <c r="L308" s="130">
        <v>441</v>
      </c>
      <c r="M308" s="130">
        <v>588</v>
      </c>
      <c r="N308" s="211"/>
      <c r="O308" s="130" t="s">
        <v>488</v>
      </c>
      <c r="P308" s="130" t="s">
        <v>488</v>
      </c>
      <c r="Q308" s="130">
        <v>107</v>
      </c>
      <c r="R308" s="130">
        <v>51</v>
      </c>
      <c r="S308" s="130">
        <v>431</v>
      </c>
      <c r="T308" s="130">
        <v>4</v>
      </c>
      <c r="U308" s="130"/>
      <c r="V308" s="202">
        <f t="shared" si="4"/>
        <v>55</v>
      </c>
      <c r="W308" s="211"/>
      <c r="X308" s="130">
        <v>168</v>
      </c>
      <c r="Y308" s="130">
        <v>0</v>
      </c>
    </row>
    <row r="309" spans="1:25" x14ac:dyDescent="0.25">
      <c r="A309" s="128">
        <v>540283</v>
      </c>
      <c r="B309" s="128" t="s">
        <v>108</v>
      </c>
      <c r="C309" s="128" t="s">
        <v>109</v>
      </c>
      <c r="D309" s="128" t="s">
        <v>5</v>
      </c>
      <c r="E309" s="128">
        <v>4</v>
      </c>
      <c r="F309" s="206"/>
      <c r="G309" s="128">
        <v>209</v>
      </c>
      <c r="H309" s="128">
        <v>125</v>
      </c>
      <c r="I309" s="128">
        <v>42</v>
      </c>
      <c r="J309" s="128">
        <v>0</v>
      </c>
      <c r="K309" s="128">
        <v>0</v>
      </c>
      <c r="L309" s="128">
        <v>167</v>
      </c>
      <c r="M309" s="128">
        <v>376</v>
      </c>
      <c r="N309" s="210"/>
      <c r="O309" s="128" t="s">
        <v>488</v>
      </c>
      <c r="P309" s="128" t="s">
        <v>488</v>
      </c>
      <c r="Q309" s="128" t="s">
        <v>488</v>
      </c>
      <c r="R309" s="128" t="s">
        <v>488</v>
      </c>
      <c r="S309" s="128" t="s">
        <v>488</v>
      </c>
      <c r="T309" s="128" t="s">
        <v>488</v>
      </c>
      <c r="U309" s="128"/>
      <c r="V309" s="202">
        <f t="shared" si="4"/>
        <v>0</v>
      </c>
      <c r="W309" s="210"/>
      <c r="X309" s="128">
        <v>50</v>
      </c>
      <c r="Y309" s="128">
        <v>0</v>
      </c>
    </row>
    <row r="310" spans="1:25" x14ac:dyDescent="0.25">
      <c r="A310" s="130">
        <v>540158</v>
      </c>
      <c r="B310" s="130" t="s">
        <v>233</v>
      </c>
      <c r="C310" s="130" t="s">
        <v>109</v>
      </c>
      <c r="D310" s="130" t="s">
        <v>115</v>
      </c>
      <c r="E310" s="130">
        <v>4</v>
      </c>
      <c r="F310" s="207"/>
      <c r="G310" s="130">
        <v>0</v>
      </c>
      <c r="H310" s="130">
        <v>3</v>
      </c>
      <c r="I310" s="130">
        <v>1</v>
      </c>
      <c r="J310" s="130">
        <v>0</v>
      </c>
      <c r="K310" s="130">
        <v>0</v>
      </c>
      <c r="L310" s="130">
        <v>4</v>
      </c>
      <c r="M310" s="130">
        <v>4</v>
      </c>
      <c r="N310" s="211"/>
      <c r="O310" s="130" t="s">
        <v>488</v>
      </c>
      <c r="P310" s="130" t="s">
        <v>488</v>
      </c>
      <c r="Q310" s="130" t="s">
        <v>488</v>
      </c>
      <c r="R310" s="130" t="s">
        <v>488</v>
      </c>
      <c r="S310" s="130" t="s">
        <v>488</v>
      </c>
      <c r="T310" s="130" t="s">
        <v>488</v>
      </c>
      <c r="U310" s="130"/>
      <c r="V310" s="202">
        <f t="shared" si="4"/>
        <v>0</v>
      </c>
      <c r="W310" s="211"/>
      <c r="X310" s="130">
        <v>3</v>
      </c>
      <c r="Y310" s="130">
        <v>0</v>
      </c>
    </row>
    <row r="311" spans="1:25" x14ac:dyDescent="0.25">
      <c r="A311" s="130">
        <v>540159</v>
      </c>
      <c r="B311" s="130" t="s">
        <v>234</v>
      </c>
      <c r="C311" s="130" t="s">
        <v>109</v>
      </c>
      <c r="D311" s="130" t="s">
        <v>115</v>
      </c>
      <c r="E311" s="130">
        <v>4</v>
      </c>
      <c r="F311" s="207"/>
      <c r="G311" s="130">
        <v>64</v>
      </c>
      <c r="H311" s="130">
        <v>375</v>
      </c>
      <c r="I311" s="130">
        <v>10</v>
      </c>
      <c r="J311" s="130">
        <v>0</v>
      </c>
      <c r="K311" s="130">
        <v>0</v>
      </c>
      <c r="L311" s="130">
        <v>385</v>
      </c>
      <c r="M311" s="130">
        <v>449</v>
      </c>
      <c r="N311" s="211"/>
      <c r="O311" s="130" t="s">
        <v>488</v>
      </c>
      <c r="P311" s="130" t="s">
        <v>488</v>
      </c>
      <c r="Q311" s="130" t="s">
        <v>488</v>
      </c>
      <c r="R311" s="130" t="s">
        <v>488</v>
      </c>
      <c r="S311" s="130" t="s">
        <v>488</v>
      </c>
      <c r="T311" s="130" t="s">
        <v>488</v>
      </c>
      <c r="U311" s="130"/>
      <c r="V311" s="202">
        <f t="shared" si="4"/>
        <v>0</v>
      </c>
      <c r="W311" s="211"/>
      <c r="X311" s="130">
        <v>58</v>
      </c>
      <c r="Y311" s="130">
        <v>0</v>
      </c>
    </row>
    <row r="312" spans="1:25" x14ac:dyDescent="0.25">
      <c r="A312" s="130">
        <v>540288</v>
      </c>
      <c r="B312" s="130" t="s">
        <v>340</v>
      </c>
      <c r="C312" s="130" t="s">
        <v>109</v>
      </c>
      <c r="D312" s="130" t="s">
        <v>115</v>
      </c>
      <c r="E312" s="130">
        <v>4</v>
      </c>
      <c r="F312" s="207"/>
      <c r="G312" s="130">
        <v>0</v>
      </c>
      <c r="H312" s="130">
        <v>0</v>
      </c>
      <c r="I312" s="130">
        <v>0</v>
      </c>
      <c r="J312" s="130">
        <v>0</v>
      </c>
      <c r="K312" s="130">
        <v>0</v>
      </c>
      <c r="L312" s="130">
        <v>0</v>
      </c>
      <c r="M312" s="130">
        <v>0</v>
      </c>
      <c r="N312" s="211"/>
      <c r="O312" s="130" t="s">
        <v>488</v>
      </c>
      <c r="P312" s="130" t="s">
        <v>488</v>
      </c>
      <c r="Q312" s="130" t="s">
        <v>488</v>
      </c>
      <c r="R312" s="130" t="s">
        <v>488</v>
      </c>
      <c r="S312" s="130" t="s">
        <v>488</v>
      </c>
      <c r="T312" s="130" t="s">
        <v>488</v>
      </c>
      <c r="U312" s="130"/>
      <c r="V312" s="202">
        <f t="shared" si="4"/>
        <v>0</v>
      </c>
      <c r="W312" s="211"/>
      <c r="X312" s="130">
        <v>0</v>
      </c>
      <c r="Y312" s="130">
        <v>0</v>
      </c>
    </row>
    <row r="313" spans="1:25" x14ac:dyDescent="0.25">
      <c r="A313" s="130"/>
      <c r="B313" s="130"/>
      <c r="C313" s="130" t="s">
        <v>109</v>
      </c>
      <c r="D313" s="130"/>
      <c r="E313" s="130"/>
      <c r="F313" s="207"/>
      <c r="G313" s="130">
        <v>273</v>
      </c>
      <c r="H313" s="130">
        <v>503</v>
      </c>
      <c r="I313" s="130">
        <v>53</v>
      </c>
      <c r="J313" s="130">
        <v>0</v>
      </c>
      <c r="K313" s="130">
        <v>0</v>
      </c>
      <c r="L313" s="130">
        <v>556</v>
      </c>
      <c r="M313" s="130">
        <v>829</v>
      </c>
      <c r="N313" s="211"/>
      <c r="O313" s="130" t="s">
        <v>488</v>
      </c>
      <c r="P313" s="130" t="s">
        <v>488</v>
      </c>
      <c r="Q313" s="130" t="s">
        <v>488</v>
      </c>
      <c r="R313" s="130" t="s">
        <v>488</v>
      </c>
      <c r="S313" s="130" t="s">
        <v>488</v>
      </c>
      <c r="T313" s="130" t="s">
        <v>488</v>
      </c>
      <c r="U313" s="130"/>
      <c r="V313" s="202">
        <f t="shared" si="4"/>
        <v>0</v>
      </c>
      <c r="W313" s="211"/>
      <c r="X313" s="130">
        <v>111</v>
      </c>
      <c r="Y313" s="130">
        <v>0</v>
      </c>
    </row>
    <row r="314" spans="1:25" x14ac:dyDescent="0.25">
      <c r="A314" s="128">
        <v>545536</v>
      </c>
      <c r="B314" s="128" t="s">
        <v>110</v>
      </c>
      <c r="C314" s="128" t="s">
        <v>111</v>
      </c>
      <c r="D314" s="128" t="s">
        <v>5</v>
      </c>
      <c r="E314" s="128">
        <v>2</v>
      </c>
      <c r="F314" s="206"/>
      <c r="G314" s="128">
        <v>1223</v>
      </c>
      <c r="H314" s="128">
        <v>3359</v>
      </c>
      <c r="I314" s="128">
        <v>1124</v>
      </c>
      <c r="J314" s="128">
        <v>0</v>
      </c>
      <c r="K314" s="128">
        <v>0</v>
      </c>
      <c r="L314" s="128">
        <v>4483</v>
      </c>
      <c r="M314" s="128">
        <v>5706</v>
      </c>
      <c r="N314" s="210"/>
      <c r="O314" s="128" t="s">
        <v>488</v>
      </c>
      <c r="P314" s="128" t="s">
        <v>488</v>
      </c>
      <c r="Q314" s="128">
        <v>575</v>
      </c>
      <c r="R314" s="128">
        <v>707</v>
      </c>
      <c r="S314" s="128" t="s">
        <v>488</v>
      </c>
      <c r="T314" s="128" t="s">
        <v>488</v>
      </c>
      <c r="U314" s="128"/>
      <c r="V314" s="202">
        <f t="shared" si="4"/>
        <v>707</v>
      </c>
      <c r="W314" s="210"/>
      <c r="X314" s="128">
        <v>789</v>
      </c>
      <c r="Y314" s="128">
        <v>0</v>
      </c>
    </row>
    <row r="315" spans="1:25" x14ac:dyDescent="0.25">
      <c r="A315" s="130">
        <v>540092</v>
      </c>
      <c r="B315" s="130" t="s">
        <v>183</v>
      </c>
      <c r="C315" s="130" t="s">
        <v>111</v>
      </c>
      <c r="D315" s="130" t="s">
        <v>115</v>
      </c>
      <c r="E315" s="130">
        <v>2</v>
      </c>
      <c r="F315" s="207"/>
      <c r="G315" s="130">
        <v>1</v>
      </c>
      <c r="H315" s="130">
        <v>44</v>
      </c>
      <c r="I315" s="130">
        <v>0</v>
      </c>
      <c r="J315" s="130">
        <v>0</v>
      </c>
      <c r="K315" s="130">
        <v>0</v>
      </c>
      <c r="L315" s="130">
        <v>44</v>
      </c>
      <c r="M315" s="130">
        <v>45</v>
      </c>
      <c r="N315" s="211"/>
      <c r="O315" s="130" t="s">
        <v>488</v>
      </c>
      <c r="P315" s="130" t="s">
        <v>488</v>
      </c>
      <c r="Q315" s="130">
        <v>1</v>
      </c>
      <c r="R315" s="130">
        <v>0</v>
      </c>
      <c r="S315" s="130" t="s">
        <v>488</v>
      </c>
      <c r="T315" s="130" t="s">
        <v>488</v>
      </c>
      <c r="U315" s="130"/>
      <c r="V315" s="202">
        <f t="shared" si="4"/>
        <v>0</v>
      </c>
      <c r="W315" s="211"/>
      <c r="X315" s="130">
        <v>153</v>
      </c>
      <c r="Y315" s="130">
        <v>0</v>
      </c>
    </row>
    <row r="316" spans="1:25" x14ac:dyDescent="0.25">
      <c r="A316" s="130">
        <v>540095</v>
      </c>
      <c r="B316" s="130" t="s">
        <v>186</v>
      </c>
      <c r="C316" s="130" t="s">
        <v>111</v>
      </c>
      <c r="D316" s="130" t="s">
        <v>115</v>
      </c>
      <c r="E316" s="130">
        <v>2</v>
      </c>
      <c r="F316" s="207"/>
      <c r="G316" s="130">
        <v>0</v>
      </c>
      <c r="H316" s="130">
        <v>31</v>
      </c>
      <c r="I316" s="130">
        <v>0</v>
      </c>
      <c r="J316" s="130">
        <v>0</v>
      </c>
      <c r="K316" s="130">
        <v>0</v>
      </c>
      <c r="L316" s="130">
        <v>31</v>
      </c>
      <c r="M316" s="130">
        <v>31</v>
      </c>
      <c r="N316" s="211"/>
      <c r="O316" s="130" t="s">
        <v>488</v>
      </c>
      <c r="P316" s="130" t="s">
        <v>488</v>
      </c>
      <c r="Q316" s="130">
        <v>0</v>
      </c>
      <c r="R316" s="130">
        <v>0</v>
      </c>
      <c r="S316" s="130" t="s">
        <v>488</v>
      </c>
      <c r="T316" s="130" t="s">
        <v>488</v>
      </c>
      <c r="U316" s="130"/>
      <c r="V316" s="202">
        <f t="shared" si="4"/>
        <v>0</v>
      </c>
      <c r="W316" s="211"/>
      <c r="X316" s="130">
        <v>20</v>
      </c>
      <c r="Y316" s="130">
        <v>0</v>
      </c>
    </row>
    <row r="317" spans="1:25" x14ac:dyDescent="0.25">
      <c r="A317" s="130">
        <v>545535</v>
      </c>
      <c r="B317" s="130" t="s">
        <v>332</v>
      </c>
      <c r="C317" s="130" t="s">
        <v>111</v>
      </c>
      <c r="D317" s="130" t="s">
        <v>115</v>
      </c>
      <c r="E317" s="130">
        <v>2</v>
      </c>
      <c r="F317" s="207"/>
      <c r="G317" s="130">
        <v>0</v>
      </c>
      <c r="H317" s="130">
        <v>7</v>
      </c>
      <c r="I317" s="130">
        <v>0</v>
      </c>
      <c r="J317" s="130">
        <v>0</v>
      </c>
      <c r="K317" s="130">
        <v>0</v>
      </c>
      <c r="L317" s="130">
        <v>7</v>
      </c>
      <c r="M317" s="130">
        <v>7</v>
      </c>
      <c r="N317" s="211"/>
      <c r="O317" s="130" t="s">
        <v>488</v>
      </c>
      <c r="P317" s="130" t="s">
        <v>488</v>
      </c>
      <c r="Q317" s="130">
        <v>0</v>
      </c>
      <c r="R317" s="130">
        <v>0</v>
      </c>
      <c r="S317" s="130" t="s">
        <v>488</v>
      </c>
      <c r="T317" s="130" t="s">
        <v>488</v>
      </c>
      <c r="U317" s="130"/>
      <c r="V317" s="202">
        <f t="shared" si="4"/>
        <v>0</v>
      </c>
      <c r="W317" s="211"/>
      <c r="X317" s="130">
        <v>57</v>
      </c>
      <c r="Y317" s="130">
        <v>0</v>
      </c>
    </row>
    <row r="318" spans="1:25" x14ac:dyDescent="0.25">
      <c r="A318" s="130">
        <v>545537</v>
      </c>
      <c r="B318" s="130" t="s">
        <v>333</v>
      </c>
      <c r="C318" s="130" t="s">
        <v>111</v>
      </c>
      <c r="D318" s="130" t="s">
        <v>115</v>
      </c>
      <c r="E318" s="130">
        <v>2</v>
      </c>
      <c r="F318" s="207"/>
      <c r="G318" s="130">
        <v>0</v>
      </c>
      <c r="H318" s="130">
        <v>154</v>
      </c>
      <c r="I318" s="130">
        <v>0</v>
      </c>
      <c r="J318" s="130">
        <v>0</v>
      </c>
      <c r="K318" s="130">
        <v>0</v>
      </c>
      <c r="L318" s="130">
        <v>154</v>
      </c>
      <c r="M318" s="130">
        <v>154</v>
      </c>
      <c r="N318" s="211"/>
      <c r="O318" s="130" t="s">
        <v>488</v>
      </c>
      <c r="P318" s="130" t="s">
        <v>488</v>
      </c>
      <c r="Q318" s="130">
        <v>0</v>
      </c>
      <c r="R318" s="130">
        <v>0</v>
      </c>
      <c r="S318" s="130" t="s">
        <v>488</v>
      </c>
      <c r="T318" s="130" t="s">
        <v>488</v>
      </c>
      <c r="U318" s="130"/>
      <c r="V318" s="202">
        <f t="shared" si="4"/>
        <v>0</v>
      </c>
      <c r="W318" s="211"/>
      <c r="X318" s="130">
        <v>140</v>
      </c>
      <c r="Y318" s="130">
        <v>0</v>
      </c>
    </row>
    <row r="319" spans="1:25" x14ac:dyDescent="0.25">
      <c r="A319" s="130">
        <v>545539</v>
      </c>
      <c r="B319" s="130" t="s">
        <v>335</v>
      </c>
      <c r="C319" s="130" t="s">
        <v>111</v>
      </c>
      <c r="D319" s="130" t="s">
        <v>115</v>
      </c>
      <c r="E319" s="130">
        <v>2</v>
      </c>
      <c r="F319" s="207"/>
      <c r="G319" s="130">
        <v>0</v>
      </c>
      <c r="H319" s="130">
        <v>4</v>
      </c>
      <c r="I319" s="130">
        <v>0</v>
      </c>
      <c r="J319" s="130">
        <v>0</v>
      </c>
      <c r="K319" s="130">
        <v>0</v>
      </c>
      <c r="L319" s="130">
        <v>4</v>
      </c>
      <c r="M319" s="130">
        <v>4</v>
      </c>
      <c r="N319" s="211"/>
      <c r="O319" s="130" t="s">
        <v>488</v>
      </c>
      <c r="P319" s="130" t="s">
        <v>488</v>
      </c>
      <c r="Q319" s="130">
        <v>0</v>
      </c>
      <c r="R319" s="130">
        <v>0</v>
      </c>
      <c r="S319" s="130" t="s">
        <v>488</v>
      </c>
      <c r="T319" s="130" t="s">
        <v>488</v>
      </c>
      <c r="U319" s="130"/>
      <c r="V319" s="202">
        <f t="shared" si="4"/>
        <v>0</v>
      </c>
      <c r="W319" s="211"/>
      <c r="X319" s="130">
        <v>38</v>
      </c>
      <c r="Y319" s="130">
        <v>0</v>
      </c>
    </row>
    <row r="320" spans="1:25" x14ac:dyDescent="0.25">
      <c r="A320" s="130"/>
      <c r="B320" s="130"/>
      <c r="C320" s="130" t="s">
        <v>111</v>
      </c>
      <c r="D320" s="130"/>
      <c r="E320" s="130"/>
      <c r="F320" s="207"/>
      <c r="G320" s="130">
        <v>1224</v>
      </c>
      <c r="H320" s="130">
        <v>3599</v>
      </c>
      <c r="I320" s="130">
        <v>1124</v>
      </c>
      <c r="J320" s="130">
        <v>0</v>
      </c>
      <c r="K320" s="130">
        <v>0</v>
      </c>
      <c r="L320" s="130">
        <v>4723</v>
      </c>
      <c r="M320" s="130">
        <v>5947</v>
      </c>
      <c r="N320" s="211"/>
      <c r="O320" s="130" t="s">
        <v>488</v>
      </c>
      <c r="P320" s="130" t="s">
        <v>488</v>
      </c>
      <c r="Q320" s="130">
        <v>576</v>
      </c>
      <c r="R320" s="130">
        <v>707</v>
      </c>
      <c r="S320" s="130" t="s">
        <v>488</v>
      </c>
      <c r="T320" s="130" t="s">
        <v>488</v>
      </c>
      <c r="U320" s="130"/>
      <c r="V320" s="202">
        <f t="shared" si="4"/>
        <v>707</v>
      </c>
      <c r="W320" s="211"/>
      <c r="X320" s="130">
        <v>1197</v>
      </c>
      <c r="Y320" s="130">
        <v>0</v>
      </c>
    </row>
    <row r="321" spans="1:25" x14ac:dyDescent="0.25">
      <c r="A321" s="128">
        <v>540191</v>
      </c>
      <c r="B321" s="128" t="s">
        <v>112</v>
      </c>
      <c r="C321" s="128" t="s">
        <v>113</v>
      </c>
      <c r="D321" s="128" t="s">
        <v>5</v>
      </c>
      <c r="E321" s="128">
        <v>7</v>
      </c>
      <c r="F321" s="206"/>
      <c r="G321" s="128">
        <v>156</v>
      </c>
      <c r="H321" s="128">
        <v>237</v>
      </c>
      <c r="I321" s="128">
        <v>73</v>
      </c>
      <c r="J321" s="128">
        <v>0</v>
      </c>
      <c r="K321" s="128">
        <v>0</v>
      </c>
      <c r="L321" s="128">
        <v>310</v>
      </c>
      <c r="M321" s="128">
        <v>466</v>
      </c>
      <c r="N321" s="210"/>
      <c r="O321" s="128" t="s">
        <v>488</v>
      </c>
      <c r="P321" s="128" t="s">
        <v>488</v>
      </c>
      <c r="Q321" s="128">
        <v>58</v>
      </c>
      <c r="R321" s="128">
        <v>114</v>
      </c>
      <c r="S321" s="128" t="s">
        <v>488</v>
      </c>
      <c r="T321" s="128" t="s">
        <v>488</v>
      </c>
      <c r="U321" s="128"/>
      <c r="V321" s="202">
        <f t="shared" si="4"/>
        <v>114</v>
      </c>
      <c r="W321" s="210"/>
      <c r="X321" s="128">
        <v>40</v>
      </c>
      <c r="Y321" s="128">
        <v>0</v>
      </c>
    </row>
    <row r="322" spans="1:25" x14ac:dyDescent="0.25">
      <c r="A322" s="130">
        <v>540193</v>
      </c>
      <c r="B322" s="130" t="s">
        <v>342</v>
      </c>
      <c r="C322" s="130" t="s">
        <v>113</v>
      </c>
      <c r="D322" s="130" t="s">
        <v>115</v>
      </c>
      <c r="E322" s="130">
        <v>7</v>
      </c>
      <c r="F322" s="207"/>
      <c r="G322" s="130">
        <v>0</v>
      </c>
      <c r="H322" s="130">
        <v>17</v>
      </c>
      <c r="I322" s="130">
        <v>0</v>
      </c>
      <c r="J322" s="130">
        <v>0</v>
      </c>
      <c r="K322" s="130">
        <v>0</v>
      </c>
      <c r="L322" s="130">
        <v>17</v>
      </c>
      <c r="M322" s="130">
        <v>17</v>
      </c>
      <c r="N322" s="211"/>
      <c r="O322" s="130" t="s">
        <v>488</v>
      </c>
      <c r="P322" s="130" t="s">
        <v>488</v>
      </c>
      <c r="Q322" s="130">
        <v>0</v>
      </c>
      <c r="R322" s="130">
        <v>3</v>
      </c>
      <c r="S322" s="130" t="s">
        <v>488</v>
      </c>
      <c r="T322" s="130" t="s">
        <v>488</v>
      </c>
      <c r="U322" s="130"/>
      <c r="V322" s="202">
        <f t="shared" si="4"/>
        <v>3</v>
      </c>
      <c r="W322" s="211"/>
      <c r="X322" s="130">
        <v>37</v>
      </c>
      <c r="Y322" s="130">
        <v>0</v>
      </c>
    </row>
    <row r="323" spans="1:25" x14ac:dyDescent="0.25">
      <c r="A323" s="130">
        <v>540192</v>
      </c>
      <c r="B323" s="130" t="s">
        <v>343</v>
      </c>
      <c r="C323" s="130" t="s">
        <v>113</v>
      </c>
      <c r="D323" s="130" t="s">
        <v>115</v>
      </c>
      <c r="E323" s="130">
        <v>7</v>
      </c>
      <c r="F323" s="207"/>
      <c r="G323" s="130">
        <v>0</v>
      </c>
      <c r="H323" s="130">
        <v>14</v>
      </c>
      <c r="I323" s="130">
        <v>0</v>
      </c>
      <c r="J323" s="130">
        <v>0</v>
      </c>
      <c r="K323" s="130">
        <v>0</v>
      </c>
      <c r="L323" s="130">
        <v>14</v>
      </c>
      <c r="M323" s="130">
        <v>14</v>
      </c>
      <c r="N323" s="211"/>
      <c r="O323" s="130" t="s">
        <v>488</v>
      </c>
      <c r="P323" s="130" t="s">
        <v>488</v>
      </c>
      <c r="Q323" s="130">
        <v>0</v>
      </c>
      <c r="R323" s="130">
        <v>0</v>
      </c>
      <c r="S323" s="130" t="s">
        <v>488</v>
      </c>
      <c r="T323" s="130" t="s">
        <v>488</v>
      </c>
      <c r="U323" s="130"/>
      <c r="V323" s="202">
        <f t="shared" si="4"/>
        <v>0</v>
      </c>
      <c r="W323" s="211"/>
      <c r="X323" s="130">
        <v>7</v>
      </c>
      <c r="Y323" s="130">
        <v>0</v>
      </c>
    </row>
    <row r="324" spans="1:25" x14ac:dyDescent="0.25">
      <c r="A324" s="130">
        <v>540194</v>
      </c>
      <c r="B324" s="130" t="s">
        <v>344</v>
      </c>
      <c r="C324" s="130" t="s">
        <v>113</v>
      </c>
      <c r="D324" s="130" t="s">
        <v>115</v>
      </c>
      <c r="E324" s="130">
        <v>7</v>
      </c>
      <c r="F324" s="207"/>
      <c r="G324" s="130">
        <v>0</v>
      </c>
      <c r="H324" s="130">
        <v>265</v>
      </c>
      <c r="I324" s="130">
        <v>91</v>
      </c>
      <c r="J324" s="130">
        <v>0</v>
      </c>
      <c r="K324" s="130">
        <v>0</v>
      </c>
      <c r="L324" s="130">
        <v>356</v>
      </c>
      <c r="M324" s="130">
        <v>356</v>
      </c>
      <c r="N324" s="211"/>
      <c r="O324" s="130" t="s">
        <v>488</v>
      </c>
      <c r="P324" s="130" t="s">
        <v>488</v>
      </c>
      <c r="Q324" s="130">
        <v>0</v>
      </c>
      <c r="R324" s="130">
        <v>0</v>
      </c>
      <c r="S324" s="130" t="s">
        <v>488</v>
      </c>
      <c r="T324" s="130" t="s">
        <v>488</v>
      </c>
      <c r="U324" s="130"/>
      <c r="V324" s="202">
        <f t="shared" si="4"/>
        <v>0</v>
      </c>
      <c r="W324" s="211"/>
      <c r="X324" s="130">
        <v>32</v>
      </c>
      <c r="Y324" s="130">
        <v>0</v>
      </c>
    </row>
    <row r="325" spans="1:25" x14ac:dyDescent="0.25">
      <c r="A325" s="130">
        <v>540261</v>
      </c>
      <c r="B325" s="130" t="s">
        <v>345</v>
      </c>
      <c r="C325" s="130" t="s">
        <v>113</v>
      </c>
      <c r="D325" s="130" t="s">
        <v>115</v>
      </c>
      <c r="E325" s="130">
        <v>7</v>
      </c>
      <c r="F325" s="207"/>
      <c r="G325" s="130">
        <v>0</v>
      </c>
      <c r="H325" s="130">
        <v>0</v>
      </c>
      <c r="I325" s="130">
        <v>0</v>
      </c>
      <c r="J325" s="130">
        <v>0</v>
      </c>
      <c r="K325" s="130">
        <v>0</v>
      </c>
      <c r="L325" s="130">
        <v>0</v>
      </c>
      <c r="M325" s="130">
        <v>0</v>
      </c>
      <c r="N325" s="211"/>
      <c r="O325" s="130" t="s">
        <v>488</v>
      </c>
      <c r="P325" s="130" t="s">
        <v>488</v>
      </c>
      <c r="Q325" s="130">
        <v>0</v>
      </c>
      <c r="R325" s="130">
        <v>0</v>
      </c>
      <c r="S325" s="130" t="s">
        <v>488</v>
      </c>
      <c r="T325" s="130" t="s">
        <v>488</v>
      </c>
      <c r="U325" s="130"/>
      <c r="V325" s="202">
        <f t="shared" ref="V325:V362" si="5" xml:space="preserve"> SUM(P325, R325, T325)</f>
        <v>0</v>
      </c>
      <c r="W325" s="211"/>
      <c r="X325" s="130">
        <v>0</v>
      </c>
      <c r="Y325" s="130">
        <v>0</v>
      </c>
    </row>
    <row r="326" spans="1:25" x14ac:dyDescent="0.25">
      <c r="A326" s="130">
        <v>540260</v>
      </c>
      <c r="B326" s="130" t="s">
        <v>346</v>
      </c>
      <c r="C326" s="130" t="s">
        <v>113</v>
      </c>
      <c r="D326" s="130" t="s">
        <v>115</v>
      </c>
      <c r="E326" s="130">
        <v>7</v>
      </c>
      <c r="F326" s="207"/>
      <c r="G326" s="130">
        <v>0</v>
      </c>
      <c r="H326" s="130">
        <v>1</v>
      </c>
      <c r="I326" s="130">
        <v>0</v>
      </c>
      <c r="J326" s="130">
        <v>0</v>
      </c>
      <c r="K326" s="130">
        <v>0</v>
      </c>
      <c r="L326" s="130">
        <v>1</v>
      </c>
      <c r="M326" s="130">
        <v>1</v>
      </c>
      <c r="N326" s="211"/>
      <c r="O326" s="130" t="s">
        <v>488</v>
      </c>
      <c r="P326" s="130" t="s">
        <v>488</v>
      </c>
      <c r="Q326" s="130">
        <v>0</v>
      </c>
      <c r="R326" s="130">
        <v>0</v>
      </c>
      <c r="S326" s="130" t="s">
        <v>488</v>
      </c>
      <c r="T326" s="130" t="s">
        <v>488</v>
      </c>
      <c r="U326" s="130"/>
      <c r="V326" s="202">
        <f t="shared" si="5"/>
        <v>0</v>
      </c>
      <c r="W326" s="211"/>
      <c r="X326" s="130">
        <v>5</v>
      </c>
      <c r="Y326" s="130">
        <v>0</v>
      </c>
    </row>
    <row r="327" spans="1:25" x14ac:dyDescent="0.25">
      <c r="A327" s="130"/>
      <c r="B327" s="130"/>
      <c r="C327" s="130" t="s">
        <v>113</v>
      </c>
      <c r="D327" s="130"/>
      <c r="E327" s="130"/>
      <c r="F327" s="207"/>
      <c r="G327" s="130">
        <v>156</v>
      </c>
      <c r="H327" s="130">
        <v>534</v>
      </c>
      <c r="I327" s="130">
        <v>164</v>
      </c>
      <c r="J327" s="130">
        <v>0</v>
      </c>
      <c r="K327" s="130">
        <v>0</v>
      </c>
      <c r="L327" s="130">
        <v>698</v>
      </c>
      <c r="M327" s="130">
        <v>854</v>
      </c>
      <c r="N327" s="211"/>
      <c r="O327" s="130" t="s">
        <v>488</v>
      </c>
      <c r="P327" s="130" t="s">
        <v>488</v>
      </c>
      <c r="Q327" s="130">
        <v>58</v>
      </c>
      <c r="R327" s="130">
        <v>117</v>
      </c>
      <c r="S327" s="130" t="s">
        <v>488</v>
      </c>
      <c r="T327" s="130" t="s">
        <v>488</v>
      </c>
      <c r="U327" s="130"/>
      <c r="V327" s="202">
        <f t="shared" si="5"/>
        <v>117</v>
      </c>
      <c r="W327" s="211"/>
      <c r="X327" s="130">
        <v>121</v>
      </c>
      <c r="Y327" s="130">
        <v>0</v>
      </c>
    </row>
    <row r="328" spans="1:25" x14ac:dyDescent="0.25">
      <c r="A328" s="128">
        <v>540027</v>
      </c>
      <c r="B328" s="128" t="s">
        <v>132</v>
      </c>
      <c r="C328" s="128" t="s">
        <v>20</v>
      </c>
      <c r="D328" s="128" t="s">
        <v>115</v>
      </c>
      <c r="E328" s="128">
        <v>4</v>
      </c>
      <c r="F328" s="206"/>
      <c r="G328" s="128">
        <v>1</v>
      </c>
      <c r="H328" s="128">
        <v>0</v>
      </c>
      <c r="I328" s="128">
        <v>0</v>
      </c>
      <c r="J328" s="128">
        <v>0</v>
      </c>
      <c r="K328" s="128">
        <v>0</v>
      </c>
      <c r="L328" s="128">
        <v>0</v>
      </c>
      <c r="M328" s="128">
        <v>1</v>
      </c>
      <c r="N328" s="210"/>
      <c r="O328" s="128" t="s">
        <v>488</v>
      </c>
      <c r="P328" s="128" t="s">
        <v>488</v>
      </c>
      <c r="Q328" s="128">
        <v>1</v>
      </c>
      <c r="R328" s="128">
        <v>0</v>
      </c>
      <c r="S328" s="128" t="s">
        <v>488</v>
      </c>
      <c r="T328" s="128" t="s">
        <v>488</v>
      </c>
      <c r="U328" s="128"/>
      <c r="V328" s="202">
        <f t="shared" si="5"/>
        <v>0</v>
      </c>
      <c r="W328" s="210"/>
      <c r="X328" s="128">
        <v>0</v>
      </c>
      <c r="Y328" s="128">
        <v>0</v>
      </c>
    </row>
    <row r="329" spans="1:25" x14ac:dyDescent="0.25">
      <c r="A329" s="130">
        <v>540028</v>
      </c>
      <c r="B329" s="130" t="s">
        <v>133</v>
      </c>
      <c r="C329" s="130" t="s">
        <v>20</v>
      </c>
      <c r="D329" s="130" t="s">
        <v>115</v>
      </c>
      <c r="E329" s="130">
        <v>4</v>
      </c>
      <c r="F329" s="207"/>
      <c r="G329" s="130">
        <v>0</v>
      </c>
      <c r="H329" s="130">
        <v>18</v>
      </c>
      <c r="I329" s="130">
        <v>0</v>
      </c>
      <c r="J329" s="130">
        <v>0</v>
      </c>
      <c r="K329" s="130">
        <v>0</v>
      </c>
      <c r="L329" s="130">
        <v>18</v>
      </c>
      <c r="M329" s="130">
        <v>18</v>
      </c>
      <c r="N329" s="211"/>
      <c r="O329" s="130" t="s">
        <v>488</v>
      </c>
      <c r="P329" s="130" t="s">
        <v>488</v>
      </c>
      <c r="Q329" s="130">
        <v>0</v>
      </c>
      <c r="R329" s="130">
        <v>0</v>
      </c>
      <c r="S329" s="130" t="s">
        <v>488</v>
      </c>
      <c r="T329" s="130" t="s">
        <v>488</v>
      </c>
      <c r="U329" s="130"/>
      <c r="V329" s="202">
        <f t="shared" si="5"/>
        <v>0</v>
      </c>
      <c r="W329" s="211"/>
      <c r="X329" s="130">
        <v>0</v>
      </c>
      <c r="Y329" s="130">
        <v>0</v>
      </c>
    </row>
    <row r="330" spans="1:25" x14ac:dyDescent="0.25">
      <c r="A330" s="130">
        <v>540029</v>
      </c>
      <c r="B330" s="130" t="s">
        <v>134</v>
      </c>
      <c r="C330" s="130" t="s">
        <v>20</v>
      </c>
      <c r="D330" s="130" t="s">
        <v>115</v>
      </c>
      <c r="E330" s="130">
        <v>4</v>
      </c>
      <c r="F330" s="207"/>
      <c r="G330" s="130">
        <v>4</v>
      </c>
      <c r="H330" s="130">
        <v>8</v>
      </c>
      <c r="I330" s="130">
        <v>0</v>
      </c>
      <c r="J330" s="130">
        <v>0</v>
      </c>
      <c r="K330" s="130">
        <v>0</v>
      </c>
      <c r="L330" s="130">
        <v>8</v>
      </c>
      <c r="M330" s="130">
        <v>12</v>
      </c>
      <c r="N330" s="211"/>
      <c r="O330" s="130" t="s">
        <v>488</v>
      </c>
      <c r="P330" s="130" t="s">
        <v>488</v>
      </c>
      <c r="Q330" s="130">
        <v>2</v>
      </c>
      <c r="R330" s="130">
        <v>0</v>
      </c>
      <c r="S330" s="130" t="s">
        <v>488</v>
      </c>
      <c r="T330" s="130" t="s">
        <v>488</v>
      </c>
      <c r="U330" s="130"/>
      <c r="V330" s="202">
        <f t="shared" si="5"/>
        <v>0</v>
      </c>
      <c r="W330" s="211"/>
      <c r="X330" s="130">
        <v>0</v>
      </c>
      <c r="Y330" s="130">
        <v>0</v>
      </c>
    </row>
    <row r="331" spans="1:25" x14ac:dyDescent="0.25">
      <c r="A331" s="130">
        <v>540031</v>
      </c>
      <c r="B331" s="130" t="s">
        <v>136</v>
      </c>
      <c r="C331" s="130" t="s">
        <v>20</v>
      </c>
      <c r="D331" s="130" t="s">
        <v>115</v>
      </c>
      <c r="E331" s="130">
        <v>4</v>
      </c>
      <c r="F331" s="207"/>
      <c r="G331" s="130">
        <v>55</v>
      </c>
      <c r="H331" s="130">
        <v>0</v>
      </c>
      <c r="I331" s="130">
        <v>0</v>
      </c>
      <c r="J331" s="130">
        <v>0</v>
      </c>
      <c r="K331" s="130">
        <v>0</v>
      </c>
      <c r="L331" s="130">
        <v>0</v>
      </c>
      <c r="M331" s="130">
        <v>55</v>
      </c>
      <c r="N331" s="211"/>
      <c r="O331" s="130" t="s">
        <v>488</v>
      </c>
      <c r="P331" s="130" t="s">
        <v>488</v>
      </c>
      <c r="Q331" s="130">
        <v>41</v>
      </c>
      <c r="R331" s="130">
        <v>4</v>
      </c>
      <c r="S331" s="130" t="s">
        <v>488</v>
      </c>
      <c r="T331" s="130" t="s">
        <v>488</v>
      </c>
      <c r="U331" s="130"/>
      <c r="V331" s="202">
        <f t="shared" si="5"/>
        <v>4</v>
      </c>
      <c r="W331" s="211"/>
      <c r="X331" s="130">
        <v>0</v>
      </c>
      <c r="Y331" s="130">
        <v>0</v>
      </c>
    </row>
    <row r="332" spans="1:25" x14ac:dyDescent="0.25">
      <c r="A332" s="130">
        <v>540032</v>
      </c>
      <c r="B332" s="130" t="s">
        <v>137</v>
      </c>
      <c r="C332" s="130" t="s">
        <v>20</v>
      </c>
      <c r="D332" s="130" t="s">
        <v>115</v>
      </c>
      <c r="E332" s="130">
        <v>4</v>
      </c>
      <c r="F332" s="207"/>
      <c r="G332" s="130">
        <v>0</v>
      </c>
      <c r="H332" s="130">
        <v>38</v>
      </c>
      <c r="I332" s="130">
        <v>2</v>
      </c>
      <c r="J332" s="130">
        <v>0</v>
      </c>
      <c r="K332" s="130">
        <v>0</v>
      </c>
      <c r="L332" s="130">
        <v>40</v>
      </c>
      <c r="M332" s="130">
        <v>40</v>
      </c>
      <c r="N332" s="211"/>
      <c r="O332" s="130" t="s">
        <v>488</v>
      </c>
      <c r="P332" s="130" t="s">
        <v>488</v>
      </c>
      <c r="Q332" s="130">
        <v>0</v>
      </c>
      <c r="R332" s="130">
        <v>0</v>
      </c>
      <c r="S332" s="130" t="s">
        <v>488</v>
      </c>
      <c r="T332" s="130" t="s">
        <v>488</v>
      </c>
      <c r="U332" s="130"/>
      <c r="V332" s="202">
        <f t="shared" si="5"/>
        <v>0</v>
      </c>
      <c r="W332" s="211"/>
      <c r="X332" s="130">
        <v>0</v>
      </c>
      <c r="Y332" s="130">
        <v>0</v>
      </c>
    </row>
    <row r="333" spans="1:25" x14ac:dyDescent="0.25">
      <c r="A333" s="130">
        <v>540050</v>
      </c>
      <c r="B333" s="130" t="s">
        <v>150</v>
      </c>
      <c r="C333" s="130" t="s">
        <v>20</v>
      </c>
      <c r="D333" s="130" t="s">
        <v>115</v>
      </c>
      <c r="E333" s="130">
        <v>4</v>
      </c>
      <c r="F333" s="207"/>
      <c r="G333" s="130">
        <v>0</v>
      </c>
      <c r="H333" s="130">
        <v>0</v>
      </c>
      <c r="I333" s="130">
        <v>0</v>
      </c>
      <c r="J333" s="130">
        <v>0</v>
      </c>
      <c r="K333" s="130">
        <v>0</v>
      </c>
      <c r="L333" s="130">
        <v>0</v>
      </c>
      <c r="M333" s="130">
        <v>0</v>
      </c>
      <c r="N333" s="211"/>
      <c r="O333" s="130" t="s">
        <v>488</v>
      </c>
      <c r="P333" s="130" t="s">
        <v>488</v>
      </c>
      <c r="Q333" s="130">
        <v>0</v>
      </c>
      <c r="R333" s="130">
        <v>0</v>
      </c>
      <c r="S333" s="130" t="s">
        <v>488</v>
      </c>
      <c r="T333" s="130" t="s">
        <v>488</v>
      </c>
      <c r="U333" s="130"/>
      <c r="V333" s="202">
        <f t="shared" si="5"/>
        <v>0</v>
      </c>
      <c r="W333" s="211"/>
      <c r="X333" s="130">
        <v>0</v>
      </c>
      <c r="Y333" s="130">
        <v>0</v>
      </c>
    </row>
    <row r="334" spans="1:25" x14ac:dyDescent="0.25">
      <c r="A334" s="130">
        <v>540293</v>
      </c>
      <c r="B334" s="130" t="s">
        <v>330</v>
      </c>
      <c r="C334" s="130" t="s">
        <v>20</v>
      </c>
      <c r="D334" s="130" t="s">
        <v>115</v>
      </c>
      <c r="E334" s="130">
        <v>4</v>
      </c>
      <c r="F334" s="207"/>
      <c r="G334" s="130">
        <v>0</v>
      </c>
      <c r="H334" s="130">
        <v>0</v>
      </c>
      <c r="I334" s="130">
        <v>0</v>
      </c>
      <c r="J334" s="130">
        <v>0</v>
      </c>
      <c r="K334" s="130">
        <v>0</v>
      </c>
      <c r="L334" s="130">
        <v>0</v>
      </c>
      <c r="M334" s="130">
        <v>0</v>
      </c>
      <c r="N334" s="211"/>
      <c r="O334" s="130" t="s">
        <v>488</v>
      </c>
      <c r="P334" s="130" t="s">
        <v>488</v>
      </c>
      <c r="Q334" s="130">
        <v>0</v>
      </c>
      <c r="R334" s="130">
        <v>0</v>
      </c>
      <c r="S334" s="130" t="s">
        <v>488</v>
      </c>
      <c r="T334" s="130" t="s">
        <v>488</v>
      </c>
      <c r="U334" s="130"/>
      <c r="V334" s="202">
        <f t="shared" si="5"/>
        <v>0</v>
      </c>
      <c r="W334" s="211"/>
      <c r="X334" s="130">
        <v>0</v>
      </c>
      <c r="Y334" s="130">
        <v>0</v>
      </c>
    </row>
    <row r="335" spans="1:25" x14ac:dyDescent="0.25">
      <c r="A335" s="130">
        <v>540294</v>
      </c>
      <c r="B335" s="130" t="s">
        <v>331</v>
      </c>
      <c r="C335" s="130" t="s">
        <v>20</v>
      </c>
      <c r="D335" s="130" t="s">
        <v>115</v>
      </c>
      <c r="E335" s="130">
        <v>4</v>
      </c>
      <c r="F335" s="207"/>
      <c r="G335" s="130">
        <v>0</v>
      </c>
      <c r="H335" s="130">
        <v>20</v>
      </c>
      <c r="I335" s="130">
        <v>0</v>
      </c>
      <c r="J335" s="130">
        <v>0</v>
      </c>
      <c r="K335" s="130">
        <v>0</v>
      </c>
      <c r="L335" s="130">
        <v>20</v>
      </c>
      <c r="M335" s="130">
        <v>20</v>
      </c>
      <c r="N335" s="211"/>
      <c r="O335" s="130" t="s">
        <v>488</v>
      </c>
      <c r="P335" s="130" t="s">
        <v>488</v>
      </c>
      <c r="Q335" s="130">
        <v>0</v>
      </c>
      <c r="R335" s="130">
        <v>4</v>
      </c>
      <c r="S335" s="130" t="s">
        <v>488</v>
      </c>
      <c r="T335" s="130" t="s">
        <v>488</v>
      </c>
      <c r="U335" s="130"/>
      <c r="V335" s="202">
        <f t="shared" si="5"/>
        <v>4</v>
      </c>
      <c r="W335" s="211"/>
      <c r="X335" s="130">
        <v>0</v>
      </c>
      <c r="Y335" s="130">
        <v>0</v>
      </c>
    </row>
    <row r="336" spans="1:25" x14ac:dyDescent="0.25">
      <c r="A336" s="130">
        <v>540033</v>
      </c>
      <c r="B336" s="130" t="s">
        <v>138</v>
      </c>
      <c r="C336" s="130" t="s">
        <v>20</v>
      </c>
      <c r="D336" s="130" t="s">
        <v>115</v>
      </c>
      <c r="E336" s="130">
        <v>4</v>
      </c>
      <c r="F336" s="207"/>
      <c r="G336" s="130">
        <v>0</v>
      </c>
      <c r="H336" s="130">
        <v>48</v>
      </c>
      <c r="I336" s="130">
        <v>9</v>
      </c>
      <c r="J336" s="130">
        <v>0</v>
      </c>
      <c r="K336" s="130">
        <v>0</v>
      </c>
      <c r="L336" s="130">
        <v>57</v>
      </c>
      <c r="M336" s="130">
        <v>57</v>
      </c>
      <c r="N336" s="211"/>
      <c r="O336" s="130" t="s">
        <v>488</v>
      </c>
      <c r="P336" s="130" t="s">
        <v>488</v>
      </c>
      <c r="Q336" s="130">
        <v>0</v>
      </c>
      <c r="R336" s="130">
        <v>0</v>
      </c>
      <c r="S336" s="130" t="s">
        <v>488</v>
      </c>
      <c r="T336" s="130" t="s">
        <v>488</v>
      </c>
      <c r="U336" s="130"/>
      <c r="V336" s="202">
        <f t="shared" si="5"/>
        <v>0</v>
      </c>
      <c r="W336" s="211"/>
      <c r="X336" s="130">
        <v>1</v>
      </c>
      <c r="Y336" s="130">
        <v>0</v>
      </c>
    </row>
    <row r="337" spans="1:25" x14ac:dyDescent="0.25">
      <c r="A337" s="130">
        <v>540280</v>
      </c>
      <c r="B337" s="130" t="s">
        <v>321</v>
      </c>
      <c r="C337" s="130" t="s">
        <v>20</v>
      </c>
      <c r="D337" s="130" t="s">
        <v>115</v>
      </c>
      <c r="E337" s="130">
        <v>4</v>
      </c>
      <c r="F337" s="207"/>
      <c r="G337" s="130">
        <v>39</v>
      </c>
      <c r="H337" s="130">
        <v>0</v>
      </c>
      <c r="I337" s="130">
        <v>0</v>
      </c>
      <c r="J337" s="130">
        <v>0</v>
      </c>
      <c r="K337" s="130">
        <v>0</v>
      </c>
      <c r="L337" s="130">
        <v>0</v>
      </c>
      <c r="M337" s="130">
        <v>39</v>
      </c>
      <c r="N337" s="211"/>
      <c r="O337" s="130" t="s">
        <v>488</v>
      </c>
      <c r="P337" s="130" t="s">
        <v>488</v>
      </c>
      <c r="Q337" s="130">
        <v>13</v>
      </c>
      <c r="R337" s="130">
        <v>1</v>
      </c>
      <c r="S337" s="130" t="s">
        <v>488</v>
      </c>
      <c r="T337" s="130" t="s">
        <v>488</v>
      </c>
      <c r="U337" s="130"/>
      <c r="V337" s="202">
        <f t="shared" si="5"/>
        <v>1</v>
      </c>
      <c r="W337" s="211"/>
      <c r="X337" s="130">
        <v>0</v>
      </c>
      <c r="Y337" s="130">
        <v>0</v>
      </c>
    </row>
    <row r="338" spans="1:25" x14ac:dyDescent="0.25">
      <c r="A338" s="128">
        <v>540026</v>
      </c>
      <c r="B338" s="128" t="s">
        <v>20</v>
      </c>
      <c r="C338" s="128" t="s">
        <v>20</v>
      </c>
      <c r="D338" s="128" t="s">
        <v>5</v>
      </c>
      <c r="E338" s="128">
        <v>4</v>
      </c>
      <c r="F338" s="206"/>
      <c r="G338" s="128">
        <v>657</v>
      </c>
      <c r="H338" s="128">
        <v>277</v>
      </c>
      <c r="I338" s="128">
        <v>18</v>
      </c>
      <c r="J338" s="128">
        <v>0</v>
      </c>
      <c r="K338" s="128">
        <v>0</v>
      </c>
      <c r="L338" s="128">
        <v>295</v>
      </c>
      <c r="M338" s="128">
        <v>952</v>
      </c>
      <c r="N338" s="210"/>
      <c r="O338" s="128" t="s">
        <v>488</v>
      </c>
      <c r="P338" s="128" t="s">
        <v>488</v>
      </c>
      <c r="Q338" s="128">
        <v>304</v>
      </c>
      <c r="R338" s="128">
        <v>528</v>
      </c>
      <c r="S338" s="128" t="s">
        <v>488</v>
      </c>
      <c r="T338" s="128" t="s">
        <v>488</v>
      </c>
      <c r="U338" s="128"/>
      <c r="V338" s="202">
        <f t="shared" si="5"/>
        <v>528</v>
      </c>
      <c r="W338" s="210"/>
      <c r="X338" s="128">
        <v>1</v>
      </c>
      <c r="Y338" s="128">
        <v>0</v>
      </c>
    </row>
    <row r="339" spans="1:25" x14ac:dyDescent="0.25">
      <c r="A339" s="130"/>
      <c r="B339" s="130"/>
      <c r="C339" s="130" t="s">
        <v>20</v>
      </c>
      <c r="D339" s="130"/>
      <c r="E339" s="130"/>
      <c r="F339" s="207"/>
      <c r="G339" s="130">
        <v>756</v>
      </c>
      <c r="H339" s="130">
        <v>409</v>
      </c>
      <c r="I339" s="130">
        <v>29</v>
      </c>
      <c r="J339" s="130">
        <v>0</v>
      </c>
      <c r="K339" s="130">
        <v>0</v>
      </c>
      <c r="L339" s="130">
        <v>438</v>
      </c>
      <c r="M339" s="130">
        <v>1194</v>
      </c>
      <c r="N339" s="211"/>
      <c r="O339" s="130" t="s">
        <v>488</v>
      </c>
      <c r="P339" s="130" t="s">
        <v>488</v>
      </c>
      <c r="Q339" s="130">
        <v>361</v>
      </c>
      <c r="R339" s="130">
        <v>537</v>
      </c>
      <c r="S339" s="130" t="s">
        <v>488</v>
      </c>
      <c r="T339" s="130" t="s">
        <v>488</v>
      </c>
      <c r="U339" s="130"/>
      <c r="V339" s="202">
        <f t="shared" si="5"/>
        <v>537</v>
      </c>
      <c r="W339" s="211"/>
      <c r="X339" s="130">
        <v>2</v>
      </c>
      <c r="Y339" s="130">
        <v>0</v>
      </c>
    </row>
    <row r="340" spans="1:25" x14ac:dyDescent="0.25">
      <c r="A340" s="130">
        <v>540176</v>
      </c>
      <c r="B340" s="130" t="s">
        <v>247</v>
      </c>
      <c r="C340" s="130" t="s">
        <v>75</v>
      </c>
      <c r="D340" s="130" t="s">
        <v>115</v>
      </c>
      <c r="E340" s="130">
        <v>7</v>
      </c>
      <c r="F340" s="207"/>
      <c r="G340" s="130">
        <v>46</v>
      </c>
      <c r="H340" s="130">
        <v>0</v>
      </c>
      <c r="I340" s="130">
        <v>0</v>
      </c>
      <c r="J340" s="130">
        <v>0</v>
      </c>
      <c r="K340" s="130">
        <v>0</v>
      </c>
      <c r="L340" s="130">
        <v>0</v>
      </c>
      <c r="M340" s="130">
        <v>46</v>
      </c>
      <c r="N340" s="211"/>
      <c r="O340" s="130" t="s">
        <v>488</v>
      </c>
      <c r="P340" s="130" t="s">
        <v>488</v>
      </c>
      <c r="Q340" s="130">
        <v>46</v>
      </c>
      <c r="R340" s="130">
        <v>0</v>
      </c>
      <c r="S340" s="130" t="s">
        <v>488</v>
      </c>
      <c r="T340" s="130" t="s">
        <v>488</v>
      </c>
      <c r="U340" s="130"/>
      <c r="V340" s="202">
        <f t="shared" si="5"/>
        <v>0</v>
      </c>
      <c r="W340" s="211"/>
      <c r="X340" s="130">
        <v>0</v>
      </c>
      <c r="Y340" s="130">
        <v>0</v>
      </c>
    </row>
    <row r="341" spans="1:25" x14ac:dyDescent="0.25">
      <c r="A341" s="130">
        <v>540178</v>
      </c>
      <c r="B341" s="130" t="s">
        <v>249</v>
      </c>
      <c r="C341" s="130" t="s">
        <v>75</v>
      </c>
      <c r="D341" s="130" t="s">
        <v>115</v>
      </c>
      <c r="E341" s="130">
        <v>7</v>
      </c>
      <c r="F341" s="207"/>
      <c r="G341" s="130">
        <v>37</v>
      </c>
      <c r="H341" s="130">
        <v>0</v>
      </c>
      <c r="I341" s="130">
        <v>0</v>
      </c>
      <c r="J341" s="130">
        <v>0</v>
      </c>
      <c r="K341" s="130">
        <v>0</v>
      </c>
      <c r="L341" s="130">
        <v>0</v>
      </c>
      <c r="M341" s="130">
        <v>37</v>
      </c>
      <c r="N341" s="211"/>
      <c r="O341" s="130" t="s">
        <v>488</v>
      </c>
      <c r="P341" s="130" t="s">
        <v>488</v>
      </c>
      <c r="Q341" s="130">
        <v>37</v>
      </c>
      <c r="R341" s="130">
        <v>0</v>
      </c>
      <c r="S341" s="130" t="s">
        <v>488</v>
      </c>
      <c r="T341" s="130" t="s">
        <v>488</v>
      </c>
      <c r="U341" s="130"/>
      <c r="V341" s="202">
        <f t="shared" si="5"/>
        <v>0</v>
      </c>
      <c r="W341" s="211"/>
      <c r="X341" s="130">
        <v>0</v>
      </c>
      <c r="Y341" s="130">
        <v>0</v>
      </c>
    </row>
    <row r="342" spans="1:25" x14ac:dyDescent="0.25">
      <c r="A342" s="130">
        <v>540264</v>
      </c>
      <c r="B342" s="130" t="s">
        <v>307</v>
      </c>
      <c r="C342" s="130" t="s">
        <v>75</v>
      </c>
      <c r="D342" s="130" t="s">
        <v>115</v>
      </c>
      <c r="E342" s="130">
        <v>7</v>
      </c>
      <c r="F342" s="207"/>
      <c r="G342" s="130">
        <v>1</v>
      </c>
      <c r="H342" s="130">
        <v>0</v>
      </c>
      <c r="I342" s="130">
        <v>0</v>
      </c>
      <c r="J342" s="130">
        <v>0</v>
      </c>
      <c r="K342" s="130">
        <v>0</v>
      </c>
      <c r="L342" s="130">
        <v>0</v>
      </c>
      <c r="M342" s="130">
        <v>1</v>
      </c>
      <c r="N342" s="211"/>
      <c r="O342" s="130" t="s">
        <v>488</v>
      </c>
      <c r="P342" s="130" t="s">
        <v>488</v>
      </c>
      <c r="Q342" s="130">
        <v>1</v>
      </c>
      <c r="R342" s="130">
        <v>0</v>
      </c>
      <c r="S342" s="130" t="s">
        <v>488</v>
      </c>
      <c r="T342" s="130" t="s">
        <v>488</v>
      </c>
      <c r="U342" s="130"/>
      <c r="V342" s="202">
        <f t="shared" si="5"/>
        <v>0</v>
      </c>
      <c r="W342" s="211"/>
      <c r="X342" s="130">
        <v>0</v>
      </c>
      <c r="Y342" s="130">
        <v>0</v>
      </c>
    </row>
    <row r="343" spans="1:25" x14ac:dyDescent="0.25">
      <c r="A343" s="130">
        <v>540265</v>
      </c>
      <c r="B343" s="130" t="s">
        <v>308</v>
      </c>
      <c r="C343" s="130" t="s">
        <v>75</v>
      </c>
      <c r="D343" s="130" t="s">
        <v>115</v>
      </c>
      <c r="E343" s="130">
        <v>7</v>
      </c>
      <c r="F343" s="207"/>
      <c r="G343" s="130">
        <v>22</v>
      </c>
      <c r="H343" s="130">
        <v>0</v>
      </c>
      <c r="I343" s="130">
        <v>0</v>
      </c>
      <c r="J343" s="130">
        <v>0</v>
      </c>
      <c r="K343" s="130">
        <v>0</v>
      </c>
      <c r="L343" s="130">
        <v>0</v>
      </c>
      <c r="M343" s="130">
        <v>22</v>
      </c>
      <c r="N343" s="211"/>
      <c r="O343" s="130" t="s">
        <v>488</v>
      </c>
      <c r="P343" s="130" t="s">
        <v>488</v>
      </c>
      <c r="Q343" s="130">
        <v>22</v>
      </c>
      <c r="R343" s="130">
        <v>0</v>
      </c>
      <c r="S343" s="130" t="s">
        <v>488</v>
      </c>
      <c r="T343" s="130" t="s">
        <v>488</v>
      </c>
      <c r="U343" s="130"/>
      <c r="V343" s="202">
        <f t="shared" si="5"/>
        <v>0</v>
      </c>
      <c r="W343" s="211"/>
      <c r="X343" s="130">
        <v>0</v>
      </c>
      <c r="Y343" s="130">
        <v>0</v>
      </c>
    </row>
    <row r="344" spans="1:25" x14ac:dyDescent="0.25">
      <c r="A344" s="130">
        <v>540266</v>
      </c>
      <c r="B344" s="130" t="s">
        <v>309</v>
      </c>
      <c r="C344" s="130" t="s">
        <v>75</v>
      </c>
      <c r="D344" s="130" t="s">
        <v>115</v>
      </c>
      <c r="E344" s="130">
        <v>7</v>
      </c>
      <c r="F344" s="207"/>
      <c r="G344" s="130">
        <v>13</v>
      </c>
      <c r="H344" s="130">
        <v>0</v>
      </c>
      <c r="I344" s="130">
        <v>0</v>
      </c>
      <c r="J344" s="130">
        <v>0</v>
      </c>
      <c r="K344" s="130">
        <v>0</v>
      </c>
      <c r="L344" s="130">
        <v>0</v>
      </c>
      <c r="M344" s="130">
        <v>13</v>
      </c>
      <c r="N344" s="211"/>
      <c r="O344" s="130" t="s">
        <v>488</v>
      </c>
      <c r="P344" s="130" t="s">
        <v>488</v>
      </c>
      <c r="Q344" s="130">
        <v>13</v>
      </c>
      <c r="R344" s="130">
        <v>0</v>
      </c>
      <c r="S344" s="130" t="s">
        <v>488</v>
      </c>
      <c r="T344" s="130" t="s">
        <v>488</v>
      </c>
      <c r="U344" s="130"/>
      <c r="V344" s="202">
        <f t="shared" si="5"/>
        <v>0</v>
      </c>
      <c r="W344" s="211"/>
      <c r="X344" s="130">
        <v>0</v>
      </c>
      <c r="Y344" s="130">
        <v>0</v>
      </c>
    </row>
    <row r="345" spans="1:25" x14ac:dyDescent="0.25">
      <c r="A345" s="130">
        <v>540267</v>
      </c>
      <c r="B345" s="130" t="s">
        <v>310</v>
      </c>
      <c r="C345" s="130" t="s">
        <v>75</v>
      </c>
      <c r="D345" s="130" t="s">
        <v>115</v>
      </c>
      <c r="E345" s="130">
        <v>7</v>
      </c>
      <c r="F345" s="207"/>
      <c r="G345" s="130">
        <v>20</v>
      </c>
      <c r="H345" s="130">
        <v>8</v>
      </c>
      <c r="I345" s="130">
        <v>0</v>
      </c>
      <c r="J345" s="130">
        <v>0</v>
      </c>
      <c r="K345" s="130">
        <v>0</v>
      </c>
      <c r="L345" s="130">
        <v>8</v>
      </c>
      <c r="M345" s="130">
        <v>28</v>
      </c>
      <c r="N345" s="211"/>
      <c r="O345" s="130" t="s">
        <v>488</v>
      </c>
      <c r="P345" s="130" t="s">
        <v>488</v>
      </c>
      <c r="Q345" s="130">
        <v>20</v>
      </c>
      <c r="R345" s="130">
        <v>0</v>
      </c>
      <c r="S345" s="130" t="s">
        <v>488</v>
      </c>
      <c r="T345" s="130" t="s">
        <v>488</v>
      </c>
      <c r="U345" s="130"/>
      <c r="V345" s="202">
        <f t="shared" si="5"/>
        <v>0</v>
      </c>
      <c r="W345" s="211"/>
      <c r="X345" s="130">
        <v>0</v>
      </c>
      <c r="Y345" s="130">
        <v>0</v>
      </c>
    </row>
    <row r="346" spans="1:25" x14ac:dyDescent="0.25">
      <c r="A346" s="130">
        <v>540177</v>
      </c>
      <c r="B346" s="130" t="s">
        <v>248</v>
      </c>
      <c r="C346" s="130" t="s">
        <v>75</v>
      </c>
      <c r="D346" s="130" t="s">
        <v>115</v>
      </c>
      <c r="E346" s="130">
        <v>7</v>
      </c>
      <c r="F346" s="207"/>
      <c r="G346" s="130">
        <v>133</v>
      </c>
      <c r="H346" s="130">
        <v>72</v>
      </c>
      <c r="I346" s="130">
        <v>11</v>
      </c>
      <c r="J346" s="130">
        <v>0</v>
      </c>
      <c r="K346" s="130">
        <v>0</v>
      </c>
      <c r="L346" s="130">
        <v>83</v>
      </c>
      <c r="M346" s="130">
        <v>216</v>
      </c>
      <c r="N346" s="211"/>
      <c r="O346" s="130" t="s">
        <v>488</v>
      </c>
      <c r="P346" s="130" t="s">
        <v>488</v>
      </c>
      <c r="Q346" s="130">
        <v>133</v>
      </c>
      <c r="R346" s="130">
        <v>0</v>
      </c>
      <c r="S346" s="130" t="s">
        <v>488</v>
      </c>
      <c r="T346" s="130" t="s">
        <v>488</v>
      </c>
      <c r="U346" s="130"/>
      <c r="V346" s="202">
        <f t="shared" si="5"/>
        <v>0</v>
      </c>
      <c r="W346" s="211"/>
      <c r="X346" s="130">
        <v>49</v>
      </c>
      <c r="Y346" s="130">
        <v>0</v>
      </c>
    </row>
    <row r="347" spans="1:25" x14ac:dyDescent="0.25">
      <c r="A347" s="128">
        <v>540175</v>
      </c>
      <c r="B347" s="128" t="s">
        <v>74</v>
      </c>
      <c r="C347" s="128" t="s">
        <v>75</v>
      </c>
      <c r="D347" s="128" t="s">
        <v>5</v>
      </c>
      <c r="E347" s="128">
        <v>7</v>
      </c>
      <c r="F347" s="206"/>
      <c r="G347" s="128">
        <v>1129</v>
      </c>
      <c r="H347" s="128">
        <v>201</v>
      </c>
      <c r="I347" s="128">
        <v>1</v>
      </c>
      <c r="J347" s="128">
        <v>0</v>
      </c>
      <c r="K347" s="128">
        <v>0</v>
      </c>
      <c r="L347" s="128">
        <v>202</v>
      </c>
      <c r="M347" s="128">
        <v>1331</v>
      </c>
      <c r="N347" s="210"/>
      <c r="O347" s="128" t="s">
        <v>488</v>
      </c>
      <c r="P347" s="128" t="s">
        <v>488</v>
      </c>
      <c r="Q347" s="128">
        <v>1126</v>
      </c>
      <c r="R347" s="128">
        <v>4</v>
      </c>
      <c r="S347" s="128" t="s">
        <v>488</v>
      </c>
      <c r="T347" s="128" t="s">
        <v>488</v>
      </c>
      <c r="U347" s="128"/>
      <c r="V347" s="202">
        <f t="shared" si="5"/>
        <v>4</v>
      </c>
      <c r="W347" s="210"/>
      <c r="X347" s="128">
        <v>0</v>
      </c>
      <c r="Y347" s="128">
        <v>0</v>
      </c>
    </row>
    <row r="348" spans="1:25" x14ac:dyDescent="0.25">
      <c r="A348" s="130"/>
      <c r="B348" s="130"/>
      <c r="C348" s="130" t="s">
        <v>75</v>
      </c>
      <c r="D348" s="130"/>
      <c r="E348" s="130"/>
      <c r="F348" s="207"/>
      <c r="G348" s="130">
        <v>1401</v>
      </c>
      <c r="H348" s="130">
        <v>281</v>
      </c>
      <c r="I348" s="130">
        <v>12</v>
      </c>
      <c r="J348" s="130">
        <v>0</v>
      </c>
      <c r="K348" s="130">
        <v>0</v>
      </c>
      <c r="L348" s="130">
        <v>293</v>
      </c>
      <c r="M348" s="130">
        <v>1694</v>
      </c>
      <c r="N348" s="211"/>
      <c r="O348" s="130" t="s">
        <v>488</v>
      </c>
      <c r="P348" s="130" t="s">
        <v>488</v>
      </c>
      <c r="Q348" s="130">
        <v>1398</v>
      </c>
      <c r="R348" s="130">
        <v>4</v>
      </c>
      <c r="S348" s="130" t="s">
        <v>488</v>
      </c>
      <c r="T348" s="130" t="s">
        <v>488</v>
      </c>
      <c r="U348" s="130"/>
      <c r="V348" s="202">
        <f t="shared" si="5"/>
        <v>4</v>
      </c>
      <c r="W348" s="211"/>
      <c r="X348" s="130">
        <v>49</v>
      </c>
      <c r="Y348" s="130">
        <v>0</v>
      </c>
    </row>
    <row r="349" spans="1:25" x14ac:dyDescent="0.25">
      <c r="A349" s="130">
        <v>540219</v>
      </c>
      <c r="B349" s="130" t="s">
        <v>273</v>
      </c>
      <c r="C349" s="130" t="s">
        <v>95</v>
      </c>
      <c r="D349" s="130" t="s">
        <v>115</v>
      </c>
      <c r="E349" s="130">
        <v>1</v>
      </c>
      <c r="F349" s="207"/>
      <c r="G349" s="130">
        <v>18</v>
      </c>
      <c r="H349" s="130">
        <v>242</v>
      </c>
      <c r="I349" s="130">
        <v>15</v>
      </c>
      <c r="J349" s="130">
        <v>0</v>
      </c>
      <c r="K349" s="130">
        <v>0</v>
      </c>
      <c r="L349" s="130">
        <v>257</v>
      </c>
      <c r="M349" s="130">
        <v>275</v>
      </c>
      <c r="N349" s="211"/>
      <c r="O349" s="130" t="s">
        <v>488</v>
      </c>
      <c r="P349" s="130" t="s">
        <v>488</v>
      </c>
      <c r="Q349" s="130">
        <v>10</v>
      </c>
      <c r="R349" s="130">
        <v>0</v>
      </c>
      <c r="S349" s="130">
        <v>26</v>
      </c>
      <c r="T349" s="130">
        <v>192</v>
      </c>
      <c r="U349" s="130"/>
      <c r="V349" s="202">
        <f t="shared" si="5"/>
        <v>192</v>
      </c>
      <c r="W349" s="211"/>
      <c r="X349" s="130">
        <v>0</v>
      </c>
      <c r="Y349" s="130">
        <v>0</v>
      </c>
    </row>
    <row r="350" spans="1:25" x14ac:dyDescent="0.25">
      <c r="A350" s="130">
        <v>540220</v>
      </c>
      <c r="B350" s="130" t="s">
        <v>274</v>
      </c>
      <c r="C350" s="130" t="s">
        <v>95</v>
      </c>
      <c r="D350" s="130" t="s">
        <v>115</v>
      </c>
      <c r="E350" s="130">
        <v>1</v>
      </c>
      <c r="F350" s="207"/>
      <c r="G350" s="130">
        <v>44</v>
      </c>
      <c r="H350" s="130">
        <v>68</v>
      </c>
      <c r="I350" s="130">
        <v>13</v>
      </c>
      <c r="J350" s="130">
        <v>0</v>
      </c>
      <c r="K350" s="130">
        <v>0</v>
      </c>
      <c r="L350" s="130">
        <v>81</v>
      </c>
      <c r="M350" s="130">
        <v>125</v>
      </c>
      <c r="N350" s="211"/>
      <c r="O350" s="130" t="s">
        <v>488</v>
      </c>
      <c r="P350" s="130" t="s">
        <v>488</v>
      </c>
      <c r="Q350" s="130">
        <v>8</v>
      </c>
      <c r="R350" s="130">
        <v>3</v>
      </c>
      <c r="S350" s="130">
        <v>81</v>
      </c>
      <c r="T350" s="130">
        <v>0</v>
      </c>
      <c r="U350" s="130"/>
      <c r="V350" s="202">
        <f t="shared" si="5"/>
        <v>3</v>
      </c>
      <c r="W350" s="211"/>
      <c r="X350" s="130">
        <v>17</v>
      </c>
      <c r="Y350" s="130">
        <v>0</v>
      </c>
    </row>
    <row r="351" spans="1:25" x14ac:dyDescent="0.25">
      <c r="A351" s="130">
        <v>540218</v>
      </c>
      <c r="B351" s="130" t="s">
        <v>272</v>
      </c>
      <c r="C351" s="130" t="s">
        <v>95</v>
      </c>
      <c r="D351" s="130" t="s">
        <v>115</v>
      </c>
      <c r="E351" s="130">
        <v>1</v>
      </c>
      <c r="F351" s="207"/>
      <c r="G351" s="130">
        <v>0</v>
      </c>
      <c r="H351" s="130">
        <v>91</v>
      </c>
      <c r="I351" s="130">
        <v>6</v>
      </c>
      <c r="J351" s="130">
        <v>0</v>
      </c>
      <c r="K351" s="130">
        <v>0</v>
      </c>
      <c r="L351" s="130">
        <v>97</v>
      </c>
      <c r="M351" s="130">
        <v>97</v>
      </c>
      <c r="N351" s="211"/>
      <c r="O351" s="130" t="s">
        <v>488</v>
      </c>
      <c r="P351" s="130" t="s">
        <v>488</v>
      </c>
      <c r="Q351" s="130">
        <v>0</v>
      </c>
      <c r="R351" s="130">
        <v>0</v>
      </c>
      <c r="S351" s="130">
        <v>97</v>
      </c>
      <c r="T351" s="130">
        <v>0</v>
      </c>
      <c r="U351" s="130"/>
      <c r="V351" s="202">
        <f t="shared" si="5"/>
        <v>0</v>
      </c>
      <c r="W351" s="211"/>
      <c r="X351" s="130">
        <v>110</v>
      </c>
      <c r="Y351" s="130">
        <v>0</v>
      </c>
    </row>
    <row r="352" spans="1:25" x14ac:dyDescent="0.25">
      <c r="A352" s="130">
        <v>540217</v>
      </c>
      <c r="B352" s="130" t="s">
        <v>94</v>
      </c>
      <c r="C352" s="130" t="s">
        <v>95</v>
      </c>
      <c r="D352" s="130" t="s">
        <v>5</v>
      </c>
      <c r="E352" s="130">
        <v>1</v>
      </c>
      <c r="F352" s="207"/>
      <c r="G352" s="130">
        <v>845</v>
      </c>
      <c r="H352" s="130">
        <v>1297</v>
      </c>
      <c r="I352" s="130">
        <v>279</v>
      </c>
      <c r="J352" s="130">
        <v>0</v>
      </c>
      <c r="K352" s="130">
        <v>0</v>
      </c>
      <c r="L352" s="130">
        <v>1576</v>
      </c>
      <c r="M352" s="130">
        <v>2421</v>
      </c>
      <c r="N352" s="211"/>
      <c r="O352" s="130" t="s">
        <v>488</v>
      </c>
      <c r="P352" s="130" t="s">
        <v>488</v>
      </c>
      <c r="Q352" s="130">
        <v>211</v>
      </c>
      <c r="R352" s="130">
        <v>622</v>
      </c>
      <c r="S352" s="130">
        <v>1149</v>
      </c>
      <c r="T352" s="130">
        <v>209</v>
      </c>
      <c r="U352" s="130"/>
      <c r="V352" s="202">
        <f t="shared" si="5"/>
        <v>831</v>
      </c>
      <c r="W352" s="211"/>
      <c r="X352" s="130">
        <v>363</v>
      </c>
      <c r="Y352" s="130">
        <v>0</v>
      </c>
    </row>
    <row r="353" spans="1:25" x14ac:dyDescent="0.25">
      <c r="A353" s="130"/>
      <c r="B353" s="130"/>
      <c r="C353" s="130" t="s">
        <v>95</v>
      </c>
      <c r="D353" s="130"/>
      <c r="E353" s="130"/>
      <c r="F353" s="207"/>
      <c r="G353" s="130">
        <v>907</v>
      </c>
      <c r="H353" s="130">
        <v>1698</v>
      </c>
      <c r="I353" s="130">
        <v>313</v>
      </c>
      <c r="J353" s="130">
        <v>0</v>
      </c>
      <c r="K353" s="130">
        <v>0</v>
      </c>
      <c r="L353" s="130">
        <v>2011</v>
      </c>
      <c r="M353" s="130">
        <v>2918</v>
      </c>
      <c r="N353" s="211"/>
      <c r="O353" s="130" t="s">
        <v>488</v>
      </c>
      <c r="P353" s="130" t="s">
        <v>488</v>
      </c>
      <c r="Q353" s="130">
        <v>229</v>
      </c>
      <c r="R353" s="130">
        <v>625</v>
      </c>
      <c r="S353" s="130">
        <v>1353</v>
      </c>
      <c r="T353" s="130">
        <v>401</v>
      </c>
      <c r="U353" s="130"/>
      <c r="V353" s="202">
        <f t="shared" si="5"/>
        <v>1026</v>
      </c>
      <c r="W353" s="211"/>
      <c r="X353" s="130">
        <v>490</v>
      </c>
      <c r="Y353" s="130">
        <v>0</v>
      </c>
    </row>
    <row r="354" spans="1:25" x14ac:dyDescent="0.25">
      <c r="A354" s="204" t="s">
        <v>535</v>
      </c>
      <c r="B354" s="130"/>
      <c r="C354" s="130"/>
      <c r="D354" s="130"/>
      <c r="E354" s="130"/>
      <c r="F354" s="207"/>
      <c r="G354" s="130"/>
      <c r="H354" s="130"/>
      <c r="I354" s="130"/>
      <c r="J354" s="130"/>
      <c r="K354" s="130"/>
      <c r="L354" s="130"/>
      <c r="M354" s="130"/>
      <c r="N354" s="211"/>
      <c r="O354" s="130"/>
      <c r="P354" s="130"/>
      <c r="Q354" s="130"/>
      <c r="R354" s="130"/>
      <c r="S354" s="130"/>
      <c r="T354" s="130"/>
      <c r="U354" s="130"/>
      <c r="V354" s="202">
        <f t="shared" si="5"/>
        <v>0</v>
      </c>
      <c r="W354" s="211"/>
      <c r="X354" s="130"/>
      <c r="Y354" s="130"/>
    </row>
    <row r="355" spans="1:25" x14ac:dyDescent="0.25">
      <c r="A355" s="130">
        <v>540152</v>
      </c>
      <c r="B355" s="130" t="s">
        <v>229</v>
      </c>
      <c r="C355" s="130" t="s">
        <v>544</v>
      </c>
      <c r="D355" s="130" t="s">
        <v>115</v>
      </c>
      <c r="E355" s="130" t="s">
        <v>545</v>
      </c>
      <c r="F355" s="207"/>
      <c r="G355" s="130">
        <v>9</v>
      </c>
      <c r="H355" s="130">
        <v>2545</v>
      </c>
      <c r="I355" s="130">
        <v>110</v>
      </c>
      <c r="J355" s="130">
        <v>0</v>
      </c>
      <c r="K355" s="130">
        <v>0</v>
      </c>
      <c r="L355" s="130">
        <v>2655</v>
      </c>
      <c r="M355" s="130">
        <v>2664</v>
      </c>
      <c r="N355" s="211"/>
      <c r="O355" s="130" t="s">
        <v>488</v>
      </c>
      <c r="P355" s="130" t="s">
        <v>488</v>
      </c>
      <c r="Q355" s="130" t="s">
        <v>488</v>
      </c>
      <c r="R355" s="130" t="s">
        <v>488</v>
      </c>
      <c r="S355" s="130" t="s">
        <v>488</v>
      </c>
      <c r="T355" s="130" t="s">
        <v>488</v>
      </c>
      <c r="U355" s="130"/>
      <c r="V355" s="202">
        <f t="shared" si="5"/>
        <v>0</v>
      </c>
      <c r="W355" s="211"/>
      <c r="X355" s="130">
        <v>675</v>
      </c>
      <c r="Y355" s="130">
        <v>0</v>
      </c>
    </row>
    <row r="356" spans="1:25" x14ac:dyDescent="0.25">
      <c r="A356" s="130">
        <v>540196</v>
      </c>
      <c r="B356" s="130" t="s">
        <v>259</v>
      </c>
      <c r="C356" s="130" t="s">
        <v>546</v>
      </c>
      <c r="D356" s="130" t="s">
        <v>115</v>
      </c>
      <c r="E356" s="130" t="s">
        <v>547</v>
      </c>
      <c r="F356" s="207"/>
      <c r="G356" s="130">
        <v>0</v>
      </c>
      <c r="H356" s="130">
        <v>8</v>
      </c>
      <c r="I356" s="130">
        <v>0</v>
      </c>
      <c r="J356" s="130">
        <v>0</v>
      </c>
      <c r="K356" s="130">
        <v>0</v>
      </c>
      <c r="L356" s="130">
        <v>8</v>
      </c>
      <c r="M356" s="130">
        <v>8</v>
      </c>
      <c r="N356" s="211"/>
      <c r="O356" s="130" t="s">
        <v>488</v>
      </c>
      <c r="P356" s="130" t="s">
        <v>488</v>
      </c>
      <c r="Q356" s="130" t="s">
        <v>488</v>
      </c>
      <c r="R356" s="130" t="s">
        <v>488</v>
      </c>
      <c r="S356" s="130" t="s">
        <v>488</v>
      </c>
      <c r="T356" s="130" t="s">
        <v>488</v>
      </c>
      <c r="U356" s="130"/>
      <c r="V356" s="202">
        <f t="shared" si="5"/>
        <v>0</v>
      </c>
      <c r="W356" s="211"/>
      <c r="X356" s="130">
        <v>4</v>
      </c>
      <c r="Y356" s="130">
        <v>0</v>
      </c>
    </row>
    <row r="357" spans="1:25" x14ac:dyDescent="0.25">
      <c r="A357" s="130">
        <v>540041</v>
      </c>
      <c r="B357" s="130" t="s">
        <v>142</v>
      </c>
      <c r="C357" s="130" t="s">
        <v>540</v>
      </c>
      <c r="D357" s="130" t="s">
        <v>115</v>
      </c>
      <c r="E357" s="130" t="s">
        <v>541</v>
      </c>
      <c r="F357" s="207"/>
      <c r="G357" s="130">
        <v>5</v>
      </c>
      <c r="H357" s="130">
        <v>191</v>
      </c>
      <c r="I357" s="130">
        <v>19</v>
      </c>
      <c r="J357" s="130">
        <v>0</v>
      </c>
      <c r="K357" s="130">
        <v>0</v>
      </c>
      <c r="L357" s="130">
        <v>210</v>
      </c>
      <c r="M357" s="130">
        <v>215</v>
      </c>
      <c r="N357" s="211"/>
      <c r="O357" s="130" t="s">
        <v>488</v>
      </c>
      <c r="P357" s="130" t="s">
        <v>488</v>
      </c>
      <c r="Q357" s="130">
        <v>5</v>
      </c>
      <c r="R357" s="130">
        <v>98</v>
      </c>
      <c r="S357" s="130" t="s">
        <v>488</v>
      </c>
      <c r="T357" s="130" t="s">
        <v>488</v>
      </c>
      <c r="U357" s="130"/>
      <c r="V357" s="202">
        <f t="shared" si="5"/>
        <v>98</v>
      </c>
      <c r="W357" s="211"/>
      <c r="X357" s="130">
        <v>63</v>
      </c>
      <c r="Y357" s="130">
        <v>0</v>
      </c>
    </row>
    <row r="358" spans="1:25" x14ac:dyDescent="0.25">
      <c r="A358" s="130">
        <v>540018</v>
      </c>
      <c r="B358" s="130" t="s">
        <v>127</v>
      </c>
      <c r="C358" s="130" t="s">
        <v>538</v>
      </c>
      <c r="D358" s="130" t="s">
        <v>115</v>
      </c>
      <c r="E358" s="130" t="s">
        <v>539</v>
      </c>
      <c r="F358" s="207"/>
      <c r="G358" s="130">
        <v>3</v>
      </c>
      <c r="H358" s="130">
        <v>578</v>
      </c>
      <c r="I358" s="130">
        <v>79</v>
      </c>
      <c r="J358" s="130">
        <v>0</v>
      </c>
      <c r="K358" s="130">
        <v>0</v>
      </c>
      <c r="L358" s="130">
        <v>657</v>
      </c>
      <c r="M358" s="130">
        <v>660</v>
      </c>
      <c r="N358" s="211"/>
      <c r="O358" s="130" t="s">
        <v>488</v>
      </c>
      <c r="P358" s="130" t="s">
        <v>488</v>
      </c>
      <c r="Q358" s="130">
        <v>3</v>
      </c>
      <c r="R358" s="130">
        <v>1</v>
      </c>
      <c r="S358" s="130" t="s">
        <v>488</v>
      </c>
      <c r="T358" s="130" t="s">
        <v>488</v>
      </c>
      <c r="U358" s="130"/>
      <c r="V358" s="202">
        <f t="shared" si="5"/>
        <v>1</v>
      </c>
      <c r="W358" s="211"/>
      <c r="X358" s="130">
        <v>562</v>
      </c>
      <c r="Y358" s="130">
        <v>4923</v>
      </c>
    </row>
    <row r="359" spans="1:25" x14ac:dyDescent="0.25">
      <c r="A359" s="130">
        <v>540014</v>
      </c>
      <c r="B359" s="130" t="s">
        <v>124</v>
      </c>
      <c r="C359" s="130" t="s">
        <v>1334</v>
      </c>
      <c r="D359" s="130" t="s">
        <v>115</v>
      </c>
      <c r="E359" s="130" t="s">
        <v>537</v>
      </c>
      <c r="F359" s="207"/>
      <c r="G359" s="130">
        <v>0</v>
      </c>
      <c r="H359" s="130">
        <v>176</v>
      </c>
      <c r="I359" s="130">
        <v>41</v>
      </c>
      <c r="J359" s="130">
        <v>0</v>
      </c>
      <c r="K359" s="130">
        <v>0</v>
      </c>
      <c r="L359" s="130">
        <v>217</v>
      </c>
      <c r="M359" s="130">
        <v>217</v>
      </c>
      <c r="N359" s="211"/>
      <c r="O359" s="130" t="s">
        <v>488</v>
      </c>
      <c r="P359" s="130" t="s">
        <v>488</v>
      </c>
      <c r="Q359" s="130">
        <v>0</v>
      </c>
      <c r="R359" s="130">
        <v>18</v>
      </c>
      <c r="S359" s="130" t="s">
        <v>488</v>
      </c>
      <c r="T359" s="130" t="s">
        <v>488</v>
      </c>
      <c r="U359" s="130"/>
      <c r="V359" s="202">
        <f t="shared" si="5"/>
        <v>18</v>
      </c>
      <c r="W359" s="211"/>
      <c r="X359" s="130">
        <v>210</v>
      </c>
      <c r="Y359" s="130">
        <v>0</v>
      </c>
    </row>
    <row r="360" spans="1:25" x14ac:dyDescent="0.25">
      <c r="A360" s="130">
        <v>540081</v>
      </c>
      <c r="B360" s="130" t="s">
        <v>176</v>
      </c>
      <c r="C360" s="130" t="s">
        <v>542</v>
      </c>
      <c r="D360" s="130" t="s">
        <v>115</v>
      </c>
      <c r="E360" s="130" t="s">
        <v>543</v>
      </c>
      <c r="F360" s="207"/>
      <c r="G360" s="130">
        <v>4</v>
      </c>
      <c r="H360" s="130">
        <v>568</v>
      </c>
      <c r="I360" s="130">
        <v>20</v>
      </c>
      <c r="J360" s="130">
        <v>0</v>
      </c>
      <c r="K360" s="130">
        <v>0</v>
      </c>
      <c r="L360" s="130">
        <v>588</v>
      </c>
      <c r="M360" s="130">
        <v>592</v>
      </c>
      <c r="N360" s="211"/>
      <c r="O360" s="130" t="s">
        <v>488</v>
      </c>
      <c r="P360" s="130" t="s">
        <v>488</v>
      </c>
      <c r="Q360" s="130">
        <v>4</v>
      </c>
      <c r="R360" s="130">
        <v>22</v>
      </c>
      <c r="S360" s="130" t="s">
        <v>488</v>
      </c>
      <c r="T360" s="130" t="s">
        <v>488</v>
      </c>
      <c r="U360" s="130"/>
      <c r="V360" s="202">
        <f t="shared" si="5"/>
        <v>22</v>
      </c>
      <c r="W360" s="211"/>
      <c r="X360" s="130">
        <v>1509</v>
      </c>
      <c r="Y360" s="130">
        <v>0</v>
      </c>
    </row>
    <row r="361" spans="1:25" x14ac:dyDescent="0.25">
      <c r="A361" s="130">
        <v>540033</v>
      </c>
      <c r="B361" s="130" t="s">
        <v>138</v>
      </c>
      <c r="C361" s="130" t="s">
        <v>1335</v>
      </c>
      <c r="D361" s="130" t="s">
        <v>115</v>
      </c>
      <c r="E361" s="130" t="s">
        <v>1298</v>
      </c>
      <c r="F361" s="207"/>
      <c r="G361" s="130">
        <v>0</v>
      </c>
      <c r="H361" s="130">
        <v>48</v>
      </c>
      <c r="I361" s="130">
        <v>9</v>
      </c>
      <c r="J361" s="130">
        <v>0</v>
      </c>
      <c r="K361" s="130">
        <v>0</v>
      </c>
      <c r="L361" s="130">
        <v>57</v>
      </c>
      <c r="M361" s="130">
        <v>57</v>
      </c>
      <c r="N361" s="211"/>
      <c r="O361" s="130" t="s">
        <v>488</v>
      </c>
      <c r="P361" s="130" t="s">
        <v>488</v>
      </c>
      <c r="Q361" s="130">
        <v>0</v>
      </c>
      <c r="R361" s="130">
        <v>0</v>
      </c>
      <c r="S361" s="130" t="s">
        <v>488</v>
      </c>
      <c r="T361" s="130" t="s">
        <v>488</v>
      </c>
      <c r="U361" s="130"/>
      <c r="V361" s="202">
        <f t="shared" si="5"/>
        <v>0</v>
      </c>
      <c r="W361" s="211"/>
      <c r="X361" s="130">
        <v>3</v>
      </c>
      <c r="Y361" s="130">
        <v>0</v>
      </c>
    </row>
    <row r="362" spans="1:25" x14ac:dyDescent="0.25">
      <c r="A362" s="130">
        <v>540029</v>
      </c>
      <c r="B362" s="130" t="s">
        <v>134</v>
      </c>
      <c r="C362" s="130" t="s">
        <v>1335</v>
      </c>
      <c r="D362" s="130" t="s">
        <v>115</v>
      </c>
      <c r="E362" s="130" t="s">
        <v>1298</v>
      </c>
      <c r="F362" s="207"/>
      <c r="G362" s="130">
        <v>11</v>
      </c>
      <c r="H362" s="130">
        <v>19</v>
      </c>
      <c r="I362" s="130">
        <v>0</v>
      </c>
      <c r="J362" s="130">
        <v>0</v>
      </c>
      <c r="K362" s="130">
        <v>0</v>
      </c>
      <c r="L362" s="130">
        <v>19</v>
      </c>
      <c r="M362" s="130">
        <v>30</v>
      </c>
      <c r="N362" s="211"/>
      <c r="O362" s="130" t="s">
        <v>488</v>
      </c>
      <c r="P362" s="130" t="s">
        <v>488</v>
      </c>
      <c r="Q362" s="130">
        <v>6</v>
      </c>
      <c r="R362" s="130">
        <v>31</v>
      </c>
      <c r="S362" s="130" t="s">
        <v>488</v>
      </c>
      <c r="T362" s="130" t="s">
        <v>488</v>
      </c>
      <c r="U362" s="130"/>
      <c r="V362" s="202">
        <f t="shared" si="5"/>
        <v>31</v>
      </c>
      <c r="W362" s="211"/>
      <c r="X362" s="130">
        <v>197</v>
      </c>
      <c r="Y362" s="130">
        <v>0</v>
      </c>
    </row>
    <row r="363" spans="1:25" x14ac:dyDescent="0.25">
      <c r="A363" s="130" t="s">
        <v>1336</v>
      </c>
      <c r="B363" s="130"/>
      <c r="C363" s="130"/>
      <c r="D363" s="130"/>
      <c r="E363" s="130"/>
      <c r="F363" s="130"/>
      <c r="G363" s="130"/>
      <c r="H363" s="130"/>
      <c r="I363" s="130"/>
      <c r="J363" s="130"/>
      <c r="K363" s="130"/>
      <c r="L363" s="130"/>
      <c r="M363" s="130"/>
      <c r="N363" s="211"/>
      <c r="O363" s="130"/>
      <c r="P363" s="130"/>
      <c r="Q363" s="130"/>
      <c r="R363" s="130"/>
      <c r="S363" s="130"/>
      <c r="T363" s="130"/>
      <c r="U363" s="130"/>
      <c r="V363" s="130"/>
      <c r="W363" s="211"/>
      <c r="X363" s="130"/>
      <c r="Y363" s="130"/>
    </row>
    <row r="371" spans="2:2" x14ac:dyDescent="0.25">
      <c r="B371" t="s">
        <v>411</v>
      </c>
    </row>
    <row r="372" spans="2:2" x14ac:dyDescent="0.25">
      <c r="B372" t="s">
        <v>412</v>
      </c>
    </row>
  </sheetData>
  <mergeCells count="10">
    <mergeCell ref="X2:Y2"/>
    <mergeCell ref="X1:Y1"/>
    <mergeCell ref="A1:D1"/>
    <mergeCell ref="Q2:R2"/>
    <mergeCell ref="S2:T2"/>
    <mergeCell ref="U2:V2"/>
    <mergeCell ref="O2:P2"/>
    <mergeCell ref="H2:L2"/>
    <mergeCell ref="G1:M1"/>
    <mergeCell ref="O1:V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2"/>
  <sheetViews>
    <sheetView zoomScale="93" zoomScaleNormal="93" workbookViewId="0">
      <pane ySplit="2" topLeftCell="A3" activePane="bottomLeft" state="frozen"/>
      <selection pane="bottomLeft" activeCell="L1" sqref="L1:M2"/>
    </sheetView>
  </sheetViews>
  <sheetFormatPr defaultRowHeight="15" x14ac:dyDescent="0.25"/>
  <cols>
    <col min="2" max="2" width="25.140625" customWidth="1"/>
    <col min="3" max="3" width="21.85546875" bestFit="1" customWidth="1"/>
    <col min="4" max="4" width="19.42578125" customWidth="1"/>
    <col min="6" max="6" width="10.28515625" style="61" customWidth="1"/>
    <col min="7" max="7" width="16.85546875" customWidth="1"/>
    <col min="9" max="9" width="10" bestFit="1" customWidth="1"/>
    <col min="10" max="10" width="9.42578125" bestFit="1" customWidth="1"/>
    <col min="13" max="13" width="111.28515625" bestFit="1" customWidth="1"/>
  </cols>
  <sheetData>
    <row r="1" spans="1:14" ht="18.75" x14ac:dyDescent="0.3">
      <c r="A1" s="397" t="s">
        <v>516</v>
      </c>
      <c r="B1" s="397"/>
      <c r="C1" s="397"/>
      <c r="D1" s="397"/>
      <c r="L1" s="233" t="s">
        <v>1325</v>
      </c>
      <c r="M1" s="235" t="s">
        <v>1337</v>
      </c>
      <c r="N1" s="234"/>
    </row>
    <row r="2" spans="1:14" ht="45" x14ac:dyDescent="0.25">
      <c r="A2" s="28" t="s">
        <v>0</v>
      </c>
      <c r="B2" s="28" t="s">
        <v>1</v>
      </c>
      <c r="C2" s="28" t="s">
        <v>2</v>
      </c>
      <c r="D2" s="28" t="s">
        <v>347</v>
      </c>
      <c r="E2" s="28" t="s">
        <v>437</v>
      </c>
      <c r="F2" s="84" t="s">
        <v>579</v>
      </c>
      <c r="G2" s="28" t="s">
        <v>438</v>
      </c>
      <c r="H2" s="28" t="s">
        <v>413</v>
      </c>
      <c r="I2" s="28" t="s">
        <v>414</v>
      </c>
      <c r="J2" s="28" t="s">
        <v>415</v>
      </c>
      <c r="L2" s="233" t="s">
        <v>1326</v>
      </c>
      <c r="M2" s="235" t="s">
        <v>1338</v>
      </c>
      <c r="N2" s="234"/>
    </row>
    <row r="3" spans="1:14" x14ac:dyDescent="0.25">
      <c r="A3" s="1">
        <v>540001</v>
      </c>
      <c r="B3" s="1" t="s">
        <v>3</v>
      </c>
      <c r="C3" s="1" t="s">
        <v>4</v>
      </c>
      <c r="D3" s="1" t="s">
        <v>5</v>
      </c>
      <c r="E3" s="1">
        <v>7</v>
      </c>
      <c r="F3" s="63"/>
      <c r="G3" s="29">
        <v>31959</v>
      </c>
      <c r="H3" s="1">
        <v>167</v>
      </c>
      <c r="I3" s="1">
        <v>71</v>
      </c>
      <c r="J3" s="1">
        <v>324</v>
      </c>
    </row>
    <row r="4" spans="1:14" x14ac:dyDescent="0.25">
      <c r="A4" s="2">
        <v>540002</v>
      </c>
      <c r="B4" s="2" t="s">
        <v>114</v>
      </c>
      <c r="C4" s="2" t="s">
        <v>4</v>
      </c>
      <c r="D4" s="2" t="s">
        <v>115</v>
      </c>
      <c r="E4" s="2">
        <v>7</v>
      </c>
      <c r="F4" s="62"/>
      <c r="G4" s="30">
        <v>29068</v>
      </c>
      <c r="H4" s="2">
        <v>57</v>
      </c>
      <c r="I4" s="2">
        <v>25</v>
      </c>
      <c r="J4" s="2">
        <v>38</v>
      </c>
    </row>
    <row r="5" spans="1:14" x14ac:dyDescent="0.25">
      <c r="A5" s="2">
        <v>540003</v>
      </c>
      <c r="B5" s="2" t="s">
        <v>116</v>
      </c>
      <c r="C5" s="2" t="s">
        <v>4</v>
      </c>
      <c r="D5" s="2" t="s">
        <v>115</v>
      </c>
      <c r="E5" s="2">
        <v>7</v>
      </c>
      <c r="F5" s="62"/>
      <c r="G5" s="30">
        <v>31884</v>
      </c>
      <c r="H5" s="2">
        <v>7</v>
      </c>
      <c r="I5" s="2">
        <v>0</v>
      </c>
      <c r="J5" s="2">
        <v>8</v>
      </c>
    </row>
    <row r="6" spans="1:14" x14ac:dyDescent="0.25">
      <c r="A6" s="2">
        <v>540004</v>
      </c>
      <c r="B6" s="2" t="s">
        <v>117</v>
      </c>
      <c r="C6" s="2" t="s">
        <v>4</v>
      </c>
      <c r="D6" s="2" t="s">
        <v>115</v>
      </c>
      <c r="E6" s="2">
        <v>7</v>
      </c>
      <c r="F6" s="62"/>
      <c r="G6" s="30">
        <v>31659</v>
      </c>
      <c r="H6" s="2">
        <v>194</v>
      </c>
      <c r="I6" s="2">
        <v>25</v>
      </c>
      <c r="J6" s="2">
        <v>49</v>
      </c>
    </row>
    <row r="7" spans="1:14" x14ac:dyDescent="0.25">
      <c r="A7" s="2"/>
      <c r="B7" s="2"/>
      <c r="C7" s="2" t="s">
        <v>4</v>
      </c>
      <c r="D7" s="2"/>
      <c r="E7" s="2"/>
      <c r="F7" s="62"/>
      <c r="G7" s="2"/>
      <c r="H7" s="2">
        <v>425</v>
      </c>
      <c r="I7" s="2">
        <v>121</v>
      </c>
      <c r="J7" s="2">
        <v>419</v>
      </c>
    </row>
    <row r="8" spans="1:14" x14ac:dyDescent="0.25">
      <c r="A8" s="1">
        <v>540007</v>
      </c>
      <c r="B8" s="1" t="s">
        <v>6</v>
      </c>
      <c r="C8" s="1" t="s">
        <v>7</v>
      </c>
      <c r="D8" s="1" t="s">
        <v>5</v>
      </c>
      <c r="E8" s="1">
        <v>3</v>
      </c>
      <c r="F8" s="63"/>
      <c r="G8" s="29">
        <v>33344</v>
      </c>
      <c r="H8" s="1">
        <v>1091</v>
      </c>
      <c r="I8" s="1">
        <v>277</v>
      </c>
      <c r="J8" s="1">
        <v>2099</v>
      </c>
    </row>
    <row r="9" spans="1:14" x14ac:dyDescent="0.25">
      <c r="A9" s="2">
        <v>540008</v>
      </c>
      <c r="B9" s="2" t="s">
        <v>120</v>
      </c>
      <c r="C9" s="2" t="s">
        <v>7</v>
      </c>
      <c r="D9" s="2" t="s">
        <v>115</v>
      </c>
      <c r="E9" s="2">
        <v>3</v>
      </c>
      <c r="F9" s="62"/>
      <c r="G9" s="30">
        <v>33344</v>
      </c>
      <c r="H9" s="2">
        <v>121</v>
      </c>
      <c r="I9" s="2">
        <v>15</v>
      </c>
      <c r="J9" s="2">
        <v>188</v>
      </c>
    </row>
    <row r="10" spans="1:14" x14ac:dyDescent="0.25">
      <c r="A10" s="2">
        <v>540229</v>
      </c>
      <c r="B10" s="2" t="s">
        <v>279</v>
      </c>
      <c r="C10" s="2" t="s">
        <v>7</v>
      </c>
      <c r="D10" s="2" t="s">
        <v>115</v>
      </c>
      <c r="E10" s="2">
        <v>3</v>
      </c>
      <c r="F10" s="62"/>
      <c r="G10" s="30">
        <v>33344</v>
      </c>
      <c r="H10" s="2">
        <v>28</v>
      </c>
      <c r="I10" s="2">
        <v>0</v>
      </c>
      <c r="J10" s="2">
        <v>62</v>
      </c>
    </row>
    <row r="11" spans="1:14" x14ac:dyDescent="0.25">
      <c r="A11" s="2">
        <v>540230</v>
      </c>
      <c r="B11" s="2" t="s">
        <v>280</v>
      </c>
      <c r="C11" s="2" t="s">
        <v>7</v>
      </c>
      <c r="D11" s="2" t="s">
        <v>115</v>
      </c>
      <c r="E11" s="2">
        <v>3</v>
      </c>
      <c r="F11" s="62"/>
      <c r="G11" s="30">
        <v>33344</v>
      </c>
      <c r="H11" s="2">
        <v>60</v>
      </c>
      <c r="I11" s="2">
        <v>9</v>
      </c>
      <c r="J11" s="2">
        <v>91</v>
      </c>
    </row>
    <row r="12" spans="1:14" x14ac:dyDescent="0.25">
      <c r="A12" s="2">
        <v>540238</v>
      </c>
      <c r="B12" s="2" t="s">
        <v>286</v>
      </c>
      <c r="C12" s="2" t="s">
        <v>7</v>
      </c>
      <c r="D12" s="2" t="s">
        <v>115</v>
      </c>
      <c r="E12" s="2">
        <v>3</v>
      </c>
      <c r="F12" s="62"/>
      <c r="G12" s="30">
        <v>33344</v>
      </c>
      <c r="H12" s="2">
        <v>60</v>
      </c>
      <c r="I12" s="2">
        <v>0</v>
      </c>
      <c r="J12" s="2">
        <v>9</v>
      </c>
    </row>
    <row r="13" spans="1:14" x14ac:dyDescent="0.25">
      <c r="A13" s="2"/>
      <c r="B13" s="2"/>
      <c r="C13" s="2" t="s">
        <v>7</v>
      </c>
      <c r="D13" s="2"/>
      <c r="E13" s="2"/>
      <c r="F13" s="62"/>
      <c r="G13" s="2"/>
      <c r="H13" s="2">
        <v>1360</v>
      </c>
      <c r="I13" s="2">
        <v>301</v>
      </c>
      <c r="J13" s="2">
        <v>2449</v>
      </c>
    </row>
    <row r="14" spans="1:14" x14ac:dyDescent="0.25">
      <c r="A14" s="1">
        <v>540009</v>
      </c>
      <c r="B14" s="1" t="s">
        <v>8</v>
      </c>
      <c r="C14" s="1" t="s">
        <v>9</v>
      </c>
      <c r="D14" s="1" t="s">
        <v>5</v>
      </c>
      <c r="E14" s="1">
        <v>7</v>
      </c>
      <c r="F14" s="63"/>
      <c r="G14" s="29">
        <v>40287</v>
      </c>
      <c r="H14" s="1">
        <v>675</v>
      </c>
      <c r="I14" s="1">
        <v>30</v>
      </c>
      <c r="J14" s="1">
        <v>585</v>
      </c>
    </row>
    <row r="15" spans="1:14" x14ac:dyDescent="0.25">
      <c r="A15" s="2">
        <v>540010</v>
      </c>
      <c r="B15" s="2" t="s">
        <v>121</v>
      </c>
      <c r="C15" s="2" t="s">
        <v>9</v>
      </c>
      <c r="D15" s="2" t="s">
        <v>115</v>
      </c>
      <c r="E15" s="2">
        <v>7</v>
      </c>
      <c r="F15" s="62"/>
      <c r="G15" s="30">
        <v>40287</v>
      </c>
      <c r="H15" s="2">
        <v>13</v>
      </c>
      <c r="I15" s="2">
        <v>0</v>
      </c>
      <c r="J15" s="2">
        <v>22</v>
      </c>
    </row>
    <row r="16" spans="1:14" x14ac:dyDescent="0.25">
      <c r="A16" s="2">
        <v>540235</v>
      </c>
      <c r="B16" s="2" t="s">
        <v>283</v>
      </c>
      <c r="C16" s="2" t="s">
        <v>9</v>
      </c>
      <c r="D16" s="2" t="s">
        <v>115</v>
      </c>
      <c r="E16" s="2">
        <v>7</v>
      </c>
      <c r="F16" s="62"/>
      <c r="G16" s="30">
        <v>40287</v>
      </c>
      <c r="H16" s="2">
        <v>0</v>
      </c>
      <c r="I16" s="2">
        <v>0</v>
      </c>
      <c r="J16" s="2">
        <v>0</v>
      </c>
    </row>
    <row r="17" spans="1:10" x14ac:dyDescent="0.25">
      <c r="A17" s="2">
        <v>540236</v>
      </c>
      <c r="B17" s="2" t="s">
        <v>284</v>
      </c>
      <c r="C17" s="2" t="s">
        <v>9</v>
      </c>
      <c r="D17" s="2" t="s">
        <v>115</v>
      </c>
      <c r="E17" s="2">
        <v>7</v>
      </c>
      <c r="F17" s="62"/>
      <c r="G17" s="30">
        <v>40287</v>
      </c>
      <c r="H17" s="2">
        <v>24</v>
      </c>
      <c r="I17" s="2">
        <v>0</v>
      </c>
      <c r="J17" s="2">
        <v>17</v>
      </c>
    </row>
    <row r="18" spans="1:10" x14ac:dyDescent="0.25">
      <c r="A18" s="2">
        <v>540237</v>
      </c>
      <c r="B18" s="2" t="s">
        <v>285</v>
      </c>
      <c r="C18" s="2" t="s">
        <v>9</v>
      </c>
      <c r="D18" s="2" t="s">
        <v>115</v>
      </c>
      <c r="E18" s="2">
        <v>7</v>
      </c>
      <c r="F18" s="62"/>
      <c r="G18" s="30">
        <v>40287</v>
      </c>
      <c r="H18" s="2">
        <v>31</v>
      </c>
      <c r="I18" s="2">
        <v>1</v>
      </c>
      <c r="J18" s="2">
        <v>25</v>
      </c>
    </row>
    <row r="19" spans="1:10" x14ac:dyDescent="0.25">
      <c r="A19" s="2"/>
      <c r="B19" s="2"/>
      <c r="C19" s="2" t="s">
        <v>9</v>
      </c>
      <c r="D19" s="2"/>
      <c r="E19" s="2"/>
      <c r="F19" s="62"/>
      <c r="G19" s="2"/>
      <c r="H19" s="2">
        <v>743</v>
      </c>
      <c r="I19" s="2">
        <v>31</v>
      </c>
      <c r="J19" s="2">
        <v>649</v>
      </c>
    </row>
    <row r="20" spans="1:10" x14ac:dyDescent="0.25">
      <c r="A20" s="1">
        <v>540011</v>
      </c>
      <c r="B20" s="1" t="s">
        <v>10</v>
      </c>
      <c r="C20" s="1" t="s">
        <v>11</v>
      </c>
      <c r="D20" s="1" t="s">
        <v>5</v>
      </c>
      <c r="E20" s="1">
        <v>11</v>
      </c>
      <c r="F20" s="63"/>
      <c r="G20" s="29">
        <v>30665</v>
      </c>
      <c r="H20" s="1">
        <v>165</v>
      </c>
      <c r="I20" s="1">
        <v>31</v>
      </c>
      <c r="J20" s="1">
        <v>162</v>
      </c>
    </row>
    <row r="21" spans="1:10" x14ac:dyDescent="0.25">
      <c r="A21" s="2">
        <v>540012</v>
      </c>
      <c r="B21" s="2" t="s">
        <v>122</v>
      </c>
      <c r="C21" s="2" t="s">
        <v>11</v>
      </c>
      <c r="D21" s="2" t="s">
        <v>115</v>
      </c>
      <c r="E21" s="2">
        <v>11</v>
      </c>
      <c r="F21" s="62"/>
      <c r="G21" s="30">
        <v>29126</v>
      </c>
      <c r="H21" s="2">
        <v>3</v>
      </c>
      <c r="I21" s="2">
        <v>0</v>
      </c>
      <c r="J21" s="2">
        <v>13</v>
      </c>
    </row>
    <row r="22" spans="1:10" x14ac:dyDescent="0.25">
      <c r="A22" s="2">
        <v>540013</v>
      </c>
      <c r="B22" s="2" t="s">
        <v>123</v>
      </c>
      <c r="C22" s="2" t="s">
        <v>11</v>
      </c>
      <c r="D22" s="2" t="s">
        <v>115</v>
      </c>
      <c r="E22" s="2">
        <v>11</v>
      </c>
      <c r="F22" s="62"/>
      <c r="G22" s="30">
        <v>30224</v>
      </c>
      <c r="H22" s="2">
        <v>88</v>
      </c>
      <c r="I22" s="2">
        <v>9</v>
      </c>
      <c r="J22" s="2">
        <v>15</v>
      </c>
    </row>
    <row r="23" spans="1:10" x14ac:dyDescent="0.25">
      <c r="A23" s="2">
        <v>540014</v>
      </c>
      <c r="B23" s="2" t="s">
        <v>124</v>
      </c>
      <c r="C23" s="2" t="s">
        <v>11</v>
      </c>
      <c r="D23" s="2" t="s">
        <v>115</v>
      </c>
      <c r="E23" s="2">
        <v>11</v>
      </c>
      <c r="F23" s="62"/>
      <c r="G23" s="30">
        <v>29126</v>
      </c>
      <c r="H23" s="2">
        <v>38</v>
      </c>
      <c r="I23" s="2">
        <v>36</v>
      </c>
      <c r="J23" s="2">
        <v>41</v>
      </c>
    </row>
    <row r="24" spans="1:10" x14ac:dyDescent="0.25">
      <c r="A24" s="2">
        <v>540015</v>
      </c>
      <c r="B24" s="2" t="s">
        <v>125</v>
      </c>
      <c r="C24" s="2" t="s">
        <v>11</v>
      </c>
      <c r="D24" s="2" t="s">
        <v>115</v>
      </c>
      <c r="E24" s="2">
        <v>11</v>
      </c>
      <c r="F24" s="62"/>
      <c r="G24" s="30">
        <v>30272</v>
      </c>
      <c r="H24" s="2">
        <v>1162</v>
      </c>
      <c r="I24" s="2">
        <v>72</v>
      </c>
      <c r="J24" s="2">
        <v>97</v>
      </c>
    </row>
    <row r="25" spans="1:10" x14ac:dyDescent="0.25">
      <c r="A25" s="2">
        <v>540093</v>
      </c>
      <c r="B25" s="2" t="s">
        <v>184</v>
      </c>
      <c r="C25" s="2" t="s">
        <v>11</v>
      </c>
      <c r="D25" s="2" t="s">
        <v>115</v>
      </c>
      <c r="E25" s="2">
        <v>11</v>
      </c>
      <c r="F25" s="62"/>
      <c r="G25" s="30">
        <v>40287</v>
      </c>
      <c r="H25" s="2">
        <v>26</v>
      </c>
      <c r="I25" s="2">
        <v>0</v>
      </c>
      <c r="J25" s="2">
        <v>10</v>
      </c>
    </row>
    <row r="26" spans="1:10" x14ac:dyDescent="0.25">
      <c r="A26" s="2">
        <v>540084</v>
      </c>
      <c r="B26" s="2" t="s">
        <v>341</v>
      </c>
      <c r="C26" s="2" t="s">
        <v>11</v>
      </c>
      <c r="D26" s="2" t="s">
        <v>115</v>
      </c>
      <c r="E26" s="2">
        <v>11</v>
      </c>
      <c r="F26" s="62"/>
      <c r="G26" s="30">
        <v>30665</v>
      </c>
      <c r="H26" s="2">
        <v>0</v>
      </c>
      <c r="I26" s="2">
        <v>0</v>
      </c>
      <c r="J26" s="2">
        <v>0</v>
      </c>
    </row>
    <row r="27" spans="1:10" x14ac:dyDescent="0.25">
      <c r="A27" s="2"/>
      <c r="B27" s="2"/>
      <c r="C27" s="2" t="s">
        <v>11</v>
      </c>
      <c r="D27" s="2"/>
      <c r="E27" s="2"/>
      <c r="F27" s="62"/>
      <c r="G27" s="2"/>
      <c r="H27" s="2">
        <v>1482</v>
      </c>
      <c r="I27" s="2">
        <v>148</v>
      </c>
      <c r="J27" s="2">
        <v>338</v>
      </c>
    </row>
    <row r="28" spans="1:10" x14ac:dyDescent="0.25">
      <c r="A28" s="1">
        <v>540016</v>
      </c>
      <c r="B28" s="1" t="s">
        <v>12</v>
      </c>
      <c r="C28" s="1" t="s">
        <v>13</v>
      </c>
      <c r="D28" s="1" t="s">
        <v>5</v>
      </c>
      <c r="E28" s="1">
        <v>2</v>
      </c>
      <c r="F28" s="63"/>
      <c r="G28" s="29">
        <v>32050</v>
      </c>
      <c r="H28" s="1">
        <v>716</v>
      </c>
      <c r="I28" s="1">
        <v>322</v>
      </c>
      <c r="J28" s="1">
        <v>494</v>
      </c>
    </row>
    <row r="29" spans="1:10" x14ac:dyDescent="0.25">
      <c r="A29" s="2">
        <v>540017</v>
      </c>
      <c r="B29" s="2" t="s">
        <v>126</v>
      </c>
      <c r="C29" s="2" t="s">
        <v>13</v>
      </c>
      <c r="D29" s="2" t="s">
        <v>115</v>
      </c>
      <c r="E29" s="2">
        <v>2</v>
      </c>
      <c r="F29" s="62"/>
      <c r="G29" s="30">
        <v>32297</v>
      </c>
      <c r="H29" s="2">
        <v>15</v>
      </c>
      <c r="I29" s="2">
        <v>10</v>
      </c>
      <c r="J29" s="2">
        <v>6</v>
      </c>
    </row>
    <row r="30" spans="1:10" x14ac:dyDescent="0.25">
      <c r="A30" s="2">
        <v>540018</v>
      </c>
      <c r="B30" s="2" t="s">
        <v>127</v>
      </c>
      <c r="C30" s="2" t="s">
        <v>13</v>
      </c>
      <c r="D30" s="2" t="s">
        <v>115</v>
      </c>
      <c r="E30" s="2">
        <v>2</v>
      </c>
      <c r="F30" s="62"/>
      <c r="G30" s="30">
        <v>32890</v>
      </c>
      <c r="H30" s="2">
        <v>438</v>
      </c>
      <c r="I30" s="2">
        <v>11</v>
      </c>
      <c r="J30" s="2">
        <v>10</v>
      </c>
    </row>
    <row r="31" spans="1:10" x14ac:dyDescent="0.25">
      <c r="A31" s="2">
        <v>540019</v>
      </c>
      <c r="B31" s="2" t="s">
        <v>128</v>
      </c>
      <c r="C31" s="2" t="s">
        <v>13</v>
      </c>
      <c r="D31" s="2" t="s">
        <v>115</v>
      </c>
      <c r="E31" s="2">
        <v>2</v>
      </c>
      <c r="F31" s="62"/>
      <c r="G31" s="30">
        <v>32050</v>
      </c>
      <c r="H31" s="2">
        <v>281</v>
      </c>
      <c r="I31" s="2">
        <v>53</v>
      </c>
      <c r="J31" s="2">
        <v>83</v>
      </c>
    </row>
    <row r="32" spans="1:10" x14ac:dyDescent="0.25">
      <c r="A32" s="2"/>
      <c r="B32" s="2"/>
      <c r="C32" s="2" t="s">
        <v>13</v>
      </c>
      <c r="D32" s="2"/>
      <c r="E32" s="2"/>
      <c r="F32" s="62"/>
      <c r="G32" s="2"/>
      <c r="H32" s="2">
        <v>1450</v>
      </c>
      <c r="I32" s="2">
        <v>396</v>
      </c>
      <c r="J32" s="2">
        <v>593</v>
      </c>
    </row>
    <row r="33" spans="1:10" x14ac:dyDescent="0.25">
      <c r="A33" s="1">
        <v>540020</v>
      </c>
      <c r="B33" s="1" t="s">
        <v>14</v>
      </c>
      <c r="C33" s="1" t="s">
        <v>15</v>
      </c>
      <c r="D33" s="1" t="s">
        <v>5</v>
      </c>
      <c r="E33" s="1">
        <v>5</v>
      </c>
      <c r="F33" s="63"/>
      <c r="G33" s="29">
        <v>33315</v>
      </c>
      <c r="H33" s="1">
        <v>137</v>
      </c>
      <c r="I33" s="1">
        <v>18</v>
      </c>
      <c r="J33" s="1">
        <v>90</v>
      </c>
    </row>
    <row r="34" spans="1:10" x14ac:dyDescent="0.25">
      <c r="A34" s="2">
        <v>540021</v>
      </c>
      <c r="B34" s="2" t="s">
        <v>129</v>
      </c>
      <c r="C34" s="2" t="s">
        <v>15</v>
      </c>
      <c r="D34" s="2" t="s">
        <v>115</v>
      </c>
      <c r="E34" s="2">
        <v>5</v>
      </c>
      <c r="F34" s="62"/>
      <c r="G34" s="30">
        <v>33315</v>
      </c>
      <c r="H34" s="2">
        <v>95</v>
      </c>
      <c r="I34" s="2">
        <v>1</v>
      </c>
      <c r="J34" s="2">
        <v>31</v>
      </c>
    </row>
    <row r="35" spans="1:10" x14ac:dyDescent="0.25">
      <c r="A35" s="2"/>
      <c r="B35" s="2"/>
      <c r="C35" s="2" t="s">
        <v>15</v>
      </c>
      <c r="D35" s="2"/>
      <c r="E35" s="2"/>
      <c r="F35" s="62"/>
      <c r="G35" s="2"/>
      <c r="H35" s="2">
        <v>232</v>
      </c>
      <c r="I35" s="2">
        <v>19</v>
      </c>
      <c r="J35" s="2">
        <v>121</v>
      </c>
    </row>
    <row r="36" spans="1:10" x14ac:dyDescent="0.25">
      <c r="A36" s="3">
        <v>540022</v>
      </c>
      <c r="B36" s="3" t="s">
        <v>16</v>
      </c>
      <c r="C36" s="3" t="s">
        <v>17</v>
      </c>
      <c r="D36" s="3" t="s">
        <v>5</v>
      </c>
      <c r="E36" s="3">
        <v>3</v>
      </c>
      <c r="F36" s="63"/>
      <c r="G36" s="214">
        <v>33315</v>
      </c>
      <c r="H36" s="3">
        <v>586</v>
      </c>
      <c r="I36" s="3">
        <v>247</v>
      </c>
      <c r="J36" s="3">
        <v>861</v>
      </c>
    </row>
    <row r="37" spans="1:10" x14ac:dyDescent="0.25">
      <c r="A37" s="2">
        <v>540023</v>
      </c>
      <c r="B37" s="2" t="s">
        <v>130</v>
      </c>
      <c r="C37" s="2" t="s">
        <v>17</v>
      </c>
      <c r="D37" s="2" t="s">
        <v>115</v>
      </c>
      <c r="E37" s="2">
        <v>3</v>
      </c>
      <c r="F37" s="62"/>
      <c r="G37" s="30">
        <v>33315</v>
      </c>
      <c r="H37" s="2">
        <v>24</v>
      </c>
      <c r="I37" s="2">
        <v>8</v>
      </c>
      <c r="J37" s="2">
        <v>19</v>
      </c>
    </row>
    <row r="38" spans="1:10" x14ac:dyDescent="0.25">
      <c r="A38" s="2"/>
      <c r="B38" s="2"/>
      <c r="C38" s="2" t="s">
        <v>17</v>
      </c>
      <c r="D38" s="2"/>
      <c r="E38" s="2"/>
      <c r="F38" s="62"/>
      <c r="G38" s="2"/>
      <c r="H38" s="2">
        <v>610</v>
      </c>
      <c r="I38" s="2">
        <v>255</v>
      </c>
      <c r="J38" s="2">
        <v>880</v>
      </c>
    </row>
    <row r="39" spans="1:10" x14ac:dyDescent="0.25">
      <c r="A39" s="1">
        <v>540024</v>
      </c>
      <c r="B39" s="1" t="s">
        <v>18</v>
      </c>
      <c r="C39" s="1" t="s">
        <v>19</v>
      </c>
      <c r="D39" s="1" t="s">
        <v>5</v>
      </c>
      <c r="E39" s="1">
        <v>6</v>
      </c>
      <c r="F39" s="63"/>
      <c r="G39" s="29">
        <v>33315</v>
      </c>
      <c r="H39" s="1">
        <v>704</v>
      </c>
      <c r="I39" s="1">
        <v>194</v>
      </c>
      <c r="J39" s="1">
        <v>493</v>
      </c>
    </row>
    <row r="40" spans="1:10" x14ac:dyDescent="0.25">
      <c r="A40" s="2">
        <v>540025</v>
      </c>
      <c r="B40" s="2" t="s">
        <v>131</v>
      </c>
      <c r="C40" s="2" t="s">
        <v>19</v>
      </c>
      <c r="D40" s="2" t="s">
        <v>115</v>
      </c>
      <c r="E40" s="2">
        <v>6</v>
      </c>
      <c r="F40" s="62"/>
      <c r="G40" s="30">
        <v>33315</v>
      </c>
      <c r="H40" s="2">
        <v>10</v>
      </c>
      <c r="I40" s="2">
        <v>0</v>
      </c>
      <c r="J40" s="2">
        <v>5</v>
      </c>
    </row>
    <row r="41" spans="1:10" x14ac:dyDescent="0.25">
      <c r="A41" s="2"/>
      <c r="B41" s="2"/>
      <c r="C41" s="2" t="s">
        <v>19</v>
      </c>
      <c r="D41" s="2"/>
      <c r="E41" s="2"/>
      <c r="F41" s="62"/>
      <c r="G41" s="2"/>
      <c r="H41" s="2">
        <v>714</v>
      </c>
      <c r="I41" s="2">
        <v>194</v>
      </c>
      <c r="J41" s="2">
        <v>498</v>
      </c>
    </row>
    <row r="42" spans="1:10" x14ac:dyDescent="0.25">
      <c r="A42" s="1">
        <v>540035</v>
      </c>
      <c r="B42" s="1" t="s">
        <v>22</v>
      </c>
      <c r="C42" s="1" t="s">
        <v>23</v>
      </c>
      <c r="D42" s="1" t="s">
        <v>5</v>
      </c>
      <c r="E42" s="1">
        <v>7</v>
      </c>
      <c r="F42" s="63"/>
      <c r="G42" s="29">
        <v>33344</v>
      </c>
      <c r="H42" s="1">
        <v>346</v>
      </c>
      <c r="I42" s="1">
        <v>54</v>
      </c>
      <c r="J42" s="1">
        <v>249</v>
      </c>
    </row>
    <row r="43" spans="1:10" x14ac:dyDescent="0.25">
      <c r="A43" s="2">
        <v>540036</v>
      </c>
      <c r="B43" s="2" t="s">
        <v>139</v>
      </c>
      <c r="C43" s="2" t="s">
        <v>23</v>
      </c>
      <c r="D43" s="2" t="s">
        <v>115</v>
      </c>
      <c r="E43" s="2">
        <v>7</v>
      </c>
      <c r="F43" s="62"/>
      <c r="G43" s="30">
        <v>33344</v>
      </c>
      <c r="H43" s="2">
        <v>84</v>
      </c>
      <c r="I43" s="2">
        <v>6</v>
      </c>
      <c r="J43" s="2">
        <v>44</v>
      </c>
    </row>
    <row r="44" spans="1:10" x14ac:dyDescent="0.25">
      <c r="A44" s="2">
        <v>540037</v>
      </c>
      <c r="B44" s="2" t="s">
        <v>140</v>
      </c>
      <c r="C44" s="2" t="s">
        <v>23</v>
      </c>
      <c r="D44" s="2" t="s">
        <v>115</v>
      </c>
      <c r="E44" s="2">
        <v>7</v>
      </c>
      <c r="F44" s="62"/>
      <c r="G44" s="30">
        <v>33344</v>
      </c>
      <c r="H44" s="2">
        <v>11</v>
      </c>
      <c r="I44" s="2">
        <v>2</v>
      </c>
      <c r="J44" s="2">
        <v>9</v>
      </c>
    </row>
    <row r="45" spans="1:10" x14ac:dyDescent="0.25">
      <c r="A45" s="2"/>
      <c r="B45" s="2"/>
      <c r="C45" s="2" t="s">
        <v>23</v>
      </c>
      <c r="D45" s="2"/>
      <c r="E45" s="2"/>
      <c r="F45" s="62"/>
      <c r="G45" s="2"/>
      <c r="H45" s="2">
        <v>441</v>
      </c>
      <c r="I45" s="2">
        <v>62</v>
      </c>
      <c r="J45" s="2">
        <v>302</v>
      </c>
    </row>
    <row r="46" spans="1:10" x14ac:dyDescent="0.25">
      <c r="A46" s="1">
        <v>540038</v>
      </c>
      <c r="B46" s="1" t="s">
        <v>24</v>
      </c>
      <c r="C46" s="1" t="s">
        <v>25</v>
      </c>
      <c r="D46" s="1" t="s">
        <v>5</v>
      </c>
      <c r="E46" s="1">
        <v>8</v>
      </c>
      <c r="F46" s="63"/>
      <c r="G46" s="29">
        <v>31990</v>
      </c>
      <c r="H46" s="1">
        <v>109</v>
      </c>
      <c r="I46" s="1">
        <v>65</v>
      </c>
      <c r="J46" s="1">
        <v>106</v>
      </c>
    </row>
    <row r="47" spans="1:10" x14ac:dyDescent="0.25">
      <c r="A47" s="2">
        <v>540039</v>
      </c>
      <c r="B47" s="2" t="s">
        <v>141</v>
      </c>
      <c r="C47" s="2" t="s">
        <v>25</v>
      </c>
      <c r="D47" s="2" t="s">
        <v>115</v>
      </c>
      <c r="E47" s="2">
        <v>8</v>
      </c>
      <c r="F47" s="62"/>
      <c r="G47" s="30">
        <v>32996</v>
      </c>
      <c r="H47" s="2">
        <v>3</v>
      </c>
      <c r="I47" s="2">
        <v>2</v>
      </c>
      <c r="J47" s="2">
        <v>0</v>
      </c>
    </row>
    <row r="48" spans="1:10" x14ac:dyDescent="0.25">
      <c r="A48" s="2">
        <v>540240</v>
      </c>
      <c r="B48" s="2" t="s">
        <v>287</v>
      </c>
      <c r="C48" s="2" t="s">
        <v>25</v>
      </c>
      <c r="D48" s="2" t="s">
        <v>115</v>
      </c>
      <c r="E48" s="2">
        <v>8</v>
      </c>
      <c r="F48" s="62"/>
      <c r="G48" s="30">
        <v>29077</v>
      </c>
      <c r="H48" s="2">
        <v>9</v>
      </c>
      <c r="I48" s="2">
        <v>0</v>
      </c>
      <c r="J48" s="2">
        <v>12</v>
      </c>
    </row>
    <row r="49" spans="1:10" x14ac:dyDescent="0.25">
      <c r="A49" s="2"/>
      <c r="B49" s="2"/>
      <c r="C49" s="2" t="s">
        <v>25</v>
      </c>
      <c r="D49" s="2"/>
      <c r="E49" s="2"/>
      <c r="F49" s="62"/>
      <c r="G49" s="2"/>
      <c r="H49" s="2">
        <v>121</v>
      </c>
      <c r="I49" s="2">
        <v>67</v>
      </c>
      <c r="J49" s="2">
        <v>118</v>
      </c>
    </row>
    <row r="50" spans="1:10" x14ac:dyDescent="0.25">
      <c r="A50" s="1">
        <v>540040</v>
      </c>
      <c r="B50" s="1" t="s">
        <v>26</v>
      </c>
      <c r="C50" s="1" t="s">
        <v>27</v>
      </c>
      <c r="D50" s="1" t="s">
        <v>5</v>
      </c>
      <c r="E50" s="1">
        <v>4</v>
      </c>
      <c r="F50" s="63"/>
      <c r="G50" s="29">
        <v>32157</v>
      </c>
      <c r="H50" s="1">
        <v>420</v>
      </c>
      <c r="I50" s="1">
        <v>158</v>
      </c>
      <c r="J50" s="1">
        <v>410</v>
      </c>
    </row>
    <row r="51" spans="1:10" x14ac:dyDescent="0.25">
      <c r="A51" s="2">
        <v>540041</v>
      </c>
      <c r="B51" s="2" t="s">
        <v>142</v>
      </c>
      <c r="C51" s="2" t="s">
        <v>27</v>
      </c>
      <c r="D51" s="2" t="s">
        <v>115</v>
      </c>
      <c r="E51" s="2">
        <v>4</v>
      </c>
      <c r="F51" s="62"/>
      <c r="G51" s="30">
        <v>33508</v>
      </c>
      <c r="H51" s="2">
        <v>169</v>
      </c>
      <c r="I51" s="2">
        <v>8</v>
      </c>
      <c r="J51" s="2">
        <v>57</v>
      </c>
    </row>
    <row r="52" spans="1:10" x14ac:dyDescent="0.25">
      <c r="A52" s="2">
        <v>540043</v>
      </c>
      <c r="B52" s="2" t="s">
        <v>144</v>
      </c>
      <c r="C52" s="2" t="s">
        <v>27</v>
      </c>
      <c r="D52" s="2" t="s">
        <v>115</v>
      </c>
      <c r="E52" s="2">
        <v>4</v>
      </c>
      <c r="F52" s="62"/>
      <c r="G52" s="30">
        <v>33010</v>
      </c>
      <c r="H52" s="2">
        <v>53</v>
      </c>
      <c r="I52" s="2">
        <v>3</v>
      </c>
      <c r="J52" s="2">
        <v>13</v>
      </c>
    </row>
    <row r="53" spans="1:10" x14ac:dyDescent="0.25">
      <c r="A53" s="2">
        <v>540044</v>
      </c>
      <c r="B53" s="2" t="s">
        <v>145</v>
      </c>
      <c r="C53" s="2" t="s">
        <v>27</v>
      </c>
      <c r="D53" s="2" t="s">
        <v>115</v>
      </c>
      <c r="E53" s="2">
        <v>4</v>
      </c>
      <c r="F53" s="62"/>
      <c r="G53" s="30">
        <v>30918</v>
      </c>
      <c r="H53" s="2">
        <v>9</v>
      </c>
      <c r="I53" s="2">
        <v>5</v>
      </c>
      <c r="J53" s="2">
        <v>10</v>
      </c>
    </row>
    <row r="54" spans="1:10" x14ac:dyDescent="0.25">
      <c r="A54" s="2">
        <v>540045</v>
      </c>
      <c r="B54" s="2" t="s">
        <v>146</v>
      </c>
      <c r="C54" s="2" t="s">
        <v>27</v>
      </c>
      <c r="D54" s="2" t="s">
        <v>115</v>
      </c>
      <c r="E54" s="2">
        <v>4</v>
      </c>
      <c r="F54" s="62"/>
      <c r="G54" s="30">
        <v>28703</v>
      </c>
      <c r="H54" s="2">
        <v>356</v>
      </c>
      <c r="I54" s="2">
        <v>26</v>
      </c>
      <c r="J54" s="2">
        <v>88</v>
      </c>
    </row>
    <row r="55" spans="1:10" x14ac:dyDescent="0.25">
      <c r="A55" s="2">
        <v>540228</v>
      </c>
      <c r="B55" s="2" t="s">
        <v>278</v>
      </c>
      <c r="C55" s="2" t="s">
        <v>27</v>
      </c>
      <c r="D55" s="2" t="s">
        <v>115</v>
      </c>
      <c r="E55" s="2">
        <v>4</v>
      </c>
      <c r="F55" s="62"/>
      <c r="G55" s="30">
        <v>32100</v>
      </c>
      <c r="H55" s="2">
        <v>5</v>
      </c>
      <c r="I55" s="2">
        <v>1</v>
      </c>
      <c r="J55" s="2">
        <v>13</v>
      </c>
    </row>
    <row r="56" spans="1:10" x14ac:dyDescent="0.25">
      <c r="A56" s="2">
        <v>540243</v>
      </c>
      <c r="B56" s="2" t="s">
        <v>290</v>
      </c>
      <c r="C56" s="2" t="s">
        <v>27</v>
      </c>
      <c r="D56" s="2" t="s">
        <v>115</v>
      </c>
      <c r="E56" s="2">
        <v>4</v>
      </c>
      <c r="F56" s="62"/>
      <c r="G56" s="30">
        <v>30949</v>
      </c>
      <c r="H56" s="2">
        <v>0</v>
      </c>
      <c r="I56" s="2">
        <v>2</v>
      </c>
      <c r="J56" s="2">
        <v>5</v>
      </c>
    </row>
    <row r="57" spans="1:10" x14ac:dyDescent="0.25">
      <c r="A57" s="2">
        <v>540244</v>
      </c>
      <c r="B57" s="2" t="s">
        <v>291</v>
      </c>
      <c r="C57" s="2" t="s">
        <v>27</v>
      </c>
      <c r="D57" s="2" t="s">
        <v>115</v>
      </c>
      <c r="E57" s="2">
        <v>4</v>
      </c>
      <c r="F57" s="62"/>
      <c r="G57" s="30">
        <v>29644</v>
      </c>
      <c r="H57" s="2">
        <v>0</v>
      </c>
      <c r="I57" s="2">
        <v>0</v>
      </c>
      <c r="J57" s="2">
        <v>0</v>
      </c>
    </row>
    <row r="58" spans="1:10" x14ac:dyDescent="0.25">
      <c r="A58" s="2">
        <v>540281</v>
      </c>
      <c r="B58" s="2" t="s">
        <v>322</v>
      </c>
      <c r="C58" s="2" t="s">
        <v>27</v>
      </c>
      <c r="D58" s="2" t="s">
        <v>115</v>
      </c>
      <c r="E58" s="2">
        <v>4</v>
      </c>
      <c r="F58" s="62"/>
      <c r="G58" s="30">
        <v>41198</v>
      </c>
      <c r="H58" s="2">
        <v>0</v>
      </c>
      <c r="I58" s="2">
        <v>0</v>
      </c>
      <c r="J58" s="2">
        <v>0</v>
      </c>
    </row>
    <row r="59" spans="1:10" x14ac:dyDescent="0.25">
      <c r="A59" s="2"/>
      <c r="B59" s="2"/>
      <c r="C59" s="2" t="s">
        <v>27</v>
      </c>
      <c r="D59" s="2"/>
      <c r="E59" s="2"/>
      <c r="F59" s="62"/>
      <c r="G59" s="2"/>
      <c r="H59" s="2">
        <v>1012</v>
      </c>
      <c r="I59" s="2">
        <v>203</v>
      </c>
      <c r="J59" s="2">
        <v>596</v>
      </c>
    </row>
    <row r="60" spans="1:10" x14ac:dyDescent="0.25">
      <c r="A60" s="1">
        <v>540047</v>
      </c>
      <c r="B60" s="1" t="s">
        <v>28</v>
      </c>
      <c r="C60" s="1" t="s">
        <v>29</v>
      </c>
      <c r="D60" s="1" t="s">
        <v>5</v>
      </c>
      <c r="E60" s="1">
        <v>11</v>
      </c>
      <c r="F60" s="63"/>
      <c r="G60" s="29">
        <v>30848</v>
      </c>
      <c r="H60" s="1">
        <v>139</v>
      </c>
      <c r="I60" s="1">
        <v>19</v>
      </c>
      <c r="J60" s="1">
        <v>87</v>
      </c>
    </row>
    <row r="61" spans="1:10" x14ac:dyDescent="0.25">
      <c r="A61" s="2">
        <v>540014</v>
      </c>
      <c r="B61" s="2" t="s">
        <v>124</v>
      </c>
      <c r="C61" s="2" t="s">
        <v>29</v>
      </c>
      <c r="D61" s="2" t="s">
        <v>115</v>
      </c>
      <c r="E61" s="2">
        <v>11</v>
      </c>
      <c r="F61" s="62"/>
      <c r="G61" s="30">
        <v>29126</v>
      </c>
      <c r="H61" s="2">
        <v>112</v>
      </c>
      <c r="I61" s="2">
        <v>0</v>
      </c>
      <c r="J61" s="2">
        <v>8</v>
      </c>
    </row>
    <row r="62" spans="1:10" x14ac:dyDescent="0.25">
      <c r="A62" s="2">
        <v>540048</v>
      </c>
      <c r="B62" s="2" t="s">
        <v>148</v>
      </c>
      <c r="C62" s="2" t="s">
        <v>29</v>
      </c>
      <c r="D62" s="2" t="s">
        <v>115</v>
      </c>
      <c r="E62" s="2">
        <v>11</v>
      </c>
      <c r="F62" s="62"/>
      <c r="G62" s="30">
        <v>30286</v>
      </c>
      <c r="H62" s="2">
        <v>13</v>
      </c>
      <c r="I62" s="2">
        <v>1</v>
      </c>
      <c r="J62" s="2">
        <v>1</v>
      </c>
    </row>
    <row r="63" spans="1:10" x14ac:dyDescent="0.25">
      <c r="A63" s="2">
        <v>540049</v>
      </c>
      <c r="B63" s="2" t="s">
        <v>149</v>
      </c>
      <c r="C63" s="2" t="s">
        <v>29</v>
      </c>
      <c r="D63" s="2" t="s">
        <v>115</v>
      </c>
      <c r="E63" s="2">
        <v>11</v>
      </c>
      <c r="F63" s="62"/>
      <c r="G63" s="30">
        <v>29356</v>
      </c>
      <c r="H63" s="2">
        <v>116</v>
      </c>
      <c r="I63" s="2">
        <v>25</v>
      </c>
      <c r="J63" s="2">
        <v>35</v>
      </c>
    </row>
    <row r="64" spans="1:10" x14ac:dyDescent="0.25">
      <c r="A64" s="2"/>
      <c r="B64" s="2"/>
      <c r="C64" s="2" t="s">
        <v>29</v>
      </c>
      <c r="D64" s="2"/>
      <c r="E64" s="2"/>
      <c r="F64" s="62"/>
      <c r="G64" s="2"/>
      <c r="H64" s="2">
        <v>380</v>
      </c>
      <c r="I64" s="2">
        <v>45</v>
      </c>
      <c r="J64" s="2">
        <v>131</v>
      </c>
    </row>
    <row r="65" spans="1:10" x14ac:dyDescent="0.25">
      <c r="A65" s="1">
        <v>540051</v>
      </c>
      <c r="B65" s="1" t="s">
        <v>30</v>
      </c>
      <c r="C65" s="1" t="s">
        <v>31</v>
      </c>
      <c r="D65" s="1" t="s">
        <v>5</v>
      </c>
      <c r="E65" s="1">
        <v>8</v>
      </c>
      <c r="F65" s="63"/>
      <c r="G65" s="29">
        <v>31217</v>
      </c>
      <c r="H65" s="1">
        <v>128</v>
      </c>
      <c r="I65" s="1">
        <v>59</v>
      </c>
      <c r="J65" s="1">
        <v>229</v>
      </c>
    </row>
    <row r="66" spans="1:10" x14ac:dyDescent="0.25">
      <c r="A66" s="2">
        <v>540052</v>
      </c>
      <c r="B66" s="2" t="s">
        <v>151</v>
      </c>
      <c r="C66" s="2" t="s">
        <v>31</v>
      </c>
      <c r="D66" s="2" t="s">
        <v>115</v>
      </c>
      <c r="E66" s="2">
        <v>8</v>
      </c>
      <c r="F66" s="62"/>
      <c r="G66" s="30">
        <v>33222</v>
      </c>
      <c r="H66" s="2">
        <v>26</v>
      </c>
      <c r="I66" s="2">
        <v>10</v>
      </c>
      <c r="J66" s="2">
        <v>41</v>
      </c>
    </row>
    <row r="67" spans="1:10" x14ac:dyDescent="0.25">
      <c r="A67" s="2">
        <v>540245</v>
      </c>
      <c r="B67" s="2" t="s">
        <v>292</v>
      </c>
      <c r="C67" s="2" t="s">
        <v>31</v>
      </c>
      <c r="D67" s="2" t="s">
        <v>115</v>
      </c>
      <c r="E67" s="2">
        <v>8</v>
      </c>
      <c r="F67" s="62"/>
      <c r="G67" s="30">
        <v>31990</v>
      </c>
      <c r="H67" s="2">
        <v>1</v>
      </c>
      <c r="I67" s="2">
        <v>0</v>
      </c>
      <c r="J67" s="2">
        <v>0</v>
      </c>
    </row>
    <row r="68" spans="1:10" x14ac:dyDescent="0.25">
      <c r="A68" s="2"/>
      <c r="B68" s="2"/>
      <c r="C68" s="2" t="s">
        <v>31</v>
      </c>
      <c r="D68" s="2"/>
      <c r="E68" s="2"/>
      <c r="F68" s="62"/>
      <c r="G68" s="2"/>
      <c r="H68" s="2">
        <v>155</v>
      </c>
      <c r="I68" s="2">
        <v>69</v>
      </c>
      <c r="J68" s="2">
        <v>270</v>
      </c>
    </row>
    <row r="69" spans="1:10" x14ac:dyDescent="0.25">
      <c r="A69" s="1">
        <v>540053</v>
      </c>
      <c r="B69" s="1" t="s">
        <v>32</v>
      </c>
      <c r="C69" s="1" t="s">
        <v>33</v>
      </c>
      <c r="D69" s="1" t="s">
        <v>5</v>
      </c>
      <c r="E69" s="1">
        <v>6</v>
      </c>
      <c r="F69" s="63"/>
      <c r="G69" s="29">
        <v>32328</v>
      </c>
      <c r="H69" s="1">
        <v>612</v>
      </c>
      <c r="I69" s="1">
        <v>157</v>
      </c>
      <c r="J69" s="1">
        <v>480</v>
      </c>
    </row>
    <row r="70" spans="1:10" x14ac:dyDescent="0.25">
      <c r="A70" s="2">
        <v>540054</v>
      </c>
      <c r="B70" s="2" t="s">
        <v>152</v>
      </c>
      <c r="C70" s="2" t="s">
        <v>33</v>
      </c>
      <c r="D70" s="2" t="s">
        <v>115</v>
      </c>
      <c r="E70" s="2">
        <v>6</v>
      </c>
      <c r="F70" s="62"/>
      <c r="G70" s="30">
        <v>29467</v>
      </c>
      <c r="H70" s="2">
        <v>6</v>
      </c>
      <c r="I70" s="2">
        <v>5</v>
      </c>
      <c r="J70" s="2">
        <v>10</v>
      </c>
    </row>
    <row r="71" spans="1:10" x14ac:dyDescent="0.25">
      <c r="A71" s="2">
        <v>540055</v>
      </c>
      <c r="B71" s="2" t="s">
        <v>153</v>
      </c>
      <c r="C71" s="2" t="s">
        <v>33</v>
      </c>
      <c r="D71" s="2" t="s">
        <v>115</v>
      </c>
      <c r="E71" s="2">
        <v>6</v>
      </c>
      <c r="F71" s="62"/>
      <c r="G71" s="30">
        <v>32206</v>
      </c>
      <c r="H71" s="2">
        <v>80</v>
      </c>
      <c r="I71" s="2">
        <v>11</v>
      </c>
      <c r="J71" s="2">
        <v>6</v>
      </c>
    </row>
    <row r="72" spans="1:10" x14ac:dyDescent="0.25">
      <c r="A72" s="2">
        <v>540056</v>
      </c>
      <c r="B72" s="2" t="s">
        <v>154</v>
      </c>
      <c r="C72" s="2" t="s">
        <v>33</v>
      </c>
      <c r="D72" s="2" t="s">
        <v>115</v>
      </c>
      <c r="E72" s="2">
        <v>6</v>
      </c>
      <c r="F72" s="62"/>
      <c r="G72" s="30">
        <v>28536</v>
      </c>
      <c r="H72" s="2">
        <v>257</v>
      </c>
      <c r="I72" s="2">
        <v>15</v>
      </c>
      <c r="J72" s="2">
        <v>19</v>
      </c>
    </row>
    <row r="73" spans="1:10" x14ac:dyDescent="0.25">
      <c r="A73" s="2">
        <v>540057</v>
      </c>
      <c r="B73" s="2" t="s">
        <v>155</v>
      </c>
      <c r="C73" s="2" t="s">
        <v>33</v>
      </c>
      <c r="D73" s="2" t="s">
        <v>115</v>
      </c>
      <c r="E73" s="2">
        <v>6</v>
      </c>
      <c r="F73" s="62"/>
      <c r="G73" s="30">
        <v>32206</v>
      </c>
      <c r="H73" s="2">
        <v>44</v>
      </c>
      <c r="I73" s="2">
        <v>10</v>
      </c>
      <c r="J73" s="2">
        <v>24</v>
      </c>
    </row>
    <row r="74" spans="1:10" x14ac:dyDescent="0.25">
      <c r="A74" s="2">
        <v>540058</v>
      </c>
      <c r="B74" s="2" t="s">
        <v>156</v>
      </c>
      <c r="C74" s="2" t="s">
        <v>33</v>
      </c>
      <c r="D74" s="2" t="s">
        <v>115</v>
      </c>
      <c r="E74" s="2">
        <v>6</v>
      </c>
      <c r="F74" s="62"/>
      <c r="G74" s="30">
        <v>32206</v>
      </c>
      <c r="H74" s="2">
        <v>32</v>
      </c>
      <c r="I74" s="2">
        <v>1</v>
      </c>
      <c r="J74" s="2">
        <v>11</v>
      </c>
    </row>
    <row r="75" spans="1:10" x14ac:dyDescent="0.25">
      <c r="A75" s="2">
        <v>540059</v>
      </c>
      <c r="B75" s="2" t="s">
        <v>157</v>
      </c>
      <c r="C75" s="2" t="s">
        <v>33</v>
      </c>
      <c r="D75" s="2" t="s">
        <v>115</v>
      </c>
      <c r="E75" s="2">
        <v>6</v>
      </c>
      <c r="F75" s="62"/>
      <c r="G75" s="30">
        <v>29481</v>
      </c>
      <c r="H75" s="2">
        <v>23</v>
      </c>
      <c r="I75" s="2">
        <v>7</v>
      </c>
      <c r="J75" s="2">
        <v>11</v>
      </c>
    </row>
    <row r="76" spans="1:10" x14ac:dyDescent="0.25">
      <c r="A76" s="2">
        <v>540060</v>
      </c>
      <c r="B76" s="2" t="s">
        <v>158</v>
      </c>
      <c r="C76" s="2" t="s">
        <v>33</v>
      </c>
      <c r="D76" s="2" t="s">
        <v>115</v>
      </c>
      <c r="E76" s="2">
        <v>6</v>
      </c>
      <c r="F76" s="62"/>
      <c r="G76" s="30">
        <v>32218</v>
      </c>
      <c r="H76" s="2">
        <v>30</v>
      </c>
      <c r="I76" s="2">
        <v>4</v>
      </c>
      <c r="J76" s="2">
        <v>33</v>
      </c>
    </row>
    <row r="77" spans="1:10" x14ac:dyDescent="0.25">
      <c r="A77" s="2">
        <v>540061</v>
      </c>
      <c r="B77" s="2" t="s">
        <v>159</v>
      </c>
      <c r="C77" s="2" t="s">
        <v>33</v>
      </c>
      <c r="D77" s="2" t="s">
        <v>115</v>
      </c>
      <c r="E77" s="2">
        <v>6</v>
      </c>
      <c r="F77" s="62"/>
      <c r="G77" s="30">
        <v>29103</v>
      </c>
      <c r="H77" s="2">
        <v>7</v>
      </c>
      <c r="I77" s="2">
        <v>3</v>
      </c>
      <c r="J77" s="2">
        <v>6</v>
      </c>
    </row>
    <row r="78" spans="1:10" x14ac:dyDescent="0.25">
      <c r="A78" s="2">
        <v>540062</v>
      </c>
      <c r="B78" s="2" t="s">
        <v>160</v>
      </c>
      <c r="C78" s="2" t="s">
        <v>33</v>
      </c>
      <c r="D78" s="2" t="s">
        <v>115</v>
      </c>
      <c r="E78" s="2">
        <v>6</v>
      </c>
      <c r="F78" s="62"/>
      <c r="G78" s="30">
        <v>32234</v>
      </c>
      <c r="H78" s="2">
        <v>0</v>
      </c>
      <c r="I78" s="2">
        <v>0</v>
      </c>
      <c r="J78" s="2">
        <v>0</v>
      </c>
    </row>
    <row r="79" spans="1:10" x14ac:dyDescent="0.25">
      <c r="A79" s="2">
        <v>540242</v>
      </c>
      <c r="B79" s="2" t="s">
        <v>289</v>
      </c>
      <c r="C79" s="2" t="s">
        <v>33</v>
      </c>
      <c r="D79" s="2" t="s">
        <v>115</v>
      </c>
      <c r="E79" s="2">
        <v>6</v>
      </c>
      <c r="F79" s="62"/>
      <c r="G79" s="30">
        <v>31385</v>
      </c>
      <c r="H79" s="2">
        <v>104</v>
      </c>
      <c r="I79" s="2">
        <v>14</v>
      </c>
      <c r="J79" s="2">
        <v>38</v>
      </c>
    </row>
    <row r="80" spans="1:10" x14ac:dyDescent="0.25">
      <c r="A80" s="2"/>
      <c r="B80" s="2"/>
      <c r="C80" s="2" t="s">
        <v>33</v>
      </c>
      <c r="D80" s="2"/>
      <c r="E80" s="2"/>
      <c r="F80" s="62"/>
      <c r="G80" s="2"/>
      <c r="H80" s="2">
        <v>1195</v>
      </c>
      <c r="I80" s="2">
        <v>227</v>
      </c>
      <c r="J80" s="2">
        <v>638</v>
      </c>
    </row>
    <row r="81" spans="1:10" x14ac:dyDescent="0.25">
      <c r="A81" s="1">
        <v>540063</v>
      </c>
      <c r="B81" s="1" t="s">
        <v>34</v>
      </c>
      <c r="C81" s="1" t="s">
        <v>35</v>
      </c>
      <c r="D81" s="1" t="s">
        <v>5</v>
      </c>
      <c r="E81" s="1">
        <v>5</v>
      </c>
      <c r="F81" s="63"/>
      <c r="G81" s="29">
        <v>31168</v>
      </c>
      <c r="H81" s="1">
        <v>376</v>
      </c>
      <c r="I81" s="1">
        <v>91</v>
      </c>
      <c r="J81" s="1">
        <v>421</v>
      </c>
    </row>
    <row r="82" spans="1:10" x14ac:dyDescent="0.25">
      <c r="A82" s="2">
        <v>540064</v>
      </c>
      <c r="B82" s="2" t="s">
        <v>161</v>
      </c>
      <c r="C82" s="2" t="s">
        <v>35</v>
      </c>
      <c r="D82" s="2" t="s">
        <v>115</v>
      </c>
      <c r="E82" s="2">
        <v>5</v>
      </c>
      <c r="F82" s="62"/>
      <c r="G82" s="30">
        <v>28369</v>
      </c>
      <c r="H82" s="2">
        <v>2</v>
      </c>
      <c r="I82" s="2">
        <v>0</v>
      </c>
      <c r="J82" s="2">
        <v>12</v>
      </c>
    </row>
    <row r="83" spans="1:10" x14ac:dyDescent="0.25">
      <c r="A83" s="2">
        <v>540241</v>
      </c>
      <c r="B83" s="2" t="s">
        <v>288</v>
      </c>
      <c r="C83" s="2" t="s">
        <v>35</v>
      </c>
      <c r="D83" s="2" t="s">
        <v>115</v>
      </c>
      <c r="E83" s="2">
        <v>5</v>
      </c>
      <c r="F83" s="62"/>
      <c r="G83" s="30">
        <v>33315</v>
      </c>
      <c r="H83" s="2">
        <v>33</v>
      </c>
      <c r="I83" s="2">
        <v>21</v>
      </c>
      <c r="J83" s="2">
        <v>88</v>
      </c>
    </row>
    <row r="84" spans="1:10" x14ac:dyDescent="0.25">
      <c r="A84" s="2"/>
      <c r="B84" s="2"/>
      <c r="C84" s="2" t="s">
        <v>35</v>
      </c>
      <c r="D84" s="2"/>
      <c r="E84" s="2"/>
      <c r="F84" s="62"/>
      <c r="G84" s="2"/>
      <c r="H84" s="2">
        <v>411</v>
      </c>
      <c r="I84" s="2">
        <v>112</v>
      </c>
      <c r="J84" s="2">
        <v>521</v>
      </c>
    </row>
    <row r="85" spans="1:10" x14ac:dyDescent="0.25">
      <c r="A85" s="1">
        <v>540065</v>
      </c>
      <c r="B85" s="1" t="s">
        <v>36</v>
      </c>
      <c r="C85" s="1" t="s">
        <v>37</v>
      </c>
      <c r="D85" s="1" t="s">
        <v>5</v>
      </c>
      <c r="E85" s="1">
        <v>9</v>
      </c>
      <c r="F85" s="63"/>
      <c r="G85" s="29">
        <v>29509</v>
      </c>
      <c r="H85" s="1">
        <v>266</v>
      </c>
      <c r="I85" s="1">
        <v>171</v>
      </c>
      <c r="J85" s="1">
        <v>86</v>
      </c>
    </row>
    <row r="86" spans="1:10" x14ac:dyDescent="0.25">
      <c r="A86" s="2">
        <v>540030</v>
      </c>
      <c r="B86" s="2" t="s">
        <v>135</v>
      </c>
      <c r="C86" s="2" t="s">
        <v>37</v>
      </c>
      <c r="D86" s="2" t="s">
        <v>115</v>
      </c>
      <c r="E86" s="2">
        <v>9</v>
      </c>
      <c r="F86" s="62"/>
      <c r="G86" s="30">
        <v>40165</v>
      </c>
      <c r="H86" s="2">
        <v>3</v>
      </c>
      <c r="I86" s="2">
        <v>0</v>
      </c>
      <c r="J86" s="2">
        <v>0</v>
      </c>
    </row>
    <row r="87" spans="1:10" x14ac:dyDescent="0.25">
      <c r="A87" s="2">
        <v>540066</v>
      </c>
      <c r="B87" s="2" t="s">
        <v>162</v>
      </c>
      <c r="C87" s="2" t="s">
        <v>37</v>
      </c>
      <c r="D87" s="2" t="s">
        <v>115</v>
      </c>
      <c r="E87" s="2">
        <v>9</v>
      </c>
      <c r="F87" s="62"/>
      <c r="G87" s="30">
        <v>29193</v>
      </c>
      <c r="H87" s="2">
        <v>20</v>
      </c>
      <c r="I87" s="2">
        <v>6</v>
      </c>
      <c r="J87" s="2">
        <v>0</v>
      </c>
    </row>
    <row r="88" spans="1:10" x14ac:dyDescent="0.25">
      <c r="A88" s="2">
        <v>540067</v>
      </c>
      <c r="B88" s="2" t="s">
        <v>163</v>
      </c>
      <c r="C88" s="2" t="s">
        <v>37</v>
      </c>
      <c r="D88" s="2" t="s">
        <v>115</v>
      </c>
      <c r="E88" s="2">
        <v>9</v>
      </c>
      <c r="F88" s="62"/>
      <c r="G88" s="30">
        <v>30918</v>
      </c>
      <c r="H88" s="2">
        <v>28</v>
      </c>
      <c r="I88" s="2">
        <v>0</v>
      </c>
      <c r="J88" s="2">
        <v>3</v>
      </c>
    </row>
    <row r="89" spans="1:10" x14ac:dyDescent="0.25">
      <c r="A89" s="2">
        <v>540068</v>
      </c>
      <c r="B89" s="2" t="s">
        <v>164</v>
      </c>
      <c r="C89" s="2" t="s">
        <v>37</v>
      </c>
      <c r="D89" s="2" t="s">
        <v>115</v>
      </c>
      <c r="E89" s="2">
        <v>9</v>
      </c>
      <c r="F89" s="62"/>
      <c r="G89" s="30">
        <v>29021</v>
      </c>
      <c r="H89" s="2">
        <v>48</v>
      </c>
      <c r="I89" s="2">
        <v>17</v>
      </c>
      <c r="J89" s="2">
        <v>15</v>
      </c>
    </row>
    <row r="90" spans="1:10" x14ac:dyDescent="0.25">
      <c r="A90" s="2">
        <v>540069</v>
      </c>
      <c r="B90" s="2" t="s">
        <v>165</v>
      </c>
      <c r="C90" s="2" t="s">
        <v>37</v>
      </c>
      <c r="D90" s="2" t="s">
        <v>115</v>
      </c>
      <c r="E90" s="2">
        <v>9</v>
      </c>
      <c r="F90" s="62"/>
      <c r="G90" s="30">
        <v>29298</v>
      </c>
      <c r="H90" s="2">
        <v>44</v>
      </c>
      <c r="I90" s="2">
        <v>5</v>
      </c>
      <c r="J90" s="2">
        <v>17</v>
      </c>
    </row>
    <row r="91" spans="1:10" x14ac:dyDescent="0.25">
      <c r="A91" s="2"/>
      <c r="B91" s="2"/>
      <c r="C91" s="2" t="s">
        <v>37</v>
      </c>
      <c r="D91" s="2"/>
      <c r="E91" s="2"/>
      <c r="F91" s="62"/>
      <c r="G91" s="2"/>
      <c r="H91" s="2">
        <v>409</v>
      </c>
      <c r="I91" s="2">
        <v>199</v>
      </c>
      <c r="J91" s="2">
        <v>121</v>
      </c>
    </row>
    <row r="92" spans="1:10" x14ac:dyDescent="0.25">
      <c r="A92" s="1">
        <v>540070</v>
      </c>
      <c r="B92" s="1" t="s">
        <v>38</v>
      </c>
      <c r="C92" s="1" t="s">
        <v>39</v>
      </c>
      <c r="D92" s="1" t="s">
        <v>5</v>
      </c>
      <c r="E92" s="1">
        <v>3</v>
      </c>
      <c r="F92" s="63"/>
      <c r="G92" s="29">
        <v>31124</v>
      </c>
      <c r="H92" s="1">
        <v>4568</v>
      </c>
      <c r="I92" s="1">
        <v>1042</v>
      </c>
      <c r="J92" s="1">
        <v>2854</v>
      </c>
    </row>
    <row r="93" spans="1:10" x14ac:dyDescent="0.25">
      <c r="A93" s="2">
        <v>540029</v>
      </c>
      <c r="B93" s="2" t="s">
        <v>134</v>
      </c>
      <c r="C93" s="2" t="s">
        <v>39</v>
      </c>
      <c r="D93" s="2" t="s">
        <v>115</v>
      </c>
      <c r="E93" s="2">
        <v>3</v>
      </c>
      <c r="F93" s="62"/>
      <c r="G93" s="30">
        <v>30103</v>
      </c>
      <c r="H93" s="2">
        <v>40</v>
      </c>
      <c r="I93" s="2">
        <v>3</v>
      </c>
      <c r="J93" s="2">
        <v>6</v>
      </c>
    </row>
    <row r="94" spans="1:10" x14ac:dyDescent="0.25">
      <c r="A94" s="2">
        <v>540071</v>
      </c>
      <c r="B94" s="2" t="s">
        <v>166</v>
      </c>
      <c r="C94" s="2" t="s">
        <v>39</v>
      </c>
      <c r="D94" s="2" t="s">
        <v>115</v>
      </c>
      <c r="E94" s="2">
        <v>3</v>
      </c>
      <c r="F94" s="62"/>
      <c r="G94" s="30">
        <v>30056</v>
      </c>
      <c r="H94" s="2">
        <v>82</v>
      </c>
      <c r="I94" s="2">
        <v>2</v>
      </c>
      <c r="J94" s="2">
        <v>10</v>
      </c>
    </row>
    <row r="95" spans="1:10" x14ac:dyDescent="0.25">
      <c r="A95" s="2">
        <v>540072</v>
      </c>
      <c r="B95" s="2" t="s">
        <v>167</v>
      </c>
      <c r="C95" s="2" t="s">
        <v>39</v>
      </c>
      <c r="D95" s="2" t="s">
        <v>115</v>
      </c>
      <c r="E95" s="2">
        <v>3</v>
      </c>
      <c r="F95" s="62"/>
      <c r="G95" s="30">
        <v>30103</v>
      </c>
      <c r="H95" s="2">
        <v>39</v>
      </c>
      <c r="I95" s="2">
        <v>8</v>
      </c>
      <c r="J95" s="2">
        <v>18</v>
      </c>
    </row>
    <row r="96" spans="1:10" x14ac:dyDescent="0.25">
      <c r="A96" s="2">
        <v>540073</v>
      </c>
      <c r="B96" s="2" t="s">
        <v>168</v>
      </c>
      <c r="C96" s="2" t="s">
        <v>39</v>
      </c>
      <c r="D96" s="2" t="s">
        <v>115</v>
      </c>
      <c r="E96" s="2">
        <v>3</v>
      </c>
      <c r="F96" s="62"/>
      <c r="G96" s="30">
        <v>30482</v>
      </c>
      <c r="H96" s="2">
        <v>1179</v>
      </c>
      <c r="I96" s="2">
        <v>220</v>
      </c>
      <c r="J96" s="2">
        <v>231</v>
      </c>
    </row>
    <row r="97" spans="1:10" x14ac:dyDescent="0.25">
      <c r="A97" s="2">
        <v>540074</v>
      </c>
      <c r="B97" s="2" t="s">
        <v>169</v>
      </c>
      <c r="C97" s="2" t="s">
        <v>39</v>
      </c>
      <c r="D97" s="2" t="s">
        <v>115</v>
      </c>
      <c r="E97" s="2">
        <v>3</v>
      </c>
      <c r="F97" s="62"/>
      <c r="G97" s="30">
        <v>30103</v>
      </c>
      <c r="H97" s="2">
        <v>116</v>
      </c>
      <c r="I97" s="2">
        <v>7</v>
      </c>
      <c r="J97" s="2">
        <v>42</v>
      </c>
    </row>
    <row r="98" spans="1:10" x14ac:dyDescent="0.25">
      <c r="A98" s="2">
        <v>540075</v>
      </c>
      <c r="B98" s="2" t="s">
        <v>170</v>
      </c>
      <c r="C98" s="2" t="s">
        <v>39</v>
      </c>
      <c r="D98" s="2" t="s">
        <v>115</v>
      </c>
      <c r="E98" s="2">
        <v>3</v>
      </c>
      <c r="F98" s="62"/>
      <c r="G98" s="30">
        <v>30879</v>
      </c>
      <c r="H98" s="2">
        <v>252</v>
      </c>
      <c r="I98" s="2">
        <v>26</v>
      </c>
      <c r="J98" s="2">
        <v>86</v>
      </c>
    </row>
    <row r="99" spans="1:10" x14ac:dyDescent="0.25">
      <c r="A99" s="2">
        <v>540076</v>
      </c>
      <c r="B99" s="2" t="s">
        <v>171</v>
      </c>
      <c r="C99" s="2" t="s">
        <v>39</v>
      </c>
      <c r="D99" s="2" t="s">
        <v>115</v>
      </c>
      <c r="E99" s="2">
        <v>3</v>
      </c>
      <c r="F99" s="62"/>
      <c r="G99" s="30">
        <v>30103</v>
      </c>
      <c r="H99" s="2">
        <v>896</v>
      </c>
      <c r="I99" s="2">
        <v>44</v>
      </c>
      <c r="J99" s="2">
        <v>33</v>
      </c>
    </row>
    <row r="100" spans="1:10" x14ac:dyDescent="0.25">
      <c r="A100" s="2">
        <v>540077</v>
      </c>
      <c r="B100" s="2" t="s">
        <v>172</v>
      </c>
      <c r="C100" s="2" t="s">
        <v>39</v>
      </c>
      <c r="D100" s="2" t="s">
        <v>115</v>
      </c>
      <c r="E100" s="2">
        <v>3</v>
      </c>
      <c r="F100" s="62"/>
      <c r="G100" s="30">
        <v>30103</v>
      </c>
      <c r="H100" s="2">
        <v>31</v>
      </c>
      <c r="I100" s="2">
        <v>1</v>
      </c>
      <c r="J100" s="2">
        <v>19</v>
      </c>
    </row>
    <row r="101" spans="1:10" x14ac:dyDescent="0.25">
      <c r="A101" s="2">
        <v>540078</v>
      </c>
      <c r="B101" s="2" t="s">
        <v>173</v>
      </c>
      <c r="C101" s="2" t="s">
        <v>39</v>
      </c>
      <c r="D101" s="2" t="s">
        <v>115</v>
      </c>
      <c r="E101" s="2">
        <v>3</v>
      </c>
      <c r="F101" s="62"/>
      <c r="G101" s="30">
        <v>30117</v>
      </c>
      <c r="H101" s="2">
        <v>54</v>
      </c>
      <c r="I101" s="2">
        <v>4</v>
      </c>
      <c r="J101" s="2">
        <v>26</v>
      </c>
    </row>
    <row r="102" spans="1:10" x14ac:dyDescent="0.25">
      <c r="A102" s="2">
        <v>540079</v>
      </c>
      <c r="B102" s="2" t="s">
        <v>174</v>
      </c>
      <c r="C102" s="2" t="s">
        <v>39</v>
      </c>
      <c r="D102" s="2" t="s">
        <v>115</v>
      </c>
      <c r="E102" s="2">
        <v>3</v>
      </c>
      <c r="F102" s="62"/>
      <c r="G102" s="30">
        <v>30056</v>
      </c>
      <c r="H102" s="2">
        <v>15</v>
      </c>
      <c r="I102" s="2">
        <v>6</v>
      </c>
      <c r="J102" s="2">
        <v>9</v>
      </c>
    </row>
    <row r="103" spans="1:10" x14ac:dyDescent="0.25">
      <c r="A103" s="2">
        <v>540081</v>
      </c>
      <c r="B103" s="2" t="s">
        <v>176</v>
      </c>
      <c r="C103" s="2" t="s">
        <v>39</v>
      </c>
      <c r="D103" s="2" t="s">
        <v>115</v>
      </c>
      <c r="E103" s="2">
        <v>3</v>
      </c>
      <c r="F103" s="62"/>
      <c r="G103" s="30">
        <v>30056</v>
      </c>
      <c r="H103" s="2">
        <v>405</v>
      </c>
      <c r="I103" s="2">
        <v>27</v>
      </c>
      <c r="J103" s="2">
        <v>36</v>
      </c>
    </row>
    <row r="104" spans="1:10" x14ac:dyDescent="0.25">
      <c r="A104" s="2">
        <v>540082</v>
      </c>
      <c r="B104" s="2" t="s">
        <v>177</v>
      </c>
      <c r="C104" s="2" t="s">
        <v>39</v>
      </c>
      <c r="D104" s="2" t="s">
        <v>115</v>
      </c>
      <c r="E104" s="2">
        <v>3</v>
      </c>
      <c r="F104" s="62"/>
      <c r="G104" s="30">
        <v>30803</v>
      </c>
      <c r="H104" s="2">
        <v>16</v>
      </c>
      <c r="I104" s="2">
        <v>1</v>
      </c>
      <c r="J104" s="2">
        <v>28</v>
      </c>
    </row>
    <row r="105" spans="1:10" x14ac:dyDescent="0.25">
      <c r="A105" s="2">
        <v>540083</v>
      </c>
      <c r="B105" s="2" t="s">
        <v>178</v>
      </c>
      <c r="C105" s="2" t="s">
        <v>39</v>
      </c>
      <c r="D105" s="2" t="s">
        <v>115</v>
      </c>
      <c r="E105" s="2">
        <v>3</v>
      </c>
      <c r="F105" s="62"/>
      <c r="G105" s="30">
        <v>30117</v>
      </c>
      <c r="H105" s="2">
        <v>114</v>
      </c>
      <c r="I105" s="2">
        <v>21</v>
      </c>
      <c r="J105" s="2">
        <v>12</v>
      </c>
    </row>
    <row r="106" spans="1:10" x14ac:dyDescent="0.25">
      <c r="A106" s="2">
        <v>540223</v>
      </c>
      <c r="B106" s="2" t="s">
        <v>277</v>
      </c>
      <c r="C106" s="2" t="s">
        <v>39</v>
      </c>
      <c r="D106" s="2" t="s">
        <v>115</v>
      </c>
      <c r="E106" s="2">
        <v>3</v>
      </c>
      <c r="F106" s="62"/>
      <c r="G106" s="30">
        <v>30117</v>
      </c>
      <c r="H106" s="2">
        <v>299</v>
      </c>
      <c r="I106" s="2">
        <v>49</v>
      </c>
      <c r="J106" s="2">
        <v>34</v>
      </c>
    </row>
    <row r="107" spans="1:10" x14ac:dyDescent="0.25">
      <c r="A107" s="2">
        <v>540279</v>
      </c>
      <c r="B107" s="2" t="s">
        <v>320</v>
      </c>
      <c r="C107" s="2" t="s">
        <v>39</v>
      </c>
      <c r="D107" s="2" t="s">
        <v>115</v>
      </c>
      <c r="E107" s="2">
        <v>3</v>
      </c>
      <c r="F107" s="62"/>
      <c r="G107" s="30">
        <v>30868</v>
      </c>
      <c r="H107" s="2">
        <v>9</v>
      </c>
      <c r="I107" s="2">
        <v>2</v>
      </c>
      <c r="J107" s="2">
        <v>12</v>
      </c>
    </row>
    <row r="108" spans="1:10" x14ac:dyDescent="0.25">
      <c r="A108" s="2">
        <v>540033</v>
      </c>
      <c r="B108" s="2" t="s">
        <v>138</v>
      </c>
      <c r="C108" s="2" t="s">
        <v>39</v>
      </c>
      <c r="D108" s="2" t="s">
        <v>115</v>
      </c>
      <c r="E108" s="2">
        <v>3</v>
      </c>
      <c r="F108" s="62"/>
      <c r="G108" s="30">
        <v>30056</v>
      </c>
      <c r="H108" s="2">
        <v>0</v>
      </c>
      <c r="I108" s="2">
        <v>0</v>
      </c>
      <c r="J108" s="2">
        <v>0</v>
      </c>
    </row>
    <row r="109" spans="1:10" x14ac:dyDescent="0.25">
      <c r="A109" s="2"/>
      <c r="B109" s="2"/>
      <c r="C109" s="2" t="s">
        <v>39</v>
      </c>
      <c r="D109" s="2"/>
      <c r="E109" s="2"/>
      <c r="F109" s="62"/>
      <c r="G109" s="2"/>
      <c r="H109" s="2">
        <v>8115</v>
      </c>
      <c r="I109" s="2">
        <v>1463</v>
      </c>
      <c r="J109" s="2">
        <v>3456</v>
      </c>
    </row>
    <row r="110" spans="1:10" x14ac:dyDescent="0.25">
      <c r="A110" s="1">
        <v>540085</v>
      </c>
      <c r="B110" s="1" t="s">
        <v>40</v>
      </c>
      <c r="C110" s="1" t="s">
        <v>41</v>
      </c>
      <c r="D110" s="1" t="s">
        <v>5</v>
      </c>
      <c r="E110" s="1">
        <v>7</v>
      </c>
      <c r="F110" s="63"/>
      <c r="G110" s="29">
        <v>31959</v>
      </c>
      <c r="H110" s="1">
        <v>719</v>
      </c>
      <c r="I110" s="1">
        <v>228</v>
      </c>
      <c r="J110" s="1">
        <v>743</v>
      </c>
    </row>
    <row r="111" spans="1:10" x14ac:dyDescent="0.25">
      <c r="A111" s="2">
        <v>540086</v>
      </c>
      <c r="B111" s="2" t="s">
        <v>179</v>
      </c>
      <c r="C111" s="2" t="s">
        <v>41</v>
      </c>
      <c r="D111" s="2" t="s">
        <v>115</v>
      </c>
      <c r="E111" s="2">
        <v>7</v>
      </c>
      <c r="F111" s="62"/>
      <c r="G111" s="30">
        <v>30949</v>
      </c>
      <c r="H111" s="2">
        <v>27</v>
      </c>
      <c r="I111" s="2">
        <v>9</v>
      </c>
      <c r="J111" s="2">
        <v>26</v>
      </c>
    </row>
    <row r="112" spans="1:10" x14ac:dyDescent="0.25">
      <c r="A112" s="2">
        <v>540087</v>
      </c>
      <c r="B112" s="2" t="s">
        <v>180</v>
      </c>
      <c r="C112" s="2" t="s">
        <v>41</v>
      </c>
      <c r="D112" s="2" t="s">
        <v>115</v>
      </c>
      <c r="E112" s="2">
        <v>7</v>
      </c>
      <c r="F112" s="62"/>
      <c r="G112" s="30">
        <v>30056</v>
      </c>
      <c r="H112" s="2">
        <v>244</v>
      </c>
      <c r="I112" s="2">
        <v>39</v>
      </c>
      <c r="J112" s="2">
        <v>112</v>
      </c>
    </row>
    <row r="113" spans="1:10" x14ac:dyDescent="0.25">
      <c r="A113" s="2"/>
      <c r="B113" s="2"/>
      <c r="C113" s="2" t="s">
        <v>41</v>
      </c>
      <c r="D113" s="2"/>
      <c r="E113" s="2"/>
      <c r="F113" s="62"/>
      <c r="G113" s="2"/>
      <c r="H113" s="2">
        <v>990</v>
      </c>
      <c r="I113" s="2">
        <v>276</v>
      </c>
      <c r="J113" s="2">
        <v>881</v>
      </c>
    </row>
    <row r="114" spans="1:10" x14ac:dyDescent="0.25">
      <c r="A114" s="1">
        <v>540088</v>
      </c>
      <c r="B114" s="1" t="s">
        <v>42</v>
      </c>
      <c r="C114" s="1" t="s">
        <v>43</v>
      </c>
      <c r="D114" s="1" t="s">
        <v>5</v>
      </c>
      <c r="E114" s="1">
        <v>2</v>
      </c>
      <c r="F114" s="63"/>
      <c r="G114" s="29">
        <v>32038</v>
      </c>
      <c r="H114" s="1">
        <v>990</v>
      </c>
      <c r="I114" s="1">
        <v>322</v>
      </c>
      <c r="J114" s="1">
        <v>1035</v>
      </c>
    </row>
    <row r="115" spans="1:10" x14ac:dyDescent="0.25">
      <c r="A115" s="2">
        <v>540089</v>
      </c>
      <c r="B115" s="2" t="s">
        <v>181</v>
      </c>
      <c r="C115" s="2" t="s">
        <v>43</v>
      </c>
      <c r="D115" s="2" t="s">
        <v>115</v>
      </c>
      <c r="E115" s="2">
        <v>2</v>
      </c>
      <c r="F115" s="62"/>
      <c r="G115" s="30">
        <v>32024</v>
      </c>
      <c r="H115" s="2">
        <v>77</v>
      </c>
      <c r="I115" s="2">
        <v>2</v>
      </c>
      <c r="J115" s="2">
        <v>19</v>
      </c>
    </row>
    <row r="116" spans="1:10" x14ac:dyDescent="0.25">
      <c r="A116" s="2">
        <v>540090</v>
      </c>
      <c r="B116" s="2" t="s">
        <v>182</v>
      </c>
      <c r="C116" s="2" t="s">
        <v>43</v>
      </c>
      <c r="D116" s="2" t="s">
        <v>115</v>
      </c>
      <c r="E116" s="2">
        <v>2</v>
      </c>
      <c r="F116" s="62"/>
      <c r="G116" s="30">
        <v>32024</v>
      </c>
      <c r="H116" s="2">
        <v>23</v>
      </c>
      <c r="I116" s="2">
        <v>3</v>
      </c>
      <c r="J116" s="2">
        <v>31</v>
      </c>
    </row>
    <row r="117" spans="1:10" x14ac:dyDescent="0.25">
      <c r="A117" s="2"/>
      <c r="B117" s="2"/>
      <c r="C117" s="2" t="s">
        <v>43</v>
      </c>
      <c r="D117" s="2"/>
      <c r="E117" s="2"/>
      <c r="F117" s="62"/>
      <c r="G117" s="2"/>
      <c r="H117" s="2">
        <v>1090</v>
      </c>
      <c r="I117" s="2">
        <v>327</v>
      </c>
      <c r="J117" s="2">
        <v>1085</v>
      </c>
    </row>
    <row r="118" spans="1:10" x14ac:dyDescent="0.25">
      <c r="A118" s="1">
        <v>540097</v>
      </c>
      <c r="B118" s="1" t="s">
        <v>44</v>
      </c>
      <c r="C118" s="1" t="s">
        <v>45</v>
      </c>
      <c r="D118" s="1" t="s">
        <v>5</v>
      </c>
      <c r="E118" s="1">
        <v>6</v>
      </c>
      <c r="F118" s="63"/>
      <c r="G118" s="29">
        <v>32328</v>
      </c>
      <c r="H118" s="1">
        <v>831</v>
      </c>
      <c r="I118" s="1">
        <v>188</v>
      </c>
      <c r="J118" s="1">
        <v>497</v>
      </c>
    </row>
    <row r="119" spans="1:10" x14ac:dyDescent="0.25">
      <c r="A119" s="2">
        <v>540098</v>
      </c>
      <c r="B119" s="2" t="s">
        <v>187</v>
      </c>
      <c r="C119" s="2" t="s">
        <v>45</v>
      </c>
      <c r="D119" s="2" t="s">
        <v>115</v>
      </c>
      <c r="E119" s="2">
        <v>6</v>
      </c>
      <c r="F119" s="62"/>
      <c r="G119" s="30">
        <v>32218</v>
      </c>
      <c r="H119" s="2">
        <v>20</v>
      </c>
      <c r="I119" s="2">
        <v>2</v>
      </c>
      <c r="J119" s="2">
        <v>4</v>
      </c>
    </row>
    <row r="120" spans="1:10" x14ac:dyDescent="0.25">
      <c r="A120" s="2">
        <v>540099</v>
      </c>
      <c r="B120" s="2" t="s">
        <v>188</v>
      </c>
      <c r="C120" s="2" t="s">
        <v>45</v>
      </c>
      <c r="D120" s="2" t="s">
        <v>115</v>
      </c>
      <c r="E120" s="2">
        <v>6</v>
      </c>
      <c r="F120" s="62"/>
      <c r="G120" s="30">
        <v>31960</v>
      </c>
      <c r="H120" s="2">
        <v>30</v>
      </c>
      <c r="I120" s="2">
        <v>10</v>
      </c>
      <c r="J120" s="2">
        <v>4</v>
      </c>
    </row>
    <row r="121" spans="1:10" x14ac:dyDescent="0.25">
      <c r="A121" s="2">
        <v>540100</v>
      </c>
      <c r="B121" s="2" t="s">
        <v>189</v>
      </c>
      <c r="C121" s="2" t="s">
        <v>45</v>
      </c>
      <c r="D121" s="2" t="s">
        <v>115</v>
      </c>
      <c r="E121" s="2">
        <v>6</v>
      </c>
      <c r="F121" s="62"/>
      <c r="G121" s="30">
        <v>32218</v>
      </c>
      <c r="H121" s="2">
        <v>20</v>
      </c>
      <c r="I121" s="2">
        <v>2</v>
      </c>
      <c r="J121" s="2">
        <v>8</v>
      </c>
    </row>
    <row r="122" spans="1:10" x14ac:dyDescent="0.25">
      <c r="A122" s="2">
        <v>540101</v>
      </c>
      <c r="B122" s="2" t="s">
        <v>190</v>
      </c>
      <c r="C122" s="2" t="s">
        <v>45</v>
      </c>
      <c r="D122" s="2" t="s">
        <v>115</v>
      </c>
      <c r="E122" s="2">
        <v>6</v>
      </c>
      <c r="F122" s="62"/>
      <c r="G122" s="30">
        <v>32218</v>
      </c>
      <c r="H122" s="2">
        <v>45</v>
      </c>
      <c r="I122" s="2">
        <v>11</v>
      </c>
      <c r="J122" s="2">
        <v>11</v>
      </c>
    </row>
    <row r="123" spans="1:10" x14ac:dyDescent="0.25">
      <c r="A123" s="2">
        <v>540102</v>
      </c>
      <c r="B123" s="2" t="s">
        <v>191</v>
      </c>
      <c r="C123" s="2" t="s">
        <v>45</v>
      </c>
      <c r="D123" s="2" t="s">
        <v>115</v>
      </c>
      <c r="E123" s="2">
        <v>6</v>
      </c>
      <c r="F123" s="62"/>
      <c r="G123" s="30">
        <v>32206</v>
      </c>
      <c r="H123" s="2">
        <v>35</v>
      </c>
      <c r="I123" s="2">
        <v>0</v>
      </c>
      <c r="J123" s="2">
        <v>13</v>
      </c>
    </row>
    <row r="124" spans="1:10" x14ac:dyDescent="0.25">
      <c r="A124" s="2">
        <v>540103</v>
      </c>
      <c r="B124" s="2" t="s">
        <v>192</v>
      </c>
      <c r="C124" s="2" t="s">
        <v>45</v>
      </c>
      <c r="D124" s="2" t="s">
        <v>115</v>
      </c>
      <c r="E124" s="2">
        <v>6</v>
      </c>
      <c r="F124" s="62"/>
      <c r="G124" s="30">
        <v>31735</v>
      </c>
      <c r="H124" s="2">
        <v>191</v>
      </c>
      <c r="I124" s="2">
        <v>16</v>
      </c>
      <c r="J124" s="2">
        <v>66</v>
      </c>
    </row>
    <row r="125" spans="1:10" x14ac:dyDescent="0.25">
      <c r="A125" s="2">
        <v>540104</v>
      </c>
      <c r="B125" s="2" t="s">
        <v>193</v>
      </c>
      <c r="C125" s="2" t="s">
        <v>45</v>
      </c>
      <c r="D125" s="2" t="s">
        <v>115</v>
      </c>
      <c r="E125" s="2">
        <v>6</v>
      </c>
      <c r="F125" s="62"/>
      <c r="G125" s="30">
        <v>32218</v>
      </c>
      <c r="H125" s="2">
        <v>18</v>
      </c>
      <c r="I125" s="2">
        <v>4</v>
      </c>
      <c r="J125" s="2">
        <v>3</v>
      </c>
    </row>
    <row r="126" spans="1:10" x14ac:dyDescent="0.25">
      <c r="A126" s="2">
        <v>540105</v>
      </c>
      <c r="B126" s="2" t="s">
        <v>194</v>
      </c>
      <c r="C126" s="2" t="s">
        <v>45</v>
      </c>
      <c r="D126" s="2" t="s">
        <v>115</v>
      </c>
      <c r="E126" s="2">
        <v>6</v>
      </c>
      <c r="F126" s="62"/>
      <c r="G126" s="30">
        <v>32218</v>
      </c>
      <c r="H126" s="2">
        <v>20</v>
      </c>
      <c r="I126" s="2">
        <v>5</v>
      </c>
      <c r="J126" s="2">
        <v>10</v>
      </c>
    </row>
    <row r="127" spans="1:10" x14ac:dyDescent="0.25">
      <c r="A127" s="2">
        <v>540106</v>
      </c>
      <c r="B127" s="2" t="s">
        <v>195</v>
      </c>
      <c r="C127" s="2" t="s">
        <v>45</v>
      </c>
      <c r="D127" s="2" t="s">
        <v>115</v>
      </c>
      <c r="E127" s="2">
        <v>6</v>
      </c>
      <c r="F127" s="62"/>
      <c r="G127" s="30">
        <v>32218</v>
      </c>
      <c r="H127" s="2">
        <v>22</v>
      </c>
      <c r="I127" s="2">
        <v>0</v>
      </c>
      <c r="J127" s="2">
        <v>6</v>
      </c>
    </row>
    <row r="128" spans="1:10" x14ac:dyDescent="0.25">
      <c r="A128" s="2">
        <v>540292</v>
      </c>
      <c r="B128" s="2" t="s">
        <v>329</v>
      </c>
      <c r="C128" s="2" t="s">
        <v>45</v>
      </c>
      <c r="D128" s="2" t="s">
        <v>115</v>
      </c>
      <c r="E128" s="2">
        <v>6</v>
      </c>
      <c r="F128" s="62"/>
      <c r="G128" s="30">
        <v>41079</v>
      </c>
      <c r="H128" s="2">
        <v>41</v>
      </c>
      <c r="I128" s="2">
        <v>0</v>
      </c>
      <c r="J128" s="2">
        <v>7</v>
      </c>
    </row>
    <row r="129" spans="1:10" x14ac:dyDescent="0.25">
      <c r="A129" s="2">
        <v>545556</v>
      </c>
      <c r="B129" s="2" t="s">
        <v>337</v>
      </c>
      <c r="C129" s="2" t="s">
        <v>45</v>
      </c>
      <c r="D129" s="2" t="s">
        <v>115</v>
      </c>
      <c r="E129" s="2">
        <v>6</v>
      </c>
      <c r="F129" s="62"/>
      <c r="G129" s="30">
        <v>41079</v>
      </c>
      <c r="H129" s="2">
        <v>2</v>
      </c>
      <c r="I129" s="2">
        <v>0</v>
      </c>
      <c r="J129" s="2">
        <v>3</v>
      </c>
    </row>
    <row r="130" spans="1:10" x14ac:dyDescent="0.25">
      <c r="A130" s="2"/>
      <c r="B130" s="2"/>
      <c r="C130" s="2" t="s">
        <v>45</v>
      </c>
      <c r="D130" s="2"/>
      <c r="E130" s="2"/>
      <c r="F130" s="62"/>
      <c r="G130" s="2"/>
      <c r="H130" s="2">
        <v>1275</v>
      </c>
      <c r="I130" s="2">
        <v>238</v>
      </c>
      <c r="J130" s="2">
        <v>632</v>
      </c>
    </row>
    <row r="131" spans="1:10" x14ac:dyDescent="0.25">
      <c r="A131" s="1">
        <v>540107</v>
      </c>
      <c r="B131" s="1" t="s">
        <v>46</v>
      </c>
      <c r="C131" s="1" t="s">
        <v>47</v>
      </c>
      <c r="D131" s="1" t="s">
        <v>5</v>
      </c>
      <c r="E131" s="1">
        <v>10</v>
      </c>
      <c r="F131" s="63"/>
      <c r="G131" s="29">
        <v>27383</v>
      </c>
      <c r="H131" s="1">
        <v>311</v>
      </c>
      <c r="I131" s="1">
        <v>130</v>
      </c>
      <c r="J131" s="1">
        <v>149</v>
      </c>
    </row>
    <row r="132" spans="1:10" x14ac:dyDescent="0.25">
      <c r="A132" s="2">
        <v>540108</v>
      </c>
      <c r="B132" s="2" t="s">
        <v>196</v>
      </c>
      <c r="C132" s="2" t="s">
        <v>47</v>
      </c>
      <c r="D132" s="2" t="s">
        <v>115</v>
      </c>
      <c r="E132" s="2">
        <v>10</v>
      </c>
      <c r="F132" s="62"/>
      <c r="G132" s="30">
        <v>29342</v>
      </c>
      <c r="H132" s="2">
        <v>294</v>
      </c>
      <c r="I132" s="2">
        <v>27</v>
      </c>
      <c r="J132" s="2">
        <v>19</v>
      </c>
    </row>
    <row r="133" spans="1:10" x14ac:dyDescent="0.25">
      <c r="A133" s="2">
        <v>540109</v>
      </c>
      <c r="B133" s="2" t="s">
        <v>197</v>
      </c>
      <c r="C133" s="2" t="s">
        <v>47</v>
      </c>
      <c r="D133" s="2" t="s">
        <v>115</v>
      </c>
      <c r="E133" s="2">
        <v>10</v>
      </c>
      <c r="F133" s="62"/>
      <c r="G133" s="30">
        <v>27208</v>
      </c>
      <c r="H133" s="2">
        <v>21</v>
      </c>
      <c r="I133" s="2">
        <v>4</v>
      </c>
      <c r="J133" s="2">
        <v>4</v>
      </c>
    </row>
    <row r="134" spans="1:10" x14ac:dyDescent="0.25">
      <c r="A134" s="2">
        <v>540110</v>
      </c>
      <c r="B134" s="2" t="s">
        <v>198</v>
      </c>
      <c r="C134" s="2" t="s">
        <v>47</v>
      </c>
      <c r="D134" s="2" t="s">
        <v>115</v>
      </c>
      <c r="E134" s="2">
        <v>10</v>
      </c>
      <c r="F134" s="62"/>
      <c r="G134" s="30">
        <v>40081</v>
      </c>
      <c r="H134" s="2">
        <v>118</v>
      </c>
      <c r="I134" s="2">
        <v>0</v>
      </c>
      <c r="J134" s="2">
        <v>6</v>
      </c>
    </row>
    <row r="135" spans="1:10" x14ac:dyDescent="0.25">
      <c r="A135" s="2">
        <v>540111</v>
      </c>
      <c r="B135" s="2" t="s">
        <v>199</v>
      </c>
      <c r="C135" s="2" t="s">
        <v>47</v>
      </c>
      <c r="D135" s="2" t="s">
        <v>115</v>
      </c>
      <c r="E135" s="2">
        <v>10</v>
      </c>
      <c r="F135" s="62"/>
      <c r="G135" s="30">
        <v>27110</v>
      </c>
      <c r="H135" s="2">
        <v>108</v>
      </c>
      <c r="I135" s="2">
        <v>42</v>
      </c>
      <c r="J135" s="2">
        <v>150</v>
      </c>
    </row>
    <row r="136" spans="1:10" x14ac:dyDescent="0.25">
      <c r="A136" s="2">
        <v>540287</v>
      </c>
      <c r="B136" s="2" t="s">
        <v>326</v>
      </c>
      <c r="C136" s="2" t="s">
        <v>47</v>
      </c>
      <c r="D136" s="2" t="s">
        <v>115</v>
      </c>
      <c r="E136" s="2">
        <v>10</v>
      </c>
      <c r="F136" s="62"/>
      <c r="G136" s="30">
        <v>40081</v>
      </c>
      <c r="H136" s="2">
        <v>43</v>
      </c>
      <c r="I136" s="2">
        <v>0</v>
      </c>
      <c r="J136" s="2">
        <v>14</v>
      </c>
    </row>
    <row r="137" spans="1:10" x14ac:dyDescent="0.25">
      <c r="A137" s="2">
        <v>540152</v>
      </c>
      <c r="B137" s="2" t="s">
        <v>229</v>
      </c>
      <c r="C137" s="2" t="s">
        <v>47</v>
      </c>
      <c r="D137" s="2" t="s">
        <v>115</v>
      </c>
      <c r="E137" s="2">
        <v>10</v>
      </c>
      <c r="F137" s="62"/>
      <c r="G137" s="30">
        <v>29635</v>
      </c>
      <c r="H137" s="2">
        <v>6</v>
      </c>
      <c r="I137" s="2">
        <v>0</v>
      </c>
      <c r="J137" s="2">
        <v>0</v>
      </c>
    </row>
    <row r="138" spans="1:10" x14ac:dyDescent="0.25">
      <c r="A138" s="2"/>
      <c r="B138" s="2"/>
      <c r="C138" s="2" t="s">
        <v>47</v>
      </c>
      <c r="D138" s="2"/>
      <c r="E138" s="2"/>
      <c r="F138" s="62"/>
      <c r="G138" s="2"/>
      <c r="H138" s="2">
        <v>901</v>
      </c>
      <c r="I138" s="2">
        <v>203</v>
      </c>
      <c r="J138" s="2">
        <v>342</v>
      </c>
    </row>
    <row r="139" spans="1:10" x14ac:dyDescent="0.25">
      <c r="A139" s="1">
        <v>540112</v>
      </c>
      <c r="B139" s="1" t="s">
        <v>48</v>
      </c>
      <c r="C139" s="1" t="s">
        <v>49</v>
      </c>
      <c r="D139" s="1" t="s">
        <v>5</v>
      </c>
      <c r="E139" s="1">
        <v>2</v>
      </c>
      <c r="F139" s="63"/>
      <c r="G139" s="29">
        <v>29222</v>
      </c>
      <c r="H139" s="1">
        <v>231</v>
      </c>
      <c r="I139" s="1">
        <v>427</v>
      </c>
      <c r="J139" s="1">
        <v>524</v>
      </c>
    </row>
    <row r="140" spans="1:10" x14ac:dyDescent="0.25">
      <c r="A140" s="2">
        <v>540113</v>
      </c>
      <c r="B140" s="2" t="s">
        <v>200</v>
      </c>
      <c r="C140" s="2" t="s">
        <v>49</v>
      </c>
      <c r="D140" s="2" t="s">
        <v>115</v>
      </c>
      <c r="E140" s="2">
        <v>2</v>
      </c>
      <c r="F140" s="62"/>
      <c r="G140" s="30">
        <v>28717</v>
      </c>
      <c r="H140" s="2">
        <v>20</v>
      </c>
      <c r="I140" s="2">
        <v>4</v>
      </c>
      <c r="J140" s="2">
        <v>10</v>
      </c>
    </row>
    <row r="141" spans="1:10" x14ac:dyDescent="0.25">
      <c r="A141" s="2">
        <v>540247</v>
      </c>
      <c r="B141" s="2" t="s">
        <v>293</v>
      </c>
      <c r="C141" s="2" t="s">
        <v>49</v>
      </c>
      <c r="D141" s="2" t="s">
        <v>115</v>
      </c>
      <c r="E141" s="2">
        <v>2</v>
      </c>
      <c r="F141" s="62"/>
      <c r="G141" s="30">
        <v>28536</v>
      </c>
      <c r="H141" s="2">
        <v>62</v>
      </c>
      <c r="I141" s="2">
        <v>69</v>
      </c>
      <c r="J141" s="2">
        <v>141</v>
      </c>
    </row>
    <row r="142" spans="1:10" x14ac:dyDescent="0.25">
      <c r="A142" s="2">
        <v>540248</v>
      </c>
      <c r="B142" s="2" t="s">
        <v>294</v>
      </c>
      <c r="C142" s="2" t="s">
        <v>49</v>
      </c>
      <c r="D142" s="2" t="s">
        <v>115</v>
      </c>
      <c r="E142" s="2">
        <v>2</v>
      </c>
      <c r="F142" s="62"/>
      <c r="G142" s="30">
        <v>28536</v>
      </c>
      <c r="H142" s="2">
        <v>24</v>
      </c>
      <c r="I142" s="2">
        <v>50</v>
      </c>
      <c r="J142" s="2">
        <v>50</v>
      </c>
    </row>
    <row r="143" spans="1:10" x14ac:dyDescent="0.25">
      <c r="A143" s="2">
        <v>540249</v>
      </c>
      <c r="B143" s="2" t="s">
        <v>295</v>
      </c>
      <c r="C143" s="2" t="s">
        <v>49</v>
      </c>
      <c r="D143" s="2" t="s">
        <v>115</v>
      </c>
      <c r="E143" s="2">
        <v>2</v>
      </c>
      <c r="F143" s="62"/>
      <c r="G143" s="30">
        <v>28674</v>
      </c>
      <c r="H143" s="2">
        <v>16</v>
      </c>
      <c r="I143" s="2">
        <v>30</v>
      </c>
      <c r="J143" s="2">
        <v>13</v>
      </c>
    </row>
    <row r="144" spans="1:10" x14ac:dyDescent="0.25">
      <c r="A144" s="2">
        <v>540250</v>
      </c>
      <c r="B144" s="2" t="s">
        <v>296</v>
      </c>
      <c r="C144" s="2" t="s">
        <v>49</v>
      </c>
      <c r="D144" s="2" t="s">
        <v>115</v>
      </c>
      <c r="E144" s="2">
        <v>2</v>
      </c>
      <c r="F144" s="62"/>
      <c r="G144" s="30">
        <v>28625</v>
      </c>
      <c r="H144" s="2">
        <v>35</v>
      </c>
      <c r="I144" s="2">
        <v>14</v>
      </c>
      <c r="J144" s="2">
        <v>26</v>
      </c>
    </row>
    <row r="145" spans="1:10" x14ac:dyDescent="0.25">
      <c r="A145" s="2">
        <v>540251</v>
      </c>
      <c r="B145" s="2" t="s">
        <v>297</v>
      </c>
      <c r="C145" s="2" t="s">
        <v>49</v>
      </c>
      <c r="D145" s="2" t="s">
        <v>115</v>
      </c>
      <c r="E145" s="2">
        <v>2</v>
      </c>
      <c r="F145" s="62"/>
      <c r="G145" s="30">
        <v>28625</v>
      </c>
      <c r="H145" s="2">
        <v>91</v>
      </c>
      <c r="I145" s="2">
        <v>18</v>
      </c>
      <c r="J145" s="2">
        <v>57</v>
      </c>
    </row>
    <row r="146" spans="1:10" x14ac:dyDescent="0.25">
      <c r="A146" s="2"/>
      <c r="B146" s="2"/>
      <c r="C146" s="2" t="s">
        <v>49</v>
      </c>
      <c r="D146" s="2"/>
      <c r="E146" s="2"/>
      <c r="F146" s="62"/>
      <c r="G146" s="2"/>
      <c r="H146" s="2">
        <v>479</v>
      </c>
      <c r="I146" s="2">
        <v>612</v>
      </c>
      <c r="J146" s="2">
        <v>821</v>
      </c>
    </row>
    <row r="147" spans="1:10" x14ac:dyDescent="0.25">
      <c r="A147" s="1">
        <v>540114</v>
      </c>
      <c r="B147" s="1" t="s">
        <v>50</v>
      </c>
      <c r="C147" s="1" t="s">
        <v>51</v>
      </c>
      <c r="D147" s="1" t="s">
        <v>5</v>
      </c>
      <c r="E147" s="1">
        <v>1</v>
      </c>
      <c r="F147" s="63"/>
      <c r="G147" s="29">
        <v>31673</v>
      </c>
      <c r="H147" s="1">
        <v>1467</v>
      </c>
      <c r="I147" s="1">
        <v>71</v>
      </c>
      <c r="J147" s="1">
        <v>1766</v>
      </c>
    </row>
    <row r="148" spans="1:10" x14ac:dyDescent="0.25">
      <c r="A148" s="2">
        <v>540115</v>
      </c>
      <c r="B148" s="2" t="s">
        <v>201</v>
      </c>
      <c r="C148" s="2" t="s">
        <v>51</v>
      </c>
      <c r="D148" s="2" t="s">
        <v>115</v>
      </c>
      <c r="E148" s="2">
        <v>1</v>
      </c>
      <c r="F148" s="62"/>
      <c r="G148" s="30">
        <v>31079</v>
      </c>
      <c r="H148" s="2">
        <v>38</v>
      </c>
      <c r="I148" s="2">
        <v>0</v>
      </c>
      <c r="J148" s="2">
        <v>27</v>
      </c>
    </row>
    <row r="149" spans="1:10" x14ac:dyDescent="0.25">
      <c r="A149" s="2">
        <v>540116</v>
      </c>
      <c r="B149" s="2" t="s">
        <v>202</v>
      </c>
      <c r="C149" s="2" t="s">
        <v>51</v>
      </c>
      <c r="D149" s="2" t="s">
        <v>115</v>
      </c>
      <c r="E149" s="2">
        <v>1</v>
      </c>
      <c r="F149" s="62"/>
      <c r="G149" s="30">
        <v>30953</v>
      </c>
      <c r="H149" s="2">
        <v>40</v>
      </c>
      <c r="I149" s="2">
        <v>4</v>
      </c>
      <c r="J149" s="2">
        <v>62</v>
      </c>
    </row>
    <row r="150" spans="1:10" x14ac:dyDescent="0.25">
      <c r="A150" s="2">
        <v>540117</v>
      </c>
      <c r="B150" s="2" t="s">
        <v>203</v>
      </c>
      <c r="C150" s="2" t="s">
        <v>51</v>
      </c>
      <c r="D150" s="2" t="s">
        <v>115</v>
      </c>
      <c r="E150" s="2">
        <v>1</v>
      </c>
      <c r="F150" s="62"/>
      <c r="G150" s="30">
        <v>31079</v>
      </c>
      <c r="H150" s="2">
        <v>281</v>
      </c>
      <c r="I150" s="2">
        <v>2</v>
      </c>
      <c r="J150" s="2">
        <v>134</v>
      </c>
    </row>
    <row r="151" spans="1:10" x14ac:dyDescent="0.25">
      <c r="A151" s="2">
        <v>540118</v>
      </c>
      <c r="B151" s="2" t="s">
        <v>204</v>
      </c>
      <c r="C151" s="2" t="s">
        <v>51</v>
      </c>
      <c r="D151" s="2" t="s">
        <v>115</v>
      </c>
      <c r="E151" s="2">
        <v>1</v>
      </c>
      <c r="F151" s="62"/>
      <c r="G151" s="30">
        <v>30953</v>
      </c>
      <c r="H151" s="2">
        <v>18</v>
      </c>
      <c r="I151" s="2">
        <v>0</v>
      </c>
      <c r="J151" s="2">
        <v>31</v>
      </c>
    </row>
    <row r="152" spans="1:10" x14ac:dyDescent="0.25">
      <c r="A152" s="2">
        <v>540119</v>
      </c>
      <c r="B152" s="2" t="s">
        <v>205</v>
      </c>
      <c r="C152" s="2" t="s">
        <v>51</v>
      </c>
      <c r="D152" s="2" t="s">
        <v>115</v>
      </c>
      <c r="E152" s="2">
        <v>1</v>
      </c>
      <c r="F152" s="62"/>
      <c r="G152" s="30">
        <v>31079</v>
      </c>
      <c r="H152" s="2">
        <v>67</v>
      </c>
      <c r="I152" s="2">
        <v>4</v>
      </c>
      <c r="J152" s="2">
        <v>67</v>
      </c>
    </row>
    <row r="153" spans="1:10" x14ac:dyDescent="0.25">
      <c r="A153" s="2">
        <v>540120</v>
      </c>
      <c r="B153" s="2" t="s">
        <v>206</v>
      </c>
      <c r="C153" s="2" t="s">
        <v>51</v>
      </c>
      <c r="D153" s="2" t="s">
        <v>115</v>
      </c>
      <c r="E153" s="2">
        <v>1</v>
      </c>
      <c r="F153" s="62"/>
      <c r="G153" s="30">
        <v>31079</v>
      </c>
      <c r="H153" s="2">
        <v>35</v>
      </c>
      <c r="I153" s="2">
        <v>0</v>
      </c>
      <c r="J153" s="2">
        <v>43</v>
      </c>
    </row>
    <row r="154" spans="1:10" x14ac:dyDescent="0.25">
      <c r="A154" s="2">
        <v>540121</v>
      </c>
      <c r="B154" s="2" t="s">
        <v>207</v>
      </c>
      <c r="C154" s="2" t="s">
        <v>51</v>
      </c>
      <c r="D154" s="2" t="s">
        <v>115</v>
      </c>
      <c r="E154" s="2">
        <v>1</v>
      </c>
      <c r="F154" s="62"/>
      <c r="G154" s="30">
        <v>31140</v>
      </c>
      <c r="H154" s="2">
        <v>101</v>
      </c>
      <c r="I154" s="2">
        <v>3</v>
      </c>
      <c r="J154" s="2">
        <v>64</v>
      </c>
    </row>
    <row r="155" spans="1:10" x14ac:dyDescent="0.25">
      <c r="A155" s="2">
        <v>540122</v>
      </c>
      <c r="B155" s="2" t="s">
        <v>208</v>
      </c>
      <c r="C155" s="2" t="s">
        <v>51</v>
      </c>
      <c r="D155" s="2" t="s">
        <v>115</v>
      </c>
      <c r="E155" s="2">
        <v>1</v>
      </c>
      <c r="F155" s="62"/>
      <c r="G155" s="30">
        <v>30953</v>
      </c>
      <c r="H155" s="2">
        <v>45</v>
      </c>
      <c r="I155" s="2">
        <v>0</v>
      </c>
      <c r="J155" s="2">
        <v>37</v>
      </c>
    </row>
    <row r="156" spans="1:10" x14ac:dyDescent="0.25">
      <c r="A156" s="2">
        <v>540123</v>
      </c>
      <c r="B156" s="2" t="s">
        <v>209</v>
      </c>
      <c r="C156" s="2" t="s">
        <v>51</v>
      </c>
      <c r="D156" s="2" t="s">
        <v>115</v>
      </c>
      <c r="E156" s="2">
        <v>1</v>
      </c>
      <c r="F156" s="62"/>
      <c r="G156" s="30">
        <v>30560</v>
      </c>
      <c r="H156" s="2">
        <v>278</v>
      </c>
      <c r="I156" s="2">
        <v>9</v>
      </c>
      <c r="J156" s="2">
        <v>110</v>
      </c>
    </row>
    <row r="157" spans="1:10" x14ac:dyDescent="0.25">
      <c r="A157" s="2">
        <v>540291</v>
      </c>
      <c r="B157" s="2" t="s">
        <v>328</v>
      </c>
      <c r="C157" s="2" t="s">
        <v>51</v>
      </c>
      <c r="D157" s="2" t="s">
        <v>115</v>
      </c>
      <c r="E157" s="2">
        <v>1</v>
      </c>
      <c r="F157" s="62"/>
      <c r="G157" s="30">
        <v>31673</v>
      </c>
      <c r="H157" s="2">
        <v>4</v>
      </c>
      <c r="I157" s="2">
        <v>2</v>
      </c>
      <c r="J157" s="2">
        <v>26</v>
      </c>
    </row>
    <row r="158" spans="1:10" x14ac:dyDescent="0.25">
      <c r="A158" s="2"/>
      <c r="B158" s="2"/>
      <c r="C158" s="2" t="s">
        <v>51</v>
      </c>
      <c r="D158" s="2"/>
      <c r="E158" s="2"/>
      <c r="F158" s="62"/>
      <c r="G158" s="2"/>
      <c r="H158" s="2">
        <v>2374</v>
      </c>
      <c r="I158" s="2">
        <v>95</v>
      </c>
      <c r="J158" s="2">
        <v>2367</v>
      </c>
    </row>
    <row r="159" spans="1:10" x14ac:dyDescent="0.25">
      <c r="A159" s="1">
        <v>540124</v>
      </c>
      <c r="B159" s="1" t="s">
        <v>52</v>
      </c>
      <c r="C159" s="1" t="s">
        <v>53</v>
      </c>
      <c r="D159" s="1" t="s">
        <v>5</v>
      </c>
      <c r="E159" s="1">
        <v>1</v>
      </c>
      <c r="F159" s="63"/>
      <c r="G159" s="29">
        <v>31079</v>
      </c>
      <c r="H159" s="1">
        <v>1019</v>
      </c>
      <c r="I159" s="1">
        <v>175</v>
      </c>
      <c r="J159" s="1">
        <v>768</v>
      </c>
    </row>
    <row r="160" spans="1:10" x14ac:dyDescent="0.25">
      <c r="A160" s="2">
        <v>540125</v>
      </c>
      <c r="B160" s="2" t="s">
        <v>210</v>
      </c>
      <c r="C160" s="2" t="s">
        <v>53</v>
      </c>
      <c r="D160" s="2" t="s">
        <v>115</v>
      </c>
      <c r="E160" s="2">
        <v>1</v>
      </c>
      <c r="F160" s="62"/>
      <c r="G160" s="30">
        <v>30651</v>
      </c>
      <c r="H160" s="2">
        <v>14</v>
      </c>
      <c r="I160" s="2">
        <v>0</v>
      </c>
      <c r="J160" s="2">
        <v>6</v>
      </c>
    </row>
    <row r="161" spans="1:10" x14ac:dyDescent="0.25">
      <c r="A161" s="2">
        <v>540126</v>
      </c>
      <c r="B161" s="2" t="s">
        <v>211</v>
      </c>
      <c r="C161" s="2" t="s">
        <v>53</v>
      </c>
      <c r="D161" s="2" t="s">
        <v>115</v>
      </c>
      <c r="E161" s="2">
        <v>1</v>
      </c>
      <c r="F161" s="62"/>
      <c r="G161" s="30">
        <v>30665</v>
      </c>
      <c r="H161" s="2">
        <v>47</v>
      </c>
      <c r="I161" s="2">
        <v>2</v>
      </c>
      <c r="J161" s="2">
        <v>4</v>
      </c>
    </row>
    <row r="162" spans="1:10" x14ac:dyDescent="0.25">
      <c r="A162" s="2">
        <v>540127</v>
      </c>
      <c r="B162" s="2" t="s">
        <v>212</v>
      </c>
      <c r="C162" s="2" t="s">
        <v>53</v>
      </c>
      <c r="D162" s="2" t="s">
        <v>115</v>
      </c>
      <c r="E162" s="2">
        <v>1</v>
      </c>
      <c r="F162" s="62"/>
      <c r="G162" s="30">
        <v>30665</v>
      </c>
      <c r="H162" s="2">
        <v>12</v>
      </c>
      <c r="I162" s="2">
        <v>0</v>
      </c>
      <c r="J162" s="2">
        <v>7</v>
      </c>
    </row>
    <row r="163" spans="1:10" x14ac:dyDescent="0.25">
      <c r="A163" s="2">
        <v>540128</v>
      </c>
      <c r="B163" s="2" t="s">
        <v>213</v>
      </c>
      <c r="C163" s="2" t="s">
        <v>53</v>
      </c>
      <c r="D163" s="2" t="s">
        <v>115</v>
      </c>
      <c r="E163" s="2">
        <v>1</v>
      </c>
      <c r="F163" s="62"/>
      <c r="G163" s="30">
        <v>30713</v>
      </c>
      <c r="H163" s="2">
        <v>121</v>
      </c>
      <c r="I163" s="2">
        <v>94</v>
      </c>
      <c r="J163" s="2">
        <v>17</v>
      </c>
    </row>
    <row r="164" spans="1:10" x14ac:dyDescent="0.25">
      <c r="A164" s="2">
        <v>540172</v>
      </c>
      <c r="B164" s="2" t="s">
        <v>244</v>
      </c>
      <c r="C164" s="2" t="s">
        <v>53</v>
      </c>
      <c r="D164" s="2" t="s">
        <v>115</v>
      </c>
      <c r="E164" s="2">
        <v>1</v>
      </c>
      <c r="F164" s="62"/>
      <c r="G164" s="30">
        <v>38413</v>
      </c>
      <c r="H164" s="2">
        <v>0</v>
      </c>
      <c r="I164" s="2">
        <v>0</v>
      </c>
      <c r="J164" s="2">
        <v>0</v>
      </c>
    </row>
    <row r="165" spans="1:10" x14ac:dyDescent="0.25">
      <c r="A165" s="2">
        <v>540285</v>
      </c>
      <c r="B165" s="2" t="s">
        <v>324</v>
      </c>
      <c r="C165" s="2" t="s">
        <v>53</v>
      </c>
      <c r="D165" s="2" t="s">
        <v>115</v>
      </c>
      <c r="E165" s="2">
        <v>1</v>
      </c>
      <c r="F165" s="62"/>
      <c r="G165" s="30">
        <v>38413</v>
      </c>
      <c r="H165" s="2">
        <v>0</v>
      </c>
      <c r="I165" s="2">
        <v>0</v>
      </c>
      <c r="J165" s="2">
        <v>2</v>
      </c>
    </row>
    <row r="166" spans="1:10" x14ac:dyDescent="0.25">
      <c r="A166" s="2"/>
      <c r="B166" s="2"/>
      <c r="C166" s="2" t="s">
        <v>53</v>
      </c>
      <c r="D166" s="2"/>
      <c r="E166" s="2"/>
      <c r="F166" s="62"/>
      <c r="G166" s="2"/>
      <c r="H166" s="2">
        <v>1213</v>
      </c>
      <c r="I166" s="2">
        <v>271</v>
      </c>
      <c r="J166" s="2">
        <v>804</v>
      </c>
    </row>
    <row r="167" spans="1:10" x14ac:dyDescent="0.25">
      <c r="A167" s="1">
        <v>540129</v>
      </c>
      <c r="B167" s="1" t="s">
        <v>54</v>
      </c>
      <c r="C167" s="1" t="s">
        <v>55</v>
      </c>
      <c r="D167" s="1" t="s">
        <v>5</v>
      </c>
      <c r="E167" s="1">
        <v>8</v>
      </c>
      <c r="F167" s="63"/>
      <c r="G167" s="29">
        <v>33508</v>
      </c>
      <c r="H167" s="1">
        <v>357</v>
      </c>
      <c r="I167" s="1">
        <v>68</v>
      </c>
      <c r="J167" s="1">
        <v>167</v>
      </c>
    </row>
    <row r="168" spans="1:10" x14ac:dyDescent="0.25">
      <c r="A168" s="2">
        <v>540130</v>
      </c>
      <c r="B168" s="2" t="s">
        <v>214</v>
      </c>
      <c r="C168" s="2" t="s">
        <v>55</v>
      </c>
      <c r="D168" s="2" t="s">
        <v>115</v>
      </c>
      <c r="E168" s="2">
        <v>8</v>
      </c>
      <c r="F168" s="62"/>
      <c r="G168" s="30">
        <v>33508</v>
      </c>
      <c r="H168" s="2">
        <v>239</v>
      </c>
      <c r="I168" s="2">
        <v>3</v>
      </c>
      <c r="J168" s="2">
        <v>25</v>
      </c>
    </row>
    <row r="169" spans="1:10" x14ac:dyDescent="0.25">
      <c r="A169" s="2">
        <v>540131</v>
      </c>
      <c r="B169" s="2" t="s">
        <v>215</v>
      </c>
      <c r="C169" s="2" t="s">
        <v>55</v>
      </c>
      <c r="D169" s="2" t="s">
        <v>115</v>
      </c>
      <c r="E169" s="2">
        <v>8</v>
      </c>
      <c r="F169" s="62"/>
      <c r="G169" s="30">
        <v>33508</v>
      </c>
      <c r="H169" s="2">
        <v>26</v>
      </c>
      <c r="I169" s="2">
        <v>1</v>
      </c>
      <c r="J169" s="2">
        <v>11</v>
      </c>
    </row>
    <row r="170" spans="1:10" x14ac:dyDescent="0.25">
      <c r="A170" s="2">
        <v>540155</v>
      </c>
      <c r="B170" s="2" t="s">
        <v>231</v>
      </c>
      <c r="C170" s="2" t="s">
        <v>55</v>
      </c>
      <c r="D170" s="2" t="s">
        <v>115</v>
      </c>
      <c r="E170" s="2">
        <v>8</v>
      </c>
      <c r="F170" s="62"/>
      <c r="G170" s="30">
        <v>33508</v>
      </c>
      <c r="H170" s="2">
        <v>9</v>
      </c>
      <c r="I170" s="2">
        <v>0</v>
      </c>
      <c r="J170" s="2">
        <v>0</v>
      </c>
    </row>
    <row r="171" spans="1:10" x14ac:dyDescent="0.25">
      <c r="A171" s="2">
        <v>545555</v>
      </c>
      <c r="B171" s="2" t="s">
        <v>336</v>
      </c>
      <c r="C171" s="2" t="s">
        <v>55</v>
      </c>
      <c r="D171" s="2" t="s">
        <v>115</v>
      </c>
      <c r="E171" s="2">
        <v>8</v>
      </c>
      <c r="F171" s="62"/>
      <c r="G171" s="30">
        <v>33508</v>
      </c>
      <c r="H171" s="2">
        <v>0</v>
      </c>
      <c r="I171" s="2">
        <v>0</v>
      </c>
      <c r="J171" s="2">
        <v>0</v>
      </c>
    </row>
    <row r="172" spans="1:10" x14ac:dyDescent="0.25">
      <c r="A172" s="2">
        <v>540091</v>
      </c>
      <c r="B172" s="2" t="s">
        <v>338</v>
      </c>
      <c r="C172" s="2" t="s">
        <v>55</v>
      </c>
      <c r="D172" s="2" t="s">
        <v>115</v>
      </c>
      <c r="E172" s="2">
        <v>8</v>
      </c>
      <c r="F172" s="62"/>
      <c r="G172" s="30">
        <v>33508</v>
      </c>
      <c r="H172" s="2">
        <v>0</v>
      </c>
      <c r="I172" s="2">
        <v>0</v>
      </c>
      <c r="J172" s="2">
        <v>0</v>
      </c>
    </row>
    <row r="173" spans="1:10" x14ac:dyDescent="0.25">
      <c r="A173" s="2"/>
      <c r="B173" s="2"/>
      <c r="C173" s="2" t="s">
        <v>55</v>
      </c>
      <c r="D173" s="2"/>
      <c r="E173" s="2"/>
      <c r="F173" s="62"/>
      <c r="G173" s="2"/>
      <c r="H173" s="2">
        <v>631</v>
      </c>
      <c r="I173" s="2">
        <v>72</v>
      </c>
      <c r="J173" s="2">
        <v>203</v>
      </c>
    </row>
    <row r="174" spans="1:10" x14ac:dyDescent="0.25">
      <c r="A174" s="1">
        <v>540133</v>
      </c>
      <c r="B174" s="1" t="s">
        <v>56</v>
      </c>
      <c r="C174" s="1" t="s">
        <v>57</v>
      </c>
      <c r="D174" s="1" t="s">
        <v>5</v>
      </c>
      <c r="E174" s="1">
        <v>2</v>
      </c>
      <c r="F174" s="63"/>
      <c r="G174" s="29">
        <v>29557</v>
      </c>
      <c r="H174" s="1">
        <v>916</v>
      </c>
      <c r="I174" s="1">
        <v>567</v>
      </c>
      <c r="J174" s="1">
        <v>2071</v>
      </c>
    </row>
    <row r="175" spans="1:10" x14ac:dyDescent="0.25">
      <c r="A175" s="2">
        <v>540134</v>
      </c>
      <c r="B175" s="2" t="s">
        <v>217</v>
      </c>
      <c r="C175" s="2" t="s">
        <v>57</v>
      </c>
      <c r="D175" s="2" t="s">
        <v>115</v>
      </c>
      <c r="E175" s="2">
        <v>2</v>
      </c>
      <c r="F175" s="62"/>
      <c r="G175" s="30">
        <v>28199</v>
      </c>
      <c r="H175" s="2">
        <v>39</v>
      </c>
      <c r="I175" s="2">
        <v>30</v>
      </c>
      <c r="J175" s="2">
        <v>109</v>
      </c>
    </row>
    <row r="176" spans="1:10" x14ac:dyDescent="0.25">
      <c r="A176" s="2">
        <v>540135</v>
      </c>
      <c r="B176" s="2" t="s">
        <v>218</v>
      </c>
      <c r="C176" s="2" t="s">
        <v>57</v>
      </c>
      <c r="D176" s="2" t="s">
        <v>115</v>
      </c>
      <c r="E176" s="2">
        <v>2</v>
      </c>
      <c r="F176" s="62"/>
      <c r="G176" s="30">
        <v>28247</v>
      </c>
      <c r="H176" s="2">
        <v>23</v>
      </c>
      <c r="I176" s="2">
        <v>6</v>
      </c>
      <c r="J176" s="2">
        <v>52</v>
      </c>
    </row>
    <row r="177" spans="1:10" x14ac:dyDescent="0.25">
      <c r="A177" s="2">
        <v>540136</v>
      </c>
      <c r="B177" s="2" t="s">
        <v>219</v>
      </c>
      <c r="C177" s="2" t="s">
        <v>57</v>
      </c>
      <c r="D177" s="2" t="s">
        <v>115</v>
      </c>
      <c r="E177" s="2">
        <v>2</v>
      </c>
      <c r="F177" s="62"/>
      <c r="G177" s="30">
        <v>28550</v>
      </c>
      <c r="H177" s="2">
        <v>31</v>
      </c>
      <c r="I177" s="2">
        <v>28</v>
      </c>
      <c r="J177" s="2">
        <v>58</v>
      </c>
    </row>
    <row r="178" spans="1:10" x14ac:dyDescent="0.25">
      <c r="A178" s="2">
        <v>540138</v>
      </c>
      <c r="B178" s="2" t="s">
        <v>221</v>
      </c>
      <c r="C178" s="2" t="s">
        <v>57</v>
      </c>
      <c r="D178" s="2" t="s">
        <v>115</v>
      </c>
      <c r="E178" s="2">
        <v>2</v>
      </c>
      <c r="F178" s="62"/>
      <c r="G178" s="30">
        <v>29602</v>
      </c>
      <c r="H178" s="2">
        <v>23</v>
      </c>
      <c r="I178" s="2">
        <v>2</v>
      </c>
      <c r="J178" s="2">
        <v>22</v>
      </c>
    </row>
    <row r="179" spans="1:10" x14ac:dyDescent="0.25">
      <c r="A179" s="2">
        <v>545538</v>
      </c>
      <c r="B179" s="2" t="s">
        <v>334</v>
      </c>
      <c r="C179" s="2" t="s">
        <v>57</v>
      </c>
      <c r="D179" s="2" t="s">
        <v>115</v>
      </c>
      <c r="E179" s="2">
        <v>2</v>
      </c>
      <c r="F179" s="62"/>
      <c r="G179" s="30">
        <v>25602</v>
      </c>
      <c r="H179" s="2">
        <v>9</v>
      </c>
      <c r="I179" s="2">
        <v>5</v>
      </c>
      <c r="J179" s="2">
        <v>42</v>
      </c>
    </row>
    <row r="180" spans="1:10" x14ac:dyDescent="0.25">
      <c r="A180" s="2"/>
      <c r="B180" s="2"/>
      <c r="C180" s="2" t="s">
        <v>57</v>
      </c>
      <c r="D180" s="2"/>
      <c r="E180" s="2"/>
      <c r="F180" s="62"/>
      <c r="G180" s="2"/>
      <c r="H180" s="2">
        <v>1041</v>
      </c>
      <c r="I180" s="2">
        <v>638</v>
      </c>
      <c r="J180" s="2">
        <v>2354</v>
      </c>
    </row>
    <row r="181" spans="1:10" x14ac:dyDescent="0.25">
      <c r="A181" s="1">
        <v>540139</v>
      </c>
      <c r="B181" s="1" t="s">
        <v>58</v>
      </c>
      <c r="C181" s="1" t="s">
        <v>59</v>
      </c>
      <c r="D181" s="1" t="s">
        <v>5</v>
      </c>
      <c r="E181" s="1">
        <v>6</v>
      </c>
      <c r="F181" s="63"/>
      <c r="G181" s="29">
        <v>30803</v>
      </c>
      <c r="H181" s="1">
        <v>369</v>
      </c>
      <c r="I181" s="1">
        <v>254</v>
      </c>
      <c r="J181" s="1">
        <v>311</v>
      </c>
    </row>
    <row r="182" spans="1:10" x14ac:dyDescent="0.25">
      <c r="A182" s="2">
        <v>540140</v>
      </c>
      <c r="B182" s="2" t="s">
        <v>222</v>
      </c>
      <c r="C182" s="2" t="s">
        <v>59</v>
      </c>
      <c r="D182" s="2" t="s">
        <v>115</v>
      </c>
      <c r="E182" s="2">
        <v>6</v>
      </c>
      <c r="F182" s="62"/>
      <c r="G182" s="30">
        <v>40198</v>
      </c>
      <c r="H182" s="2">
        <v>5</v>
      </c>
      <c r="I182" s="2">
        <v>0</v>
      </c>
      <c r="J182" s="2">
        <v>5</v>
      </c>
    </row>
    <row r="183" spans="1:10" x14ac:dyDescent="0.25">
      <c r="A183" s="2">
        <v>540141</v>
      </c>
      <c r="B183" s="2" t="s">
        <v>223</v>
      </c>
      <c r="C183" s="2" t="s">
        <v>59</v>
      </c>
      <c r="D183" s="2" t="s">
        <v>115</v>
      </c>
      <c r="E183" s="2">
        <v>6</v>
      </c>
      <c r="F183" s="62"/>
      <c r="G183" s="30">
        <v>29068</v>
      </c>
      <c r="H183" s="2">
        <v>90</v>
      </c>
      <c r="I183" s="2">
        <v>30</v>
      </c>
      <c r="J183" s="2">
        <v>52</v>
      </c>
    </row>
    <row r="184" spans="1:10" x14ac:dyDescent="0.25">
      <c r="A184" s="2">
        <v>540272</v>
      </c>
      <c r="B184" s="2" t="s">
        <v>315</v>
      </c>
      <c r="C184" s="2" t="s">
        <v>59</v>
      </c>
      <c r="D184" s="2" t="s">
        <v>115</v>
      </c>
      <c r="E184" s="2">
        <v>6</v>
      </c>
      <c r="F184" s="62"/>
      <c r="G184" s="30">
        <v>30665</v>
      </c>
      <c r="H184" s="2">
        <v>18</v>
      </c>
      <c r="I184" s="2">
        <v>4</v>
      </c>
      <c r="J184" s="2">
        <v>5</v>
      </c>
    </row>
    <row r="185" spans="1:10" x14ac:dyDescent="0.25">
      <c r="A185" s="2">
        <v>540273</v>
      </c>
      <c r="B185" s="2" t="s">
        <v>316</v>
      </c>
      <c r="C185" s="2" t="s">
        <v>59</v>
      </c>
      <c r="D185" s="2" t="s">
        <v>115</v>
      </c>
      <c r="E185" s="2">
        <v>6</v>
      </c>
      <c r="F185" s="62"/>
      <c r="G185" s="30">
        <v>28703</v>
      </c>
      <c r="H185" s="2">
        <v>0</v>
      </c>
      <c r="I185" s="2">
        <v>0</v>
      </c>
      <c r="J185" s="2">
        <v>1</v>
      </c>
    </row>
    <row r="186" spans="1:10" x14ac:dyDescent="0.25">
      <c r="A186" s="2">
        <v>540274</v>
      </c>
      <c r="B186" s="2" t="s">
        <v>317</v>
      </c>
      <c r="C186" s="2" t="s">
        <v>59</v>
      </c>
      <c r="D186" s="2" t="s">
        <v>115</v>
      </c>
      <c r="E186" s="2">
        <v>6</v>
      </c>
      <c r="F186" s="62"/>
      <c r="G186" s="30">
        <v>28703</v>
      </c>
      <c r="H186" s="2">
        <v>3</v>
      </c>
      <c r="I186" s="2">
        <v>11</v>
      </c>
      <c r="J186" s="2">
        <v>12</v>
      </c>
    </row>
    <row r="187" spans="1:10" x14ac:dyDescent="0.25">
      <c r="A187" s="2"/>
      <c r="B187" s="2"/>
      <c r="C187" s="2" t="s">
        <v>59</v>
      </c>
      <c r="D187" s="2"/>
      <c r="E187" s="2"/>
      <c r="F187" s="62"/>
      <c r="G187" s="2"/>
      <c r="H187" s="2">
        <v>485</v>
      </c>
      <c r="I187" s="2">
        <v>299</v>
      </c>
      <c r="J187" s="2">
        <v>386</v>
      </c>
    </row>
    <row r="188" spans="1:10" x14ac:dyDescent="0.25">
      <c r="A188" s="1">
        <v>540144</v>
      </c>
      <c r="B188" s="1" t="s">
        <v>60</v>
      </c>
      <c r="C188" s="1" t="s">
        <v>61</v>
      </c>
      <c r="D188" s="1" t="s">
        <v>5</v>
      </c>
      <c r="E188" s="1">
        <v>9</v>
      </c>
      <c r="F188" s="63"/>
      <c r="G188" s="29">
        <v>31959</v>
      </c>
      <c r="H188" s="1">
        <v>361</v>
      </c>
      <c r="I188" s="1">
        <v>121</v>
      </c>
      <c r="J188" s="1">
        <v>339</v>
      </c>
    </row>
    <row r="189" spans="1:10" x14ac:dyDescent="0.25">
      <c r="A189" s="2">
        <v>540005</v>
      </c>
      <c r="B189" s="2" t="s">
        <v>118</v>
      </c>
      <c r="C189" s="2" t="s">
        <v>61</v>
      </c>
      <c r="D189" s="2" t="s">
        <v>115</v>
      </c>
      <c r="E189" s="2">
        <v>9</v>
      </c>
      <c r="F189" s="62"/>
      <c r="G189" s="30">
        <v>29222</v>
      </c>
      <c r="H189" s="2">
        <v>72</v>
      </c>
      <c r="I189" s="2">
        <v>9</v>
      </c>
      <c r="J189" s="2">
        <v>10</v>
      </c>
    </row>
    <row r="190" spans="1:10" x14ac:dyDescent="0.25">
      <c r="A190" s="2">
        <v>540252</v>
      </c>
      <c r="B190" s="2" t="s">
        <v>298</v>
      </c>
      <c r="C190" s="2" t="s">
        <v>61</v>
      </c>
      <c r="D190" s="2" t="s">
        <v>115</v>
      </c>
      <c r="E190" s="2">
        <v>9</v>
      </c>
      <c r="F190" s="62"/>
      <c r="G190" s="30">
        <v>30988</v>
      </c>
      <c r="H190" s="2">
        <v>44</v>
      </c>
      <c r="I190" s="2">
        <v>4</v>
      </c>
      <c r="J190" s="2">
        <v>7</v>
      </c>
    </row>
    <row r="191" spans="1:10" x14ac:dyDescent="0.25">
      <c r="A191" s="2"/>
      <c r="B191" s="2"/>
      <c r="C191" s="2" t="s">
        <v>61</v>
      </c>
      <c r="D191" s="2"/>
      <c r="E191" s="2"/>
      <c r="F191" s="62"/>
      <c r="G191" s="2"/>
      <c r="H191" s="2">
        <v>477</v>
      </c>
      <c r="I191" s="2">
        <v>134</v>
      </c>
      <c r="J191" s="2">
        <v>356</v>
      </c>
    </row>
    <row r="192" spans="1:10" x14ac:dyDescent="0.25">
      <c r="A192" s="1">
        <v>540146</v>
      </c>
      <c r="B192" s="1" t="s">
        <v>62</v>
      </c>
      <c r="C192" s="1" t="s">
        <v>63</v>
      </c>
      <c r="D192" s="1" t="s">
        <v>5</v>
      </c>
      <c r="E192" s="1">
        <v>4</v>
      </c>
      <c r="F192" s="63"/>
      <c r="G192" s="29">
        <v>33548</v>
      </c>
      <c r="H192" s="1">
        <v>350</v>
      </c>
      <c r="I192" s="1">
        <v>94</v>
      </c>
      <c r="J192" s="1">
        <v>289</v>
      </c>
    </row>
    <row r="193" spans="1:10" x14ac:dyDescent="0.25">
      <c r="A193" s="2">
        <v>540147</v>
      </c>
      <c r="B193" s="2" t="s">
        <v>225</v>
      </c>
      <c r="C193" s="2" t="s">
        <v>63</v>
      </c>
      <c r="D193" s="2" t="s">
        <v>115</v>
      </c>
      <c r="E193" s="2">
        <v>4</v>
      </c>
      <c r="F193" s="62"/>
      <c r="G193" s="30">
        <v>33508</v>
      </c>
      <c r="H193" s="2">
        <v>234</v>
      </c>
      <c r="I193" s="2">
        <v>8</v>
      </c>
      <c r="J193" s="2">
        <v>124</v>
      </c>
    </row>
    <row r="194" spans="1:10" x14ac:dyDescent="0.25">
      <c r="A194" s="2">
        <v>540148</v>
      </c>
      <c r="B194" s="2" t="s">
        <v>226</v>
      </c>
      <c r="C194" s="2" t="s">
        <v>63</v>
      </c>
      <c r="D194" s="2" t="s">
        <v>115</v>
      </c>
      <c r="E194" s="2">
        <v>4</v>
      </c>
      <c r="F194" s="62"/>
      <c r="G194" s="30">
        <v>30918</v>
      </c>
      <c r="H194" s="2">
        <v>17</v>
      </c>
      <c r="I194" s="2">
        <v>13</v>
      </c>
      <c r="J194" s="2">
        <v>22</v>
      </c>
    </row>
    <row r="195" spans="1:10" x14ac:dyDescent="0.25">
      <c r="A195" s="2"/>
      <c r="B195" s="2"/>
      <c r="C195" s="2" t="s">
        <v>63</v>
      </c>
      <c r="D195" s="2"/>
      <c r="E195" s="2"/>
      <c r="F195" s="62"/>
      <c r="G195" s="2"/>
      <c r="H195" s="2">
        <v>601</v>
      </c>
      <c r="I195" s="2">
        <v>115</v>
      </c>
      <c r="J195" s="2">
        <v>435</v>
      </c>
    </row>
    <row r="196" spans="1:10" x14ac:dyDescent="0.25">
      <c r="A196" s="1">
        <v>540149</v>
      </c>
      <c r="B196" s="1" t="s">
        <v>64</v>
      </c>
      <c r="C196" s="1" t="s">
        <v>65</v>
      </c>
      <c r="D196" s="1" t="s">
        <v>5</v>
      </c>
      <c r="E196" s="1">
        <v>10</v>
      </c>
      <c r="F196" s="63"/>
      <c r="G196" s="29">
        <v>30410</v>
      </c>
      <c r="H196" s="1">
        <v>154</v>
      </c>
      <c r="I196" s="1">
        <v>62</v>
      </c>
      <c r="J196" s="1">
        <v>123</v>
      </c>
    </row>
    <row r="197" spans="1:10" x14ac:dyDescent="0.25">
      <c r="A197" s="2">
        <v>540080</v>
      </c>
      <c r="B197" s="2" t="s">
        <v>175</v>
      </c>
      <c r="C197" s="2" t="s">
        <v>65</v>
      </c>
      <c r="D197" s="2" t="s">
        <v>115</v>
      </c>
      <c r="E197" s="2">
        <v>10</v>
      </c>
      <c r="F197" s="62"/>
      <c r="G197" s="30">
        <v>38915</v>
      </c>
      <c r="H197" s="2">
        <v>0</v>
      </c>
      <c r="I197" s="2">
        <v>0</v>
      </c>
      <c r="J197" s="2">
        <v>0</v>
      </c>
    </row>
    <row r="198" spans="1:10" x14ac:dyDescent="0.25">
      <c r="A198" s="2">
        <v>540094</v>
      </c>
      <c r="B198" s="2" t="s">
        <v>185</v>
      </c>
      <c r="C198" s="2" t="s">
        <v>65</v>
      </c>
      <c r="D198" s="2" t="s">
        <v>115</v>
      </c>
      <c r="E198" s="2">
        <v>10</v>
      </c>
      <c r="F198" s="62"/>
      <c r="G198" s="30">
        <v>38915</v>
      </c>
      <c r="H198" s="2">
        <v>11</v>
      </c>
      <c r="I198" s="2">
        <v>0</v>
      </c>
      <c r="J198" s="2">
        <v>0</v>
      </c>
    </row>
    <row r="199" spans="1:10" x14ac:dyDescent="0.25">
      <c r="A199" s="2">
        <v>540150</v>
      </c>
      <c r="B199" s="2" t="s">
        <v>227</v>
      </c>
      <c r="C199" s="2" t="s">
        <v>65</v>
      </c>
      <c r="D199" s="2" t="s">
        <v>115</v>
      </c>
      <c r="E199" s="2">
        <v>10</v>
      </c>
      <c r="F199" s="62"/>
      <c r="G199" s="30">
        <v>30699</v>
      </c>
      <c r="H199" s="2">
        <v>78</v>
      </c>
      <c r="I199" s="2">
        <v>3</v>
      </c>
      <c r="J199" s="2">
        <v>16</v>
      </c>
    </row>
    <row r="200" spans="1:10" x14ac:dyDescent="0.25">
      <c r="A200" s="2">
        <v>540151</v>
      </c>
      <c r="B200" s="2" t="s">
        <v>228</v>
      </c>
      <c r="C200" s="2" t="s">
        <v>65</v>
      </c>
      <c r="D200" s="2" t="s">
        <v>115</v>
      </c>
      <c r="E200" s="2">
        <v>10</v>
      </c>
      <c r="F200" s="62"/>
      <c r="G200" s="30">
        <v>29126</v>
      </c>
      <c r="H200" s="2">
        <v>53</v>
      </c>
      <c r="I200" s="2">
        <v>4</v>
      </c>
      <c r="J200" s="2">
        <v>4</v>
      </c>
    </row>
    <row r="201" spans="1:10" x14ac:dyDescent="0.25">
      <c r="A201" s="2">
        <v>540152</v>
      </c>
      <c r="B201" s="2" t="s">
        <v>229</v>
      </c>
      <c r="C201" s="2" t="s">
        <v>65</v>
      </c>
      <c r="D201" s="2" t="s">
        <v>115</v>
      </c>
      <c r="E201" s="2">
        <v>10</v>
      </c>
      <c r="F201" s="62"/>
      <c r="G201" s="30">
        <v>29635</v>
      </c>
      <c r="H201" s="2">
        <v>2420</v>
      </c>
      <c r="I201" s="2">
        <v>77</v>
      </c>
      <c r="J201" s="2">
        <v>162</v>
      </c>
    </row>
    <row r="202" spans="1:10" x14ac:dyDescent="0.25">
      <c r="A202" s="2">
        <v>540275</v>
      </c>
      <c r="B202" s="2" t="s">
        <v>318</v>
      </c>
      <c r="C202" s="2" t="s">
        <v>65</v>
      </c>
      <c r="D202" s="2" t="s">
        <v>115</v>
      </c>
      <c r="E202" s="2">
        <v>10</v>
      </c>
      <c r="F202" s="62"/>
      <c r="G202" s="30">
        <v>38915</v>
      </c>
      <c r="H202" s="2">
        <v>0</v>
      </c>
      <c r="I202" s="2">
        <v>0</v>
      </c>
      <c r="J202" s="2">
        <v>0</v>
      </c>
    </row>
    <row r="203" spans="1:10" x14ac:dyDescent="0.25">
      <c r="A203" s="2"/>
      <c r="B203" s="2"/>
      <c r="C203" s="2" t="s">
        <v>65</v>
      </c>
      <c r="D203" s="2"/>
      <c r="E203" s="2"/>
      <c r="F203" s="62"/>
      <c r="G203" s="2"/>
      <c r="H203" s="2">
        <v>2716</v>
      </c>
      <c r="I203" s="2">
        <v>146</v>
      </c>
      <c r="J203" s="2">
        <v>305</v>
      </c>
    </row>
    <row r="204" spans="1:10" x14ac:dyDescent="0.25">
      <c r="A204" s="1">
        <v>540153</v>
      </c>
      <c r="B204" s="1" t="s">
        <v>66</v>
      </c>
      <c r="C204" s="1" t="s">
        <v>67</v>
      </c>
      <c r="D204" s="1" t="s">
        <v>5</v>
      </c>
      <c r="E204" s="1">
        <v>8</v>
      </c>
      <c r="F204" s="63"/>
      <c r="G204" s="29">
        <v>31959</v>
      </c>
      <c r="H204" s="1">
        <v>322</v>
      </c>
      <c r="I204" s="1">
        <v>118</v>
      </c>
      <c r="J204" s="1">
        <v>199</v>
      </c>
    </row>
    <row r="205" spans="1:10" x14ac:dyDescent="0.25">
      <c r="A205" s="2">
        <v>540154</v>
      </c>
      <c r="B205" s="2" t="s">
        <v>230</v>
      </c>
      <c r="C205" s="2" t="s">
        <v>67</v>
      </c>
      <c r="D205" s="2" t="s">
        <v>115</v>
      </c>
      <c r="E205" s="2">
        <v>8</v>
      </c>
      <c r="F205" s="62"/>
      <c r="G205" s="30">
        <v>32021</v>
      </c>
      <c r="H205" s="2">
        <v>3</v>
      </c>
      <c r="I205" s="2">
        <v>4</v>
      </c>
      <c r="J205" s="2">
        <v>13</v>
      </c>
    </row>
    <row r="206" spans="1:10" x14ac:dyDescent="0.25">
      <c r="A206" s="2"/>
      <c r="B206" s="2"/>
      <c r="C206" s="2" t="s">
        <v>67</v>
      </c>
      <c r="D206" s="2"/>
      <c r="E206" s="2"/>
      <c r="F206" s="62"/>
      <c r="G206" s="2"/>
      <c r="H206" s="2">
        <v>325</v>
      </c>
      <c r="I206" s="2">
        <v>122</v>
      </c>
      <c r="J206" s="2">
        <v>212</v>
      </c>
    </row>
    <row r="207" spans="1:10" x14ac:dyDescent="0.25">
      <c r="A207" s="1">
        <v>540160</v>
      </c>
      <c r="B207" s="1" t="s">
        <v>68</v>
      </c>
      <c r="C207" s="1" t="s">
        <v>69</v>
      </c>
      <c r="D207" s="1" t="s">
        <v>5</v>
      </c>
      <c r="E207" s="1">
        <v>6</v>
      </c>
      <c r="F207" s="63"/>
      <c r="G207" s="29">
        <v>31837</v>
      </c>
      <c r="H207" s="1">
        <v>241</v>
      </c>
      <c r="I207" s="1">
        <v>101</v>
      </c>
      <c r="J207" s="1">
        <v>181</v>
      </c>
    </row>
    <row r="208" spans="1:10" x14ac:dyDescent="0.25">
      <c r="A208" s="2">
        <v>540137</v>
      </c>
      <c r="B208" s="2" t="s">
        <v>220</v>
      </c>
      <c r="C208" s="2" t="s">
        <v>69</v>
      </c>
      <c r="D208" s="2" t="s">
        <v>115</v>
      </c>
      <c r="E208" s="2">
        <v>6</v>
      </c>
      <c r="F208" s="62"/>
      <c r="G208" s="30">
        <v>41065</v>
      </c>
      <c r="H208" s="2">
        <v>0</v>
      </c>
      <c r="I208" s="2">
        <v>0</v>
      </c>
      <c r="J208" s="2">
        <v>0</v>
      </c>
    </row>
    <row r="209" spans="1:10" x14ac:dyDescent="0.25">
      <c r="A209" s="2">
        <v>540161</v>
      </c>
      <c r="B209" s="2" t="s">
        <v>235</v>
      </c>
      <c r="C209" s="2" t="s">
        <v>69</v>
      </c>
      <c r="D209" s="2" t="s">
        <v>115</v>
      </c>
      <c r="E209" s="2">
        <v>6</v>
      </c>
      <c r="F209" s="62"/>
      <c r="G209" s="30">
        <v>31990</v>
      </c>
      <c r="H209" s="2">
        <v>15</v>
      </c>
      <c r="I209" s="2">
        <v>8</v>
      </c>
      <c r="J209" s="2">
        <v>29</v>
      </c>
    </row>
    <row r="210" spans="1:10" x14ac:dyDescent="0.25">
      <c r="A210" s="2">
        <v>540162</v>
      </c>
      <c r="B210" s="2" t="s">
        <v>236</v>
      </c>
      <c r="C210" s="2" t="s">
        <v>69</v>
      </c>
      <c r="D210" s="2" t="s">
        <v>115</v>
      </c>
      <c r="E210" s="2">
        <v>6</v>
      </c>
      <c r="F210" s="62"/>
      <c r="G210" s="30">
        <v>31990</v>
      </c>
      <c r="H210" s="2">
        <v>17</v>
      </c>
      <c r="I210" s="2">
        <v>5</v>
      </c>
      <c r="J210" s="2">
        <v>7</v>
      </c>
    </row>
    <row r="211" spans="1:10" x14ac:dyDescent="0.25">
      <c r="A211" s="2">
        <v>540163</v>
      </c>
      <c r="B211" s="2" t="s">
        <v>237</v>
      </c>
      <c r="C211" s="2" t="s">
        <v>69</v>
      </c>
      <c r="D211" s="2" t="s">
        <v>115</v>
      </c>
      <c r="E211" s="2">
        <v>6</v>
      </c>
      <c r="F211" s="62"/>
      <c r="G211" s="30">
        <v>29068</v>
      </c>
      <c r="H211" s="2">
        <v>66</v>
      </c>
      <c r="I211" s="2">
        <v>38</v>
      </c>
      <c r="J211" s="2">
        <v>26</v>
      </c>
    </row>
    <row r="212" spans="1:10" x14ac:dyDescent="0.25">
      <c r="A212" s="2">
        <v>540254</v>
      </c>
      <c r="B212" s="2" t="s">
        <v>300</v>
      </c>
      <c r="C212" s="2" t="s">
        <v>69</v>
      </c>
      <c r="D212" s="2" t="s">
        <v>115</v>
      </c>
      <c r="E212" s="2">
        <v>6</v>
      </c>
      <c r="F212" s="62"/>
      <c r="G212" s="30">
        <v>41065</v>
      </c>
      <c r="H212" s="2">
        <v>1</v>
      </c>
      <c r="I212" s="2">
        <v>0</v>
      </c>
      <c r="J212" s="2">
        <v>0</v>
      </c>
    </row>
    <row r="213" spans="1:10" x14ac:dyDescent="0.25">
      <c r="A213" s="2">
        <v>540257</v>
      </c>
      <c r="B213" s="2" t="s">
        <v>302</v>
      </c>
      <c r="C213" s="2" t="s">
        <v>69</v>
      </c>
      <c r="D213" s="2" t="s">
        <v>115</v>
      </c>
      <c r="E213" s="2">
        <v>6</v>
      </c>
      <c r="F213" s="62"/>
      <c r="G213" s="30">
        <v>31990</v>
      </c>
      <c r="H213" s="2">
        <v>21</v>
      </c>
      <c r="I213" s="2">
        <v>0</v>
      </c>
      <c r="J213" s="2">
        <v>6</v>
      </c>
    </row>
    <row r="214" spans="1:10" x14ac:dyDescent="0.25">
      <c r="A214" s="2">
        <v>540268</v>
      </c>
      <c r="B214" s="2" t="s">
        <v>311</v>
      </c>
      <c r="C214" s="2" t="s">
        <v>69</v>
      </c>
      <c r="D214" s="2" t="s">
        <v>115</v>
      </c>
      <c r="E214" s="2">
        <v>6</v>
      </c>
      <c r="F214" s="62"/>
      <c r="G214" s="30">
        <v>31990</v>
      </c>
      <c r="H214" s="2">
        <v>14</v>
      </c>
      <c r="I214" s="2">
        <v>2</v>
      </c>
      <c r="J214" s="2">
        <v>5</v>
      </c>
    </row>
    <row r="215" spans="1:10" x14ac:dyDescent="0.25">
      <c r="A215" s="2">
        <v>540269</v>
      </c>
      <c r="B215" s="2" t="s">
        <v>312</v>
      </c>
      <c r="C215" s="2" t="s">
        <v>69</v>
      </c>
      <c r="D215" s="2" t="s">
        <v>115</v>
      </c>
      <c r="E215" s="2">
        <v>6</v>
      </c>
      <c r="F215" s="62"/>
      <c r="G215" s="30">
        <v>31990</v>
      </c>
      <c r="H215" s="2">
        <v>0</v>
      </c>
      <c r="I215" s="2">
        <v>0</v>
      </c>
      <c r="J215" s="2">
        <v>0</v>
      </c>
    </row>
    <row r="216" spans="1:10" x14ac:dyDescent="0.25">
      <c r="A216" s="2">
        <v>540270</v>
      </c>
      <c r="B216" s="2" t="s">
        <v>313</v>
      </c>
      <c r="C216" s="2" t="s">
        <v>69</v>
      </c>
      <c r="D216" s="2" t="s">
        <v>115</v>
      </c>
      <c r="E216" s="2">
        <v>6</v>
      </c>
      <c r="F216" s="62"/>
      <c r="G216" s="30">
        <v>41065</v>
      </c>
      <c r="H216" s="2">
        <v>0</v>
      </c>
      <c r="I216" s="2">
        <v>0</v>
      </c>
      <c r="J216" s="2">
        <v>0</v>
      </c>
    </row>
    <row r="217" spans="1:10" x14ac:dyDescent="0.25">
      <c r="A217" s="2">
        <v>540284</v>
      </c>
      <c r="B217" s="2" t="s">
        <v>323</v>
      </c>
      <c r="C217" s="2" t="s">
        <v>69</v>
      </c>
      <c r="D217" s="2" t="s">
        <v>115</v>
      </c>
      <c r="E217" s="2">
        <v>6</v>
      </c>
      <c r="F217" s="62"/>
      <c r="G217" s="30">
        <v>41065</v>
      </c>
      <c r="H217" s="2">
        <v>0</v>
      </c>
      <c r="I217" s="2">
        <v>0</v>
      </c>
      <c r="J217" s="2">
        <v>0</v>
      </c>
    </row>
    <row r="218" spans="1:10" x14ac:dyDescent="0.25">
      <c r="A218" s="2"/>
      <c r="B218" s="2"/>
      <c r="C218" s="2" t="s">
        <v>69</v>
      </c>
      <c r="D218" s="2"/>
      <c r="E218" s="2"/>
      <c r="F218" s="62"/>
      <c r="G218" s="2"/>
      <c r="H218" s="2">
        <v>375</v>
      </c>
      <c r="I218" s="2">
        <v>154</v>
      </c>
      <c r="J218" s="2">
        <v>254</v>
      </c>
    </row>
    <row r="219" spans="1:10" x14ac:dyDescent="0.25">
      <c r="A219" s="1">
        <v>540164</v>
      </c>
      <c r="B219" s="1" t="s">
        <v>70</v>
      </c>
      <c r="C219" s="1" t="s">
        <v>71</v>
      </c>
      <c r="D219" s="1" t="s">
        <v>5</v>
      </c>
      <c r="E219" s="1">
        <v>3</v>
      </c>
      <c r="F219" s="63"/>
      <c r="G219" s="29">
        <v>31946</v>
      </c>
      <c r="H219" s="1">
        <v>704</v>
      </c>
      <c r="I219" s="1">
        <v>509</v>
      </c>
      <c r="J219" s="1">
        <v>605</v>
      </c>
    </row>
    <row r="220" spans="1:10" x14ac:dyDescent="0.25">
      <c r="A220" s="2">
        <v>540081</v>
      </c>
      <c r="B220" s="2" t="s">
        <v>176</v>
      </c>
      <c r="C220" s="2" t="s">
        <v>71</v>
      </c>
      <c r="D220" s="2" t="s">
        <v>115</v>
      </c>
      <c r="E220" s="2">
        <v>3</v>
      </c>
      <c r="F220" s="62"/>
      <c r="G220" s="30">
        <v>30056</v>
      </c>
      <c r="H220" s="2">
        <v>132</v>
      </c>
      <c r="I220" s="2">
        <v>7</v>
      </c>
      <c r="J220" s="2">
        <v>7</v>
      </c>
    </row>
    <row r="221" spans="1:10" x14ac:dyDescent="0.25">
      <c r="A221" s="2">
        <v>540165</v>
      </c>
      <c r="B221" s="2" t="s">
        <v>238</v>
      </c>
      <c r="C221" s="2" t="s">
        <v>71</v>
      </c>
      <c r="D221" s="2" t="s">
        <v>115</v>
      </c>
      <c r="E221" s="2">
        <v>3</v>
      </c>
      <c r="F221" s="62"/>
      <c r="G221" s="30">
        <v>31399</v>
      </c>
      <c r="H221" s="2">
        <v>28</v>
      </c>
      <c r="I221" s="2">
        <v>6</v>
      </c>
      <c r="J221" s="2">
        <v>38</v>
      </c>
    </row>
    <row r="222" spans="1:10" x14ac:dyDescent="0.25">
      <c r="A222" s="2">
        <v>540166</v>
      </c>
      <c r="B222" s="2" t="s">
        <v>239</v>
      </c>
      <c r="C222" s="2" t="s">
        <v>71</v>
      </c>
      <c r="D222" s="2" t="s">
        <v>115</v>
      </c>
      <c r="E222" s="2">
        <v>3</v>
      </c>
      <c r="F222" s="62"/>
      <c r="G222" s="30">
        <v>31399</v>
      </c>
      <c r="H222" s="2">
        <v>180</v>
      </c>
      <c r="I222" s="2">
        <v>82</v>
      </c>
      <c r="J222" s="2">
        <v>107</v>
      </c>
    </row>
    <row r="223" spans="1:10" x14ac:dyDescent="0.25">
      <c r="A223" s="2">
        <v>540167</v>
      </c>
      <c r="B223" s="2" t="s">
        <v>240</v>
      </c>
      <c r="C223" s="2" t="s">
        <v>71</v>
      </c>
      <c r="D223" s="2" t="s">
        <v>115</v>
      </c>
      <c r="E223" s="2">
        <v>3</v>
      </c>
      <c r="F223" s="62"/>
      <c r="G223" s="30">
        <v>31475</v>
      </c>
      <c r="H223" s="2">
        <v>2</v>
      </c>
      <c r="I223" s="2">
        <v>15</v>
      </c>
      <c r="J223" s="2">
        <v>3</v>
      </c>
    </row>
    <row r="224" spans="1:10" x14ac:dyDescent="0.25">
      <c r="A224" s="2">
        <v>540168</v>
      </c>
      <c r="B224" s="2" t="s">
        <v>241</v>
      </c>
      <c r="C224" s="2" t="s">
        <v>71</v>
      </c>
      <c r="D224" s="2" t="s">
        <v>115</v>
      </c>
      <c r="E224" s="2">
        <v>3</v>
      </c>
      <c r="F224" s="62"/>
      <c r="G224" s="30">
        <v>31399</v>
      </c>
      <c r="H224" s="2">
        <v>25</v>
      </c>
      <c r="I224" s="2">
        <v>5</v>
      </c>
      <c r="J224" s="2">
        <v>4</v>
      </c>
    </row>
    <row r="225" spans="1:10" x14ac:dyDescent="0.25">
      <c r="A225" s="2">
        <v>540222</v>
      </c>
      <c r="B225" s="2" t="s">
        <v>276</v>
      </c>
      <c r="C225" s="2" t="s">
        <v>71</v>
      </c>
      <c r="D225" s="2" t="s">
        <v>115</v>
      </c>
      <c r="E225" s="2">
        <v>3</v>
      </c>
      <c r="F225" s="62"/>
      <c r="G225" s="30">
        <v>30718</v>
      </c>
      <c r="H225" s="2">
        <v>12</v>
      </c>
      <c r="I225" s="2">
        <v>1</v>
      </c>
      <c r="J225" s="2">
        <v>1</v>
      </c>
    </row>
    <row r="226" spans="1:10" x14ac:dyDescent="0.25">
      <c r="A226" s="2">
        <v>540271</v>
      </c>
      <c r="B226" s="2" t="s">
        <v>314</v>
      </c>
      <c r="C226" s="2" t="s">
        <v>71</v>
      </c>
      <c r="D226" s="2" t="s">
        <v>115</v>
      </c>
      <c r="E226" s="2">
        <v>3</v>
      </c>
      <c r="F226" s="62"/>
      <c r="G226" s="30">
        <v>31399</v>
      </c>
      <c r="H226" s="2">
        <v>10</v>
      </c>
      <c r="I226" s="2">
        <v>87</v>
      </c>
      <c r="J226" s="2">
        <v>2</v>
      </c>
    </row>
    <row r="227" spans="1:10" x14ac:dyDescent="0.25">
      <c r="A227" s="2"/>
      <c r="B227" s="2"/>
      <c r="C227" s="2" t="s">
        <v>71</v>
      </c>
      <c r="D227" s="2"/>
      <c r="E227" s="2"/>
      <c r="F227" s="62"/>
      <c r="G227" s="2"/>
      <c r="H227" s="2">
        <v>1093</v>
      </c>
      <c r="I227" s="2">
        <v>712</v>
      </c>
      <c r="J227" s="2">
        <v>767</v>
      </c>
    </row>
    <row r="228" spans="1:10" x14ac:dyDescent="0.25">
      <c r="A228" s="1">
        <v>540169</v>
      </c>
      <c r="B228" s="1" t="s">
        <v>72</v>
      </c>
      <c r="C228" s="1" t="s">
        <v>73</v>
      </c>
      <c r="D228" s="1" t="s">
        <v>5</v>
      </c>
      <c r="E228" s="1">
        <v>1</v>
      </c>
      <c r="F228" s="63"/>
      <c r="G228" s="29">
        <v>31034</v>
      </c>
      <c r="H228" s="1">
        <v>1100</v>
      </c>
      <c r="I228" s="1">
        <v>237</v>
      </c>
      <c r="J228" s="1">
        <v>1113</v>
      </c>
    </row>
    <row r="229" spans="1:10" x14ac:dyDescent="0.25">
      <c r="A229" s="2">
        <v>540170</v>
      </c>
      <c r="B229" s="2" t="s">
        <v>242</v>
      </c>
      <c r="C229" s="2" t="s">
        <v>73</v>
      </c>
      <c r="D229" s="2" t="s">
        <v>115</v>
      </c>
      <c r="E229" s="2">
        <v>1</v>
      </c>
      <c r="F229" s="62"/>
      <c r="G229" s="30">
        <v>30987</v>
      </c>
      <c r="H229" s="2">
        <v>8</v>
      </c>
      <c r="I229" s="2">
        <v>1</v>
      </c>
      <c r="J229" s="2">
        <v>10</v>
      </c>
    </row>
    <row r="230" spans="1:10" x14ac:dyDescent="0.25">
      <c r="A230" s="2">
        <v>540171</v>
      </c>
      <c r="B230" s="2" t="s">
        <v>243</v>
      </c>
      <c r="C230" s="2" t="s">
        <v>73</v>
      </c>
      <c r="D230" s="2" t="s">
        <v>115</v>
      </c>
      <c r="E230" s="2">
        <v>1</v>
      </c>
      <c r="F230" s="62"/>
      <c r="G230" s="30">
        <v>32234</v>
      </c>
      <c r="H230" s="2">
        <v>12</v>
      </c>
      <c r="I230" s="2">
        <v>1</v>
      </c>
      <c r="J230" s="2">
        <v>22</v>
      </c>
    </row>
    <row r="231" spans="1:10" x14ac:dyDescent="0.25">
      <c r="A231" s="2">
        <v>540173</v>
      </c>
      <c r="B231" s="2" t="s">
        <v>245</v>
      </c>
      <c r="C231" s="2" t="s">
        <v>73</v>
      </c>
      <c r="D231" s="2" t="s">
        <v>115</v>
      </c>
      <c r="E231" s="2">
        <v>1</v>
      </c>
      <c r="F231" s="62"/>
      <c r="G231" s="30">
        <v>32021</v>
      </c>
      <c r="H231" s="2">
        <v>52</v>
      </c>
      <c r="I231" s="2">
        <v>0</v>
      </c>
      <c r="J231" s="2">
        <v>65</v>
      </c>
    </row>
    <row r="232" spans="1:10" x14ac:dyDescent="0.25">
      <c r="A232" s="2">
        <v>540174</v>
      </c>
      <c r="B232" s="2" t="s">
        <v>246</v>
      </c>
      <c r="C232" s="2" t="s">
        <v>73</v>
      </c>
      <c r="D232" s="2" t="s">
        <v>115</v>
      </c>
      <c r="E232" s="2">
        <v>1</v>
      </c>
      <c r="F232" s="62"/>
      <c r="G232" s="30">
        <v>33344</v>
      </c>
      <c r="H232" s="2">
        <v>7</v>
      </c>
      <c r="I232" s="2">
        <v>0</v>
      </c>
      <c r="J232" s="2">
        <v>5</v>
      </c>
    </row>
    <row r="233" spans="1:10" x14ac:dyDescent="0.25">
      <c r="A233" s="2">
        <v>540286</v>
      </c>
      <c r="B233" s="2" t="s">
        <v>325</v>
      </c>
      <c r="C233" s="2" t="s">
        <v>73</v>
      </c>
      <c r="D233" s="2" t="s">
        <v>115</v>
      </c>
      <c r="E233" s="2">
        <v>1</v>
      </c>
      <c r="F233" s="62"/>
      <c r="G233" s="30">
        <v>31110</v>
      </c>
      <c r="H233" s="2">
        <v>35</v>
      </c>
      <c r="I233" s="2">
        <v>4</v>
      </c>
      <c r="J233" s="2">
        <v>19</v>
      </c>
    </row>
    <row r="234" spans="1:10" x14ac:dyDescent="0.25">
      <c r="A234" s="2"/>
      <c r="B234" s="2"/>
      <c r="C234" s="2" t="s">
        <v>73</v>
      </c>
      <c r="D234" s="2"/>
      <c r="E234" s="2"/>
      <c r="F234" s="62"/>
      <c r="G234" s="2"/>
      <c r="H234" s="2">
        <v>1214</v>
      </c>
      <c r="I234" s="2">
        <v>243</v>
      </c>
      <c r="J234" s="2">
        <v>1234</v>
      </c>
    </row>
    <row r="235" spans="1:10" x14ac:dyDescent="0.25">
      <c r="A235" s="1">
        <v>540183</v>
      </c>
      <c r="B235" s="1" t="s">
        <v>76</v>
      </c>
      <c r="C235" s="1" t="s">
        <v>77</v>
      </c>
      <c r="D235" s="1" t="s">
        <v>5</v>
      </c>
      <c r="E235" s="1">
        <v>5</v>
      </c>
      <c r="F235" s="63"/>
      <c r="G235" s="29">
        <v>30935</v>
      </c>
      <c r="H235" s="1">
        <v>653</v>
      </c>
      <c r="I235" s="1">
        <v>365</v>
      </c>
      <c r="J235" s="1">
        <v>700</v>
      </c>
    </row>
    <row r="236" spans="1:10" x14ac:dyDescent="0.25">
      <c r="A236" s="2">
        <v>540184</v>
      </c>
      <c r="B236" s="2" t="s">
        <v>253</v>
      </c>
      <c r="C236" s="2" t="s">
        <v>77</v>
      </c>
      <c r="D236" s="2" t="s">
        <v>115</v>
      </c>
      <c r="E236" s="2">
        <v>5</v>
      </c>
      <c r="F236" s="62"/>
      <c r="G236" s="30">
        <v>28825</v>
      </c>
      <c r="H236" s="2">
        <v>26</v>
      </c>
      <c r="I236" s="2">
        <v>5</v>
      </c>
      <c r="J236" s="2">
        <v>21</v>
      </c>
    </row>
    <row r="237" spans="1:10" x14ac:dyDescent="0.25">
      <c r="A237" s="2">
        <v>540185</v>
      </c>
      <c r="B237" s="2" t="s">
        <v>254</v>
      </c>
      <c r="C237" s="2" t="s">
        <v>77</v>
      </c>
      <c r="D237" s="2" t="s">
        <v>115</v>
      </c>
      <c r="E237" s="2">
        <v>5</v>
      </c>
      <c r="F237" s="62"/>
      <c r="G237" s="30">
        <v>28858</v>
      </c>
      <c r="H237" s="2">
        <v>157</v>
      </c>
      <c r="I237" s="2">
        <v>40</v>
      </c>
      <c r="J237" s="2">
        <v>40</v>
      </c>
    </row>
    <row r="238" spans="1:10" x14ac:dyDescent="0.25">
      <c r="A238" s="2"/>
      <c r="B238" s="2"/>
      <c r="C238" s="2" t="s">
        <v>77</v>
      </c>
      <c r="D238" s="2"/>
      <c r="E238" s="2"/>
      <c r="F238" s="62"/>
      <c r="G238" s="2"/>
      <c r="H238" s="2">
        <v>836</v>
      </c>
      <c r="I238" s="2">
        <v>410</v>
      </c>
      <c r="J238" s="2">
        <v>761</v>
      </c>
    </row>
    <row r="239" spans="1:10" x14ac:dyDescent="0.25">
      <c r="A239" s="1">
        <v>540186</v>
      </c>
      <c r="B239" s="1" t="s">
        <v>78</v>
      </c>
      <c r="C239" s="1" t="s">
        <v>79</v>
      </c>
      <c r="D239" s="1" t="s">
        <v>5</v>
      </c>
      <c r="E239" s="1">
        <v>1</v>
      </c>
      <c r="F239" s="63"/>
      <c r="G239" s="29">
        <v>29530</v>
      </c>
      <c r="H239" s="1">
        <v>362</v>
      </c>
      <c r="I239" s="1">
        <v>243</v>
      </c>
      <c r="J239" s="1">
        <v>596</v>
      </c>
    </row>
    <row r="240" spans="1:10" x14ac:dyDescent="0.25">
      <c r="A240" s="2">
        <v>540187</v>
      </c>
      <c r="B240" s="2" t="s">
        <v>255</v>
      </c>
      <c r="C240" s="2" t="s">
        <v>79</v>
      </c>
      <c r="D240" s="2" t="s">
        <v>115</v>
      </c>
      <c r="E240" s="2">
        <v>1</v>
      </c>
      <c r="F240" s="62"/>
      <c r="G240" s="30">
        <v>29068</v>
      </c>
      <c r="H240" s="2">
        <v>34</v>
      </c>
      <c r="I240" s="2">
        <v>9</v>
      </c>
      <c r="J240" s="2">
        <v>27</v>
      </c>
    </row>
    <row r="241" spans="1:10" x14ac:dyDescent="0.25">
      <c r="A241" s="2"/>
      <c r="B241" s="2"/>
      <c r="C241" s="2" t="s">
        <v>79</v>
      </c>
      <c r="D241" s="2"/>
      <c r="E241" s="2"/>
      <c r="F241" s="62"/>
      <c r="G241" s="2"/>
      <c r="H241" s="2">
        <v>396</v>
      </c>
      <c r="I241" s="2">
        <v>252</v>
      </c>
      <c r="J241" s="2">
        <v>623</v>
      </c>
    </row>
    <row r="242" spans="1:10" x14ac:dyDescent="0.25">
      <c r="A242" s="3">
        <v>540188</v>
      </c>
      <c r="B242" s="3" t="s">
        <v>80</v>
      </c>
      <c r="C242" s="3" t="s">
        <v>81</v>
      </c>
      <c r="D242" s="3" t="s">
        <v>5</v>
      </c>
      <c r="E242" s="3">
        <v>6</v>
      </c>
      <c r="F242" s="63"/>
      <c r="G242" s="214">
        <v>31959</v>
      </c>
      <c r="H242" s="3">
        <v>98</v>
      </c>
      <c r="I242" s="3">
        <v>40</v>
      </c>
      <c r="J242" s="3">
        <v>91</v>
      </c>
    </row>
    <row r="243" spans="1:10" x14ac:dyDescent="0.25">
      <c r="A243" s="2">
        <v>540189</v>
      </c>
      <c r="B243" s="2" t="s">
        <v>256</v>
      </c>
      <c r="C243" s="2" t="s">
        <v>81</v>
      </c>
      <c r="D243" s="2" t="s">
        <v>115</v>
      </c>
      <c r="E243" s="2">
        <v>6</v>
      </c>
      <c r="F243" s="62"/>
      <c r="G243" s="30">
        <v>40081</v>
      </c>
      <c r="H243" s="2">
        <v>8</v>
      </c>
      <c r="I243" s="2">
        <v>0</v>
      </c>
      <c r="J243" s="2">
        <v>3</v>
      </c>
    </row>
    <row r="244" spans="1:10" x14ac:dyDescent="0.25">
      <c r="A244" s="2">
        <v>540190</v>
      </c>
      <c r="B244" s="2" t="s">
        <v>257</v>
      </c>
      <c r="C244" s="2" t="s">
        <v>81</v>
      </c>
      <c r="D244" s="2" t="s">
        <v>115</v>
      </c>
      <c r="E244" s="2">
        <v>6</v>
      </c>
      <c r="F244" s="62"/>
      <c r="G244" s="30">
        <v>31990</v>
      </c>
      <c r="H244" s="2">
        <v>100</v>
      </c>
      <c r="I244" s="2">
        <v>8</v>
      </c>
      <c r="J244" s="2">
        <v>8</v>
      </c>
    </row>
    <row r="245" spans="1:10" x14ac:dyDescent="0.25">
      <c r="A245" s="2"/>
      <c r="B245" s="2"/>
      <c r="C245" s="2" t="s">
        <v>81</v>
      </c>
      <c r="D245" s="2"/>
      <c r="E245" s="2"/>
      <c r="F245" s="62"/>
      <c r="G245" s="2"/>
      <c r="H245" s="2">
        <v>206</v>
      </c>
      <c r="I245" s="2">
        <v>48</v>
      </c>
      <c r="J245" s="2">
        <v>102</v>
      </c>
    </row>
    <row r="246" spans="1:10" x14ac:dyDescent="0.25">
      <c r="A246" s="1">
        <v>540198</v>
      </c>
      <c r="B246" s="1" t="s">
        <v>82</v>
      </c>
      <c r="C246" s="1" t="s">
        <v>83</v>
      </c>
      <c r="D246" s="1" t="s">
        <v>5</v>
      </c>
      <c r="E246" s="1">
        <v>7</v>
      </c>
      <c r="F246" s="63"/>
      <c r="G246" s="29">
        <v>31959</v>
      </c>
      <c r="H246" s="1">
        <v>328</v>
      </c>
      <c r="I246" s="1">
        <v>112</v>
      </c>
      <c r="J246" s="1">
        <v>231</v>
      </c>
    </row>
    <row r="247" spans="1:10" x14ac:dyDescent="0.25">
      <c r="A247" s="2">
        <v>540199</v>
      </c>
      <c r="B247" s="2" t="s">
        <v>261</v>
      </c>
      <c r="C247" s="2" t="s">
        <v>83</v>
      </c>
      <c r="D247" s="2" t="s">
        <v>115</v>
      </c>
      <c r="E247" s="2">
        <v>7</v>
      </c>
      <c r="F247" s="62"/>
      <c r="G247" s="30">
        <v>31659</v>
      </c>
      <c r="H247" s="2">
        <v>416</v>
      </c>
      <c r="I247" s="2">
        <v>68</v>
      </c>
      <c r="J247" s="2">
        <v>110</v>
      </c>
    </row>
    <row r="248" spans="1:10" x14ac:dyDescent="0.25">
      <c r="A248" s="2"/>
      <c r="B248" s="2"/>
      <c r="C248" s="2" t="s">
        <v>83</v>
      </c>
      <c r="D248" s="2"/>
      <c r="E248" s="2"/>
      <c r="F248" s="62"/>
      <c r="G248" s="2"/>
      <c r="H248" s="2">
        <v>744</v>
      </c>
      <c r="I248" s="2">
        <v>180</v>
      </c>
      <c r="J248" s="2">
        <v>341</v>
      </c>
    </row>
    <row r="249" spans="1:10" x14ac:dyDescent="0.25">
      <c r="A249" s="1">
        <v>540200</v>
      </c>
      <c r="B249" s="1" t="s">
        <v>84</v>
      </c>
      <c r="C249" s="1" t="s">
        <v>85</v>
      </c>
      <c r="D249" s="1" t="s">
        <v>5</v>
      </c>
      <c r="E249" s="1">
        <v>2</v>
      </c>
      <c r="F249" s="63"/>
      <c r="G249" s="29">
        <v>32038</v>
      </c>
      <c r="H249" s="1">
        <v>1240</v>
      </c>
      <c r="I249" s="1">
        <v>443</v>
      </c>
      <c r="J249" s="1">
        <v>1656</v>
      </c>
    </row>
    <row r="250" spans="1:10" x14ac:dyDescent="0.25">
      <c r="A250" s="2">
        <v>540018</v>
      </c>
      <c r="B250" s="2" t="s">
        <v>127</v>
      </c>
      <c r="C250" s="2" t="s">
        <v>85</v>
      </c>
      <c r="D250" s="2" t="s">
        <v>115</v>
      </c>
      <c r="E250" s="2">
        <v>2</v>
      </c>
      <c r="F250" s="62"/>
      <c r="G250" s="30">
        <v>32890</v>
      </c>
      <c r="H250" s="2">
        <v>170</v>
      </c>
      <c r="I250" s="2">
        <v>7</v>
      </c>
      <c r="J250" s="2">
        <v>25</v>
      </c>
    </row>
    <row r="251" spans="1:10" x14ac:dyDescent="0.25">
      <c r="A251" s="2">
        <v>540202</v>
      </c>
      <c r="B251" s="2" t="s">
        <v>262</v>
      </c>
      <c r="C251" s="2" t="s">
        <v>85</v>
      </c>
      <c r="D251" s="2" t="s">
        <v>115</v>
      </c>
      <c r="E251" s="2">
        <v>2</v>
      </c>
      <c r="F251" s="62"/>
      <c r="G251" s="30">
        <v>28858</v>
      </c>
      <c r="H251" s="2">
        <v>63</v>
      </c>
      <c r="I251" s="2">
        <v>10</v>
      </c>
      <c r="J251" s="2">
        <v>54</v>
      </c>
    </row>
    <row r="252" spans="1:10" x14ac:dyDescent="0.25">
      <c r="A252" s="2">
        <v>540221</v>
      </c>
      <c r="B252" s="2" t="s">
        <v>275</v>
      </c>
      <c r="C252" s="2" t="s">
        <v>85</v>
      </c>
      <c r="D252" s="2" t="s">
        <v>115</v>
      </c>
      <c r="E252" s="2">
        <v>2</v>
      </c>
      <c r="F252" s="62"/>
      <c r="G252" s="30">
        <v>32645</v>
      </c>
      <c r="H252" s="2">
        <v>65</v>
      </c>
      <c r="I252" s="2">
        <v>3</v>
      </c>
      <c r="J252" s="2">
        <v>38</v>
      </c>
    </row>
    <row r="253" spans="1:10" x14ac:dyDescent="0.25">
      <c r="A253" s="2">
        <v>540231</v>
      </c>
      <c r="B253" s="2" t="s">
        <v>281</v>
      </c>
      <c r="C253" s="2" t="s">
        <v>85</v>
      </c>
      <c r="D253" s="2" t="s">
        <v>115</v>
      </c>
      <c r="E253" s="2">
        <v>2</v>
      </c>
      <c r="F253" s="62"/>
      <c r="G253" s="30">
        <v>32050</v>
      </c>
      <c r="H253" s="2">
        <v>96</v>
      </c>
      <c r="I253" s="2">
        <v>59</v>
      </c>
      <c r="J253" s="2">
        <v>72</v>
      </c>
    </row>
    <row r="254" spans="1:10" x14ac:dyDescent="0.25">
      <c r="A254" s="2">
        <v>540232</v>
      </c>
      <c r="B254" s="2" t="s">
        <v>282</v>
      </c>
      <c r="C254" s="2" t="s">
        <v>85</v>
      </c>
      <c r="D254" s="2" t="s">
        <v>115</v>
      </c>
      <c r="E254" s="2">
        <v>2</v>
      </c>
      <c r="F254" s="62"/>
      <c r="G254" s="30">
        <v>32645</v>
      </c>
      <c r="H254" s="2">
        <v>48</v>
      </c>
      <c r="I254" s="2">
        <v>3</v>
      </c>
      <c r="J254" s="2">
        <v>28</v>
      </c>
    </row>
    <row r="255" spans="1:10" x14ac:dyDescent="0.25">
      <c r="A255" s="2"/>
      <c r="B255" s="2"/>
      <c r="C255" s="2" t="s">
        <v>85</v>
      </c>
      <c r="D255" s="2"/>
      <c r="E255" s="2"/>
      <c r="F255" s="62"/>
      <c r="G255" s="2"/>
      <c r="H255" s="2">
        <v>1682</v>
      </c>
      <c r="I255" s="2">
        <v>525</v>
      </c>
      <c r="J255" s="2">
        <v>1873</v>
      </c>
    </row>
    <row r="256" spans="1:10" x14ac:dyDescent="0.25">
      <c r="A256" s="1">
        <v>540203</v>
      </c>
      <c r="B256" s="1" t="s">
        <v>86</v>
      </c>
      <c r="C256" s="1" t="s">
        <v>87</v>
      </c>
      <c r="D256" s="1" t="s">
        <v>5</v>
      </c>
      <c r="E256" s="1">
        <v>4</v>
      </c>
      <c r="F256" s="63"/>
      <c r="G256" s="29">
        <v>32920</v>
      </c>
      <c r="H256" s="1">
        <v>296</v>
      </c>
      <c r="I256" s="1">
        <v>56</v>
      </c>
      <c r="J256" s="1">
        <v>292</v>
      </c>
    </row>
    <row r="257" spans="1:10" x14ac:dyDescent="0.25">
      <c r="A257" s="2">
        <v>540204</v>
      </c>
      <c r="B257" s="2" t="s">
        <v>263</v>
      </c>
      <c r="C257" s="2" t="s">
        <v>87</v>
      </c>
      <c r="D257" s="2" t="s">
        <v>115</v>
      </c>
      <c r="E257" s="2">
        <v>4</v>
      </c>
      <c r="F257" s="62"/>
      <c r="G257" s="30">
        <v>32920</v>
      </c>
      <c r="H257" s="2">
        <v>81</v>
      </c>
      <c r="I257" s="2">
        <v>8</v>
      </c>
      <c r="J257" s="2">
        <v>27</v>
      </c>
    </row>
    <row r="258" spans="1:10" x14ac:dyDescent="0.25">
      <c r="A258" s="2">
        <v>540205</v>
      </c>
      <c r="B258" s="2" t="s">
        <v>264</v>
      </c>
      <c r="C258" s="2" t="s">
        <v>87</v>
      </c>
      <c r="D258" s="2" t="s">
        <v>115</v>
      </c>
      <c r="E258" s="2">
        <v>4</v>
      </c>
      <c r="F258" s="62"/>
      <c r="G258" s="30">
        <v>30918</v>
      </c>
      <c r="H258" s="2">
        <v>9</v>
      </c>
      <c r="I258" s="2">
        <v>0</v>
      </c>
      <c r="J258" s="2">
        <v>11</v>
      </c>
    </row>
    <row r="259" spans="1:10" x14ac:dyDescent="0.25">
      <c r="A259" s="2">
        <v>540206</v>
      </c>
      <c r="B259" s="2" t="s">
        <v>265</v>
      </c>
      <c r="C259" s="2" t="s">
        <v>87</v>
      </c>
      <c r="D259" s="2" t="s">
        <v>115</v>
      </c>
      <c r="E259" s="2">
        <v>4</v>
      </c>
      <c r="F259" s="62"/>
      <c r="G259" s="30">
        <v>30918</v>
      </c>
      <c r="H259" s="2">
        <v>15</v>
      </c>
      <c r="I259" s="2">
        <v>2</v>
      </c>
      <c r="J259" s="2">
        <v>22</v>
      </c>
    </row>
    <row r="260" spans="1:10" x14ac:dyDescent="0.25">
      <c r="A260" s="2"/>
      <c r="B260" s="2"/>
      <c r="C260" s="2" t="s">
        <v>87</v>
      </c>
      <c r="D260" s="2"/>
      <c r="E260" s="2"/>
      <c r="F260" s="62"/>
      <c r="G260" s="2"/>
      <c r="H260" s="2">
        <v>401</v>
      </c>
      <c r="I260" s="2">
        <v>66</v>
      </c>
      <c r="J260" s="2">
        <v>352</v>
      </c>
    </row>
    <row r="261" spans="1:10" x14ac:dyDescent="0.25">
      <c r="A261" s="1">
        <v>540207</v>
      </c>
      <c r="B261" s="1" t="s">
        <v>88</v>
      </c>
      <c r="C261" s="1" t="s">
        <v>89</v>
      </c>
      <c r="D261" s="1" t="s">
        <v>5</v>
      </c>
      <c r="E261" s="1">
        <v>10</v>
      </c>
      <c r="F261" s="63"/>
      <c r="G261" s="29">
        <v>30410</v>
      </c>
      <c r="H261" s="1">
        <v>428</v>
      </c>
      <c r="I261" s="1">
        <v>159</v>
      </c>
      <c r="J261" s="1">
        <v>296</v>
      </c>
    </row>
    <row r="262" spans="1:10" x14ac:dyDescent="0.25">
      <c r="A262" s="2">
        <v>540196</v>
      </c>
      <c r="B262" s="2" t="s">
        <v>259</v>
      </c>
      <c r="C262" s="2" t="s">
        <v>89</v>
      </c>
      <c r="D262" s="2" t="s">
        <v>115</v>
      </c>
      <c r="E262" s="2">
        <v>5</v>
      </c>
      <c r="F262" s="62"/>
      <c r="G262" s="30">
        <v>32583</v>
      </c>
      <c r="H262" s="2">
        <v>0</v>
      </c>
      <c r="I262" s="2">
        <v>0</v>
      </c>
      <c r="J262" s="2">
        <v>7</v>
      </c>
    </row>
    <row r="263" spans="1:10" x14ac:dyDescent="0.25">
      <c r="A263" s="2">
        <v>540208</v>
      </c>
      <c r="B263" s="2" t="s">
        <v>266</v>
      </c>
      <c r="C263" s="2" t="s">
        <v>89</v>
      </c>
      <c r="D263" s="2" t="s">
        <v>115</v>
      </c>
      <c r="E263" s="2">
        <v>10</v>
      </c>
      <c r="F263" s="62"/>
      <c r="G263" s="30">
        <v>30196</v>
      </c>
      <c r="H263" s="2">
        <v>721</v>
      </c>
      <c r="I263" s="2">
        <v>49</v>
      </c>
      <c r="J263" s="2">
        <v>135</v>
      </c>
    </row>
    <row r="264" spans="1:10" x14ac:dyDescent="0.25">
      <c r="A264" s="2">
        <v>540210</v>
      </c>
      <c r="B264" s="2" t="s">
        <v>267</v>
      </c>
      <c r="C264" s="2" t="s">
        <v>89</v>
      </c>
      <c r="D264" s="2" t="s">
        <v>115</v>
      </c>
      <c r="E264" s="2">
        <v>10</v>
      </c>
      <c r="F264" s="62"/>
      <c r="G264" s="30">
        <v>32234</v>
      </c>
      <c r="H264" s="2">
        <v>57</v>
      </c>
      <c r="I264" s="2">
        <v>7</v>
      </c>
      <c r="J264" s="2">
        <v>26</v>
      </c>
    </row>
    <row r="265" spans="1:10" x14ac:dyDescent="0.25">
      <c r="A265" s="2">
        <v>540256</v>
      </c>
      <c r="B265" s="2" t="s">
        <v>301</v>
      </c>
      <c r="C265" s="2" t="s">
        <v>89</v>
      </c>
      <c r="D265" s="2" t="s">
        <v>115</v>
      </c>
      <c r="E265" s="2">
        <v>10</v>
      </c>
      <c r="F265" s="62"/>
      <c r="G265" s="30">
        <v>32234</v>
      </c>
      <c r="H265" s="2">
        <v>78</v>
      </c>
      <c r="I265" s="2">
        <v>19</v>
      </c>
      <c r="J265" s="2">
        <v>17</v>
      </c>
    </row>
    <row r="266" spans="1:10" x14ac:dyDescent="0.25">
      <c r="A266" s="2">
        <v>540258</v>
      </c>
      <c r="B266" s="2" t="s">
        <v>303</v>
      </c>
      <c r="C266" s="2" t="s">
        <v>89</v>
      </c>
      <c r="D266" s="2" t="s">
        <v>115</v>
      </c>
      <c r="E266" s="2">
        <v>10</v>
      </c>
      <c r="F266" s="62"/>
      <c r="G266" s="30">
        <v>32234</v>
      </c>
      <c r="H266" s="2">
        <v>21</v>
      </c>
      <c r="I266" s="2">
        <v>2</v>
      </c>
      <c r="J266" s="2">
        <v>6</v>
      </c>
    </row>
    <row r="267" spans="1:10" x14ac:dyDescent="0.25">
      <c r="A267" s="2"/>
      <c r="B267" s="2"/>
      <c r="C267" s="2" t="s">
        <v>89</v>
      </c>
      <c r="D267" s="2"/>
      <c r="E267" s="2"/>
      <c r="F267" s="62"/>
      <c r="G267" s="2"/>
      <c r="H267" s="2">
        <v>1305</v>
      </c>
      <c r="I267" s="2">
        <v>236</v>
      </c>
      <c r="J267" s="2">
        <v>487</v>
      </c>
    </row>
    <row r="268" spans="1:10" x14ac:dyDescent="0.25">
      <c r="A268" s="1">
        <v>540211</v>
      </c>
      <c r="B268" s="1" t="s">
        <v>90</v>
      </c>
      <c r="C268" s="1" t="s">
        <v>91</v>
      </c>
      <c r="D268" s="1" t="s">
        <v>5</v>
      </c>
      <c r="E268" s="1">
        <v>5</v>
      </c>
      <c r="F268" s="63"/>
      <c r="G268" s="29">
        <v>32234</v>
      </c>
      <c r="H268" s="1">
        <v>254</v>
      </c>
      <c r="I268" s="1">
        <v>88</v>
      </c>
      <c r="J268" s="1">
        <v>455</v>
      </c>
    </row>
    <row r="269" spans="1:10" x14ac:dyDescent="0.25">
      <c r="A269" s="2">
        <v>540212</v>
      </c>
      <c r="B269" s="2" t="s">
        <v>268</v>
      </c>
      <c r="C269" s="2" t="s">
        <v>91</v>
      </c>
      <c r="D269" s="2" t="s">
        <v>115</v>
      </c>
      <c r="E269" s="2">
        <v>5</v>
      </c>
      <c r="F269" s="62"/>
      <c r="G269" s="30">
        <v>33255</v>
      </c>
      <c r="H269" s="2">
        <v>47</v>
      </c>
      <c r="I269" s="2">
        <v>2</v>
      </c>
      <c r="J269" s="2">
        <v>38</v>
      </c>
    </row>
    <row r="270" spans="1:10" x14ac:dyDescent="0.25">
      <c r="A270" s="2"/>
      <c r="B270" s="2"/>
      <c r="C270" s="2" t="s">
        <v>91</v>
      </c>
      <c r="D270" s="2"/>
      <c r="E270" s="2"/>
      <c r="F270" s="62"/>
      <c r="G270" s="2"/>
      <c r="H270" s="2">
        <v>301</v>
      </c>
      <c r="I270" s="2">
        <v>90</v>
      </c>
      <c r="J270" s="2">
        <v>493</v>
      </c>
    </row>
    <row r="271" spans="1:10" x14ac:dyDescent="0.25">
      <c r="A271" s="1">
        <v>540213</v>
      </c>
      <c r="B271" s="1" t="s">
        <v>92</v>
      </c>
      <c r="C271" s="1" t="s">
        <v>93</v>
      </c>
      <c r="D271" s="1" t="s">
        <v>5</v>
      </c>
      <c r="E271" s="1">
        <v>5</v>
      </c>
      <c r="F271" s="63"/>
      <c r="G271" s="29">
        <v>31110</v>
      </c>
      <c r="H271" s="1">
        <v>652</v>
      </c>
      <c r="I271" s="1">
        <v>419</v>
      </c>
      <c r="J271" s="1">
        <v>614</v>
      </c>
    </row>
    <row r="272" spans="1:10" x14ac:dyDescent="0.25">
      <c r="A272" s="2">
        <v>540042</v>
      </c>
      <c r="B272" s="2" t="s">
        <v>143</v>
      </c>
      <c r="C272" s="2" t="s">
        <v>93</v>
      </c>
      <c r="D272" s="2" t="s">
        <v>115</v>
      </c>
      <c r="E272" s="2">
        <v>5</v>
      </c>
      <c r="F272" s="62"/>
      <c r="G272" s="30">
        <v>41584</v>
      </c>
      <c r="H272" s="2">
        <v>0</v>
      </c>
      <c r="I272" s="2">
        <v>0</v>
      </c>
      <c r="J272" s="2">
        <v>0</v>
      </c>
    </row>
    <row r="273" spans="1:10" x14ac:dyDescent="0.25">
      <c r="A273" s="2">
        <v>540214</v>
      </c>
      <c r="B273" s="2" t="s">
        <v>269</v>
      </c>
      <c r="C273" s="2" t="s">
        <v>93</v>
      </c>
      <c r="D273" s="2" t="s">
        <v>115</v>
      </c>
      <c r="E273" s="2">
        <v>5</v>
      </c>
      <c r="F273" s="62"/>
      <c r="G273" s="30">
        <v>31659</v>
      </c>
      <c r="H273" s="2">
        <v>130</v>
      </c>
      <c r="I273" s="2">
        <v>38</v>
      </c>
      <c r="J273" s="2">
        <v>58</v>
      </c>
    </row>
    <row r="274" spans="1:10" x14ac:dyDescent="0.25">
      <c r="A274" s="2">
        <v>540215</v>
      </c>
      <c r="B274" s="2" t="s">
        <v>270</v>
      </c>
      <c r="C274" s="2" t="s">
        <v>93</v>
      </c>
      <c r="D274" s="2" t="s">
        <v>115</v>
      </c>
      <c r="E274" s="2">
        <v>5</v>
      </c>
      <c r="F274" s="62"/>
      <c r="G274" s="30">
        <v>31399</v>
      </c>
      <c r="H274" s="2">
        <v>208</v>
      </c>
      <c r="I274" s="2">
        <v>74</v>
      </c>
      <c r="J274" s="2">
        <v>42</v>
      </c>
    </row>
    <row r="275" spans="1:10" x14ac:dyDescent="0.25">
      <c r="A275" s="2">
        <v>540216</v>
      </c>
      <c r="B275" s="2" t="s">
        <v>271</v>
      </c>
      <c r="C275" s="2" t="s">
        <v>93</v>
      </c>
      <c r="D275" s="2" t="s">
        <v>115</v>
      </c>
      <c r="E275" s="2">
        <v>5</v>
      </c>
      <c r="F275" s="62"/>
      <c r="G275" s="30">
        <v>30607</v>
      </c>
      <c r="H275" s="2">
        <v>46</v>
      </c>
      <c r="I275" s="2">
        <v>23</v>
      </c>
      <c r="J275" s="2">
        <v>27</v>
      </c>
    </row>
    <row r="276" spans="1:10" x14ac:dyDescent="0.25">
      <c r="A276" s="2"/>
      <c r="B276" s="2"/>
      <c r="C276" s="2" t="s">
        <v>93</v>
      </c>
      <c r="D276" s="2"/>
      <c r="E276" s="2"/>
      <c r="F276" s="62"/>
      <c r="G276" s="2"/>
      <c r="H276" s="2">
        <v>1036</v>
      </c>
      <c r="I276" s="2">
        <v>554</v>
      </c>
      <c r="J276" s="2">
        <v>741</v>
      </c>
    </row>
    <row r="277" spans="1:10" x14ac:dyDescent="0.25">
      <c r="A277" s="1">
        <v>540224</v>
      </c>
      <c r="B277" s="1" t="s">
        <v>96</v>
      </c>
      <c r="C277" s="1" t="s">
        <v>97</v>
      </c>
      <c r="D277" s="1" t="s">
        <v>5</v>
      </c>
      <c r="E277" s="1">
        <v>5</v>
      </c>
      <c r="F277" s="63"/>
      <c r="G277" s="29">
        <v>33239</v>
      </c>
      <c r="H277" s="1">
        <v>379</v>
      </c>
      <c r="I277" s="1">
        <v>70</v>
      </c>
      <c r="J277" s="1">
        <v>361</v>
      </c>
    </row>
    <row r="278" spans="1:10" x14ac:dyDescent="0.25">
      <c r="A278" s="2">
        <v>540132</v>
      </c>
      <c r="B278" s="2" t="s">
        <v>216</v>
      </c>
      <c r="C278" s="2" t="s">
        <v>97</v>
      </c>
      <c r="D278" s="2" t="s">
        <v>115</v>
      </c>
      <c r="E278" s="2">
        <v>5</v>
      </c>
      <c r="F278" s="62"/>
      <c r="G278" s="30">
        <v>38755</v>
      </c>
      <c r="H278" s="2">
        <v>0</v>
      </c>
      <c r="I278" s="2">
        <v>0</v>
      </c>
      <c r="J278" s="2">
        <v>1</v>
      </c>
    </row>
    <row r="279" spans="1:10" x14ac:dyDescent="0.25">
      <c r="A279" s="2">
        <v>540179</v>
      </c>
      <c r="B279" s="2" t="s">
        <v>250</v>
      </c>
      <c r="C279" s="2" t="s">
        <v>97</v>
      </c>
      <c r="D279" s="2" t="s">
        <v>115</v>
      </c>
      <c r="E279" s="2">
        <v>5</v>
      </c>
      <c r="F279" s="62"/>
      <c r="G279" s="30">
        <v>33315</v>
      </c>
      <c r="H279" s="2">
        <v>12</v>
      </c>
      <c r="I279" s="2">
        <v>0</v>
      </c>
      <c r="J279" s="2">
        <v>13</v>
      </c>
    </row>
    <row r="280" spans="1:10" x14ac:dyDescent="0.25">
      <c r="A280" s="2">
        <v>540180</v>
      </c>
      <c r="B280" s="2" t="s">
        <v>251</v>
      </c>
      <c r="C280" s="2" t="s">
        <v>97</v>
      </c>
      <c r="D280" s="2" t="s">
        <v>115</v>
      </c>
      <c r="E280" s="2">
        <v>5</v>
      </c>
      <c r="F280" s="62"/>
      <c r="G280" s="30">
        <v>30918</v>
      </c>
      <c r="H280" s="2">
        <v>9</v>
      </c>
      <c r="I280" s="2">
        <v>4</v>
      </c>
      <c r="J280" s="2">
        <v>33</v>
      </c>
    </row>
    <row r="281" spans="1:10" x14ac:dyDescent="0.25">
      <c r="A281" s="2">
        <v>540182</v>
      </c>
      <c r="B281" s="2" t="s">
        <v>252</v>
      </c>
      <c r="C281" s="2" t="s">
        <v>97</v>
      </c>
      <c r="D281" s="2" t="s">
        <v>115</v>
      </c>
      <c r="E281" s="2">
        <v>5</v>
      </c>
      <c r="F281" s="62"/>
      <c r="G281" s="30">
        <v>32402</v>
      </c>
      <c r="H281" s="2">
        <v>24</v>
      </c>
      <c r="I281" s="2">
        <v>6</v>
      </c>
      <c r="J281" s="2">
        <v>16</v>
      </c>
    </row>
    <row r="282" spans="1:10" x14ac:dyDescent="0.25">
      <c r="A282" s="2">
        <v>540262</v>
      </c>
      <c r="B282" s="2" t="s">
        <v>305</v>
      </c>
      <c r="C282" s="2" t="s">
        <v>97</v>
      </c>
      <c r="D282" s="2" t="s">
        <v>115</v>
      </c>
      <c r="E282" s="2">
        <v>5</v>
      </c>
      <c r="F282" s="62"/>
      <c r="G282" s="30">
        <v>30949</v>
      </c>
      <c r="H282" s="2">
        <v>17</v>
      </c>
      <c r="I282" s="2">
        <v>0</v>
      </c>
      <c r="J282" s="2">
        <v>12</v>
      </c>
    </row>
    <row r="283" spans="1:10" x14ac:dyDescent="0.25">
      <c r="A283" s="2">
        <v>540263</v>
      </c>
      <c r="B283" s="2" t="s">
        <v>306</v>
      </c>
      <c r="C283" s="2" t="s">
        <v>97</v>
      </c>
      <c r="D283" s="2" t="s">
        <v>115</v>
      </c>
      <c r="E283" s="2">
        <v>5</v>
      </c>
      <c r="F283" s="62"/>
      <c r="G283" s="30">
        <v>30935</v>
      </c>
      <c r="H283" s="2">
        <v>12</v>
      </c>
      <c r="I283" s="2">
        <v>7</v>
      </c>
      <c r="J283" s="2">
        <v>7</v>
      </c>
    </row>
    <row r="284" spans="1:10" x14ac:dyDescent="0.25">
      <c r="A284" s="2"/>
      <c r="B284" s="2"/>
      <c r="C284" s="2" t="s">
        <v>97</v>
      </c>
      <c r="D284" s="2"/>
      <c r="E284" s="2"/>
      <c r="F284" s="62"/>
      <c r="G284" s="2"/>
      <c r="H284" s="2">
        <v>453</v>
      </c>
      <c r="I284" s="2">
        <v>87</v>
      </c>
      <c r="J284" s="2">
        <v>443</v>
      </c>
    </row>
    <row r="285" spans="1:10" x14ac:dyDescent="0.25">
      <c r="A285" s="1">
        <v>540225</v>
      </c>
      <c r="B285" s="1" t="s">
        <v>98</v>
      </c>
      <c r="C285" s="1" t="s">
        <v>99</v>
      </c>
      <c r="D285" s="1" t="s">
        <v>5</v>
      </c>
      <c r="E285" s="1">
        <v>5</v>
      </c>
      <c r="F285" s="63"/>
      <c r="G285" s="29">
        <v>33392</v>
      </c>
      <c r="H285" s="1">
        <v>137</v>
      </c>
      <c r="I285" s="1">
        <v>190</v>
      </c>
      <c r="J285" s="1">
        <v>221</v>
      </c>
    </row>
    <row r="286" spans="1:10" x14ac:dyDescent="0.25">
      <c r="A286" s="2">
        <v>540156</v>
      </c>
      <c r="B286" s="2" t="s">
        <v>232</v>
      </c>
      <c r="C286" s="2" t="s">
        <v>99</v>
      </c>
      <c r="D286" s="2" t="s">
        <v>115</v>
      </c>
      <c r="E286" s="2">
        <v>5</v>
      </c>
      <c r="F286" s="62"/>
      <c r="G286" s="30">
        <v>33392</v>
      </c>
      <c r="H286" s="2">
        <v>92</v>
      </c>
      <c r="I286" s="2">
        <v>5</v>
      </c>
      <c r="J286" s="2">
        <v>52</v>
      </c>
    </row>
    <row r="287" spans="1:10" x14ac:dyDescent="0.25">
      <c r="A287" s="2">
        <v>540253</v>
      </c>
      <c r="B287" s="2" t="s">
        <v>299</v>
      </c>
      <c r="C287" s="2" t="s">
        <v>99</v>
      </c>
      <c r="D287" s="2" t="s">
        <v>115</v>
      </c>
      <c r="E287" s="2">
        <v>5</v>
      </c>
      <c r="F287" s="62"/>
      <c r="G287" s="30">
        <v>33392</v>
      </c>
      <c r="H287" s="2">
        <v>9</v>
      </c>
      <c r="I287" s="2">
        <v>3</v>
      </c>
      <c r="J287" s="2">
        <v>4</v>
      </c>
    </row>
    <row r="288" spans="1:10" x14ac:dyDescent="0.25">
      <c r="A288" s="2"/>
      <c r="B288" s="2"/>
      <c r="C288" s="2" t="s">
        <v>99</v>
      </c>
      <c r="D288" s="2"/>
      <c r="E288" s="2"/>
      <c r="F288" s="62"/>
      <c r="G288" s="2"/>
      <c r="H288" s="2">
        <v>238</v>
      </c>
      <c r="I288" s="2">
        <v>198</v>
      </c>
      <c r="J288" s="2">
        <v>277</v>
      </c>
    </row>
    <row r="289" spans="1:10" x14ac:dyDescent="0.25">
      <c r="A289" s="1">
        <v>540226</v>
      </c>
      <c r="B289" s="1" t="s">
        <v>100</v>
      </c>
      <c r="C289" s="1" t="s">
        <v>101</v>
      </c>
      <c r="D289" s="1" t="s">
        <v>5</v>
      </c>
      <c r="E289" s="1">
        <v>8</v>
      </c>
      <c r="F289" s="63"/>
      <c r="G289" s="29">
        <v>31990</v>
      </c>
      <c r="H289" s="1">
        <v>833</v>
      </c>
      <c r="I289" s="1">
        <v>185</v>
      </c>
      <c r="J289" s="1">
        <v>483</v>
      </c>
    </row>
    <row r="290" spans="1:10" x14ac:dyDescent="0.25">
      <c r="A290" s="2">
        <v>540046</v>
      </c>
      <c r="B290" s="2" t="s">
        <v>147</v>
      </c>
      <c r="C290" s="2" t="s">
        <v>101</v>
      </c>
      <c r="D290" s="2" t="s">
        <v>115</v>
      </c>
      <c r="E290" s="2">
        <v>8</v>
      </c>
      <c r="F290" s="62"/>
      <c r="G290" s="30">
        <v>32234</v>
      </c>
      <c r="H290" s="2">
        <v>29</v>
      </c>
      <c r="I290" s="2">
        <v>7</v>
      </c>
      <c r="J290" s="2">
        <v>1</v>
      </c>
    </row>
    <row r="291" spans="1:10" x14ac:dyDescent="0.25">
      <c r="A291" s="2">
        <v>540276</v>
      </c>
      <c r="B291" s="2" t="s">
        <v>319</v>
      </c>
      <c r="C291" s="2" t="s">
        <v>101</v>
      </c>
      <c r="D291" s="2" t="s">
        <v>115</v>
      </c>
      <c r="E291" s="2">
        <v>8</v>
      </c>
      <c r="F291" s="62"/>
      <c r="G291" s="30">
        <v>32309</v>
      </c>
      <c r="H291" s="2">
        <v>4</v>
      </c>
      <c r="I291" s="2">
        <v>2</v>
      </c>
      <c r="J291" s="2">
        <v>0</v>
      </c>
    </row>
    <row r="292" spans="1:10" x14ac:dyDescent="0.25">
      <c r="A292" s="2"/>
      <c r="B292" s="2"/>
      <c r="C292" s="2" t="s">
        <v>101</v>
      </c>
      <c r="D292" s="2"/>
      <c r="E292" s="2"/>
      <c r="F292" s="62"/>
      <c r="G292" s="2"/>
      <c r="H292" s="2">
        <v>866</v>
      </c>
      <c r="I292" s="2">
        <v>194</v>
      </c>
      <c r="J292" s="2">
        <v>484</v>
      </c>
    </row>
    <row r="293" spans="1:10" x14ac:dyDescent="0.25">
      <c r="A293" s="1">
        <v>540277</v>
      </c>
      <c r="B293" s="1" t="s">
        <v>102</v>
      </c>
      <c r="C293" s="1" t="s">
        <v>103</v>
      </c>
      <c r="D293" s="1" t="s">
        <v>5</v>
      </c>
      <c r="E293" s="1">
        <v>5</v>
      </c>
      <c r="F293" s="63"/>
      <c r="G293" s="29">
        <v>32451</v>
      </c>
      <c r="H293" s="1">
        <v>381</v>
      </c>
      <c r="I293" s="1">
        <v>80</v>
      </c>
      <c r="J293" s="1">
        <v>286</v>
      </c>
    </row>
    <row r="294" spans="1:10" x14ac:dyDescent="0.25">
      <c r="A294" s="2">
        <v>540195</v>
      </c>
      <c r="B294" s="2" t="s">
        <v>258</v>
      </c>
      <c r="C294" s="2" t="s">
        <v>103</v>
      </c>
      <c r="D294" s="2" t="s">
        <v>115</v>
      </c>
      <c r="E294" s="2">
        <v>5</v>
      </c>
      <c r="F294" s="62"/>
      <c r="G294" s="30">
        <v>32451</v>
      </c>
      <c r="H294" s="2">
        <v>0</v>
      </c>
      <c r="I294" s="2">
        <v>0</v>
      </c>
      <c r="J294" s="2">
        <v>1</v>
      </c>
    </row>
    <row r="295" spans="1:10" x14ac:dyDescent="0.25">
      <c r="A295" s="2">
        <v>540196</v>
      </c>
      <c r="B295" s="2" t="s">
        <v>259</v>
      </c>
      <c r="C295" s="2" t="s">
        <v>103</v>
      </c>
      <c r="D295" s="2" t="s">
        <v>115</v>
      </c>
      <c r="E295" s="2">
        <v>5</v>
      </c>
      <c r="F295" s="62"/>
      <c r="G295" s="30">
        <v>32583</v>
      </c>
      <c r="H295" s="2">
        <v>0</v>
      </c>
      <c r="I295" s="2">
        <v>0</v>
      </c>
      <c r="J295" s="2">
        <v>1</v>
      </c>
    </row>
    <row r="296" spans="1:10" x14ac:dyDescent="0.25">
      <c r="A296" s="2">
        <v>540197</v>
      </c>
      <c r="B296" s="2" t="s">
        <v>260</v>
      </c>
      <c r="C296" s="2" t="s">
        <v>103</v>
      </c>
      <c r="D296" s="2" t="s">
        <v>115</v>
      </c>
      <c r="E296" s="2">
        <v>5</v>
      </c>
      <c r="F296" s="62"/>
      <c r="G296" s="30">
        <v>32451</v>
      </c>
      <c r="H296" s="2">
        <v>44</v>
      </c>
      <c r="I296" s="2">
        <v>7</v>
      </c>
      <c r="J296" s="2">
        <v>25</v>
      </c>
    </row>
    <row r="297" spans="1:10" x14ac:dyDescent="0.25">
      <c r="A297" s="2">
        <v>540259</v>
      </c>
      <c r="B297" s="2" t="s">
        <v>304</v>
      </c>
      <c r="C297" s="2" t="s">
        <v>103</v>
      </c>
      <c r="D297" s="2" t="s">
        <v>115</v>
      </c>
      <c r="E297" s="2">
        <v>5</v>
      </c>
      <c r="F297" s="62"/>
      <c r="G297" s="30">
        <v>32451</v>
      </c>
      <c r="H297" s="2">
        <v>41</v>
      </c>
      <c r="I297" s="2">
        <v>1</v>
      </c>
      <c r="J297" s="2">
        <v>26</v>
      </c>
    </row>
    <row r="298" spans="1:10" x14ac:dyDescent="0.25">
      <c r="A298" s="2"/>
      <c r="B298" s="2"/>
      <c r="C298" s="2" t="s">
        <v>103</v>
      </c>
      <c r="D298" s="2"/>
      <c r="E298" s="2"/>
      <c r="F298" s="62"/>
      <c r="G298" s="2"/>
      <c r="H298" s="2">
        <v>466</v>
      </c>
      <c r="I298" s="2">
        <v>88</v>
      </c>
      <c r="J298" s="2">
        <v>339</v>
      </c>
    </row>
    <row r="299" spans="1:10" x14ac:dyDescent="0.25">
      <c r="A299" s="1">
        <v>540278</v>
      </c>
      <c r="B299" s="1" t="s">
        <v>104</v>
      </c>
      <c r="C299" s="1" t="s">
        <v>105</v>
      </c>
      <c r="D299" s="1" t="s">
        <v>5</v>
      </c>
      <c r="E299" s="1">
        <v>1</v>
      </c>
      <c r="F299" s="63"/>
      <c r="G299" s="29">
        <v>30330</v>
      </c>
      <c r="H299" s="1">
        <v>167</v>
      </c>
      <c r="I299" s="1">
        <v>67</v>
      </c>
      <c r="J299" s="1">
        <v>104</v>
      </c>
    </row>
    <row r="300" spans="1:10" x14ac:dyDescent="0.25">
      <c r="A300" s="2">
        <v>540041</v>
      </c>
      <c r="B300" s="2" t="s">
        <v>142</v>
      </c>
      <c r="C300" s="2" t="s">
        <v>105</v>
      </c>
      <c r="D300" s="2" t="s">
        <v>115</v>
      </c>
      <c r="E300" s="2">
        <v>1</v>
      </c>
      <c r="F300" s="62"/>
      <c r="G300" s="30">
        <v>33508</v>
      </c>
      <c r="H300" s="2">
        <v>66</v>
      </c>
      <c r="I300" s="2">
        <v>0</v>
      </c>
      <c r="J300" s="2">
        <v>13</v>
      </c>
    </row>
    <row r="301" spans="1:10" ht="21.75" customHeight="1" x14ac:dyDescent="0.25">
      <c r="A301" s="2">
        <v>540143</v>
      </c>
      <c r="B301" s="2" t="s">
        <v>224</v>
      </c>
      <c r="C301" s="2" t="s">
        <v>105</v>
      </c>
      <c r="D301" s="2" t="s">
        <v>115</v>
      </c>
      <c r="E301" s="2">
        <v>1</v>
      </c>
      <c r="F301" s="62"/>
      <c r="G301" s="30">
        <v>29068</v>
      </c>
      <c r="H301" s="2">
        <v>9</v>
      </c>
      <c r="I301" s="2">
        <v>6</v>
      </c>
      <c r="J301" s="2">
        <v>12</v>
      </c>
    </row>
    <row r="302" spans="1:10" x14ac:dyDescent="0.25">
      <c r="A302" s="2">
        <v>540290</v>
      </c>
      <c r="B302" s="2" t="s">
        <v>327</v>
      </c>
      <c r="C302" s="2" t="s">
        <v>105</v>
      </c>
      <c r="D302" s="2" t="s">
        <v>115</v>
      </c>
      <c r="E302" s="2">
        <v>1</v>
      </c>
      <c r="F302" s="62"/>
      <c r="G302" s="30">
        <v>37424</v>
      </c>
      <c r="H302" s="2">
        <v>0</v>
      </c>
      <c r="I302" s="2">
        <v>0</v>
      </c>
      <c r="J302" s="2">
        <v>0</v>
      </c>
    </row>
    <row r="303" spans="1:10" x14ac:dyDescent="0.25">
      <c r="A303" s="2"/>
      <c r="B303" s="2"/>
      <c r="C303" s="2" t="s">
        <v>105</v>
      </c>
      <c r="D303" s="2"/>
      <c r="E303" s="2"/>
      <c r="F303" s="62"/>
      <c r="G303" s="2"/>
      <c r="H303" s="2">
        <v>242</v>
      </c>
      <c r="I303" s="2">
        <v>73</v>
      </c>
      <c r="J303" s="2">
        <v>129</v>
      </c>
    </row>
    <row r="304" spans="1:10" x14ac:dyDescent="0.25">
      <c r="A304" s="1">
        <v>540282</v>
      </c>
      <c r="B304" s="1" t="s">
        <v>106</v>
      </c>
      <c r="C304" s="1" t="s">
        <v>107</v>
      </c>
      <c r="D304" s="1" t="s">
        <v>5</v>
      </c>
      <c r="E304" s="1">
        <v>9</v>
      </c>
      <c r="F304" s="63"/>
      <c r="G304" s="29">
        <v>32359</v>
      </c>
      <c r="H304" s="1">
        <v>233</v>
      </c>
      <c r="I304" s="1">
        <v>131</v>
      </c>
      <c r="J304" s="1">
        <v>192</v>
      </c>
    </row>
    <row r="305" spans="1:10" x14ac:dyDescent="0.25">
      <c r="A305" s="2">
        <v>540006</v>
      </c>
      <c r="B305" s="2" t="s">
        <v>119</v>
      </c>
      <c r="C305" s="2" t="s">
        <v>107</v>
      </c>
      <c r="D305" s="2" t="s">
        <v>115</v>
      </c>
      <c r="E305" s="2">
        <v>9</v>
      </c>
      <c r="F305" s="62"/>
      <c r="G305" s="30">
        <v>29207</v>
      </c>
      <c r="H305" s="2">
        <v>49</v>
      </c>
      <c r="I305" s="2">
        <v>36</v>
      </c>
      <c r="J305" s="2">
        <v>2</v>
      </c>
    </row>
    <row r="306" spans="1:10" x14ac:dyDescent="0.25">
      <c r="A306" s="2">
        <v>545550</v>
      </c>
      <c r="B306" s="2" t="s">
        <v>339</v>
      </c>
      <c r="C306" s="2" t="s">
        <v>107</v>
      </c>
      <c r="D306" s="2" t="s">
        <v>115</v>
      </c>
      <c r="E306" s="2">
        <v>9</v>
      </c>
      <c r="F306" s="62"/>
      <c r="G306" s="30">
        <v>32359</v>
      </c>
      <c r="H306" s="2">
        <v>0</v>
      </c>
      <c r="I306" s="2">
        <v>0</v>
      </c>
      <c r="J306" s="2">
        <v>0</v>
      </c>
    </row>
    <row r="307" spans="1:10" x14ac:dyDescent="0.25">
      <c r="A307" s="2"/>
      <c r="B307" s="2"/>
      <c r="C307" s="2" t="s">
        <v>107</v>
      </c>
      <c r="D307" s="2"/>
      <c r="E307" s="2"/>
      <c r="F307" s="62"/>
      <c r="G307" s="2"/>
      <c r="H307" s="2">
        <v>282</v>
      </c>
      <c r="I307" s="2">
        <v>167</v>
      </c>
      <c r="J307" s="2">
        <v>194</v>
      </c>
    </row>
    <row r="308" spans="1:10" x14ac:dyDescent="0.25">
      <c r="A308" s="1">
        <v>540283</v>
      </c>
      <c r="B308" s="1" t="s">
        <v>108</v>
      </c>
      <c r="C308" s="1" t="s">
        <v>109</v>
      </c>
      <c r="D308" s="1" t="s">
        <v>5</v>
      </c>
      <c r="E308" s="1">
        <v>4</v>
      </c>
      <c r="F308" s="63"/>
      <c r="G308" s="29">
        <v>32798</v>
      </c>
      <c r="H308" s="1">
        <v>183</v>
      </c>
      <c r="I308" s="1">
        <v>97</v>
      </c>
      <c r="J308" s="1">
        <v>96</v>
      </c>
    </row>
    <row r="309" spans="1:10" x14ac:dyDescent="0.25">
      <c r="A309" s="2">
        <v>540158</v>
      </c>
      <c r="B309" s="2" t="s">
        <v>233</v>
      </c>
      <c r="C309" s="2" t="s">
        <v>109</v>
      </c>
      <c r="D309" s="2" t="s">
        <v>115</v>
      </c>
      <c r="E309" s="2">
        <v>4</v>
      </c>
      <c r="F309" s="62"/>
      <c r="G309" s="30">
        <v>30918</v>
      </c>
      <c r="H309" s="2">
        <v>1</v>
      </c>
      <c r="I309" s="2">
        <v>1</v>
      </c>
      <c r="J309" s="2">
        <v>2</v>
      </c>
    </row>
    <row r="310" spans="1:10" x14ac:dyDescent="0.25">
      <c r="A310" s="2">
        <v>540159</v>
      </c>
      <c r="B310" s="2" t="s">
        <v>234</v>
      </c>
      <c r="C310" s="2" t="s">
        <v>109</v>
      </c>
      <c r="D310" s="2" t="s">
        <v>115</v>
      </c>
      <c r="E310" s="2">
        <v>4</v>
      </c>
      <c r="F310" s="62"/>
      <c r="G310" s="30">
        <v>32798</v>
      </c>
      <c r="H310" s="2">
        <v>349</v>
      </c>
      <c r="I310" s="2">
        <v>35</v>
      </c>
      <c r="J310" s="2">
        <v>65</v>
      </c>
    </row>
    <row r="311" spans="1:10" x14ac:dyDescent="0.25">
      <c r="A311" s="2">
        <v>540288</v>
      </c>
      <c r="B311" s="2" t="s">
        <v>340</v>
      </c>
      <c r="C311" s="2" t="s">
        <v>109</v>
      </c>
      <c r="D311" s="2" t="s">
        <v>115</v>
      </c>
      <c r="E311" s="2">
        <v>4</v>
      </c>
      <c r="F311" s="62"/>
      <c r="G311" s="30">
        <v>32798</v>
      </c>
      <c r="H311" s="2">
        <v>0</v>
      </c>
      <c r="I311" s="2">
        <v>0</v>
      </c>
      <c r="J311" s="2">
        <v>0</v>
      </c>
    </row>
    <row r="312" spans="1:10" x14ac:dyDescent="0.25">
      <c r="A312" s="2"/>
      <c r="B312" s="2"/>
      <c r="C312" s="2" t="s">
        <v>109</v>
      </c>
      <c r="D312" s="2"/>
      <c r="E312" s="2"/>
      <c r="F312" s="62"/>
      <c r="G312" s="2"/>
      <c r="H312" s="2">
        <v>533</v>
      </c>
      <c r="I312" s="2">
        <v>133</v>
      </c>
      <c r="J312" s="2">
        <v>163</v>
      </c>
    </row>
    <row r="313" spans="1:10" x14ac:dyDescent="0.25">
      <c r="A313" s="1">
        <v>545536</v>
      </c>
      <c r="B313" s="1" t="s">
        <v>110</v>
      </c>
      <c r="C313" s="1" t="s">
        <v>111</v>
      </c>
      <c r="D313" s="1" t="s">
        <v>5</v>
      </c>
      <c r="E313" s="1">
        <v>2</v>
      </c>
      <c r="F313" s="63"/>
      <c r="G313" s="29">
        <v>26396</v>
      </c>
      <c r="H313" s="1">
        <v>2422</v>
      </c>
      <c r="I313" s="1">
        <v>999</v>
      </c>
      <c r="J313" s="1">
        <v>2992</v>
      </c>
    </row>
    <row r="314" spans="1:10" x14ac:dyDescent="0.25">
      <c r="A314" s="2">
        <v>540092</v>
      </c>
      <c r="B314" s="2" t="s">
        <v>183</v>
      </c>
      <c r="C314" s="2" t="s">
        <v>111</v>
      </c>
      <c r="D314" s="2" t="s">
        <v>115</v>
      </c>
      <c r="E314" s="2">
        <v>2</v>
      </c>
      <c r="F314" s="62"/>
      <c r="G314" s="30">
        <v>26172</v>
      </c>
      <c r="H314" s="2">
        <v>14</v>
      </c>
      <c r="I314" s="2">
        <v>17</v>
      </c>
      <c r="J314" s="2">
        <v>14</v>
      </c>
    </row>
    <row r="315" spans="1:10" x14ac:dyDescent="0.25">
      <c r="A315" s="2">
        <v>540095</v>
      </c>
      <c r="B315" s="2" t="s">
        <v>186</v>
      </c>
      <c r="C315" s="2" t="s">
        <v>111</v>
      </c>
      <c r="D315" s="2" t="s">
        <v>115</v>
      </c>
      <c r="E315" s="2">
        <v>2</v>
      </c>
      <c r="F315" s="62"/>
      <c r="G315" s="30">
        <v>26158</v>
      </c>
      <c r="H315" s="2">
        <v>16</v>
      </c>
      <c r="I315" s="2">
        <v>14</v>
      </c>
      <c r="J315" s="2">
        <v>1</v>
      </c>
    </row>
    <row r="316" spans="1:10" x14ac:dyDescent="0.25">
      <c r="A316" s="2">
        <v>545535</v>
      </c>
      <c r="B316" s="2" t="s">
        <v>332</v>
      </c>
      <c r="C316" s="2" t="s">
        <v>111</v>
      </c>
      <c r="D316" s="2" t="s">
        <v>115</v>
      </c>
      <c r="E316" s="2">
        <v>2</v>
      </c>
      <c r="F316" s="62"/>
      <c r="G316" s="30">
        <v>26130</v>
      </c>
      <c r="H316" s="2">
        <v>1</v>
      </c>
      <c r="I316" s="2">
        <v>2</v>
      </c>
      <c r="J316" s="2">
        <v>4</v>
      </c>
    </row>
    <row r="317" spans="1:10" x14ac:dyDescent="0.25">
      <c r="A317" s="2">
        <v>545537</v>
      </c>
      <c r="B317" s="2" t="s">
        <v>333</v>
      </c>
      <c r="C317" s="2" t="s">
        <v>111</v>
      </c>
      <c r="D317" s="2" t="s">
        <v>115</v>
      </c>
      <c r="E317" s="2">
        <v>2</v>
      </c>
      <c r="F317" s="62"/>
      <c r="G317" s="30">
        <v>26186</v>
      </c>
      <c r="H317" s="2">
        <v>84</v>
      </c>
      <c r="I317" s="2">
        <v>17</v>
      </c>
      <c r="J317" s="2">
        <v>53</v>
      </c>
    </row>
    <row r="318" spans="1:10" x14ac:dyDescent="0.25">
      <c r="A318" s="2">
        <v>545539</v>
      </c>
      <c r="B318" s="2" t="s">
        <v>335</v>
      </c>
      <c r="C318" s="2" t="s">
        <v>111</v>
      </c>
      <c r="D318" s="2" t="s">
        <v>115</v>
      </c>
      <c r="E318" s="2">
        <v>2</v>
      </c>
      <c r="F318" s="62"/>
      <c r="G318" s="30">
        <v>26452</v>
      </c>
      <c r="H318" s="2">
        <v>1</v>
      </c>
      <c r="I318" s="2">
        <v>2</v>
      </c>
      <c r="J318" s="2">
        <v>1</v>
      </c>
    </row>
    <row r="319" spans="1:10" x14ac:dyDescent="0.25">
      <c r="A319" s="2"/>
      <c r="B319" s="2"/>
      <c r="C319" s="2" t="s">
        <v>111</v>
      </c>
      <c r="D319" s="2"/>
      <c r="E319" s="2"/>
      <c r="F319" s="62"/>
      <c r="G319" s="2"/>
      <c r="H319" s="2">
        <v>2538</v>
      </c>
      <c r="I319" s="2">
        <v>1051</v>
      </c>
      <c r="J319" s="2">
        <v>3065</v>
      </c>
    </row>
    <row r="320" spans="1:10" x14ac:dyDescent="0.25">
      <c r="A320" s="1">
        <v>540191</v>
      </c>
      <c r="B320" s="1" t="s">
        <v>112</v>
      </c>
      <c r="C320" s="1" t="s">
        <v>113</v>
      </c>
      <c r="D320" s="1" t="s">
        <v>5</v>
      </c>
      <c r="E320" s="1">
        <v>7</v>
      </c>
      <c r="F320" s="63"/>
      <c r="G320" s="29">
        <v>31959</v>
      </c>
      <c r="H320" s="1">
        <v>218</v>
      </c>
      <c r="I320" s="1">
        <v>125</v>
      </c>
      <c r="J320" s="1">
        <v>237</v>
      </c>
    </row>
    <row r="321" spans="1:10" x14ac:dyDescent="0.25">
      <c r="A321" s="2">
        <v>540193</v>
      </c>
      <c r="B321" s="2" t="s">
        <v>342</v>
      </c>
      <c r="C321" s="2" t="s">
        <v>113</v>
      </c>
      <c r="D321" s="2" t="s">
        <v>115</v>
      </c>
      <c r="E321" s="2">
        <v>7</v>
      </c>
      <c r="F321" s="62"/>
      <c r="G321" s="30">
        <v>31990</v>
      </c>
      <c r="H321" s="2">
        <v>11</v>
      </c>
      <c r="I321" s="2">
        <v>4</v>
      </c>
      <c r="J321" s="2">
        <v>5</v>
      </c>
    </row>
    <row r="322" spans="1:10" x14ac:dyDescent="0.25">
      <c r="A322" s="2">
        <v>540192</v>
      </c>
      <c r="B322" s="2" t="s">
        <v>343</v>
      </c>
      <c r="C322" s="2" t="s">
        <v>113</v>
      </c>
      <c r="D322" s="2" t="s">
        <v>115</v>
      </c>
      <c r="E322" s="2">
        <v>7</v>
      </c>
      <c r="F322" s="62"/>
      <c r="G322" s="30">
        <v>30883</v>
      </c>
      <c r="H322" s="2">
        <v>2</v>
      </c>
      <c r="I322" s="2">
        <v>4</v>
      </c>
      <c r="J322" s="2">
        <v>8</v>
      </c>
    </row>
    <row r="323" spans="1:10" x14ac:dyDescent="0.25">
      <c r="A323" s="2">
        <v>540194</v>
      </c>
      <c r="B323" s="2" t="s">
        <v>344</v>
      </c>
      <c r="C323" s="2" t="s">
        <v>113</v>
      </c>
      <c r="D323" s="2" t="s">
        <v>115</v>
      </c>
      <c r="E323" s="2">
        <v>7</v>
      </c>
      <c r="F323" s="62"/>
      <c r="G323" s="30">
        <v>29082</v>
      </c>
      <c r="H323" s="2">
        <v>200</v>
      </c>
      <c r="I323" s="2">
        <v>72</v>
      </c>
      <c r="J323" s="2">
        <v>84</v>
      </c>
    </row>
    <row r="324" spans="1:10" x14ac:dyDescent="0.25">
      <c r="A324" s="2">
        <v>540261</v>
      </c>
      <c r="B324" s="2" t="s">
        <v>345</v>
      </c>
      <c r="C324" s="2" t="s">
        <v>113</v>
      </c>
      <c r="D324" s="2" t="s">
        <v>115</v>
      </c>
      <c r="E324" s="2">
        <v>7</v>
      </c>
      <c r="F324" s="62"/>
      <c r="G324" s="30">
        <v>30935</v>
      </c>
      <c r="H324" s="2">
        <v>0</v>
      </c>
      <c r="I324" s="2">
        <v>0</v>
      </c>
      <c r="J324" s="2">
        <v>0</v>
      </c>
    </row>
    <row r="325" spans="1:10" x14ac:dyDescent="0.25">
      <c r="A325" s="2">
        <v>540260</v>
      </c>
      <c r="B325" s="2" t="s">
        <v>346</v>
      </c>
      <c r="C325" s="2" t="s">
        <v>113</v>
      </c>
      <c r="D325" s="2" t="s">
        <v>115</v>
      </c>
      <c r="E325" s="2">
        <v>7</v>
      </c>
      <c r="F325" s="62"/>
      <c r="G325" s="30">
        <v>30883</v>
      </c>
      <c r="H325" s="2">
        <v>0</v>
      </c>
      <c r="I325" s="2">
        <v>0</v>
      </c>
      <c r="J325" s="2">
        <v>1</v>
      </c>
    </row>
    <row r="326" spans="1:10" x14ac:dyDescent="0.25">
      <c r="A326" s="2"/>
      <c r="B326" s="2"/>
      <c r="C326" s="2" t="s">
        <v>113</v>
      </c>
      <c r="D326" s="2"/>
      <c r="E326" s="2"/>
      <c r="F326" s="62"/>
      <c r="G326" s="2"/>
      <c r="H326" s="2">
        <v>431</v>
      </c>
      <c r="I326" s="2">
        <v>205</v>
      </c>
      <c r="J326" s="2">
        <v>335</v>
      </c>
    </row>
    <row r="327" spans="1:10" x14ac:dyDescent="0.25">
      <c r="A327" s="2">
        <v>540027</v>
      </c>
      <c r="B327" s="2" t="s">
        <v>132</v>
      </c>
      <c r="C327" s="2" t="s">
        <v>21</v>
      </c>
      <c r="D327" s="2" t="s">
        <v>115</v>
      </c>
      <c r="E327" s="2">
        <v>4</v>
      </c>
      <c r="F327" s="62"/>
      <c r="G327" s="30">
        <v>29889</v>
      </c>
      <c r="H327" s="2">
        <v>1</v>
      </c>
      <c r="I327" s="2">
        <v>0</v>
      </c>
      <c r="J327" s="2">
        <v>0</v>
      </c>
    </row>
    <row r="328" spans="1:10" x14ac:dyDescent="0.25">
      <c r="A328" s="2">
        <v>540028</v>
      </c>
      <c r="B328" s="2" t="s">
        <v>133</v>
      </c>
      <c r="C328" s="2" t="s">
        <v>21</v>
      </c>
      <c r="D328" s="2" t="s">
        <v>115</v>
      </c>
      <c r="E328" s="2">
        <v>4</v>
      </c>
      <c r="F328" s="62"/>
      <c r="G328" s="30">
        <v>33240</v>
      </c>
      <c r="H328" s="2">
        <v>14</v>
      </c>
      <c r="I328" s="2">
        <v>2</v>
      </c>
      <c r="J328" s="2">
        <v>2</v>
      </c>
    </row>
    <row r="329" spans="1:10" x14ac:dyDescent="0.25">
      <c r="A329" s="2">
        <v>540029</v>
      </c>
      <c r="B329" s="2" t="s">
        <v>134</v>
      </c>
      <c r="C329" s="2" t="s">
        <v>21</v>
      </c>
      <c r="D329" s="2" t="s">
        <v>115</v>
      </c>
      <c r="E329" s="2">
        <v>4</v>
      </c>
      <c r="F329" s="62"/>
      <c r="G329" s="30">
        <v>30103</v>
      </c>
      <c r="H329" s="2">
        <v>7</v>
      </c>
      <c r="I329" s="2">
        <v>3</v>
      </c>
      <c r="J329" s="2">
        <v>2</v>
      </c>
    </row>
    <row r="330" spans="1:10" x14ac:dyDescent="0.25">
      <c r="A330" s="2">
        <v>540031</v>
      </c>
      <c r="B330" s="2" t="s">
        <v>136</v>
      </c>
      <c r="C330" s="2" t="s">
        <v>21</v>
      </c>
      <c r="D330" s="2" t="s">
        <v>115</v>
      </c>
      <c r="E330" s="2">
        <v>4</v>
      </c>
      <c r="F330" s="62"/>
      <c r="G330" s="30">
        <v>29238</v>
      </c>
      <c r="H330" s="2">
        <v>48</v>
      </c>
      <c r="I330" s="2">
        <v>5</v>
      </c>
      <c r="J330" s="2">
        <v>7</v>
      </c>
    </row>
    <row r="331" spans="1:10" x14ac:dyDescent="0.25">
      <c r="A331" s="2">
        <v>540032</v>
      </c>
      <c r="B331" s="2" t="s">
        <v>137</v>
      </c>
      <c r="C331" s="2" t="s">
        <v>21</v>
      </c>
      <c r="D331" s="2" t="s">
        <v>115</v>
      </c>
      <c r="E331" s="2">
        <v>4</v>
      </c>
      <c r="F331" s="62"/>
      <c r="G331" s="30">
        <v>29077</v>
      </c>
      <c r="H331" s="2">
        <v>29</v>
      </c>
      <c r="I331" s="2">
        <v>3</v>
      </c>
      <c r="J331" s="2">
        <v>9</v>
      </c>
    </row>
    <row r="332" spans="1:10" x14ac:dyDescent="0.25">
      <c r="A332" s="2">
        <v>540050</v>
      </c>
      <c r="B332" s="2" t="s">
        <v>150</v>
      </c>
      <c r="C332" s="2" t="s">
        <v>21</v>
      </c>
      <c r="D332" s="2" t="s">
        <v>115</v>
      </c>
      <c r="E332" s="2">
        <v>4</v>
      </c>
      <c r="F332" s="62"/>
      <c r="G332" s="30">
        <v>32206</v>
      </c>
      <c r="H332" s="2">
        <v>0</v>
      </c>
      <c r="I332" s="2">
        <v>0</v>
      </c>
      <c r="J332" s="2">
        <v>0</v>
      </c>
    </row>
    <row r="333" spans="1:10" x14ac:dyDescent="0.25">
      <c r="A333" s="2">
        <v>540293</v>
      </c>
      <c r="B333" s="2" t="s">
        <v>330</v>
      </c>
      <c r="C333" s="2" t="s">
        <v>21</v>
      </c>
      <c r="D333" s="2" t="s">
        <v>115</v>
      </c>
      <c r="E333" s="2">
        <v>4</v>
      </c>
      <c r="F333" s="62"/>
      <c r="G333" s="30">
        <v>32206</v>
      </c>
      <c r="H333" s="2">
        <v>0</v>
      </c>
      <c r="I333" s="2">
        <v>0</v>
      </c>
      <c r="J333" s="2">
        <v>0</v>
      </c>
    </row>
    <row r="334" spans="1:10" x14ac:dyDescent="0.25">
      <c r="A334" s="2">
        <v>540294</v>
      </c>
      <c r="B334" s="2" t="s">
        <v>331</v>
      </c>
      <c r="C334" s="2" t="s">
        <v>21</v>
      </c>
      <c r="D334" s="2" t="s">
        <v>115</v>
      </c>
      <c r="E334" s="2">
        <v>4</v>
      </c>
      <c r="F334" s="62"/>
      <c r="G334" s="30">
        <v>33499</v>
      </c>
      <c r="H334" s="2">
        <v>18</v>
      </c>
      <c r="I334" s="2">
        <v>1</v>
      </c>
      <c r="J334" s="2">
        <v>5</v>
      </c>
    </row>
    <row r="335" spans="1:10" x14ac:dyDescent="0.25">
      <c r="A335" s="2">
        <v>540033</v>
      </c>
      <c r="B335" s="2" t="s">
        <v>138</v>
      </c>
      <c r="C335" s="2" t="s">
        <v>21</v>
      </c>
      <c r="D335" s="2" t="s">
        <v>115</v>
      </c>
      <c r="E335" s="2">
        <v>4</v>
      </c>
      <c r="F335" s="62"/>
      <c r="G335" s="30">
        <v>30056</v>
      </c>
      <c r="H335" s="2">
        <v>38</v>
      </c>
      <c r="I335" s="2">
        <v>9</v>
      </c>
      <c r="J335" s="2">
        <v>11</v>
      </c>
    </row>
    <row r="336" spans="1:10" x14ac:dyDescent="0.25">
      <c r="A336" s="2">
        <v>540280</v>
      </c>
      <c r="B336" s="2" t="s">
        <v>321</v>
      </c>
      <c r="C336" s="2" t="s">
        <v>21</v>
      </c>
      <c r="D336" s="2" t="s">
        <v>115</v>
      </c>
      <c r="E336" s="2">
        <v>4</v>
      </c>
      <c r="F336" s="62"/>
      <c r="G336" s="30">
        <v>29077</v>
      </c>
      <c r="H336" s="2">
        <v>32</v>
      </c>
      <c r="I336" s="2">
        <v>1</v>
      </c>
      <c r="J336" s="2">
        <v>7</v>
      </c>
    </row>
    <row r="337" spans="1:10" x14ac:dyDescent="0.25">
      <c r="A337" s="1">
        <v>540026</v>
      </c>
      <c r="B337" s="1" t="s">
        <v>20</v>
      </c>
      <c r="C337" s="1" t="s">
        <v>21</v>
      </c>
      <c r="D337" s="1" t="s">
        <v>5</v>
      </c>
      <c r="E337" s="1">
        <v>4</v>
      </c>
      <c r="F337" s="63"/>
      <c r="G337" s="29">
        <v>32206</v>
      </c>
      <c r="H337" s="1">
        <v>970</v>
      </c>
      <c r="I337" s="1">
        <v>166</v>
      </c>
      <c r="J337" s="1">
        <v>353</v>
      </c>
    </row>
    <row r="338" spans="1:10" x14ac:dyDescent="0.25">
      <c r="A338" s="2"/>
      <c r="B338" s="2"/>
      <c r="C338" s="2" t="s">
        <v>21</v>
      </c>
      <c r="D338" s="2"/>
      <c r="E338" s="2"/>
      <c r="F338" s="62"/>
      <c r="G338" s="2"/>
      <c r="H338" s="2">
        <v>1157</v>
      </c>
      <c r="I338" s="2">
        <v>190</v>
      </c>
      <c r="J338" s="2">
        <v>396</v>
      </c>
    </row>
    <row r="339" spans="1:10" x14ac:dyDescent="0.25">
      <c r="A339" s="2">
        <v>540176</v>
      </c>
      <c r="B339" s="2" t="s">
        <v>247</v>
      </c>
      <c r="C339" s="2" t="s">
        <v>75</v>
      </c>
      <c r="D339" s="2" t="s">
        <v>115</v>
      </c>
      <c r="E339" s="2">
        <v>7</v>
      </c>
      <c r="F339" s="62"/>
      <c r="G339" s="30">
        <v>30935</v>
      </c>
      <c r="H339" s="2">
        <v>23</v>
      </c>
      <c r="I339" s="2">
        <v>5</v>
      </c>
      <c r="J339" s="2">
        <v>18</v>
      </c>
    </row>
    <row r="340" spans="1:10" x14ac:dyDescent="0.25">
      <c r="A340" s="2">
        <v>540178</v>
      </c>
      <c r="B340" s="2" t="s">
        <v>249</v>
      </c>
      <c r="C340" s="2" t="s">
        <v>75</v>
      </c>
      <c r="D340" s="2" t="s">
        <v>115</v>
      </c>
      <c r="E340" s="2">
        <v>7</v>
      </c>
      <c r="F340" s="62"/>
      <c r="G340" s="30">
        <v>30918</v>
      </c>
      <c r="H340" s="2">
        <v>14</v>
      </c>
      <c r="I340" s="2">
        <v>6</v>
      </c>
      <c r="J340" s="2">
        <v>17</v>
      </c>
    </row>
    <row r="341" spans="1:10" x14ac:dyDescent="0.25">
      <c r="A341" s="2">
        <v>540264</v>
      </c>
      <c r="B341" s="2" t="s">
        <v>307</v>
      </c>
      <c r="C341" s="2" t="s">
        <v>75</v>
      </c>
      <c r="D341" s="2" t="s">
        <v>115</v>
      </c>
      <c r="E341" s="2">
        <v>7</v>
      </c>
      <c r="F341" s="62"/>
      <c r="G341" s="30">
        <v>30918</v>
      </c>
      <c r="H341" s="2">
        <v>0</v>
      </c>
      <c r="I341" s="2">
        <v>0</v>
      </c>
      <c r="J341" s="2">
        <v>1</v>
      </c>
    </row>
    <row r="342" spans="1:10" x14ac:dyDescent="0.25">
      <c r="A342" s="2">
        <v>540265</v>
      </c>
      <c r="B342" s="2" t="s">
        <v>308</v>
      </c>
      <c r="C342" s="2" t="s">
        <v>75</v>
      </c>
      <c r="D342" s="2" t="s">
        <v>115</v>
      </c>
      <c r="E342" s="2">
        <v>7</v>
      </c>
      <c r="F342" s="62"/>
      <c r="G342" s="30">
        <v>30949</v>
      </c>
      <c r="H342" s="2">
        <v>10</v>
      </c>
      <c r="I342" s="2">
        <v>5</v>
      </c>
      <c r="J342" s="2">
        <v>7</v>
      </c>
    </row>
    <row r="343" spans="1:10" x14ac:dyDescent="0.25">
      <c r="A343" s="2">
        <v>540266</v>
      </c>
      <c r="B343" s="2" t="s">
        <v>309</v>
      </c>
      <c r="C343" s="2" t="s">
        <v>75</v>
      </c>
      <c r="D343" s="2" t="s">
        <v>115</v>
      </c>
      <c r="E343" s="2">
        <v>7</v>
      </c>
      <c r="F343" s="62"/>
      <c r="G343" s="30">
        <v>30918</v>
      </c>
      <c r="H343" s="2">
        <v>5</v>
      </c>
      <c r="I343" s="2">
        <v>0</v>
      </c>
      <c r="J343" s="2">
        <v>8</v>
      </c>
    </row>
    <row r="344" spans="1:10" x14ac:dyDescent="0.25">
      <c r="A344" s="2">
        <v>540267</v>
      </c>
      <c r="B344" s="2" t="s">
        <v>310</v>
      </c>
      <c r="C344" s="2" t="s">
        <v>75</v>
      </c>
      <c r="D344" s="2" t="s">
        <v>115</v>
      </c>
      <c r="E344" s="2">
        <v>7</v>
      </c>
      <c r="F344" s="62"/>
      <c r="G344" s="30">
        <v>33575</v>
      </c>
      <c r="H344" s="2">
        <v>18</v>
      </c>
      <c r="I344" s="2">
        <v>8</v>
      </c>
      <c r="J344" s="2">
        <v>2</v>
      </c>
    </row>
    <row r="345" spans="1:10" x14ac:dyDescent="0.25">
      <c r="A345" s="2">
        <v>540177</v>
      </c>
      <c r="B345" s="2" t="s">
        <v>248</v>
      </c>
      <c r="C345" s="2" t="s">
        <v>75</v>
      </c>
      <c r="D345" s="2" t="s">
        <v>115</v>
      </c>
      <c r="E345" s="2">
        <v>7</v>
      </c>
      <c r="F345" s="62"/>
      <c r="G345" s="30">
        <v>31870</v>
      </c>
      <c r="H345" s="2">
        <v>147</v>
      </c>
      <c r="I345" s="2">
        <v>25</v>
      </c>
      <c r="J345" s="2">
        <v>44</v>
      </c>
    </row>
    <row r="346" spans="1:10" x14ac:dyDescent="0.25">
      <c r="A346" s="1">
        <v>540175</v>
      </c>
      <c r="B346" s="1" t="s">
        <v>74</v>
      </c>
      <c r="C346" s="1" t="s">
        <v>75</v>
      </c>
      <c r="D346" s="1" t="s">
        <v>5</v>
      </c>
      <c r="E346" s="1">
        <v>7</v>
      </c>
      <c r="F346" s="63"/>
      <c r="G346" s="29">
        <v>33508</v>
      </c>
      <c r="H346" s="1">
        <v>651</v>
      </c>
      <c r="I346" s="1">
        <v>221</v>
      </c>
      <c r="J346" s="1">
        <v>463</v>
      </c>
    </row>
    <row r="347" spans="1:10" x14ac:dyDescent="0.25">
      <c r="A347" s="2"/>
      <c r="B347" s="2"/>
      <c r="C347" s="2" t="s">
        <v>75</v>
      </c>
      <c r="D347" s="2"/>
      <c r="E347" s="2"/>
      <c r="F347" s="62"/>
      <c r="G347" s="2"/>
      <c r="H347" s="2">
        <v>868</v>
      </c>
      <c r="I347" s="2">
        <v>270</v>
      </c>
      <c r="J347" s="2">
        <v>560</v>
      </c>
    </row>
    <row r="348" spans="1:10" x14ac:dyDescent="0.25">
      <c r="A348" s="2">
        <v>540219</v>
      </c>
      <c r="B348" s="2" t="s">
        <v>273</v>
      </c>
      <c r="C348" s="2" t="s">
        <v>95</v>
      </c>
      <c r="D348" s="2" t="s">
        <v>115</v>
      </c>
      <c r="E348" s="2">
        <v>1</v>
      </c>
      <c r="F348" s="62"/>
      <c r="G348" s="30">
        <v>29144</v>
      </c>
      <c r="H348" s="2">
        <v>247</v>
      </c>
      <c r="I348" s="2">
        <v>58</v>
      </c>
      <c r="J348" s="2">
        <v>162</v>
      </c>
    </row>
    <row r="349" spans="1:10" x14ac:dyDescent="0.25">
      <c r="A349" s="2">
        <v>540220</v>
      </c>
      <c r="B349" s="2" t="s">
        <v>274</v>
      </c>
      <c r="C349" s="2" t="s">
        <v>95</v>
      </c>
      <c r="D349" s="2" t="s">
        <v>115</v>
      </c>
      <c r="E349" s="2">
        <v>1</v>
      </c>
      <c r="F349" s="62"/>
      <c r="G349" s="30">
        <v>30589</v>
      </c>
      <c r="H349" s="2">
        <v>84</v>
      </c>
      <c r="I349" s="2">
        <v>9</v>
      </c>
      <c r="J349" s="2">
        <v>35</v>
      </c>
    </row>
    <row r="350" spans="1:10" x14ac:dyDescent="0.25">
      <c r="A350" s="2">
        <v>540218</v>
      </c>
      <c r="B350" s="2" t="s">
        <v>272</v>
      </c>
      <c r="C350" s="2" t="s">
        <v>95</v>
      </c>
      <c r="D350" s="2" t="s">
        <v>115</v>
      </c>
      <c r="E350" s="2">
        <v>1</v>
      </c>
      <c r="F350" s="62"/>
      <c r="G350" s="30">
        <v>29068</v>
      </c>
      <c r="H350" s="2">
        <v>48</v>
      </c>
      <c r="I350" s="2">
        <v>9</v>
      </c>
      <c r="J350" s="2">
        <v>40</v>
      </c>
    </row>
    <row r="351" spans="1:10" x14ac:dyDescent="0.25">
      <c r="A351" s="1">
        <v>540217</v>
      </c>
      <c r="B351" s="1" t="s">
        <v>94</v>
      </c>
      <c r="C351" s="1" t="s">
        <v>95</v>
      </c>
      <c r="D351" s="1" t="s">
        <v>5</v>
      </c>
      <c r="E351" s="1">
        <v>1</v>
      </c>
      <c r="F351" s="63"/>
      <c r="G351" s="29">
        <v>30756</v>
      </c>
      <c r="H351" s="1">
        <v>1309</v>
      </c>
      <c r="I351" s="1">
        <v>217</v>
      </c>
      <c r="J351" s="1">
        <v>1726</v>
      </c>
    </row>
    <row r="352" spans="1:10" x14ac:dyDescent="0.25">
      <c r="A352" s="2"/>
      <c r="B352" s="2"/>
      <c r="C352" s="2" t="s">
        <v>95</v>
      </c>
      <c r="D352" s="2"/>
      <c r="E352" s="2"/>
      <c r="F352" s="62"/>
      <c r="G352" s="2"/>
      <c r="H352" s="2">
        <v>1688</v>
      </c>
      <c r="I352" s="2">
        <v>293</v>
      </c>
      <c r="J352" s="2">
        <v>1963</v>
      </c>
    </row>
    <row r="353" spans="1:10" x14ac:dyDescent="0.25">
      <c r="A353" s="2" t="s">
        <v>535</v>
      </c>
      <c r="B353" s="2"/>
      <c r="C353" s="2"/>
      <c r="D353" s="2"/>
      <c r="E353" s="2"/>
      <c r="F353" s="62"/>
      <c r="G353" s="2"/>
      <c r="H353" s="2"/>
      <c r="I353" s="2"/>
      <c r="J353" s="2"/>
    </row>
    <row r="354" spans="1:10" x14ac:dyDescent="0.25">
      <c r="A354" s="2">
        <v>540152</v>
      </c>
      <c r="B354" s="2" t="s">
        <v>229</v>
      </c>
      <c r="C354" s="2" t="s">
        <v>544</v>
      </c>
      <c r="D354" s="2" t="s">
        <v>115</v>
      </c>
      <c r="E354" s="2" t="s">
        <v>545</v>
      </c>
      <c r="F354" s="62"/>
      <c r="G354" s="30">
        <v>29635</v>
      </c>
      <c r="H354" s="2">
        <v>2426</v>
      </c>
      <c r="I354" s="2">
        <v>77</v>
      </c>
      <c r="J354" s="2">
        <v>162</v>
      </c>
    </row>
    <row r="355" spans="1:10" x14ac:dyDescent="0.25">
      <c r="A355" s="2">
        <v>540196</v>
      </c>
      <c r="B355" s="2" t="s">
        <v>259</v>
      </c>
      <c r="C355" s="2" t="s">
        <v>546</v>
      </c>
      <c r="D355" s="2" t="s">
        <v>115</v>
      </c>
      <c r="E355" s="2" t="s">
        <v>547</v>
      </c>
      <c r="F355" s="62"/>
      <c r="G355" s="30">
        <v>32583</v>
      </c>
      <c r="H355" s="2">
        <v>0</v>
      </c>
      <c r="I355" s="2">
        <v>0</v>
      </c>
      <c r="J355" s="2">
        <v>8</v>
      </c>
    </row>
    <row r="356" spans="1:10" x14ac:dyDescent="0.25">
      <c r="A356" s="2">
        <v>540041</v>
      </c>
      <c r="B356" s="2" t="s">
        <v>142</v>
      </c>
      <c r="C356" s="2" t="s">
        <v>540</v>
      </c>
      <c r="D356" s="2" t="s">
        <v>115</v>
      </c>
      <c r="E356" s="2" t="s">
        <v>541</v>
      </c>
      <c r="F356" s="62"/>
      <c r="G356" s="30">
        <v>33508</v>
      </c>
      <c r="H356" s="2">
        <v>235</v>
      </c>
      <c r="I356" s="2">
        <v>8</v>
      </c>
      <c r="J356" s="2">
        <v>70</v>
      </c>
    </row>
    <row r="357" spans="1:10" x14ac:dyDescent="0.25">
      <c r="A357" s="2">
        <v>540018</v>
      </c>
      <c r="B357" s="2" t="s">
        <v>127</v>
      </c>
      <c r="C357" s="2" t="s">
        <v>538</v>
      </c>
      <c r="D357" s="2" t="s">
        <v>115</v>
      </c>
      <c r="E357" s="2" t="s">
        <v>539</v>
      </c>
      <c r="F357" s="62"/>
      <c r="G357" s="30">
        <v>32890</v>
      </c>
      <c r="H357" s="2">
        <v>608</v>
      </c>
      <c r="I357" s="2">
        <v>18</v>
      </c>
      <c r="J357" s="2">
        <v>35</v>
      </c>
    </row>
    <row r="358" spans="1:10" x14ac:dyDescent="0.25">
      <c r="A358" s="2">
        <v>540014</v>
      </c>
      <c r="B358" s="2" t="s">
        <v>124</v>
      </c>
      <c r="C358" s="2" t="s">
        <v>536</v>
      </c>
      <c r="D358" s="2" t="s">
        <v>115</v>
      </c>
      <c r="E358" s="2" t="s">
        <v>537</v>
      </c>
      <c r="F358" s="62"/>
      <c r="G358" s="30">
        <v>29126</v>
      </c>
      <c r="H358" s="2">
        <v>150</v>
      </c>
      <c r="I358" s="2">
        <v>36</v>
      </c>
      <c r="J358" s="2">
        <v>49</v>
      </c>
    </row>
    <row r="359" spans="1:10" x14ac:dyDescent="0.25">
      <c r="A359" s="2">
        <v>540081</v>
      </c>
      <c r="B359" s="2" t="s">
        <v>176</v>
      </c>
      <c r="C359" s="2" t="s">
        <v>542</v>
      </c>
      <c r="D359" s="2" t="s">
        <v>115</v>
      </c>
      <c r="E359" s="2" t="s">
        <v>543</v>
      </c>
      <c r="F359" s="62"/>
      <c r="G359" s="30">
        <v>30056</v>
      </c>
      <c r="H359" s="2">
        <v>537</v>
      </c>
      <c r="I359" s="2">
        <v>34</v>
      </c>
      <c r="J359" s="2">
        <v>43</v>
      </c>
    </row>
    <row r="360" spans="1:10" x14ac:dyDescent="0.25">
      <c r="A360" s="2">
        <v>540033</v>
      </c>
      <c r="B360" s="2" t="s">
        <v>138</v>
      </c>
      <c r="C360" s="2" t="s">
        <v>1299</v>
      </c>
      <c r="D360" s="2" t="s">
        <v>115</v>
      </c>
      <c r="E360" s="2" t="s">
        <v>1298</v>
      </c>
      <c r="F360" s="62"/>
      <c r="G360" s="30">
        <v>30056</v>
      </c>
      <c r="H360" s="2">
        <v>38</v>
      </c>
      <c r="I360" s="2">
        <v>9</v>
      </c>
      <c r="J360" s="2">
        <v>11</v>
      </c>
    </row>
    <row r="361" spans="1:10" x14ac:dyDescent="0.25">
      <c r="A361" s="2">
        <v>540029</v>
      </c>
      <c r="B361" s="2" t="s">
        <v>134</v>
      </c>
      <c r="C361" s="2" t="s">
        <v>1299</v>
      </c>
      <c r="D361" s="2" t="s">
        <v>115</v>
      </c>
      <c r="E361" s="2" t="s">
        <v>1298</v>
      </c>
      <c r="F361" s="62"/>
      <c r="G361" s="30">
        <v>30103</v>
      </c>
      <c r="H361" s="2">
        <v>47</v>
      </c>
      <c r="I361" s="2">
        <v>6</v>
      </c>
      <c r="J361" s="2">
        <v>8</v>
      </c>
    </row>
    <row r="362" spans="1:10" x14ac:dyDescent="0.25">
      <c r="A362" s="2"/>
      <c r="B362" s="2"/>
      <c r="C362" s="2"/>
      <c r="D362" s="2"/>
      <c r="E362" s="2"/>
      <c r="F362" s="62"/>
      <c r="G362" s="31" t="s">
        <v>348</v>
      </c>
      <c r="H362" s="32">
        <f>SUM(H3:H361)</f>
        <v>110449</v>
      </c>
      <c r="I362" s="32">
        <f>SUM(I3:I361)</f>
        <v>27946</v>
      </c>
      <c r="J362" s="32">
        <f>SUM(J3:J361)</f>
        <v>79704</v>
      </c>
    </row>
    <row r="363" spans="1:10" x14ac:dyDescent="0.25">
      <c r="A363" s="2"/>
      <c r="B363" s="2"/>
      <c r="C363" s="2"/>
      <c r="D363" s="2"/>
      <c r="E363" s="2"/>
      <c r="F363" s="62"/>
      <c r="G363" s="31" t="s">
        <v>439</v>
      </c>
      <c r="H363" s="33">
        <f>H362/(H362+I362+J362)</f>
        <v>0.50641681071440037</v>
      </c>
      <c r="I363" s="33">
        <f>I362/(H362+I362+J362)</f>
        <v>0.12813447104296671</v>
      </c>
      <c r="J363" s="33">
        <f>J362/(H362+I362+J362)</f>
        <v>0.36544871824263292</v>
      </c>
    </row>
    <row r="364" spans="1:10" x14ac:dyDescent="0.25">
      <c r="A364" s="2" t="s">
        <v>1336</v>
      </c>
      <c r="B364" s="2"/>
      <c r="C364" s="2"/>
      <c r="D364" s="2"/>
      <c r="E364" s="2"/>
      <c r="F364" s="62"/>
      <c r="G364" s="2"/>
      <c r="H364" s="2"/>
      <c r="I364" s="2"/>
      <c r="J364" s="2"/>
    </row>
    <row r="367" spans="1:10" x14ac:dyDescent="0.25">
      <c r="A367" s="404" t="s">
        <v>440</v>
      </c>
      <c r="B367" s="404"/>
      <c r="C367" s="404"/>
      <c r="D367" s="404"/>
      <c r="E367" s="404"/>
      <c r="F367" s="404"/>
      <c r="G367" s="404"/>
      <c r="H367" s="404"/>
      <c r="I367" s="404"/>
      <c r="J367" s="404"/>
    </row>
    <row r="368" spans="1:10" x14ac:dyDescent="0.25">
      <c r="A368" s="405" t="s">
        <v>441</v>
      </c>
      <c r="B368" s="405"/>
      <c r="C368" s="405"/>
      <c r="D368" s="405"/>
      <c r="E368" s="405"/>
      <c r="F368" s="405"/>
      <c r="G368" s="405"/>
      <c r="H368" s="405"/>
      <c r="I368" s="405"/>
      <c r="J368" s="405"/>
    </row>
    <row r="369" spans="1:10" x14ac:dyDescent="0.25">
      <c r="A369" s="405"/>
      <c r="B369" s="405"/>
      <c r="C369" s="405"/>
      <c r="D369" s="405"/>
      <c r="E369" s="405"/>
      <c r="F369" s="405"/>
      <c r="G369" s="405"/>
      <c r="H369" s="405"/>
      <c r="I369" s="405"/>
      <c r="J369" s="405"/>
    </row>
    <row r="370" spans="1:10" x14ac:dyDescent="0.25">
      <c r="A370" s="405"/>
      <c r="B370" s="405"/>
      <c r="C370" s="405"/>
      <c r="D370" s="405"/>
      <c r="E370" s="405"/>
      <c r="F370" s="405"/>
      <c r="G370" s="405"/>
      <c r="H370" s="405"/>
      <c r="I370" s="405"/>
      <c r="J370" s="405"/>
    </row>
    <row r="371" spans="1:10" x14ac:dyDescent="0.25">
      <c r="A371" s="405"/>
      <c r="B371" s="405"/>
      <c r="C371" s="405"/>
      <c r="D371" s="405"/>
      <c r="E371" s="405"/>
      <c r="F371" s="405"/>
      <c r="G371" s="405"/>
      <c r="H371" s="405"/>
      <c r="I371" s="405"/>
      <c r="J371" s="405"/>
    </row>
    <row r="372" spans="1:10" x14ac:dyDescent="0.25">
      <c r="A372" s="405"/>
      <c r="B372" s="405"/>
      <c r="C372" s="405"/>
      <c r="D372" s="405"/>
      <c r="E372" s="405"/>
      <c r="F372" s="405"/>
      <c r="G372" s="405"/>
      <c r="H372" s="405"/>
      <c r="I372" s="405"/>
      <c r="J372" s="405"/>
    </row>
  </sheetData>
  <mergeCells count="3">
    <mergeCell ref="A367:J367"/>
    <mergeCell ref="A368:J372"/>
    <mergeCell ref="A1: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5"/>
  <sheetViews>
    <sheetView topLeftCell="B1" workbookViewId="0">
      <selection activeCell="K3" sqref="K3"/>
    </sheetView>
  </sheetViews>
  <sheetFormatPr defaultRowHeight="15" x14ac:dyDescent="0.25"/>
  <cols>
    <col min="2" max="2" width="38.85546875" customWidth="1"/>
    <col min="3" max="3" width="23.5703125" customWidth="1"/>
    <col min="4" max="4" width="19.42578125" customWidth="1"/>
    <col min="5" max="6" width="14.140625" style="123" customWidth="1"/>
    <col min="7" max="7" width="12.42578125" style="123" customWidth="1"/>
    <col min="8" max="8" width="15.140625" style="123" customWidth="1"/>
    <col min="11" max="11" width="159.28515625" bestFit="1" customWidth="1"/>
  </cols>
  <sheetData>
    <row r="1" spans="1:11" x14ac:dyDescent="0.25">
      <c r="A1" t="s">
        <v>923</v>
      </c>
    </row>
    <row r="2" spans="1:11" ht="32.25" customHeight="1" x14ac:dyDescent="0.25">
      <c r="A2" s="124" t="s">
        <v>0</v>
      </c>
      <c r="B2" s="125" t="s">
        <v>1</v>
      </c>
      <c r="C2" s="125" t="s">
        <v>2</v>
      </c>
      <c r="D2" s="125" t="s">
        <v>595</v>
      </c>
      <c r="E2" s="124" t="s">
        <v>924</v>
      </c>
      <c r="F2" s="124" t="s">
        <v>925</v>
      </c>
      <c r="G2" s="124" t="s">
        <v>926</v>
      </c>
      <c r="H2" s="124" t="s">
        <v>927</v>
      </c>
      <c r="J2" s="233" t="s">
        <v>1325</v>
      </c>
      <c r="K2" s="235" t="s">
        <v>1339</v>
      </c>
    </row>
    <row r="3" spans="1:11" ht="18.75" customHeight="1" x14ac:dyDescent="0.25">
      <c r="A3" s="1">
        <v>540001</v>
      </c>
      <c r="B3" s="1" t="s">
        <v>3</v>
      </c>
      <c r="C3" s="126" t="s">
        <v>976</v>
      </c>
      <c r="D3" s="126" t="s">
        <v>5</v>
      </c>
      <c r="E3" s="127">
        <v>27348</v>
      </c>
      <c r="F3" s="128" t="str">
        <f>"07/01/87"</f>
        <v>07/01/87</v>
      </c>
      <c r="G3" s="128" t="str">
        <f>"05/03/2011"</f>
        <v>05/03/2011</v>
      </c>
      <c r="H3" s="128" t="str">
        <f>"07/01/1987"</f>
        <v>07/01/1987</v>
      </c>
      <c r="J3" s="233" t="s">
        <v>1326</v>
      </c>
      <c r="K3" s="389" t="s">
        <v>1340</v>
      </c>
    </row>
    <row r="4" spans="1:11" x14ac:dyDescent="0.25">
      <c r="A4" s="2">
        <v>540002</v>
      </c>
      <c r="B4" s="2" t="s">
        <v>114</v>
      </c>
      <c r="C4" s="129" t="s">
        <v>977</v>
      </c>
      <c r="D4" s="129" t="s">
        <v>115</v>
      </c>
      <c r="E4" s="130" t="str">
        <f>"05/31/74"</f>
        <v>05/31/74</v>
      </c>
      <c r="F4" s="130" t="str">
        <f>"08/01/79"</f>
        <v>08/01/79</v>
      </c>
      <c r="G4" s="130" t="str">
        <f>"05/03/2011"</f>
        <v>05/03/2011</v>
      </c>
      <c r="H4" s="130" t="str">
        <f>"08/01/1979"</f>
        <v>08/01/1979</v>
      </c>
    </row>
    <row r="5" spans="1:11" x14ac:dyDescent="0.25">
      <c r="A5" s="2">
        <v>540003</v>
      </c>
      <c r="B5" s="2" t="s">
        <v>116</v>
      </c>
      <c r="C5" s="129" t="s">
        <v>978</v>
      </c>
      <c r="D5" s="129" t="s">
        <v>115</v>
      </c>
      <c r="E5" s="130" t="str">
        <f>"06/28/74"</f>
        <v>06/28/74</v>
      </c>
      <c r="F5" s="130" t="str">
        <f>"04/17/87"</f>
        <v>04/17/87</v>
      </c>
      <c r="G5" s="130" t="str">
        <f>"05/03/11(M)"</f>
        <v>05/03/11(M)</v>
      </c>
      <c r="H5" s="130" t="str">
        <f>"04/17/1987"</f>
        <v>04/17/1987</v>
      </c>
    </row>
    <row r="6" spans="1:11" x14ac:dyDescent="0.25">
      <c r="A6" s="2">
        <v>540004</v>
      </c>
      <c r="B6" s="2" t="s">
        <v>117</v>
      </c>
      <c r="C6" s="129" t="s">
        <v>979</v>
      </c>
      <c r="D6" s="129" t="s">
        <v>115</v>
      </c>
      <c r="E6" s="130" t="str">
        <f>"02/01/74"</f>
        <v>02/01/74</v>
      </c>
      <c r="F6" s="130" t="str">
        <f>"09/04/86"</f>
        <v>09/04/86</v>
      </c>
      <c r="G6" s="130" t="str">
        <f>"05/03/2011"</f>
        <v>05/03/2011</v>
      </c>
      <c r="H6" s="130" t="str">
        <f>"09/04/1986"</f>
        <v>09/04/1986</v>
      </c>
    </row>
    <row r="7" spans="1:11" x14ac:dyDescent="0.25">
      <c r="A7" s="1">
        <v>540282</v>
      </c>
      <c r="B7" s="1" t="s">
        <v>106</v>
      </c>
      <c r="C7" s="126" t="s">
        <v>980</v>
      </c>
      <c r="D7" s="126" t="s">
        <v>5</v>
      </c>
      <c r="E7" s="127">
        <v>28475</v>
      </c>
      <c r="F7" s="128" t="str">
        <f>"08/04/88"</f>
        <v>08/04/88</v>
      </c>
      <c r="G7" s="128" t="str">
        <f>"07/07/2009"</f>
        <v>07/07/2009</v>
      </c>
      <c r="H7" s="128" t="str">
        <f>"08/04/1988"</f>
        <v>08/04/1988</v>
      </c>
    </row>
    <row r="8" spans="1:11" x14ac:dyDescent="0.25">
      <c r="A8" s="2">
        <v>540006</v>
      </c>
      <c r="B8" s="2" t="s">
        <v>119</v>
      </c>
      <c r="C8" s="129" t="s">
        <v>981</v>
      </c>
      <c r="D8" s="129" t="s">
        <v>115</v>
      </c>
      <c r="E8" s="130" t="str">
        <f>"06/07/74"</f>
        <v>06/07/74</v>
      </c>
      <c r="F8" s="131">
        <v>29207</v>
      </c>
      <c r="G8" s="130" t="str">
        <f>"07/07/2009"</f>
        <v>07/07/2009</v>
      </c>
      <c r="H8" s="131">
        <v>29207</v>
      </c>
    </row>
    <row r="9" spans="1:11" x14ac:dyDescent="0.25">
      <c r="A9" s="1">
        <v>540007</v>
      </c>
      <c r="B9" s="1" t="s">
        <v>6</v>
      </c>
      <c r="C9" s="126" t="s">
        <v>982</v>
      </c>
      <c r="D9" s="126" t="s">
        <v>5</v>
      </c>
      <c r="E9" s="128" t="str">
        <f>"01/03/75"</f>
        <v>01/03/75</v>
      </c>
      <c r="F9" s="128" t="str">
        <f>"04/16/91"</f>
        <v>04/16/91</v>
      </c>
      <c r="G9" s="128" t="str">
        <f>"05/16/2013"</f>
        <v>05/16/2013</v>
      </c>
      <c r="H9" s="128" t="str">
        <f>"04/16/1991"</f>
        <v>04/16/1991</v>
      </c>
    </row>
    <row r="10" spans="1:11" x14ac:dyDescent="0.25">
      <c r="A10" s="2">
        <v>540230</v>
      </c>
      <c r="B10" s="2" t="s">
        <v>280</v>
      </c>
      <c r="C10" s="129" t="s">
        <v>983</v>
      </c>
      <c r="D10" s="129" t="s">
        <v>115</v>
      </c>
      <c r="E10" s="131">
        <v>27348</v>
      </c>
      <c r="F10" s="130" t="str">
        <f>"04/16/91"</f>
        <v>04/16/91</v>
      </c>
      <c r="G10" s="130" t="str">
        <f>"05/16/2013"</f>
        <v>05/16/2013</v>
      </c>
      <c r="H10" s="130" t="str">
        <f>"04/16/1991"</f>
        <v>04/16/1991</v>
      </c>
    </row>
    <row r="11" spans="1:11" x14ac:dyDescent="0.25">
      <c r="A11" s="2">
        <v>540008</v>
      </c>
      <c r="B11" s="2" t="s">
        <v>120</v>
      </c>
      <c r="C11" s="129" t="s">
        <v>984</v>
      </c>
      <c r="D11" s="129" t="s">
        <v>115</v>
      </c>
      <c r="E11" s="130" t="str">
        <f>"06/14/74"</f>
        <v>06/14/74</v>
      </c>
      <c r="F11" s="130" t="str">
        <f>"04/16/91"</f>
        <v>04/16/91</v>
      </c>
      <c r="G11" s="130" t="str">
        <f>"05/16/2013"</f>
        <v>05/16/2013</v>
      </c>
      <c r="H11" s="130" t="str">
        <f>"04/16/1991"</f>
        <v>04/16/1991</v>
      </c>
    </row>
    <row r="12" spans="1:11" x14ac:dyDescent="0.25">
      <c r="A12" s="2">
        <v>540238</v>
      </c>
      <c r="B12" s="2" t="s">
        <v>286</v>
      </c>
      <c r="C12" s="129" t="s">
        <v>985</v>
      </c>
      <c r="D12" s="129" t="s">
        <v>115</v>
      </c>
      <c r="E12" s="131">
        <v>27348</v>
      </c>
      <c r="F12" s="130" t="str">
        <f>"04/16/91"</f>
        <v>04/16/91</v>
      </c>
      <c r="G12" s="130" t="str">
        <f>"05/16/2013"</f>
        <v>05/16/2013</v>
      </c>
      <c r="H12" s="130" t="str">
        <f>"04/16/1991"</f>
        <v>04/16/1991</v>
      </c>
    </row>
    <row r="13" spans="1:11" x14ac:dyDescent="0.25">
      <c r="A13" s="2">
        <v>540229</v>
      </c>
      <c r="B13" s="2" t="s">
        <v>279</v>
      </c>
      <c r="C13" s="129" t="s">
        <v>986</v>
      </c>
      <c r="D13" s="129" t="s">
        <v>115</v>
      </c>
      <c r="E13" s="131">
        <v>27348</v>
      </c>
      <c r="F13" s="130" t="str">
        <f>"04/16/91"</f>
        <v>04/16/91</v>
      </c>
      <c r="G13" s="130" t="str">
        <f>"05/16/2013"</f>
        <v>05/16/2013</v>
      </c>
      <c r="H13" s="130" t="str">
        <f>"04/14/1991"</f>
        <v>04/14/1991</v>
      </c>
    </row>
    <row r="14" spans="1:11" x14ac:dyDescent="0.25">
      <c r="A14" s="1">
        <v>540009</v>
      </c>
      <c r="B14" s="1" t="s">
        <v>8</v>
      </c>
      <c r="C14" s="126" t="s">
        <v>987</v>
      </c>
      <c r="D14" s="126" t="s">
        <v>5</v>
      </c>
      <c r="E14" s="128" t="str">
        <f>"01/24/75"</f>
        <v>01/24/75</v>
      </c>
      <c r="F14" s="128" t="str">
        <f>"04/19/10"</f>
        <v>04/19/10</v>
      </c>
      <c r="G14" s="128" t="str">
        <f>"04/19/2010"</f>
        <v>04/19/2010</v>
      </c>
      <c r="H14" s="128" t="str">
        <f>"03/18/1991"</f>
        <v>03/18/1991</v>
      </c>
    </row>
    <row r="15" spans="1:11" x14ac:dyDescent="0.25">
      <c r="A15" s="2">
        <v>540010</v>
      </c>
      <c r="B15" s="2" t="s">
        <v>121</v>
      </c>
      <c r="C15" s="129" t="s">
        <v>988</v>
      </c>
      <c r="D15" s="129" t="s">
        <v>115</v>
      </c>
      <c r="E15" s="130" t="str">
        <f>"02/01/74"</f>
        <v>02/01/74</v>
      </c>
      <c r="F15" s="130" t="str">
        <f>"04/19/10"</f>
        <v>04/19/10</v>
      </c>
      <c r="G15" s="130" t="str">
        <f>"04/19/2010"</f>
        <v>04/19/2010</v>
      </c>
      <c r="H15" s="130" t="str">
        <f>"09/10/1984"</f>
        <v>09/10/1984</v>
      </c>
    </row>
    <row r="16" spans="1:11" x14ac:dyDescent="0.25">
      <c r="A16" s="2">
        <v>540235</v>
      </c>
      <c r="B16" s="2" t="s">
        <v>283</v>
      </c>
      <c r="C16" s="129" t="s">
        <v>989</v>
      </c>
      <c r="D16" s="129" t="s">
        <v>115</v>
      </c>
      <c r="E16" s="130" t="str">
        <f>"02/18/77"</f>
        <v>02/18/77</v>
      </c>
      <c r="F16" s="130" t="str">
        <f>"04/19/10"</f>
        <v>04/19/10</v>
      </c>
      <c r="G16" s="130" t="s">
        <v>928</v>
      </c>
      <c r="H16" s="130" t="str">
        <f>"09/29/1978"</f>
        <v>09/29/1978</v>
      </c>
    </row>
    <row r="17" spans="1:8" x14ac:dyDescent="0.25">
      <c r="A17" s="2">
        <v>540237</v>
      </c>
      <c r="B17" s="2" t="s">
        <v>285</v>
      </c>
      <c r="C17" s="129" t="s">
        <v>990</v>
      </c>
      <c r="D17" s="129" t="s">
        <v>115</v>
      </c>
      <c r="E17" s="130" t="str">
        <f>"01/10/75"</f>
        <v>01/10/75</v>
      </c>
      <c r="F17" s="130" t="str">
        <f>"04/19/10"</f>
        <v>04/19/10</v>
      </c>
      <c r="G17" s="130" t="str">
        <f>"04/19/2010"</f>
        <v>04/19/2010</v>
      </c>
      <c r="H17" s="130" t="str">
        <f>"09/10/1984"</f>
        <v>09/10/1984</v>
      </c>
    </row>
    <row r="18" spans="1:8" x14ac:dyDescent="0.25">
      <c r="A18" s="2">
        <v>540236</v>
      </c>
      <c r="B18" s="2" t="s">
        <v>284</v>
      </c>
      <c r="C18" s="129" t="s">
        <v>991</v>
      </c>
      <c r="D18" s="129" t="s">
        <v>115</v>
      </c>
      <c r="E18" s="130" t="str">
        <f>"01/07/75"</f>
        <v>01/07/75</v>
      </c>
      <c r="F18" s="130" t="str">
        <f>"04/19/10"</f>
        <v>04/19/10</v>
      </c>
      <c r="G18" s="130" t="str">
        <f>"04/19/2010"</f>
        <v>04/19/2010</v>
      </c>
      <c r="H18" s="130" t="str">
        <f>"09/10/1984"</f>
        <v>09/10/1984</v>
      </c>
    </row>
    <row r="19" spans="1:8" x14ac:dyDescent="0.25">
      <c r="A19" s="1">
        <v>540011</v>
      </c>
      <c r="B19" s="1" t="s">
        <v>10</v>
      </c>
      <c r="C19" s="126" t="s">
        <v>992</v>
      </c>
      <c r="D19" s="126" t="s">
        <v>5</v>
      </c>
      <c r="E19" s="127">
        <v>27355</v>
      </c>
      <c r="F19" s="127">
        <v>30665</v>
      </c>
      <c r="G19" s="128" t="str">
        <f>"04/19/2010"</f>
        <v>04/19/2010</v>
      </c>
      <c r="H19" s="127">
        <v>30665</v>
      </c>
    </row>
    <row r="20" spans="1:8" x14ac:dyDescent="0.25">
      <c r="A20" s="2">
        <v>540093</v>
      </c>
      <c r="B20" s="2" t="s">
        <v>184</v>
      </c>
      <c r="C20" s="129" t="s">
        <v>993</v>
      </c>
      <c r="D20" s="129" t="s">
        <v>115</v>
      </c>
      <c r="E20" s="130"/>
      <c r="F20" s="130" t="str">
        <f>"04/19/10"</f>
        <v>04/19/10</v>
      </c>
      <c r="G20" s="130" t="str">
        <f>"04/19/2010"</f>
        <v>04/19/2010</v>
      </c>
      <c r="H20" s="130" t="str">
        <f>"04/26/1911"</f>
        <v>04/26/1911</v>
      </c>
    </row>
    <row r="21" spans="1:8" x14ac:dyDescent="0.25">
      <c r="A21" s="2">
        <v>540012</v>
      </c>
      <c r="B21" s="2" t="s">
        <v>122</v>
      </c>
      <c r="C21" s="129" t="s">
        <v>994</v>
      </c>
      <c r="D21" s="129" t="s">
        <v>115</v>
      </c>
      <c r="E21" s="130" t="str">
        <f>"02/08/74"</f>
        <v>02/08/74</v>
      </c>
      <c r="F21" s="130" t="str">
        <f>"09/28/79"</f>
        <v>09/28/79</v>
      </c>
      <c r="G21" s="130" t="str">
        <f>"04/19/10(M)"</f>
        <v>04/19/10(M)</v>
      </c>
      <c r="H21" s="130" t="str">
        <f>"09/28/1979"</f>
        <v>09/28/1979</v>
      </c>
    </row>
    <row r="22" spans="1:8" x14ac:dyDescent="0.25">
      <c r="A22" s="2">
        <v>540013</v>
      </c>
      <c r="B22" s="2" t="s">
        <v>123</v>
      </c>
      <c r="C22" s="129" t="s">
        <v>995</v>
      </c>
      <c r="D22" s="129" t="s">
        <v>115</v>
      </c>
      <c r="E22" s="130" t="str">
        <f>"05/24/74"</f>
        <v>05/24/74</v>
      </c>
      <c r="F22" s="130" t="str">
        <f>"09/30/82"</f>
        <v>09/30/82</v>
      </c>
      <c r="G22" s="130" t="str">
        <f>"04/19/2010"</f>
        <v>04/19/2010</v>
      </c>
      <c r="H22" s="130" t="str">
        <f>"09/30/1982"</f>
        <v>09/30/1982</v>
      </c>
    </row>
    <row r="23" spans="1:8" x14ac:dyDescent="0.25">
      <c r="A23" s="2">
        <v>540015</v>
      </c>
      <c r="B23" s="2" t="s">
        <v>125</v>
      </c>
      <c r="C23" s="129" t="s">
        <v>996</v>
      </c>
      <c r="D23" s="129" t="s">
        <v>115</v>
      </c>
      <c r="E23" s="130" t="str">
        <f>"05/17/74"</f>
        <v>05/17/74</v>
      </c>
      <c r="F23" s="131">
        <v>30272</v>
      </c>
      <c r="G23" s="130" t="str">
        <f>"04/19/2010"</f>
        <v>04/19/2010</v>
      </c>
      <c r="H23" s="131">
        <v>30272</v>
      </c>
    </row>
    <row r="24" spans="1:8" x14ac:dyDescent="0.25">
      <c r="A24" s="2">
        <v>540014</v>
      </c>
      <c r="B24" s="2" t="s">
        <v>124</v>
      </c>
      <c r="C24" s="129" t="s">
        <v>997</v>
      </c>
      <c r="D24" s="129" t="s">
        <v>115</v>
      </c>
      <c r="E24" s="130" t="str">
        <f>"01/25/74"</f>
        <v>01/25/74</v>
      </c>
      <c r="F24" s="130" t="str">
        <f>"09/28/79"</f>
        <v>09/28/79</v>
      </c>
      <c r="G24" s="130" t="str">
        <f>"04/19/2010"</f>
        <v>04/19/2010</v>
      </c>
      <c r="H24" s="130" t="str">
        <f>"09/28/1979"</f>
        <v>09/28/1979</v>
      </c>
    </row>
    <row r="25" spans="1:8" x14ac:dyDescent="0.25">
      <c r="A25" s="1">
        <v>540016</v>
      </c>
      <c r="B25" s="1" t="s">
        <v>12</v>
      </c>
      <c r="C25" s="126" t="s">
        <v>998</v>
      </c>
      <c r="D25" s="126" t="s">
        <v>5</v>
      </c>
      <c r="E25" s="128" t="str">
        <f>"04/25/75"</f>
        <v>04/25/75</v>
      </c>
      <c r="F25" s="128" t="str">
        <f>"09/30/87"</f>
        <v>09/30/87</v>
      </c>
      <c r="G25" s="128" t="str">
        <f>"02/19/2014"</f>
        <v>02/19/2014</v>
      </c>
      <c r="H25" s="128" t="str">
        <f>"09/30/1987"</f>
        <v>09/30/1987</v>
      </c>
    </row>
    <row r="26" spans="1:8" x14ac:dyDescent="0.25">
      <c r="A26" s="2">
        <v>540017</v>
      </c>
      <c r="B26" s="2" t="s">
        <v>126</v>
      </c>
      <c r="C26" s="129" t="s">
        <v>999</v>
      </c>
      <c r="D26" s="129" t="s">
        <v>115</v>
      </c>
      <c r="E26" s="130" t="str">
        <f>"05/31/74"</f>
        <v>05/31/74</v>
      </c>
      <c r="F26" s="130" t="str">
        <f>"06/03/88"</f>
        <v>06/03/88</v>
      </c>
      <c r="G26" s="130" t="str">
        <f>"02/19/2014"</f>
        <v>02/19/2014</v>
      </c>
      <c r="H26" s="130" t="str">
        <f>"06/03/1988"</f>
        <v>06/03/1988</v>
      </c>
    </row>
    <row r="27" spans="1:8" x14ac:dyDescent="0.25">
      <c r="A27" s="2">
        <v>540019</v>
      </c>
      <c r="B27" s="2" t="s">
        <v>128</v>
      </c>
      <c r="C27" s="129" t="s">
        <v>1000</v>
      </c>
      <c r="D27" s="129" t="s">
        <v>115</v>
      </c>
      <c r="E27" s="130" t="str">
        <f>"05/31/74"</f>
        <v>05/31/74</v>
      </c>
      <c r="F27" s="130" t="str">
        <f>"09/30/87"</f>
        <v>09/30/87</v>
      </c>
      <c r="G27" s="130" t="str">
        <f>"06/16/2005"</f>
        <v>06/16/2005</v>
      </c>
      <c r="H27" s="130" t="str">
        <f>"09/30/1987"</f>
        <v>09/30/1987</v>
      </c>
    </row>
    <row r="28" spans="1:8" x14ac:dyDescent="0.25">
      <c r="A28" s="1">
        <v>540020</v>
      </c>
      <c r="B28" s="1" t="s">
        <v>14</v>
      </c>
      <c r="C28" s="126" t="s">
        <v>1001</v>
      </c>
      <c r="D28" s="126" t="s">
        <v>5</v>
      </c>
      <c r="E28" s="127">
        <v>27362</v>
      </c>
      <c r="F28" s="128" t="str">
        <f t="shared" ref="F28:F33" si="0">"03/18/91"</f>
        <v>03/18/91</v>
      </c>
      <c r="G28" s="128" t="str">
        <f>"06/18/2010"</f>
        <v>06/18/2010</v>
      </c>
      <c r="H28" s="128" t="str">
        <f t="shared" ref="H28:H33" si="1">"03/18/1991"</f>
        <v>03/18/1991</v>
      </c>
    </row>
    <row r="29" spans="1:8" x14ac:dyDescent="0.25">
      <c r="A29" s="2">
        <v>540021</v>
      </c>
      <c r="B29" s="2" t="s">
        <v>129</v>
      </c>
      <c r="C29" s="129" t="s">
        <v>1002</v>
      </c>
      <c r="D29" s="129" t="s">
        <v>115</v>
      </c>
      <c r="E29" s="130" t="str">
        <f>"03/01/74"</f>
        <v>03/01/74</v>
      </c>
      <c r="F29" s="130" t="str">
        <f t="shared" si="0"/>
        <v>03/18/91</v>
      </c>
      <c r="G29" s="130" t="str">
        <f>"06/18/2010"</f>
        <v>06/18/2010</v>
      </c>
      <c r="H29" s="130" t="str">
        <f t="shared" si="1"/>
        <v>03/18/1991</v>
      </c>
    </row>
    <row r="30" spans="1:8" x14ac:dyDescent="0.25">
      <c r="A30" s="1">
        <v>540022</v>
      </c>
      <c r="B30" s="1" t="s">
        <v>16</v>
      </c>
      <c r="C30" s="126" t="s">
        <v>1003</v>
      </c>
      <c r="D30" s="126" t="s">
        <v>5</v>
      </c>
      <c r="E30" s="128" t="str">
        <f>"01/24/75"</f>
        <v>01/24/75</v>
      </c>
      <c r="F30" s="128" t="str">
        <f t="shared" si="0"/>
        <v>03/18/91</v>
      </c>
      <c r="G30" s="128" t="str">
        <f>"02/06/2013"</f>
        <v>02/06/2013</v>
      </c>
      <c r="H30" s="128" t="str">
        <f t="shared" si="1"/>
        <v>03/18/1991</v>
      </c>
    </row>
    <row r="31" spans="1:8" x14ac:dyDescent="0.25">
      <c r="A31" s="2">
        <v>540023</v>
      </c>
      <c r="B31" s="2" t="s">
        <v>130</v>
      </c>
      <c r="C31" s="129" t="s">
        <v>1004</v>
      </c>
      <c r="D31" s="129" t="s">
        <v>115</v>
      </c>
      <c r="E31" s="131">
        <v>27383</v>
      </c>
      <c r="F31" s="130" t="str">
        <f t="shared" si="0"/>
        <v>03/18/91</v>
      </c>
      <c r="G31" s="130" t="str">
        <f>"02/06/2013"</f>
        <v>02/06/2013</v>
      </c>
      <c r="H31" s="130" t="str">
        <f t="shared" si="1"/>
        <v>03/18/1991</v>
      </c>
    </row>
    <row r="32" spans="1:8" x14ac:dyDescent="0.25">
      <c r="A32" s="1">
        <v>540024</v>
      </c>
      <c r="B32" s="1" t="s">
        <v>18</v>
      </c>
      <c r="C32" s="126" t="s">
        <v>1005</v>
      </c>
      <c r="D32" s="126" t="s">
        <v>5</v>
      </c>
      <c r="E32" s="127">
        <v>27341</v>
      </c>
      <c r="F32" s="128" t="str">
        <f t="shared" si="0"/>
        <v>03/18/91</v>
      </c>
      <c r="G32" s="127">
        <v>40820</v>
      </c>
      <c r="H32" s="128" t="str">
        <f t="shared" si="1"/>
        <v>03/18/1991</v>
      </c>
    </row>
    <row r="33" spans="1:8" x14ac:dyDescent="0.25">
      <c r="A33" s="2">
        <v>540025</v>
      </c>
      <c r="B33" s="2" t="s">
        <v>131</v>
      </c>
      <c r="C33" s="129" t="s">
        <v>1006</v>
      </c>
      <c r="D33" s="129" t="s">
        <v>115</v>
      </c>
      <c r="E33" s="130" t="str">
        <f>"03/29/74"</f>
        <v>03/29/74</v>
      </c>
      <c r="F33" s="130" t="str">
        <f t="shared" si="0"/>
        <v>03/18/91</v>
      </c>
      <c r="G33" s="131">
        <v>40820</v>
      </c>
      <c r="H33" s="130" t="str">
        <f t="shared" si="1"/>
        <v>03/18/1991</v>
      </c>
    </row>
    <row r="34" spans="1:8" x14ac:dyDescent="0.25">
      <c r="A34" s="1">
        <v>540026</v>
      </c>
      <c r="B34" s="1" t="s">
        <v>20</v>
      </c>
      <c r="C34" s="126" t="s">
        <v>1007</v>
      </c>
      <c r="D34" s="126" t="s">
        <v>5</v>
      </c>
      <c r="E34" s="128" t="str">
        <f>"04/11/75"</f>
        <v>04/11/75</v>
      </c>
      <c r="F34" s="128" t="str">
        <f>"03/04/88"</f>
        <v>03/04/88</v>
      </c>
      <c r="G34" s="128" t="str">
        <f>"09/03/2010"</f>
        <v>09/03/2010</v>
      </c>
      <c r="H34" s="128" t="str">
        <f>"03/04/1988"</f>
        <v>03/04/1988</v>
      </c>
    </row>
    <row r="35" spans="1:8" x14ac:dyDescent="0.25">
      <c r="A35" s="2">
        <v>540027</v>
      </c>
      <c r="B35" s="2" t="s">
        <v>132</v>
      </c>
      <c r="C35" s="129" t="s">
        <v>1008</v>
      </c>
      <c r="D35" s="129" t="s">
        <v>115</v>
      </c>
      <c r="E35" s="130" t="str">
        <f>"02/14/75"</f>
        <v>02/14/75</v>
      </c>
      <c r="F35" s="131">
        <v>29889</v>
      </c>
      <c r="G35" s="130" t="str">
        <f>"09/03/10(M)"</f>
        <v>09/03/10(M)</v>
      </c>
      <c r="H35" s="131">
        <v>29889</v>
      </c>
    </row>
    <row r="36" spans="1:8" x14ac:dyDescent="0.25">
      <c r="A36" s="2">
        <v>540293</v>
      </c>
      <c r="B36" s="2" t="s">
        <v>330</v>
      </c>
      <c r="C36" s="129" t="s">
        <v>1009</v>
      </c>
      <c r="D36" s="129" t="s">
        <v>115</v>
      </c>
      <c r="E36" s="130" t="str">
        <f>"04/11/75"</f>
        <v>04/11/75</v>
      </c>
      <c r="F36" s="130" t="str">
        <f>"03/04/88"</f>
        <v>03/04/88</v>
      </c>
      <c r="G36" s="130" t="s">
        <v>928</v>
      </c>
      <c r="H36" s="130" t="str">
        <f>"02/09/1904"</f>
        <v>02/09/1904</v>
      </c>
    </row>
    <row r="37" spans="1:8" x14ac:dyDescent="0.25">
      <c r="A37" s="2">
        <v>540294</v>
      </c>
      <c r="B37" s="2" t="s">
        <v>331</v>
      </c>
      <c r="C37" s="129" t="s">
        <v>1010</v>
      </c>
      <c r="D37" s="129" t="s">
        <v>115</v>
      </c>
      <c r="E37" s="130"/>
      <c r="F37" s="130" t="str">
        <f>"09/18/91"</f>
        <v>09/18/91</v>
      </c>
      <c r="G37" s="130" t="str">
        <f>"09/03/2010"</f>
        <v>09/03/2010</v>
      </c>
      <c r="H37" s="130" t="str">
        <f>"09/18/1991"</f>
        <v>09/18/1991</v>
      </c>
    </row>
    <row r="38" spans="1:8" x14ac:dyDescent="0.25">
      <c r="A38" s="2">
        <v>540028</v>
      </c>
      <c r="B38" s="2" t="s">
        <v>133</v>
      </c>
      <c r="C38" s="129" t="s">
        <v>1011</v>
      </c>
      <c r="D38" s="129" t="s">
        <v>115</v>
      </c>
      <c r="E38" s="131">
        <v>27383</v>
      </c>
      <c r="F38" s="130" t="str">
        <f>"01/02/91"</f>
        <v>01/02/91</v>
      </c>
      <c r="G38" s="130" t="str">
        <f>"09/03/2010"</f>
        <v>09/03/2010</v>
      </c>
      <c r="H38" s="130" t="str">
        <f>"01/02/1991"</f>
        <v>01/02/1991</v>
      </c>
    </row>
    <row r="39" spans="1:8" x14ac:dyDescent="0.25">
      <c r="A39" s="2">
        <v>540280</v>
      </c>
      <c r="B39" s="2" t="s">
        <v>321</v>
      </c>
      <c r="C39" s="129" t="s">
        <v>1012</v>
      </c>
      <c r="D39" s="129" t="s">
        <v>115</v>
      </c>
      <c r="E39" s="130" t="str">
        <f>"09/13/74"</f>
        <v>09/13/74</v>
      </c>
      <c r="F39" s="130" t="str">
        <f>"08/10/79"</f>
        <v>08/10/79</v>
      </c>
      <c r="G39" s="130" t="str">
        <f>"09/03/10(M)"</f>
        <v>09/03/10(M)</v>
      </c>
      <c r="H39" s="130" t="str">
        <f>"08/10/1979"</f>
        <v>08/10/1979</v>
      </c>
    </row>
    <row r="40" spans="1:8" x14ac:dyDescent="0.25">
      <c r="A40" s="2">
        <v>540031</v>
      </c>
      <c r="B40" s="2" t="s">
        <v>136</v>
      </c>
      <c r="C40" s="129" t="s">
        <v>1013</v>
      </c>
      <c r="D40" s="129" t="s">
        <v>115</v>
      </c>
      <c r="E40" s="130" t="str">
        <f>"06/30/74"</f>
        <v>06/30/74</v>
      </c>
      <c r="F40" s="130" t="str">
        <f>"01/18/80"</f>
        <v>01/18/80</v>
      </c>
      <c r="G40" s="130" t="str">
        <f>"09/03/10(M)"</f>
        <v>09/03/10(M)</v>
      </c>
      <c r="H40" s="130" t="str">
        <f>"01/18/1980"</f>
        <v>01/18/1980</v>
      </c>
    </row>
    <row r="41" spans="1:8" x14ac:dyDescent="0.25">
      <c r="A41" s="2">
        <v>540032</v>
      </c>
      <c r="B41" s="2" t="s">
        <v>137</v>
      </c>
      <c r="C41" s="129" t="s">
        <v>1014</v>
      </c>
      <c r="D41" s="129" t="s">
        <v>115</v>
      </c>
      <c r="E41" s="131">
        <v>27383</v>
      </c>
      <c r="F41" s="130" t="str">
        <f>"08/10/79"</f>
        <v>08/10/79</v>
      </c>
      <c r="G41" s="130" t="str">
        <f>"09/03/2010"</f>
        <v>09/03/2010</v>
      </c>
      <c r="H41" s="130" t="str">
        <f>"08/10/1979"</f>
        <v>08/10/1979</v>
      </c>
    </row>
    <row r="42" spans="1:8" x14ac:dyDescent="0.25">
      <c r="A42" s="2">
        <v>540033</v>
      </c>
      <c r="B42" s="2" t="s">
        <v>138</v>
      </c>
      <c r="C42" s="129" t="s">
        <v>1015</v>
      </c>
      <c r="D42" s="129" t="s">
        <v>115</v>
      </c>
      <c r="E42" s="130" t="str">
        <f>"05/17/74"</f>
        <v>05/17/74</v>
      </c>
      <c r="F42" s="130" t="str">
        <f>"04/15/82"</f>
        <v>04/15/82</v>
      </c>
      <c r="G42" s="130" t="str">
        <f>"09/03/2010"</f>
        <v>09/03/2010</v>
      </c>
      <c r="H42" s="130" t="str">
        <f>"04/15/1982"</f>
        <v>04/15/1982</v>
      </c>
    </row>
    <row r="43" spans="1:8" x14ac:dyDescent="0.25">
      <c r="A43" s="1">
        <v>540035</v>
      </c>
      <c r="B43" s="1" t="s">
        <v>22</v>
      </c>
      <c r="C43" s="126" t="s">
        <v>1016</v>
      </c>
      <c r="D43" s="126" t="s">
        <v>5</v>
      </c>
      <c r="E43" s="128" t="str">
        <f>"01/03/75"</f>
        <v>01/03/75</v>
      </c>
      <c r="F43" s="128" t="str">
        <f>"04/16/91"</f>
        <v>04/16/91</v>
      </c>
      <c r="G43" s="128" t="str">
        <f>"06/16/2009"</f>
        <v>06/16/2009</v>
      </c>
      <c r="H43" s="128" t="str">
        <f>"04/16/1991"</f>
        <v>04/16/1991</v>
      </c>
    </row>
    <row r="44" spans="1:8" x14ac:dyDescent="0.25">
      <c r="A44" s="2">
        <v>540036</v>
      </c>
      <c r="B44" s="2" t="s">
        <v>139</v>
      </c>
      <c r="C44" s="129" t="s">
        <v>1017</v>
      </c>
      <c r="D44" s="129" t="s">
        <v>115</v>
      </c>
      <c r="E44" s="130" t="str">
        <f>"04/05/74"</f>
        <v>04/05/74</v>
      </c>
      <c r="F44" s="130" t="str">
        <f>"04/16/91"</f>
        <v>04/16/91</v>
      </c>
      <c r="G44" s="130" t="str">
        <f>"06/16/2009"</f>
        <v>06/16/2009</v>
      </c>
      <c r="H44" s="130" t="str">
        <f>"04/16/1991"</f>
        <v>04/16/1991</v>
      </c>
    </row>
    <row r="45" spans="1:8" x14ac:dyDescent="0.25">
      <c r="A45" s="2">
        <v>540037</v>
      </c>
      <c r="B45" s="2" t="s">
        <v>929</v>
      </c>
      <c r="C45" s="129" t="s">
        <v>1018</v>
      </c>
      <c r="D45" s="129" t="s">
        <v>115</v>
      </c>
      <c r="E45" s="130" t="str">
        <f>"08/09/74"</f>
        <v>08/09/74</v>
      </c>
      <c r="F45" s="130" t="str">
        <f>"04/16/91"</f>
        <v>04/16/91</v>
      </c>
      <c r="G45" s="130" t="str">
        <f>"06/16/2009"</f>
        <v>06/16/2009</v>
      </c>
      <c r="H45" s="130" t="str">
        <f>"04/16/1991"</f>
        <v>04/16/1991</v>
      </c>
    </row>
    <row r="46" spans="1:8" x14ac:dyDescent="0.25">
      <c r="A46" s="1" t="s">
        <v>930</v>
      </c>
      <c r="B46" s="1" t="s">
        <v>24</v>
      </c>
      <c r="C46" s="126" t="s">
        <v>1019</v>
      </c>
      <c r="D46" s="126" t="s">
        <v>5</v>
      </c>
      <c r="E46" s="128" t="str">
        <f>"01/10/75"</f>
        <v>01/10/75</v>
      </c>
      <c r="F46" s="128" t="str">
        <f>"08/01/87"</f>
        <v>08/01/87</v>
      </c>
      <c r="G46" s="128" t="str">
        <f>"02/01/2019"</f>
        <v>02/01/2019</v>
      </c>
      <c r="H46" s="128" t="str">
        <f>"08/01/1987"</f>
        <v>08/01/1987</v>
      </c>
    </row>
    <row r="47" spans="1:8" x14ac:dyDescent="0.25">
      <c r="A47" s="2" t="s">
        <v>931</v>
      </c>
      <c r="B47" s="2" t="s">
        <v>287</v>
      </c>
      <c r="C47" s="129" t="s">
        <v>1020</v>
      </c>
      <c r="D47" s="129" t="s">
        <v>115</v>
      </c>
      <c r="E47" s="131">
        <v>27355</v>
      </c>
      <c r="F47" s="130" t="str">
        <f>"08/10/79"</f>
        <v>08/10/79</v>
      </c>
      <c r="G47" s="130" t="str">
        <f>"02/01/2019"</f>
        <v>02/01/2019</v>
      </c>
      <c r="H47" s="130" t="str">
        <f>"08/10/1979"</f>
        <v>08/10/1979</v>
      </c>
    </row>
    <row r="48" spans="1:8" x14ac:dyDescent="0.25">
      <c r="A48" s="2">
        <v>540039</v>
      </c>
      <c r="B48" s="2" t="s">
        <v>622</v>
      </c>
      <c r="C48" s="129" t="s">
        <v>1021</v>
      </c>
      <c r="D48" s="129" t="s">
        <v>115</v>
      </c>
      <c r="E48" s="130" t="str">
        <f>"05/07/74"</f>
        <v>05/07/74</v>
      </c>
      <c r="F48" s="130" t="str">
        <f>"05/03/90"</f>
        <v>05/03/90</v>
      </c>
      <c r="G48" s="130" t="str">
        <f>"09/02/2009"</f>
        <v>09/02/2009</v>
      </c>
      <c r="H48" s="130" t="str">
        <f>"06/18/1987"</f>
        <v>06/18/1987</v>
      </c>
    </row>
    <row r="49" spans="1:8" x14ac:dyDescent="0.25">
      <c r="A49" s="1">
        <v>540040</v>
      </c>
      <c r="B49" s="1" t="s">
        <v>26</v>
      </c>
      <c r="C49" s="126" t="s">
        <v>1022</v>
      </c>
      <c r="D49" s="126" t="s">
        <v>5</v>
      </c>
      <c r="E49" s="128" t="str">
        <f>"07/18/75"</f>
        <v>07/18/75</v>
      </c>
      <c r="F49" s="128" t="str">
        <f>"01/15/88"</f>
        <v>01/15/88</v>
      </c>
      <c r="G49" s="127">
        <v>41198</v>
      </c>
      <c r="H49" s="128" t="str">
        <f>"01/15/1988"</f>
        <v>01/15/1988</v>
      </c>
    </row>
    <row r="50" spans="1:8" x14ac:dyDescent="0.25">
      <c r="A50" s="2">
        <v>540243</v>
      </c>
      <c r="B50" s="2" t="s">
        <v>932</v>
      </c>
      <c r="C50" s="129" t="s">
        <v>1023</v>
      </c>
      <c r="D50" s="129" t="s">
        <v>115</v>
      </c>
      <c r="E50" s="131">
        <v>27348</v>
      </c>
      <c r="F50" s="130" t="str">
        <f>"09/24/84"</f>
        <v>09/24/84</v>
      </c>
      <c r="G50" s="130" t="s">
        <v>933</v>
      </c>
      <c r="H50" s="130" t="str">
        <f>"09/24/1984"</f>
        <v>09/24/1984</v>
      </c>
    </row>
    <row r="51" spans="1:8" x14ac:dyDescent="0.25">
      <c r="A51" s="2">
        <v>540281</v>
      </c>
      <c r="B51" s="2" t="s">
        <v>322</v>
      </c>
      <c r="C51" s="129" t="s">
        <v>1024</v>
      </c>
      <c r="D51" s="129" t="s">
        <v>115</v>
      </c>
      <c r="E51" s="130" t="str">
        <f>"03/25/77"</f>
        <v>03/25/77</v>
      </c>
      <c r="F51" s="131">
        <v>41198</v>
      </c>
      <c r="G51" s="130" t="s">
        <v>928</v>
      </c>
      <c r="H51" s="130" t="str">
        <f>"09/29/1978"</f>
        <v>09/29/1978</v>
      </c>
    </row>
    <row r="52" spans="1:8" x14ac:dyDescent="0.25">
      <c r="A52" s="2">
        <v>540244</v>
      </c>
      <c r="B52" s="2" t="s">
        <v>291</v>
      </c>
      <c r="C52" s="129" t="s">
        <v>1025</v>
      </c>
      <c r="D52" s="129" t="s">
        <v>115</v>
      </c>
      <c r="E52" s="131">
        <v>27348</v>
      </c>
      <c r="F52" s="130" t="str">
        <f>"02/27/81"</f>
        <v>02/27/81</v>
      </c>
      <c r="G52" s="130" t="s">
        <v>928</v>
      </c>
      <c r="H52" s="130" t="str">
        <f>"02/27/1981"</f>
        <v>02/27/1981</v>
      </c>
    </row>
    <row r="53" spans="1:8" x14ac:dyDescent="0.25">
      <c r="A53" s="2">
        <v>540228</v>
      </c>
      <c r="B53" s="2" t="s">
        <v>278</v>
      </c>
      <c r="C53" s="129" t="s">
        <v>1026</v>
      </c>
      <c r="D53" s="129" t="s">
        <v>115</v>
      </c>
      <c r="E53" s="130" t="str">
        <f>"02/11/77"</f>
        <v>02/11/77</v>
      </c>
      <c r="F53" s="131">
        <v>32100</v>
      </c>
      <c r="G53" s="131">
        <v>41198</v>
      </c>
      <c r="H53" s="131">
        <v>32100</v>
      </c>
    </row>
    <row r="54" spans="1:8" x14ac:dyDescent="0.25">
      <c r="A54" s="2">
        <v>540043</v>
      </c>
      <c r="B54" s="2" t="s">
        <v>144</v>
      </c>
      <c r="C54" s="129" t="s">
        <v>1027</v>
      </c>
      <c r="D54" s="129" t="s">
        <v>115</v>
      </c>
      <c r="E54" s="130" t="str">
        <f>"02/14/75"</f>
        <v>02/14/75</v>
      </c>
      <c r="F54" s="130" t="str">
        <f>"05/17/90"</f>
        <v>05/17/90</v>
      </c>
      <c r="G54" s="131">
        <v>41198</v>
      </c>
      <c r="H54" s="130" t="str">
        <f>"05/17/1990"</f>
        <v>05/17/1990</v>
      </c>
    </row>
    <row r="55" spans="1:8" x14ac:dyDescent="0.25">
      <c r="A55" s="2">
        <v>540044</v>
      </c>
      <c r="B55" s="2" t="s">
        <v>145</v>
      </c>
      <c r="C55" s="129" t="s">
        <v>1028</v>
      </c>
      <c r="D55" s="129" t="s">
        <v>115</v>
      </c>
      <c r="E55" s="130" t="str">
        <f>"06/21/74"</f>
        <v>06/21/74</v>
      </c>
      <c r="F55" s="130" t="str">
        <f>"08/24/84"</f>
        <v>08/24/84</v>
      </c>
      <c r="G55" s="130" t="s">
        <v>933</v>
      </c>
      <c r="H55" s="130" t="str">
        <f>"08/24/1984"</f>
        <v>08/24/1984</v>
      </c>
    </row>
    <row r="56" spans="1:8" x14ac:dyDescent="0.25">
      <c r="A56" s="2">
        <v>540045</v>
      </c>
      <c r="B56" s="2" t="s">
        <v>146</v>
      </c>
      <c r="C56" s="129" t="s">
        <v>1029</v>
      </c>
      <c r="D56" s="129" t="s">
        <v>115</v>
      </c>
      <c r="E56" s="130" t="str">
        <f>"05/31/74"</f>
        <v>05/31/74</v>
      </c>
      <c r="F56" s="130" t="str">
        <f>"08/01/78"</f>
        <v>08/01/78</v>
      </c>
      <c r="G56" s="131">
        <v>41198</v>
      </c>
      <c r="H56" s="130" t="str">
        <f>"08/01/1978"</f>
        <v>08/01/1978</v>
      </c>
    </row>
    <row r="57" spans="1:8" x14ac:dyDescent="0.25">
      <c r="A57" s="1">
        <v>540226</v>
      </c>
      <c r="B57" s="1" t="s">
        <v>100</v>
      </c>
      <c r="C57" s="126" t="s">
        <v>1030</v>
      </c>
      <c r="D57" s="126" t="s">
        <v>5</v>
      </c>
      <c r="E57" s="128" t="str">
        <f>"01/31/75"</f>
        <v>01/31/75</v>
      </c>
      <c r="F57" s="128" t="str">
        <f>"08/01/87"</f>
        <v>08/01/87</v>
      </c>
      <c r="G57" s="127">
        <v>37567</v>
      </c>
      <c r="H57" s="128" t="str">
        <f>"08/01/1987"</f>
        <v>08/01/1987</v>
      </c>
    </row>
    <row r="58" spans="1:8" x14ac:dyDescent="0.25">
      <c r="A58" s="2">
        <v>540046</v>
      </c>
      <c r="B58" s="2" t="s">
        <v>147</v>
      </c>
      <c r="C58" s="129" t="s">
        <v>1031</v>
      </c>
      <c r="D58" s="129" t="s">
        <v>115</v>
      </c>
      <c r="E58" s="130" t="str">
        <f>"08/16/74"</f>
        <v>08/16/74</v>
      </c>
      <c r="F58" s="130" t="str">
        <f>"04/01/88"</f>
        <v>04/01/88</v>
      </c>
      <c r="G58" s="131">
        <v>37567</v>
      </c>
      <c r="H58" s="130" t="str">
        <f>"04/01/1988"</f>
        <v>04/01/1988</v>
      </c>
    </row>
    <row r="59" spans="1:8" x14ac:dyDescent="0.25">
      <c r="A59" s="2">
        <v>540276</v>
      </c>
      <c r="B59" s="2" t="s">
        <v>319</v>
      </c>
      <c r="C59" s="129" t="s">
        <v>1032</v>
      </c>
      <c r="D59" s="129" t="s">
        <v>115</v>
      </c>
      <c r="E59" s="130" t="str">
        <f>"05/06/77"</f>
        <v>05/06/77</v>
      </c>
      <c r="F59" s="130" t="str">
        <f>"06/15/88"</f>
        <v>06/15/88</v>
      </c>
      <c r="G59" s="131">
        <v>37567</v>
      </c>
      <c r="H59" s="130" t="str">
        <f>"06/15/1988"</f>
        <v>06/15/1988</v>
      </c>
    </row>
    <row r="60" spans="1:8" x14ac:dyDescent="0.25">
      <c r="A60" s="1">
        <v>540047</v>
      </c>
      <c r="B60" s="1" t="s">
        <v>28</v>
      </c>
      <c r="C60" s="126" t="s">
        <v>1033</v>
      </c>
      <c r="D60" s="126" t="s">
        <v>5</v>
      </c>
      <c r="E60" s="128" t="str">
        <f>"08/02/74"</f>
        <v>08/02/74</v>
      </c>
      <c r="F60" s="128" t="str">
        <f>"06/15/84"</f>
        <v>06/15/84</v>
      </c>
      <c r="G60" s="128" t="str">
        <f>"04/19/2010"</f>
        <v>04/19/2010</v>
      </c>
      <c r="H60" s="128" t="str">
        <f>"06/15/1984"</f>
        <v>06/15/1984</v>
      </c>
    </row>
    <row r="61" spans="1:8" x14ac:dyDescent="0.25">
      <c r="A61" s="2">
        <v>540048</v>
      </c>
      <c r="B61" s="2" t="s">
        <v>148</v>
      </c>
      <c r="C61" s="129" t="s">
        <v>1034</v>
      </c>
      <c r="D61" s="129" t="s">
        <v>115</v>
      </c>
      <c r="E61" s="130" t="str">
        <f>"06/07/74"</f>
        <v>06/07/74</v>
      </c>
      <c r="F61" s="131">
        <v>30286</v>
      </c>
      <c r="G61" s="130" t="str">
        <f>"04/19/2010"</f>
        <v>04/19/2010</v>
      </c>
      <c r="H61" s="131">
        <v>30286</v>
      </c>
    </row>
    <row r="62" spans="1:8" x14ac:dyDescent="0.25">
      <c r="A62" s="2">
        <v>540049</v>
      </c>
      <c r="B62" s="2" t="s">
        <v>149</v>
      </c>
      <c r="C62" s="129" t="s">
        <v>1035</v>
      </c>
      <c r="D62" s="129" t="s">
        <v>115</v>
      </c>
      <c r="E62" s="130" t="str">
        <f>"03/29/74"</f>
        <v>03/29/74</v>
      </c>
      <c r="F62" s="130" t="str">
        <f>"05/15/80"</f>
        <v>05/15/80</v>
      </c>
      <c r="G62" s="130" t="str">
        <f>"04/19/2010"</f>
        <v>04/19/2010</v>
      </c>
      <c r="H62" s="130" t="str">
        <f>"05/15/1980"</f>
        <v>05/15/1980</v>
      </c>
    </row>
    <row r="63" spans="1:8" x14ac:dyDescent="0.25">
      <c r="A63" s="1">
        <v>540051</v>
      </c>
      <c r="B63" s="1" t="s">
        <v>30</v>
      </c>
      <c r="C63" s="126" t="s">
        <v>1036</v>
      </c>
      <c r="D63" s="126" t="s">
        <v>5</v>
      </c>
      <c r="E63" s="128" t="str">
        <f>"04/25/75"</f>
        <v>04/25/75</v>
      </c>
      <c r="F63" s="128" t="str">
        <f>"06/19/85"</f>
        <v>06/19/85</v>
      </c>
      <c r="G63" s="128" t="str">
        <f>"09/02/2009"</f>
        <v>09/02/2009</v>
      </c>
      <c r="H63" s="128" t="str">
        <f>"06/19/1985"</f>
        <v>06/19/1985</v>
      </c>
    </row>
    <row r="64" spans="1:8" x14ac:dyDescent="0.25">
      <c r="A64" s="2">
        <v>540052</v>
      </c>
      <c r="B64" s="2" t="s">
        <v>151</v>
      </c>
      <c r="C64" s="129" t="s">
        <v>1037</v>
      </c>
      <c r="D64" s="129" t="s">
        <v>115</v>
      </c>
      <c r="E64" s="130" t="str">
        <f>"05/31/74"</f>
        <v>05/31/74</v>
      </c>
      <c r="F64" s="131">
        <v>33222</v>
      </c>
      <c r="G64" s="130" t="str">
        <f>"09/02/2009"</f>
        <v>09/02/2009</v>
      </c>
      <c r="H64" s="130" t="str">
        <f>"07/01/1987"</f>
        <v>07/01/1987</v>
      </c>
    </row>
    <row r="65" spans="1:8" x14ac:dyDescent="0.25">
      <c r="A65" s="2">
        <v>540245</v>
      </c>
      <c r="B65" s="2" t="s">
        <v>292</v>
      </c>
      <c r="C65" s="129" t="s">
        <v>1038</v>
      </c>
      <c r="D65" s="129" t="s">
        <v>115</v>
      </c>
      <c r="E65" s="131">
        <v>27348</v>
      </c>
      <c r="F65" s="130" t="str">
        <f>"08/01/87"</f>
        <v>08/01/87</v>
      </c>
      <c r="G65" s="130" t="str">
        <f>"09/02/09(M)"</f>
        <v>09/02/09(M)</v>
      </c>
      <c r="H65" s="130" t="str">
        <f>"08/01/1987"</f>
        <v>08/01/1987</v>
      </c>
    </row>
    <row r="66" spans="1:8" x14ac:dyDescent="0.25">
      <c r="A66" s="1">
        <v>540053</v>
      </c>
      <c r="B66" s="1" t="s">
        <v>32</v>
      </c>
      <c r="C66" s="126" t="s">
        <v>1039</v>
      </c>
      <c r="D66" s="126" t="s">
        <v>5</v>
      </c>
      <c r="E66" s="128" t="str">
        <f>"07/11/75"</f>
        <v>07/11/75</v>
      </c>
      <c r="F66" s="128" t="str">
        <f>"07/04/88"</f>
        <v>07/04/88</v>
      </c>
      <c r="G66" s="127">
        <v>41184</v>
      </c>
      <c r="H66" s="128" t="str">
        <f>"07/04/1988"</f>
        <v>07/04/1988</v>
      </c>
    </row>
    <row r="67" spans="1:8" x14ac:dyDescent="0.25">
      <c r="A67" s="2">
        <v>540054</v>
      </c>
      <c r="B67" s="2" t="s">
        <v>152</v>
      </c>
      <c r="C67" s="129" t="s">
        <v>1040</v>
      </c>
      <c r="D67" s="129" t="s">
        <v>115</v>
      </c>
      <c r="E67" s="130" t="str">
        <f>"07/26/74"</f>
        <v>07/26/74</v>
      </c>
      <c r="F67" s="130" t="str">
        <f>"09/03/80"</f>
        <v>09/03/80</v>
      </c>
      <c r="G67" s="131">
        <v>41184</v>
      </c>
      <c r="H67" s="130" t="str">
        <f>"09/03/1980"</f>
        <v>09/03/1980</v>
      </c>
    </row>
    <row r="68" spans="1:8" x14ac:dyDescent="0.25">
      <c r="A68" s="2">
        <v>540055</v>
      </c>
      <c r="B68" s="2" t="s">
        <v>153</v>
      </c>
      <c r="C68" s="129" t="s">
        <v>1041</v>
      </c>
      <c r="D68" s="129" t="s">
        <v>115</v>
      </c>
      <c r="E68" s="130" t="str">
        <f>"07/19/74"</f>
        <v>07/19/74</v>
      </c>
      <c r="F68" s="130" t="str">
        <f>"03/04/88"</f>
        <v>03/04/88</v>
      </c>
      <c r="G68" s="131">
        <v>41184</v>
      </c>
      <c r="H68" s="130" t="str">
        <f>"03/04/1988"</f>
        <v>03/04/1988</v>
      </c>
    </row>
    <row r="69" spans="1:8" x14ac:dyDescent="0.25">
      <c r="A69" s="2">
        <v>540056</v>
      </c>
      <c r="B69" s="2" t="s">
        <v>154</v>
      </c>
      <c r="C69" s="129" t="s">
        <v>1042</v>
      </c>
      <c r="D69" s="129" t="s">
        <v>115</v>
      </c>
      <c r="E69" s="131">
        <v>27026</v>
      </c>
      <c r="F69" s="130" t="str">
        <f>"02/15/78"</f>
        <v>02/15/78</v>
      </c>
      <c r="G69" s="131">
        <v>41184</v>
      </c>
      <c r="H69" s="130" t="str">
        <f>"02/15/1978"</f>
        <v>02/15/1978</v>
      </c>
    </row>
    <row r="70" spans="1:8" x14ac:dyDescent="0.25">
      <c r="A70" s="2">
        <v>540057</v>
      </c>
      <c r="B70" s="2" t="s">
        <v>155</v>
      </c>
      <c r="C70" s="129" t="s">
        <v>1043</v>
      </c>
      <c r="D70" s="129" t="s">
        <v>115</v>
      </c>
      <c r="E70" s="130" t="str">
        <f>"05/31/74"</f>
        <v>05/31/74</v>
      </c>
      <c r="F70" s="130" t="str">
        <f>"03/04/88"</f>
        <v>03/04/88</v>
      </c>
      <c r="G70" s="131">
        <v>41184</v>
      </c>
      <c r="H70" s="130" t="str">
        <f>"03/04/1988"</f>
        <v>03/04/1988</v>
      </c>
    </row>
    <row r="71" spans="1:8" x14ac:dyDescent="0.25">
      <c r="A71" s="2">
        <v>540058</v>
      </c>
      <c r="B71" s="2" t="s">
        <v>156</v>
      </c>
      <c r="C71" s="129" t="s">
        <v>1044</v>
      </c>
      <c r="D71" s="129" t="s">
        <v>115</v>
      </c>
      <c r="E71" s="130" t="str">
        <f>"03/08/74"</f>
        <v>03/08/74</v>
      </c>
      <c r="F71" s="130" t="str">
        <f>"03/04/88"</f>
        <v>03/04/88</v>
      </c>
      <c r="G71" s="131">
        <v>41184</v>
      </c>
      <c r="H71" s="130" t="str">
        <f>"03/04/1988"</f>
        <v>03/04/1988</v>
      </c>
    </row>
    <row r="72" spans="1:8" x14ac:dyDescent="0.25">
      <c r="A72" s="2">
        <v>540059</v>
      </c>
      <c r="B72" s="2" t="s">
        <v>157</v>
      </c>
      <c r="C72" s="129" t="s">
        <v>1045</v>
      </c>
      <c r="D72" s="129" t="s">
        <v>115</v>
      </c>
      <c r="E72" s="130" t="str">
        <f>"03/15/74"</f>
        <v>03/15/74</v>
      </c>
      <c r="F72" s="130" t="str">
        <f>"09/17/80"</f>
        <v>09/17/80</v>
      </c>
      <c r="G72" s="131">
        <v>41184</v>
      </c>
      <c r="H72" s="130" t="str">
        <f>"09/17/1980"</f>
        <v>09/17/1980</v>
      </c>
    </row>
    <row r="73" spans="1:8" x14ac:dyDescent="0.25">
      <c r="A73" s="2">
        <v>540242</v>
      </c>
      <c r="B73" s="2" t="s">
        <v>289</v>
      </c>
      <c r="C73" s="129" t="s">
        <v>1046</v>
      </c>
      <c r="D73" s="129" t="s">
        <v>115</v>
      </c>
      <c r="E73" s="131">
        <v>27348</v>
      </c>
      <c r="F73" s="131">
        <v>31385</v>
      </c>
      <c r="G73" s="130" t="s">
        <v>934</v>
      </c>
      <c r="H73" s="131">
        <v>31385</v>
      </c>
    </row>
    <row r="74" spans="1:8" x14ac:dyDescent="0.25">
      <c r="A74" s="2">
        <v>540060</v>
      </c>
      <c r="B74" s="2" t="s">
        <v>158</v>
      </c>
      <c r="C74" s="129" t="s">
        <v>1047</v>
      </c>
      <c r="D74" s="129" t="s">
        <v>115</v>
      </c>
      <c r="E74" s="130" t="str">
        <f>"04/05/74"</f>
        <v>04/05/74</v>
      </c>
      <c r="F74" s="130" t="str">
        <f>"03/16/88"</f>
        <v>03/16/88</v>
      </c>
      <c r="G74" s="131">
        <v>41184</v>
      </c>
      <c r="H74" s="130" t="str">
        <f>"03/16/1988"</f>
        <v>03/16/1988</v>
      </c>
    </row>
    <row r="75" spans="1:8" x14ac:dyDescent="0.25">
      <c r="A75" s="2">
        <v>540061</v>
      </c>
      <c r="B75" s="2" t="s">
        <v>159</v>
      </c>
      <c r="C75" s="129" t="s">
        <v>1048</v>
      </c>
      <c r="D75" s="129" t="s">
        <v>115</v>
      </c>
      <c r="E75" s="130" t="str">
        <f>"03/01/74"</f>
        <v>03/01/74</v>
      </c>
      <c r="F75" s="130" t="str">
        <f>"09/05/79"</f>
        <v>09/05/79</v>
      </c>
      <c r="G75" s="131">
        <v>41184</v>
      </c>
      <c r="H75" s="130" t="str">
        <f>"09/05/1979"</f>
        <v>09/05/1979</v>
      </c>
    </row>
    <row r="76" spans="1:8" x14ac:dyDescent="0.25">
      <c r="A76" s="2">
        <v>540062</v>
      </c>
      <c r="B76" s="2" t="s">
        <v>160</v>
      </c>
      <c r="C76" s="129" t="s">
        <v>1049</v>
      </c>
      <c r="D76" s="129" t="s">
        <v>115</v>
      </c>
      <c r="E76" s="130" t="str">
        <f>"08/09/74"</f>
        <v>08/09/74</v>
      </c>
      <c r="F76" s="130" t="str">
        <f>"04/01/88"</f>
        <v>04/01/88</v>
      </c>
      <c r="G76" s="131">
        <v>41184</v>
      </c>
      <c r="H76" s="130" t="str">
        <f>"04/01/1988"</f>
        <v>04/01/1988</v>
      </c>
    </row>
    <row r="77" spans="1:8" x14ac:dyDescent="0.25">
      <c r="A77" s="1">
        <v>540063</v>
      </c>
      <c r="B77" s="1" t="s">
        <v>34</v>
      </c>
      <c r="C77" s="126" t="s">
        <v>1050</v>
      </c>
      <c r="D77" s="126" t="s">
        <v>5</v>
      </c>
      <c r="E77" s="128" t="str">
        <f>"01/17/75"</f>
        <v>01/17/75</v>
      </c>
      <c r="F77" s="128" t="str">
        <f>"05/01/85"</f>
        <v>05/01/85</v>
      </c>
      <c r="G77" s="128" t="str">
        <f>"02/18/2004"</f>
        <v>02/18/2004</v>
      </c>
      <c r="H77" s="128" t="str">
        <f>"05/01/1985"</f>
        <v>05/01/1985</v>
      </c>
    </row>
    <row r="78" spans="1:8" x14ac:dyDescent="0.25">
      <c r="A78" s="2">
        <v>540241</v>
      </c>
      <c r="B78" s="2" t="s">
        <v>288</v>
      </c>
      <c r="C78" s="129" t="s">
        <v>1051</v>
      </c>
      <c r="D78" s="129" t="s">
        <v>115</v>
      </c>
      <c r="E78" s="131">
        <v>27348</v>
      </c>
      <c r="F78" s="130" t="str">
        <f>"03/18/91"</f>
        <v>03/18/91</v>
      </c>
      <c r="G78" s="130" t="str">
        <f>"02/18/2004"</f>
        <v>02/18/2004</v>
      </c>
      <c r="H78" s="130" t="str">
        <f>"03/18/1991"</f>
        <v>03/18/1991</v>
      </c>
    </row>
    <row r="79" spans="1:8" x14ac:dyDescent="0.25">
      <c r="A79" s="2">
        <v>540064</v>
      </c>
      <c r="B79" s="2" t="s">
        <v>161</v>
      </c>
      <c r="C79" s="129" t="s">
        <v>1052</v>
      </c>
      <c r="D79" s="129" t="s">
        <v>115</v>
      </c>
      <c r="E79" s="130" t="str">
        <f>"05/17/74"</f>
        <v>05/17/74</v>
      </c>
      <c r="F79" s="130" t="str">
        <f>"09/01/77"</f>
        <v>09/01/77</v>
      </c>
      <c r="G79" s="130" t="str">
        <f>"02/18/2004"</f>
        <v>02/18/2004</v>
      </c>
      <c r="H79" s="130" t="str">
        <f>"09/01/1977"</f>
        <v>09/01/1977</v>
      </c>
    </row>
    <row r="80" spans="1:8" x14ac:dyDescent="0.25">
      <c r="A80" s="1">
        <v>540065</v>
      </c>
      <c r="B80" s="1" t="s">
        <v>36</v>
      </c>
      <c r="C80" s="126" t="s">
        <v>1053</v>
      </c>
      <c r="D80" s="126" t="s">
        <v>5</v>
      </c>
      <c r="E80" s="127">
        <v>27383</v>
      </c>
      <c r="F80" s="127">
        <v>29509</v>
      </c>
      <c r="G80" s="127">
        <v>40165</v>
      </c>
      <c r="H80" s="127">
        <v>29509</v>
      </c>
    </row>
    <row r="81" spans="1:8" x14ac:dyDescent="0.25">
      <c r="A81" s="2">
        <v>540030</v>
      </c>
      <c r="B81" s="2" t="s">
        <v>135</v>
      </c>
      <c r="C81" s="129" t="s">
        <v>1054</v>
      </c>
      <c r="D81" s="129" t="s">
        <v>115</v>
      </c>
      <c r="E81" s="130"/>
      <c r="F81" s="131">
        <v>40165</v>
      </c>
      <c r="G81" s="130" t="s">
        <v>935</v>
      </c>
      <c r="H81" s="130" t="str">
        <f>"07/07/1910"</f>
        <v>07/07/1910</v>
      </c>
    </row>
    <row r="82" spans="1:8" x14ac:dyDescent="0.25">
      <c r="A82" s="2">
        <v>540066</v>
      </c>
      <c r="B82" s="2" t="s">
        <v>162</v>
      </c>
      <c r="C82" s="129" t="s">
        <v>1055</v>
      </c>
      <c r="D82" s="129" t="s">
        <v>115</v>
      </c>
      <c r="E82" s="130" t="str">
        <f>"02/01/74"</f>
        <v>02/01/74</v>
      </c>
      <c r="F82" s="131">
        <v>29193</v>
      </c>
      <c r="G82" s="131">
        <v>40165</v>
      </c>
      <c r="H82" s="131">
        <v>29193</v>
      </c>
    </row>
    <row r="83" spans="1:8" x14ac:dyDescent="0.25">
      <c r="A83" s="2">
        <v>540067</v>
      </c>
      <c r="B83" s="2" t="s">
        <v>163</v>
      </c>
      <c r="C83" s="129" t="s">
        <v>1056</v>
      </c>
      <c r="D83" s="129" t="s">
        <v>115</v>
      </c>
      <c r="E83" s="130" t="str">
        <f>"02/27/76"</f>
        <v>02/27/76</v>
      </c>
      <c r="F83" s="130" t="str">
        <f>"08/24/84"</f>
        <v>08/24/84</v>
      </c>
      <c r="G83" s="130" t="s">
        <v>935</v>
      </c>
      <c r="H83" s="130" t="str">
        <f>"08/24/1984"</f>
        <v>08/24/1984</v>
      </c>
    </row>
    <row r="84" spans="1:8" x14ac:dyDescent="0.25">
      <c r="A84" s="2">
        <v>540068</v>
      </c>
      <c r="B84" s="2" t="s">
        <v>164</v>
      </c>
      <c r="C84" s="129" t="s">
        <v>1057</v>
      </c>
      <c r="D84" s="129" t="s">
        <v>115</v>
      </c>
      <c r="E84" s="130" t="str">
        <f>"05/03/74"</f>
        <v>05/03/74</v>
      </c>
      <c r="F84" s="130" t="str">
        <f>"06/15/79"</f>
        <v>06/15/79</v>
      </c>
      <c r="G84" s="131">
        <v>40165</v>
      </c>
      <c r="H84" s="130" t="str">
        <f>"06/15/1979"</f>
        <v>06/15/1979</v>
      </c>
    </row>
    <row r="85" spans="1:8" x14ac:dyDescent="0.25">
      <c r="A85" s="2">
        <v>540069</v>
      </c>
      <c r="B85" s="2" t="s">
        <v>165</v>
      </c>
      <c r="C85" s="129" t="s">
        <v>1058</v>
      </c>
      <c r="D85" s="129" t="s">
        <v>115</v>
      </c>
      <c r="E85" s="130" t="str">
        <f>"02/01/74"</f>
        <v>02/01/74</v>
      </c>
      <c r="F85" s="130" t="str">
        <f>"03/18/80"</f>
        <v>03/18/80</v>
      </c>
      <c r="G85" s="131">
        <v>40165</v>
      </c>
      <c r="H85" s="130" t="str">
        <f>"03/18/1980"</f>
        <v>03/18/1980</v>
      </c>
    </row>
    <row r="86" spans="1:8" x14ac:dyDescent="0.25">
      <c r="A86" s="1">
        <v>540070</v>
      </c>
      <c r="B86" s="1" t="s">
        <v>38</v>
      </c>
      <c r="C86" s="126" t="s">
        <v>1059</v>
      </c>
      <c r="D86" s="126" t="s">
        <v>5</v>
      </c>
      <c r="E86" s="128" t="str">
        <f>"04/25/75"</f>
        <v>04/25/75</v>
      </c>
      <c r="F86" s="128" t="str">
        <f>"03/18/85"</f>
        <v>03/18/85</v>
      </c>
      <c r="G86" s="128" t="str">
        <f t="shared" ref="G86:G99" si="2">"02/06/2008"</f>
        <v>02/06/2008</v>
      </c>
      <c r="H86" s="128" t="str">
        <f>"03/18/1985"</f>
        <v>03/18/1985</v>
      </c>
    </row>
    <row r="87" spans="1:8" x14ac:dyDescent="0.25">
      <c r="A87" s="2">
        <v>540071</v>
      </c>
      <c r="B87" s="2" t="s">
        <v>166</v>
      </c>
      <c r="C87" s="129" t="s">
        <v>1060</v>
      </c>
      <c r="D87" s="129" t="s">
        <v>115</v>
      </c>
      <c r="E87" s="131">
        <v>27698</v>
      </c>
      <c r="F87" s="130" t="str">
        <f>"04/15/82"</f>
        <v>04/15/82</v>
      </c>
      <c r="G87" s="130" t="str">
        <f t="shared" si="2"/>
        <v>02/06/2008</v>
      </c>
      <c r="H87" s="130" t="str">
        <f>"04/15/1982"</f>
        <v>04/15/1982</v>
      </c>
    </row>
    <row r="88" spans="1:8" x14ac:dyDescent="0.25">
      <c r="A88" s="2">
        <v>540072</v>
      </c>
      <c r="B88" s="2" t="s">
        <v>167</v>
      </c>
      <c r="C88" s="129" t="s">
        <v>1061</v>
      </c>
      <c r="D88" s="129" t="s">
        <v>115</v>
      </c>
      <c r="E88" s="130" t="str">
        <f>"03/08/74"</f>
        <v>03/08/74</v>
      </c>
      <c r="F88" s="130" t="str">
        <f>"06/01/82"</f>
        <v>06/01/82</v>
      </c>
      <c r="G88" s="130" t="str">
        <f t="shared" si="2"/>
        <v>02/06/2008</v>
      </c>
      <c r="H88" s="130" t="str">
        <f>"06/01/1982"</f>
        <v>06/01/1982</v>
      </c>
    </row>
    <row r="89" spans="1:8" x14ac:dyDescent="0.25">
      <c r="A89" s="2">
        <v>540073</v>
      </c>
      <c r="B89" s="2" t="s">
        <v>168</v>
      </c>
      <c r="C89" s="129" t="s">
        <v>1062</v>
      </c>
      <c r="D89" s="129" t="s">
        <v>115</v>
      </c>
      <c r="E89" s="130" t="str">
        <f>"05/10/74"</f>
        <v>05/10/74</v>
      </c>
      <c r="F89" s="130" t="str">
        <f>"06/15/83"</f>
        <v>06/15/83</v>
      </c>
      <c r="G89" s="130" t="str">
        <f t="shared" si="2"/>
        <v>02/06/2008</v>
      </c>
      <c r="H89" s="130" t="str">
        <f>"06/15/1983"</f>
        <v>06/15/1983</v>
      </c>
    </row>
    <row r="90" spans="1:8" x14ac:dyDescent="0.25">
      <c r="A90" s="2">
        <v>540074</v>
      </c>
      <c r="B90" s="2" t="s">
        <v>169</v>
      </c>
      <c r="C90" s="129" t="s">
        <v>1063</v>
      </c>
      <c r="D90" s="129" t="s">
        <v>115</v>
      </c>
      <c r="E90" s="130" t="str">
        <f>"03/15/74"</f>
        <v>03/15/74</v>
      </c>
      <c r="F90" s="130" t="str">
        <f>"06/01/82"</f>
        <v>06/01/82</v>
      </c>
      <c r="G90" s="130" t="str">
        <f t="shared" si="2"/>
        <v>02/06/2008</v>
      </c>
      <c r="H90" s="130" t="str">
        <f>"06/01/1982"</f>
        <v>06/01/1982</v>
      </c>
    </row>
    <row r="91" spans="1:8" x14ac:dyDescent="0.25">
      <c r="A91" s="2">
        <v>540075</v>
      </c>
      <c r="B91" s="2" t="s">
        <v>170</v>
      </c>
      <c r="C91" s="129" t="s">
        <v>1064</v>
      </c>
      <c r="D91" s="129" t="s">
        <v>115</v>
      </c>
      <c r="E91" s="130" t="str">
        <f>"06/11/76"</f>
        <v>06/11/76</v>
      </c>
      <c r="F91" s="130" t="str">
        <f>"07/16/84"</f>
        <v>07/16/84</v>
      </c>
      <c r="G91" s="130" t="str">
        <f t="shared" si="2"/>
        <v>02/06/2008</v>
      </c>
      <c r="H91" s="130" t="str">
        <f>"07/16/1984"</f>
        <v>07/16/1984</v>
      </c>
    </row>
    <row r="92" spans="1:8" x14ac:dyDescent="0.25">
      <c r="A92" s="2">
        <v>540076</v>
      </c>
      <c r="B92" s="2" t="s">
        <v>171</v>
      </c>
      <c r="C92" s="129" t="s">
        <v>1065</v>
      </c>
      <c r="D92" s="129" t="s">
        <v>115</v>
      </c>
      <c r="E92" s="130" t="str">
        <f>"03/01/74"</f>
        <v>03/01/74</v>
      </c>
      <c r="F92" s="130" t="str">
        <f>"06/01/82"</f>
        <v>06/01/82</v>
      </c>
      <c r="G92" s="130" t="str">
        <f t="shared" si="2"/>
        <v>02/06/2008</v>
      </c>
      <c r="H92" s="130" t="str">
        <f>"06/01/1982"</f>
        <v>06/01/1982</v>
      </c>
    </row>
    <row r="93" spans="1:8" x14ac:dyDescent="0.25">
      <c r="A93" s="2">
        <v>540077</v>
      </c>
      <c r="B93" s="2" t="s">
        <v>172</v>
      </c>
      <c r="C93" s="129" t="s">
        <v>1066</v>
      </c>
      <c r="D93" s="129" t="s">
        <v>115</v>
      </c>
      <c r="E93" s="130" t="str">
        <f>"03/22/74"</f>
        <v>03/22/74</v>
      </c>
      <c r="F93" s="130" t="str">
        <f>"06/01/82"</f>
        <v>06/01/82</v>
      </c>
      <c r="G93" s="130" t="str">
        <f t="shared" si="2"/>
        <v>02/06/2008</v>
      </c>
      <c r="H93" s="130" t="str">
        <f>"06/01/1982"</f>
        <v>06/01/1982</v>
      </c>
    </row>
    <row r="94" spans="1:8" x14ac:dyDescent="0.25">
      <c r="A94" s="2">
        <v>540078</v>
      </c>
      <c r="B94" s="2" t="s">
        <v>173</v>
      </c>
      <c r="C94" s="129" t="s">
        <v>1067</v>
      </c>
      <c r="D94" s="129" t="s">
        <v>115</v>
      </c>
      <c r="E94" s="130" t="str">
        <f>"03/08/74"</f>
        <v>03/08/74</v>
      </c>
      <c r="F94" s="130" t="str">
        <f>"06/15/82"</f>
        <v>06/15/82</v>
      </c>
      <c r="G94" s="130" t="str">
        <f t="shared" si="2"/>
        <v>02/06/2008</v>
      </c>
      <c r="H94" s="130" t="str">
        <f>"06/15/1982"</f>
        <v>06/15/1982</v>
      </c>
    </row>
    <row r="95" spans="1:8" x14ac:dyDescent="0.25">
      <c r="A95" s="2">
        <v>540279</v>
      </c>
      <c r="B95" s="2" t="s">
        <v>320</v>
      </c>
      <c r="C95" s="129" t="s">
        <v>1068</v>
      </c>
      <c r="D95" s="129" t="s">
        <v>115</v>
      </c>
      <c r="E95" s="130" t="str">
        <f>"01/17/75"</f>
        <v>01/17/75</v>
      </c>
      <c r="F95" s="130" t="str">
        <f>"07/05/84"</f>
        <v>07/05/84</v>
      </c>
      <c r="G95" s="130" t="str">
        <f t="shared" si="2"/>
        <v>02/06/2008</v>
      </c>
      <c r="H95" s="130" t="str">
        <f>"07/05/1984"</f>
        <v>07/05/1984</v>
      </c>
    </row>
    <row r="96" spans="1:8" x14ac:dyDescent="0.25">
      <c r="A96" s="2">
        <v>540079</v>
      </c>
      <c r="B96" s="2" t="s">
        <v>174</v>
      </c>
      <c r="C96" s="129" t="s">
        <v>1069</v>
      </c>
      <c r="D96" s="129" t="s">
        <v>115</v>
      </c>
      <c r="E96" s="130" t="str">
        <f>"04/12/74"</f>
        <v>04/12/74</v>
      </c>
      <c r="F96" s="130" t="str">
        <f>"04/15/82"</f>
        <v>04/15/82</v>
      </c>
      <c r="G96" s="130" t="str">
        <f t="shared" si="2"/>
        <v>02/06/2008</v>
      </c>
      <c r="H96" s="130" t="str">
        <f>"04/15/1982"</f>
        <v>04/15/1982</v>
      </c>
    </row>
    <row r="97" spans="1:8" x14ac:dyDescent="0.25">
      <c r="A97" s="2">
        <v>540082</v>
      </c>
      <c r="B97" s="2" t="s">
        <v>177</v>
      </c>
      <c r="C97" s="129" t="s">
        <v>1070</v>
      </c>
      <c r="D97" s="129" t="s">
        <v>115</v>
      </c>
      <c r="E97" s="130" t="str">
        <f>"03/08/74"</f>
        <v>03/08/74</v>
      </c>
      <c r="F97" s="130" t="str">
        <f>"05/01/84"</f>
        <v>05/01/84</v>
      </c>
      <c r="G97" s="130" t="str">
        <f t="shared" si="2"/>
        <v>02/06/2008</v>
      </c>
      <c r="H97" s="130" t="str">
        <f>"05/01/1984"</f>
        <v>05/01/1984</v>
      </c>
    </row>
    <row r="98" spans="1:8" x14ac:dyDescent="0.25">
      <c r="A98" s="2">
        <v>540223</v>
      </c>
      <c r="B98" s="2" t="s">
        <v>277</v>
      </c>
      <c r="C98" s="129" t="s">
        <v>1071</v>
      </c>
      <c r="D98" s="129" t="s">
        <v>115</v>
      </c>
      <c r="E98" s="131">
        <v>27334</v>
      </c>
      <c r="F98" s="130" t="str">
        <f>"06/15/82"</f>
        <v>06/15/82</v>
      </c>
      <c r="G98" s="130" t="str">
        <f t="shared" si="2"/>
        <v>02/06/2008</v>
      </c>
      <c r="H98" s="130" t="str">
        <f>"06/15/1982"</f>
        <v>06/15/1982</v>
      </c>
    </row>
    <row r="99" spans="1:8" x14ac:dyDescent="0.25">
      <c r="A99" s="2">
        <v>540083</v>
      </c>
      <c r="B99" s="2" t="s">
        <v>178</v>
      </c>
      <c r="C99" s="129" t="s">
        <v>1072</v>
      </c>
      <c r="D99" s="129" t="s">
        <v>115</v>
      </c>
      <c r="E99" s="130" t="str">
        <f>"03/08/74"</f>
        <v>03/08/74</v>
      </c>
      <c r="F99" s="130" t="str">
        <f>"06/15/82"</f>
        <v>06/15/82</v>
      </c>
      <c r="G99" s="130" t="str">
        <f t="shared" si="2"/>
        <v>02/06/2008</v>
      </c>
      <c r="H99" s="130" t="str">
        <f>"06/15/1982"</f>
        <v>06/15/1982</v>
      </c>
    </row>
    <row r="100" spans="1:8" x14ac:dyDescent="0.25">
      <c r="A100" s="2">
        <v>540029</v>
      </c>
      <c r="B100" s="2" t="s">
        <v>134</v>
      </c>
      <c r="C100" s="129" t="s">
        <v>1073</v>
      </c>
      <c r="D100" s="129" t="s">
        <v>115</v>
      </c>
      <c r="E100" s="130" t="str">
        <f>"02/27/76"</f>
        <v>02/27/76</v>
      </c>
      <c r="F100" s="130" t="str">
        <f>"06/01/82"</f>
        <v>06/01/82</v>
      </c>
      <c r="G100" s="130" t="str">
        <f>"09/03/2010"</f>
        <v>09/03/2010</v>
      </c>
      <c r="H100" s="130" t="str">
        <f>"06/01/1982"</f>
        <v>06/01/1982</v>
      </c>
    </row>
    <row r="101" spans="1:8" x14ac:dyDescent="0.25">
      <c r="A101" s="1">
        <v>540085</v>
      </c>
      <c r="B101" s="1" t="s">
        <v>40</v>
      </c>
      <c r="C101" s="126" t="s">
        <v>1074</v>
      </c>
      <c r="D101" s="126" t="s">
        <v>5</v>
      </c>
      <c r="E101" s="128" t="str">
        <f>"02/21/75"</f>
        <v>02/21/75</v>
      </c>
      <c r="F101" s="128" t="str">
        <f>"07/01/87"</f>
        <v>07/01/87</v>
      </c>
      <c r="G101" s="128" t="str">
        <f>"04/19/2010"</f>
        <v>04/19/2010</v>
      </c>
      <c r="H101" s="128" t="str">
        <f>"07/01/1987"</f>
        <v>07/01/1987</v>
      </c>
    </row>
    <row r="102" spans="1:8" x14ac:dyDescent="0.25">
      <c r="A102" s="2">
        <v>540086</v>
      </c>
      <c r="B102" s="2" t="s">
        <v>179</v>
      </c>
      <c r="C102" s="129" t="s">
        <v>1075</v>
      </c>
      <c r="D102" s="129" t="s">
        <v>115</v>
      </c>
      <c r="E102" s="130" t="str">
        <f>"08/09/74"</f>
        <v>08/09/74</v>
      </c>
      <c r="F102" s="130" t="str">
        <f>"09/24/84"</f>
        <v>09/24/84</v>
      </c>
      <c r="G102" s="130" t="str">
        <f>"04/19/10(M)"</f>
        <v>04/19/10(M)</v>
      </c>
      <c r="H102" s="130" t="str">
        <f>"09/24/1984"</f>
        <v>09/24/1984</v>
      </c>
    </row>
    <row r="103" spans="1:8" x14ac:dyDescent="0.25">
      <c r="A103" s="2">
        <v>540087</v>
      </c>
      <c r="B103" s="2" t="s">
        <v>180</v>
      </c>
      <c r="C103" s="129" t="s">
        <v>1076</v>
      </c>
      <c r="D103" s="129" t="s">
        <v>115</v>
      </c>
      <c r="E103" s="130" t="str">
        <f>"04/05/74"</f>
        <v>04/05/74</v>
      </c>
      <c r="F103" s="130" t="str">
        <f>"04/15/82"</f>
        <v>04/15/82</v>
      </c>
      <c r="G103" s="130" t="str">
        <f>"04/19/2010"</f>
        <v>04/19/2010</v>
      </c>
      <c r="H103" s="130" t="str">
        <f>"04/15/1982"</f>
        <v>04/15/1982</v>
      </c>
    </row>
    <row r="104" spans="1:8" x14ac:dyDescent="0.25">
      <c r="A104" s="1">
        <v>540088</v>
      </c>
      <c r="B104" s="1" t="s">
        <v>42</v>
      </c>
      <c r="C104" s="126" t="s">
        <v>1077</v>
      </c>
      <c r="D104" s="126" t="s">
        <v>5</v>
      </c>
      <c r="E104" s="128" t="str">
        <f>"07/18/75"</f>
        <v>07/18/75</v>
      </c>
      <c r="F104" s="128" t="str">
        <f>"09/18/87"</f>
        <v>09/18/87</v>
      </c>
      <c r="G104" s="127">
        <v>41563</v>
      </c>
      <c r="H104" s="128" t="str">
        <f>"09/18/1987"</f>
        <v>09/18/1987</v>
      </c>
    </row>
    <row r="105" spans="1:8" x14ac:dyDescent="0.25">
      <c r="A105" s="2">
        <v>540089</v>
      </c>
      <c r="B105" s="2" t="s">
        <v>181</v>
      </c>
      <c r="C105" s="129" t="s">
        <v>1078</v>
      </c>
      <c r="D105" s="129" t="s">
        <v>115</v>
      </c>
      <c r="E105" s="130" t="str">
        <f>"05/17/74"</f>
        <v>05/17/74</v>
      </c>
      <c r="F105" s="130" t="str">
        <f>"09/04/87"</f>
        <v>09/04/87</v>
      </c>
      <c r="G105" s="131">
        <v>41563</v>
      </c>
      <c r="H105" s="130" t="str">
        <f>"09/04/1987"</f>
        <v>09/04/1987</v>
      </c>
    </row>
    <row r="106" spans="1:8" x14ac:dyDescent="0.25">
      <c r="A106" s="2">
        <v>540090</v>
      </c>
      <c r="B106" s="2" t="s">
        <v>182</v>
      </c>
      <c r="C106" s="129" t="s">
        <v>1079</v>
      </c>
      <c r="D106" s="129" t="s">
        <v>115</v>
      </c>
      <c r="E106" s="130" t="str">
        <f>"05/31/74"</f>
        <v>05/31/74</v>
      </c>
      <c r="F106" s="130" t="str">
        <f>"09/04/87"</f>
        <v>09/04/87</v>
      </c>
      <c r="G106" s="131">
        <v>41563</v>
      </c>
      <c r="H106" s="130" t="str">
        <f>"09/04/1987"</f>
        <v>09/04/1987</v>
      </c>
    </row>
    <row r="107" spans="1:8" x14ac:dyDescent="0.25">
      <c r="A107" s="1">
        <v>545536</v>
      </c>
      <c r="B107" s="1" t="s">
        <v>110</v>
      </c>
      <c r="C107" s="126" t="s">
        <v>1080</v>
      </c>
      <c r="D107" s="126" t="s">
        <v>5</v>
      </c>
      <c r="E107" s="128"/>
      <c r="F107" s="128" t="str">
        <f>"04/07/72"</f>
        <v>04/07/72</v>
      </c>
      <c r="G107" s="128" t="str">
        <f t="shared" ref="G107:G112" si="3">"02/06/2008"</f>
        <v>02/06/2008</v>
      </c>
      <c r="H107" s="128" t="str">
        <f>"04/07/1972"</f>
        <v>04/07/1972</v>
      </c>
    </row>
    <row r="108" spans="1:8" x14ac:dyDescent="0.25">
      <c r="A108" s="2">
        <v>540092</v>
      </c>
      <c r="B108" s="2" t="s">
        <v>183</v>
      </c>
      <c r="C108" s="129" t="s">
        <v>1081</v>
      </c>
      <c r="D108" s="129" t="s">
        <v>115</v>
      </c>
      <c r="E108" s="130" t="str">
        <f>"02/09/71"</f>
        <v>02/09/71</v>
      </c>
      <c r="F108" s="130" t="str">
        <f>"08/27/71"</f>
        <v>08/27/71</v>
      </c>
      <c r="G108" s="130" t="str">
        <f t="shared" si="3"/>
        <v>02/06/2008</v>
      </c>
      <c r="H108" s="130" t="str">
        <f>"08/27/1971"</f>
        <v>08/27/1971</v>
      </c>
    </row>
    <row r="109" spans="1:8" x14ac:dyDescent="0.25">
      <c r="A109" s="2">
        <v>545535</v>
      </c>
      <c r="B109" s="2" t="s">
        <v>332</v>
      </c>
      <c r="C109" s="129" t="s">
        <v>1082</v>
      </c>
      <c r="D109" s="129" t="s">
        <v>115</v>
      </c>
      <c r="E109" s="130" t="str">
        <f>"02/09/71"</f>
        <v>02/09/71</v>
      </c>
      <c r="F109" s="130" t="str">
        <f>"07/16/71"</f>
        <v>07/16/71</v>
      </c>
      <c r="G109" s="130" t="str">
        <f t="shared" si="3"/>
        <v>02/06/2008</v>
      </c>
      <c r="H109" s="130" t="str">
        <f>"07/16/1971"</f>
        <v>07/16/1971</v>
      </c>
    </row>
    <row r="110" spans="1:8" x14ac:dyDescent="0.25">
      <c r="A110" s="2">
        <v>545537</v>
      </c>
      <c r="B110" s="2" t="s">
        <v>333</v>
      </c>
      <c r="C110" s="129" t="s">
        <v>1083</v>
      </c>
      <c r="D110" s="129" t="s">
        <v>115</v>
      </c>
      <c r="E110" s="130" t="str">
        <f>"09/15/71"</f>
        <v>09/15/71</v>
      </c>
      <c r="F110" s="130" t="str">
        <f>"09/10/71"</f>
        <v>09/10/71</v>
      </c>
      <c r="G110" s="130" t="str">
        <f t="shared" si="3"/>
        <v>02/06/2008</v>
      </c>
      <c r="H110" s="130" t="str">
        <f>"09/10/1971"</f>
        <v>09/10/1971</v>
      </c>
    </row>
    <row r="111" spans="1:8" x14ac:dyDescent="0.25">
      <c r="A111" s="2">
        <v>540095</v>
      </c>
      <c r="B111" s="2" t="s">
        <v>186</v>
      </c>
      <c r="C111" s="129" t="s">
        <v>1084</v>
      </c>
      <c r="D111" s="129" t="s">
        <v>115</v>
      </c>
      <c r="E111" s="130" t="str">
        <f>"08/17/71"</f>
        <v>08/17/71</v>
      </c>
      <c r="F111" s="130" t="str">
        <f>"08/13/71"</f>
        <v>08/13/71</v>
      </c>
      <c r="G111" s="130" t="str">
        <f t="shared" si="3"/>
        <v>02/06/2008</v>
      </c>
      <c r="H111" s="130" t="str">
        <f>"08/13/1971"</f>
        <v>08/13/1971</v>
      </c>
    </row>
    <row r="112" spans="1:8" x14ac:dyDescent="0.25">
      <c r="A112" s="2">
        <v>545539</v>
      </c>
      <c r="B112" s="2" t="s">
        <v>335</v>
      </c>
      <c r="C112" s="129" t="s">
        <v>1085</v>
      </c>
      <c r="D112" s="129" t="s">
        <v>115</v>
      </c>
      <c r="E112" s="130" t="str">
        <f>"06/03/72"</f>
        <v>06/03/72</v>
      </c>
      <c r="F112" s="130" t="str">
        <f>"06/02/72"</f>
        <v>06/02/72</v>
      </c>
      <c r="G112" s="130" t="str">
        <f t="shared" si="3"/>
        <v>02/06/2008</v>
      </c>
      <c r="H112" s="130" t="str">
        <f>"06/02/1972"</f>
        <v>06/02/1972</v>
      </c>
    </row>
    <row r="113" spans="1:8" x14ac:dyDescent="0.25">
      <c r="A113" s="1" t="s">
        <v>936</v>
      </c>
      <c r="B113" s="1" t="s">
        <v>44</v>
      </c>
      <c r="C113" s="126" t="s">
        <v>1086</v>
      </c>
      <c r="D113" s="126" t="s">
        <v>5</v>
      </c>
      <c r="E113" s="128" t="str">
        <f>"08/30/74"</f>
        <v>08/30/74</v>
      </c>
      <c r="F113" s="128" t="str">
        <f>"07/04/88"</f>
        <v>07/04/88</v>
      </c>
      <c r="G113" s="128" t="str">
        <f>"04/05/2019"</f>
        <v>04/05/2019</v>
      </c>
      <c r="H113" s="128" t="str">
        <f>"07/04/1988"</f>
        <v>07/04/1988</v>
      </c>
    </row>
    <row r="114" spans="1:8" x14ac:dyDescent="0.25">
      <c r="A114" s="2">
        <v>540098</v>
      </c>
      <c r="B114" s="2" t="s">
        <v>187</v>
      </c>
      <c r="C114" s="129" t="s">
        <v>1087</v>
      </c>
      <c r="D114" s="129" t="s">
        <v>115</v>
      </c>
      <c r="E114" s="130" t="str">
        <f>"03/10/78"</f>
        <v>03/10/78</v>
      </c>
      <c r="F114" s="130" t="str">
        <f>"03/16/88"</f>
        <v>03/16/88</v>
      </c>
      <c r="G114" s="130" t="str">
        <f>"06/19/2012"</f>
        <v>06/19/2012</v>
      </c>
      <c r="H114" s="130" t="str">
        <f>"03/16/1988"</f>
        <v>03/16/1988</v>
      </c>
    </row>
    <row r="115" spans="1:8" x14ac:dyDescent="0.25">
      <c r="A115" s="2" t="s">
        <v>937</v>
      </c>
      <c r="B115" s="2" t="s">
        <v>188</v>
      </c>
      <c r="C115" s="129" t="s">
        <v>1088</v>
      </c>
      <c r="D115" s="129" t="s">
        <v>115</v>
      </c>
      <c r="E115" s="130" t="str">
        <f>"07/23/76"</f>
        <v>07/23/76</v>
      </c>
      <c r="F115" s="130" t="str">
        <f>"07/02/87"</f>
        <v>07/02/87</v>
      </c>
      <c r="G115" s="130" t="str">
        <f>"04/05/2019"</f>
        <v>04/05/2019</v>
      </c>
      <c r="H115" s="130" t="str">
        <f>"07/02/1987"</f>
        <v>07/02/1987</v>
      </c>
    </row>
    <row r="116" spans="1:8" x14ac:dyDescent="0.25">
      <c r="A116" s="2">
        <v>540100</v>
      </c>
      <c r="B116" s="2" t="s">
        <v>189</v>
      </c>
      <c r="C116" s="129" t="s">
        <v>1089</v>
      </c>
      <c r="D116" s="129" t="s">
        <v>115</v>
      </c>
      <c r="E116" s="130" t="str">
        <f>"05/31/74"</f>
        <v>05/31/74</v>
      </c>
      <c r="F116" s="130" t="str">
        <f>"03/16/88"</f>
        <v>03/16/88</v>
      </c>
      <c r="G116" s="130" t="str">
        <f t="shared" ref="G116:G123" si="4">"06/19/2012"</f>
        <v>06/19/2012</v>
      </c>
      <c r="H116" s="130" t="str">
        <f>"03/16/1988"</f>
        <v>03/16/1988</v>
      </c>
    </row>
    <row r="117" spans="1:8" x14ac:dyDescent="0.25">
      <c r="A117" s="2">
        <v>540101</v>
      </c>
      <c r="B117" s="2" t="s">
        <v>190</v>
      </c>
      <c r="C117" s="129" t="s">
        <v>1090</v>
      </c>
      <c r="D117" s="129" t="s">
        <v>115</v>
      </c>
      <c r="E117" s="130" t="str">
        <f>"05/31/74"</f>
        <v>05/31/74</v>
      </c>
      <c r="F117" s="130" t="str">
        <f>"03/16/88"</f>
        <v>03/16/88</v>
      </c>
      <c r="G117" s="130" t="str">
        <f t="shared" si="4"/>
        <v>06/19/2012</v>
      </c>
      <c r="H117" s="130" t="str">
        <f>"03/16/1988"</f>
        <v>03/16/1988</v>
      </c>
    </row>
    <row r="118" spans="1:8" x14ac:dyDescent="0.25">
      <c r="A118" s="2">
        <v>540102</v>
      </c>
      <c r="B118" s="2" t="s">
        <v>191</v>
      </c>
      <c r="C118" s="129" t="s">
        <v>1091</v>
      </c>
      <c r="D118" s="129" t="s">
        <v>115</v>
      </c>
      <c r="E118" s="130" t="str">
        <f>"05/31/74"</f>
        <v>05/31/74</v>
      </c>
      <c r="F118" s="130" t="str">
        <f>"03/04/88"</f>
        <v>03/04/88</v>
      </c>
      <c r="G118" s="130" t="str">
        <f t="shared" si="4"/>
        <v>06/19/2012</v>
      </c>
      <c r="H118" s="130" t="str">
        <f>"03/04/1988"</f>
        <v>03/04/1988</v>
      </c>
    </row>
    <row r="119" spans="1:8" x14ac:dyDescent="0.25">
      <c r="A119" s="2">
        <v>540103</v>
      </c>
      <c r="B119" s="2" t="s">
        <v>192</v>
      </c>
      <c r="C119" s="129" t="s">
        <v>1092</v>
      </c>
      <c r="D119" s="129" t="s">
        <v>115</v>
      </c>
      <c r="E119" s="130" t="str">
        <f>"05/31/74"</f>
        <v>05/31/74</v>
      </c>
      <c r="F119" s="131">
        <v>31735</v>
      </c>
      <c r="G119" s="130" t="str">
        <f t="shared" si="4"/>
        <v>06/19/2012</v>
      </c>
      <c r="H119" s="131">
        <v>31735</v>
      </c>
    </row>
    <row r="120" spans="1:8" x14ac:dyDescent="0.25">
      <c r="A120" s="2">
        <v>540104</v>
      </c>
      <c r="B120" s="2" t="s">
        <v>193</v>
      </c>
      <c r="C120" s="129" t="s">
        <v>1093</v>
      </c>
      <c r="D120" s="129" t="s">
        <v>115</v>
      </c>
      <c r="E120" s="130" t="str">
        <f>"05/31/74"</f>
        <v>05/31/74</v>
      </c>
      <c r="F120" s="130" t="str">
        <f>"03/16/88"</f>
        <v>03/16/88</v>
      </c>
      <c r="G120" s="130" t="str">
        <f t="shared" si="4"/>
        <v>06/19/2012</v>
      </c>
      <c r="H120" s="130" t="str">
        <f>"03/16/1988"</f>
        <v>03/16/1988</v>
      </c>
    </row>
    <row r="121" spans="1:8" x14ac:dyDescent="0.25">
      <c r="A121" s="2">
        <v>540292</v>
      </c>
      <c r="B121" s="2" t="s">
        <v>329</v>
      </c>
      <c r="C121" s="129" t="s">
        <v>1094</v>
      </c>
      <c r="D121" s="129" t="s">
        <v>115</v>
      </c>
      <c r="E121" s="130"/>
      <c r="F121" s="130" t="str">
        <f>"06/19/12"</f>
        <v>06/19/12</v>
      </c>
      <c r="G121" s="130" t="str">
        <f t="shared" si="4"/>
        <v>06/19/2012</v>
      </c>
      <c r="H121" s="130" t="str">
        <f>"03/29/1904"</f>
        <v>03/29/1904</v>
      </c>
    </row>
    <row r="122" spans="1:8" x14ac:dyDescent="0.25">
      <c r="A122" s="2">
        <v>540105</v>
      </c>
      <c r="B122" s="2" t="s">
        <v>194</v>
      </c>
      <c r="C122" s="129" t="s">
        <v>1095</v>
      </c>
      <c r="D122" s="129" t="s">
        <v>115</v>
      </c>
      <c r="E122" s="130" t="str">
        <f>"05/31/74"</f>
        <v>05/31/74</v>
      </c>
      <c r="F122" s="130" t="str">
        <f>"03/16/88"</f>
        <v>03/16/88</v>
      </c>
      <c r="G122" s="130" t="str">
        <f t="shared" si="4"/>
        <v>06/19/2012</v>
      </c>
      <c r="H122" s="130" t="str">
        <f>"03/16/1988"</f>
        <v>03/16/1988</v>
      </c>
    </row>
    <row r="123" spans="1:8" x14ac:dyDescent="0.25">
      <c r="A123" s="2">
        <v>540106</v>
      </c>
      <c r="B123" s="2" t="s">
        <v>195</v>
      </c>
      <c r="C123" s="129" t="s">
        <v>1096</v>
      </c>
      <c r="D123" s="129" t="s">
        <v>115</v>
      </c>
      <c r="E123" s="130" t="str">
        <f>"08/02/74"</f>
        <v>08/02/74</v>
      </c>
      <c r="F123" s="130" t="str">
        <f>"03/16/88"</f>
        <v>03/16/88</v>
      </c>
      <c r="G123" s="130" t="str">
        <f t="shared" si="4"/>
        <v>06/19/2012</v>
      </c>
      <c r="H123" s="130" t="str">
        <f>"03/16/1988"</f>
        <v>03/16/1988</v>
      </c>
    </row>
    <row r="124" spans="1:8" x14ac:dyDescent="0.25">
      <c r="A124" s="1">
        <v>540107</v>
      </c>
      <c r="B124" s="1" t="s">
        <v>46</v>
      </c>
      <c r="C124" s="126" t="s">
        <v>1097</v>
      </c>
      <c r="D124" s="126" t="s">
        <v>5</v>
      </c>
      <c r="E124" s="127">
        <v>27383</v>
      </c>
      <c r="F124" s="127">
        <v>27383</v>
      </c>
      <c r="G124" s="128" t="str">
        <f t="shared" ref="G124:G129" si="5">"09/25/2009"</f>
        <v>09/25/2009</v>
      </c>
      <c r="H124" s="128" t="str">
        <f>"04/17/1984"</f>
        <v>04/17/1984</v>
      </c>
    </row>
    <row r="125" spans="1:8" x14ac:dyDescent="0.25">
      <c r="A125" s="2">
        <v>540108</v>
      </c>
      <c r="B125" s="2" t="s">
        <v>196</v>
      </c>
      <c r="C125" s="129" t="s">
        <v>1098</v>
      </c>
      <c r="D125" s="129" t="s">
        <v>115</v>
      </c>
      <c r="E125" s="130" t="str">
        <f>"04/05/74"</f>
        <v>04/05/74</v>
      </c>
      <c r="F125" s="130" t="str">
        <f>"05/01/80"</f>
        <v>05/01/80</v>
      </c>
      <c r="G125" s="130" t="str">
        <f t="shared" si="5"/>
        <v>09/25/2009</v>
      </c>
      <c r="H125" s="130" t="str">
        <f>"05/01/1980"</f>
        <v>05/01/1980</v>
      </c>
    </row>
    <row r="126" spans="1:8" x14ac:dyDescent="0.25">
      <c r="A126" s="2">
        <v>540287</v>
      </c>
      <c r="B126" s="2" t="s">
        <v>326</v>
      </c>
      <c r="C126" s="129" t="s">
        <v>1099</v>
      </c>
      <c r="D126" s="129" t="s">
        <v>115</v>
      </c>
      <c r="E126" s="131">
        <v>27355</v>
      </c>
      <c r="F126" s="130" t="str">
        <f>"09/25/09"</f>
        <v>09/25/09</v>
      </c>
      <c r="G126" s="130" t="str">
        <f t="shared" si="5"/>
        <v>09/25/2009</v>
      </c>
      <c r="H126" s="130" t="str">
        <f>"09/04/1986"</f>
        <v>09/04/1986</v>
      </c>
    </row>
    <row r="127" spans="1:8" x14ac:dyDescent="0.25">
      <c r="A127" s="2">
        <v>540109</v>
      </c>
      <c r="B127" s="2" t="s">
        <v>197</v>
      </c>
      <c r="C127" s="129" t="s">
        <v>1100</v>
      </c>
      <c r="D127" s="129" t="s">
        <v>115</v>
      </c>
      <c r="E127" s="130" t="str">
        <f>"06/28/74"</f>
        <v>06/28/74</v>
      </c>
      <c r="F127" s="130" t="str">
        <f>"06/28/74"</f>
        <v>06/28/74</v>
      </c>
      <c r="G127" s="130" t="str">
        <f t="shared" si="5"/>
        <v>09/25/2009</v>
      </c>
      <c r="H127" s="130" t="str">
        <f>"04/01/1980"</f>
        <v>04/01/1980</v>
      </c>
    </row>
    <row r="128" spans="1:8" x14ac:dyDescent="0.25">
      <c r="A128" s="2">
        <v>540110</v>
      </c>
      <c r="B128" s="2" t="s">
        <v>198</v>
      </c>
      <c r="C128" s="129" t="s">
        <v>1101</v>
      </c>
      <c r="D128" s="129" t="s">
        <v>115</v>
      </c>
      <c r="E128" s="130" t="str">
        <f>"03/29/74"</f>
        <v>03/29/74</v>
      </c>
      <c r="F128" s="130" t="str">
        <f>"09/25/09"</f>
        <v>09/25/09</v>
      </c>
      <c r="G128" s="130" t="str">
        <f t="shared" si="5"/>
        <v>09/25/2009</v>
      </c>
      <c r="H128" s="130" t="str">
        <f>"04/15/1980"</f>
        <v>04/15/1980</v>
      </c>
    </row>
    <row r="129" spans="1:8" x14ac:dyDescent="0.25">
      <c r="A129" s="2">
        <v>540111</v>
      </c>
      <c r="B129" s="2" t="s">
        <v>199</v>
      </c>
      <c r="C129" s="129" t="s">
        <v>1102</v>
      </c>
      <c r="D129" s="129" t="s">
        <v>115</v>
      </c>
      <c r="E129" s="130" t="str">
        <f>"03/22/74"</f>
        <v>03/22/74</v>
      </c>
      <c r="F129" s="130" t="str">
        <f>"03/22/74"</f>
        <v>03/22/74</v>
      </c>
      <c r="G129" s="130" t="str">
        <f t="shared" si="5"/>
        <v>09/25/2009</v>
      </c>
      <c r="H129" s="130" t="str">
        <f>"05/15/1980"</f>
        <v>05/15/1980</v>
      </c>
    </row>
    <row r="130" spans="1:8" x14ac:dyDescent="0.25">
      <c r="A130" s="1">
        <v>540112</v>
      </c>
      <c r="B130" s="1" t="s">
        <v>48</v>
      </c>
      <c r="C130" s="126" t="s">
        <v>1103</v>
      </c>
      <c r="D130" s="126" t="s">
        <v>5</v>
      </c>
      <c r="E130" s="128" t="str">
        <f>"04/25/75"</f>
        <v>04/25/75</v>
      </c>
      <c r="F130" s="128" t="str">
        <f>"01/02/80"</f>
        <v>01/02/80</v>
      </c>
      <c r="G130" s="127">
        <v>41611</v>
      </c>
      <c r="H130" s="128" t="str">
        <f>"01/02/1980"</f>
        <v>01/02/1980</v>
      </c>
    </row>
    <row r="131" spans="1:8" x14ac:dyDescent="0.25">
      <c r="A131" s="2">
        <v>540247</v>
      </c>
      <c r="B131" s="2" t="s">
        <v>293</v>
      </c>
      <c r="C131" s="129" t="s">
        <v>1104</v>
      </c>
      <c r="D131" s="129" t="s">
        <v>115</v>
      </c>
      <c r="E131" s="131">
        <v>27355</v>
      </c>
      <c r="F131" s="130" t="str">
        <f>"02/15/78"</f>
        <v>02/15/78</v>
      </c>
      <c r="G131" s="131">
        <v>41611</v>
      </c>
      <c r="H131" s="130" t="str">
        <f>"02/15/1978"</f>
        <v>02/15/1978</v>
      </c>
    </row>
    <row r="132" spans="1:8" x14ac:dyDescent="0.25">
      <c r="A132" s="2">
        <v>540251</v>
      </c>
      <c r="B132" s="2" t="s">
        <v>297</v>
      </c>
      <c r="C132" s="129" t="s">
        <v>1105</v>
      </c>
      <c r="D132" s="129" t="s">
        <v>115</v>
      </c>
      <c r="E132" s="131">
        <v>27390</v>
      </c>
      <c r="F132" s="130" t="str">
        <f>"05/15/78"</f>
        <v>05/15/78</v>
      </c>
      <c r="G132" s="131">
        <v>41611</v>
      </c>
      <c r="H132" s="130" t="str">
        <f>"05/15/1978"</f>
        <v>05/15/1978</v>
      </c>
    </row>
    <row r="133" spans="1:8" x14ac:dyDescent="0.25">
      <c r="A133" s="2">
        <v>540113</v>
      </c>
      <c r="B133" s="2" t="s">
        <v>200</v>
      </c>
      <c r="C133" s="129" t="s">
        <v>1106</v>
      </c>
      <c r="D133" s="129" t="s">
        <v>115</v>
      </c>
      <c r="E133" s="130" t="str">
        <f>"09/06/74"</f>
        <v>09/06/74</v>
      </c>
      <c r="F133" s="130" t="str">
        <f>"08/15/78"</f>
        <v>08/15/78</v>
      </c>
      <c r="G133" s="131">
        <v>41611</v>
      </c>
      <c r="H133" s="130" t="str">
        <f>"08/15/1978"</f>
        <v>08/15/1978</v>
      </c>
    </row>
    <row r="134" spans="1:8" x14ac:dyDescent="0.25">
      <c r="A134" s="2">
        <v>540248</v>
      </c>
      <c r="B134" s="2" t="s">
        <v>294</v>
      </c>
      <c r="C134" s="129" t="s">
        <v>1107</v>
      </c>
      <c r="D134" s="129" t="s">
        <v>115</v>
      </c>
      <c r="E134" s="131">
        <v>27348</v>
      </c>
      <c r="F134" s="130" t="str">
        <f>"02/15/78"</f>
        <v>02/15/78</v>
      </c>
      <c r="G134" s="131">
        <v>41611</v>
      </c>
      <c r="H134" s="130" t="str">
        <f>"02/15/1978"</f>
        <v>02/15/1978</v>
      </c>
    </row>
    <row r="135" spans="1:8" x14ac:dyDescent="0.25">
      <c r="A135" s="2">
        <v>540249</v>
      </c>
      <c r="B135" s="2" t="s">
        <v>295</v>
      </c>
      <c r="C135" s="129" t="s">
        <v>1108</v>
      </c>
      <c r="D135" s="129" t="s">
        <v>115</v>
      </c>
      <c r="E135" s="131">
        <v>27348</v>
      </c>
      <c r="F135" s="130" t="str">
        <f>"07/03/78"</f>
        <v>07/03/78</v>
      </c>
      <c r="G135" s="131">
        <v>41611</v>
      </c>
      <c r="H135" s="130" t="str">
        <f>"07/03/1978"</f>
        <v>07/03/1978</v>
      </c>
    </row>
    <row r="136" spans="1:8" x14ac:dyDescent="0.25">
      <c r="A136" s="2">
        <v>540250</v>
      </c>
      <c r="B136" s="2" t="s">
        <v>296</v>
      </c>
      <c r="C136" s="129" t="s">
        <v>1109</v>
      </c>
      <c r="D136" s="129" t="s">
        <v>115</v>
      </c>
      <c r="E136" s="130" t="str">
        <f>"02/07/75"</f>
        <v>02/07/75</v>
      </c>
      <c r="F136" s="130" t="str">
        <f>"05/15/78"</f>
        <v>05/15/78</v>
      </c>
      <c r="G136" s="131">
        <v>41611</v>
      </c>
      <c r="H136" s="130" t="str">
        <f>"05/15/1978"</f>
        <v>05/15/1978</v>
      </c>
    </row>
    <row r="137" spans="1:8" x14ac:dyDescent="0.25">
      <c r="A137" s="1">
        <v>540114</v>
      </c>
      <c r="B137" s="1" t="s">
        <v>50</v>
      </c>
      <c r="C137" s="126" t="s">
        <v>1110</v>
      </c>
      <c r="D137" s="126" t="s">
        <v>5</v>
      </c>
      <c r="E137" s="128" t="str">
        <f>"01/10/75"</f>
        <v>01/10/75</v>
      </c>
      <c r="F137" s="128" t="str">
        <f>"09/18/86"</f>
        <v>09/18/86</v>
      </c>
      <c r="G137" s="128" t="str">
        <f t="shared" ref="G137:G147" si="6">"06/16/2005"</f>
        <v>06/16/2005</v>
      </c>
      <c r="H137" s="128" t="str">
        <f>"09/18/1986"</f>
        <v>09/18/1986</v>
      </c>
    </row>
    <row r="138" spans="1:8" x14ac:dyDescent="0.25">
      <c r="A138" s="2">
        <v>540115</v>
      </c>
      <c r="B138" s="2" t="s">
        <v>201</v>
      </c>
      <c r="C138" s="129" t="s">
        <v>1111</v>
      </c>
      <c r="D138" s="129" t="s">
        <v>115</v>
      </c>
      <c r="E138" s="130" t="str">
        <f>"05/31/74"</f>
        <v>05/31/74</v>
      </c>
      <c r="F138" s="130" t="str">
        <f>"02/01/85"</f>
        <v>02/01/85</v>
      </c>
      <c r="G138" s="130" t="str">
        <f t="shared" si="6"/>
        <v>06/16/2005</v>
      </c>
      <c r="H138" s="130" t="str">
        <f>"02/01/1985"</f>
        <v>02/01/1985</v>
      </c>
    </row>
    <row r="139" spans="1:8" x14ac:dyDescent="0.25">
      <c r="A139" s="2">
        <v>540291</v>
      </c>
      <c r="B139" s="2" t="s">
        <v>328</v>
      </c>
      <c r="C139" s="129" t="s">
        <v>1112</v>
      </c>
      <c r="D139" s="129" t="s">
        <v>115</v>
      </c>
      <c r="E139" s="130"/>
      <c r="F139" s="130" t="str">
        <f>"09/18/86"</f>
        <v>09/18/86</v>
      </c>
      <c r="G139" s="130" t="str">
        <f t="shared" si="6"/>
        <v>06/16/2005</v>
      </c>
      <c r="H139" s="130" t="str">
        <f>"07/08/1902"</f>
        <v>07/08/1902</v>
      </c>
    </row>
    <row r="140" spans="1:8" x14ac:dyDescent="0.25">
      <c r="A140" s="2">
        <v>540116</v>
      </c>
      <c r="B140" s="2" t="s">
        <v>202</v>
      </c>
      <c r="C140" s="129" t="s">
        <v>1113</v>
      </c>
      <c r="D140" s="129" t="s">
        <v>115</v>
      </c>
      <c r="E140" s="130" t="str">
        <f>"09/06/74"</f>
        <v>09/06/74</v>
      </c>
      <c r="F140" s="130" t="str">
        <f>"09/28/84"</f>
        <v>09/28/84</v>
      </c>
      <c r="G140" s="130" t="str">
        <f t="shared" si="6"/>
        <v>06/16/2005</v>
      </c>
      <c r="H140" s="130" t="str">
        <f>"09/28/1984"</f>
        <v>09/28/1984</v>
      </c>
    </row>
    <row r="141" spans="1:8" x14ac:dyDescent="0.25">
      <c r="A141" s="2">
        <v>540117</v>
      </c>
      <c r="B141" s="2" t="s">
        <v>203</v>
      </c>
      <c r="C141" s="129" t="s">
        <v>1114</v>
      </c>
      <c r="D141" s="129" t="s">
        <v>115</v>
      </c>
      <c r="E141" s="130" t="str">
        <f>"07/19/74"</f>
        <v>07/19/74</v>
      </c>
      <c r="F141" s="130" t="str">
        <f>"02/01/85"</f>
        <v>02/01/85</v>
      </c>
      <c r="G141" s="130" t="str">
        <f t="shared" si="6"/>
        <v>06/16/2005</v>
      </c>
      <c r="H141" s="130" t="str">
        <f>"02/01/1985"</f>
        <v>02/01/1985</v>
      </c>
    </row>
    <row r="142" spans="1:8" x14ac:dyDescent="0.25">
      <c r="A142" s="2">
        <v>540118</v>
      </c>
      <c r="B142" s="2" t="s">
        <v>204</v>
      </c>
      <c r="C142" s="129" t="s">
        <v>1115</v>
      </c>
      <c r="D142" s="129" t="s">
        <v>115</v>
      </c>
      <c r="E142" s="130" t="str">
        <f>"05/24/74"</f>
        <v>05/24/74</v>
      </c>
      <c r="F142" s="130" t="str">
        <f>"09/28/84"</f>
        <v>09/28/84</v>
      </c>
      <c r="G142" s="130" t="str">
        <f t="shared" si="6"/>
        <v>06/16/2005</v>
      </c>
      <c r="H142" s="130" t="str">
        <f>"09/28/1984"</f>
        <v>09/28/1984</v>
      </c>
    </row>
    <row r="143" spans="1:8" x14ac:dyDescent="0.25">
      <c r="A143" s="2">
        <v>540119</v>
      </c>
      <c r="B143" s="2" t="s">
        <v>205</v>
      </c>
      <c r="C143" s="129" t="s">
        <v>1116</v>
      </c>
      <c r="D143" s="129" t="s">
        <v>115</v>
      </c>
      <c r="E143" s="130" t="str">
        <f>"05/17/74"</f>
        <v>05/17/74</v>
      </c>
      <c r="F143" s="130" t="str">
        <f>"02/01/85"</f>
        <v>02/01/85</v>
      </c>
      <c r="G143" s="130" t="str">
        <f t="shared" si="6"/>
        <v>06/16/2005</v>
      </c>
      <c r="H143" s="130" t="str">
        <f>"02/01/1985"</f>
        <v>02/01/1985</v>
      </c>
    </row>
    <row r="144" spans="1:8" x14ac:dyDescent="0.25">
      <c r="A144" s="2">
        <v>540120</v>
      </c>
      <c r="B144" s="2" t="s">
        <v>206</v>
      </c>
      <c r="C144" s="129" t="s">
        <v>1117</v>
      </c>
      <c r="D144" s="129" t="s">
        <v>115</v>
      </c>
      <c r="E144" s="130" t="str">
        <f>"05/17/74"</f>
        <v>05/17/74</v>
      </c>
      <c r="F144" s="130" t="str">
        <f>"02/01/85"</f>
        <v>02/01/85</v>
      </c>
      <c r="G144" s="130" t="str">
        <f t="shared" si="6"/>
        <v>06/16/2005</v>
      </c>
      <c r="H144" s="130" t="str">
        <f>"02/01/1985"</f>
        <v>02/01/1985</v>
      </c>
    </row>
    <row r="145" spans="1:8" x14ac:dyDescent="0.25">
      <c r="A145" s="2">
        <v>540121</v>
      </c>
      <c r="B145" s="2" t="s">
        <v>207</v>
      </c>
      <c r="C145" s="129" t="s">
        <v>1118</v>
      </c>
      <c r="D145" s="129" t="s">
        <v>115</v>
      </c>
      <c r="E145" s="130" t="str">
        <f>"05/24/74"</f>
        <v>05/24/74</v>
      </c>
      <c r="F145" s="130" t="str">
        <f>"04/03/85"</f>
        <v>04/03/85</v>
      </c>
      <c r="G145" s="130" t="str">
        <f t="shared" si="6"/>
        <v>06/16/2005</v>
      </c>
      <c r="H145" s="130" t="str">
        <f>"04/03/1985"</f>
        <v>04/03/1985</v>
      </c>
    </row>
    <row r="146" spans="1:8" x14ac:dyDescent="0.25">
      <c r="A146" s="2">
        <v>540122</v>
      </c>
      <c r="B146" s="2" t="s">
        <v>208</v>
      </c>
      <c r="C146" s="129" t="s">
        <v>1119</v>
      </c>
      <c r="D146" s="129" t="s">
        <v>115</v>
      </c>
      <c r="E146" s="130" t="str">
        <f>"05/31/74"</f>
        <v>05/31/74</v>
      </c>
      <c r="F146" s="130" t="str">
        <f>"09/28/84"</f>
        <v>09/28/84</v>
      </c>
      <c r="G146" s="130" t="str">
        <f t="shared" si="6"/>
        <v>06/16/2005</v>
      </c>
      <c r="H146" s="130" t="str">
        <f>"09/28/1984"</f>
        <v>09/28/1984</v>
      </c>
    </row>
    <row r="147" spans="1:8" x14ac:dyDescent="0.25">
      <c r="A147" s="2">
        <v>540123</v>
      </c>
      <c r="B147" s="2" t="s">
        <v>209</v>
      </c>
      <c r="C147" s="129" t="s">
        <v>1120</v>
      </c>
      <c r="D147" s="129" t="s">
        <v>115</v>
      </c>
      <c r="E147" s="130" t="str">
        <f>"05/31/74"</f>
        <v>05/31/74</v>
      </c>
      <c r="F147" s="130" t="str">
        <f>"09/01/83"</f>
        <v>09/01/83</v>
      </c>
      <c r="G147" s="130" t="str">
        <f t="shared" si="6"/>
        <v>06/16/2005</v>
      </c>
      <c r="H147" s="130" t="str">
        <f>"09/01/1983"</f>
        <v>09/01/1983</v>
      </c>
    </row>
    <row r="148" spans="1:8" x14ac:dyDescent="0.25">
      <c r="A148" s="1">
        <v>540124</v>
      </c>
      <c r="B148" s="1" t="s">
        <v>52</v>
      </c>
      <c r="C148" s="126" t="s">
        <v>1121</v>
      </c>
      <c r="D148" s="126" t="s">
        <v>5</v>
      </c>
      <c r="E148" s="127">
        <v>27376</v>
      </c>
      <c r="F148" s="128" t="str">
        <f>"02/01/85"</f>
        <v>02/01/85</v>
      </c>
      <c r="G148" s="128" t="str">
        <f>"03/02/2005"</f>
        <v>03/02/2005</v>
      </c>
      <c r="H148" s="128" t="str">
        <f>"02/01/1985"</f>
        <v>02/01/1985</v>
      </c>
    </row>
    <row r="149" spans="1:8" x14ac:dyDescent="0.25">
      <c r="A149" s="2">
        <v>540172</v>
      </c>
      <c r="B149" s="2" t="s">
        <v>244</v>
      </c>
      <c r="C149" s="129" t="s">
        <v>1122</v>
      </c>
      <c r="D149" s="129" t="s">
        <v>115</v>
      </c>
      <c r="E149" s="130"/>
      <c r="F149" s="130" t="str">
        <f>"03/02/05"</f>
        <v>03/02/05</v>
      </c>
      <c r="G149" s="130" t="s">
        <v>928</v>
      </c>
      <c r="H149" s="130" t="str">
        <f>"04/26/1913"</f>
        <v>04/26/1913</v>
      </c>
    </row>
    <row r="150" spans="1:8" x14ac:dyDescent="0.25">
      <c r="A150" s="2">
        <v>540285</v>
      </c>
      <c r="B150" s="2" t="s">
        <v>324</v>
      </c>
      <c r="C150" s="129" t="s">
        <v>1123</v>
      </c>
      <c r="D150" s="129" t="s">
        <v>115</v>
      </c>
      <c r="E150" s="130"/>
      <c r="F150" s="130" t="str">
        <f>"03/02/05"</f>
        <v>03/02/05</v>
      </c>
      <c r="G150" s="130" t="str">
        <f>"03/02/2005"</f>
        <v>03/02/2005</v>
      </c>
      <c r="H150" s="130" t="str">
        <f>"05/26/1978"</f>
        <v>05/26/1978</v>
      </c>
    </row>
    <row r="151" spans="1:8" x14ac:dyDescent="0.25">
      <c r="A151" s="2">
        <v>540125</v>
      </c>
      <c r="B151" s="2" t="s">
        <v>210</v>
      </c>
      <c r="C151" s="129" t="s">
        <v>1124</v>
      </c>
      <c r="D151" s="129" t="s">
        <v>115</v>
      </c>
      <c r="E151" s="130" t="str">
        <f>"05/24/74"</f>
        <v>05/24/74</v>
      </c>
      <c r="F151" s="131">
        <v>30651</v>
      </c>
      <c r="G151" s="130" t="str">
        <f>"03/02/2005"</f>
        <v>03/02/2005</v>
      </c>
      <c r="H151" s="131">
        <v>30651</v>
      </c>
    </row>
    <row r="152" spans="1:8" x14ac:dyDescent="0.25">
      <c r="A152" s="2">
        <v>540126</v>
      </c>
      <c r="B152" s="2" t="s">
        <v>211</v>
      </c>
      <c r="C152" s="129" t="s">
        <v>1125</v>
      </c>
      <c r="D152" s="129" t="s">
        <v>115</v>
      </c>
      <c r="E152" s="130" t="str">
        <f>"07/30/76"</f>
        <v>07/30/76</v>
      </c>
      <c r="F152" s="131">
        <v>30665</v>
      </c>
      <c r="G152" s="130" t="str">
        <f>"03/02/2005"</f>
        <v>03/02/2005</v>
      </c>
      <c r="H152" s="131">
        <v>30665</v>
      </c>
    </row>
    <row r="153" spans="1:8" x14ac:dyDescent="0.25">
      <c r="A153" s="2">
        <v>540127</v>
      </c>
      <c r="B153" s="2" t="s">
        <v>212</v>
      </c>
      <c r="C153" s="129" t="s">
        <v>1126</v>
      </c>
      <c r="D153" s="129" t="s">
        <v>115</v>
      </c>
      <c r="E153" s="131">
        <v>27327</v>
      </c>
      <c r="F153" s="131">
        <v>30665</v>
      </c>
      <c r="G153" s="130" t="str">
        <f>"03/02/2005"</f>
        <v>03/02/2005</v>
      </c>
      <c r="H153" s="131">
        <v>30665</v>
      </c>
    </row>
    <row r="154" spans="1:8" x14ac:dyDescent="0.25">
      <c r="A154" s="2">
        <v>540128</v>
      </c>
      <c r="B154" s="2" t="s">
        <v>213</v>
      </c>
      <c r="C154" s="129" t="s">
        <v>1127</v>
      </c>
      <c r="D154" s="129" t="s">
        <v>115</v>
      </c>
      <c r="E154" s="130" t="str">
        <f>"07/19/74"</f>
        <v>07/19/74</v>
      </c>
      <c r="F154" s="130" t="str">
        <f>"02/01/84"</f>
        <v>02/01/84</v>
      </c>
      <c r="G154" s="130" t="str">
        <f>"03/02/2005"</f>
        <v>03/02/2005</v>
      </c>
      <c r="H154" s="130" t="str">
        <f>"02/01/1984"</f>
        <v>02/01/1984</v>
      </c>
    </row>
    <row r="155" spans="1:8" x14ac:dyDescent="0.25">
      <c r="A155" s="1">
        <v>540129</v>
      </c>
      <c r="B155" s="1" t="s">
        <v>54</v>
      </c>
      <c r="C155" s="126" t="s">
        <v>1128</v>
      </c>
      <c r="D155" s="126" t="s">
        <v>5</v>
      </c>
      <c r="E155" s="128" t="str">
        <f>"01/31/75"</f>
        <v>01/31/75</v>
      </c>
      <c r="F155" s="128" t="str">
        <f>"09/27/91"</f>
        <v>09/27/91</v>
      </c>
      <c r="G155" s="128" t="str">
        <f>"03/19/2013"</f>
        <v>03/19/2013</v>
      </c>
      <c r="H155" s="128" t="str">
        <f>"09/27/1991"</f>
        <v>09/27/1991</v>
      </c>
    </row>
    <row r="156" spans="1:8" x14ac:dyDescent="0.25">
      <c r="A156" s="2">
        <v>540130</v>
      </c>
      <c r="B156" s="2" t="s">
        <v>214</v>
      </c>
      <c r="C156" s="129" t="s">
        <v>1129</v>
      </c>
      <c r="D156" s="129" t="s">
        <v>115</v>
      </c>
      <c r="E156" s="130" t="str">
        <f>"06/28/74"</f>
        <v>06/28/74</v>
      </c>
      <c r="F156" s="130" t="str">
        <f>"09/27/91"</f>
        <v>09/27/91</v>
      </c>
      <c r="G156" s="130" t="str">
        <f>"03/19/2013"</f>
        <v>03/19/2013</v>
      </c>
      <c r="H156" s="130" t="str">
        <f>"09/27/1991"</f>
        <v>09/27/1991</v>
      </c>
    </row>
    <row r="157" spans="1:8" x14ac:dyDescent="0.25">
      <c r="A157" s="2">
        <v>540131</v>
      </c>
      <c r="B157" s="2" t="s">
        <v>215</v>
      </c>
      <c r="C157" s="129" t="s">
        <v>1130</v>
      </c>
      <c r="D157" s="129" t="s">
        <v>115</v>
      </c>
      <c r="E157" s="130" t="str">
        <f>"08/23/74"</f>
        <v>08/23/74</v>
      </c>
      <c r="F157" s="130" t="str">
        <f>"09/27/91"</f>
        <v>09/27/91</v>
      </c>
      <c r="G157" s="130" t="str">
        <f>"03/19/2013"</f>
        <v>03/19/2013</v>
      </c>
      <c r="H157" s="130" t="str">
        <f>"09/27/1991"</f>
        <v>09/27/1991</v>
      </c>
    </row>
    <row r="158" spans="1:8" x14ac:dyDescent="0.25">
      <c r="A158" s="2">
        <v>540155</v>
      </c>
      <c r="B158" s="2" t="s">
        <v>231</v>
      </c>
      <c r="C158" s="129" t="s">
        <v>1131</v>
      </c>
      <c r="D158" s="129" t="s">
        <v>115</v>
      </c>
      <c r="E158" s="130" t="str">
        <f>"01/31/75"</f>
        <v>01/31/75</v>
      </c>
      <c r="F158" s="130" t="str">
        <f>"09/27/91"</f>
        <v>09/27/91</v>
      </c>
      <c r="G158" s="130" t="str">
        <f>"03/19/2013"</f>
        <v>03/19/2013</v>
      </c>
      <c r="H158" s="130" t="str">
        <f>"04/03/1913"</f>
        <v>04/03/1913</v>
      </c>
    </row>
    <row r="159" spans="1:8" x14ac:dyDescent="0.25">
      <c r="A159" s="1" t="s">
        <v>938</v>
      </c>
      <c r="B159" s="1" t="s">
        <v>56</v>
      </c>
      <c r="C159" s="126" t="s">
        <v>1132</v>
      </c>
      <c r="D159" s="126" t="s">
        <v>5</v>
      </c>
      <c r="E159" s="127">
        <v>27383</v>
      </c>
      <c r="F159" s="127">
        <v>29557</v>
      </c>
      <c r="G159" s="128" t="str">
        <f>"08/17/2016"</f>
        <v>08/17/2016</v>
      </c>
      <c r="H159" s="127">
        <v>29557</v>
      </c>
    </row>
    <row r="160" spans="1:8" x14ac:dyDescent="0.25">
      <c r="A160" s="2">
        <v>540134</v>
      </c>
      <c r="B160" s="2" t="s">
        <v>217</v>
      </c>
      <c r="C160" s="129" t="s">
        <v>1133</v>
      </c>
      <c r="D160" s="129" t="s">
        <v>115</v>
      </c>
      <c r="E160" s="130" t="str">
        <f>"03/02/73"</f>
        <v>03/02/73</v>
      </c>
      <c r="F160" s="130" t="str">
        <f>"03/15/77"</f>
        <v>03/15/77</v>
      </c>
      <c r="G160" s="131">
        <v>41184</v>
      </c>
      <c r="H160" s="130" t="str">
        <f>"03/15/1977"</f>
        <v>03/15/1977</v>
      </c>
    </row>
    <row r="161" spans="1:8" x14ac:dyDescent="0.25">
      <c r="A161" s="2">
        <v>540135</v>
      </c>
      <c r="B161" s="2" t="s">
        <v>218</v>
      </c>
      <c r="C161" s="129" t="s">
        <v>1134</v>
      </c>
      <c r="D161" s="129" t="s">
        <v>115</v>
      </c>
      <c r="E161" s="130" t="str">
        <f>"05/31/74"</f>
        <v>05/31/74</v>
      </c>
      <c r="F161" s="130" t="str">
        <f>"05/02/77"</f>
        <v>05/02/77</v>
      </c>
      <c r="G161" s="131">
        <v>41184</v>
      </c>
      <c r="H161" s="130" t="str">
        <f>"05/02/1977"</f>
        <v>05/02/1977</v>
      </c>
    </row>
    <row r="162" spans="1:8" x14ac:dyDescent="0.25">
      <c r="A162" s="2" t="s">
        <v>939</v>
      </c>
      <c r="B162" s="2" t="s">
        <v>219</v>
      </c>
      <c r="C162" s="129" t="s">
        <v>1135</v>
      </c>
      <c r="D162" s="129" t="s">
        <v>115</v>
      </c>
      <c r="E162" s="130" t="str">
        <f>"01/04/74"</f>
        <v>01/04/74</v>
      </c>
      <c r="F162" s="130" t="str">
        <f>"03/01/78"</f>
        <v>03/01/78</v>
      </c>
      <c r="G162" s="130" t="str">
        <f>"08/17/2016"</f>
        <v>08/17/2016</v>
      </c>
      <c r="H162" s="130" t="str">
        <f>"03/01/1978"</f>
        <v>03/01/1978</v>
      </c>
    </row>
    <row r="163" spans="1:8" x14ac:dyDescent="0.25">
      <c r="A163" s="2" t="s">
        <v>940</v>
      </c>
      <c r="B163" s="2" t="s">
        <v>334</v>
      </c>
      <c r="C163" s="129" t="s">
        <v>1136</v>
      </c>
      <c r="D163" s="129" t="s">
        <v>115</v>
      </c>
      <c r="E163" s="130"/>
      <c r="F163" s="130" t="str">
        <f>"02/03/70"</f>
        <v>02/03/70</v>
      </c>
      <c r="G163" s="130" t="str">
        <f>"08/17/2016"</f>
        <v>08/17/2016</v>
      </c>
      <c r="H163" s="130" t="str">
        <f>"02/03/1970"</f>
        <v>02/03/1970</v>
      </c>
    </row>
    <row r="164" spans="1:8" x14ac:dyDescent="0.25">
      <c r="A164" s="2" t="s">
        <v>941</v>
      </c>
      <c r="B164" s="2" t="s">
        <v>221</v>
      </c>
      <c r="C164" s="129" t="s">
        <v>1137</v>
      </c>
      <c r="D164" s="129" t="s">
        <v>115</v>
      </c>
      <c r="E164" s="130" t="str">
        <f>"05/31/74"</f>
        <v>05/31/74</v>
      </c>
      <c r="F164" s="130" t="str">
        <f>"01/16/81"</f>
        <v>01/16/81</v>
      </c>
      <c r="G164" s="130" t="str">
        <f>"08/17/2016"</f>
        <v>08/17/2016</v>
      </c>
      <c r="H164" s="130" t="str">
        <f>"01/16/1981"</f>
        <v>01/16/1981</v>
      </c>
    </row>
    <row r="165" spans="1:8" x14ac:dyDescent="0.25">
      <c r="A165" s="1" t="s">
        <v>942</v>
      </c>
      <c r="B165" s="1" t="s">
        <v>58</v>
      </c>
      <c r="C165" s="126" t="s">
        <v>1138</v>
      </c>
      <c r="D165" s="126" t="s">
        <v>5</v>
      </c>
      <c r="E165" s="128"/>
      <c r="F165" s="128" t="str">
        <f>"01/20/10"</f>
        <v>01/20/10</v>
      </c>
      <c r="G165" s="128" t="str">
        <f>"04/05/2019"</f>
        <v>04/05/2019</v>
      </c>
      <c r="H165" s="128" t="str">
        <f>"05/01/1984"</f>
        <v>05/01/1984</v>
      </c>
    </row>
    <row r="166" spans="1:8" x14ac:dyDescent="0.25">
      <c r="A166" s="2">
        <v>540140</v>
      </c>
      <c r="B166" s="2" t="s">
        <v>222</v>
      </c>
      <c r="C166" s="129" t="s">
        <v>1139</v>
      </c>
      <c r="D166" s="129" t="s">
        <v>115</v>
      </c>
      <c r="E166" s="131">
        <v>27327</v>
      </c>
      <c r="F166" s="130" t="str">
        <f>"01/20/10"</f>
        <v>01/20/10</v>
      </c>
      <c r="G166" s="130" t="str">
        <f>"01/20/2010"</f>
        <v>01/20/2010</v>
      </c>
      <c r="H166" s="131">
        <v>28850</v>
      </c>
    </row>
    <row r="167" spans="1:8" x14ac:dyDescent="0.25">
      <c r="A167" s="2" t="s">
        <v>943</v>
      </c>
      <c r="B167" s="2" t="s">
        <v>315</v>
      </c>
      <c r="C167" s="129" t="s">
        <v>1140</v>
      </c>
      <c r="D167" s="129" t="s">
        <v>115</v>
      </c>
      <c r="E167" s="131">
        <v>27362</v>
      </c>
      <c r="F167" s="131">
        <v>30665</v>
      </c>
      <c r="G167" s="130" t="str">
        <f>"04/05/2019"</f>
        <v>04/05/2019</v>
      </c>
      <c r="H167" s="131">
        <v>30665</v>
      </c>
    </row>
    <row r="168" spans="1:8" x14ac:dyDescent="0.25">
      <c r="A168" s="2" t="s">
        <v>944</v>
      </c>
      <c r="B168" s="2" t="s">
        <v>223</v>
      </c>
      <c r="C168" s="129" t="s">
        <v>1141</v>
      </c>
      <c r="D168" s="129" t="s">
        <v>115</v>
      </c>
      <c r="E168" s="130" t="str">
        <f>"08/02/74"</f>
        <v>08/02/74</v>
      </c>
      <c r="F168" s="130" t="str">
        <f>"08/01/79"</f>
        <v>08/01/79</v>
      </c>
      <c r="G168" s="130" t="str">
        <f>"04/05/2019"</f>
        <v>04/05/2019</v>
      </c>
      <c r="H168" s="130" t="str">
        <f>"08/01/1979"</f>
        <v>08/01/1979</v>
      </c>
    </row>
    <row r="169" spans="1:8" x14ac:dyDescent="0.25">
      <c r="A169" s="2" t="s">
        <v>945</v>
      </c>
      <c r="B169" s="2" t="s">
        <v>316</v>
      </c>
      <c r="C169" s="129" t="s">
        <v>1142</v>
      </c>
      <c r="D169" s="129" t="s">
        <v>115</v>
      </c>
      <c r="E169" s="131">
        <v>27355</v>
      </c>
      <c r="F169" s="130" t="str">
        <f>"08/01/78"</f>
        <v>08/01/78</v>
      </c>
      <c r="G169" s="130" t="str">
        <f>"04/05/2019"</f>
        <v>04/05/2019</v>
      </c>
      <c r="H169" s="130" t="str">
        <f>"08/01/1978"</f>
        <v>08/01/1978</v>
      </c>
    </row>
    <row r="170" spans="1:8" x14ac:dyDescent="0.25">
      <c r="A170" s="2" t="s">
        <v>946</v>
      </c>
      <c r="B170" s="2" t="s">
        <v>317</v>
      </c>
      <c r="C170" s="129" t="s">
        <v>1143</v>
      </c>
      <c r="D170" s="129" t="s">
        <v>115</v>
      </c>
      <c r="E170" s="131">
        <v>27355</v>
      </c>
      <c r="F170" s="130" t="str">
        <f>"08/01/78"</f>
        <v>08/01/78</v>
      </c>
      <c r="G170" s="130" t="str">
        <f>"04/05/2019"</f>
        <v>04/05/2019</v>
      </c>
      <c r="H170" s="130" t="str">
        <f>"08/01/1978"</f>
        <v>08/01/1978</v>
      </c>
    </row>
    <row r="171" spans="1:8" x14ac:dyDescent="0.25">
      <c r="A171" s="1">
        <v>540278</v>
      </c>
      <c r="B171" s="1" t="s">
        <v>104</v>
      </c>
      <c r="C171" s="126" t="s">
        <v>1144</v>
      </c>
      <c r="D171" s="126" t="s">
        <v>5</v>
      </c>
      <c r="E171" s="128" t="str">
        <f>"07/25/75"</f>
        <v>07/25/75</v>
      </c>
      <c r="F171" s="128" t="str">
        <f>"01/14/83"</f>
        <v>01/14/83</v>
      </c>
      <c r="G171" s="128" t="str">
        <f>"06/17/2002"</f>
        <v>06/17/2002</v>
      </c>
      <c r="H171" s="128" t="str">
        <f>"01/14/1983"</f>
        <v>01/14/1983</v>
      </c>
    </row>
    <row r="172" spans="1:8" x14ac:dyDescent="0.25">
      <c r="A172" s="2">
        <v>540143</v>
      </c>
      <c r="B172" s="2" t="s">
        <v>224</v>
      </c>
      <c r="C172" s="129" t="s">
        <v>1145</v>
      </c>
      <c r="D172" s="129" t="s">
        <v>115</v>
      </c>
      <c r="E172" s="130" t="str">
        <f>"06/28/74"</f>
        <v>06/28/74</v>
      </c>
      <c r="F172" s="130" t="str">
        <f>"08/01/79"</f>
        <v>08/01/79</v>
      </c>
      <c r="G172" s="130" t="str">
        <f>"06/17/2002"</f>
        <v>06/17/2002</v>
      </c>
      <c r="H172" s="130" t="str">
        <f>"08/01/1979"</f>
        <v>08/01/1979</v>
      </c>
    </row>
    <row r="173" spans="1:8" x14ac:dyDescent="0.25">
      <c r="A173" s="2">
        <v>540290</v>
      </c>
      <c r="B173" s="2" t="s">
        <v>327</v>
      </c>
      <c r="C173" s="129" t="s">
        <v>1146</v>
      </c>
      <c r="D173" s="129" t="s">
        <v>115</v>
      </c>
      <c r="E173" s="130"/>
      <c r="F173" s="130" t="str">
        <f>"06/17/02"</f>
        <v>06/17/02</v>
      </c>
      <c r="G173" s="130" t="s">
        <v>928</v>
      </c>
      <c r="H173" s="131">
        <v>39020</v>
      </c>
    </row>
    <row r="174" spans="1:8" x14ac:dyDescent="0.25">
      <c r="A174" s="2">
        <v>540041</v>
      </c>
      <c r="B174" s="2" t="s">
        <v>142</v>
      </c>
      <c r="C174" s="129" t="s">
        <v>1147</v>
      </c>
      <c r="D174" s="129" t="s">
        <v>115</v>
      </c>
      <c r="E174" s="130" t="str">
        <f>"06/14/74"</f>
        <v>06/14/74</v>
      </c>
      <c r="F174" s="130" t="str">
        <f>"09/27/91"</f>
        <v>09/27/91</v>
      </c>
      <c r="G174" s="130" t="str">
        <f>"06/17/2002"</f>
        <v>06/17/2002</v>
      </c>
      <c r="H174" s="130" t="str">
        <f>"09/27/1991"</f>
        <v>09/27/1991</v>
      </c>
    </row>
    <row r="175" spans="1:8" x14ac:dyDescent="0.25">
      <c r="A175" s="1">
        <v>540144</v>
      </c>
      <c r="B175" s="1" t="s">
        <v>60</v>
      </c>
      <c r="C175" s="126" t="s">
        <v>1148</v>
      </c>
      <c r="D175" s="126" t="s">
        <v>5</v>
      </c>
      <c r="E175" s="128" t="str">
        <f>"05/20/77"</f>
        <v>05/20/77</v>
      </c>
      <c r="F175" s="128" t="str">
        <f>"07/01/87"</f>
        <v>07/01/87</v>
      </c>
      <c r="G175" s="128" t="str">
        <f>"09/25/2009"</f>
        <v>09/25/2009</v>
      </c>
      <c r="H175" s="128" t="str">
        <f>"07/01/1987"</f>
        <v>07/01/1987</v>
      </c>
    </row>
    <row r="176" spans="1:8" x14ac:dyDescent="0.25">
      <c r="A176" s="2">
        <v>540005</v>
      </c>
      <c r="B176" s="2" t="s">
        <v>947</v>
      </c>
      <c r="C176" s="129" t="s">
        <v>1149</v>
      </c>
      <c r="D176" s="129" t="s">
        <v>115</v>
      </c>
      <c r="E176" s="130" t="str">
        <f>"02/27/76"</f>
        <v>02/27/76</v>
      </c>
      <c r="F176" s="130" t="str">
        <f>"01/02/80"</f>
        <v>01/02/80</v>
      </c>
      <c r="G176" s="130" t="str">
        <f>"09/25/2009"</f>
        <v>09/25/2009</v>
      </c>
      <c r="H176" s="130" t="str">
        <f>"01/02/1980"</f>
        <v>01/02/1980</v>
      </c>
    </row>
    <row r="177" spans="1:8" x14ac:dyDescent="0.25">
      <c r="A177" s="2">
        <v>540252</v>
      </c>
      <c r="B177" s="2" t="s">
        <v>298</v>
      </c>
      <c r="C177" s="129" t="s">
        <v>1150</v>
      </c>
      <c r="D177" s="129" t="s">
        <v>115</v>
      </c>
      <c r="E177" s="131">
        <v>27348</v>
      </c>
      <c r="F177" s="131">
        <v>30988</v>
      </c>
      <c r="G177" s="130" t="str">
        <f>"09/25/2009"</f>
        <v>09/25/2009</v>
      </c>
      <c r="H177" s="131">
        <v>30988</v>
      </c>
    </row>
    <row r="178" spans="1:8" x14ac:dyDescent="0.25">
      <c r="A178" s="1">
        <v>540146</v>
      </c>
      <c r="B178" s="1" t="s">
        <v>62</v>
      </c>
      <c r="C178" s="126" t="s">
        <v>1151</v>
      </c>
      <c r="D178" s="126" t="s">
        <v>5</v>
      </c>
      <c r="E178" s="128" t="str">
        <f>"07/25/75"</f>
        <v>07/25/75</v>
      </c>
      <c r="F178" s="127">
        <v>33548</v>
      </c>
      <c r="G178" s="128" t="str">
        <f>"07/04/2011"</f>
        <v>07/04/2011</v>
      </c>
      <c r="H178" s="128" t="str">
        <f>"04/05/1994"</f>
        <v>04/05/1994</v>
      </c>
    </row>
    <row r="179" spans="1:8" x14ac:dyDescent="0.25">
      <c r="A179" s="2">
        <v>540147</v>
      </c>
      <c r="B179" s="2" t="s">
        <v>225</v>
      </c>
      <c r="C179" s="129" t="s">
        <v>1152</v>
      </c>
      <c r="D179" s="129" t="s">
        <v>115</v>
      </c>
      <c r="E179" s="130" t="str">
        <f>"05/31/74"</f>
        <v>05/31/74</v>
      </c>
      <c r="F179" s="130" t="str">
        <f>"09/27/91"</f>
        <v>09/27/91</v>
      </c>
      <c r="G179" s="130" t="str">
        <f>"07/04/2011"</f>
        <v>07/04/2011</v>
      </c>
      <c r="H179" s="130" t="str">
        <f>"09/27/1991"</f>
        <v>09/27/1991</v>
      </c>
    </row>
    <row r="180" spans="1:8" x14ac:dyDescent="0.25">
      <c r="A180" s="2">
        <v>540148</v>
      </c>
      <c r="B180" s="2" t="s">
        <v>226</v>
      </c>
      <c r="C180" s="129" t="s">
        <v>1153</v>
      </c>
      <c r="D180" s="129" t="s">
        <v>115</v>
      </c>
      <c r="E180" s="130" t="str">
        <f>"06/28/74"</f>
        <v>06/28/74</v>
      </c>
      <c r="F180" s="130" t="str">
        <f>"08/24/84"</f>
        <v>08/24/84</v>
      </c>
      <c r="G180" s="130" t="str">
        <f>"07/04/11(M)"</f>
        <v>07/04/11(M)</v>
      </c>
      <c r="H180" s="130" t="str">
        <f>"08/24/1984"</f>
        <v>08/24/1984</v>
      </c>
    </row>
    <row r="181" spans="1:8" x14ac:dyDescent="0.25">
      <c r="A181" s="1">
        <v>540149</v>
      </c>
      <c r="B181" s="1" t="s">
        <v>64</v>
      </c>
      <c r="C181" s="126" t="s">
        <v>1154</v>
      </c>
      <c r="D181" s="126" t="s">
        <v>5</v>
      </c>
      <c r="E181" s="127">
        <v>27362</v>
      </c>
      <c r="F181" s="128" t="str">
        <f>"04/04/83"</f>
        <v>04/04/83</v>
      </c>
      <c r="G181" s="128" t="str">
        <f>"07/17/2006"</f>
        <v>07/17/2006</v>
      </c>
      <c r="H181" s="128" t="str">
        <f>"04/04/1983"</f>
        <v>04/04/1983</v>
      </c>
    </row>
    <row r="182" spans="1:8" x14ac:dyDescent="0.25">
      <c r="A182" s="2">
        <v>540275</v>
      </c>
      <c r="B182" s="2" t="s">
        <v>318</v>
      </c>
      <c r="C182" s="129" t="s">
        <v>1155</v>
      </c>
      <c r="D182" s="129" t="s">
        <v>115</v>
      </c>
      <c r="E182" s="130"/>
      <c r="F182" s="130" t="str">
        <f>"07/17/06"</f>
        <v>07/17/06</v>
      </c>
      <c r="G182" s="130" t="s">
        <v>928</v>
      </c>
      <c r="H182" s="130" t="str">
        <f>"08/26/1977"</f>
        <v>08/26/1977</v>
      </c>
    </row>
    <row r="183" spans="1:8" x14ac:dyDescent="0.25">
      <c r="A183" s="2">
        <v>540080</v>
      </c>
      <c r="B183" s="2" t="s">
        <v>175</v>
      </c>
      <c r="C183" s="129" t="s">
        <v>1156</v>
      </c>
      <c r="D183" s="129" t="s">
        <v>115</v>
      </c>
      <c r="E183" s="130"/>
      <c r="F183" s="130" t="str">
        <f>"07/17/06"</f>
        <v>07/17/06</v>
      </c>
      <c r="G183" s="130" t="s">
        <v>928</v>
      </c>
      <c r="H183" s="130" t="str">
        <f>"03/16/1907"</f>
        <v>03/16/1907</v>
      </c>
    </row>
    <row r="184" spans="1:8" x14ac:dyDescent="0.25">
      <c r="A184" s="2">
        <v>540150</v>
      </c>
      <c r="B184" s="2" t="s">
        <v>227</v>
      </c>
      <c r="C184" s="129" t="s">
        <v>1157</v>
      </c>
      <c r="D184" s="129" t="s">
        <v>115</v>
      </c>
      <c r="E184" s="130" t="str">
        <f>"02/08/74"</f>
        <v>02/08/74</v>
      </c>
      <c r="F184" s="130" t="str">
        <f>"01/18/84"</f>
        <v>01/18/84</v>
      </c>
      <c r="G184" s="130" t="str">
        <f>"07/17/2006"</f>
        <v>07/17/2006</v>
      </c>
      <c r="H184" s="130" t="str">
        <f>"01/18/1984"</f>
        <v>01/18/1984</v>
      </c>
    </row>
    <row r="185" spans="1:8" x14ac:dyDescent="0.25">
      <c r="A185" s="2">
        <v>540151</v>
      </c>
      <c r="B185" s="2" t="s">
        <v>228</v>
      </c>
      <c r="C185" s="129" t="s">
        <v>1158</v>
      </c>
      <c r="D185" s="129" t="s">
        <v>115</v>
      </c>
      <c r="E185" s="130" t="str">
        <f>"02/01/74"</f>
        <v>02/01/74</v>
      </c>
      <c r="F185" s="130" t="str">
        <f>"09/28/79"</f>
        <v>09/28/79</v>
      </c>
      <c r="G185" s="130" t="str">
        <f>"07/17/2006"</f>
        <v>07/17/2006</v>
      </c>
      <c r="H185" s="130" t="str">
        <f>"09/28/1979"</f>
        <v>09/28/1979</v>
      </c>
    </row>
    <row r="186" spans="1:8" x14ac:dyDescent="0.25">
      <c r="A186" s="2">
        <v>540094</v>
      </c>
      <c r="B186" s="2" t="s">
        <v>185</v>
      </c>
      <c r="C186" s="129" t="s">
        <v>1159</v>
      </c>
      <c r="D186" s="129" t="s">
        <v>115</v>
      </c>
      <c r="E186" s="130"/>
      <c r="F186" s="130" t="str">
        <f>"07/17/06"</f>
        <v>07/17/06</v>
      </c>
      <c r="G186" s="130" t="str">
        <f>"07/17/2006"</f>
        <v>07/17/2006</v>
      </c>
      <c r="H186" s="130" t="str">
        <f>"07/17/1906"</f>
        <v>07/17/1906</v>
      </c>
    </row>
    <row r="187" spans="1:8" x14ac:dyDescent="0.25">
      <c r="A187" s="2">
        <v>540152</v>
      </c>
      <c r="B187" s="2" t="s">
        <v>229</v>
      </c>
      <c r="C187" s="129" t="s">
        <v>1160</v>
      </c>
      <c r="D187" s="129" t="s">
        <v>115</v>
      </c>
      <c r="E187" s="131">
        <v>27376</v>
      </c>
      <c r="F187" s="130" t="str">
        <f>"02/18/81"</f>
        <v>02/18/81</v>
      </c>
      <c r="G187" s="130" t="str">
        <f>"07/17/2006"</f>
        <v>07/17/2006</v>
      </c>
      <c r="H187" s="130" t="str">
        <f>"02/18/1981"</f>
        <v>02/18/1981</v>
      </c>
    </row>
    <row r="188" spans="1:8" x14ac:dyDescent="0.25">
      <c r="A188" s="1">
        <v>540153</v>
      </c>
      <c r="B188" s="1" t="s">
        <v>66</v>
      </c>
      <c r="C188" s="126" t="s">
        <v>1161</v>
      </c>
      <c r="D188" s="126" t="s">
        <v>5</v>
      </c>
      <c r="E188" s="128" t="str">
        <f>"04/25/75"</f>
        <v>04/25/75</v>
      </c>
      <c r="F188" s="128" t="str">
        <f>"07/01/87"</f>
        <v>07/01/87</v>
      </c>
      <c r="G188" s="128" t="str">
        <f>"03/02/2010"</f>
        <v>03/02/2010</v>
      </c>
      <c r="H188" s="128" t="str">
        <f>"07/01/1987"</f>
        <v>07/01/1987</v>
      </c>
    </row>
    <row r="189" spans="1:8" x14ac:dyDescent="0.25">
      <c r="A189" s="2">
        <v>540154</v>
      </c>
      <c r="B189" s="2" t="s">
        <v>230</v>
      </c>
      <c r="C189" s="129" t="s">
        <v>1162</v>
      </c>
      <c r="D189" s="129" t="s">
        <v>115</v>
      </c>
      <c r="E189" s="130" t="str">
        <f>"05/31/74"</f>
        <v>05/31/74</v>
      </c>
      <c r="F189" s="130" t="str">
        <f>"09/01/87"</f>
        <v>09/01/87</v>
      </c>
      <c r="G189" s="130" t="str">
        <f>"03/02/2010"</f>
        <v>03/02/2010</v>
      </c>
      <c r="H189" s="130" t="str">
        <f>"09/01/1987"</f>
        <v>09/01/1987</v>
      </c>
    </row>
    <row r="190" spans="1:8" x14ac:dyDescent="0.25">
      <c r="A190" s="1">
        <v>540225</v>
      </c>
      <c r="B190" s="1" t="s">
        <v>98</v>
      </c>
      <c r="C190" s="126" t="s">
        <v>1163</v>
      </c>
      <c r="D190" s="126" t="s">
        <v>5</v>
      </c>
      <c r="E190" s="128" t="str">
        <f>"01/03/75"</f>
        <v>01/03/75</v>
      </c>
      <c r="F190" s="128" t="str">
        <f>"06/03/91"</f>
        <v>06/03/91</v>
      </c>
      <c r="G190" s="128" t="str">
        <f>"05/05/2014"</f>
        <v>05/05/2014</v>
      </c>
      <c r="H190" s="128" t="str">
        <f>"06/03/1991"</f>
        <v>06/03/1991</v>
      </c>
    </row>
    <row r="191" spans="1:8" x14ac:dyDescent="0.25">
      <c r="A191" s="2">
        <v>540253</v>
      </c>
      <c r="B191" s="2" t="s">
        <v>299</v>
      </c>
      <c r="C191" s="129" t="s">
        <v>1164</v>
      </c>
      <c r="D191" s="129" t="s">
        <v>115</v>
      </c>
      <c r="E191" s="130" t="str">
        <f>"02/21/75"</f>
        <v>02/21/75</v>
      </c>
      <c r="F191" s="130" t="str">
        <f>"06/03/91"</f>
        <v>06/03/91</v>
      </c>
      <c r="G191" s="130" t="str">
        <f>"05/05/2014"</f>
        <v>05/05/2014</v>
      </c>
      <c r="H191" s="130" t="str">
        <f>"06/03/1991"</f>
        <v>06/03/1991</v>
      </c>
    </row>
    <row r="192" spans="1:8" x14ac:dyDescent="0.25">
      <c r="A192" s="2">
        <v>540156</v>
      </c>
      <c r="B192" s="2" t="s">
        <v>232</v>
      </c>
      <c r="C192" s="129" t="s">
        <v>1165</v>
      </c>
      <c r="D192" s="129" t="s">
        <v>115</v>
      </c>
      <c r="E192" s="130" t="str">
        <f>"03/29/74"</f>
        <v>03/29/74</v>
      </c>
      <c r="F192" s="130" t="str">
        <f>"06/03/91"</f>
        <v>06/03/91</v>
      </c>
      <c r="G192" s="130" t="str">
        <f>"05/05/2014"</f>
        <v>05/05/2014</v>
      </c>
      <c r="H192" s="130" t="str">
        <f>"06/03/1991"</f>
        <v>06/03/1991</v>
      </c>
    </row>
    <row r="193" spans="1:8" x14ac:dyDescent="0.25">
      <c r="A193" s="1">
        <v>540283</v>
      </c>
      <c r="B193" s="1" t="s">
        <v>108</v>
      </c>
      <c r="C193" s="126" t="s">
        <v>1166</v>
      </c>
      <c r="D193" s="126" t="s">
        <v>5</v>
      </c>
      <c r="E193" s="128" t="str">
        <f>"01/24/75"</f>
        <v>01/24/75</v>
      </c>
      <c r="F193" s="127">
        <v>32798</v>
      </c>
      <c r="G193" s="127">
        <v>40486</v>
      </c>
      <c r="H193" s="127">
        <v>32798</v>
      </c>
    </row>
    <row r="194" spans="1:8" x14ac:dyDescent="0.25">
      <c r="A194" s="2">
        <v>540158</v>
      </c>
      <c r="B194" s="2" t="s">
        <v>233</v>
      </c>
      <c r="C194" s="129" t="s">
        <v>1167</v>
      </c>
      <c r="D194" s="129" t="s">
        <v>115</v>
      </c>
      <c r="E194" s="130" t="str">
        <f>"08/09/74"</f>
        <v>08/09/74</v>
      </c>
      <c r="F194" s="130" t="str">
        <f>"08/24/84"</f>
        <v>08/24/84</v>
      </c>
      <c r="G194" s="131">
        <v>40486</v>
      </c>
      <c r="H194" s="130" t="str">
        <f>"08/24/1984"</f>
        <v>08/24/1984</v>
      </c>
    </row>
    <row r="195" spans="1:8" x14ac:dyDescent="0.25">
      <c r="A195" s="2">
        <v>540159</v>
      </c>
      <c r="B195" s="2" t="s">
        <v>234</v>
      </c>
      <c r="C195" s="129" t="s">
        <v>1168</v>
      </c>
      <c r="D195" s="129" t="s">
        <v>115</v>
      </c>
      <c r="E195" s="130" t="str">
        <f>"06/07/74"</f>
        <v>06/07/74</v>
      </c>
      <c r="F195" s="131">
        <v>32798</v>
      </c>
      <c r="G195" s="131">
        <v>40486</v>
      </c>
      <c r="H195" s="131">
        <v>32798</v>
      </c>
    </row>
    <row r="196" spans="1:8" x14ac:dyDescent="0.25">
      <c r="A196" s="1">
        <v>540161</v>
      </c>
      <c r="B196" s="1" t="s">
        <v>235</v>
      </c>
      <c r="C196" s="126" t="s">
        <v>1169</v>
      </c>
      <c r="D196" s="126" t="s">
        <v>5</v>
      </c>
      <c r="E196" s="127">
        <v>27327</v>
      </c>
      <c r="F196" s="128" t="str">
        <f>"08/01/87"</f>
        <v>08/01/87</v>
      </c>
      <c r="G196" s="128" t="str">
        <f>"06/05/2012"</f>
        <v>06/05/2012</v>
      </c>
      <c r="H196" s="128" t="str">
        <f>"08/01/1987"</f>
        <v>08/01/1987</v>
      </c>
    </row>
    <row r="197" spans="1:8" x14ac:dyDescent="0.25">
      <c r="A197" s="1">
        <v>540160</v>
      </c>
      <c r="B197" s="1" t="s">
        <v>68</v>
      </c>
      <c r="C197" s="126" t="s">
        <v>1170</v>
      </c>
      <c r="D197" s="126" t="s">
        <v>5</v>
      </c>
      <c r="E197" s="128" t="str">
        <f>"07/25/75"</f>
        <v>07/25/75</v>
      </c>
      <c r="F197" s="128" t="str">
        <f>"03/01/87"</f>
        <v>03/01/87</v>
      </c>
      <c r="G197" s="128" t="str">
        <f>"06/05/2012"</f>
        <v>06/05/2012</v>
      </c>
      <c r="H197" s="128" t="str">
        <f>"03/01/1987"</f>
        <v>03/01/1987</v>
      </c>
    </row>
    <row r="198" spans="1:8" x14ac:dyDescent="0.25">
      <c r="A198" s="2">
        <v>540162</v>
      </c>
      <c r="B198" s="2" t="s">
        <v>236</v>
      </c>
      <c r="C198" s="129" t="s">
        <v>1171</v>
      </c>
      <c r="D198" s="129" t="s">
        <v>115</v>
      </c>
      <c r="E198" s="130" t="str">
        <f>"08/09/74"</f>
        <v>08/09/74</v>
      </c>
      <c r="F198" s="130" t="str">
        <f>"08/01/87"</f>
        <v>08/01/87</v>
      </c>
      <c r="G198" s="130" t="str">
        <f>"06/05/2012"</f>
        <v>06/05/2012</v>
      </c>
      <c r="H198" s="130" t="str">
        <f>"08/01/1987"</f>
        <v>08/01/1987</v>
      </c>
    </row>
    <row r="199" spans="1:8" x14ac:dyDescent="0.25">
      <c r="A199" s="2">
        <v>540254</v>
      </c>
      <c r="B199" s="2" t="s">
        <v>300</v>
      </c>
      <c r="C199" s="129" t="s">
        <v>1172</v>
      </c>
      <c r="D199" s="129" t="s">
        <v>115</v>
      </c>
      <c r="E199" s="130" t="str">
        <f>"09/03/76"</f>
        <v>09/03/76</v>
      </c>
      <c r="F199" s="130" t="str">
        <f>"06/05/12"</f>
        <v>06/05/12</v>
      </c>
      <c r="G199" s="130" t="str">
        <f>"06/05/12(M)"</f>
        <v>06/05/12(M)</v>
      </c>
      <c r="H199" s="131">
        <v>31728</v>
      </c>
    </row>
    <row r="200" spans="1:8" x14ac:dyDescent="0.25">
      <c r="A200" s="2">
        <v>540270</v>
      </c>
      <c r="B200" s="2" t="s">
        <v>313</v>
      </c>
      <c r="C200" s="129" t="s">
        <v>1173</v>
      </c>
      <c r="D200" s="129" t="s">
        <v>115</v>
      </c>
      <c r="E200" s="131">
        <v>27348</v>
      </c>
      <c r="F200" s="130" t="str">
        <f>"06/05/12"</f>
        <v>06/05/12</v>
      </c>
      <c r="G200" s="130" t="str">
        <f>"06/05/2012"</f>
        <v>06/05/2012</v>
      </c>
      <c r="H200" s="130" t="str">
        <f>"09/26/1912"</f>
        <v>09/26/1912</v>
      </c>
    </row>
    <row r="201" spans="1:8" x14ac:dyDescent="0.25">
      <c r="A201" s="2">
        <v>540268</v>
      </c>
      <c r="B201" s="2" t="s">
        <v>311</v>
      </c>
      <c r="C201" s="129" t="s">
        <v>1174</v>
      </c>
      <c r="D201" s="129" t="s">
        <v>115</v>
      </c>
      <c r="E201" s="131">
        <v>27348</v>
      </c>
      <c r="F201" s="130" t="str">
        <f>"08/01/87"</f>
        <v>08/01/87</v>
      </c>
      <c r="G201" s="130" t="str">
        <f>"06/05/12(M)"</f>
        <v>06/05/12(M)</v>
      </c>
      <c r="H201" s="130" t="str">
        <f>"08/01/1987"</f>
        <v>08/01/1987</v>
      </c>
    </row>
    <row r="202" spans="1:8" x14ac:dyDescent="0.25">
      <c r="A202" s="2">
        <v>540269</v>
      </c>
      <c r="B202" s="2" t="s">
        <v>312</v>
      </c>
      <c r="C202" s="129" t="s">
        <v>1175</v>
      </c>
      <c r="D202" s="129" t="s">
        <v>115</v>
      </c>
      <c r="E202" s="131">
        <v>27348</v>
      </c>
      <c r="F202" s="130" t="str">
        <f>"08/01/87"</f>
        <v>08/01/87</v>
      </c>
      <c r="G202" s="130" t="str">
        <f>"06/05/2012"</f>
        <v>06/05/2012</v>
      </c>
      <c r="H202" s="130" t="str">
        <f>"08/01/1987"</f>
        <v>08/01/1987</v>
      </c>
    </row>
    <row r="203" spans="1:8" x14ac:dyDescent="0.25">
      <c r="A203" s="2">
        <v>540163</v>
      </c>
      <c r="B203" s="2" t="s">
        <v>237</v>
      </c>
      <c r="C203" s="129" t="s">
        <v>1176</v>
      </c>
      <c r="D203" s="129" t="s">
        <v>115</v>
      </c>
      <c r="E203" s="130" t="str">
        <f>"02/01/74"</f>
        <v>02/01/74</v>
      </c>
      <c r="F203" s="130" t="str">
        <f>"08/01/79"</f>
        <v>08/01/79</v>
      </c>
      <c r="G203" s="130" t="str">
        <f>"06/05/2012"</f>
        <v>06/05/2012</v>
      </c>
      <c r="H203" s="130" t="str">
        <f>"08/01/1979"</f>
        <v>08/01/1979</v>
      </c>
    </row>
    <row r="204" spans="1:8" x14ac:dyDescent="0.25">
      <c r="A204" s="2">
        <v>540257</v>
      </c>
      <c r="B204" s="2" t="s">
        <v>302</v>
      </c>
      <c r="C204" s="129" t="s">
        <v>1177</v>
      </c>
      <c r="D204" s="129" t="s">
        <v>115</v>
      </c>
      <c r="E204" s="131">
        <v>27348</v>
      </c>
      <c r="F204" s="130" t="str">
        <f>"08/01/87"</f>
        <v>08/01/87</v>
      </c>
      <c r="G204" s="130" t="str">
        <f>"06/05/12(M)"</f>
        <v>06/05/12(M)</v>
      </c>
      <c r="H204" s="130" t="str">
        <f>"08/25/1987"</f>
        <v>08/25/1987</v>
      </c>
    </row>
    <row r="205" spans="1:8" x14ac:dyDescent="0.25">
      <c r="A205" s="2">
        <v>540137</v>
      </c>
      <c r="B205" s="2" t="s">
        <v>220</v>
      </c>
      <c r="C205" s="129" t="s">
        <v>1178</v>
      </c>
      <c r="D205" s="129" t="s">
        <v>115</v>
      </c>
      <c r="E205" s="130"/>
      <c r="F205" s="130" t="str">
        <f>"06/05/12"</f>
        <v>06/05/12</v>
      </c>
      <c r="G205" s="130" t="s">
        <v>928</v>
      </c>
      <c r="H205" s="130" t="str">
        <f>"06/05/1912"</f>
        <v>06/05/1912</v>
      </c>
    </row>
    <row r="206" spans="1:8" x14ac:dyDescent="0.25">
      <c r="A206" s="1">
        <v>540164</v>
      </c>
      <c r="B206" s="1" t="s">
        <v>70</v>
      </c>
      <c r="C206" s="126" t="s">
        <v>1179</v>
      </c>
      <c r="D206" s="126" t="s">
        <v>5</v>
      </c>
      <c r="E206" s="128" t="str">
        <f>"04/18/75"</f>
        <v>04/18/75</v>
      </c>
      <c r="F206" s="128" t="str">
        <f>"06/18/87"</f>
        <v>06/18/87</v>
      </c>
      <c r="G206" s="128" t="str">
        <f t="shared" ref="G206:G212" si="7">"02/02/2012"</f>
        <v>02/02/2012</v>
      </c>
      <c r="H206" s="128" t="str">
        <f>"06/18/1987"</f>
        <v>06/18/1987</v>
      </c>
    </row>
    <row r="207" spans="1:8" x14ac:dyDescent="0.25">
      <c r="A207" s="2">
        <v>540165</v>
      </c>
      <c r="B207" s="2" t="s">
        <v>238</v>
      </c>
      <c r="C207" s="129" t="s">
        <v>1180</v>
      </c>
      <c r="D207" s="129" t="s">
        <v>115</v>
      </c>
      <c r="E207" s="130" t="str">
        <f>"08/09/74"</f>
        <v>08/09/74</v>
      </c>
      <c r="F207" s="131">
        <v>31399</v>
      </c>
      <c r="G207" s="130" t="str">
        <f t="shared" si="7"/>
        <v>02/02/2012</v>
      </c>
      <c r="H207" s="131">
        <v>31399</v>
      </c>
    </row>
    <row r="208" spans="1:8" x14ac:dyDescent="0.25">
      <c r="A208" s="2">
        <v>540166</v>
      </c>
      <c r="B208" s="2" t="s">
        <v>239</v>
      </c>
      <c r="C208" s="129" t="s">
        <v>1181</v>
      </c>
      <c r="D208" s="129" t="s">
        <v>115</v>
      </c>
      <c r="E208" s="130" t="str">
        <f>"02/01/74"</f>
        <v>02/01/74</v>
      </c>
      <c r="F208" s="131">
        <v>31399</v>
      </c>
      <c r="G208" s="130" t="str">
        <f t="shared" si="7"/>
        <v>02/02/2012</v>
      </c>
      <c r="H208" s="131">
        <v>31399</v>
      </c>
    </row>
    <row r="209" spans="1:8" x14ac:dyDescent="0.25">
      <c r="A209" s="2">
        <v>540222</v>
      </c>
      <c r="B209" s="2" t="s">
        <v>276</v>
      </c>
      <c r="C209" s="129" t="s">
        <v>1182</v>
      </c>
      <c r="D209" s="129" t="s">
        <v>115</v>
      </c>
      <c r="E209" s="131">
        <v>27383</v>
      </c>
      <c r="F209" s="130" t="str">
        <f>"02/06/84"</f>
        <v>02/06/84</v>
      </c>
      <c r="G209" s="130" t="str">
        <f t="shared" si="7"/>
        <v>02/02/2012</v>
      </c>
      <c r="H209" s="130" t="str">
        <f>"02/06/1984"</f>
        <v>02/06/1984</v>
      </c>
    </row>
    <row r="210" spans="1:8" x14ac:dyDescent="0.25">
      <c r="A210" s="2">
        <v>540167</v>
      </c>
      <c r="B210" s="2" t="s">
        <v>240</v>
      </c>
      <c r="C210" s="129" t="s">
        <v>1183</v>
      </c>
      <c r="D210" s="129" t="s">
        <v>115</v>
      </c>
      <c r="E210" s="130" t="str">
        <f>"04/09/76"</f>
        <v>04/09/76</v>
      </c>
      <c r="F210" s="130" t="str">
        <f>"03/04/86"</f>
        <v>03/04/86</v>
      </c>
      <c r="G210" s="130" t="str">
        <f t="shared" si="7"/>
        <v>02/02/2012</v>
      </c>
      <c r="H210" s="130" t="str">
        <f>"03/04/1986"</f>
        <v>03/04/1986</v>
      </c>
    </row>
    <row r="211" spans="1:8" x14ac:dyDescent="0.25">
      <c r="A211" s="2">
        <v>540168</v>
      </c>
      <c r="B211" s="2" t="s">
        <v>241</v>
      </c>
      <c r="C211" s="129" t="s">
        <v>1184</v>
      </c>
      <c r="D211" s="129" t="s">
        <v>115</v>
      </c>
      <c r="E211" s="130" t="str">
        <f>"03/29/74"</f>
        <v>03/29/74</v>
      </c>
      <c r="F211" s="131">
        <v>31399</v>
      </c>
      <c r="G211" s="130" t="str">
        <f t="shared" si="7"/>
        <v>02/02/2012</v>
      </c>
      <c r="H211" s="131">
        <v>31399</v>
      </c>
    </row>
    <row r="212" spans="1:8" x14ac:dyDescent="0.25">
      <c r="A212" s="2">
        <v>540271</v>
      </c>
      <c r="B212" s="2" t="s">
        <v>314</v>
      </c>
      <c r="C212" s="129" t="s">
        <v>1185</v>
      </c>
      <c r="D212" s="129" t="s">
        <v>115</v>
      </c>
      <c r="E212" s="131">
        <v>27348</v>
      </c>
      <c r="F212" s="131">
        <v>31399</v>
      </c>
      <c r="G212" s="130" t="str">
        <f t="shared" si="7"/>
        <v>02/02/2012</v>
      </c>
      <c r="H212" s="131">
        <v>31399</v>
      </c>
    </row>
    <row r="213" spans="1:8" x14ac:dyDescent="0.25">
      <c r="A213" s="2">
        <v>540081</v>
      </c>
      <c r="B213" s="2" t="s">
        <v>176</v>
      </c>
      <c r="C213" s="129" t="s">
        <v>1186</v>
      </c>
      <c r="D213" s="129" t="s">
        <v>115</v>
      </c>
      <c r="E213" s="130" t="str">
        <f>"03/15/74"</f>
        <v>03/15/74</v>
      </c>
      <c r="F213" s="130" t="str">
        <f>"04/15/82"</f>
        <v>04/15/82</v>
      </c>
      <c r="G213" s="130" t="str">
        <f>"02/06/2008"</f>
        <v>02/06/2008</v>
      </c>
      <c r="H213" s="130" t="str">
        <f>"04/15/1982"</f>
        <v>04/15/1982</v>
      </c>
    </row>
    <row r="214" spans="1:8" x14ac:dyDescent="0.25">
      <c r="A214" s="1">
        <v>540169</v>
      </c>
      <c r="B214" s="1" t="s">
        <v>72</v>
      </c>
      <c r="C214" s="126" t="s">
        <v>1187</v>
      </c>
      <c r="D214" s="126" t="s">
        <v>5</v>
      </c>
      <c r="E214" s="128" t="str">
        <f>"04/25/75"</f>
        <v>04/25/75</v>
      </c>
      <c r="F214" s="127">
        <v>31034</v>
      </c>
      <c r="G214" s="128" t="str">
        <f>"06/16/2009"</f>
        <v>06/16/2009</v>
      </c>
      <c r="H214" s="127">
        <v>31034</v>
      </c>
    </row>
    <row r="215" spans="1:8" x14ac:dyDescent="0.25">
      <c r="A215" s="2">
        <v>540170</v>
      </c>
      <c r="B215" s="2" t="s">
        <v>242</v>
      </c>
      <c r="C215" s="129" t="s">
        <v>1188</v>
      </c>
      <c r="D215" s="129" t="s">
        <v>115</v>
      </c>
      <c r="E215" s="130" t="str">
        <f>"06/07/74"</f>
        <v>06/07/74</v>
      </c>
      <c r="F215" s="131">
        <v>30987</v>
      </c>
      <c r="G215" s="130" t="str">
        <f>"09/29/2006"</f>
        <v>09/29/2006</v>
      </c>
      <c r="H215" s="131">
        <v>30987</v>
      </c>
    </row>
    <row r="216" spans="1:8" x14ac:dyDescent="0.25">
      <c r="A216" s="2">
        <v>540171</v>
      </c>
      <c r="B216" s="2" t="s">
        <v>243</v>
      </c>
      <c r="C216" s="129" t="s">
        <v>1189</v>
      </c>
      <c r="D216" s="129" t="s">
        <v>115</v>
      </c>
      <c r="E216" s="130" t="str">
        <f>"06/28/74"</f>
        <v>06/28/74</v>
      </c>
      <c r="F216" s="130" t="str">
        <f>"04/01/88"</f>
        <v>04/01/88</v>
      </c>
      <c r="G216" s="130" t="str">
        <f>"09/29/2006"</f>
        <v>09/29/2006</v>
      </c>
      <c r="H216" s="130" t="str">
        <f>"04/01/1988"</f>
        <v>04/01/1988</v>
      </c>
    </row>
    <row r="217" spans="1:8" x14ac:dyDescent="0.25">
      <c r="A217" s="2">
        <v>540286</v>
      </c>
      <c r="B217" s="2" t="s">
        <v>325</v>
      </c>
      <c r="C217" s="129" t="s">
        <v>1190</v>
      </c>
      <c r="D217" s="129" t="s">
        <v>115</v>
      </c>
      <c r="E217" s="131">
        <v>29910</v>
      </c>
      <c r="F217" s="130" t="str">
        <f>"03/04/85"</f>
        <v>03/04/85</v>
      </c>
      <c r="G217" s="130" t="str">
        <f>"09/29/2006"</f>
        <v>09/29/2006</v>
      </c>
      <c r="H217" s="130" t="str">
        <f>"03/04/1985"</f>
        <v>03/04/1985</v>
      </c>
    </row>
    <row r="218" spans="1:8" x14ac:dyDescent="0.25">
      <c r="A218" s="2">
        <v>540173</v>
      </c>
      <c r="B218" s="2" t="s">
        <v>245</v>
      </c>
      <c r="C218" s="129" t="s">
        <v>1191</v>
      </c>
      <c r="D218" s="129" t="s">
        <v>115</v>
      </c>
      <c r="E218" s="130" t="str">
        <f>"05/21/76"</f>
        <v>05/21/76</v>
      </c>
      <c r="F218" s="130" t="str">
        <f>"09/01/87"</f>
        <v>09/01/87</v>
      </c>
      <c r="G218" s="130" t="str">
        <f>"09/29/2006"</f>
        <v>09/29/2006</v>
      </c>
      <c r="H218" s="130" t="str">
        <f>"09/01/1987"</f>
        <v>09/01/1987</v>
      </c>
    </row>
    <row r="219" spans="1:8" x14ac:dyDescent="0.25">
      <c r="A219" s="2">
        <v>540174</v>
      </c>
      <c r="B219" s="2" t="s">
        <v>246</v>
      </c>
      <c r="C219" s="129" t="s">
        <v>1192</v>
      </c>
      <c r="D219" s="129" t="s">
        <v>115</v>
      </c>
      <c r="E219" s="130" t="str">
        <f>"06/28/74"</f>
        <v>06/28/74</v>
      </c>
      <c r="F219" s="130" t="str">
        <f>"04/16/91"</f>
        <v>04/16/91</v>
      </c>
      <c r="G219" s="130" t="str">
        <f>"06/16/2009"</f>
        <v>06/16/2009</v>
      </c>
      <c r="H219" s="130" t="str">
        <f>"04/16/1991"</f>
        <v>04/16/1991</v>
      </c>
    </row>
    <row r="220" spans="1:8" x14ac:dyDescent="0.25">
      <c r="A220" s="1">
        <v>540175</v>
      </c>
      <c r="B220" s="1" t="s">
        <v>74</v>
      </c>
      <c r="C220" s="126" t="s">
        <v>1193</v>
      </c>
      <c r="D220" s="126" t="s">
        <v>5</v>
      </c>
      <c r="E220" s="128" t="str">
        <f>"04/18/75"</f>
        <v>04/18/75</v>
      </c>
      <c r="F220" s="128" t="str">
        <f>"09/27/91"</f>
        <v>09/27/91</v>
      </c>
      <c r="G220" s="128" t="str">
        <f>"09/29/2010"</f>
        <v>09/29/2010</v>
      </c>
      <c r="H220" s="128" t="str">
        <f>"09/27/1991"</f>
        <v>09/27/1991</v>
      </c>
    </row>
    <row r="221" spans="1:8" x14ac:dyDescent="0.25">
      <c r="A221" s="2">
        <v>540267</v>
      </c>
      <c r="B221" s="2" t="s">
        <v>310</v>
      </c>
      <c r="C221" s="129" t="s">
        <v>1194</v>
      </c>
      <c r="D221" s="129" t="s">
        <v>115</v>
      </c>
      <c r="E221" s="131">
        <v>27355</v>
      </c>
      <c r="F221" s="131">
        <v>33575</v>
      </c>
      <c r="G221" s="130" t="str">
        <f>"09/29/2010"</f>
        <v>09/29/2010</v>
      </c>
      <c r="H221" s="131">
        <v>33575</v>
      </c>
    </row>
    <row r="222" spans="1:8" x14ac:dyDescent="0.25">
      <c r="A222" s="2">
        <v>540177</v>
      </c>
      <c r="B222" s="2" t="s">
        <v>248</v>
      </c>
      <c r="C222" s="129" t="s">
        <v>1195</v>
      </c>
      <c r="D222" s="129" t="s">
        <v>115</v>
      </c>
      <c r="E222" s="130" t="str">
        <f>"02/15/74"</f>
        <v>02/15/74</v>
      </c>
      <c r="F222" s="130" t="str">
        <f>"04/03/87"</f>
        <v>04/03/87</v>
      </c>
      <c r="G222" s="130" t="str">
        <f>"09/29/2010"</f>
        <v>09/29/2010</v>
      </c>
      <c r="H222" s="130" t="str">
        <f>"04/03/1987"</f>
        <v>04/03/1987</v>
      </c>
    </row>
    <row r="223" spans="1:8" x14ac:dyDescent="0.25">
      <c r="A223" s="2">
        <v>540178</v>
      </c>
      <c r="B223" s="2" t="s">
        <v>249</v>
      </c>
      <c r="C223" s="129" t="s">
        <v>1196</v>
      </c>
      <c r="D223" s="129" t="s">
        <v>115</v>
      </c>
      <c r="E223" s="130" t="str">
        <f>"04/01/77"</f>
        <v>04/01/77</v>
      </c>
      <c r="F223" s="130" t="str">
        <f>"08/24/84"</f>
        <v>08/24/84</v>
      </c>
      <c r="G223" s="130" t="str">
        <f>"09/29/10(M)"</f>
        <v>09/29/10(M)</v>
      </c>
      <c r="H223" s="130" t="str">
        <f>"08/24/1984"</f>
        <v>08/24/1984</v>
      </c>
    </row>
    <row r="224" spans="1:8" x14ac:dyDescent="0.25">
      <c r="A224" s="2">
        <v>540264</v>
      </c>
      <c r="B224" s="2" t="s">
        <v>307</v>
      </c>
      <c r="C224" s="129" t="s">
        <v>1197</v>
      </c>
      <c r="D224" s="129" t="s">
        <v>115</v>
      </c>
      <c r="E224" s="131">
        <v>27348</v>
      </c>
      <c r="F224" s="130" t="str">
        <f>"08/24/84"</f>
        <v>08/24/84</v>
      </c>
      <c r="G224" s="130" t="str">
        <f>"09/29/10(M)"</f>
        <v>09/29/10(M)</v>
      </c>
      <c r="H224" s="130" t="str">
        <f>"08/24/1984"</f>
        <v>08/24/1984</v>
      </c>
    </row>
    <row r="225" spans="1:8" x14ac:dyDescent="0.25">
      <c r="A225" s="2">
        <v>540266</v>
      </c>
      <c r="B225" s="2" t="s">
        <v>309</v>
      </c>
      <c r="C225" s="129" t="s">
        <v>1198</v>
      </c>
      <c r="D225" s="129" t="s">
        <v>115</v>
      </c>
      <c r="E225" s="130" t="str">
        <f>"01/10/75"</f>
        <v>01/10/75</v>
      </c>
      <c r="F225" s="130" t="str">
        <f>"08/24/84"</f>
        <v>08/24/84</v>
      </c>
      <c r="G225" s="130" t="str">
        <f>"09/29/10(M)"</f>
        <v>09/29/10(M)</v>
      </c>
      <c r="H225" s="130" t="str">
        <f>"08/24/1984"</f>
        <v>08/24/1984</v>
      </c>
    </row>
    <row r="226" spans="1:8" x14ac:dyDescent="0.25">
      <c r="A226" s="2">
        <v>540265</v>
      </c>
      <c r="B226" s="2" t="s">
        <v>308</v>
      </c>
      <c r="C226" s="129" t="s">
        <v>1199</v>
      </c>
      <c r="D226" s="129" t="s">
        <v>115</v>
      </c>
      <c r="E226" s="131">
        <v>27348</v>
      </c>
      <c r="F226" s="130" t="str">
        <f>"09/24/84"</f>
        <v>09/24/84</v>
      </c>
      <c r="G226" s="130" t="str">
        <f>"09/29/10(M)"</f>
        <v>09/29/10(M)</v>
      </c>
      <c r="H226" s="130" t="str">
        <f>"09/24/1984"</f>
        <v>09/24/1984</v>
      </c>
    </row>
    <row r="227" spans="1:8" x14ac:dyDescent="0.25">
      <c r="A227" s="2">
        <v>540176</v>
      </c>
      <c r="B227" s="2" t="s">
        <v>247</v>
      </c>
      <c r="C227" s="129" t="s">
        <v>1200</v>
      </c>
      <c r="D227" s="129" t="s">
        <v>115</v>
      </c>
      <c r="E227" s="130" t="str">
        <f>"08/09/74"</f>
        <v>08/09/74</v>
      </c>
      <c r="F227" s="130" t="str">
        <f>"09/10/84"</f>
        <v>09/10/84</v>
      </c>
      <c r="G227" s="130" t="str">
        <f>"09/29/10(M)"</f>
        <v>09/29/10(M)</v>
      </c>
      <c r="H227" s="130" t="str">
        <f>"09/10/1984"</f>
        <v>09/10/1984</v>
      </c>
    </row>
    <row r="228" spans="1:8" x14ac:dyDescent="0.25">
      <c r="A228" s="1">
        <v>540224</v>
      </c>
      <c r="B228" s="1" t="s">
        <v>96</v>
      </c>
      <c r="C228" s="126" t="s">
        <v>1201</v>
      </c>
      <c r="D228" s="126" t="s">
        <v>5</v>
      </c>
      <c r="E228" s="128" t="str">
        <f>"04/25/75"</f>
        <v>04/25/75</v>
      </c>
      <c r="F228" s="128" t="str">
        <f>"01/01/91"</f>
        <v>01/01/91</v>
      </c>
      <c r="G228" s="128" t="str">
        <f>"02/02/12(M)"</f>
        <v>02/02/12(M)</v>
      </c>
      <c r="H228" s="128" t="str">
        <f>"01/01/1991"</f>
        <v>01/01/1991</v>
      </c>
    </row>
    <row r="229" spans="1:8" x14ac:dyDescent="0.25">
      <c r="A229" s="2">
        <v>540262</v>
      </c>
      <c r="B229" s="2" t="s">
        <v>305</v>
      </c>
      <c r="C229" s="129" t="s">
        <v>1202</v>
      </c>
      <c r="D229" s="129" t="s">
        <v>115</v>
      </c>
      <c r="E229" s="130" t="str">
        <f>"01/24/74"</f>
        <v>01/24/74</v>
      </c>
      <c r="F229" s="130" t="str">
        <f>"09/24/84"</f>
        <v>09/24/84</v>
      </c>
      <c r="G229" s="130" t="str">
        <f>"02/02/12(M)"</f>
        <v>02/02/12(M)</v>
      </c>
      <c r="H229" s="130" t="str">
        <f>"09/24/1984"</f>
        <v>09/24/1984</v>
      </c>
    </row>
    <row r="230" spans="1:8" x14ac:dyDescent="0.25">
      <c r="A230" s="2">
        <v>540179</v>
      </c>
      <c r="B230" s="2" t="s">
        <v>250</v>
      </c>
      <c r="C230" s="129" t="s">
        <v>1203</v>
      </c>
      <c r="D230" s="129" t="s">
        <v>115</v>
      </c>
      <c r="E230" s="130" t="str">
        <f>"08/09/74"</f>
        <v>08/09/74</v>
      </c>
      <c r="F230" s="130" t="str">
        <f>"03/18/91"</f>
        <v>03/18/91</v>
      </c>
      <c r="G230" s="130" t="str">
        <f>"02/02/2012"</f>
        <v>02/02/2012</v>
      </c>
      <c r="H230" s="130" t="str">
        <f>"03/18/1991"</f>
        <v>03/18/1991</v>
      </c>
    </row>
    <row r="231" spans="1:8" x14ac:dyDescent="0.25">
      <c r="A231" s="2">
        <v>540180</v>
      </c>
      <c r="B231" s="2" t="s">
        <v>251</v>
      </c>
      <c r="C231" s="129" t="s">
        <v>1204</v>
      </c>
      <c r="D231" s="129" t="s">
        <v>115</v>
      </c>
      <c r="E231" s="130" t="str">
        <f>"08/09/74"</f>
        <v>08/09/74</v>
      </c>
      <c r="F231" s="130" t="str">
        <f>"08/24/84"</f>
        <v>08/24/84</v>
      </c>
      <c r="G231" s="130" t="str">
        <f>"02/02/12(M)"</f>
        <v>02/02/12(M)</v>
      </c>
      <c r="H231" s="130" t="str">
        <f>"08/24/1984"</f>
        <v>08/24/1984</v>
      </c>
    </row>
    <row r="232" spans="1:8" x14ac:dyDescent="0.25">
      <c r="A232" s="2">
        <v>540132</v>
      </c>
      <c r="B232" s="2" t="s">
        <v>216</v>
      </c>
      <c r="C232" s="129" t="s">
        <v>1205</v>
      </c>
      <c r="D232" s="129" t="s">
        <v>115</v>
      </c>
      <c r="E232" s="130" t="str">
        <f>"01/31/75"</f>
        <v>01/31/75</v>
      </c>
      <c r="F232" s="130" t="str">
        <f>"02/07/06"</f>
        <v>02/07/06</v>
      </c>
      <c r="G232" s="130" t="str">
        <f>"02/02/12(M)"</f>
        <v>02/02/12(M)</v>
      </c>
      <c r="H232" s="130" t="str">
        <f>"02/07/1906"</f>
        <v>02/07/1906</v>
      </c>
    </row>
    <row r="233" spans="1:8" x14ac:dyDescent="0.25">
      <c r="A233" s="2">
        <v>540182</v>
      </c>
      <c r="B233" s="2" t="s">
        <v>252</v>
      </c>
      <c r="C233" s="129" t="s">
        <v>1206</v>
      </c>
      <c r="D233" s="129" t="s">
        <v>115</v>
      </c>
      <c r="E233" s="130" t="str">
        <f>"05/31/74"</f>
        <v>05/31/74</v>
      </c>
      <c r="F233" s="130" t="str">
        <f>"09/16/88"</f>
        <v>09/16/88</v>
      </c>
      <c r="G233" s="130" t="str">
        <f>"02/02/12(M)"</f>
        <v>02/02/12(M)</v>
      </c>
      <c r="H233" s="130" t="str">
        <f>"09/16/1988"</f>
        <v>09/16/1988</v>
      </c>
    </row>
    <row r="234" spans="1:8" x14ac:dyDescent="0.25">
      <c r="A234" s="2">
        <v>540263</v>
      </c>
      <c r="B234" s="2" t="s">
        <v>306</v>
      </c>
      <c r="C234" s="129" t="s">
        <v>1207</v>
      </c>
      <c r="D234" s="129" t="s">
        <v>115</v>
      </c>
      <c r="E234" s="130" t="str">
        <f>"02/25/77"</f>
        <v>02/25/77</v>
      </c>
      <c r="F234" s="130" t="str">
        <f>"09/10/84"</f>
        <v>09/10/84</v>
      </c>
      <c r="G234" s="130" t="str">
        <f>"02/02/12(M)"</f>
        <v>02/02/12(M)</v>
      </c>
      <c r="H234" s="130" t="str">
        <f>"09/10/1984"</f>
        <v>09/10/1984</v>
      </c>
    </row>
    <row r="235" spans="1:8" x14ac:dyDescent="0.25">
      <c r="A235" s="1">
        <v>540183</v>
      </c>
      <c r="B235" s="1" t="s">
        <v>76</v>
      </c>
      <c r="C235" s="126" t="s">
        <v>1208</v>
      </c>
      <c r="D235" s="126" t="s">
        <v>5</v>
      </c>
      <c r="E235" s="128" t="str">
        <f>"04/25/75"</f>
        <v>04/25/75</v>
      </c>
      <c r="F235" s="128" t="str">
        <f>"09/10/84"</f>
        <v>09/10/84</v>
      </c>
      <c r="G235" s="128" t="str">
        <f>"03/02/2012"</f>
        <v>03/02/2012</v>
      </c>
      <c r="H235" s="128" t="str">
        <f>"09/10/1984"</f>
        <v>09/10/1984</v>
      </c>
    </row>
    <row r="236" spans="1:8" x14ac:dyDescent="0.25">
      <c r="A236" s="2">
        <v>540184</v>
      </c>
      <c r="B236" s="2" t="s">
        <v>253</v>
      </c>
      <c r="C236" s="129" t="s">
        <v>1209</v>
      </c>
      <c r="D236" s="129" t="s">
        <v>115</v>
      </c>
      <c r="E236" s="130" t="str">
        <f>"08/09/74"</f>
        <v>08/09/74</v>
      </c>
      <c r="F236" s="131">
        <v>28825</v>
      </c>
      <c r="G236" s="130" t="str">
        <f>"03/02/2012"</f>
        <v>03/02/2012</v>
      </c>
      <c r="H236" s="131">
        <v>28825</v>
      </c>
    </row>
    <row r="237" spans="1:8" x14ac:dyDescent="0.25">
      <c r="A237" s="2">
        <v>540185</v>
      </c>
      <c r="B237" s="2" t="s">
        <v>254</v>
      </c>
      <c r="C237" s="129" t="s">
        <v>1210</v>
      </c>
      <c r="D237" s="129" t="s">
        <v>115</v>
      </c>
      <c r="E237" s="130" t="str">
        <f>"06/28/74"</f>
        <v>06/28/74</v>
      </c>
      <c r="F237" s="130" t="str">
        <f>"01/03/79"</f>
        <v>01/03/79</v>
      </c>
      <c r="G237" s="130" t="str">
        <f>"03/02/2012"</f>
        <v>03/02/2012</v>
      </c>
      <c r="H237" s="130" t="str">
        <f>"01/03/1979"</f>
        <v>01/03/1979</v>
      </c>
    </row>
    <row r="238" spans="1:8" x14ac:dyDescent="0.25">
      <c r="A238" s="1">
        <v>540186</v>
      </c>
      <c r="B238" s="1" t="s">
        <v>78</v>
      </c>
      <c r="C238" s="126" t="s">
        <v>1211</v>
      </c>
      <c r="D238" s="126" t="s">
        <v>5</v>
      </c>
      <c r="E238" s="128" t="str">
        <f>"01/03/75"</f>
        <v>01/03/75</v>
      </c>
      <c r="F238" s="127">
        <v>29530</v>
      </c>
      <c r="G238" s="128" t="str">
        <f>"02/03/2010"</f>
        <v>02/03/2010</v>
      </c>
      <c r="H238" s="127">
        <v>29530</v>
      </c>
    </row>
    <row r="239" spans="1:8" x14ac:dyDescent="0.25">
      <c r="A239" s="2">
        <v>540187</v>
      </c>
      <c r="B239" s="2" t="s">
        <v>255</v>
      </c>
      <c r="C239" s="129" t="s">
        <v>1212</v>
      </c>
      <c r="D239" s="129" t="s">
        <v>115</v>
      </c>
      <c r="E239" s="130" t="str">
        <f>"05/31/74"</f>
        <v>05/31/74</v>
      </c>
      <c r="F239" s="130" t="str">
        <f>"08/01/79"</f>
        <v>08/01/79</v>
      </c>
      <c r="G239" s="130" t="str">
        <f>"02/03/2010"</f>
        <v>02/03/2010</v>
      </c>
      <c r="H239" s="130" t="str">
        <f>"08/01/1979"</f>
        <v>08/01/1979</v>
      </c>
    </row>
    <row r="240" spans="1:8" x14ac:dyDescent="0.25">
      <c r="A240" s="1">
        <v>540188</v>
      </c>
      <c r="B240" s="1" t="s">
        <v>80</v>
      </c>
      <c r="C240" s="126" t="s">
        <v>1213</v>
      </c>
      <c r="D240" s="126" t="s">
        <v>5</v>
      </c>
      <c r="E240" s="127">
        <v>27376</v>
      </c>
      <c r="F240" s="128" t="str">
        <f>"07/01/87"</f>
        <v>07/01/87</v>
      </c>
      <c r="G240" s="128" t="str">
        <f>"08/02/2011"</f>
        <v>08/02/2011</v>
      </c>
      <c r="H240" s="128" t="str">
        <f>"07/01/1987"</f>
        <v>07/01/1987</v>
      </c>
    </row>
    <row r="241" spans="1:8" x14ac:dyDescent="0.25">
      <c r="A241" s="2">
        <v>540189</v>
      </c>
      <c r="B241" s="2" t="s">
        <v>256</v>
      </c>
      <c r="C241" s="129" t="s">
        <v>1214</v>
      </c>
      <c r="D241" s="129" t="s">
        <v>115</v>
      </c>
      <c r="E241" s="130" t="str">
        <f>"08/09/74"</f>
        <v>08/09/74</v>
      </c>
      <c r="F241" s="130" t="str">
        <f>"09/25/09"</f>
        <v>09/25/09</v>
      </c>
      <c r="G241" s="130" t="str">
        <f>"08/02/11(M)"</f>
        <v>08/02/11(M)</v>
      </c>
      <c r="H241" s="131">
        <v>28850</v>
      </c>
    </row>
    <row r="242" spans="1:8" x14ac:dyDescent="0.25">
      <c r="A242" s="2">
        <v>540190</v>
      </c>
      <c r="B242" s="2" t="s">
        <v>257</v>
      </c>
      <c r="C242" s="129" t="s">
        <v>1215</v>
      </c>
      <c r="D242" s="129" t="s">
        <v>115</v>
      </c>
      <c r="E242" s="130" t="str">
        <f>"06/28/74"</f>
        <v>06/28/74</v>
      </c>
      <c r="F242" s="130" t="str">
        <f>"08/01/87"</f>
        <v>08/01/87</v>
      </c>
      <c r="G242" s="130" t="str">
        <f>"09/25/09(M)"</f>
        <v>09/25/09(M)</v>
      </c>
      <c r="H242" s="130" t="str">
        <f>"08/01/1987"</f>
        <v>08/01/1987</v>
      </c>
    </row>
    <row r="243" spans="1:8" x14ac:dyDescent="0.25">
      <c r="A243" s="1">
        <v>540191</v>
      </c>
      <c r="B243" s="1" t="s">
        <v>112</v>
      </c>
      <c r="C243" s="126" t="s">
        <v>1216</v>
      </c>
      <c r="D243" s="126" t="s">
        <v>5</v>
      </c>
      <c r="E243" s="127">
        <v>27376</v>
      </c>
      <c r="F243" s="128" t="str">
        <f>"07/01/87"</f>
        <v>07/01/87</v>
      </c>
      <c r="G243" s="128" t="str">
        <f t="shared" ref="G243:G248" si="8">"07/06/2010"</f>
        <v>07/06/2010</v>
      </c>
      <c r="H243" s="128" t="str">
        <f>"07/01/1987"</f>
        <v>07/01/1987</v>
      </c>
    </row>
    <row r="244" spans="1:8" x14ac:dyDescent="0.25">
      <c r="A244" s="2">
        <v>540260</v>
      </c>
      <c r="B244" s="2" t="s">
        <v>346</v>
      </c>
      <c r="C244" s="129" t="s">
        <v>1217</v>
      </c>
      <c r="D244" s="129" t="s">
        <v>115</v>
      </c>
      <c r="E244" s="131">
        <v>27355</v>
      </c>
      <c r="F244" s="130" t="str">
        <f>"07/20/84"</f>
        <v>07/20/84</v>
      </c>
      <c r="G244" s="130" t="str">
        <f t="shared" si="8"/>
        <v>07/06/2010</v>
      </c>
      <c r="H244" s="130" t="str">
        <f>"07/20/1984"</f>
        <v>07/20/1984</v>
      </c>
    </row>
    <row r="245" spans="1:8" x14ac:dyDescent="0.25">
      <c r="A245" s="2">
        <v>540192</v>
      </c>
      <c r="B245" s="2" t="s">
        <v>343</v>
      </c>
      <c r="C245" s="129" t="s">
        <v>1218</v>
      </c>
      <c r="D245" s="129" t="s">
        <v>115</v>
      </c>
      <c r="E245" s="130" t="str">
        <f>"02/01/74"</f>
        <v>02/01/74</v>
      </c>
      <c r="F245" s="130" t="str">
        <f>"07/20/84"</f>
        <v>07/20/84</v>
      </c>
      <c r="G245" s="130" t="str">
        <f t="shared" si="8"/>
        <v>07/06/2010</v>
      </c>
      <c r="H245" s="130" t="str">
        <f>"07/20/1984"</f>
        <v>07/20/1984</v>
      </c>
    </row>
    <row r="246" spans="1:8" x14ac:dyDescent="0.25">
      <c r="A246" s="2">
        <v>540193</v>
      </c>
      <c r="B246" s="2" t="s">
        <v>342</v>
      </c>
      <c r="C246" s="129" t="s">
        <v>1219</v>
      </c>
      <c r="D246" s="129" t="s">
        <v>115</v>
      </c>
      <c r="E246" s="131">
        <v>27390</v>
      </c>
      <c r="F246" s="130" t="str">
        <f>"08/01/87"</f>
        <v>08/01/87</v>
      </c>
      <c r="G246" s="130" t="str">
        <f t="shared" si="8"/>
        <v>07/06/2010</v>
      </c>
      <c r="H246" s="130" t="str">
        <f>"08/01/1987"</f>
        <v>08/01/1987</v>
      </c>
    </row>
    <row r="247" spans="1:8" x14ac:dyDescent="0.25">
      <c r="A247" s="2">
        <v>540194</v>
      </c>
      <c r="B247" s="2" t="s">
        <v>344</v>
      </c>
      <c r="C247" s="129" t="s">
        <v>1220</v>
      </c>
      <c r="D247" s="129" t="s">
        <v>115</v>
      </c>
      <c r="E247" s="130" t="str">
        <f>"02/08/74"</f>
        <v>02/08/74</v>
      </c>
      <c r="F247" s="130" t="str">
        <f>"08/15/79"</f>
        <v>08/15/79</v>
      </c>
      <c r="G247" s="130" t="str">
        <f t="shared" si="8"/>
        <v>07/06/2010</v>
      </c>
      <c r="H247" s="130" t="str">
        <f>"08/15/1979"</f>
        <v>08/15/1979</v>
      </c>
    </row>
    <row r="248" spans="1:8" x14ac:dyDescent="0.25">
      <c r="A248" s="2">
        <v>540261</v>
      </c>
      <c r="B248" s="2" t="s">
        <v>345</v>
      </c>
      <c r="C248" s="129" t="s">
        <v>1221</v>
      </c>
      <c r="D248" s="129" t="s">
        <v>115</v>
      </c>
      <c r="E248" s="131">
        <v>27383</v>
      </c>
      <c r="F248" s="130" t="str">
        <f>"09/10/84"</f>
        <v>09/10/84</v>
      </c>
      <c r="G248" s="130" t="str">
        <f t="shared" si="8"/>
        <v>07/06/2010</v>
      </c>
      <c r="H248" s="130" t="str">
        <f>"09/10/1984"</f>
        <v>09/10/1984</v>
      </c>
    </row>
    <row r="249" spans="1:8" x14ac:dyDescent="0.25">
      <c r="A249" s="1">
        <v>540277</v>
      </c>
      <c r="B249" s="1" t="s">
        <v>102</v>
      </c>
      <c r="C249" s="126" t="s">
        <v>1222</v>
      </c>
      <c r="D249" s="126" t="s">
        <v>5</v>
      </c>
      <c r="E249" s="127">
        <v>27383</v>
      </c>
      <c r="F249" s="127">
        <v>32451</v>
      </c>
      <c r="G249" s="128" t="str">
        <f>"05/03/2010"</f>
        <v>05/03/2010</v>
      </c>
      <c r="H249" s="127">
        <v>32451</v>
      </c>
    </row>
    <row r="250" spans="1:8" x14ac:dyDescent="0.25">
      <c r="A250" s="2">
        <v>540259</v>
      </c>
      <c r="B250" s="2" t="s">
        <v>304</v>
      </c>
      <c r="C250" s="129" t="s">
        <v>1223</v>
      </c>
      <c r="D250" s="129" t="s">
        <v>115</v>
      </c>
      <c r="E250" s="131">
        <v>27362</v>
      </c>
      <c r="F250" s="131">
        <v>32451</v>
      </c>
      <c r="G250" s="130" t="str">
        <f>"05/03/2010"</f>
        <v>05/03/2010</v>
      </c>
      <c r="H250" s="131">
        <v>32451</v>
      </c>
    </row>
    <row r="251" spans="1:8" x14ac:dyDescent="0.25">
      <c r="A251" s="2">
        <v>540195</v>
      </c>
      <c r="B251" s="2" t="s">
        <v>258</v>
      </c>
      <c r="C251" s="129" t="s">
        <v>1224</v>
      </c>
      <c r="D251" s="129" t="s">
        <v>115</v>
      </c>
      <c r="E251" s="130" t="str">
        <f>"05/24/74"</f>
        <v>05/24/74</v>
      </c>
      <c r="F251" s="131">
        <v>32451</v>
      </c>
      <c r="G251" s="130" t="str">
        <f>"05/03/2010"</f>
        <v>05/03/2010</v>
      </c>
      <c r="H251" s="131">
        <v>32451</v>
      </c>
    </row>
    <row r="252" spans="1:8" x14ac:dyDescent="0.25">
      <c r="A252" s="2">
        <v>540197</v>
      </c>
      <c r="B252" s="2" t="s">
        <v>260</v>
      </c>
      <c r="C252" s="129" t="s">
        <v>1225</v>
      </c>
      <c r="D252" s="129" t="s">
        <v>115</v>
      </c>
      <c r="E252" s="130" t="str">
        <f>"06/21/74"</f>
        <v>06/21/74</v>
      </c>
      <c r="F252" s="131">
        <v>32451</v>
      </c>
      <c r="G252" s="130" t="str">
        <f>"05/03/2010"</f>
        <v>05/03/2010</v>
      </c>
      <c r="H252" s="131">
        <v>32451</v>
      </c>
    </row>
    <row r="253" spans="1:8" x14ac:dyDescent="0.25">
      <c r="A253" s="1">
        <v>540198</v>
      </c>
      <c r="B253" s="1" t="s">
        <v>82</v>
      </c>
      <c r="C253" s="126" t="s">
        <v>1226</v>
      </c>
      <c r="D253" s="126" t="s">
        <v>5</v>
      </c>
      <c r="E253" s="128" t="str">
        <f>"01/17/75"</f>
        <v>01/17/75</v>
      </c>
      <c r="F253" s="128" t="str">
        <f>"07/01/87"</f>
        <v>07/01/87</v>
      </c>
      <c r="G253" s="128" t="str">
        <f>"09/29/2010"</f>
        <v>09/29/2010</v>
      </c>
      <c r="H253" s="128" t="str">
        <f>"07/01/1987"</f>
        <v>07/01/1987</v>
      </c>
    </row>
    <row r="254" spans="1:8" x14ac:dyDescent="0.25">
      <c r="A254" s="2">
        <v>540199</v>
      </c>
      <c r="B254" s="2" t="s">
        <v>261</v>
      </c>
      <c r="C254" s="129" t="s">
        <v>1227</v>
      </c>
      <c r="D254" s="129" t="s">
        <v>115</v>
      </c>
      <c r="E254" s="130" t="str">
        <f>"06/28/74"</f>
        <v>06/28/74</v>
      </c>
      <c r="F254" s="130" t="str">
        <f>"09/04/86"</f>
        <v>09/04/86</v>
      </c>
      <c r="G254" s="130" t="str">
        <f>"09/29/2010"</f>
        <v>09/29/2010</v>
      </c>
      <c r="H254" s="130" t="str">
        <f>"09/04/1986"</f>
        <v>09/04/1986</v>
      </c>
    </row>
    <row r="255" spans="1:8" x14ac:dyDescent="0.25">
      <c r="A255" s="1" t="s">
        <v>948</v>
      </c>
      <c r="B255" s="1" t="s">
        <v>84</v>
      </c>
      <c r="C255" s="126" t="s">
        <v>1228</v>
      </c>
      <c r="D255" s="126" t="s">
        <v>5</v>
      </c>
      <c r="E255" s="128" t="str">
        <f>"02/21/75"</f>
        <v>02/21/75</v>
      </c>
      <c r="F255" s="128" t="str">
        <f>"09/18/87"</f>
        <v>09/18/87</v>
      </c>
      <c r="G255" s="128" t="str">
        <f>"09/02/2016"</f>
        <v>09/02/2016</v>
      </c>
      <c r="H255" s="128" t="str">
        <f>"09/18/1987"</f>
        <v>09/18/1987</v>
      </c>
    </row>
    <row r="256" spans="1:8" x14ac:dyDescent="0.25">
      <c r="A256" s="2" t="s">
        <v>949</v>
      </c>
      <c r="B256" s="2" t="s">
        <v>282</v>
      </c>
      <c r="C256" s="129" t="s">
        <v>1229</v>
      </c>
      <c r="D256" s="129" t="s">
        <v>115</v>
      </c>
      <c r="E256" s="130" t="str">
        <f>"01/03/75"</f>
        <v>01/03/75</v>
      </c>
      <c r="F256" s="130" t="str">
        <f>"05/17/89"</f>
        <v>05/17/89</v>
      </c>
      <c r="G256" s="130" t="str">
        <f>"09/02/2016"</f>
        <v>09/02/2016</v>
      </c>
      <c r="H256" s="130" t="str">
        <f>"05/17/1989"</f>
        <v>05/17/1989</v>
      </c>
    </row>
    <row r="257" spans="1:8" x14ac:dyDescent="0.25">
      <c r="A257" s="2" t="s">
        <v>950</v>
      </c>
      <c r="B257" s="2" t="s">
        <v>262</v>
      </c>
      <c r="C257" s="129" t="s">
        <v>1230</v>
      </c>
      <c r="D257" s="129" t="s">
        <v>115</v>
      </c>
      <c r="E257" s="130" t="str">
        <f>"09/13/74"</f>
        <v>09/13/74</v>
      </c>
      <c r="F257" s="130" t="str">
        <f>"01/03/79"</f>
        <v>01/03/79</v>
      </c>
      <c r="G257" s="130" t="str">
        <f>"09/02/2016"</f>
        <v>09/02/2016</v>
      </c>
      <c r="H257" s="130" t="str">
        <f>"01/03/1979"</f>
        <v>01/03/1979</v>
      </c>
    </row>
    <row r="258" spans="1:8" x14ac:dyDescent="0.25">
      <c r="A258" s="2" t="s">
        <v>951</v>
      </c>
      <c r="B258" s="2" t="s">
        <v>275</v>
      </c>
      <c r="C258" s="129" t="s">
        <v>1231</v>
      </c>
      <c r="D258" s="129" t="s">
        <v>115</v>
      </c>
      <c r="E258" s="130" t="str">
        <f>"05/03/74"</f>
        <v>05/03/74</v>
      </c>
      <c r="F258" s="130" t="str">
        <f>"05/17/89"</f>
        <v>05/17/89</v>
      </c>
      <c r="G258" s="130" t="str">
        <f>"09/02/2016"</f>
        <v>09/02/2016</v>
      </c>
      <c r="H258" s="130" t="str">
        <f>"05/17/1989"</f>
        <v>05/17/1989</v>
      </c>
    </row>
    <row r="259" spans="1:8" x14ac:dyDescent="0.25">
      <c r="A259" s="2">
        <v>540231</v>
      </c>
      <c r="B259" s="2" t="s">
        <v>281</v>
      </c>
      <c r="C259" s="129" t="s">
        <v>1232</v>
      </c>
      <c r="D259" s="129" t="s">
        <v>115</v>
      </c>
      <c r="E259" s="130" t="str">
        <f>"01/10/75"</f>
        <v>01/10/75</v>
      </c>
      <c r="F259" s="130" t="str">
        <f>"09/30/87"</f>
        <v>09/30/87</v>
      </c>
      <c r="G259" s="130" t="str">
        <f>"01/02/2013"</f>
        <v>01/02/2013</v>
      </c>
      <c r="H259" s="130" t="str">
        <f>"09/30/1987"</f>
        <v>09/30/1987</v>
      </c>
    </row>
    <row r="260" spans="1:8" x14ac:dyDescent="0.25">
      <c r="A260" s="2">
        <v>540018</v>
      </c>
      <c r="B260" s="2" t="s">
        <v>127</v>
      </c>
      <c r="C260" s="129" t="s">
        <v>1233</v>
      </c>
      <c r="D260" s="129" t="s">
        <v>115</v>
      </c>
      <c r="E260" s="130" t="str">
        <f>"05/06/77"</f>
        <v>05/06/77</v>
      </c>
      <c r="F260" s="130" t="str">
        <f>"01/17/90"</f>
        <v>01/17/90</v>
      </c>
      <c r="G260" s="130" t="str">
        <f>"02/19/2014"</f>
        <v>02/19/2014</v>
      </c>
      <c r="H260" s="130" t="str">
        <f>"08/17/1981"</f>
        <v>08/17/1981</v>
      </c>
    </row>
    <row r="261" spans="1:8" x14ac:dyDescent="0.25">
      <c r="A261" s="1">
        <v>540203</v>
      </c>
      <c r="B261" s="1" t="s">
        <v>86</v>
      </c>
      <c r="C261" s="126" t="s">
        <v>1234</v>
      </c>
      <c r="D261" s="126" t="s">
        <v>5</v>
      </c>
      <c r="E261" s="127">
        <v>27376</v>
      </c>
      <c r="F261" s="128" t="str">
        <f>"02/16/90"</f>
        <v>02/16/90</v>
      </c>
      <c r="G261" s="128" t="str">
        <f>"01/06/2012"</f>
        <v>01/06/2012</v>
      </c>
      <c r="H261" s="128" t="str">
        <f>"02/16/1990"</f>
        <v>02/16/1990</v>
      </c>
    </row>
    <row r="262" spans="1:8" x14ac:dyDescent="0.25">
      <c r="A262" s="2">
        <v>540205</v>
      </c>
      <c r="B262" s="2" t="s">
        <v>264</v>
      </c>
      <c r="C262" s="129" t="s">
        <v>1235</v>
      </c>
      <c r="D262" s="129" t="s">
        <v>115</v>
      </c>
      <c r="E262" s="130" t="str">
        <f>"08/09/74"</f>
        <v>08/09/74</v>
      </c>
      <c r="F262" s="130" t="str">
        <f>"08/24/84"</f>
        <v>08/24/84</v>
      </c>
      <c r="G262" s="130" t="str">
        <f>"01/06/2012"</f>
        <v>01/06/2012</v>
      </c>
      <c r="H262" s="130" t="str">
        <f>"08/24/1984"</f>
        <v>08/24/1984</v>
      </c>
    </row>
    <row r="263" spans="1:8" x14ac:dyDescent="0.25">
      <c r="A263" s="2">
        <v>540206</v>
      </c>
      <c r="B263" s="2" t="s">
        <v>265</v>
      </c>
      <c r="C263" s="129" t="s">
        <v>1236</v>
      </c>
      <c r="D263" s="129" t="s">
        <v>115</v>
      </c>
      <c r="E263" s="130" t="str">
        <f>"08/09/74"</f>
        <v>08/09/74</v>
      </c>
      <c r="F263" s="130" t="str">
        <f>"08/24/84"</f>
        <v>08/24/84</v>
      </c>
      <c r="G263" s="130" t="str">
        <f>"01/06/12(M)"</f>
        <v>01/06/12(M)</v>
      </c>
      <c r="H263" s="130" t="str">
        <f>"08/24/1984"</f>
        <v>08/24/1984</v>
      </c>
    </row>
    <row r="264" spans="1:8" x14ac:dyDescent="0.25">
      <c r="A264" s="1">
        <v>540207</v>
      </c>
      <c r="B264" s="1" t="s">
        <v>88</v>
      </c>
      <c r="C264" s="126" t="s">
        <v>1237</v>
      </c>
      <c r="D264" s="126" t="s">
        <v>5</v>
      </c>
      <c r="E264" s="127">
        <v>27383</v>
      </c>
      <c r="F264" s="128" t="str">
        <f>"04/04/83"</f>
        <v>04/04/83</v>
      </c>
      <c r="G264" s="128" t="str">
        <f>"09/25/2009"</f>
        <v>09/25/2009</v>
      </c>
      <c r="H264" s="128" t="str">
        <f>"04/04/1983"</f>
        <v>04/04/1983</v>
      </c>
    </row>
    <row r="265" spans="1:8" x14ac:dyDescent="0.25">
      <c r="A265" s="2">
        <v>540256</v>
      </c>
      <c r="B265" s="2" t="s">
        <v>301</v>
      </c>
      <c r="C265" s="129" t="s">
        <v>1238</v>
      </c>
      <c r="D265" s="129" t="s">
        <v>115</v>
      </c>
      <c r="E265" s="131">
        <v>27355</v>
      </c>
      <c r="F265" s="130" t="str">
        <f>"04/01/88"</f>
        <v>04/01/88</v>
      </c>
      <c r="G265" s="130" t="str">
        <f>"09/25/09(M)"</f>
        <v>09/25/09(M)</v>
      </c>
      <c r="H265" s="130" t="str">
        <f>"04/01/1988"</f>
        <v>04/01/1988</v>
      </c>
    </row>
    <row r="266" spans="1:8" x14ac:dyDescent="0.25">
      <c r="A266" s="2">
        <v>540208</v>
      </c>
      <c r="B266" s="2" t="s">
        <v>266</v>
      </c>
      <c r="C266" s="129" t="s">
        <v>1239</v>
      </c>
      <c r="D266" s="129" t="s">
        <v>115</v>
      </c>
      <c r="E266" s="130" t="str">
        <f>"06/28/74"</f>
        <v>06/28/74</v>
      </c>
      <c r="F266" s="130" t="str">
        <f>"09/02/82"</f>
        <v>09/02/82</v>
      </c>
      <c r="G266" s="130" t="str">
        <f>"09/25/2009"</f>
        <v>09/25/2009</v>
      </c>
      <c r="H266" s="130" t="str">
        <f>"09/02/1982"</f>
        <v>09/02/1982</v>
      </c>
    </row>
    <row r="267" spans="1:8" x14ac:dyDescent="0.25">
      <c r="A267" s="2">
        <v>540210</v>
      </c>
      <c r="B267" s="2" t="s">
        <v>267</v>
      </c>
      <c r="C267" s="129" t="s">
        <v>1240</v>
      </c>
      <c r="D267" s="129" t="s">
        <v>115</v>
      </c>
      <c r="E267" s="130" t="str">
        <f>"05/24/74"</f>
        <v>05/24/74</v>
      </c>
      <c r="F267" s="130" t="str">
        <f>"04/01/88"</f>
        <v>04/01/88</v>
      </c>
      <c r="G267" s="130" t="str">
        <f>"09/25/09(M)"</f>
        <v>09/25/09(M)</v>
      </c>
      <c r="H267" s="130" t="str">
        <f>"04/01/1988"</f>
        <v>04/01/1988</v>
      </c>
    </row>
    <row r="268" spans="1:8" x14ac:dyDescent="0.25">
      <c r="A268" s="2">
        <v>540258</v>
      </c>
      <c r="B268" s="2" t="s">
        <v>303</v>
      </c>
      <c r="C268" s="129" t="s">
        <v>1241</v>
      </c>
      <c r="D268" s="129" t="s">
        <v>115</v>
      </c>
      <c r="E268" s="131">
        <v>27348</v>
      </c>
      <c r="F268" s="130" t="str">
        <f>"04/01/88"</f>
        <v>04/01/88</v>
      </c>
      <c r="G268" s="130" t="str">
        <f>"09/25/09(M)"</f>
        <v>09/25/09(M)</v>
      </c>
      <c r="H268" s="130" t="str">
        <f>"04/01/1988"</f>
        <v>04/01/1988</v>
      </c>
    </row>
    <row r="269" spans="1:8" x14ac:dyDescent="0.25">
      <c r="A269" s="2">
        <v>540196</v>
      </c>
      <c r="B269" s="2" t="s">
        <v>259</v>
      </c>
      <c r="C269" s="129" t="s">
        <v>1242</v>
      </c>
      <c r="D269" s="129" t="s">
        <v>115</v>
      </c>
      <c r="E269" s="130" t="str">
        <f>"05/24/74"</f>
        <v>05/24/74</v>
      </c>
      <c r="F269" s="130" t="str">
        <f>"03/16/89"</f>
        <v>03/16/89</v>
      </c>
      <c r="G269" s="130" t="str">
        <f>"09/25/2009"</f>
        <v>09/25/2009</v>
      </c>
      <c r="H269" s="130" t="str">
        <f>"03/16/1989"</f>
        <v>03/16/1989</v>
      </c>
    </row>
    <row r="270" spans="1:8" x14ac:dyDescent="0.25">
      <c r="A270" s="1">
        <v>540211</v>
      </c>
      <c r="B270" s="1" t="s">
        <v>90</v>
      </c>
      <c r="C270" s="126" t="s">
        <v>1243</v>
      </c>
      <c r="D270" s="126" t="s">
        <v>5</v>
      </c>
      <c r="E270" s="128" t="str">
        <f>"01/17/75"</f>
        <v>01/17/75</v>
      </c>
      <c r="F270" s="128" t="str">
        <f>"04/01/88"</f>
        <v>04/01/88</v>
      </c>
      <c r="G270" s="128" t="str">
        <f>"08/02/2012"</f>
        <v>08/02/2012</v>
      </c>
      <c r="H270" s="128" t="str">
        <f>"04/01/1988"</f>
        <v>04/01/1988</v>
      </c>
    </row>
    <row r="271" spans="1:8" x14ac:dyDescent="0.25">
      <c r="A271" s="2">
        <v>540212</v>
      </c>
      <c r="B271" s="2" t="s">
        <v>268</v>
      </c>
      <c r="C271" s="129" t="s">
        <v>1244</v>
      </c>
      <c r="D271" s="129" t="s">
        <v>115</v>
      </c>
      <c r="E271" s="130" t="str">
        <f>"04/05/74"</f>
        <v>04/05/74</v>
      </c>
      <c r="F271" s="130" t="str">
        <f>"01/17/91"</f>
        <v>01/17/91</v>
      </c>
      <c r="G271" s="130" t="str">
        <f>"08/02/2012"</f>
        <v>08/02/2012</v>
      </c>
      <c r="H271" s="130" t="str">
        <f>"01/17/1991"</f>
        <v>01/17/1991</v>
      </c>
    </row>
    <row r="272" spans="1:8" x14ac:dyDescent="0.25">
      <c r="A272" s="1">
        <v>540213</v>
      </c>
      <c r="B272" s="1" t="s">
        <v>92</v>
      </c>
      <c r="C272" s="126" t="s">
        <v>1245</v>
      </c>
      <c r="D272" s="126" t="s">
        <v>5</v>
      </c>
      <c r="E272" s="128" t="str">
        <f>"01/17/75"</f>
        <v>01/17/75</v>
      </c>
      <c r="F272" s="128" t="str">
        <f>"03/04/85"</f>
        <v>03/04/85</v>
      </c>
      <c r="G272" s="127">
        <v>41584</v>
      </c>
      <c r="H272" s="128" t="str">
        <f>"03/04/1985"</f>
        <v>03/04/1985</v>
      </c>
    </row>
    <row r="273" spans="1:8" x14ac:dyDescent="0.25">
      <c r="A273" s="2">
        <v>540214</v>
      </c>
      <c r="B273" s="2" t="s">
        <v>269</v>
      </c>
      <c r="C273" s="129" t="s">
        <v>1246</v>
      </c>
      <c r="D273" s="129" t="s">
        <v>115</v>
      </c>
      <c r="E273" s="130" t="str">
        <f>"06/14/74"</f>
        <v>06/14/74</v>
      </c>
      <c r="F273" s="130" t="str">
        <f>"09/04/86"</f>
        <v>09/04/86</v>
      </c>
      <c r="G273" s="131">
        <v>41584</v>
      </c>
      <c r="H273" s="130" t="str">
        <f>"09/04/1986"</f>
        <v>09/04/1986</v>
      </c>
    </row>
    <row r="274" spans="1:8" x14ac:dyDescent="0.25">
      <c r="A274" s="2">
        <v>540215</v>
      </c>
      <c r="B274" s="2" t="s">
        <v>270</v>
      </c>
      <c r="C274" s="129" t="s">
        <v>1247</v>
      </c>
      <c r="D274" s="129" t="s">
        <v>115</v>
      </c>
      <c r="E274" s="131">
        <v>27376</v>
      </c>
      <c r="F274" s="131">
        <v>31399</v>
      </c>
      <c r="G274" s="131">
        <v>41584</v>
      </c>
      <c r="H274" s="131">
        <v>31399</v>
      </c>
    </row>
    <row r="275" spans="1:8" x14ac:dyDescent="0.25">
      <c r="A275" s="2">
        <v>540216</v>
      </c>
      <c r="B275" s="2" t="s">
        <v>271</v>
      </c>
      <c r="C275" s="129" t="s">
        <v>1248</v>
      </c>
      <c r="D275" s="129" t="s">
        <v>115</v>
      </c>
      <c r="E275" s="130" t="str">
        <f>"05/17/74"</f>
        <v>05/17/74</v>
      </c>
      <c r="F275" s="131">
        <v>30607</v>
      </c>
      <c r="G275" s="131">
        <v>41584</v>
      </c>
      <c r="H275" s="131">
        <v>30607</v>
      </c>
    </row>
    <row r="276" spans="1:8" x14ac:dyDescent="0.25">
      <c r="A276" s="1">
        <v>540217</v>
      </c>
      <c r="B276" s="1" t="s">
        <v>94</v>
      </c>
      <c r="C276" s="126" t="s">
        <v>1249</v>
      </c>
      <c r="D276" s="126" t="s">
        <v>5</v>
      </c>
      <c r="E276" s="128" t="str">
        <f>"01/17/75"</f>
        <v>01/17/75</v>
      </c>
      <c r="F276" s="128" t="str">
        <f>"03/15/84"</f>
        <v>03/15/84</v>
      </c>
      <c r="G276" s="128" t="str">
        <f>"05/16/2006"</f>
        <v>05/16/2006</v>
      </c>
      <c r="H276" s="128" t="str">
        <f>"03/15/1984"</f>
        <v>03/15/1984</v>
      </c>
    </row>
    <row r="277" spans="1:8" x14ac:dyDescent="0.25">
      <c r="A277" s="2">
        <v>540218</v>
      </c>
      <c r="B277" s="2" t="s">
        <v>272</v>
      </c>
      <c r="C277" s="129" t="s">
        <v>1250</v>
      </c>
      <c r="D277" s="129" t="s">
        <v>115</v>
      </c>
      <c r="E277" s="130" t="str">
        <f>"06/28/74"</f>
        <v>06/28/74</v>
      </c>
      <c r="F277" s="130" t="str">
        <f>"08/01/79"</f>
        <v>08/01/79</v>
      </c>
      <c r="G277" s="130" t="str">
        <f>"05/16/2006"</f>
        <v>05/16/2006</v>
      </c>
      <c r="H277" s="130" t="str">
        <f>"08/01/1979"</f>
        <v>08/01/1979</v>
      </c>
    </row>
    <row r="278" spans="1:8" x14ac:dyDescent="0.25">
      <c r="A278" s="2">
        <v>540219</v>
      </c>
      <c r="B278" s="2" t="s">
        <v>273</v>
      </c>
      <c r="C278" s="129" t="s">
        <v>1251</v>
      </c>
      <c r="D278" s="129" t="s">
        <v>115</v>
      </c>
      <c r="E278" s="130" t="str">
        <f>"06/28/74"</f>
        <v>06/28/74</v>
      </c>
      <c r="F278" s="131">
        <v>29144</v>
      </c>
      <c r="G278" s="130" t="str">
        <f>"05/16/2006"</f>
        <v>05/16/2006</v>
      </c>
      <c r="H278" s="131">
        <v>29144</v>
      </c>
    </row>
    <row r="279" spans="1:8" x14ac:dyDescent="0.25">
      <c r="A279" s="2">
        <v>540220</v>
      </c>
      <c r="B279" s="2" t="s">
        <v>274</v>
      </c>
      <c r="C279" s="129" t="s">
        <v>1252</v>
      </c>
      <c r="D279" s="129" t="s">
        <v>115</v>
      </c>
      <c r="E279" s="130" t="str">
        <f>"07/26/74"</f>
        <v>07/26/74</v>
      </c>
      <c r="F279" s="130" t="str">
        <f>"09/30/83"</f>
        <v>09/30/83</v>
      </c>
      <c r="G279" s="130" t="str">
        <f>"05/16/2006"</f>
        <v>05/16/2006</v>
      </c>
      <c r="H279" s="130" t="str">
        <f>"09/30/1983"</f>
        <v>09/30/1983</v>
      </c>
    </row>
    <row r="280" spans="1:8" x14ac:dyDescent="0.25">
      <c r="C280" s="132"/>
      <c r="D280" s="11"/>
    </row>
    <row r="282" spans="1:8" x14ac:dyDescent="0.25">
      <c r="B282" t="s">
        <v>952</v>
      </c>
    </row>
    <row r="283" spans="1:8" x14ac:dyDescent="0.25">
      <c r="C283" t="s">
        <v>953</v>
      </c>
      <c r="F283" s="123">
        <v>278</v>
      </c>
    </row>
    <row r="284" spans="1:8" x14ac:dyDescent="0.25">
      <c r="C284" t="s">
        <v>954</v>
      </c>
      <c r="F284" s="123" t="str">
        <f>"0"</f>
        <v>0</v>
      </c>
    </row>
    <row r="285" spans="1:8" x14ac:dyDescent="0.25">
      <c r="C285" t="s">
        <v>955</v>
      </c>
      <c r="F285" s="123">
        <v>278</v>
      </c>
    </row>
    <row r="286" spans="1:8" x14ac:dyDescent="0.25">
      <c r="C286" t="s">
        <v>956</v>
      </c>
      <c r="F286" s="123">
        <v>9</v>
      </c>
    </row>
    <row r="287" spans="1:8" x14ac:dyDescent="0.25">
      <c r="C287" t="s">
        <v>957</v>
      </c>
      <c r="F287" s="123">
        <v>33</v>
      </c>
    </row>
    <row r="289" spans="1:2" x14ac:dyDescent="0.25">
      <c r="A289" t="s">
        <v>958</v>
      </c>
    </row>
    <row r="290" spans="1:2" x14ac:dyDescent="0.25">
      <c r="A290" t="s">
        <v>959</v>
      </c>
    </row>
    <row r="291" spans="1:2" x14ac:dyDescent="0.25">
      <c r="A291" t="s">
        <v>488</v>
      </c>
    </row>
    <row r="292" spans="1:2" x14ac:dyDescent="0.25">
      <c r="A292" t="s">
        <v>960</v>
      </c>
    </row>
    <row r="293" spans="1:2" x14ac:dyDescent="0.25">
      <c r="A293" t="s">
        <v>961</v>
      </c>
    </row>
    <row r="294" spans="1:2" x14ac:dyDescent="0.25">
      <c r="A294" t="s">
        <v>962</v>
      </c>
    </row>
    <row r="295" spans="1:2" x14ac:dyDescent="0.25">
      <c r="A295" t="s">
        <v>963</v>
      </c>
      <c r="B295" t="s">
        <v>964</v>
      </c>
    </row>
    <row r="296" spans="1:2" x14ac:dyDescent="0.25">
      <c r="A296" t="s">
        <v>965</v>
      </c>
    </row>
    <row r="297" spans="1:2" x14ac:dyDescent="0.25">
      <c r="A297" t="s">
        <v>966</v>
      </c>
    </row>
    <row r="298" spans="1:2" x14ac:dyDescent="0.25">
      <c r="A298" t="s">
        <v>967</v>
      </c>
    </row>
    <row r="299" spans="1:2" x14ac:dyDescent="0.25">
      <c r="A299" t="s">
        <v>968</v>
      </c>
    </row>
    <row r="300" spans="1:2" x14ac:dyDescent="0.25">
      <c r="A300" t="s">
        <v>969</v>
      </c>
    </row>
    <row r="301" spans="1:2" x14ac:dyDescent="0.25">
      <c r="A301" t="s">
        <v>970</v>
      </c>
      <c r="B301" t="s">
        <v>971</v>
      </c>
    </row>
    <row r="302" spans="1:2" x14ac:dyDescent="0.25">
      <c r="A302" t="s">
        <v>972</v>
      </c>
      <c r="B302" t="s">
        <v>973</v>
      </c>
    </row>
    <row r="304" spans="1:2" x14ac:dyDescent="0.25">
      <c r="A304" s="133" t="s">
        <v>974</v>
      </c>
      <c r="B304" s="133"/>
    </row>
    <row r="305" spans="1:2" x14ac:dyDescent="0.25">
      <c r="A305" s="133" t="s">
        <v>975</v>
      </c>
      <c r="B305" s="133"/>
    </row>
  </sheetData>
  <hyperlinks>
    <hyperlink ref="K3" r:id="rId1"/>
  </hyperlinks>
  <pageMargins left="0.7" right="0.7" top="0.75" bottom="0.75" header="0.3" footer="0.3"/>
  <ignoredErrors>
    <ignoredError sqref="G5 H1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2"/>
  <sheetViews>
    <sheetView topLeftCell="S1" zoomScale="84" zoomScaleNormal="84" workbookViewId="0">
      <pane ySplit="2" topLeftCell="A3" activePane="bottomLeft" state="frozen"/>
      <selection activeCell="K1" sqref="K1"/>
      <selection pane="bottomLeft" activeCell="AD1" sqref="AD1:AE2"/>
    </sheetView>
  </sheetViews>
  <sheetFormatPr defaultRowHeight="15" x14ac:dyDescent="0.25"/>
  <cols>
    <col min="1" max="1" width="7" bestFit="1" customWidth="1"/>
    <col min="2" max="2" width="33.5703125" customWidth="1"/>
    <col min="3" max="3" width="20.42578125" customWidth="1"/>
    <col min="4" max="4" width="17.5703125" customWidth="1"/>
    <col min="5" max="5" width="9.42578125" customWidth="1"/>
    <col min="6" max="6" width="11.140625" style="86" customWidth="1"/>
    <col min="7" max="7" width="12.42578125" customWidth="1"/>
    <col min="8" max="8" width="21.5703125" style="34" customWidth="1"/>
    <col min="9" max="9" width="17.28515625" style="34" customWidth="1"/>
    <col min="10" max="10" width="15.42578125" style="51" customWidth="1"/>
    <col min="11" max="12" width="18" style="34" customWidth="1"/>
    <col min="13" max="13" width="18.140625" style="51" customWidth="1"/>
    <col min="14" max="14" width="18.140625" style="34" customWidth="1"/>
    <col min="15" max="15" width="21.28515625" style="34" customWidth="1"/>
    <col min="16" max="16" width="15.28515625" style="51" bestFit="1" customWidth="1"/>
    <col min="17" max="17" width="17.42578125" style="51" customWidth="1"/>
    <col min="18" max="18" width="19.42578125" style="34" customWidth="1"/>
    <col min="19" max="19" width="23.140625" style="34" customWidth="1"/>
    <col min="20" max="20" width="18.42578125" style="51" customWidth="1"/>
    <col min="21" max="21" width="13.140625" customWidth="1"/>
    <col min="22" max="22" width="11.5703125" customWidth="1"/>
    <col min="23" max="23" width="11.42578125" customWidth="1"/>
    <col min="24" max="24" width="12.28515625" customWidth="1"/>
    <col min="25" max="25" width="11.5703125" customWidth="1"/>
    <col min="26" max="26" width="14" customWidth="1"/>
    <col min="27" max="27" width="14.42578125" customWidth="1"/>
    <col min="28" max="28" width="15.7109375" customWidth="1"/>
    <col min="29" max="29" width="11.7109375" bestFit="1" customWidth="1"/>
    <col min="31" max="31" width="129.42578125" bestFit="1" customWidth="1"/>
  </cols>
  <sheetData>
    <row r="1" spans="1:31" ht="21" x14ac:dyDescent="0.35">
      <c r="A1" s="406" t="s">
        <v>517</v>
      </c>
      <c r="B1" s="407"/>
      <c r="C1" s="407"/>
      <c r="D1" s="407"/>
      <c r="E1" s="407"/>
      <c r="F1" s="407"/>
      <c r="G1" s="407"/>
      <c r="H1" s="407"/>
      <c r="U1" s="401" t="s">
        <v>580</v>
      </c>
      <c r="V1" s="403"/>
      <c r="W1" s="403"/>
      <c r="X1" s="403"/>
      <c r="Y1" s="403"/>
      <c r="Z1" s="403"/>
      <c r="AA1" s="403"/>
      <c r="AB1" s="402"/>
      <c r="AD1" s="233" t="s">
        <v>1325</v>
      </c>
      <c r="AE1" s="235" t="s">
        <v>1342</v>
      </c>
    </row>
    <row r="2" spans="1:31" ht="45" x14ac:dyDescent="0.25">
      <c r="A2" s="35" t="s">
        <v>0</v>
      </c>
      <c r="B2" s="35" t="s">
        <v>1</v>
      </c>
      <c r="C2" s="35" t="s">
        <v>2</v>
      </c>
      <c r="D2" s="35" t="s">
        <v>347</v>
      </c>
      <c r="E2" s="35" t="s">
        <v>509</v>
      </c>
      <c r="F2" s="85" t="s">
        <v>578</v>
      </c>
      <c r="G2" s="66" t="s">
        <v>508</v>
      </c>
      <c r="H2" s="67" t="s">
        <v>507</v>
      </c>
      <c r="I2" s="53" t="s">
        <v>506</v>
      </c>
      <c r="J2" s="68" t="s">
        <v>505</v>
      </c>
      <c r="K2" s="67" t="s">
        <v>504</v>
      </c>
      <c r="L2" s="53" t="s">
        <v>503</v>
      </c>
      <c r="M2" s="68" t="s">
        <v>502</v>
      </c>
      <c r="N2" s="67" t="s">
        <v>501</v>
      </c>
      <c r="O2" s="53" t="s">
        <v>500</v>
      </c>
      <c r="P2" s="68" t="s">
        <v>499</v>
      </c>
      <c r="Q2" s="52" t="s">
        <v>510</v>
      </c>
      <c r="R2" s="67" t="s">
        <v>498</v>
      </c>
      <c r="S2" s="53" t="s">
        <v>497</v>
      </c>
      <c r="T2" s="68" t="s">
        <v>496</v>
      </c>
      <c r="U2" s="35" t="s">
        <v>495</v>
      </c>
      <c r="V2" s="35" t="s">
        <v>494</v>
      </c>
      <c r="W2" s="35" t="s">
        <v>493</v>
      </c>
      <c r="X2" s="35" t="s">
        <v>492</v>
      </c>
      <c r="Y2" s="35" t="s">
        <v>491</v>
      </c>
      <c r="Z2" s="35" t="s">
        <v>490</v>
      </c>
      <c r="AA2" s="35" t="s">
        <v>489</v>
      </c>
      <c r="AB2" s="35" t="s">
        <v>450</v>
      </c>
      <c r="AC2" s="222" t="s">
        <v>1346</v>
      </c>
      <c r="AD2" s="233" t="s">
        <v>1326</v>
      </c>
      <c r="AE2" s="389" t="s">
        <v>1343</v>
      </c>
    </row>
    <row r="3" spans="1:31" x14ac:dyDescent="0.25">
      <c r="A3" s="1">
        <v>540001</v>
      </c>
      <c r="B3" s="1" t="s">
        <v>3</v>
      </c>
      <c r="C3" s="1" t="s">
        <v>4</v>
      </c>
      <c r="D3" s="1" t="s">
        <v>5</v>
      </c>
      <c r="E3" s="1">
        <v>7</v>
      </c>
      <c r="F3" s="215"/>
      <c r="G3" s="1">
        <v>562</v>
      </c>
      <c r="H3" s="1">
        <v>13558300</v>
      </c>
      <c r="I3" s="1">
        <v>287926300</v>
      </c>
      <c r="J3" s="1">
        <v>4.7089480884499997E-2</v>
      </c>
      <c r="K3" s="1">
        <v>1154000</v>
      </c>
      <c r="L3" s="1">
        <v>23694100</v>
      </c>
      <c r="M3" s="1">
        <v>4.8704107773700003E-2</v>
      </c>
      <c r="N3" s="1">
        <v>3113130</v>
      </c>
      <c r="O3" s="1">
        <v>46464480</v>
      </c>
      <c r="P3" s="1">
        <v>6.7000211774700003E-2</v>
      </c>
      <c r="Q3" s="216">
        <f xml:space="preserve"> I3 + L3+ O3</f>
        <v>358084880</v>
      </c>
      <c r="R3" s="1">
        <v>18057500</v>
      </c>
      <c r="S3" s="1">
        <v>358820400</v>
      </c>
      <c r="T3" s="1">
        <v>5.0324619224500003E-2</v>
      </c>
      <c r="U3" s="1">
        <v>308</v>
      </c>
      <c r="V3" s="1">
        <v>0</v>
      </c>
      <c r="W3" s="1">
        <v>79</v>
      </c>
      <c r="X3" s="1">
        <v>11</v>
      </c>
      <c r="Y3" s="1">
        <v>0</v>
      </c>
      <c r="Z3" s="1">
        <v>0</v>
      </c>
      <c r="AA3" s="1">
        <v>24</v>
      </c>
      <c r="AB3" s="1">
        <v>140</v>
      </c>
      <c r="AC3" s="1" t="s">
        <v>1344</v>
      </c>
    </row>
    <row r="4" spans="1:31" x14ac:dyDescent="0.25">
      <c r="A4" s="2">
        <v>540002</v>
      </c>
      <c r="B4" s="2" t="s">
        <v>114</v>
      </c>
      <c r="C4" s="2" t="s">
        <v>4</v>
      </c>
      <c r="D4" s="2" t="s">
        <v>115</v>
      </c>
      <c r="E4" s="2">
        <v>7</v>
      </c>
      <c r="F4" s="197"/>
      <c r="G4" s="2">
        <v>120</v>
      </c>
      <c r="H4" s="2">
        <v>2411700</v>
      </c>
      <c r="I4" s="2">
        <v>38813300</v>
      </c>
      <c r="J4" s="2">
        <v>6.2135917327299998E-2</v>
      </c>
      <c r="K4" s="2">
        <v>4020300</v>
      </c>
      <c r="L4" s="2">
        <v>12629900</v>
      </c>
      <c r="M4" s="2">
        <v>0.31831605951000003</v>
      </c>
      <c r="N4" s="2">
        <v>286980</v>
      </c>
      <c r="O4" s="2">
        <v>3737830</v>
      </c>
      <c r="P4" s="2">
        <v>7.6777167500899995E-2</v>
      </c>
      <c r="Q4" s="217">
        <f t="shared" ref="Q4:Q67" si="0" xml:space="preserve"> I4 + L4+ O4</f>
        <v>55181030</v>
      </c>
      <c r="R4" s="2">
        <v>6719600</v>
      </c>
      <c r="S4" s="2">
        <v>55307400</v>
      </c>
      <c r="T4" s="2">
        <v>0.121495496082</v>
      </c>
      <c r="U4" s="2">
        <v>53</v>
      </c>
      <c r="V4" s="2">
        <v>0</v>
      </c>
      <c r="W4" s="2">
        <v>0</v>
      </c>
      <c r="X4" s="2">
        <v>35</v>
      </c>
      <c r="Y4" s="2">
        <v>1</v>
      </c>
      <c r="Z4" s="2">
        <v>0</v>
      </c>
      <c r="AA4" s="2">
        <v>14</v>
      </c>
      <c r="AB4" s="2">
        <v>17</v>
      </c>
      <c r="AC4" s="2" t="s">
        <v>1344</v>
      </c>
    </row>
    <row r="5" spans="1:31" x14ac:dyDescent="0.25">
      <c r="A5" s="2">
        <v>540003</v>
      </c>
      <c r="B5" s="2" t="s">
        <v>116</v>
      </c>
      <c r="C5" s="2" t="s">
        <v>4</v>
      </c>
      <c r="D5" s="2" t="s">
        <v>115</v>
      </c>
      <c r="E5" s="2">
        <v>7</v>
      </c>
      <c r="F5" s="197"/>
      <c r="G5" s="2">
        <v>15</v>
      </c>
      <c r="H5" s="2">
        <v>194100</v>
      </c>
      <c r="I5" s="2">
        <v>5424500</v>
      </c>
      <c r="J5" s="2">
        <v>3.5782099732700003E-2</v>
      </c>
      <c r="K5" s="2">
        <v>0</v>
      </c>
      <c r="L5" s="2">
        <v>2366300</v>
      </c>
      <c r="M5" s="2">
        <v>0</v>
      </c>
      <c r="N5" s="2">
        <v>38350</v>
      </c>
      <c r="O5" s="2">
        <v>790810</v>
      </c>
      <c r="P5" s="2">
        <v>4.8494581505000002E-2</v>
      </c>
      <c r="Q5" s="217">
        <f t="shared" si="0"/>
        <v>8581610</v>
      </c>
      <c r="R5" s="2">
        <v>232500</v>
      </c>
      <c r="S5" s="2">
        <v>8602800</v>
      </c>
      <c r="T5" s="2">
        <v>2.70260845306E-2</v>
      </c>
      <c r="U5" s="2">
        <v>11</v>
      </c>
      <c r="V5" s="2">
        <v>0</v>
      </c>
      <c r="W5" s="2">
        <v>0</v>
      </c>
      <c r="X5" s="2">
        <v>0</v>
      </c>
      <c r="Y5" s="2">
        <v>0</v>
      </c>
      <c r="Z5" s="2">
        <v>0</v>
      </c>
      <c r="AA5" s="2">
        <v>0</v>
      </c>
      <c r="AB5" s="2">
        <v>4</v>
      </c>
      <c r="AC5" s="2" t="s">
        <v>1344</v>
      </c>
    </row>
    <row r="6" spans="1:31" x14ac:dyDescent="0.25">
      <c r="A6" s="2">
        <v>540004</v>
      </c>
      <c r="B6" s="2" t="s">
        <v>117</v>
      </c>
      <c r="C6" s="2" t="s">
        <v>4</v>
      </c>
      <c r="D6" s="2" t="s">
        <v>115</v>
      </c>
      <c r="E6" s="2">
        <v>7</v>
      </c>
      <c r="F6" s="197"/>
      <c r="G6" s="2">
        <v>268</v>
      </c>
      <c r="H6" s="2">
        <v>7659000</v>
      </c>
      <c r="I6" s="2">
        <v>52537600</v>
      </c>
      <c r="J6" s="2">
        <v>0.14578130710199999</v>
      </c>
      <c r="K6" s="2">
        <v>17737100</v>
      </c>
      <c r="L6" s="2">
        <v>45572900</v>
      </c>
      <c r="M6" s="2">
        <v>0.38920279376599998</v>
      </c>
      <c r="N6" s="2">
        <v>3139560</v>
      </c>
      <c r="O6" s="2">
        <v>28264110</v>
      </c>
      <c r="P6" s="2">
        <v>0.111079386544</v>
      </c>
      <c r="Q6" s="217">
        <f t="shared" si="0"/>
        <v>126374610</v>
      </c>
      <c r="R6" s="2">
        <v>28521300</v>
      </c>
      <c r="S6" s="2">
        <v>127257000</v>
      </c>
      <c r="T6" s="2">
        <v>0.224123623848</v>
      </c>
      <c r="U6" s="2">
        <v>146</v>
      </c>
      <c r="V6" s="2">
        <v>0</v>
      </c>
      <c r="W6" s="2">
        <v>0</v>
      </c>
      <c r="X6" s="2">
        <v>70</v>
      </c>
      <c r="Y6" s="2">
        <v>1</v>
      </c>
      <c r="Z6" s="2">
        <v>2</v>
      </c>
      <c r="AA6" s="2">
        <v>36</v>
      </c>
      <c r="AB6" s="2">
        <v>13</v>
      </c>
      <c r="AC6" s="2" t="s">
        <v>1344</v>
      </c>
    </row>
    <row r="7" spans="1:31" x14ac:dyDescent="0.25">
      <c r="A7" s="2"/>
      <c r="B7" s="2"/>
      <c r="C7" s="2" t="s">
        <v>4</v>
      </c>
      <c r="D7" s="2"/>
      <c r="E7" s="2"/>
      <c r="F7" s="197"/>
      <c r="G7" s="2">
        <v>965</v>
      </c>
      <c r="H7" s="2">
        <v>23823100</v>
      </c>
      <c r="I7" s="2">
        <v>384701700</v>
      </c>
      <c r="J7" s="2">
        <v>6.1926162530600001E-2</v>
      </c>
      <c r="K7" s="2">
        <v>22911400</v>
      </c>
      <c r="L7" s="2">
        <v>84263200</v>
      </c>
      <c r="M7" s="2">
        <v>0.27190279979900001</v>
      </c>
      <c r="N7" s="2">
        <v>6578020</v>
      </c>
      <c r="O7" s="2">
        <v>79257230</v>
      </c>
      <c r="P7" s="2">
        <v>8.2995835206500002E-2</v>
      </c>
      <c r="Q7" s="217">
        <f t="shared" si="0"/>
        <v>548222130</v>
      </c>
      <c r="R7" s="2">
        <v>53530900</v>
      </c>
      <c r="S7" s="2">
        <v>549987600</v>
      </c>
      <c r="T7" s="2">
        <v>9.7331103464899996E-2</v>
      </c>
      <c r="U7" s="2">
        <v>518</v>
      </c>
      <c r="V7" s="2">
        <v>0</v>
      </c>
      <c r="W7" s="2">
        <v>79</v>
      </c>
      <c r="X7" s="2">
        <v>116</v>
      </c>
      <c r="Y7" s="2">
        <v>2</v>
      </c>
      <c r="Z7" s="2">
        <v>2</v>
      </c>
      <c r="AA7" s="2">
        <v>74</v>
      </c>
      <c r="AB7" s="2">
        <v>174</v>
      </c>
      <c r="AC7" s="2" t="s">
        <v>1344</v>
      </c>
    </row>
    <row r="8" spans="1:31" x14ac:dyDescent="0.25">
      <c r="A8" s="1">
        <v>540007</v>
      </c>
      <c r="B8" s="1" t="s">
        <v>6</v>
      </c>
      <c r="C8" s="1" t="s">
        <v>7</v>
      </c>
      <c r="D8" s="1" t="s">
        <v>5</v>
      </c>
      <c r="E8" s="1">
        <v>3</v>
      </c>
      <c r="F8" s="215"/>
      <c r="G8" s="1">
        <v>3467</v>
      </c>
      <c r="H8" s="1">
        <v>58935100</v>
      </c>
      <c r="I8" s="1">
        <v>288832500</v>
      </c>
      <c r="J8" s="1">
        <v>0.20404594358299999</v>
      </c>
      <c r="K8" s="1">
        <v>19054900</v>
      </c>
      <c r="L8" s="1">
        <v>41405100</v>
      </c>
      <c r="M8" s="1">
        <v>0.46020659290799998</v>
      </c>
      <c r="N8" s="1">
        <v>59487490</v>
      </c>
      <c r="O8" s="1">
        <v>70738330</v>
      </c>
      <c r="P8" s="1">
        <v>0.84095129189499995</v>
      </c>
      <c r="Q8" s="216">
        <f t="shared" si="0"/>
        <v>400975930</v>
      </c>
      <c r="R8" s="1">
        <v>144542000</v>
      </c>
      <c r="S8" s="1">
        <v>406252700</v>
      </c>
      <c r="T8" s="1">
        <v>0.35579332764999999</v>
      </c>
      <c r="U8" s="1">
        <v>2151</v>
      </c>
      <c r="V8" s="1">
        <v>0</v>
      </c>
      <c r="W8" s="1">
        <v>8</v>
      </c>
      <c r="X8" s="1">
        <v>204</v>
      </c>
      <c r="Y8" s="1">
        <v>33</v>
      </c>
      <c r="Z8" s="1">
        <v>16</v>
      </c>
      <c r="AA8" s="1">
        <v>96</v>
      </c>
      <c r="AB8" s="1">
        <v>959</v>
      </c>
      <c r="AC8" s="1" t="s">
        <v>1344</v>
      </c>
    </row>
    <row r="9" spans="1:31" x14ac:dyDescent="0.25">
      <c r="A9" s="2">
        <v>540008</v>
      </c>
      <c r="B9" s="2" t="s">
        <v>120</v>
      </c>
      <c r="C9" s="2" t="s">
        <v>7</v>
      </c>
      <c r="D9" s="2" t="s">
        <v>115</v>
      </c>
      <c r="E9" s="2">
        <v>3</v>
      </c>
      <c r="F9" s="197"/>
      <c r="G9" s="2">
        <v>324</v>
      </c>
      <c r="H9" s="2">
        <v>8328200</v>
      </c>
      <c r="I9" s="2">
        <v>88169800</v>
      </c>
      <c r="J9" s="2">
        <v>9.4456378487900006E-2</v>
      </c>
      <c r="K9" s="2">
        <v>73407200</v>
      </c>
      <c r="L9" s="2">
        <v>36591600</v>
      </c>
      <c r="M9" s="2">
        <v>2.0061216235399999</v>
      </c>
      <c r="N9" s="2">
        <v>7819380</v>
      </c>
      <c r="O9" s="2">
        <v>15257020</v>
      </c>
      <c r="P9" s="2">
        <v>0.51251030673099995</v>
      </c>
      <c r="Q9" s="217">
        <f t="shared" si="0"/>
        <v>140018420</v>
      </c>
      <c r="R9" s="2">
        <v>91743100</v>
      </c>
      <c r="S9" s="2">
        <v>141761000</v>
      </c>
      <c r="T9" s="2">
        <v>0.64716741558000002</v>
      </c>
      <c r="U9" s="2">
        <v>141</v>
      </c>
      <c r="V9" s="2">
        <v>0</v>
      </c>
      <c r="W9" s="2">
        <v>0</v>
      </c>
      <c r="X9" s="2">
        <v>47</v>
      </c>
      <c r="Y9" s="2">
        <v>1</v>
      </c>
      <c r="Z9" s="2">
        <v>1</v>
      </c>
      <c r="AA9" s="2">
        <v>25</v>
      </c>
      <c r="AB9" s="2">
        <v>109</v>
      </c>
      <c r="AC9" s="2" t="s">
        <v>1344</v>
      </c>
    </row>
    <row r="10" spans="1:31" x14ac:dyDescent="0.25">
      <c r="A10" s="2">
        <v>540229</v>
      </c>
      <c r="B10" s="2" t="s">
        <v>279</v>
      </c>
      <c r="C10" s="2" t="s">
        <v>7</v>
      </c>
      <c r="D10" s="2" t="s">
        <v>115</v>
      </c>
      <c r="E10" s="2">
        <v>3</v>
      </c>
      <c r="F10" s="197"/>
      <c r="G10" s="2">
        <v>90</v>
      </c>
      <c r="H10" s="2">
        <v>1630700</v>
      </c>
      <c r="I10" s="2">
        <v>5866000</v>
      </c>
      <c r="J10" s="2">
        <v>0.27799181725200001</v>
      </c>
      <c r="K10" s="2">
        <v>25700</v>
      </c>
      <c r="L10" s="2">
        <v>4868200</v>
      </c>
      <c r="M10" s="2">
        <v>5.27915862126E-3</v>
      </c>
      <c r="N10" s="2">
        <v>3434970</v>
      </c>
      <c r="O10" s="2">
        <v>3050980</v>
      </c>
      <c r="P10" s="2">
        <v>1.1258579210599999</v>
      </c>
      <c r="Q10" s="217">
        <f t="shared" si="0"/>
        <v>13785180</v>
      </c>
      <c r="R10" s="2">
        <v>9226200</v>
      </c>
      <c r="S10" s="2">
        <v>14946900</v>
      </c>
      <c r="T10" s="2">
        <v>0.61726511851999999</v>
      </c>
      <c r="U10" s="2">
        <v>42</v>
      </c>
      <c r="V10" s="2">
        <v>0</v>
      </c>
      <c r="W10" s="2">
        <v>0</v>
      </c>
      <c r="X10" s="2">
        <v>9</v>
      </c>
      <c r="Y10" s="2">
        <v>1</v>
      </c>
      <c r="Z10" s="2">
        <v>1</v>
      </c>
      <c r="AA10" s="2">
        <v>16</v>
      </c>
      <c r="AB10" s="2">
        <v>21</v>
      </c>
      <c r="AC10" s="2" t="s">
        <v>1344</v>
      </c>
    </row>
    <row r="11" spans="1:31" x14ac:dyDescent="0.25">
      <c r="A11" s="2">
        <v>540230</v>
      </c>
      <c r="B11" s="2" t="s">
        <v>280</v>
      </c>
      <c r="C11" s="2" t="s">
        <v>7</v>
      </c>
      <c r="D11" s="2" t="s">
        <v>115</v>
      </c>
      <c r="E11" s="2">
        <v>3</v>
      </c>
      <c r="F11" s="197"/>
      <c r="G11" s="2">
        <v>160</v>
      </c>
      <c r="H11" s="2">
        <v>1983000</v>
      </c>
      <c r="I11" s="2">
        <v>9039900</v>
      </c>
      <c r="J11" s="2">
        <v>0.21936083363799999</v>
      </c>
      <c r="K11" s="2">
        <v>13267800</v>
      </c>
      <c r="L11" s="2">
        <v>11128300</v>
      </c>
      <c r="M11" s="2">
        <v>1.1922575775299999</v>
      </c>
      <c r="N11" s="2">
        <v>2639060</v>
      </c>
      <c r="O11" s="2">
        <v>3273450</v>
      </c>
      <c r="P11" s="2">
        <v>0.80620140829999998</v>
      </c>
      <c r="Q11" s="217">
        <f t="shared" si="0"/>
        <v>23441650</v>
      </c>
      <c r="R11" s="2">
        <v>18269300</v>
      </c>
      <c r="S11" s="2">
        <v>23661400</v>
      </c>
      <c r="T11" s="2">
        <v>0.77211407609000005</v>
      </c>
      <c r="U11" s="2">
        <v>36</v>
      </c>
      <c r="V11" s="2">
        <v>0</v>
      </c>
      <c r="W11" s="2">
        <v>0</v>
      </c>
      <c r="X11" s="2">
        <v>58</v>
      </c>
      <c r="Y11" s="2">
        <v>0</v>
      </c>
      <c r="Z11" s="2">
        <v>1</v>
      </c>
      <c r="AA11" s="2">
        <v>13</v>
      </c>
      <c r="AB11" s="2">
        <v>52</v>
      </c>
      <c r="AC11" s="2" t="s">
        <v>1344</v>
      </c>
    </row>
    <row r="12" spans="1:31" x14ac:dyDescent="0.25">
      <c r="A12" s="2">
        <v>540238</v>
      </c>
      <c r="B12" s="2" t="s">
        <v>286</v>
      </c>
      <c r="C12" s="2" t="s">
        <v>7</v>
      </c>
      <c r="D12" s="2" t="s">
        <v>115</v>
      </c>
      <c r="E12" s="2">
        <v>3</v>
      </c>
      <c r="F12" s="197"/>
      <c r="G12" s="2">
        <v>69</v>
      </c>
      <c r="H12" s="2">
        <v>3648400</v>
      </c>
      <c r="I12" s="2">
        <v>3985600</v>
      </c>
      <c r="J12" s="2">
        <v>0.91539542352500003</v>
      </c>
      <c r="K12" s="2">
        <v>0</v>
      </c>
      <c r="L12" s="2">
        <v>561700</v>
      </c>
      <c r="M12" s="2">
        <v>0</v>
      </c>
      <c r="N12" s="2">
        <v>118240</v>
      </c>
      <c r="O12" s="2">
        <v>356960</v>
      </c>
      <c r="P12" s="2">
        <v>0.33124159569700001</v>
      </c>
      <c r="Q12" s="217">
        <f t="shared" si="0"/>
        <v>4904260</v>
      </c>
      <c r="R12" s="2">
        <v>3809300</v>
      </c>
      <c r="S12" s="2">
        <v>4942500</v>
      </c>
      <c r="T12" s="2">
        <v>0.77072331815899997</v>
      </c>
      <c r="U12" s="2">
        <v>62</v>
      </c>
      <c r="V12" s="2">
        <v>0</v>
      </c>
      <c r="W12" s="2">
        <v>0</v>
      </c>
      <c r="X12" s="2">
        <v>4</v>
      </c>
      <c r="Y12" s="2">
        <v>0</v>
      </c>
      <c r="Z12" s="2">
        <v>0</v>
      </c>
      <c r="AA12" s="2">
        <v>2</v>
      </c>
      <c r="AB12" s="2">
        <v>1</v>
      </c>
      <c r="AC12" s="2" t="s">
        <v>1344</v>
      </c>
    </row>
    <row r="13" spans="1:31" x14ac:dyDescent="0.25">
      <c r="A13" s="2"/>
      <c r="B13" s="2"/>
      <c r="C13" s="2" t="s">
        <v>7</v>
      </c>
      <c r="D13" s="2"/>
      <c r="E13" s="2"/>
      <c r="F13" s="197"/>
      <c r="G13" s="2">
        <v>4110</v>
      </c>
      <c r="H13" s="2">
        <v>74525400</v>
      </c>
      <c r="I13" s="2">
        <v>395893800</v>
      </c>
      <c r="J13" s="2">
        <v>0.188245938684</v>
      </c>
      <c r="K13" s="2">
        <v>105755600</v>
      </c>
      <c r="L13" s="2">
        <v>94554900</v>
      </c>
      <c r="M13" s="2">
        <v>1.1184571079900001</v>
      </c>
      <c r="N13" s="2">
        <v>73499140</v>
      </c>
      <c r="O13" s="2">
        <v>92676740</v>
      </c>
      <c r="P13" s="2">
        <v>0.79306997634999998</v>
      </c>
      <c r="Q13" s="217">
        <f t="shared" si="0"/>
        <v>583125440</v>
      </c>
      <c r="R13" s="2">
        <v>267589900</v>
      </c>
      <c r="S13" s="2">
        <v>591564500</v>
      </c>
      <c r="T13" s="2">
        <v>0.45234272847700002</v>
      </c>
      <c r="U13" s="2">
        <v>2432</v>
      </c>
      <c r="V13" s="2">
        <v>0</v>
      </c>
      <c r="W13" s="2">
        <v>8</v>
      </c>
      <c r="X13" s="2">
        <v>322</v>
      </c>
      <c r="Y13" s="2">
        <v>35</v>
      </c>
      <c r="Z13" s="2">
        <v>19</v>
      </c>
      <c r="AA13" s="2">
        <v>152</v>
      </c>
      <c r="AB13" s="2">
        <v>1142</v>
      </c>
      <c r="AC13" s="2" t="s">
        <v>1344</v>
      </c>
    </row>
    <row r="14" spans="1:31" x14ac:dyDescent="0.25">
      <c r="A14" s="1">
        <v>540009</v>
      </c>
      <c r="B14" s="1" t="s">
        <v>8</v>
      </c>
      <c r="C14" s="1" t="s">
        <v>9</v>
      </c>
      <c r="D14" s="1" t="s">
        <v>5</v>
      </c>
      <c r="E14" s="1">
        <v>7</v>
      </c>
      <c r="F14" s="215"/>
      <c r="G14" s="1">
        <v>1290</v>
      </c>
      <c r="H14" s="1">
        <v>32053200</v>
      </c>
      <c r="I14" s="1">
        <v>245987200</v>
      </c>
      <c r="J14" s="1">
        <v>0.13030434103899999</v>
      </c>
      <c r="K14" s="1">
        <v>9775100</v>
      </c>
      <c r="L14" s="1">
        <v>72689900</v>
      </c>
      <c r="M14" s="1">
        <v>0.134476729229</v>
      </c>
      <c r="N14" s="1">
        <v>10920830</v>
      </c>
      <c r="O14" s="1">
        <v>73695680</v>
      </c>
      <c r="P14" s="1">
        <v>0.14818819773399999</v>
      </c>
      <c r="Q14" s="216">
        <f t="shared" si="0"/>
        <v>392372780</v>
      </c>
      <c r="R14" s="1">
        <v>64724000</v>
      </c>
      <c r="S14" s="1">
        <v>473252600</v>
      </c>
      <c r="T14" s="1">
        <v>0.13676417202999999</v>
      </c>
      <c r="U14" s="1">
        <v>762</v>
      </c>
      <c r="V14" s="1">
        <v>0</v>
      </c>
      <c r="W14" s="1">
        <v>296</v>
      </c>
      <c r="X14" s="1">
        <v>67</v>
      </c>
      <c r="Y14" s="1">
        <v>6</v>
      </c>
      <c r="Z14" s="1">
        <v>8</v>
      </c>
      <c r="AA14" s="1">
        <v>76</v>
      </c>
      <c r="AB14" s="1">
        <v>75</v>
      </c>
      <c r="AC14" s="1" t="s">
        <v>1344</v>
      </c>
    </row>
    <row r="15" spans="1:31" x14ac:dyDescent="0.25">
      <c r="A15" s="2">
        <v>540010</v>
      </c>
      <c r="B15" s="2" t="s">
        <v>121</v>
      </c>
      <c r="C15" s="2" t="s">
        <v>9</v>
      </c>
      <c r="D15" s="2" t="s">
        <v>115</v>
      </c>
      <c r="E15" s="2">
        <v>7</v>
      </c>
      <c r="F15" s="197"/>
      <c r="G15" s="2">
        <v>35</v>
      </c>
      <c r="H15" s="2">
        <v>394400</v>
      </c>
      <c r="I15" s="2">
        <v>7592600</v>
      </c>
      <c r="J15" s="2">
        <v>5.1945315175300003E-2</v>
      </c>
      <c r="K15" s="2">
        <v>468400</v>
      </c>
      <c r="L15" s="2">
        <v>5126300</v>
      </c>
      <c r="M15" s="2">
        <v>9.1371944677399994E-2</v>
      </c>
      <c r="N15" s="2">
        <v>68800</v>
      </c>
      <c r="O15" s="2">
        <v>1448050</v>
      </c>
      <c r="P15" s="2">
        <v>4.7512171541000001E-2</v>
      </c>
      <c r="Q15" s="217">
        <f t="shared" si="0"/>
        <v>14166950</v>
      </c>
      <c r="R15" s="2">
        <v>1059900</v>
      </c>
      <c r="S15" s="2">
        <v>16659400</v>
      </c>
      <c r="T15" s="2">
        <v>6.3621739078199999E-2</v>
      </c>
      <c r="U15" s="2">
        <v>11</v>
      </c>
      <c r="V15" s="2">
        <v>0</v>
      </c>
      <c r="W15" s="2">
        <v>1</v>
      </c>
      <c r="X15" s="2">
        <v>5</v>
      </c>
      <c r="Y15" s="2">
        <v>0</v>
      </c>
      <c r="Z15" s="2">
        <v>3</v>
      </c>
      <c r="AA15" s="2">
        <v>4</v>
      </c>
      <c r="AB15" s="2">
        <v>11</v>
      </c>
      <c r="AC15" s="2" t="s">
        <v>1344</v>
      </c>
    </row>
    <row r="16" spans="1:31" x14ac:dyDescent="0.25">
      <c r="A16" s="2">
        <v>540235</v>
      </c>
      <c r="B16" s="2" t="s">
        <v>283</v>
      </c>
      <c r="C16" s="2" t="s">
        <v>9</v>
      </c>
      <c r="D16" s="2" t="s">
        <v>115</v>
      </c>
      <c r="E16" s="2">
        <v>7</v>
      </c>
      <c r="F16" s="197"/>
      <c r="G16" s="2">
        <v>0</v>
      </c>
      <c r="H16" s="2">
        <v>0</v>
      </c>
      <c r="I16" s="2">
        <v>5868600</v>
      </c>
      <c r="J16" s="2">
        <v>0</v>
      </c>
      <c r="K16" s="2">
        <v>0</v>
      </c>
      <c r="L16" s="2">
        <v>2097000</v>
      </c>
      <c r="M16" s="2">
        <v>0</v>
      </c>
      <c r="N16" s="2">
        <v>0</v>
      </c>
      <c r="O16" s="2">
        <v>1149350</v>
      </c>
      <c r="P16" s="2">
        <v>0</v>
      </c>
      <c r="Q16" s="217">
        <f t="shared" si="0"/>
        <v>9114950</v>
      </c>
      <c r="R16" s="2">
        <v>0</v>
      </c>
      <c r="S16" s="2">
        <v>12380100</v>
      </c>
      <c r="T16" s="2">
        <v>0</v>
      </c>
      <c r="U16" s="2">
        <v>0</v>
      </c>
      <c r="V16" s="2">
        <v>0</v>
      </c>
      <c r="W16" s="2">
        <v>0</v>
      </c>
      <c r="X16" s="2">
        <v>0</v>
      </c>
      <c r="Y16" s="2">
        <v>0</v>
      </c>
      <c r="Z16" s="2">
        <v>0</v>
      </c>
      <c r="AA16" s="2">
        <v>0</v>
      </c>
      <c r="AB16" s="2">
        <v>0</v>
      </c>
      <c r="AC16" s="2" t="s">
        <v>1344</v>
      </c>
    </row>
    <row r="17" spans="1:29" x14ac:dyDescent="0.25">
      <c r="A17" s="2">
        <v>540236</v>
      </c>
      <c r="B17" s="2" t="s">
        <v>284</v>
      </c>
      <c r="C17" s="2" t="s">
        <v>9</v>
      </c>
      <c r="D17" s="2" t="s">
        <v>115</v>
      </c>
      <c r="E17" s="2">
        <v>7</v>
      </c>
      <c r="F17" s="197"/>
      <c r="G17" s="2">
        <v>41</v>
      </c>
      <c r="H17" s="2">
        <v>1722300</v>
      </c>
      <c r="I17" s="2">
        <v>19217400</v>
      </c>
      <c r="J17" s="2">
        <v>8.9621905148500006E-2</v>
      </c>
      <c r="K17" s="2">
        <v>1074500</v>
      </c>
      <c r="L17" s="2">
        <v>9145900</v>
      </c>
      <c r="M17" s="2">
        <v>0.117484337244</v>
      </c>
      <c r="N17" s="2">
        <v>440510</v>
      </c>
      <c r="O17" s="2">
        <v>1870590</v>
      </c>
      <c r="P17" s="2">
        <v>0.235492545133</v>
      </c>
      <c r="Q17" s="217">
        <f t="shared" si="0"/>
        <v>30233890</v>
      </c>
      <c r="R17" s="2">
        <v>3530800</v>
      </c>
      <c r="S17" s="2">
        <v>34638700</v>
      </c>
      <c r="T17" s="2">
        <v>0.101932231868</v>
      </c>
      <c r="U17" s="2">
        <v>11</v>
      </c>
      <c r="V17" s="2">
        <v>0</v>
      </c>
      <c r="W17" s="2">
        <v>0</v>
      </c>
      <c r="X17" s="2">
        <v>23</v>
      </c>
      <c r="Y17" s="2">
        <v>0</v>
      </c>
      <c r="Z17" s="2">
        <v>0</v>
      </c>
      <c r="AA17" s="2">
        <v>4</v>
      </c>
      <c r="AB17" s="2">
        <v>3</v>
      </c>
      <c r="AC17" s="2" t="s">
        <v>1344</v>
      </c>
    </row>
    <row r="18" spans="1:29" x14ac:dyDescent="0.25">
      <c r="A18" s="2">
        <v>540237</v>
      </c>
      <c r="B18" s="2" t="s">
        <v>285</v>
      </c>
      <c r="C18" s="2" t="s">
        <v>9</v>
      </c>
      <c r="D18" s="2" t="s">
        <v>115</v>
      </c>
      <c r="E18" s="2">
        <v>7</v>
      </c>
      <c r="F18" s="197"/>
      <c r="G18" s="2">
        <v>57</v>
      </c>
      <c r="H18" s="2">
        <v>991100</v>
      </c>
      <c r="I18" s="2">
        <v>15434500</v>
      </c>
      <c r="J18" s="2">
        <v>6.4213288412299993E-2</v>
      </c>
      <c r="K18" s="2">
        <v>2828600</v>
      </c>
      <c r="L18" s="2">
        <v>23741200</v>
      </c>
      <c r="M18" s="2">
        <v>0.11914309301999999</v>
      </c>
      <c r="N18" s="2">
        <v>539980</v>
      </c>
      <c r="O18" s="2">
        <v>2665990</v>
      </c>
      <c r="P18" s="2">
        <v>0.20254389551300001</v>
      </c>
      <c r="Q18" s="217">
        <f t="shared" si="0"/>
        <v>41841690</v>
      </c>
      <c r="R18" s="2">
        <v>5070200</v>
      </c>
      <c r="S18" s="2">
        <v>48600100</v>
      </c>
      <c r="T18" s="2">
        <v>0.10432488821999999</v>
      </c>
      <c r="U18" s="2">
        <v>37</v>
      </c>
      <c r="V18" s="2">
        <v>0</v>
      </c>
      <c r="W18" s="2">
        <v>0</v>
      </c>
      <c r="X18" s="2">
        <v>6</v>
      </c>
      <c r="Y18" s="2">
        <v>1</v>
      </c>
      <c r="Z18" s="2">
        <v>2</v>
      </c>
      <c r="AA18" s="2">
        <v>3</v>
      </c>
      <c r="AB18" s="2">
        <v>8</v>
      </c>
      <c r="AC18" s="2" t="s">
        <v>1344</v>
      </c>
    </row>
    <row r="19" spans="1:29" x14ac:dyDescent="0.25">
      <c r="A19" s="2"/>
      <c r="B19" s="2"/>
      <c r="C19" s="2" t="s">
        <v>9</v>
      </c>
      <c r="D19" s="2"/>
      <c r="E19" s="2"/>
      <c r="F19" s="197"/>
      <c r="G19" s="2">
        <v>1423</v>
      </c>
      <c r="H19" s="2">
        <v>35161000</v>
      </c>
      <c r="I19" s="2">
        <v>294100300</v>
      </c>
      <c r="J19" s="2">
        <v>0.119554451322</v>
      </c>
      <c r="K19" s="2">
        <v>14146600</v>
      </c>
      <c r="L19" s="2">
        <v>112800300</v>
      </c>
      <c r="M19" s="2">
        <v>0.12541278702299999</v>
      </c>
      <c r="N19" s="2">
        <v>11970120</v>
      </c>
      <c r="O19" s="2">
        <v>80829660</v>
      </c>
      <c r="P19" s="2">
        <v>0.14809068849199999</v>
      </c>
      <c r="Q19" s="217">
        <f t="shared" si="0"/>
        <v>487730260</v>
      </c>
      <c r="R19" s="2">
        <v>74384900</v>
      </c>
      <c r="S19" s="2">
        <v>585530900</v>
      </c>
      <c r="T19" s="2">
        <v>0.12703838516499999</v>
      </c>
      <c r="U19" s="2">
        <v>821</v>
      </c>
      <c r="V19" s="2">
        <v>0</v>
      </c>
      <c r="W19" s="2">
        <v>297</v>
      </c>
      <c r="X19" s="2">
        <v>101</v>
      </c>
      <c r="Y19" s="2">
        <v>7</v>
      </c>
      <c r="Z19" s="2">
        <v>13</v>
      </c>
      <c r="AA19" s="2">
        <v>87</v>
      </c>
      <c r="AB19" s="2">
        <v>97</v>
      </c>
      <c r="AC19" s="2" t="s">
        <v>1344</v>
      </c>
    </row>
    <row r="20" spans="1:29" x14ac:dyDescent="0.25">
      <c r="A20" s="1">
        <v>540011</v>
      </c>
      <c r="B20" s="1" t="s">
        <v>10</v>
      </c>
      <c r="C20" s="1" t="s">
        <v>11</v>
      </c>
      <c r="D20" s="1" t="s">
        <v>5</v>
      </c>
      <c r="E20" s="1">
        <v>11</v>
      </c>
      <c r="F20" s="215"/>
      <c r="G20" s="1">
        <v>358</v>
      </c>
      <c r="H20" s="1">
        <v>7439700</v>
      </c>
      <c r="I20" s="1">
        <v>272621900</v>
      </c>
      <c r="J20" s="1">
        <v>2.72894437314E-2</v>
      </c>
      <c r="K20" s="1">
        <v>2858100</v>
      </c>
      <c r="L20" s="1">
        <v>22789300</v>
      </c>
      <c r="M20" s="1">
        <v>0.12541411978399999</v>
      </c>
      <c r="N20" s="1">
        <v>1574570</v>
      </c>
      <c r="O20" s="1">
        <v>28038460</v>
      </c>
      <c r="P20" s="1">
        <v>5.6157506510699999E-2</v>
      </c>
      <c r="Q20" s="216">
        <f t="shared" si="0"/>
        <v>323449660</v>
      </c>
      <c r="R20" s="1">
        <v>13731800</v>
      </c>
      <c r="S20" s="1">
        <v>332870700</v>
      </c>
      <c r="T20" s="1">
        <v>4.1252654559300002E-2</v>
      </c>
      <c r="U20" s="1">
        <v>225</v>
      </c>
      <c r="V20" s="1">
        <v>0</v>
      </c>
      <c r="W20" s="1">
        <v>17</v>
      </c>
      <c r="X20" s="1">
        <v>35</v>
      </c>
      <c r="Y20" s="1">
        <v>2</v>
      </c>
      <c r="Z20" s="1">
        <v>1</v>
      </c>
      <c r="AA20" s="1">
        <v>33</v>
      </c>
      <c r="AB20" s="1">
        <v>45</v>
      </c>
      <c r="AC20" s="1" t="s">
        <v>1344</v>
      </c>
    </row>
    <row r="21" spans="1:29" x14ac:dyDescent="0.25">
      <c r="A21" s="2">
        <v>540012</v>
      </c>
      <c r="B21" s="2" t="s">
        <v>122</v>
      </c>
      <c r="C21" s="2" t="s">
        <v>11</v>
      </c>
      <c r="D21" s="2" t="s">
        <v>115</v>
      </c>
      <c r="E21" s="2">
        <v>11</v>
      </c>
      <c r="F21" s="197"/>
      <c r="G21" s="2">
        <v>16</v>
      </c>
      <c r="H21" s="2">
        <v>221300</v>
      </c>
      <c r="I21" s="2">
        <v>9507800</v>
      </c>
      <c r="J21" s="2">
        <v>2.3275626327899999E-2</v>
      </c>
      <c r="K21" s="2">
        <v>0</v>
      </c>
      <c r="L21" s="2">
        <v>678100</v>
      </c>
      <c r="M21" s="2">
        <v>0</v>
      </c>
      <c r="N21" s="2">
        <v>8170</v>
      </c>
      <c r="O21" s="2">
        <v>264840</v>
      </c>
      <c r="P21" s="2">
        <v>3.0848814378500001E-2</v>
      </c>
      <c r="Q21" s="217">
        <f t="shared" si="0"/>
        <v>10450740</v>
      </c>
      <c r="R21" s="2">
        <v>389600</v>
      </c>
      <c r="S21" s="2">
        <v>14715300</v>
      </c>
      <c r="T21" s="2">
        <v>2.6475844868899999E-2</v>
      </c>
      <c r="U21" s="2">
        <v>6</v>
      </c>
      <c r="V21" s="2">
        <v>0</v>
      </c>
      <c r="W21" s="2">
        <v>0</v>
      </c>
      <c r="X21" s="2">
        <v>0</v>
      </c>
      <c r="Y21" s="2">
        <v>0</v>
      </c>
      <c r="Z21" s="2">
        <v>0</v>
      </c>
      <c r="AA21" s="2">
        <v>10</v>
      </c>
      <c r="AB21" s="2">
        <v>0</v>
      </c>
      <c r="AC21" s="2" t="s">
        <v>1344</v>
      </c>
    </row>
    <row r="22" spans="1:29" x14ac:dyDescent="0.25">
      <c r="A22" s="2">
        <v>540013</v>
      </c>
      <c r="B22" s="2" t="s">
        <v>123</v>
      </c>
      <c r="C22" s="2" t="s">
        <v>11</v>
      </c>
      <c r="D22" s="2" t="s">
        <v>115</v>
      </c>
      <c r="E22" s="2">
        <v>11</v>
      </c>
      <c r="F22" s="197"/>
      <c r="G22" s="2">
        <v>112</v>
      </c>
      <c r="H22" s="2">
        <v>2062800</v>
      </c>
      <c r="I22" s="2">
        <v>77442700</v>
      </c>
      <c r="J22" s="2">
        <v>2.6636467995E-2</v>
      </c>
      <c r="K22" s="2">
        <v>34330000</v>
      </c>
      <c r="L22" s="2">
        <v>46815300</v>
      </c>
      <c r="M22" s="2">
        <v>0.73330727347699998</v>
      </c>
      <c r="N22" s="2">
        <v>525960</v>
      </c>
      <c r="O22" s="2">
        <v>3995310</v>
      </c>
      <c r="P22" s="2">
        <v>0.13164435300399999</v>
      </c>
      <c r="Q22" s="217">
        <f t="shared" si="0"/>
        <v>128253310</v>
      </c>
      <c r="R22" s="2">
        <v>36923200</v>
      </c>
      <c r="S22" s="2">
        <v>129429000</v>
      </c>
      <c r="T22" s="2">
        <v>0.28527764256900001</v>
      </c>
      <c r="U22" s="2">
        <v>51</v>
      </c>
      <c r="V22" s="2">
        <v>0</v>
      </c>
      <c r="W22" s="2">
        <v>0</v>
      </c>
      <c r="X22" s="2">
        <v>47</v>
      </c>
      <c r="Y22" s="2">
        <v>1</v>
      </c>
      <c r="Z22" s="2">
        <v>0</v>
      </c>
      <c r="AA22" s="2">
        <v>13</v>
      </c>
      <c r="AB22" s="2">
        <v>0</v>
      </c>
      <c r="AC22" s="2" t="s">
        <v>1344</v>
      </c>
    </row>
    <row r="23" spans="1:29" x14ac:dyDescent="0.25">
      <c r="A23" s="2">
        <v>540014</v>
      </c>
      <c r="B23" s="2" t="s">
        <v>124</v>
      </c>
      <c r="C23" s="2" t="s">
        <v>11</v>
      </c>
      <c r="D23" s="2" t="s">
        <v>115</v>
      </c>
      <c r="E23" s="2">
        <v>11</v>
      </c>
      <c r="F23" s="197"/>
      <c r="G23" s="2">
        <v>115</v>
      </c>
      <c r="H23" s="2">
        <v>526200</v>
      </c>
      <c r="I23" s="2">
        <v>114534500</v>
      </c>
      <c r="J23" s="2">
        <v>4.5942488944399999E-3</v>
      </c>
      <c r="K23" s="2">
        <v>136657100</v>
      </c>
      <c r="L23" s="2">
        <v>129605300</v>
      </c>
      <c r="M23" s="2">
        <v>1.0544098119400001</v>
      </c>
      <c r="N23" s="2">
        <v>8013780</v>
      </c>
      <c r="O23" s="2">
        <v>6697790</v>
      </c>
      <c r="P23" s="2">
        <v>1.1964812273900001</v>
      </c>
      <c r="Q23" s="217">
        <f t="shared" si="0"/>
        <v>250837590</v>
      </c>
      <c r="R23" s="2">
        <v>150260000</v>
      </c>
      <c r="S23" s="2">
        <v>255539500</v>
      </c>
      <c r="T23" s="2">
        <v>0.58801085546499998</v>
      </c>
      <c r="U23" s="2">
        <v>19</v>
      </c>
      <c r="V23" s="2">
        <v>0</v>
      </c>
      <c r="W23" s="2">
        <v>0</v>
      </c>
      <c r="X23" s="2">
        <v>68</v>
      </c>
      <c r="Y23" s="2">
        <v>16</v>
      </c>
      <c r="Z23" s="2">
        <v>0</v>
      </c>
      <c r="AA23" s="2">
        <v>7</v>
      </c>
      <c r="AB23" s="2">
        <v>5</v>
      </c>
      <c r="AC23" s="2" t="s">
        <v>1344</v>
      </c>
    </row>
    <row r="24" spans="1:29" x14ac:dyDescent="0.25">
      <c r="A24" s="2">
        <v>540015</v>
      </c>
      <c r="B24" s="2" t="s">
        <v>125</v>
      </c>
      <c r="C24" s="2" t="s">
        <v>11</v>
      </c>
      <c r="D24" s="2" t="s">
        <v>115</v>
      </c>
      <c r="E24" s="2">
        <v>11</v>
      </c>
      <c r="F24" s="197"/>
      <c r="G24" s="2">
        <v>1331</v>
      </c>
      <c r="H24" s="2">
        <v>44662100</v>
      </c>
      <c r="I24" s="2">
        <v>56923100</v>
      </c>
      <c r="J24" s="2">
        <v>0.78460414137699996</v>
      </c>
      <c r="K24" s="2">
        <v>78546700</v>
      </c>
      <c r="L24" s="2">
        <v>44833600</v>
      </c>
      <c r="M24" s="2">
        <v>1.75196058313</v>
      </c>
      <c r="N24" s="2">
        <v>4142900</v>
      </c>
      <c r="O24" s="2">
        <v>3576900</v>
      </c>
      <c r="P24" s="2">
        <v>1.15823758003</v>
      </c>
      <c r="Q24" s="217">
        <f t="shared" si="0"/>
        <v>105333600</v>
      </c>
      <c r="R24" s="2">
        <v>126865400</v>
      </c>
      <c r="S24" s="2">
        <v>105532100</v>
      </c>
      <c r="T24" s="2">
        <v>1.2021498671999999</v>
      </c>
      <c r="U24" s="2">
        <v>925</v>
      </c>
      <c r="V24" s="2">
        <v>0</v>
      </c>
      <c r="W24" s="2">
        <v>0</v>
      </c>
      <c r="X24" s="2">
        <v>292</v>
      </c>
      <c r="Y24" s="2">
        <v>14</v>
      </c>
      <c r="Z24" s="2">
        <v>1</v>
      </c>
      <c r="AA24" s="2">
        <v>93</v>
      </c>
      <c r="AB24" s="2">
        <v>6</v>
      </c>
      <c r="AC24" s="2" t="s">
        <v>1344</v>
      </c>
    </row>
    <row r="25" spans="1:29" x14ac:dyDescent="0.25">
      <c r="A25" s="2">
        <v>540093</v>
      </c>
      <c r="B25" s="2" t="s">
        <v>184</v>
      </c>
      <c r="C25" s="2" t="s">
        <v>11</v>
      </c>
      <c r="D25" s="2" t="s">
        <v>115</v>
      </c>
      <c r="E25" s="2">
        <v>11</v>
      </c>
      <c r="F25" s="197"/>
      <c r="G25" s="2">
        <v>36</v>
      </c>
      <c r="H25" s="2">
        <v>0</v>
      </c>
      <c r="I25" s="2">
        <v>6325900</v>
      </c>
      <c r="J25" s="2">
        <v>0</v>
      </c>
      <c r="K25" s="2">
        <v>36841600</v>
      </c>
      <c r="L25" s="2">
        <v>10645500</v>
      </c>
      <c r="M25" s="2">
        <v>3.4607674604300001</v>
      </c>
      <c r="N25" s="2">
        <v>711540</v>
      </c>
      <c r="O25" s="2">
        <v>833620</v>
      </c>
      <c r="P25" s="2">
        <v>0.85355437729399997</v>
      </c>
      <c r="Q25" s="217">
        <f t="shared" si="0"/>
        <v>17805020</v>
      </c>
      <c r="R25" s="2">
        <v>37553000</v>
      </c>
      <c r="S25" s="2">
        <v>18199400</v>
      </c>
      <c r="T25" s="2">
        <v>2.0634196731799999</v>
      </c>
      <c r="U25" s="2">
        <v>0</v>
      </c>
      <c r="V25" s="2">
        <v>0</v>
      </c>
      <c r="W25" s="2">
        <v>0</v>
      </c>
      <c r="X25" s="2">
        <v>27</v>
      </c>
      <c r="Y25" s="2">
        <v>0</v>
      </c>
      <c r="Z25" s="2">
        <v>0</v>
      </c>
      <c r="AA25" s="2">
        <v>9</v>
      </c>
      <c r="AB25" s="2">
        <v>0</v>
      </c>
      <c r="AC25" s="2" t="s">
        <v>1344</v>
      </c>
    </row>
    <row r="26" spans="1:29" x14ac:dyDescent="0.25">
      <c r="A26" s="2">
        <v>540084</v>
      </c>
      <c r="B26" s="2" t="s">
        <v>341</v>
      </c>
      <c r="C26" s="2" t="s">
        <v>11</v>
      </c>
      <c r="D26" s="2" t="s">
        <v>115</v>
      </c>
      <c r="E26" s="2">
        <v>11</v>
      </c>
      <c r="F26" s="197"/>
      <c r="G26" s="2">
        <v>0</v>
      </c>
      <c r="H26" s="2">
        <v>0</v>
      </c>
      <c r="I26" s="2">
        <v>5830900</v>
      </c>
      <c r="J26" s="2">
        <v>0</v>
      </c>
      <c r="K26" s="2">
        <v>0</v>
      </c>
      <c r="L26" s="2">
        <v>543500</v>
      </c>
      <c r="M26" s="2">
        <v>0</v>
      </c>
      <c r="N26" s="2">
        <v>0</v>
      </c>
      <c r="O26" s="2">
        <v>389940</v>
      </c>
      <c r="P26" s="2">
        <v>0</v>
      </c>
      <c r="Q26" s="217">
        <f t="shared" si="0"/>
        <v>6764340</v>
      </c>
      <c r="R26" s="2">
        <v>0</v>
      </c>
      <c r="S26" s="2">
        <v>6789500</v>
      </c>
      <c r="T26" s="2">
        <v>0</v>
      </c>
      <c r="U26" s="2">
        <v>0</v>
      </c>
      <c r="V26" s="2">
        <v>0</v>
      </c>
      <c r="W26" s="2">
        <v>0</v>
      </c>
      <c r="X26" s="2">
        <v>0</v>
      </c>
      <c r="Y26" s="2">
        <v>0</v>
      </c>
      <c r="Z26" s="2">
        <v>0</v>
      </c>
      <c r="AA26" s="2">
        <v>0</v>
      </c>
      <c r="AB26" s="2">
        <v>0</v>
      </c>
      <c r="AC26" s="2" t="s">
        <v>1344</v>
      </c>
    </row>
    <row r="27" spans="1:29" x14ac:dyDescent="0.25">
      <c r="A27" s="2"/>
      <c r="B27" s="2"/>
      <c r="C27" s="2" t="s">
        <v>11</v>
      </c>
      <c r="D27" s="2"/>
      <c r="E27" s="2"/>
      <c r="F27" s="197"/>
      <c r="G27" s="2">
        <v>1968</v>
      </c>
      <c r="H27" s="2">
        <v>54912100</v>
      </c>
      <c r="I27" s="2">
        <v>543186800</v>
      </c>
      <c r="J27" s="2">
        <v>0.101092478683</v>
      </c>
      <c r="K27" s="2">
        <v>289233500</v>
      </c>
      <c r="L27" s="2">
        <v>255910600</v>
      </c>
      <c r="M27" s="2">
        <v>1.1302130509599999</v>
      </c>
      <c r="N27" s="2">
        <v>14976920</v>
      </c>
      <c r="O27" s="2">
        <v>43796860</v>
      </c>
      <c r="P27" s="2">
        <v>0.34196332796500001</v>
      </c>
      <c r="Q27" s="217">
        <f t="shared" si="0"/>
        <v>842894260</v>
      </c>
      <c r="R27" s="2">
        <v>365723000</v>
      </c>
      <c r="S27" s="2">
        <v>863075500</v>
      </c>
      <c r="T27" s="2">
        <v>0.42374392506800002</v>
      </c>
      <c r="U27" s="2">
        <v>1226</v>
      </c>
      <c r="V27" s="2">
        <v>0</v>
      </c>
      <c r="W27" s="2">
        <v>17</v>
      </c>
      <c r="X27" s="2">
        <v>469</v>
      </c>
      <c r="Y27" s="2">
        <v>33</v>
      </c>
      <c r="Z27" s="2">
        <v>2</v>
      </c>
      <c r="AA27" s="2">
        <v>165</v>
      </c>
      <c r="AB27" s="2">
        <v>56</v>
      </c>
      <c r="AC27" s="2" t="s">
        <v>1344</v>
      </c>
    </row>
    <row r="28" spans="1:29" x14ac:dyDescent="0.25">
      <c r="A28" s="1">
        <v>540016</v>
      </c>
      <c r="B28" s="1" t="s">
        <v>12</v>
      </c>
      <c r="C28" s="1" t="s">
        <v>13</v>
      </c>
      <c r="D28" s="1" t="s">
        <v>5</v>
      </c>
      <c r="E28" s="1">
        <v>2</v>
      </c>
      <c r="F28" s="215"/>
      <c r="G28" s="1">
        <v>1532</v>
      </c>
      <c r="H28" s="1">
        <v>48127200</v>
      </c>
      <c r="I28" s="1">
        <v>1288242300</v>
      </c>
      <c r="J28" s="1">
        <v>3.73588105281E-2</v>
      </c>
      <c r="K28" s="1">
        <v>262454800</v>
      </c>
      <c r="L28" s="1">
        <v>283279900</v>
      </c>
      <c r="M28" s="1">
        <v>0.92648578314200003</v>
      </c>
      <c r="N28" s="1">
        <v>22405000</v>
      </c>
      <c r="O28" s="1">
        <v>97742410</v>
      </c>
      <c r="P28" s="1">
        <v>0.22922495976900001</v>
      </c>
      <c r="Q28" s="216">
        <f t="shared" si="0"/>
        <v>1669264610</v>
      </c>
      <c r="R28" s="1">
        <v>336679400</v>
      </c>
      <c r="S28" s="1">
        <v>1710523700</v>
      </c>
      <c r="T28" s="1">
        <v>0.19682825791899999</v>
      </c>
      <c r="U28" s="1">
        <v>1023</v>
      </c>
      <c r="V28" s="1">
        <v>28</v>
      </c>
      <c r="W28" s="1">
        <v>157</v>
      </c>
      <c r="X28" s="1">
        <v>247</v>
      </c>
      <c r="Y28" s="1">
        <v>9</v>
      </c>
      <c r="Z28" s="1">
        <v>2</v>
      </c>
      <c r="AA28" s="1">
        <v>43</v>
      </c>
      <c r="AB28" s="1">
        <v>23</v>
      </c>
      <c r="AC28" s="1" t="s">
        <v>1344</v>
      </c>
    </row>
    <row r="29" spans="1:29" x14ac:dyDescent="0.25">
      <c r="A29" s="2">
        <v>540017</v>
      </c>
      <c r="B29" s="2" t="s">
        <v>126</v>
      </c>
      <c r="C29" s="2" t="s">
        <v>13</v>
      </c>
      <c r="D29" s="2" t="s">
        <v>115</v>
      </c>
      <c r="E29" s="2">
        <v>2</v>
      </c>
      <c r="F29" s="197"/>
      <c r="G29" s="2">
        <v>31</v>
      </c>
      <c r="H29" s="2">
        <v>691200</v>
      </c>
      <c r="I29" s="2">
        <v>123443300</v>
      </c>
      <c r="J29" s="2">
        <v>5.5993318389899998E-3</v>
      </c>
      <c r="K29" s="2">
        <v>7520100</v>
      </c>
      <c r="L29" s="2">
        <v>87914500</v>
      </c>
      <c r="M29" s="2">
        <v>8.5538790529399999E-2</v>
      </c>
      <c r="N29" s="2">
        <v>618860</v>
      </c>
      <c r="O29" s="2">
        <v>24209890</v>
      </c>
      <c r="P29" s="2">
        <v>2.55622805391E-2</v>
      </c>
      <c r="Q29" s="217">
        <f t="shared" si="0"/>
        <v>235567690</v>
      </c>
      <c r="R29" s="2">
        <v>8830600</v>
      </c>
      <c r="S29" s="2">
        <v>244503300</v>
      </c>
      <c r="T29" s="2">
        <v>3.6116485953400002E-2</v>
      </c>
      <c r="U29" s="2">
        <v>9</v>
      </c>
      <c r="V29" s="2">
        <v>0</v>
      </c>
      <c r="W29" s="2">
        <v>0</v>
      </c>
      <c r="X29" s="2">
        <v>14</v>
      </c>
      <c r="Y29" s="2">
        <v>4</v>
      </c>
      <c r="Z29" s="2">
        <v>0</v>
      </c>
      <c r="AA29" s="2">
        <v>3</v>
      </c>
      <c r="AB29" s="2">
        <v>1</v>
      </c>
      <c r="AC29" s="2" t="s">
        <v>1344</v>
      </c>
    </row>
    <row r="30" spans="1:29" x14ac:dyDescent="0.25">
      <c r="A30" s="2">
        <v>540018</v>
      </c>
      <c r="B30" s="2" t="s">
        <v>127</v>
      </c>
      <c r="C30" s="2" t="s">
        <v>13</v>
      </c>
      <c r="D30" s="2" t="s">
        <v>115</v>
      </c>
      <c r="E30" s="2">
        <v>2</v>
      </c>
      <c r="F30" s="197"/>
      <c r="G30" s="2">
        <v>459</v>
      </c>
      <c r="H30" s="2">
        <v>37379000</v>
      </c>
      <c r="I30" s="2">
        <v>978709300</v>
      </c>
      <c r="J30" s="2">
        <v>3.8192137338400003E-2</v>
      </c>
      <c r="K30" s="2">
        <v>3341600</v>
      </c>
      <c r="L30" s="2">
        <v>594933500</v>
      </c>
      <c r="M30" s="2">
        <v>5.6167622095600004E-3</v>
      </c>
      <c r="N30" s="2">
        <v>1263760</v>
      </c>
      <c r="O30" s="2">
        <v>80436220</v>
      </c>
      <c r="P30" s="2">
        <v>1.5711330045099999E-2</v>
      </c>
      <c r="Q30" s="217">
        <f t="shared" si="0"/>
        <v>1654079020</v>
      </c>
      <c r="R30" s="2">
        <v>42004400</v>
      </c>
      <c r="S30" s="2">
        <v>2122688800</v>
      </c>
      <c r="T30" s="2">
        <v>1.9788298689900001E-2</v>
      </c>
      <c r="U30" s="2">
        <v>428</v>
      </c>
      <c r="V30" s="2">
        <v>1</v>
      </c>
      <c r="W30" s="2">
        <v>0</v>
      </c>
      <c r="X30" s="2">
        <v>16</v>
      </c>
      <c r="Y30" s="2">
        <v>1</v>
      </c>
      <c r="Z30" s="2">
        <v>1</v>
      </c>
      <c r="AA30" s="2">
        <v>9</v>
      </c>
      <c r="AB30" s="2">
        <v>3</v>
      </c>
      <c r="AC30" s="2" t="s">
        <v>1344</v>
      </c>
    </row>
    <row r="31" spans="1:29" x14ac:dyDescent="0.25">
      <c r="A31" s="2">
        <v>540019</v>
      </c>
      <c r="B31" s="2" t="s">
        <v>128</v>
      </c>
      <c r="C31" s="2" t="s">
        <v>13</v>
      </c>
      <c r="D31" s="2" t="s">
        <v>115</v>
      </c>
      <c r="E31" s="2">
        <v>2</v>
      </c>
      <c r="F31" s="197"/>
      <c r="G31" s="2">
        <v>417</v>
      </c>
      <c r="H31" s="2">
        <v>13740000</v>
      </c>
      <c r="I31" s="2">
        <v>68168400</v>
      </c>
      <c r="J31" s="2">
        <v>0.201559666942</v>
      </c>
      <c r="K31" s="2">
        <v>29575400</v>
      </c>
      <c r="L31" s="2">
        <v>34920800</v>
      </c>
      <c r="M31" s="2">
        <v>0.84692790543200003</v>
      </c>
      <c r="N31" s="2">
        <v>2437010</v>
      </c>
      <c r="O31" s="2">
        <v>4357310</v>
      </c>
      <c r="P31" s="2">
        <v>0.559292315672</v>
      </c>
      <c r="Q31" s="217">
        <f t="shared" si="0"/>
        <v>107446510</v>
      </c>
      <c r="R31" s="2">
        <v>50210500</v>
      </c>
      <c r="S31" s="2">
        <v>110690300</v>
      </c>
      <c r="T31" s="2">
        <v>0.453612466494</v>
      </c>
      <c r="U31" s="2">
        <v>240</v>
      </c>
      <c r="V31" s="2">
        <v>3</v>
      </c>
      <c r="W31" s="2">
        <v>0</v>
      </c>
      <c r="X31" s="2">
        <v>141</v>
      </c>
      <c r="Y31" s="2">
        <v>0</v>
      </c>
      <c r="Z31" s="2">
        <v>1</v>
      </c>
      <c r="AA31" s="2">
        <v>28</v>
      </c>
      <c r="AB31" s="2">
        <v>4</v>
      </c>
      <c r="AC31" s="2" t="s">
        <v>1344</v>
      </c>
    </row>
    <row r="32" spans="1:29" x14ac:dyDescent="0.25">
      <c r="A32" s="2"/>
      <c r="B32" s="2"/>
      <c r="C32" s="2" t="s">
        <v>13</v>
      </c>
      <c r="D32" s="2"/>
      <c r="E32" s="2"/>
      <c r="F32" s="197"/>
      <c r="G32" s="2">
        <v>2439</v>
      </c>
      <c r="H32" s="2">
        <v>99937400</v>
      </c>
      <c r="I32" s="2">
        <v>2458563300</v>
      </c>
      <c r="J32" s="2">
        <v>4.0648699181299999E-2</v>
      </c>
      <c r="K32" s="2">
        <v>302891900</v>
      </c>
      <c r="L32" s="2">
        <v>1001048700</v>
      </c>
      <c r="M32" s="2">
        <v>0.30257459002699999</v>
      </c>
      <c r="N32" s="2">
        <v>26724630</v>
      </c>
      <c r="O32" s="2">
        <v>206745830</v>
      </c>
      <c r="P32" s="2">
        <v>0.12926321174200001</v>
      </c>
      <c r="Q32" s="217">
        <f t="shared" si="0"/>
        <v>3666357830</v>
      </c>
      <c r="R32" s="2">
        <v>437724900</v>
      </c>
      <c r="S32" s="2">
        <v>4188406100</v>
      </c>
      <c r="T32" s="2">
        <v>0.10450870559100001</v>
      </c>
      <c r="U32" s="2">
        <v>1700</v>
      </c>
      <c r="V32" s="2">
        <v>32</v>
      </c>
      <c r="W32" s="2">
        <v>157</v>
      </c>
      <c r="X32" s="2">
        <v>418</v>
      </c>
      <c r="Y32" s="2">
        <v>14</v>
      </c>
      <c r="Z32" s="2">
        <v>4</v>
      </c>
      <c r="AA32" s="2">
        <v>83</v>
      </c>
      <c r="AB32" s="2">
        <v>31</v>
      </c>
      <c r="AC32" s="2" t="s">
        <v>1344</v>
      </c>
    </row>
    <row r="33" spans="1:29" x14ac:dyDescent="0.25">
      <c r="A33" s="1">
        <v>540020</v>
      </c>
      <c r="B33" s="1" t="s">
        <v>14</v>
      </c>
      <c r="C33" s="1" t="s">
        <v>15</v>
      </c>
      <c r="D33" s="1" t="s">
        <v>5</v>
      </c>
      <c r="E33" s="1">
        <v>5</v>
      </c>
      <c r="F33" s="215"/>
      <c r="G33" s="1">
        <v>245</v>
      </c>
      <c r="H33" s="1">
        <v>5185700</v>
      </c>
      <c r="I33" s="1">
        <v>87511300</v>
      </c>
      <c r="J33" s="1">
        <v>5.9257490175600003E-2</v>
      </c>
      <c r="K33" s="1">
        <v>868100</v>
      </c>
      <c r="L33" s="1">
        <v>10226400</v>
      </c>
      <c r="M33" s="1">
        <v>8.4888132676200004E-2</v>
      </c>
      <c r="N33" s="1">
        <v>818080</v>
      </c>
      <c r="O33" s="1">
        <v>21994570</v>
      </c>
      <c r="P33" s="1">
        <v>3.7194634857600002E-2</v>
      </c>
      <c r="Q33" s="216">
        <f t="shared" si="0"/>
        <v>119732270</v>
      </c>
      <c r="R33" s="1">
        <v>6912110</v>
      </c>
      <c r="S33" s="1">
        <v>121361177</v>
      </c>
      <c r="T33" s="1">
        <v>5.6954869513200002E-2</v>
      </c>
      <c r="U33" s="1">
        <v>134</v>
      </c>
      <c r="V33" s="1">
        <v>0</v>
      </c>
      <c r="W33" s="1">
        <v>85</v>
      </c>
      <c r="X33" s="1">
        <v>12</v>
      </c>
      <c r="Y33" s="1">
        <v>0</v>
      </c>
      <c r="Z33" s="1">
        <v>1</v>
      </c>
      <c r="AA33" s="1">
        <v>2</v>
      </c>
      <c r="AB33" s="1">
        <v>11</v>
      </c>
      <c r="AC33" s="1" t="s">
        <v>1344</v>
      </c>
    </row>
    <row r="34" spans="1:29" x14ac:dyDescent="0.25">
      <c r="A34" s="2">
        <v>540021</v>
      </c>
      <c r="B34" s="2" t="s">
        <v>129</v>
      </c>
      <c r="C34" s="2" t="s">
        <v>15</v>
      </c>
      <c r="D34" s="2" t="s">
        <v>115</v>
      </c>
      <c r="E34" s="2">
        <v>5</v>
      </c>
      <c r="F34" s="197"/>
      <c r="G34" s="2">
        <v>127</v>
      </c>
      <c r="H34" s="2">
        <v>1939900</v>
      </c>
      <c r="I34" s="2">
        <v>7011000</v>
      </c>
      <c r="J34" s="2">
        <v>0.27669376693800002</v>
      </c>
      <c r="K34" s="2">
        <v>3118100</v>
      </c>
      <c r="L34" s="2">
        <v>4763400</v>
      </c>
      <c r="M34" s="2">
        <v>0.65459545702599997</v>
      </c>
      <c r="N34" s="2">
        <v>743290</v>
      </c>
      <c r="O34" s="2">
        <v>4320470</v>
      </c>
      <c r="P34" s="2">
        <v>0.172039153148</v>
      </c>
      <c r="Q34" s="217">
        <f t="shared" si="0"/>
        <v>16094870</v>
      </c>
      <c r="R34" s="2">
        <v>5857100</v>
      </c>
      <c r="S34" s="2">
        <v>16277100</v>
      </c>
      <c r="T34" s="2">
        <v>0.35983682597</v>
      </c>
      <c r="U34" s="2">
        <v>78</v>
      </c>
      <c r="V34" s="2">
        <v>4</v>
      </c>
      <c r="W34" s="2">
        <v>0</v>
      </c>
      <c r="X34" s="2">
        <v>24</v>
      </c>
      <c r="Y34" s="2">
        <v>0</v>
      </c>
      <c r="Z34" s="2">
        <v>1</v>
      </c>
      <c r="AA34" s="2">
        <v>19</v>
      </c>
      <c r="AB34" s="2">
        <v>1</v>
      </c>
      <c r="AC34" s="2" t="s">
        <v>1344</v>
      </c>
    </row>
    <row r="35" spans="1:29" x14ac:dyDescent="0.25">
      <c r="A35" s="2"/>
      <c r="B35" s="2"/>
      <c r="C35" s="2" t="s">
        <v>15</v>
      </c>
      <c r="D35" s="2"/>
      <c r="E35" s="2"/>
      <c r="F35" s="197"/>
      <c r="G35" s="2">
        <v>372</v>
      </c>
      <c r="H35" s="2">
        <v>7125600</v>
      </c>
      <c r="I35" s="2">
        <v>94522300</v>
      </c>
      <c r="J35" s="2">
        <v>7.5385385247699999E-2</v>
      </c>
      <c r="K35" s="2">
        <v>3986200</v>
      </c>
      <c r="L35" s="2">
        <v>14989800</v>
      </c>
      <c r="M35" s="2">
        <v>0.26592749736499999</v>
      </c>
      <c r="N35" s="2">
        <v>1561370</v>
      </c>
      <c r="O35" s="2">
        <v>26315040</v>
      </c>
      <c r="P35" s="2">
        <v>5.9333749825199997E-2</v>
      </c>
      <c r="Q35" s="217">
        <f t="shared" si="0"/>
        <v>135827140</v>
      </c>
      <c r="R35" s="2">
        <v>12769210</v>
      </c>
      <c r="S35" s="2">
        <v>137638277</v>
      </c>
      <c r="T35" s="2">
        <v>9.2773683878599994E-2</v>
      </c>
      <c r="U35" s="2">
        <v>212</v>
      </c>
      <c r="V35" s="2">
        <v>4</v>
      </c>
      <c r="W35" s="2">
        <v>85</v>
      </c>
      <c r="X35" s="2">
        <v>36</v>
      </c>
      <c r="Y35" s="2">
        <v>0</v>
      </c>
      <c r="Z35" s="2">
        <v>2</v>
      </c>
      <c r="AA35" s="2">
        <v>21</v>
      </c>
      <c r="AB35" s="2">
        <v>12</v>
      </c>
      <c r="AC35" s="2" t="s">
        <v>1344</v>
      </c>
    </row>
    <row r="36" spans="1:29" x14ac:dyDescent="0.25">
      <c r="A36" s="1">
        <v>540022</v>
      </c>
      <c r="B36" s="1" t="s">
        <v>16</v>
      </c>
      <c r="C36" s="1" t="s">
        <v>17</v>
      </c>
      <c r="D36" s="1" t="s">
        <v>5</v>
      </c>
      <c r="E36" s="1">
        <v>3</v>
      </c>
      <c r="F36" s="215"/>
      <c r="G36" s="1">
        <v>1694</v>
      </c>
      <c r="H36" s="1">
        <v>25312300</v>
      </c>
      <c r="I36" s="1">
        <v>96604600</v>
      </c>
      <c r="J36" s="1">
        <v>0.262019613973</v>
      </c>
      <c r="K36" s="1">
        <v>1925000</v>
      </c>
      <c r="L36" s="1">
        <v>6047400</v>
      </c>
      <c r="M36" s="1">
        <v>0.31831861626500002</v>
      </c>
      <c r="N36" s="1">
        <v>6026500</v>
      </c>
      <c r="O36" s="1">
        <v>23537480</v>
      </c>
      <c r="P36" s="1">
        <v>0.25603845441400003</v>
      </c>
      <c r="Q36" s="216">
        <f t="shared" si="0"/>
        <v>126189480</v>
      </c>
      <c r="R36" s="1">
        <v>33333500</v>
      </c>
      <c r="S36" s="1">
        <v>126275900</v>
      </c>
      <c r="T36" s="1">
        <v>0.26397356898699997</v>
      </c>
      <c r="U36" s="1">
        <v>1436</v>
      </c>
      <c r="V36" s="1">
        <v>0</v>
      </c>
      <c r="W36" s="1">
        <v>52</v>
      </c>
      <c r="X36" s="1">
        <v>48</v>
      </c>
      <c r="Y36" s="1">
        <v>28</v>
      </c>
      <c r="Z36" s="1">
        <v>0</v>
      </c>
      <c r="AA36" s="1">
        <v>31</v>
      </c>
      <c r="AB36" s="1">
        <v>99</v>
      </c>
      <c r="AC36" s="1" t="s">
        <v>1344</v>
      </c>
    </row>
    <row r="37" spans="1:29" x14ac:dyDescent="0.25">
      <c r="A37" s="2">
        <v>540023</v>
      </c>
      <c r="B37" s="2" t="s">
        <v>130</v>
      </c>
      <c r="C37" s="2" t="s">
        <v>17</v>
      </c>
      <c r="D37" s="2" t="s">
        <v>115</v>
      </c>
      <c r="E37" s="2">
        <v>3</v>
      </c>
      <c r="F37" s="197"/>
      <c r="G37" s="2">
        <v>51</v>
      </c>
      <c r="H37" s="2">
        <v>679000</v>
      </c>
      <c r="I37" s="2">
        <v>4807700</v>
      </c>
      <c r="J37" s="2">
        <v>0.141231774029</v>
      </c>
      <c r="K37" s="2">
        <v>635300</v>
      </c>
      <c r="L37" s="2">
        <v>6877200</v>
      </c>
      <c r="M37" s="2">
        <v>9.23777118595E-2</v>
      </c>
      <c r="N37" s="2">
        <v>2694300</v>
      </c>
      <c r="O37" s="2">
        <v>7176530</v>
      </c>
      <c r="P37" s="2">
        <v>0.37543213781599999</v>
      </c>
      <c r="Q37" s="217">
        <f t="shared" si="0"/>
        <v>18861430</v>
      </c>
      <c r="R37" s="2">
        <v>4009100</v>
      </c>
      <c r="S37" s="2">
        <v>18862300</v>
      </c>
      <c r="T37" s="2">
        <v>0.21254565986099999</v>
      </c>
      <c r="U37" s="2">
        <v>33</v>
      </c>
      <c r="V37" s="2">
        <v>0</v>
      </c>
      <c r="W37" s="2">
        <v>0</v>
      </c>
      <c r="X37" s="2">
        <v>9</v>
      </c>
      <c r="Y37" s="2">
        <v>0</v>
      </c>
      <c r="Z37" s="2">
        <v>0</v>
      </c>
      <c r="AA37" s="2">
        <v>8</v>
      </c>
      <c r="AB37" s="2">
        <v>1</v>
      </c>
      <c r="AC37" s="2" t="s">
        <v>1344</v>
      </c>
    </row>
    <row r="38" spans="1:29" x14ac:dyDescent="0.25">
      <c r="A38" s="2"/>
      <c r="B38" s="2"/>
      <c r="C38" s="2" t="s">
        <v>17</v>
      </c>
      <c r="D38" s="2"/>
      <c r="E38" s="2"/>
      <c r="F38" s="197"/>
      <c r="G38" s="2">
        <v>1745</v>
      </c>
      <c r="H38" s="2">
        <v>25991300</v>
      </c>
      <c r="I38" s="2">
        <v>101412300</v>
      </c>
      <c r="J38" s="2">
        <v>0.25629336875300002</v>
      </c>
      <c r="K38" s="2">
        <v>2560300</v>
      </c>
      <c r="L38" s="2">
        <v>12924600</v>
      </c>
      <c r="M38" s="2">
        <v>0.19809510545799999</v>
      </c>
      <c r="N38" s="2">
        <v>8720800</v>
      </c>
      <c r="O38" s="2">
        <v>30714010</v>
      </c>
      <c r="P38" s="2">
        <v>0.28393557207300002</v>
      </c>
      <c r="Q38" s="217">
        <f t="shared" si="0"/>
        <v>145050910</v>
      </c>
      <c r="R38" s="2">
        <v>37342600</v>
      </c>
      <c r="S38" s="2">
        <v>145138200</v>
      </c>
      <c r="T38" s="2">
        <v>0.25728994847699999</v>
      </c>
      <c r="U38" s="2">
        <v>1469</v>
      </c>
      <c r="V38" s="2">
        <v>0</v>
      </c>
      <c r="W38" s="2">
        <v>52</v>
      </c>
      <c r="X38" s="2">
        <v>57</v>
      </c>
      <c r="Y38" s="2">
        <v>28</v>
      </c>
      <c r="Z38" s="2">
        <v>0</v>
      </c>
      <c r="AA38" s="2">
        <v>39</v>
      </c>
      <c r="AB38" s="2">
        <v>100</v>
      </c>
      <c r="AC38" s="2" t="s">
        <v>1344</v>
      </c>
    </row>
    <row r="39" spans="1:29" x14ac:dyDescent="0.25">
      <c r="A39" s="218">
        <v>540024</v>
      </c>
      <c r="B39" s="218" t="s">
        <v>18</v>
      </c>
      <c r="C39" s="218" t="s">
        <v>19</v>
      </c>
      <c r="D39" s="218" t="s">
        <v>5</v>
      </c>
      <c r="E39" s="218">
        <v>6</v>
      </c>
      <c r="F39" s="197"/>
      <c r="G39" s="218">
        <v>1391</v>
      </c>
      <c r="H39" s="218">
        <v>42566700</v>
      </c>
      <c r="I39" s="218">
        <v>136317700</v>
      </c>
      <c r="J39" s="218">
        <v>0.31226099031900001</v>
      </c>
      <c r="K39" s="218">
        <v>7971800</v>
      </c>
      <c r="L39" s="218">
        <v>43352500</v>
      </c>
      <c r="M39" s="218">
        <v>0.18388328239400001</v>
      </c>
      <c r="N39" s="218">
        <v>7238000</v>
      </c>
      <c r="O39" s="218">
        <v>36316300</v>
      </c>
      <c r="P39" s="218">
        <v>0.19930444456099999</v>
      </c>
      <c r="Q39" s="219">
        <f t="shared" si="0"/>
        <v>215986500</v>
      </c>
      <c r="R39" s="218">
        <v>58768200</v>
      </c>
      <c r="S39" s="218">
        <v>218856400</v>
      </c>
      <c r="T39" s="218">
        <v>0.26852401848899998</v>
      </c>
      <c r="U39" s="218">
        <v>569</v>
      </c>
      <c r="V39" s="218">
        <v>0</v>
      </c>
      <c r="W39" s="218">
        <v>668</v>
      </c>
      <c r="X39" s="218">
        <v>60</v>
      </c>
      <c r="Y39" s="218">
        <v>1</v>
      </c>
      <c r="Z39" s="218">
        <v>3</v>
      </c>
      <c r="AA39" s="218">
        <v>45</v>
      </c>
      <c r="AB39" s="218">
        <v>45</v>
      </c>
      <c r="AC39" s="218" t="s">
        <v>1344</v>
      </c>
    </row>
    <row r="40" spans="1:29" x14ac:dyDescent="0.25">
      <c r="A40" s="2">
        <v>540025</v>
      </c>
      <c r="B40" s="2" t="s">
        <v>131</v>
      </c>
      <c r="C40" s="2" t="s">
        <v>19</v>
      </c>
      <c r="D40" s="2" t="s">
        <v>115</v>
      </c>
      <c r="E40" s="2">
        <v>6</v>
      </c>
      <c r="F40" s="197"/>
      <c r="G40" s="2">
        <v>15</v>
      </c>
      <c r="H40" s="2">
        <v>297800</v>
      </c>
      <c r="I40" s="2">
        <v>14810200</v>
      </c>
      <c r="J40" s="2">
        <v>2.0107763568400001E-2</v>
      </c>
      <c r="K40" s="2">
        <v>0</v>
      </c>
      <c r="L40" s="2">
        <v>8997300</v>
      </c>
      <c r="M40" s="2">
        <v>0</v>
      </c>
      <c r="N40" s="2">
        <v>96160</v>
      </c>
      <c r="O40" s="2">
        <v>3821900</v>
      </c>
      <c r="P40" s="2">
        <v>2.51602606034E-2</v>
      </c>
      <c r="Q40" s="217">
        <f t="shared" si="0"/>
        <v>27629400</v>
      </c>
      <c r="R40" s="2">
        <v>393900</v>
      </c>
      <c r="S40" s="2">
        <v>27676500</v>
      </c>
      <c r="T40" s="2">
        <v>1.42322909327E-2</v>
      </c>
      <c r="U40" s="2">
        <v>12</v>
      </c>
      <c r="V40" s="2">
        <v>0</v>
      </c>
      <c r="W40" s="2">
        <v>0</v>
      </c>
      <c r="X40" s="2">
        <v>0</v>
      </c>
      <c r="Y40" s="2">
        <v>0</v>
      </c>
      <c r="Z40" s="2">
        <v>0</v>
      </c>
      <c r="AA40" s="2">
        <v>1</v>
      </c>
      <c r="AB40" s="2">
        <v>2</v>
      </c>
      <c r="AC40" s="2" t="s">
        <v>1344</v>
      </c>
    </row>
    <row r="41" spans="1:29" x14ac:dyDescent="0.25">
      <c r="A41" s="2"/>
      <c r="B41" s="2"/>
      <c r="C41" s="2" t="s">
        <v>19</v>
      </c>
      <c r="D41" s="2"/>
      <c r="E41" s="2"/>
      <c r="F41" s="197"/>
      <c r="G41" s="2">
        <v>1406</v>
      </c>
      <c r="H41" s="2">
        <v>42864500</v>
      </c>
      <c r="I41" s="2">
        <v>151127900</v>
      </c>
      <c r="J41" s="2">
        <v>0.28363062015700002</v>
      </c>
      <c r="K41" s="2">
        <v>7971800</v>
      </c>
      <c r="L41" s="2">
        <v>52349800</v>
      </c>
      <c r="M41" s="2">
        <v>0.152279473847</v>
      </c>
      <c r="N41" s="2">
        <v>7334160</v>
      </c>
      <c r="O41" s="2">
        <v>40138200</v>
      </c>
      <c r="P41" s="2">
        <v>0.182722693095</v>
      </c>
      <c r="Q41" s="217">
        <f t="shared" si="0"/>
        <v>243615900</v>
      </c>
      <c r="R41" s="2">
        <v>59162100</v>
      </c>
      <c r="S41" s="2">
        <v>246532900</v>
      </c>
      <c r="T41" s="2">
        <v>0.239976489953</v>
      </c>
      <c r="U41" s="2">
        <v>581</v>
      </c>
      <c r="V41" s="2">
        <v>0</v>
      </c>
      <c r="W41" s="2">
        <v>668</v>
      </c>
      <c r="X41" s="2">
        <v>60</v>
      </c>
      <c r="Y41" s="2">
        <v>1</v>
      </c>
      <c r="Z41" s="2">
        <v>3</v>
      </c>
      <c r="AA41" s="2">
        <v>46</v>
      </c>
      <c r="AB41" s="2">
        <v>47</v>
      </c>
      <c r="AC41" s="2" t="s">
        <v>1344</v>
      </c>
    </row>
    <row r="42" spans="1:29" x14ac:dyDescent="0.25">
      <c r="A42" s="1">
        <v>540035</v>
      </c>
      <c r="B42" s="1" t="s">
        <v>22</v>
      </c>
      <c r="C42" s="1" t="s">
        <v>23</v>
      </c>
      <c r="D42" s="1" t="s">
        <v>5</v>
      </c>
      <c r="E42" s="1">
        <v>7</v>
      </c>
      <c r="F42" s="215"/>
      <c r="G42" s="1">
        <v>649</v>
      </c>
      <c r="H42" s="1">
        <v>19719800</v>
      </c>
      <c r="I42" s="1">
        <v>96486800</v>
      </c>
      <c r="J42" s="1">
        <v>0.20437821546599999</v>
      </c>
      <c r="K42" s="1">
        <v>3777300</v>
      </c>
      <c r="L42" s="1">
        <v>28233400</v>
      </c>
      <c r="M42" s="1">
        <v>0.13378834996799999</v>
      </c>
      <c r="N42" s="1">
        <v>5071440</v>
      </c>
      <c r="O42" s="1">
        <v>19119870</v>
      </c>
      <c r="P42" s="1">
        <v>0.265244481265</v>
      </c>
      <c r="Q42" s="216">
        <f t="shared" si="0"/>
        <v>143840070</v>
      </c>
      <c r="R42" s="1">
        <v>28647800</v>
      </c>
      <c r="S42" s="1">
        <v>144934800</v>
      </c>
      <c r="T42" s="1">
        <v>0.19765991328499999</v>
      </c>
      <c r="U42" s="1">
        <v>268</v>
      </c>
      <c r="V42" s="1">
        <v>0</v>
      </c>
      <c r="W42" s="1">
        <v>335</v>
      </c>
      <c r="X42" s="1">
        <v>22</v>
      </c>
      <c r="Y42" s="1">
        <v>1</v>
      </c>
      <c r="Z42" s="1">
        <v>0</v>
      </c>
      <c r="AA42" s="1">
        <v>18</v>
      </c>
      <c r="AB42" s="1">
        <v>5</v>
      </c>
      <c r="AC42" s="1" t="s">
        <v>1344</v>
      </c>
    </row>
    <row r="43" spans="1:29" x14ac:dyDescent="0.25">
      <c r="A43" s="2">
        <v>540036</v>
      </c>
      <c r="B43" s="2" t="s">
        <v>139</v>
      </c>
      <c r="C43" s="2" t="s">
        <v>23</v>
      </c>
      <c r="D43" s="2" t="s">
        <v>115</v>
      </c>
      <c r="E43" s="2">
        <v>7</v>
      </c>
      <c r="F43" s="197"/>
      <c r="G43" s="2">
        <v>134</v>
      </c>
      <c r="H43" s="2">
        <v>3377300</v>
      </c>
      <c r="I43" s="2">
        <v>18525800</v>
      </c>
      <c r="J43" s="2">
        <v>0.18230251865</v>
      </c>
      <c r="K43" s="2">
        <v>3533000</v>
      </c>
      <c r="L43" s="2">
        <v>35702600</v>
      </c>
      <c r="M43" s="2">
        <v>9.89563785271E-2</v>
      </c>
      <c r="N43" s="2">
        <v>454160</v>
      </c>
      <c r="O43" s="2">
        <v>1692850</v>
      </c>
      <c r="P43" s="2">
        <v>0.26828130076500001</v>
      </c>
      <c r="Q43" s="217">
        <f t="shared" si="0"/>
        <v>55921250</v>
      </c>
      <c r="R43" s="2">
        <v>7364700</v>
      </c>
      <c r="S43" s="2">
        <v>56002800</v>
      </c>
      <c r="T43" s="2">
        <v>0.13150592470399999</v>
      </c>
      <c r="U43" s="2">
        <v>87</v>
      </c>
      <c r="V43" s="2">
        <v>0</v>
      </c>
      <c r="W43" s="2">
        <v>0</v>
      </c>
      <c r="X43" s="2">
        <v>32</v>
      </c>
      <c r="Y43" s="2">
        <v>0</v>
      </c>
      <c r="Z43" s="2">
        <v>4</v>
      </c>
      <c r="AA43" s="2">
        <v>10</v>
      </c>
      <c r="AB43" s="2">
        <v>1</v>
      </c>
      <c r="AC43" s="2" t="s">
        <v>1344</v>
      </c>
    </row>
    <row r="44" spans="1:29" x14ac:dyDescent="0.25">
      <c r="A44" s="2">
        <v>540037</v>
      </c>
      <c r="B44" s="2" t="s">
        <v>140</v>
      </c>
      <c r="C44" s="2" t="s">
        <v>23</v>
      </c>
      <c r="D44" s="2" t="s">
        <v>115</v>
      </c>
      <c r="E44" s="2">
        <v>7</v>
      </c>
      <c r="F44" s="197"/>
      <c r="G44" s="2">
        <v>22</v>
      </c>
      <c r="H44" s="2">
        <v>281200</v>
      </c>
      <c r="I44" s="2">
        <v>3139100</v>
      </c>
      <c r="J44" s="2">
        <v>8.9579815870799995E-2</v>
      </c>
      <c r="K44" s="2">
        <v>56400</v>
      </c>
      <c r="L44" s="2">
        <v>1235400</v>
      </c>
      <c r="M44" s="2">
        <v>4.5653229723200003E-2</v>
      </c>
      <c r="N44" s="2">
        <v>38650</v>
      </c>
      <c r="O44" s="2">
        <v>308420</v>
      </c>
      <c r="P44" s="2">
        <v>0.125316127359</v>
      </c>
      <c r="Q44" s="217">
        <f t="shared" si="0"/>
        <v>4682920</v>
      </c>
      <c r="R44" s="2">
        <v>376200</v>
      </c>
      <c r="S44" s="2">
        <v>4683300</v>
      </c>
      <c r="T44" s="2">
        <v>8.03279738646E-2</v>
      </c>
      <c r="U44" s="2">
        <v>17</v>
      </c>
      <c r="V44" s="2">
        <v>0</v>
      </c>
      <c r="W44" s="2">
        <v>0</v>
      </c>
      <c r="X44" s="2">
        <v>5</v>
      </c>
      <c r="Y44" s="2">
        <v>0</v>
      </c>
      <c r="Z44" s="2">
        <v>0</v>
      </c>
      <c r="AA44" s="2">
        <v>0</v>
      </c>
      <c r="AB44" s="2">
        <v>0</v>
      </c>
      <c r="AC44" s="2" t="s">
        <v>1344</v>
      </c>
    </row>
    <row r="45" spans="1:29" x14ac:dyDescent="0.25">
      <c r="A45" s="2"/>
      <c r="B45" s="2"/>
      <c r="C45" s="2" t="s">
        <v>23</v>
      </c>
      <c r="D45" s="2"/>
      <c r="E45" s="2"/>
      <c r="F45" s="197"/>
      <c r="G45" s="2">
        <v>805</v>
      </c>
      <c r="H45" s="2">
        <v>23378300</v>
      </c>
      <c r="I45" s="2">
        <v>118151700</v>
      </c>
      <c r="J45" s="2">
        <v>0.197866810211</v>
      </c>
      <c r="K45" s="2">
        <v>7366700</v>
      </c>
      <c r="L45" s="2">
        <v>65171400</v>
      </c>
      <c r="M45" s="2">
        <v>0.11303577949800001</v>
      </c>
      <c r="N45" s="2">
        <v>5564250</v>
      </c>
      <c r="O45" s="2">
        <v>21121140</v>
      </c>
      <c r="P45" s="2">
        <v>0.26344458679799998</v>
      </c>
      <c r="Q45" s="217">
        <f t="shared" si="0"/>
        <v>204444240</v>
      </c>
      <c r="R45" s="2">
        <v>36388700</v>
      </c>
      <c r="S45" s="2">
        <v>205620900</v>
      </c>
      <c r="T45" s="2">
        <v>0.17696985082700001</v>
      </c>
      <c r="U45" s="2">
        <v>372</v>
      </c>
      <c r="V45" s="2">
        <v>0</v>
      </c>
      <c r="W45" s="2">
        <v>335</v>
      </c>
      <c r="X45" s="2">
        <v>59</v>
      </c>
      <c r="Y45" s="2">
        <v>1</v>
      </c>
      <c r="Z45" s="2">
        <v>4</v>
      </c>
      <c r="AA45" s="2">
        <v>28</v>
      </c>
      <c r="AB45" s="2">
        <v>6</v>
      </c>
      <c r="AC45" s="2" t="s">
        <v>1344</v>
      </c>
    </row>
    <row r="46" spans="1:29" x14ac:dyDescent="0.25">
      <c r="A46" s="1">
        <v>540038</v>
      </c>
      <c r="B46" s="1" t="s">
        <v>24</v>
      </c>
      <c r="C46" s="1" t="s">
        <v>25</v>
      </c>
      <c r="D46" s="1" t="s">
        <v>5</v>
      </c>
      <c r="E46" s="1">
        <v>8</v>
      </c>
      <c r="F46" s="215"/>
      <c r="G46" s="1">
        <v>280</v>
      </c>
      <c r="H46" s="1">
        <v>7663500</v>
      </c>
      <c r="I46" s="1">
        <v>232233700</v>
      </c>
      <c r="J46" s="1">
        <v>3.2999086695900001E-2</v>
      </c>
      <c r="K46" s="1">
        <v>15103100</v>
      </c>
      <c r="L46" s="1">
        <v>32234700</v>
      </c>
      <c r="M46" s="1">
        <v>0.468535460234</v>
      </c>
      <c r="N46" s="1">
        <v>3572250</v>
      </c>
      <c r="O46" s="1">
        <v>54389270</v>
      </c>
      <c r="P46" s="1">
        <v>6.5679315056100002E-2</v>
      </c>
      <c r="Q46" s="216">
        <f t="shared" si="0"/>
        <v>318857670</v>
      </c>
      <c r="R46" s="1">
        <v>27393900</v>
      </c>
      <c r="S46" s="1">
        <v>322991900</v>
      </c>
      <c r="T46" s="1">
        <v>8.4812962801899996E-2</v>
      </c>
      <c r="U46" s="1">
        <v>141</v>
      </c>
      <c r="V46" s="1">
        <v>0</v>
      </c>
      <c r="W46" s="1">
        <v>66</v>
      </c>
      <c r="X46" s="1">
        <v>32</v>
      </c>
      <c r="Y46" s="1">
        <v>0</v>
      </c>
      <c r="Z46" s="1">
        <v>1</v>
      </c>
      <c r="AA46" s="1">
        <v>33</v>
      </c>
      <c r="AB46" s="1">
        <v>7</v>
      </c>
      <c r="AC46" s="1" t="s">
        <v>1344</v>
      </c>
    </row>
    <row r="47" spans="1:29" x14ac:dyDescent="0.25">
      <c r="A47" s="2">
        <v>540039</v>
      </c>
      <c r="B47" s="2" t="s">
        <v>141</v>
      </c>
      <c r="C47" s="2" t="s">
        <v>25</v>
      </c>
      <c r="D47" s="2" t="s">
        <v>115</v>
      </c>
      <c r="E47" s="2">
        <v>8</v>
      </c>
      <c r="F47" s="197"/>
      <c r="G47" s="2">
        <v>5</v>
      </c>
      <c r="H47" s="2">
        <v>74500</v>
      </c>
      <c r="I47" s="2">
        <v>53162700</v>
      </c>
      <c r="J47" s="2">
        <v>1.4013584712600001E-3</v>
      </c>
      <c r="K47" s="2">
        <v>174100</v>
      </c>
      <c r="L47" s="2">
        <v>63007100</v>
      </c>
      <c r="M47" s="2">
        <v>2.76318065742E-3</v>
      </c>
      <c r="N47" s="2">
        <v>5130</v>
      </c>
      <c r="O47" s="2">
        <v>4446300</v>
      </c>
      <c r="P47" s="2">
        <v>1.15376830173E-3</v>
      </c>
      <c r="Q47" s="217">
        <f t="shared" si="0"/>
        <v>120616100</v>
      </c>
      <c r="R47" s="2">
        <v>259800</v>
      </c>
      <c r="S47" s="2">
        <v>123116700</v>
      </c>
      <c r="T47" s="2">
        <v>2.1101930120000002E-3</v>
      </c>
      <c r="U47" s="2">
        <v>0</v>
      </c>
      <c r="V47" s="2">
        <v>0</v>
      </c>
      <c r="W47" s="2">
        <v>1</v>
      </c>
      <c r="X47" s="2">
        <v>4</v>
      </c>
      <c r="Y47" s="2">
        <v>0</v>
      </c>
      <c r="Z47" s="2">
        <v>0</v>
      </c>
      <c r="AA47" s="2">
        <v>0</v>
      </c>
      <c r="AB47" s="2">
        <v>0</v>
      </c>
      <c r="AC47" s="2" t="s">
        <v>1344</v>
      </c>
    </row>
    <row r="48" spans="1:29" x14ac:dyDescent="0.25">
      <c r="A48" s="2">
        <v>540240</v>
      </c>
      <c r="B48" s="2" t="s">
        <v>287</v>
      </c>
      <c r="C48" s="2" t="s">
        <v>25</v>
      </c>
      <c r="D48" s="2" t="s">
        <v>115</v>
      </c>
      <c r="E48" s="2">
        <v>8</v>
      </c>
      <c r="F48" s="197"/>
      <c r="G48" s="2">
        <v>21</v>
      </c>
      <c r="H48" s="2">
        <v>97800</v>
      </c>
      <c r="I48" s="2">
        <v>3695900</v>
      </c>
      <c r="J48" s="2">
        <v>2.64617549176E-2</v>
      </c>
      <c r="K48" s="2">
        <v>65900</v>
      </c>
      <c r="L48" s="2">
        <v>905800</v>
      </c>
      <c r="M48" s="2">
        <v>7.2753367189200002E-2</v>
      </c>
      <c r="N48" s="2">
        <v>37680</v>
      </c>
      <c r="O48" s="2">
        <v>757850</v>
      </c>
      <c r="P48" s="2">
        <v>4.97196015043E-2</v>
      </c>
      <c r="Q48" s="217">
        <f t="shared" si="0"/>
        <v>5359550</v>
      </c>
      <c r="R48" s="2">
        <v>201400</v>
      </c>
      <c r="S48" s="2">
        <v>5386700</v>
      </c>
      <c r="T48" s="2">
        <v>3.7388382497600001E-2</v>
      </c>
      <c r="U48" s="2">
        <v>16</v>
      </c>
      <c r="V48" s="2">
        <v>0</v>
      </c>
      <c r="W48" s="2">
        <v>0</v>
      </c>
      <c r="X48" s="2">
        <v>3</v>
      </c>
      <c r="Y48" s="2">
        <v>0</v>
      </c>
      <c r="Z48" s="2">
        <v>0</v>
      </c>
      <c r="AA48" s="2">
        <v>0</v>
      </c>
      <c r="AB48" s="2">
        <v>2</v>
      </c>
      <c r="AC48" s="2" t="s">
        <v>1344</v>
      </c>
    </row>
    <row r="49" spans="1:29" x14ac:dyDescent="0.25">
      <c r="A49" s="2"/>
      <c r="B49" s="2"/>
      <c r="C49" s="2" t="s">
        <v>25</v>
      </c>
      <c r="D49" s="2"/>
      <c r="E49" s="2"/>
      <c r="F49" s="197"/>
      <c r="G49" s="2">
        <v>306</v>
      </c>
      <c r="H49" s="2">
        <v>7835800</v>
      </c>
      <c r="I49" s="2">
        <v>289092300</v>
      </c>
      <c r="J49" s="2">
        <v>2.7104838143399999E-2</v>
      </c>
      <c r="K49" s="2">
        <v>15343100</v>
      </c>
      <c r="L49" s="2">
        <v>96147600</v>
      </c>
      <c r="M49" s="2">
        <v>0.15957860622600001</v>
      </c>
      <c r="N49" s="2">
        <v>3615060</v>
      </c>
      <c r="O49" s="2">
        <v>59593420</v>
      </c>
      <c r="P49" s="2">
        <v>6.0662066382499998E-2</v>
      </c>
      <c r="Q49" s="217">
        <f t="shared" si="0"/>
        <v>444833320</v>
      </c>
      <c r="R49" s="2">
        <v>27855100</v>
      </c>
      <c r="S49" s="2">
        <v>451495300</v>
      </c>
      <c r="T49" s="2">
        <v>6.1695215874899997E-2</v>
      </c>
      <c r="U49" s="2">
        <v>157</v>
      </c>
      <c r="V49" s="2">
        <v>0</v>
      </c>
      <c r="W49" s="2">
        <v>67</v>
      </c>
      <c r="X49" s="2">
        <v>39</v>
      </c>
      <c r="Y49" s="2">
        <v>0</v>
      </c>
      <c r="Z49" s="2">
        <v>1</v>
      </c>
      <c r="AA49" s="2">
        <v>33</v>
      </c>
      <c r="AB49" s="2">
        <v>9</v>
      </c>
      <c r="AC49" s="2" t="s">
        <v>1344</v>
      </c>
    </row>
    <row r="50" spans="1:29" x14ac:dyDescent="0.25">
      <c r="A50" s="1">
        <v>540040</v>
      </c>
      <c r="B50" s="1" t="s">
        <v>26</v>
      </c>
      <c r="C50" s="1" t="s">
        <v>27</v>
      </c>
      <c r="D50" s="1" t="s">
        <v>5</v>
      </c>
      <c r="E50" s="1">
        <v>4</v>
      </c>
      <c r="F50" s="215"/>
      <c r="G50" s="1">
        <v>988</v>
      </c>
      <c r="H50" s="1">
        <v>33956400</v>
      </c>
      <c r="I50" s="1">
        <v>969192900</v>
      </c>
      <c r="J50" s="1">
        <v>3.50357498492E-2</v>
      </c>
      <c r="K50" s="1">
        <v>2987600</v>
      </c>
      <c r="L50" s="1">
        <v>227059900</v>
      </c>
      <c r="M50" s="1">
        <v>1.3157761454099999E-2</v>
      </c>
      <c r="N50" s="1">
        <v>5488400</v>
      </c>
      <c r="O50" s="1">
        <v>113191290</v>
      </c>
      <c r="P50" s="1">
        <v>4.8487829761499998E-2</v>
      </c>
      <c r="Q50" s="216">
        <f t="shared" si="0"/>
        <v>1309444090</v>
      </c>
      <c r="R50" s="1">
        <v>44702500</v>
      </c>
      <c r="S50" s="1">
        <v>1322271000</v>
      </c>
      <c r="T50" s="1">
        <v>3.3807366266100002E-2</v>
      </c>
      <c r="U50" s="1">
        <v>770</v>
      </c>
      <c r="V50" s="1">
        <v>0</v>
      </c>
      <c r="W50" s="1">
        <v>75</v>
      </c>
      <c r="X50" s="1">
        <v>116</v>
      </c>
      <c r="Y50" s="1">
        <v>0</v>
      </c>
      <c r="Z50" s="1">
        <v>0</v>
      </c>
      <c r="AA50" s="1">
        <v>18</v>
      </c>
      <c r="AB50" s="1">
        <v>9</v>
      </c>
      <c r="AC50" s="1" t="s">
        <v>1344</v>
      </c>
    </row>
    <row r="51" spans="1:29" x14ac:dyDescent="0.25">
      <c r="A51" s="2">
        <v>540041</v>
      </c>
      <c r="B51" s="2" t="s">
        <v>142</v>
      </c>
      <c r="C51" s="2" t="s">
        <v>27</v>
      </c>
      <c r="D51" s="2" t="s">
        <v>115</v>
      </c>
      <c r="E51" s="2">
        <v>4</v>
      </c>
      <c r="F51" s="197"/>
      <c r="G51" s="2">
        <v>234</v>
      </c>
      <c r="H51" s="2">
        <v>7671800</v>
      </c>
      <c r="I51" s="2">
        <v>22881700</v>
      </c>
      <c r="J51" s="2">
        <v>0.33528103244099999</v>
      </c>
      <c r="K51" s="2">
        <v>1560900</v>
      </c>
      <c r="L51" s="2">
        <v>3582300</v>
      </c>
      <c r="M51" s="2">
        <v>0.43572565111799999</v>
      </c>
      <c r="N51" s="2">
        <v>1128580</v>
      </c>
      <c r="O51" s="2">
        <v>1312940</v>
      </c>
      <c r="P51" s="2">
        <v>0.85958231145399999</v>
      </c>
      <c r="Q51" s="217">
        <f t="shared" si="0"/>
        <v>27776940</v>
      </c>
      <c r="R51" s="2">
        <v>10544000</v>
      </c>
      <c r="S51" s="2">
        <v>27972000</v>
      </c>
      <c r="T51" s="2">
        <v>0.37694837694799999</v>
      </c>
      <c r="U51" s="2">
        <v>205</v>
      </c>
      <c r="V51" s="2">
        <v>1</v>
      </c>
      <c r="W51" s="2">
        <v>0</v>
      </c>
      <c r="X51" s="2">
        <v>18</v>
      </c>
      <c r="Y51" s="2">
        <v>0</v>
      </c>
      <c r="Z51" s="2">
        <v>0</v>
      </c>
      <c r="AA51" s="2">
        <v>9</v>
      </c>
      <c r="AB51" s="2">
        <v>1</v>
      </c>
      <c r="AC51" s="2" t="s">
        <v>1344</v>
      </c>
    </row>
    <row r="52" spans="1:29" x14ac:dyDescent="0.25">
      <c r="A52" s="2">
        <v>540043</v>
      </c>
      <c r="B52" s="2" t="s">
        <v>144</v>
      </c>
      <c r="C52" s="2" t="s">
        <v>27</v>
      </c>
      <c r="D52" s="2" t="s">
        <v>115</v>
      </c>
      <c r="E52" s="2">
        <v>4</v>
      </c>
      <c r="F52" s="197"/>
      <c r="G52" s="2">
        <v>69</v>
      </c>
      <c r="H52" s="2">
        <v>1160600</v>
      </c>
      <c r="I52" s="2">
        <v>34087700</v>
      </c>
      <c r="J52" s="2">
        <v>3.4047471668700001E-2</v>
      </c>
      <c r="K52" s="2">
        <v>3345000</v>
      </c>
      <c r="L52" s="2">
        <v>7771000</v>
      </c>
      <c r="M52" s="2">
        <v>0.43044653197799998</v>
      </c>
      <c r="N52" s="2">
        <v>213630</v>
      </c>
      <c r="O52" s="2">
        <v>1265680</v>
      </c>
      <c r="P52" s="2">
        <v>0.168786739144</v>
      </c>
      <c r="Q52" s="217">
        <f t="shared" si="0"/>
        <v>43124380</v>
      </c>
      <c r="R52" s="2">
        <v>4721800</v>
      </c>
      <c r="S52" s="2">
        <v>50820100</v>
      </c>
      <c r="T52" s="2">
        <v>9.2912056450100006E-2</v>
      </c>
      <c r="U52" s="2">
        <v>42</v>
      </c>
      <c r="V52" s="2">
        <v>0</v>
      </c>
      <c r="W52" s="2">
        <v>0</v>
      </c>
      <c r="X52" s="2">
        <v>19</v>
      </c>
      <c r="Y52" s="2">
        <v>1</v>
      </c>
      <c r="Z52" s="2">
        <v>0</v>
      </c>
      <c r="AA52" s="2">
        <v>7</v>
      </c>
      <c r="AB52" s="2">
        <v>0</v>
      </c>
      <c r="AC52" s="2" t="s">
        <v>1344</v>
      </c>
    </row>
    <row r="53" spans="1:29" x14ac:dyDescent="0.25">
      <c r="A53" s="2">
        <v>540044</v>
      </c>
      <c r="B53" s="2" t="s">
        <v>145</v>
      </c>
      <c r="C53" s="2" t="s">
        <v>27</v>
      </c>
      <c r="D53" s="2" t="s">
        <v>115</v>
      </c>
      <c r="E53" s="2">
        <v>4</v>
      </c>
      <c r="F53" s="197"/>
      <c r="G53" s="2">
        <v>24</v>
      </c>
      <c r="H53" s="2">
        <v>444900</v>
      </c>
      <c r="I53" s="2">
        <v>16670000</v>
      </c>
      <c r="J53" s="2">
        <v>2.66886622675E-2</v>
      </c>
      <c r="K53" s="2">
        <v>283200</v>
      </c>
      <c r="L53" s="2">
        <v>4512700</v>
      </c>
      <c r="M53" s="2">
        <v>6.2756221330900003E-2</v>
      </c>
      <c r="N53" s="2">
        <v>81960</v>
      </c>
      <c r="O53" s="2">
        <v>2342590</v>
      </c>
      <c r="P53" s="2">
        <v>3.4986916191099997E-2</v>
      </c>
      <c r="Q53" s="217">
        <f t="shared" si="0"/>
        <v>23525290</v>
      </c>
      <c r="R53" s="2">
        <v>890600</v>
      </c>
      <c r="S53" s="2">
        <v>24516100</v>
      </c>
      <c r="T53" s="2">
        <v>3.63271482821E-2</v>
      </c>
      <c r="U53" s="2">
        <v>20</v>
      </c>
      <c r="V53" s="2">
        <v>0</v>
      </c>
      <c r="W53" s="2">
        <v>0</v>
      </c>
      <c r="X53" s="2">
        <v>3</v>
      </c>
      <c r="Y53" s="2">
        <v>0</v>
      </c>
      <c r="Z53" s="2">
        <v>0</v>
      </c>
      <c r="AA53" s="2">
        <v>1</v>
      </c>
      <c r="AB53" s="2">
        <v>0</v>
      </c>
      <c r="AC53" s="2" t="s">
        <v>1344</v>
      </c>
    </row>
    <row r="54" spans="1:29" x14ac:dyDescent="0.25">
      <c r="A54" s="2">
        <v>540045</v>
      </c>
      <c r="B54" s="2" t="s">
        <v>146</v>
      </c>
      <c r="C54" s="2" t="s">
        <v>27</v>
      </c>
      <c r="D54" s="2" t="s">
        <v>115</v>
      </c>
      <c r="E54" s="2">
        <v>4</v>
      </c>
      <c r="F54" s="197"/>
      <c r="G54" s="2">
        <v>470</v>
      </c>
      <c r="H54" s="2">
        <v>13188200</v>
      </c>
      <c r="I54" s="2">
        <v>63521300</v>
      </c>
      <c r="J54" s="2">
        <v>0.20761854685</v>
      </c>
      <c r="K54" s="2">
        <v>9211500</v>
      </c>
      <c r="L54" s="2">
        <v>13900500</v>
      </c>
      <c r="M54" s="2">
        <v>0.66267400453199998</v>
      </c>
      <c r="N54" s="2">
        <v>599160</v>
      </c>
      <c r="O54" s="2">
        <v>2716300</v>
      </c>
      <c r="P54" s="2">
        <v>0.220579464713</v>
      </c>
      <c r="Q54" s="217">
        <f t="shared" si="0"/>
        <v>80138100</v>
      </c>
      <c r="R54" s="2">
        <v>23078500</v>
      </c>
      <c r="S54" s="2">
        <v>80437600</v>
      </c>
      <c r="T54" s="2">
        <v>0.28691184222299998</v>
      </c>
      <c r="U54" s="2">
        <v>364</v>
      </c>
      <c r="V54" s="2">
        <v>0</v>
      </c>
      <c r="W54" s="2">
        <v>0</v>
      </c>
      <c r="X54" s="2">
        <v>89</v>
      </c>
      <c r="Y54" s="2">
        <v>0</v>
      </c>
      <c r="Z54" s="2">
        <v>0</v>
      </c>
      <c r="AA54" s="2">
        <v>8</v>
      </c>
      <c r="AB54" s="2">
        <v>9</v>
      </c>
      <c r="AC54" s="2" t="s">
        <v>1344</v>
      </c>
    </row>
    <row r="55" spans="1:29" x14ac:dyDescent="0.25">
      <c r="A55" s="2">
        <v>540228</v>
      </c>
      <c r="B55" s="2" t="s">
        <v>278</v>
      </c>
      <c r="C55" s="2" t="s">
        <v>27</v>
      </c>
      <c r="D55" s="2" t="s">
        <v>115</v>
      </c>
      <c r="E55" s="2">
        <v>4</v>
      </c>
      <c r="F55" s="197"/>
      <c r="G55" s="2">
        <v>19</v>
      </c>
      <c r="H55" s="2">
        <v>98700</v>
      </c>
      <c r="I55" s="2">
        <v>16802300</v>
      </c>
      <c r="J55" s="2">
        <v>5.8741957946199996E-3</v>
      </c>
      <c r="K55" s="2">
        <v>24800</v>
      </c>
      <c r="L55" s="2">
        <v>9643500</v>
      </c>
      <c r="M55" s="2">
        <v>2.5716804064899999E-3</v>
      </c>
      <c r="N55" s="2">
        <v>13110</v>
      </c>
      <c r="O55" s="2">
        <v>2165300</v>
      </c>
      <c r="P55" s="2">
        <v>6.05458827876E-3</v>
      </c>
      <c r="Q55" s="217">
        <f t="shared" si="0"/>
        <v>28611100</v>
      </c>
      <c r="R55" s="2">
        <v>137900</v>
      </c>
      <c r="S55" s="2">
        <v>28745100</v>
      </c>
      <c r="T55" s="2">
        <v>4.7973393726200003E-3</v>
      </c>
      <c r="U55" s="2">
        <v>17</v>
      </c>
      <c r="V55" s="2">
        <v>0</v>
      </c>
      <c r="W55" s="2">
        <v>0</v>
      </c>
      <c r="X55" s="2">
        <v>1</v>
      </c>
      <c r="Y55" s="2">
        <v>0</v>
      </c>
      <c r="Z55" s="2">
        <v>0</v>
      </c>
      <c r="AA55" s="2">
        <v>1</v>
      </c>
      <c r="AB55" s="2">
        <v>0</v>
      </c>
      <c r="AC55" s="2" t="s">
        <v>1344</v>
      </c>
    </row>
    <row r="56" spans="1:29" x14ac:dyDescent="0.25">
      <c r="A56" s="2">
        <v>540243</v>
      </c>
      <c r="B56" s="2" t="s">
        <v>290</v>
      </c>
      <c r="C56" s="2" t="s">
        <v>27</v>
      </c>
      <c r="D56" s="2" t="s">
        <v>115</v>
      </c>
      <c r="E56" s="2">
        <v>4</v>
      </c>
      <c r="F56" s="197"/>
      <c r="G56" s="2">
        <v>7</v>
      </c>
      <c r="H56" s="2">
        <v>126700</v>
      </c>
      <c r="I56" s="2">
        <v>3528300</v>
      </c>
      <c r="J56" s="2">
        <v>3.5909644871500002E-2</v>
      </c>
      <c r="K56" s="2">
        <v>0</v>
      </c>
      <c r="L56" s="2">
        <v>294000</v>
      </c>
      <c r="M56" s="2">
        <v>0</v>
      </c>
      <c r="N56" s="2">
        <v>17270</v>
      </c>
      <c r="O56" s="2">
        <v>1010380</v>
      </c>
      <c r="P56" s="2">
        <v>1.70925790297E-2</v>
      </c>
      <c r="Q56" s="217">
        <f t="shared" si="0"/>
        <v>4832680</v>
      </c>
      <c r="R56" s="2">
        <v>145000</v>
      </c>
      <c r="S56" s="2">
        <v>4875600</v>
      </c>
      <c r="T56" s="2">
        <v>2.9739929444600001E-2</v>
      </c>
      <c r="U56" s="2">
        <v>7</v>
      </c>
      <c r="V56" s="2">
        <v>0</v>
      </c>
      <c r="W56" s="2">
        <v>0</v>
      </c>
      <c r="X56" s="2">
        <v>0</v>
      </c>
      <c r="Y56" s="2">
        <v>0</v>
      </c>
      <c r="Z56" s="2">
        <v>0</v>
      </c>
      <c r="AA56" s="2">
        <v>0</v>
      </c>
      <c r="AB56" s="2">
        <v>0</v>
      </c>
      <c r="AC56" s="2" t="s">
        <v>1344</v>
      </c>
    </row>
    <row r="57" spans="1:29" x14ac:dyDescent="0.25">
      <c r="A57" s="2">
        <v>540244</v>
      </c>
      <c r="B57" s="2" t="s">
        <v>291</v>
      </c>
      <c r="C57" s="2" t="s">
        <v>27</v>
      </c>
      <c r="D57" s="2" t="s">
        <v>115</v>
      </c>
      <c r="E57" s="2">
        <v>4</v>
      </c>
      <c r="F57" s="197"/>
      <c r="G57" s="2">
        <v>0</v>
      </c>
      <c r="H57" s="2">
        <v>0</v>
      </c>
      <c r="I57" s="2">
        <v>3705300</v>
      </c>
      <c r="J57" s="2">
        <v>0</v>
      </c>
      <c r="K57" s="2">
        <v>0</v>
      </c>
      <c r="L57" s="2">
        <v>153100</v>
      </c>
      <c r="M57" s="2">
        <v>0</v>
      </c>
      <c r="N57" s="2">
        <v>0</v>
      </c>
      <c r="O57" s="2">
        <v>606730</v>
      </c>
      <c r="P57" s="2">
        <v>0</v>
      </c>
      <c r="Q57" s="217">
        <f t="shared" si="0"/>
        <v>4465130</v>
      </c>
      <c r="R57" s="2">
        <v>0</v>
      </c>
      <c r="S57" s="2">
        <v>4914200</v>
      </c>
      <c r="T57" s="2">
        <v>0</v>
      </c>
      <c r="U57" s="2">
        <v>0</v>
      </c>
      <c r="V57" s="2">
        <v>0</v>
      </c>
      <c r="W57" s="2">
        <v>0</v>
      </c>
      <c r="X57" s="2">
        <v>0</v>
      </c>
      <c r="Y57" s="2">
        <v>0</v>
      </c>
      <c r="Z57" s="2">
        <v>0</v>
      </c>
      <c r="AA57" s="2">
        <v>0</v>
      </c>
      <c r="AB57" s="2">
        <v>0</v>
      </c>
      <c r="AC57" s="2" t="s">
        <v>1344</v>
      </c>
    </row>
    <row r="58" spans="1:29" x14ac:dyDescent="0.25">
      <c r="A58" s="2">
        <v>540281</v>
      </c>
      <c r="B58" s="2" t="s">
        <v>322</v>
      </c>
      <c r="C58" s="2" t="s">
        <v>27</v>
      </c>
      <c r="D58" s="2" t="s">
        <v>115</v>
      </c>
      <c r="E58" s="2">
        <v>4</v>
      </c>
      <c r="F58" s="197"/>
      <c r="G58" s="2">
        <v>0</v>
      </c>
      <c r="H58" s="2">
        <v>0</v>
      </c>
      <c r="I58" s="2">
        <v>207826800</v>
      </c>
      <c r="J58" s="2">
        <v>0</v>
      </c>
      <c r="K58" s="2">
        <v>0</v>
      </c>
      <c r="L58" s="2">
        <v>79071400</v>
      </c>
      <c r="M58" s="2">
        <v>0</v>
      </c>
      <c r="N58" s="2">
        <v>0</v>
      </c>
      <c r="O58" s="2">
        <v>5528580</v>
      </c>
      <c r="P58" s="2">
        <v>0</v>
      </c>
      <c r="Q58" s="217">
        <f t="shared" si="0"/>
        <v>292426780</v>
      </c>
      <c r="R58" s="2">
        <v>0</v>
      </c>
      <c r="S58" s="2">
        <v>296217400</v>
      </c>
      <c r="T58" s="2">
        <v>0</v>
      </c>
      <c r="U58" s="2">
        <v>0</v>
      </c>
      <c r="V58" s="2">
        <v>0</v>
      </c>
      <c r="W58" s="2">
        <v>0</v>
      </c>
      <c r="X58" s="2">
        <v>0</v>
      </c>
      <c r="Y58" s="2">
        <v>0</v>
      </c>
      <c r="Z58" s="2">
        <v>0</v>
      </c>
      <c r="AA58" s="2">
        <v>0</v>
      </c>
      <c r="AB58" s="2">
        <v>0</v>
      </c>
      <c r="AC58" s="2" t="s">
        <v>1344</v>
      </c>
    </row>
    <row r="59" spans="1:29" x14ac:dyDescent="0.25">
      <c r="A59" s="2"/>
      <c r="B59" s="2"/>
      <c r="C59" s="2" t="s">
        <v>27</v>
      </c>
      <c r="D59" s="2"/>
      <c r="E59" s="2"/>
      <c r="F59" s="197"/>
      <c r="G59" s="2">
        <v>1811</v>
      </c>
      <c r="H59" s="2">
        <v>56647300</v>
      </c>
      <c r="I59" s="2">
        <v>1338216300</v>
      </c>
      <c r="J59" s="2">
        <v>4.2330451362800003E-2</v>
      </c>
      <c r="K59" s="2">
        <v>17413000</v>
      </c>
      <c r="L59" s="2">
        <v>345988400</v>
      </c>
      <c r="M59" s="2">
        <v>5.0328276901800001E-2</v>
      </c>
      <c r="N59" s="2">
        <v>7542110</v>
      </c>
      <c r="O59" s="2">
        <v>130139790</v>
      </c>
      <c r="P59" s="2">
        <v>5.7953912481300003E-2</v>
      </c>
      <c r="Q59" s="217">
        <f t="shared" si="0"/>
        <v>1814344490</v>
      </c>
      <c r="R59" s="2">
        <v>84220300</v>
      </c>
      <c r="S59" s="2">
        <v>1840769100</v>
      </c>
      <c r="T59" s="2">
        <v>4.5752778010000002E-2</v>
      </c>
      <c r="U59" s="2">
        <v>1425</v>
      </c>
      <c r="V59" s="2">
        <v>1</v>
      </c>
      <c r="W59" s="2">
        <v>75</v>
      </c>
      <c r="X59" s="2">
        <v>246</v>
      </c>
      <c r="Y59" s="2">
        <v>1</v>
      </c>
      <c r="Z59" s="2">
        <v>0</v>
      </c>
      <c r="AA59" s="2">
        <v>44</v>
      </c>
      <c r="AB59" s="2">
        <v>19</v>
      </c>
      <c r="AC59" s="2" t="s">
        <v>1344</v>
      </c>
    </row>
    <row r="60" spans="1:29" x14ac:dyDescent="0.25">
      <c r="A60" s="1">
        <v>540047</v>
      </c>
      <c r="B60" s="1" t="s">
        <v>28</v>
      </c>
      <c r="C60" s="1" t="s">
        <v>29</v>
      </c>
      <c r="D60" s="1" t="s">
        <v>5</v>
      </c>
      <c r="E60" s="1">
        <v>11</v>
      </c>
      <c r="F60" s="215"/>
      <c r="G60" s="1">
        <v>245</v>
      </c>
      <c r="H60" s="1">
        <v>7098600</v>
      </c>
      <c r="I60" s="1">
        <v>272152800</v>
      </c>
      <c r="J60" s="1">
        <v>2.60831415293E-2</v>
      </c>
      <c r="K60" s="1">
        <v>11186100</v>
      </c>
      <c r="L60" s="1">
        <v>124647800</v>
      </c>
      <c r="M60" s="1">
        <v>8.9741656090200003E-2</v>
      </c>
      <c r="N60" s="1">
        <v>1395760</v>
      </c>
      <c r="O60" s="1">
        <v>32364200</v>
      </c>
      <c r="P60" s="1">
        <v>4.3126664648000003E-2</v>
      </c>
      <c r="Q60" s="216">
        <f t="shared" si="0"/>
        <v>429164800</v>
      </c>
      <c r="R60" s="1">
        <v>21593300</v>
      </c>
      <c r="S60" s="1">
        <v>427501500</v>
      </c>
      <c r="T60" s="1">
        <v>5.0510466045099997E-2</v>
      </c>
      <c r="U60" s="1">
        <v>142</v>
      </c>
      <c r="V60" s="1">
        <v>0</v>
      </c>
      <c r="W60" s="1">
        <v>2</v>
      </c>
      <c r="X60" s="1">
        <v>88</v>
      </c>
      <c r="Y60" s="1">
        <v>2</v>
      </c>
      <c r="Z60" s="1">
        <v>0</v>
      </c>
      <c r="AA60" s="1">
        <v>3</v>
      </c>
      <c r="AB60" s="1">
        <v>8</v>
      </c>
      <c r="AC60" s="1" t="s">
        <v>1345</v>
      </c>
    </row>
    <row r="61" spans="1:29" x14ac:dyDescent="0.25">
      <c r="A61" s="2">
        <v>540014</v>
      </c>
      <c r="B61" s="2" t="s">
        <v>124</v>
      </c>
      <c r="C61" s="2" t="s">
        <v>29</v>
      </c>
      <c r="D61" s="2" t="s">
        <v>115</v>
      </c>
      <c r="E61" s="2">
        <v>11</v>
      </c>
      <c r="F61" s="197"/>
      <c r="G61" s="2">
        <v>120</v>
      </c>
      <c r="H61" s="2">
        <v>8307400</v>
      </c>
      <c r="I61" s="2">
        <v>400510600</v>
      </c>
      <c r="J61" s="2">
        <v>2.0742022807899999E-2</v>
      </c>
      <c r="K61" s="2">
        <v>6949600</v>
      </c>
      <c r="L61" s="2">
        <v>165059600</v>
      </c>
      <c r="M61" s="2">
        <v>4.2103579555500002E-2</v>
      </c>
      <c r="N61" s="2">
        <v>417080</v>
      </c>
      <c r="O61" s="2">
        <v>15365600</v>
      </c>
      <c r="P61" s="2">
        <v>2.7143749674599999E-2</v>
      </c>
      <c r="Q61" s="217">
        <f t="shared" si="0"/>
        <v>580935800</v>
      </c>
      <c r="R61" s="2">
        <v>14984900</v>
      </c>
      <c r="S61" s="2">
        <v>556611388</v>
      </c>
      <c r="T61" s="2">
        <v>2.6921655436900001E-2</v>
      </c>
      <c r="U61" s="2">
        <v>97</v>
      </c>
      <c r="V61" s="2">
        <v>9</v>
      </c>
      <c r="W61" s="2">
        <v>0</v>
      </c>
      <c r="X61" s="2">
        <v>5</v>
      </c>
      <c r="Y61" s="2">
        <v>0</v>
      </c>
      <c r="Z61" s="2">
        <v>0</v>
      </c>
      <c r="AA61" s="2">
        <v>5</v>
      </c>
      <c r="AB61" s="2">
        <v>4</v>
      </c>
      <c r="AC61" s="2" t="s">
        <v>1345</v>
      </c>
    </row>
    <row r="62" spans="1:29" x14ac:dyDescent="0.25">
      <c r="A62" s="2">
        <v>540048</v>
      </c>
      <c r="B62" s="2" t="s">
        <v>148</v>
      </c>
      <c r="C62" s="2" t="s">
        <v>29</v>
      </c>
      <c r="D62" s="2" t="s">
        <v>115</v>
      </c>
      <c r="E62" s="2">
        <v>11</v>
      </c>
      <c r="F62" s="197"/>
      <c r="G62" s="2">
        <v>15</v>
      </c>
      <c r="H62" s="2">
        <v>698600</v>
      </c>
      <c r="I62" s="2">
        <v>48097900</v>
      </c>
      <c r="J62" s="2">
        <v>1.4524542651599999E-2</v>
      </c>
      <c r="K62" s="2">
        <v>520900</v>
      </c>
      <c r="L62" s="2">
        <v>25923300</v>
      </c>
      <c r="M62" s="2">
        <v>2.0093892367099998E-2</v>
      </c>
      <c r="N62" s="2">
        <v>99270</v>
      </c>
      <c r="O62" s="2">
        <v>2886900</v>
      </c>
      <c r="P62" s="2">
        <v>3.4386365998100001E-2</v>
      </c>
      <c r="Q62" s="217">
        <f t="shared" si="0"/>
        <v>76908100</v>
      </c>
      <c r="R62" s="2">
        <v>1267700</v>
      </c>
      <c r="S62" s="2">
        <v>76617400</v>
      </c>
      <c r="T62" s="2">
        <v>1.6545849898300002E-2</v>
      </c>
      <c r="U62" s="2">
        <v>7</v>
      </c>
      <c r="V62" s="2">
        <v>2</v>
      </c>
      <c r="W62" s="2">
        <v>0</v>
      </c>
      <c r="X62" s="2">
        <v>4</v>
      </c>
      <c r="Y62" s="2">
        <v>0</v>
      </c>
      <c r="Z62" s="2">
        <v>0</v>
      </c>
      <c r="AA62" s="2">
        <v>2</v>
      </c>
      <c r="AB62" s="2">
        <v>0</v>
      </c>
      <c r="AC62" s="2" t="s">
        <v>1345</v>
      </c>
    </row>
    <row r="63" spans="1:29" x14ac:dyDescent="0.25">
      <c r="A63" s="2">
        <v>540049</v>
      </c>
      <c r="B63" s="2" t="s">
        <v>149</v>
      </c>
      <c r="C63" s="2" t="s">
        <v>29</v>
      </c>
      <c r="D63" s="2" t="s">
        <v>115</v>
      </c>
      <c r="E63" s="2">
        <v>11</v>
      </c>
      <c r="F63" s="197"/>
      <c r="G63" s="2">
        <v>176</v>
      </c>
      <c r="H63" s="2">
        <v>2554300</v>
      </c>
      <c r="I63" s="2">
        <v>16368700</v>
      </c>
      <c r="J63" s="2">
        <v>0.15604782297899999</v>
      </c>
      <c r="K63" s="2">
        <v>3659900</v>
      </c>
      <c r="L63" s="2">
        <v>20264600</v>
      </c>
      <c r="M63" s="2">
        <v>0.18060558806999999</v>
      </c>
      <c r="N63" s="2">
        <v>299110</v>
      </c>
      <c r="O63" s="2">
        <v>1414470</v>
      </c>
      <c r="P63" s="2">
        <v>0.21146436474399999</v>
      </c>
      <c r="Q63" s="217">
        <f t="shared" si="0"/>
        <v>38047770</v>
      </c>
      <c r="R63" s="2">
        <v>7840600</v>
      </c>
      <c r="S63" s="2">
        <v>77042000</v>
      </c>
      <c r="T63" s="2">
        <v>0.101770462864</v>
      </c>
      <c r="U63" s="2">
        <v>116</v>
      </c>
      <c r="V63" s="2">
        <v>1</v>
      </c>
      <c r="W63" s="2">
        <v>0</v>
      </c>
      <c r="X63" s="2">
        <v>36</v>
      </c>
      <c r="Y63" s="2">
        <v>0</v>
      </c>
      <c r="Z63" s="2">
        <v>0</v>
      </c>
      <c r="AA63" s="2">
        <v>10</v>
      </c>
      <c r="AB63" s="2">
        <v>13</v>
      </c>
      <c r="AC63" s="2" t="s">
        <v>1345</v>
      </c>
    </row>
    <row r="64" spans="1:29" x14ac:dyDescent="0.25">
      <c r="A64" s="2"/>
      <c r="B64" s="2"/>
      <c r="C64" s="2" t="s">
        <v>29</v>
      </c>
      <c r="D64" s="2"/>
      <c r="E64" s="2"/>
      <c r="F64" s="197"/>
      <c r="G64" s="2">
        <v>556</v>
      </c>
      <c r="H64" s="2">
        <v>18658900</v>
      </c>
      <c r="I64" s="2">
        <v>737130000</v>
      </c>
      <c r="J64" s="2">
        <v>2.5312902744400002E-2</v>
      </c>
      <c r="K64" s="2">
        <v>22316500</v>
      </c>
      <c r="L64" s="2">
        <v>335895300</v>
      </c>
      <c r="M64" s="2">
        <v>6.6438857584499994E-2</v>
      </c>
      <c r="N64" s="2">
        <v>2211220</v>
      </c>
      <c r="O64" s="2">
        <v>52031170</v>
      </c>
      <c r="P64" s="2">
        <v>4.2497987264200003E-2</v>
      </c>
      <c r="Q64" s="217">
        <f t="shared" si="0"/>
        <v>1125056470</v>
      </c>
      <c r="R64" s="2">
        <v>45686500</v>
      </c>
      <c r="S64" s="2">
        <v>1137772288</v>
      </c>
      <c r="T64" s="2">
        <v>4.0154344135300002E-2</v>
      </c>
      <c r="U64" s="2">
        <v>362</v>
      </c>
      <c r="V64" s="2">
        <v>12</v>
      </c>
      <c r="W64" s="2">
        <v>2</v>
      </c>
      <c r="X64" s="2">
        <v>133</v>
      </c>
      <c r="Y64" s="2">
        <v>2</v>
      </c>
      <c r="Z64" s="2">
        <v>0</v>
      </c>
      <c r="AA64" s="2">
        <v>20</v>
      </c>
      <c r="AB64" s="2">
        <v>25</v>
      </c>
      <c r="AC64" s="2" t="s">
        <v>1345</v>
      </c>
    </row>
    <row r="65" spans="1:29" x14ac:dyDescent="0.25">
      <c r="A65" s="1">
        <v>540051</v>
      </c>
      <c r="B65" s="1" t="s">
        <v>30</v>
      </c>
      <c r="C65" s="1" t="s">
        <v>31</v>
      </c>
      <c r="D65" s="1" t="s">
        <v>5</v>
      </c>
      <c r="E65" s="1">
        <v>8</v>
      </c>
      <c r="F65" s="215"/>
      <c r="G65" s="1">
        <v>416</v>
      </c>
      <c r="H65" s="1">
        <v>10714800</v>
      </c>
      <c r="I65" s="1">
        <v>424447400</v>
      </c>
      <c r="J65" s="1">
        <v>2.5244117410099999E-2</v>
      </c>
      <c r="K65" s="1">
        <v>5404400</v>
      </c>
      <c r="L65" s="1">
        <v>54234000</v>
      </c>
      <c r="M65" s="1">
        <v>9.9649666260999997E-2</v>
      </c>
      <c r="N65" s="1">
        <v>8858660</v>
      </c>
      <c r="O65" s="1">
        <v>99360030</v>
      </c>
      <c r="P65" s="1">
        <v>8.9157179199699996E-2</v>
      </c>
      <c r="Q65" s="216">
        <f t="shared" si="0"/>
        <v>578041430</v>
      </c>
      <c r="R65" s="1">
        <v>26203100</v>
      </c>
      <c r="S65" s="1">
        <v>665530700</v>
      </c>
      <c r="T65" s="1">
        <v>3.9371737472100002E-2</v>
      </c>
      <c r="U65" s="1">
        <v>152</v>
      </c>
      <c r="V65" s="1">
        <v>0</v>
      </c>
      <c r="W65" s="1">
        <v>126</v>
      </c>
      <c r="X65" s="1">
        <v>10</v>
      </c>
      <c r="Y65" s="1">
        <v>1</v>
      </c>
      <c r="Z65" s="1">
        <v>1</v>
      </c>
      <c r="AA65" s="1">
        <v>28</v>
      </c>
      <c r="AB65" s="1">
        <v>98</v>
      </c>
      <c r="AC65" s="1" t="s">
        <v>1344</v>
      </c>
    </row>
    <row r="66" spans="1:29" x14ac:dyDescent="0.25">
      <c r="A66" s="2">
        <v>540052</v>
      </c>
      <c r="B66" s="2" t="s">
        <v>151</v>
      </c>
      <c r="C66" s="2" t="s">
        <v>31</v>
      </c>
      <c r="D66" s="2" t="s">
        <v>115</v>
      </c>
      <c r="E66" s="2">
        <v>8</v>
      </c>
      <c r="F66" s="197"/>
      <c r="G66" s="2">
        <v>77</v>
      </c>
      <c r="H66" s="2">
        <v>541800</v>
      </c>
      <c r="I66" s="2">
        <v>40642300</v>
      </c>
      <c r="J66" s="2">
        <v>1.3330938455700001E-2</v>
      </c>
      <c r="K66" s="2">
        <v>8397400</v>
      </c>
      <c r="L66" s="2">
        <v>57325400</v>
      </c>
      <c r="M66" s="2">
        <v>0.14648654872</v>
      </c>
      <c r="N66" s="2">
        <v>1265550</v>
      </c>
      <c r="O66" s="2">
        <v>17448750</v>
      </c>
      <c r="P66" s="2">
        <v>7.2529550827399994E-2</v>
      </c>
      <c r="Q66" s="217">
        <f t="shared" si="0"/>
        <v>115416450</v>
      </c>
      <c r="R66" s="2">
        <v>11520300</v>
      </c>
      <c r="S66" s="2">
        <v>141402100</v>
      </c>
      <c r="T66" s="2">
        <v>8.1471915905100001E-2</v>
      </c>
      <c r="U66" s="2">
        <v>15</v>
      </c>
      <c r="V66" s="2">
        <v>0</v>
      </c>
      <c r="W66" s="2">
        <v>5</v>
      </c>
      <c r="X66" s="2">
        <v>21</v>
      </c>
      <c r="Y66" s="2">
        <v>2</v>
      </c>
      <c r="Z66" s="2">
        <v>0</v>
      </c>
      <c r="AA66" s="2">
        <v>9</v>
      </c>
      <c r="AB66" s="2">
        <v>25</v>
      </c>
      <c r="AC66" s="2" t="s">
        <v>1344</v>
      </c>
    </row>
    <row r="67" spans="1:29" x14ac:dyDescent="0.25">
      <c r="A67" s="2">
        <v>540245</v>
      </c>
      <c r="B67" s="2" t="s">
        <v>292</v>
      </c>
      <c r="C67" s="2" t="s">
        <v>31</v>
      </c>
      <c r="D67" s="2" t="s">
        <v>115</v>
      </c>
      <c r="E67" s="2">
        <v>8</v>
      </c>
      <c r="F67" s="197"/>
      <c r="G67" s="2">
        <v>1</v>
      </c>
      <c r="H67" s="2">
        <v>128100</v>
      </c>
      <c r="I67" s="2">
        <v>9346900</v>
      </c>
      <c r="J67" s="2">
        <v>1.37050786892E-2</v>
      </c>
      <c r="K67" s="2">
        <v>0</v>
      </c>
      <c r="L67" s="2">
        <v>5067800</v>
      </c>
      <c r="M67" s="2">
        <v>0</v>
      </c>
      <c r="N67" s="2">
        <v>1150</v>
      </c>
      <c r="O67" s="2">
        <v>434050</v>
      </c>
      <c r="P67" s="2">
        <v>2.6494643474299999E-3</v>
      </c>
      <c r="Q67" s="217">
        <f t="shared" si="0"/>
        <v>14848750</v>
      </c>
      <c r="R67" s="2">
        <v>129300</v>
      </c>
      <c r="S67" s="2">
        <v>15270400</v>
      </c>
      <c r="T67" s="2">
        <v>8.4673616932099995E-3</v>
      </c>
      <c r="U67" s="2">
        <v>1</v>
      </c>
      <c r="V67" s="2">
        <v>0</v>
      </c>
      <c r="W67" s="2">
        <v>0</v>
      </c>
      <c r="X67" s="2">
        <v>0</v>
      </c>
      <c r="Y67" s="2">
        <v>0</v>
      </c>
      <c r="Z67" s="2">
        <v>0</v>
      </c>
      <c r="AA67" s="2">
        <v>0</v>
      </c>
      <c r="AB67" s="2">
        <v>0</v>
      </c>
      <c r="AC67" s="2" t="s">
        <v>1344</v>
      </c>
    </row>
    <row r="68" spans="1:29" x14ac:dyDescent="0.25">
      <c r="A68" s="2"/>
      <c r="B68" s="2"/>
      <c r="C68" s="2" t="s">
        <v>31</v>
      </c>
      <c r="D68" s="2"/>
      <c r="E68" s="2"/>
      <c r="F68" s="197"/>
      <c r="G68" s="2">
        <v>494</v>
      </c>
      <c r="H68" s="2">
        <v>11384700</v>
      </c>
      <c r="I68" s="2">
        <v>474436600</v>
      </c>
      <c r="J68" s="2">
        <v>2.3996251553899998E-2</v>
      </c>
      <c r="K68" s="2">
        <v>13801800</v>
      </c>
      <c r="L68" s="2">
        <v>116627200</v>
      </c>
      <c r="M68" s="2">
        <v>0.118341175986</v>
      </c>
      <c r="N68" s="2">
        <v>10125360</v>
      </c>
      <c r="O68" s="2">
        <v>117242830</v>
      </c>
      <c r="P68" s="2">
        <v>8.6362296099499997E-2</v>
      </c>
      <c r="Q68" s="217">
        <f t="shared" ref="Q68:Q131" si="1" xml:space="preserve"> I68 + L68+ O68</f>
        <v>708306630</v>
      </c>
      <c r="R68" s="2">
        <v>37852700</v>
      </c>
      <c r="S68" s="2">
        <v>822203200</v>
      </c>
      <c r="T68" s="2">
        <v>4.6038132666000001E-2</v>
      </c>
      <c r="U68" s="2">
        <v>168</v>
      </c>
      <c r="V68" s="2">
        <v>0</v>
      </c>
      <c r="W68" s="2">
        <v>131</v>
      </c>
      <c r="X68" s="2">
        <v>31</v>
      </c>
      <c r="Y68" s="2">
        <v>3</v>
      </c>
      <c r="Z68" s="2">
        <v>1</v>
      </c>
      <c r="AA68" s="2">
        <v>37</v>
      </c>
      <c r="AB68" s="2">
        <v>123</v>
      </c>
      <c r="AC68" s="2" t="s">
        <v>1344</v>
      </c>
    </row>
    <row r="69" spans="1:29" x14ac:dyDescent="0.25">
      <c r="A69" s="1">
        <v>540053</v>
      </c>
      <c r="B69" s="1" t="s">
        <v>32</v>
      </c>
      <c r="C69" s="1" t="s">
        <v>33</v>
      </c>
      <c r="D69" s="1" t="s">
        <v>5</v>
      </c>
      <c r="E69" s="1">
        <v>6</v>
      </c>
      <c r="F69" s="215"/>
      <c r="G69" s="1">
        <v>1249</v>
      </c>
      <c r="H69" s="1">
        <v>33051400</v>
      </c>
      <c r="I69" s="1">
        <v>916856500</v>
      </c>
      <c r="J69" s="1">
        <v>3.6048607388400003E-2</v>
      </c>
      <c r="K69" s="1">
        <v>15914400</v>
      </c>
      <c r="L69" s="1">
        <v>188136500</v>
      </c>
      <c r="M69" s="1">
        <v>8.4589646347199995E-2</v>
      </c>
      <c r="N69" s="1">
        <v>13319740</v>
      </c>
      <c r="O69" s="1">
        <v>138390000</v>
      </c>
      <c r="P69" s="1">
        <v>9.6247850278200001E-2</v>
      </c>
      <c r="Q69" s="216">
        <f t="shared" si="1"/>
        <v>1243383000</v>
      </c>
      <c r="R69" s="1">
        <v>145206600</v>
      </c>
      <c r="S69" s="1">
        <v>1396697400</v>
      </c>
      <c r="T69" s="1">
        <v>0.10396425166999999</v>
      </c>
      <c r="U69" s="1">
        <v>727</v>
      </c>
      <c r="V69" s="1">
        <v>0</v>
      </c>
      <c r="W69" s="1">
        <v>301</v>
      </c>
      <c r="X69" s="1">
        <v>156</v>
      </c>
      <c r="Y69" s="1">
        <v>2</v>
      </c>
      <c r="Z69" s="1">
        <v>1</v>
      </c>
      <c r="AA69" s="1">
        <v>41</v>
      </c>
      <c r="AB69" s="1">
        <v>21</v>
      </c>
      <c r="AC69" s="1" t="s">
        <v>1344</v>
      </c>
    </row>
    <row r="70" spans="1:29" x14ac:dyDescent="0.25">
      <c r="A70" s="2">
        <v>540054</v>
      </c>
      <c r="B70" s="2" t="s">
        <v>152</v>
      </c>
      <c r="C70" s="2" t="s">
        <v>33</v>
      </c>
      <c r="D70" s="2" t="s">
        <v>115</v>
      </c>
      <c r="E70" s="2">
        <v>6</v>
      </c>
      <c r="F70" s="197"/>
      <c r="G70" s="2">
        <v>21</v>
      </c>
      <c r="H70" s="2">
        <v>181400</v>
      </c>
      <c r="I70" s="2">
        <v>7035700</v>
      </c>
      <c r="J70" s="2">
        <v>2.5782793467599999E-2</v>
      </c>
      <c r="K70" s="2">
        <v>29512900</v>
      </c>
      <c r="L70" s="2">
        <v>15792900</v>
      </c>
      <c r="M70" s="2">
        <v>1.86874481571</v>
      </c>
      <c r="N70" s="2">
        <v>1907500</v>
      </c>
      <c r="O70" s="2">
        <v>2962440</v>
      </c>
      <c r="P70" s="2">
        <v>0.64389489744899997</v>
      </c>
      <c r="Q70" s="217">
        <f t="shared" si="1"/>
        <v>25791040</v>
      </c>
      <c r="R70" s="2">
        <v>31602100</v>
      </c>
      <c r="S70" s="2">
        <v>25994200</v>
      </c>
      <c r="T70" s="2">
        <v>1.2157365873899999</v>
      </c>
      <c r="U70" s="2">
        <v>11</v>
      </c>
      <c r="V70" s="2">
        <v>0</v>
      </c>
      <c r="W70" s="2">
        <v>1</v>
      </c>
      <c r="X70" s="2">
        <v>3</v>
      </c>
      <c r="Y70" s="2">
        <v>4</v>
      </c>
      <c r="Z70" s="2">
        <v>0</v>
      </c>
      <c r="AA70" s="2">
        <v>1</v>
      </c>
      <c r="AB70" s="2">
        <v>1</v>
      </c>
      <c r="AC70" s="2" t="s">
        <v>1344</v>
      </c>
    </row>
    <row r="71" spans="1:29" x14ac:dyDescent="0.25">
      <c r="A71" s="2">
        <v>540055</v>
      </c>
      <c r="B71" s="2" t="s">
        <v>153</v>
      </c>
      <c r="C71" s="2" t="s">
        <v>33</v>
      </c>
      <c r="D71" s="2" t="s">
        <v>115</v>
      </c>
      <c r="E71" s="2">
        <v>6</v>
      </c>
      <c r="F71" s="197"/>
      <c r="G71" s="2">
        <v>97</v>
      </c>
      <c r="H71" s="2">
        <v>4978300</v>
      </c>
      <c r="I71" s="2">
        <v>564901300</v>
      </c>
      <c r="J71" s="2">
        <v>8.8126899336199993E-3</v>
      </c>
      <c r="K71" s="2">
        <v>17833900</v>
      </c>
      <c r="L71" s="2">
        <v>595993300</v>
      </c>
      <c r="M71" s="2">
        <v>2.99229873893E-2</v>
      </c>
      <c r="N71" s="2">
        <v>481590</v>
      </c>
      <c r="O71" s="2">
        <v>30793740</v>
      </c>
      <c r="P71" s="2">
        <v>1.5639217581200002E-2</v>
      </c>
      <c r="Q71" s="217">
        <f t="shared" si="1"/>
        <v>1191688340</v>
      </c>
      <c r="R71" s="2">
        <v>23294200</v>
      </c>
      <c r="S71" s="2">
        <v>1200009322</v>
      </c>
      <c r="T71" s="2">
        <v>1.94116825369E-2</v>
      </c>
      <c r="U71" s="2">
        <v>66</v>
      </c>
      <c r="V71" s="2">
        <v>3</v>
      </c>
      <c r="W71" s="2">
        <v>0</v>
      </c>
      <c r="X71" s="2">
        <v>23</v>
      </c>
      <c r="Y71" s="2">
        <v>0</v>
      </c>
      <c r="Z71" s="2">
        <v>0</v>
      </c>
      <c r="AA71" s="2">
        <v>5</v>
      </c>
      <c r="AB71" s="2">
        <v>0</v>
      </c>
      <c r="AC71" s="2" t="s">
        <v>1344</v>
      </c>
    </row>
    <row r="72" spans="1:29" x14ac:dyDescent="0.25">
      <c r="A72" s="2">
        <v>540056</v>
      </c>
      <c r="B72" s="2" t="s">
        <v>154</v>
      </c>
      <c r="C72" s="2" t="s">
        <v>33</v>
      </c>
      <c r="D72" s="2" t="s">
        <v>115</v>
      </c>
      <c r="E72" s="2">
        <v>6</v>
      </c>
      <c r="F72" s="197"/>
      <c r="G72" s="2">
        <v>291</v>
      </c>
      <c r="H72" s="2">
        <v>9520600</v>
      </c>
      <c r="I72" s="2">
        <v>368094200</v>
      </c>
      <c r="J72" s="2">
        <v>2.58645748833E-2</v>
      </c>
      <c r="K72" s="2">
        <v>2764200</v>
      </c>
      <c r="L72" s="2">
        <v>688126600</v>
      </c>
      <c r="M72" s="2">
        <v>4.0169933846500002E-3</v>
      </c>
      <c r="N72" s="2">
        <v>680400</v>
      </c>
      <c r="O72" s="2">
        <v>51122400</v>
      </c>
      <c r="P72" s="2">
        <v>1.33092343082E-2</v>
      </c>
      <c r="Q72" s="217">
        <f t="shared" si="1"/>
        <v>1107343200</v>
      </c>
      <c r="R72" s="2">
        <v>12952000</v>
      </c>
      <c r="S72" s="2">
        <v>1105683400</v>
      </c>
      <c r="T72" s="2">
        <v>1.17140222961E-2</v>
      </c>
      <c r="U72" s="2">
        <v>240</v>
      </c>
      <c r="V72" s="2">
        <v>1</v>
      </c>
      <c r="W72" s="2">
        <v>0</v>
      </c>
      <c r="X72" s="2">
        <v>40</v>
      </c>
      <c r="Y72" s="2">
        <v>0</v>
      </c>
      <c r="Z72" s="2">
        <v>0</v>
      </c>
      <c r="AA72" s="2">
        <v>9</v>
      </c>
      <c r="AB72" s="2">
        <v>1</v>
      </c>
      <c r="AC72" s="2" t="s">
        <v>1344</v>
      </c>
    </row>
    <row r="73" spans="1:29" x14ac:dyDescent="0.25">
      <c r="A73" s="2">
        <v>540057</v>
      </c>
      <c r="B73" s="2" t="s">
        <v>155</v>
      </c>
      <c r="C73" s="2" t="s">
        <v>33</v>
      </c>
      <c r="D73" s="2" t="s">
        <v>115</v>
      </c>
      <c r="E73" s="2">
        <v>6</v>
      </c>
      <c r="F73" s="197"/>
      <c r="G73" s="2">
        <v>78</v>
      </c>
      <c r="H73" s="2">
        <v>1364500</v>
      </c>
      <c r="I73" s="2">
        <v>7503000</v>
      </c>
      <c r="J73" s="2">
        <v>0.18186058909799999</v>
      </c>
      <c r="K73" s="2">
        <v>2287600</v>
      </c>
      <c r="L73" s="2">
        <v>7312300</v>
      </c>
      <c r="M73" s="2">
        <v>0.312842744417</v>
      </c>
      <c r="N73" s="2">
        <v>603650</v>
      </c>
      <c r="O73" s="2">
        <v>1627770</v>
      </c>
      <c r="P73" s="2">
        <v>0.37084477536799998</v>
      </c>
      <c r="Q73" s="217">
        <f t="shared" si="1"/>
        <v>16443070</v>
      </c>
      <c r="R73" s="2">
        <v>4282400</v>
      </c>
      <c r="S73" s="2">
        <v>16467400</v>
      </c>
      <c r="T73" s="2">
        <v>0.260053196012</v>
      </c>
      <c r="U73" s="2">
        <v>51</v>
      </c>
      <c r="V73" s="2">
        <v>0</v>
      </c>
      <c r="W73" s="2">
        <v>1</v>
      </c>
      <c r="X73" s="2">
        <v>16</v>
      </c>
      <c r="Y73" s="2">
        <v>0</v>
      </c>
      <c r="Z73" s="2">
        <v>0</v>
      </c>
      <c r="AA73" s="2">
        <v>10</v>
      </c>
      <c r="AB73" s="2">
        <v>0</v>
      </c>
      <c r="AC73" s="2" t="s">
        <v>1344</v>
      </c>
    </row>
    <row r="74" spans="1:29" x14ac:dyDescent="0.25">
      <c r="A74" s="2">
        <v>540058</v>
      </c>
      <c r="B74" s="2" t="s">
        <v>156</v>
      </c>
      <c r="C74" s="2" t="s">
        <v>33</v>
      </c>
      <c r="D74" s="2" t="s">
        <v>115</v>
      </c>
      <c r="E74" s="2">
        <v>6</v>
      </c>
      <c r="F74" s="197"/>
      <c r="G74" s="2">
        <v>44</v>
      </c>
      <c r="H74" s="2">
        <v>755900</v>
      </c>
      <c r="I74" s="2">
        <v>15172700</v>
      </c>
      <c r="J74" s="2">
        <v>4.9819742036699997E-2</v>
      </c>
      <c r="K74" s="2">
        <v>279400</v>
      </c>
      <c r="L74" s="2">
        <v>12576700</v>
      </c>
      <c r="M74" s="2">
        <v>2.2215684559500001E-2</v>
      </c>
      <c r="N74" s="2">
        <v>440930</v>
      </c>
      <c r="O74" s="2">
        <v>3916460</v>
      </c>
      <c r="P74" s="2">
        <v>0.112583812933</v>
      </c>
      <c r="Q74" s="217">
        <f t="shared" si="1"/>
        <v>31665860</v>
      </c>
      <c r="R74" s="2">
        <v>1477700</v>
      </c>
      <c r="S74" s="2">
        <v>31671800</v>
      </c>
      <c r="T74" s="2">
        <v>4.6656647238199997E-2</v>
      </c>
      <c r="U74" s="2">
        <v>35</v>
      </c>
      <c r="V74" s="2">
        <v>0</v>
      </c>
      <c r="W74" s="2">
        <v>0</v>
      </c>
      <c r="X74" s="2">
        <v>7</v>
      </c>
      <c r="Y74" s="2">
        <v>0</v>
      </c>
      <c r="Z74" s="2">
        <v>0</v>
      </c>
      <c r="AA74" s="2">
        <v>2</v>
      </c>
      <c r="AB74" s="2">
        <v>0</v>
      </c>
      <c r="AC74" s="2" t="s">
        <v>1344</v>
      </c>
    </row>
    <row r="75" spans="1:29" x14ac:dyDescent="0.25">
      <c r="A75" s="2">
        <v>540059</v>
      </c>
      <c r="B75" s="2" t="s">
        <v>157</v>
      </c>
      <c r="C75" s="2" t="s">
        <v>33</v>
      </c>
      <c r="D75" s="2" t="s">
        <v>115</v>
      </c>
      <c r="E75" s="2">
        <v>6</v>
      </c>
      <c r="F75" s="197"/>
      <c r="G75" s="2">
        <v>41</v>
      </c>
      <c r="H75" s="2">
        <v>596600</v>
      </c>
      <c r="I75" s="2">
        <v>37869400</v>
      </c>
      <c r="J75" s="2">
        <v>1.5754144507199998E-2</v>
      </c>
      <c r="K75" s="2">
        <v>1820500</v>
      </c>
      <c r="L75" s="2">
        <v>22167600</v>
      </c>
      <c r="M75" s="2">
        <v>8.2124361680999999E-2</v>
      </c>
      <c r="N75" s="2">
        <v>513140</v>
      </c>
      <c r="O75" s="2">
        <v>4584540</v>
      </c>
      <c r="P75" s="2">
        <v>0.1119283505</v>
      </c>
      <c r="Q75" s="217">
        <f t="shared" si="1"/>
        <v>64621540</v>
      </c>
      <c r="R75" s="2">
        <v>2930300</v>
      </c>
      <c r="S75" s="2">
        <v>64628100</v>
      </c>
      <c r="T75" s="2">
        <v>4.5340958499499998E-2</v>
      </c>
      <c r="U75" s="2">
        <v>19</v>
      </c>
      <c r="V75" s="2">
        <v>0</v>
      </c>
      <c r="W75" s="2">
        <v>0</v>
      </c>
      <c r="X75" s="2">
        <v>19</v>
      </c>
      <c r="Y75" s="2">
        <v>0</v>
      </c>
      <c r="Z75" s="2">
        <v>0</v>
      </c>
      <c r="AA75" s="2">
        <v>3</v>
      </c>
      <c r="AB75" s="2">
        <v>0</v>
      </c>
      <c r="AC75" s="2" t="s">
        <v>1344</v>
      </c>
    </row>
    <row r="76" spans="1:29" x14ac:dyDescent="0.25">
      <c r="A76" s="2">
        <v>540060</v>
      </c>
      <c r="B76" s="2" t="s">
        <v>158</v>
      </c>
      <c r="C76" s="2" t="s">
        <v>33</v>
      </c>
      <c r="D76" s="2" t="s">
        <v>115</v>
      </c>
      <c r="E76" s="2">
        <v>6</v>
      </c>
      <c r="F76" s="197"/>
      <c r="G76" s="2">
        <v>67</v>
      </c>
      <c r="H76" s="2">
        <v>1018000</v>
      </c>
      <c r="I76" s="2">
        <v>53198200</v>
      </c>
      <c r="J76" s="2">
        <v>1.9135985804E-2</v>
      </c>
      <c r="K76" s="2">
        <v>534000</v>
      </c>
      <c r="L76" s="2">
        <v>29277500</v>
      </c>
      <c r="M76" s="2">
        <v>1.8239262232100002E-2</v>
      </c>
      <c r="N76" s="2">
        <v>2072370</v>
      </c>
      <c r="O76" s="2">
        <v>7097220</v>
      </c>
      <c r="P76" s="2">
        <v>0.29199742998</v>
      </c>
      <c r="Q76" s="217">
        <f t="shared" si="1"/>
        <v>89572920</v>
      </c>
      <c r="R76" s="2">
        <v>3624400</v>
      </c>
      <c r="S76" s="2">
        <v>87510800</v>
      </c>
      <c r="T76" s="2">
        <v>4.1416602293699999E-2</v>
      </c>
      <c r="U76" s="2">
        <v>34</v>
      </c>
      <c r="V76" s="2">
        <v>0</v>
      </c>
      <c r="W76" s="2">
        <v>0</v>
      </c>
      <c r="X76" s="2">
        <v>23</v>
      </c>
      <c r="Y76" s="2">
        <v>0</v>
      </c>
      <c r="Z76" s="2">
        <v>0</v>
      </c>
      <c r="AA76" s="2">
        <v>10</v>
      </c>
      <c r="AB76" s="2">
        <v>0</v>
      </c>
      <c r="AC76" s="2" t="s">
        <v>1344</v>
      </c>
    </row>
    <row r="77" spans="1:29" x14ac:dyDescent="0.25">
      <c r="A77" s="2">
        <v>540061</v>
      </c>
      <c r="B77" s="2" t="s">
        <v>159</v>
      </c>
      <c r="C77" s="2" t="s">
        <v>33</v>
      </c>
      <c r="D77" s="2" t="s">
        <v>115</v>
      </c>
      <c r="E77" s="2">
        <v>6</v>
      </c>
      <c r="F77" s="197"/>
      <c r="G77" s="2">
        <v>16</v>
      </c>
      <c r="H77" s="2">
        <v>60500</v>
      </c>
      <c r="I77" s="2">
        <v>44115300</v>
      </c>
      <c r="J77" s="2">
        <v>1.3714062921500001E-3</v>
      </c>
      <c r="K77" s="2">
        <v>1518500</v>
      </c>
      <c r="L77" s="2">
        <v>7981300</v>
      </c>
      <c r="M77" s="2">
        <v>0.190257226266</v>
      </c>
      <c r="N77" s="2">
        <v>45330</v>
      </c>
      <c r="O77" s="2">
        <v>7788100</v>
      </c>
      <c r="P77" s="2">
        <v>5.82041833053E-3</v>
      </c>
      <c r="Q77" s="217">
        <f t="shared" si="1"/>
        <v>59884700</v>
      </c>
      <c r="R77" s="2">
        <v>1624300</v>
      </c>
      <c r="S77" s="2">
        <v>59938500</v>
      </c>
      <c r="T77" s="2">
        <v>2.70994435964E-2</v>
      </c>
      <c r="U77" s="2">
        <v>2</v>
      </c>
      <c r="V77" s="2">
        <v>0</v>
      </c>
      <c r="W77" s="2">
        <v>1</v>
      </c>
      <c r="X77" s="2">
        <v>7</v>
      </c>
      <c r="Y77" s="2">
        <v>0</v>
      </c>
      <c r="Z77" s="2">
        <v>0</v>
      </c>
      <c r="AA77" s="2">
        <v>6</v>
      </c>
      <c r="AB77" s="2">
        <v>0</v>
      </c>
      <c r="AC77" s="2" t="s">
        <v>1344</v>
      </c>
    </row>
    <row r="78" spans="1:29" x14ac:dyDescent="0.25">
      <c r="A78" s="2">
        <v>540062</v>
      </c>
      <c r="B78" s="2" t="s">
        <v>160</v>
      </c>
      <c r="C78" s="2" t="s">
        <v>33</v>
      </c>
      <c r="D78" s="2" t="s">
        <v>115</v>
      </c>
      <c r="E78" s="2">
        <v>6</v>
      </c>
      <c r="F78" s="197"/>
      <c r="G78" s="2">
        <v>0</v>
      </c>
      <c r="H78" s="2">
        <v>0</v>
      </c>
      <c r="I78" s="2">
        <v>13497500</v>
      </c>
      <c r="J78" s="2">
        <v>0</v>
      </c>
      <c r="K78" s="2">
        <v>0</v>
      </c>
      <c r="L78" s="2">
        <v>5745300</v>
      </c>
      <c r="M78" s="2">
        <v>0</v>
      </c>
      <c r="N78" s="2">
        <v>0</v>
      </c>
      <c r="O78" s="2">
        <v>1376710</v>
      </c>
      <c r="P78" s="2">
        <v>0</v>
      </c>
      <c r="Q78" s="217">
        <f t="shared" si="1"/>
        <v>20619510</v>
      </c>
      <c r="R78" s="2">
        <v>0</v>
      </c>
      <c r="S78" s="2">
        <v>20621100</v>
      </c>
      <c r="T78" s="2">
        <v>0</v>
      </c>
      <c r="U78" s="2">
        <v>0</v>
      </c>
      <c r="V78" s="2">
        <v>0</v>
      </c>
      <c r="W78" s="2">
        <v>0</v>
      </c>
      <c r="X78" s="2">
        <v>0</v>
      </c>
      <c r="Y78" s="2">
        <v>0</v>
      </c>
      <c r="Z78" s="2">
        <v>0</v>
      </c>
      <c r="AA78" s="2">
        <v>0</v>
      </c>
      <c r="AB78" s="2">
        <v>0</v>
      </c>
      <c r="AC78" s="2" t="s">
        <v>1344</v>
      </c>
    </row>
    <row r="79" spans="1:29" x14ac:dyDescent="0.25">
      <c r="A79" s="2">
        <v>540242</v>
      </c>
      <c r="B79" s="2" t="s">
        <v>289</v>
      </c>
      <c r="C79" s="2" t="s">
        <v>33</v>
      </c>
      <c r="D79" s="2" t="s">
        <v>115</v>
      </c>
      <c r="E79" s="2">
        <v>6</v>
      </c>
      <c r="F79" s="197"/>
      <c r="G79" s="2">
        <v>156</v>
      </c>
      <c r="H79" s="2">
        <v>3901800</v>
      </c>
      <c r="I79" s="2">
        <v>18686400</v>
      </c>
      <c r="J79" s="2">
        <v>0.20880426406399999</v>
      </c>
      <c r="K79" s="2">
        <v>17631100</v>
      </c>
      <c r="L79" s="2">
        <v>47145200</v>
      </c>
      <c r="M79" s="2">
        <v>0.37397444490600001</v>
      </c>
      <c r="N79" s="2">
        <v>947500</v>
      </c>
      <c r="O79" s="2">
        <v>5351930</v>
      </c>
      <c r="P79" s="2">
        <v>0.17703893735500001</v>
      </c>
      <c r="Q79" s="217">
        <f t="shared" si="1"/>
        <v>71183530</v>
      </c>
      <c r="R79" s="2">
        <v>22481600</v>
      </c>
      <c r="S79" s="2">
        <v>71521700</v>
      </c>
      <c r="T79" s="2">
        <v>0.314332573191</v>
      </c>
      <c r="U79" s="2">
        <v>115</v>
      </c>
      <c r="V79" s="2">
        <v>0</v>
      </c>
      <c r="W79" s="2">
        <v>0</v>
      </c>
      <c r="X79" s="2">
        <v>22</v>
      </c>
      <c r="Y79" s="2">
        <v>0</v>
      </c>
      <c r="Z79" s="2">
        <v>0</v>
      </c>
      <c r="AA79" s="2">
        <v>17</v>
      </c>
      <c r="AB79" s="2">
        <v>2</v>
      </c>
      <c r="AC79" s="2" t="s">
        <v>1344</v>
      </c>
    </row>
    <row r="80" spans="1:29" x14ac:dyDescent="0.25">
      <c r="A80" s="2"/>
      <c r="B80" s="2"/>
      <c r="C80" s="2" t="s">
        <v>33</v>
      </c>
      <c r="D80" s="2"/>
      <c r="E80" s="2"/>
      <c r="F80" s="197"/>
      <c r="G80" s="2">
        <v>2060</v>
      </c>
      <c r="H80" s="2">
        <v>55429000</v>
      </c>
      <c r="I80" s="2">
        <v>2046930200</v>
      </c>
      <c r="J80" s="2">
        <v>2.7079086526699998E-2</v>
      </c>
      <c r="K80" s="2">
        <v>90096500</v>
      </c>
      <c r="L80" s="2">
        <v>1620255200</v>
      </c>
      <c r="M80" s="2">
        <v>5.5606363738300003E-2</v>
      </c>
      <c r="N80" s="2">
        <v>21012150</v>
      </c>
      <c r="O80" s="2">
        <v>255011310</v>
      </c>
      <c r="P80" s="2">
        <v>8.2396933688899998E-2</v>
      </c>
      <c r="Q80" s="217">
        <f t="shared" si="1"/>
        <v>3922196710</v>
      </c>
      <c r="R80" s="2">
        <v>249475600</v>
      </c>
      <c r="S80" s="2">
        <v>4080743722</v>
      </c>
      <c r="T80" s="2">
        <v>6.1134836440500002E-2</v>
      </c>
      <c r="U80" s="2">
        <v>1300</v>
      </c>
      <c r="V80" s="2">
        <v>4</v>
      </c>
      <c r="W80" s="2">
        <v>304</v>
      </c>
      <c r="X80" s="2">
        <v>316</v>
      </c>
      <c r="Y80" s="2">
        <v>6</v>
      </c>
      <c r="Z80" s="2">
        <v>1</v>
      </c>
      <c r="AA80" s="2">
        <v>104</v>
      </c>
      <c r="AB80" s="2">
        <v>25</v>
      </c>
      <c r="AC80" s="2" t="s">
        <v>1344</v>
      </c>
    </row>
    <row r="81" spans="1:29" x14ac:dyDescent="0.25">
      <c r="A81" s="1">
        <v>540063</v>
      </c>
      <c r="B81" s="1" t="s">
        <v>34</v>
      </c>
      <c r="C81" s="1" t="s">
        <v>35</v>
      </c>
      <c r="D81" s="1" t="s">
        <v>5</v>
      </c>
      <c r="E81" s="1">
        <v>5</v>
      </c>
      <c r="F81" s="215"/>
      <c r="G81" s="1">
        <v>888</v>
      </c>
      <c r="H81" s="1">
        <v>27337500</v>
      </c>
      <c r="I81" s="1">
        <v>590703600</v>
      </c>
      <c r="J81" s="1">
        <v>4.6279555431900002E-2</v>
      </c>
      <c r="K81" s="1">
        <v>35758500</v>
      </c>
      <c r="L81" s="1">
        <v>276913600</v>
      </c>
      <c r="M81" s="1">
        <v>0.12913233586199999</v>
      </c>
      <c r="N81" s="1">
        <v>13242390</v>
      </c>
      <c r="O81" s="1">
        <v>170913850</v>
      </c>
      <c r="P81" s="1">
        <v>7.7479911663100004E-2</v>
      </c>
      <c r="Q81" s="216">
        <f t="shared" si="1"/>
        <v>1038531050</v>
      </c>
      <c r="R81" s="1">
        <v>80326300</v>
      </c>
      <c r="S81" s="1">
        <v>1058442900</v>
      </c>
      <c r="T81" s="1">
        <v>7.5891009330799994E-2</v>
      </c>
      <c r="U81" s="1">
        <v>496</v>
      </c>
      <c r="V81" s="1">
        <v>0</v>
      </c>
      <c r="W81" s="1">
        <v>235</v>
      </c>
      <c r="X81" s="1">
        <v>125</v>
      </c>
      <c r="Y81" s="1">
        <v>2</v>
      </c>
      <c r="Z81" s="1">
        <v>1</v>
      </c>
      <c r="AA81" s="1">
        <v>0</v>
      </c>
      <c r="AB81" s="1">
        <v>29</v>
      </c>
      <c r="AC81" s="1" t="s">
        <v>1344</v>
      </c>
    </row>
    <row r="82" spans="1:29" x14ac:dyDescent="0.25">
      <c r="A82" s="2">
        <v>540064</v>
      </c>
      <c r="B82" s="2" t="s">
        <v>161</v>
      </c>
      <c r="C82" s="2" t="s">
        <v>35</v>
      </c>
      <c r="D82" s="2" t="s">
        <v>115</v>
      </c>
      <c r="E82" s="2">
        <v>5</v>
      </c>
      <c r="F82" s="197"/>
      <c r="G82" s="2">
        <v>14</v>
      </c>
      <c r="H82" s="2">
        <v>0</v>
      </c>
      <c r="I82" s="2">
        <v>79932700</v>
      </c>
      <c r="J82" s="2">
        <v>0</v>
      </c>
      <c r="K82" s="2">
        <v>170600</v>
      </c>
      <c r="L82" s="2">
        <v>97740700</v>
      </c>
      <c r="M82" s="2">
        <v>1.7454346040099999E-3</v>
      </c>
      <c r="N82" s="2">
        <v>160210</v>
      </c>
      <c r="O82" s="2">
        <v>10292990</v>
      </c>
      <c r="P82" s="2">
        <v>1.5564962173299999E-2</v>
      </c>
      <c r="Q82" s="217">
        <f t="shared" si="1"/>
        <v>187966390</v>
      </c>
      <c r="R82" s="2">
        <v>605800</v>
      </c>
      <c r="S82" s="2">
        <v>196522100</v>
      </c>
      <c r="T82" s="2">
        <v>3.0826049589300001E-3</v>
      </c>
      <c r="U82" s="2">
        <v>1</v>
      </c>
      <c r="V82" s="2">
        <v>0</v>
      </c>
      <c r="W82" s="2">
        <v>0</v>
      </c>
      <c r="X82" s="2">
        <v>13</v>
      </c>
      <c r="Y82" s="2">
        <v>0</v>
      </c>
      <c r="Z82" s="2">
        <v>0</v>
      </c>
      <c r="AA82" s="2">
        <v>0</v>
      </c>
      <c r="AB82" s="2">
        <v>0</v>
      </c>
      <c r="AC82" s="2" t="s">
        <v>1344</v>
      </c>
    </row>
    <row r="83" spans="1:29" x14ac:dyDescent="0.25">
      <c r="A83" s="2">
        <v>540241</v>
      </c>
      <c r="B83" s="2" t="s">
        <v>288</v>
      </c>
      <c r="C83" s="2" t="s">
        <v>35</v>
      </c>
      <c r="D83" s="2" t="s">
        <v>115</v>
      </c>
      <c r="E83" s="2">
        <v>5</v>
      </c>
      <c r="F83" s="197"/>
      <c r="G83" s="2">
        <v>142</v>
      </c>
      <c r="H83" s="2">
        <v>5222300</v>
      </c>
      <c r="I83" s="2">
        <v>89060100</v>
      </c>
      <c r="J83" s="2">
        <v>5.8637931015100002E-2</v>
      </c>
      <c r="K83" s="2">
        <v>1190000</v>
      </c>
      <c r="L83" s="2">
        <v>53914100</v>
      </c>
      <c r="M83" s="2">
        <v>2.2072148102300002E-2</v>
      </c>
      <c r="N83" s="2">
        <v>278680</v>
      </c>
      <c r="O83" s="2">
        <v>5591900</v>
      </c>
      <c r="P83" s="2">
        <v>4.9836370464400002E-2</v>
      </c>
      <c r="Q83" s="217">
        <f t="shared" si="1"/>
        <v>148566100</v>
      </c>
      <c r="R83" s="2">
        <v>13358400</v>
      </c>
      <c r="S83" s="2">
        <v>150467700</v>
      </c>
      <c r="T83" s="2">
        <v>8.8779186496500004E-2</v>
      </c>
      <c r="U83" s="2">
        <v>33</v>
      </c>
      <c r="V83" s="2">
        <v>0</v>
      </c>
      <c r="W83" s="2">
        <v>0</v>
      </c>
      <c r="X83" s="2">
        <v>106</v>
      </c>
      <c r="Y83" s="2">
        <v>0</v>
      </c>
      <c r="Z83" s="2">
        <v>0</v>
      </c>
      <c r="AA83" s="2">
        <v>0</v>
      </c>
      <c r="AB83" s="2">
        <v>3</v>
      </c>
      <c r="AC83" s="2" t="s">
        <v>1344</v>
      </c>
    </row>
    <row r="84" spans="1:29" x14ac:dyDescent="0.25">
      <c r="A84" s="2"/>
      <c r="B84" s="2"/>
      <c r="C84" s="2" t="s">
        <v>35</v>
      </c>
      <c r="D84" s="2"/>
      <c r="E84" s="2"/>
      <c r="F84" s="197"/>
      <c r="G84" s="2">
        <v>1044</v>
      </c>
      <c r="H84" s="2">
        <v>32559800</v>
      </c>
      <c r="I84" s="2">
        <v>759696400</v>
      </c>
      <c r="J84" s="2">
        <v>4.28589631332E-2</v>
      </c>
      <c r="K84" s="2">
        <v>37119100</v>
      </c>
      <c r="L84" s="2">
        <v>428568400</v>
      </c>
      <c r="M84" s="2">
        <v>8.6611845390399997E-2</v>
      </c>
      <c r="N84" s="2">
        <v>13681280</v>
      </c>
      <c r="O84" s="2">
        <v>186798740</v>
      </c>
      <c r="P84" s="2">
        <v>7.32407509815E-2</v>
      </c>
      <c r="Q84" s="217">
        <f t="shared" si="1"/>
        <v>1375063540</v>
      </c>
      <c r="R84" s="2">
        <v>94290500</v>
      </c>
      <c r="S84" s="2">
        <v>1405432700</v>
      </c>
      <c r="T84" s="2">
        <v>6.7090014342199994E-2</v>
      </c>
      <c r="U84" s="2">
        <v>530</v>
      </c>
      <c r="V84" s="2">
        <v>0</v>
      </c>
      <c r="W84" s="2">
        <v>235</v>
      </c>
      <c r="X84" s="2">
        <v>244</v>
      </c>
      <c r="Y84" s="2">
        <v>2</v>
      </c>
      <c r="Z84" s="2">
        <v>1</v>
      </c>
      <c r="AA84" s="2">
        <v>0</v>
      </c>
      <c r="AB84" s="2">
        <v>32</v>
      </c>
      <c r="AC84" s="2" t="s">
        <v>1344</v>
      </c>
    </row>
    <row r="85" spans="1:29" x14ac:dyDescent="0.25">
      <c r="A85" s="1">
        <v>540065</v>
      </c>
      <c r="B85" s="1" t="s">
        <v>36</v>
      </c>
      <c r="C85" s="1" t="s">
        <v>37</v>
      </c>
      <c r="D85" s="1" t="s">
        <v>5</v>
      </c>
      <c r="E85" s="1">
        <v>9</v>
      </c>
      <c r="F85" s="215"/>
      <c r="G85" s="1">
        <v>523</v>
      </c>
      <c r="H85" s="1">
        <v>0</v>
      </c>
      <c r="I85" s="1">
        <v>2271778700</v>
      </c>
      <c r="J85" s="1">
        <v>0</v>
      </c>
      <c r="K85" s="1">
        <v>0</v>
      </c>
      <c r="L85" s="1">
        <v>378346900</v>
      </c>
      <c r="M85" s="1">
        <v>0</v>
      </c>
      <c r="N85" s="1">
        <v>0</v>
      </c>
      <c r="O85" s="1">
        <v>210444450</v>
      </c>
      <c r="P85" s="1">
        <v>0</v>
      </c>
      <c r="Q85" s="216">
        <f t="shared" si="1"/>
        <v>2860570050</v>
      </c>
      <c r="R85" s="1">
        <v>0</v>
      </c>
      <c r="S85" s="1">
        <v>2964853200</v>
      </c>
      <c r="T85" s="1">
        <v>0</v>
      </c>
      <c r="U85" s="1">
        <v>0</v>
      </c>
      <c r="V85" s="1">
        <v>0</v>
      </c>
      <c r="W85" s="1">
        <v>0</v>
      </c>
      <c r="X85" s="1">
        <v>0</v>
      </c>
      <c r="Y85" s="1">
        <v>0</v>
      </c>
      <c r="Z85" s="1">
        <v>0</v>
      </c>
      <c r="AA85" s="1">
        <v>0</v>
      </c>
      <c r="AB85" s="1">
        <v>523</v>
      </c>
      <c r="AC85" s="1" t="s">
        <v>1345</v>
      </c>
    </row>
    <row r="86" spans="1:29" x14ac:dyDescent="0.25">
      <c r="A86" s="2">
        <v>540030</v>
      </c>
      <c r="B86" s="2" t="s">
        <v>135</v>
      </c>
      <c r="C86" s="2" t="s">
        <v>37</v>
      </c>
      <c r="D86" s="2" t="s">
        <v>115</v>
      </c>
      <c r="E86" s="2">
        <v>9</v>
      </c>
      <c r="F86" s="197"/>
      <c r="G86" s="2">
        <v>3</v>
      </c>
      <c r="H86" s="2">
        <v>0</v>
      </c>
      <c r="I86" s="2">
        <v>45807600</v>
      </c>
      <c r="J86" s="2">
        <v>0</v>
      </c>
      <c r="K86" s="2">
        <v>0</v>
      </c>
      <c r="L86" s="2">
        <v>5076400</v>
      </c>
      <c r="M86" s="2">
        <v>0</v>
      </c>
      <c r="N86" s="2">
        <v>0</v>
      </c>
      <c r="O86" s="2">
        <v>4214600</v>
      </c>
      <c r="P86" s="2">
        <v>0</v>
      </c>
      <c r="Q86" s="217">
        <f t="shared" si="1"/>
        <v>55098600</v>
      </c>
      <c r="R86" s="2">
        <v>0</v>
      </c>
      <c r="S86" s="2">
        <v>55235400</v>
      </c>
      <c r="T86" s="2">
        <v>0</v>
      </c>
      <c r="U86" s="2">
        <v>0</v>
      </c>
      <c r="V86" s="2">
        <v>0</v>
      </c>
      <c r="W86" s="2">
        <v>0</v>
      </c>
      <c r="X86" s="2">
        <v>0</v>
      </c>
      <c r="Y86" s="2">
        <v>0</v>
      </c>
      <c r="Z86" s="2">
        <v>0</v>
      </c>
      <c r="AA86" s="2">
        <v>0</v>
      </c>
      <c r="AB86" s="2">
        <v>3</v>
      </c>
      <c r="AC86" s="2" t="s">
        <v>1345</v>
      </c>
    </row>
    <row r="87" spans="1:29" x14ac:dyDescent="0.25">
      <c r="A87" s="2">
        <v>540066</v>
      </c>
      <c r="B87" s="2" t="s">
        <v>162</v>
      </c>
      <c r="C87" s="2" t="s">
        <v>37</v>
      </c>
      <c r="D87" s="2" t="s">
        <v>115</v>
      </c>
      <c r="E87" s="2">
        <v>9</v>
      </c>
      <c r="F87" s="197"/>
      <c r="G87" s="2">
        <v>26</v>
      </c>
      <c r="H87" s="2">
        <v>0</v>
      </c>
      <c r="I87" s="2">
        <v>331141700</v>
      </c>
      <c r="J87" s="2">
        <v>0</v>
      </c>
      <c r="K87" s="2">
        <v>0</v>
      </c>
      <c r="L87" s="2">
        <v>77034500</v>
      </c>
      <c r="M87" s="2">
        <v>0</v>
      </c>
      <c r="N87" s="2">
        <v>0</v>
      </c>
      <c r="O87" s="2">
        <v>47496740</v>
      </c>
      <c r="P87" s="2">
        <v>0</v>
      </c>
      <c r="Q87" s="217">
        <f t="shared" si="1"/>
        <v>455672940</v>
      </c>
      <c r="R87" s="2">
        <v>0</v>
      </c>
      <c r="S87" s="2">
        <v>503758900</v>
      </c>
      <c r="T87" s="2">
        <v>0</v>
      </c>
      <c r="U87" s="2">
        <v>0</v>
      </c>
      <c r="V87" s="2">
        <v>0</v>
      </c>
      <c r="W87" s="2">
        <v>0</v>
      </c>
      <c r="X87" s="2">
        <v>0</v>
      </c>
      <c r="Y87" s="2">
        <v>0</v>
      </c>
      <c r="Z87" s="2">
        <v>0</v>
      </c>
      <c r="AA87" s="2">
        <v>0</v>
      </c>
      <c r="AB87" s="2">
        <v>26</v>
      </c>
      <c r="AC87" s="2" t="s">
        <v>1345</v>
      </c>
    </row>
    <row r="88" spans="1:29" x14ac:dyDescent="0.25">
      <c r="A88" s="2">
        <v>540067</v>
      </c>
      <c r="B88" s="2" t="s">
        <v>163</v>
      </c>
      <c r="C88" s="2" t="s">
        <v>37</v>
      </c>
      <c r="D88" s="2" t="s">
        <v>115</v>
      </c>
      <c r="E88" s="2">
        <v>9</v>
      </c>
      <c r="F88" s="197"/>
      <c r="G88" s="2">
        <v>31</v>
      </c>
      <c r="H88" s="2">
        <v>0</v>
      </c>
      <c r="I88" s="2">
        <v>32902300</v>
      </c>
      <c r="J88" s="2">
        <v>0</v>
      </c>
      <c r="K88" s="2">
        <v>0</v>
      </c>
      <c r="L88" s="2">
        <v>4469600</v>
      </c>
      <c r="M88" s="2">
        <v>0</v>
      </c>
      <c r="N88" s="2">
        <v>0</v>
      </c>
      <c r="O88" s="2">
        <v>12431180</v>
      </c>
      <c r="P88" s="2">
        <v>0</v>
      </c>
      <c r="Q88" s="217">
        <f t="shared" si="1"/>
        <v>49803080</v>
      </c>
      <c r="R88" s="2">
        <v>0</v>
      </c>
      <c r="S88" s="2">
        <v>50538700</v>
      </c>
      <c r="T88" s="2">
        <v>0</v>
      </c>
      <c r="U88" s="2">
        <v>0</v>
      </c>
      <c r="V88" s="2">
        <v>0</v>
      </c>
      <c r="W88" s="2">
        <v>0</v>
      </c>
      <c r="X88" s="2">
        <v>0</v>
      </c>
      <c r="Y88" s="2">
        <v>0</v>
      </c>
      <c r="Z88" s="2">
        <v>0</v>
      </c>
      <c r="AA88" s="2">
        <v>0</v>
      </c>
      <c r="AB88" s="2">
        <v>31</v>
      </c>
      <c r="AC88" s="2" t="s">
        <v>1345</v>
      </c>
    </row>
    <row r="89" spans="1:29" x14ac:dyDescent="0.25">
      <c r="A89" s="2">
        <v>540068</v>
      </c>
      <c r="B89" s="2" t="s">
        <v>164</v>
      </c>
      <c r="C89" s="2" t="s">
        <v>37</v>
      </c>
      <c r="D89" s="2" t="s">
        <v>115</v>
      </c>
      <c r="E89" s="2">
        <v>9</v>
      </c>
      <c r="F89" s="197"/>
      <c r="G89" s="2">
        <v>80</v>
      </c>
      <c r="H89" s="2">
        <v>0</v>
      </c>
      <c r="I89" s="2">
        <v>203624100</v>
      </c>
      <c r="J89" s="2">
        <v>0</v>
      </c>
      <c r="K89" s="2">
        <v>0</v>
      </c>
      <c r="L89" s="2">
        <v>98325200</v>
      </c>
      <c r="M89" s="2">
        <v>0</v>
      </c>
      <c r="N89" s="2">
        <v>0</v>
      </c>
      <c r="O89" s="2">
        <v>38984240</v>
      </c>
      <c r="P89" s="2">
        <v>0</v>
      </c>
      <c r="Q89" s="217">
        <f t="shared" si="1"/>
        <v>340933540</v>
      </c>
      <c r="R89" s="2">
        <v>0</v>
      </c>
      <c r="S89" s="2">
        <v>342026600</v>
      </c>
      <c r="T89" s="2">
        <v>0</v>
      </c>
      <c r="U89" s="2">
        <v>0</v>
      </c>
      <c r="V89" s="2">
        <v>0</v>
      </c>
      <c r="W89" s="2">
        <v>0</v>
      </c>
      <c r="X89" s="2">
        <v>0</v>
      </c>
      <c r="Y89" s="2">
        <v>0</v>
      </c>
      <c r="Z89" s="2">
        <v>0</v>
      </c>
      <c r="AA89" s="2">
        <v>0</v>
      </c>
      <c r="AB89" s="2">
        <v>80</v>
      </c>
      <c r="AC89" s="2" t="s">
        <v>1345</v>
      </c>
    </row>
    <row r="90" spans="1:29" x14ac:dyDescent="0.25">
      <c r="A90" s="2">
        <v>540069</v>
      </c>
      <c r="B90" s="2" t="s">
        <v>165</v>
      </c>
      <c r="C90" s="2" t="s">
        <v>37</v>
      </c>
      <c r="D90" s="2" t="s">
        <v>115</v>
      </c>
      <c r="E90" s="2">
        <v>9</v>
      </c>
      <c r="F90" s="197"/>
      <c r="G90" s="2">
        <v>66</v>
      </c>
      <c r="H90" s="2">
        <v>0</v>
      </c>
      <c r="I90" s="2">
        <v>45373400</v>
      </c>
      <c r="J90" s="2">
        <v>0</v>
      </c>
      <c r="K90" s="2">
        <v>0</v>
      </c>
      <c r="L90" s="2">
        <v>14326900</v>
      </c>
      <c r="M90" s="2">
        <v>0</v>
      </c>
      <c r="N90" s="2">
        <v>0</v>
      </c>
      <c r="O90" s="2">
        <v>45074050</v>
      </c>
      <c r="P90" s="2">
        <v>0</v>
      </c>
      <c r="Q90" s="217">
        <f t="shared" si="1"/>
        <v>104774350</v>
      </c>
      <c r="R90" s="2">
        <v>0</v>
      </c>
      <c r="S90" s="2">
        <v>106315100</v>
      </c>
      <c r="T90" s="2">
        <v>0</v>
      </c>
      <c r="U90" s="2">
        <v>0</v>
      </c>
      <c r="V90" s="2">
        <v>0</v>
      </c>
      <c r="W90" s="2">
        <v>0</v>
      </c>
      <c r="X90" s="2">
        <v>0</v>
      </c>
      <c r="Y90" s="2">
        <v>0</v>
      </c>
      <c r="Z90" s="2">
        <v>0</v>
      </c>
      <c r="AA90" s="2">
        <v>0</v>
      </c>
      <c r="AB90" s="2">
        <v>66</v>
      </c>
      <c r="AC90" s="2" t="s">
        <v>1345</v>
      </c>
    </row>
    <row r="91" spans="1:29" x14ac:dyDescent="0.25">
      <c r="A91" s="2"/>
      <c r="B91" s="2"/>
      <c r="C91" s="2" t="s">
        <v>37</v>
      </c>
      <c r="D91" s="2"/>
      <c r="E91" s="2"/>
      <c r="F91" s="197"/>
      <c r="G91" s="2">
        <v>729</v>
      </c>
      <c r="H91" s="2">
        <v>0</v>
      </c>
      <c r="I91" s="2">
        <v>2930627800</v>
      </c>
      <c r="J91" s="2">
        <v>0</v>
      </c>
      <c r="K91" s="2">
        <v>0</v>
      </c>
      <c r="L91" s="2">
        <v>577579500</v>
      </c>
      <c r="M91" s="2">
        <v>0</v>
      </c>
      <c r="N91" s="2">
        <v>0</v>
      </c>
      <c r="O91" s="2">
        <v>358645260</v>
      </c>
      <c r="P91" s="2">
        <v>0</v>
      </c>
      <c r="Q91" s="217">
        <f t="shared" si="1"/>
        <v>3866852560</v>
      </c>
      <c r="R91" s="2">
        <v>0</v>
      </c>
      <c r="S91" s="2">
        <v>4022727900</v>
      </c>
      <c r="T91" s="2">
        <v>0</v>
      </c>
      <c r="U91" s="2">
        <v>0</v>
      </c>
      <c r="V91" s="2">
        <v>0</v>
      </c>
      <c r="W91" s="2">
        <v>0</v>
      </c>
      <c r="X91" s="2">
        <v>0</v>
      </c>
      <c r="Y91" s="2">
        <v>0</v>
      </c>
      <c r="Z91" s="2">
        <v>0</v>
      </c>
      <c r="AA91" s="2">
        <v>0</v>
      </c>
      <c r="AB91" s="2">
        <v>729</v>
      </c>
      <c r="AC91" s="2" t="s">
        <v>1345</v>
      </c>
    </row>
    <row r="92" spans="1:29" x14ac:dyDescent="0.25">
      <c r="A92" s="1">
        <v>540070</v>
      </c>
      <c r="B92" s="1" t="s">
        <v>38</v>
      </c>
      <c r="C92" s="1" t="s">
        <v>39</v>
      </c>
      <c r="D92" s="1" t="s">
        <v>5</v>
      </c>
      <c r="E92" s="1">
        <v>3</v>
      </c>
      <c r="F92" s="215"/>
      <c r="G92" s="1">
        <v>8464</v>
      </c>
      <c r="H92" s="1">
        <v>309733500</v>
      </c>
      <c r="I92" s="1">
        <v>2286111100</v>
      </c>
      <c r="J92" s="1">
        <v>0.135484885227</v>
      </c>
      <c r="K92" s="1">
        <v>432529900</v>
      </c>
      <c r="L92" s="1">
        <v>519888600</v>
      </c>
      <c r="M92" s="1">
        <v>0.83196650205400002</v>
      </c>
      <c r="N92" s="1">
        <v>102078900</v>
      </c>
      <c r="O92" s="1">
        <v>384334290</v>
      </c>
      <c r="P92" s="1">
        <v>0.265599252151</v>
      </c>
      <c r="Q92" s="216">
        <f t="shared" si="1"/>
        <v>3190333990</v>
      </c>
      <c r="R92" s="1">
        <v>782300625</v>
      </c>
      <c r="S92" s="1">
        <v>3214064214</v>
      </c>
      <c r="T92" s="1">
        <v>0.24339918959699999</v>
      </c>
      <c r="U92" s="1">
        <v>6929</v>
      </c>
      <c r="V92" s="1">
        <v>278</v>
      </c>
      <c r="W92" s="1">
        <v>12</v>
      </c>
      <c r="X92" s="1">
        <v>729</v>
      </c>
      <c r="Y92" s="1">
        <v>57</v>
      </c>
      <c r="Z92" s="1">
        <v>14</v>
      </c>
      <c r="AA92" s="1">
        <v>230</v>
      </c>
      <c r="AB92" s="1">
        <v>215</v>
      </c>
      <c r="AC92" s="1" t="s">
        <v>1344</v>
      </c>
    </row>
    <row r="93" spans="1:29" x14ac:dyDescent="0.25">
      <c r="A93" s="2">
        <v>540029</v>
      </c>
      <c r="B93" s="2" t="s">
        <v>134</v>
      </c>
      <c r="C93" s="2" t="s">
        <v>39</v>
      </c>
      <c r="D93" s="2" t="s">
        <v>115</v>
      </c>
      <c r="E93" s="2">
        <v>3</v>
      </c>
      <c r="F93" s="197"/>
      <c r="G93" s="2">
        <v>49</v>
      </c>
      <c r="H93" s="2">
        <v>953100</v>
      </c>
      <c r="I93" s="2">
        <v>8077300</v>
      </c>
      <c r="J93" s="2">
        <v>0.11799735059999999</v>
      </c>
      <c r="K93" s="2">
        <v>1148600</v>
      </c>
      <c r="L93" s="2">
        <v>5241000</v>
      </c>
      <c r="M93" s="2">
        <v>0.21915664949399999</v>
      </c>
      <c r="N93" s="2">
        <v>104200</v>
      </c>
      <c r="O93" s="2">
        <v>1004910</v>
      </c>
      <c r="P93" s="2">
        <v>0.10369087779</v>
      </c>
      <c r="Q93" s="217">
        <f t="shared" si="1"/>
        <v>14323210</v>
      </c>
      <c r="R93" s="2">
        <v>2228400</v>
      </c>
      <c r="S93" s="2">
        <v>18337180</v>
      </c>
      <c r="T93" s="2">
        <v>0.12152359305</v>
      </c>
      <c r="U93" s="2">
        <v>40</v>
      </c>
      <c r="V93" s="2">
        <v>0</v>
      </c>
      <c r="W93" s="2">
        <v>0</v>
      </c>
      <c r="X93" s="2">
        <v>9</v>
      </c>
      <c r="Y93" s="2">
        <v>0</v>
      </c>
      <c r="Z93" s="2">
        <v>0</v>
      </c>
      <c r="AA93" s="2">
        <v>0</v>
      </c>
      <c r="AB93" s="2">
        <v>0</v>
      </c>
      <c r="AC93" s="2" t="s">
        <v>1344</v>
      </c>
    </row>
    <row r="94" spans="1:29" x14ac:dyDescent="0.25">
      <c r="A94" s="2">
        <v>540071</v>
      </c>
      <c r="B94" s="2" t="s">
        <v>166</v>
      </c>
      <c r="C94" s="2" t="s">
        <v>39</v>
      </c>
      <c r="D94" s="2" t="s">
        <v>115</v>
      </c>
      <c r="E94" s="2">
        <v>3</v>
      </c>
      <c r="F94" s="197"/>
      <c r="G94" s="2">
        <v>94</v>
      </c>
      <c r="H94" s="2">
        <v>3282300</v>
      </c>
      <c r="I94" s="2">
        <v>30478400</v>
      </c>
      <c r="J94" s="2">
        <v>0.10769266103199999</v>
      </c>
      <c r="K94" s="2">
        <v>2390100</v>
      </c>
      <c r="L94" s="2">
        <v>9909500</v>
      </c>
      <c r="M94" s="2">
        <v>0.24119279479299999</v>
      </c>
      <c r="N94" s="2">
        <v>299030</v>
      </c>
      <c r="O94" s="2">
        <v>4067040</v>
      </c>
      <c r="P94" s="2">
        <v>7.3525217357100006E-2</v>
      </c>
      <c r="Q94" s="217">
        <f t="shared" si="1"/>
        <v>44454940</v>
      </c>
      <c r="R94" s="2">
        <v>5877200</v>
      </c>
      <c r="S94" s="2">
        <v>42713404</v>
      </c>
      <c r="T94" s="2">
        <v>0.137596151316</v>
      </c>
      <c r="U94" s="2">
        <v>68</v>
      </c>
      <c r="V94" s="2">
        <v>7</v>
      </c>
      <c r="W94" s="2">
        <v>0</v>
      </c>
      <c r="X94" s="2">
        <v>11</v>
      </c>
      <c r="Y94" s="2">
        <v>0</v>
      </c>
      <c r="Z94" s="2">
        <v>0</v>
      </c>
      <c r="AA94" s="2">
        <v>5</v>
      </c>
      <c r="AB94" s="2">
        <v>3</v>
      </c>
      <c r="AC94" s="2" t="s">
        <v>1344</v>
      </c>
    </row>
    <row r="95" spans="1:29" x14ac:dyDescent="0.25">
      <c r="A95" s="2">
        <v>540072</v>
      </c>
      <c r="B95" s="2" t="s">
        <v>167</v>
      </c>
      <c r="C95" s="2" t="s">
        <v>39</v>
      </c>
      <c r="D95" s="2" t="s">
        <v>115</v>
      </c>
      <c r="E95" s="2">
        <v>3</v>
      </c>
      <c r="F95" s="197"/>
      <c r="G95" s="2">
        <v>65</v>
      </c>
      <c r="H95" s="2">
        <v>1919800</v>
      </c>
      <c r="I95" s="2">
        <v>12540200</v>
      </c>
      <c r="J95" s="2">
        <v>0.15309165723000001</v>
      </c>
      <c r="K95" s="2">
        <v>407900</v>
      </c>
      <c r="L95" s="2">
        <v>3222600</v>
      </c>
      <c r="M95" s="2">
        <v>0.12657481536599999</v>
      </c>
      <c r="N95" s="2">
        <v>310920</v>
      </c>
      <c r="O95" s="2">
        <v>3058930</v>
      </c>
      <c r="P95" s="2">
        <v>0.101643385105</v>
      </c>
      <c r="Q95" s="217">
        <f t="shared" si="1"/>
        <v>18821730</v>
      </c>
      <c r="R95" s="2">
        <v>2645000</v>
      </c>
      <c r="S95" s="2">
        <v>19256914</v>
      </c>
      <c r="T95" s="2">
        <v>0.13735326439100001</v>
      </c>
      <c r="U95" s="2">
        <v>57</v>
      </c>
      <c r="V95" s="2">
        <v>0</v>
      </c>
      <c r="W95" s="2">
        <v>0</v>
      </c>
      <c r="X95" s="2">
        <v>5</v>
      </c>
      <c r="Y95" s="2">
        <v>0</v>
      </c>
      <c r="Z95" s="2">
        <v>0</v>
      </c>
      <c r="AA95" s="2">
        <v>1</v>
      </c>
      <c r="AB95" s="2">
        <v>2</v>
      </c>
      <c r="AC95" s="2" t="s">
        <v>1344</v>
      </c>
    </row>
    <row r="96" spans="1:29" x14ac:dyDescent="0.25">
      <c r="A96" s="2">
        <v>540073</v>
      </c>
      <c r="B96" s="2" t="s">
        <v>168</v>
      </c>
      <c r="C96" s="2" t="s">
        <v>39</v>
      </c>
      <c r="D96" s="2" t="s">
        <v>115</v>
      </c>
      <c r="E96" s="2">
        <v>3</v>
      </c>
      <c r="F96" s="197"/>
      <c r="G96" s="2">
        <v>1630</v>
      </c>
      <c r="H96" s="2">
        <v>62246400</v>
      </c>
      <c r="I96" s="2">
        <v>1886247400</v>
      </c>
      <c r="J96" s="2">
        <v>3.3000125010100002E-2</v>
      </c>
      <c r="K96" s="2">
        <v>3716486100</v>
      </c>
      <c r="L96" s="2">
        <v>1770592800</v>
      </c>
      <c r="M96" s="2">
        <v>2.0990066716600002</v>
      </c>
      <c r="N96" s="2">
        <v>14653980</v>
      </c>
      <c r="O96" s="2">
        <v>150572720</v>
      </c>
      <c r="P96" s="2">
        <v>9.7321613104999996E-2</v>
      </c>
      <c r="Q96" s="217">
        <f t="shared" si="1"/>
        <v>3807412920</v>
      </c>
      <c r="R96" s="2">
        <v>4250868268</v>
      </c>
      <c r="S96" s="2">
        <v>3806378642</v>
      </c>
      <c r="T96" s="2">
        <v>1.11677493697</v>
      </c>
      <c r="U96" s="2">
        <v>1134</v>
      </c>
      <c r="V96" s="2">
        <v>59</v>
      </c>
      <c r="W96" s="2">
        <v>0</v>
      </c>
      <c r="X96" s="2">
        <v>241</v>
      </c>
      <c r="Y96" s="2">
        <v>2</v>
      </c>
      <c r="Z96" s="2">
        <v>4</v>
      </c>
      <c r="AA96" s="2">
        <v>167</v>
      </c>
      <c r="AB96" s="2">
        <v>23</v>
      </c>
      <c r="AC96" s="2" t="s">
        <v>1344</v>
      </c>
    </row>
    <row r="97" spans="1:29" x14ac:dyDescent="0.25">
      <c r="A97" s="2">
        <v>540074</v>
      </c>
      <c r="B97" s="2" t="s">
        <v>169</v>
      </c>
      <c r="C97" s="2" t="s">
        <v>39</v>
      </c>
      <c r="D97" s="2" t="s">
        <v>115</v>
      </c>
      <c r="E97" s="2">
        <v>3</v>
      </c>
      <c r="F97" s="197"/>
      <c r="G97" s="2">
        <v>165</v>
      </c>
      <c r="H97" s="2">
        <v>5305300</v>
      </c>
      <c r="I97" s="2">
        <v>24696400</v>
      </c>
      <c r="J97" s="2">
        <v>0.21482078359599999</v>
      </c>
      <c r="K97" s="2">
        <v>2329900</v>
      </c>
      <c r="L97" s="2">
        <v>3135900</v>
      </c>
      <c r="M97" s="2">
        <v>0.74297649797499998</v>
      </c>
      <c r="N97" s="2">
        <v>811240</v>
      </c>
      <c r="O97" s="2">
        <v>4440890</v>
      </c>
      <c r="P97" s="2">
        <v>0.182675094407</v>
      </c>
      <c r="Q97" s="217">
        <f t="shared" si="1"/>
        <v>32273190</v>
      </c>
      <c r="R97" s="2">
        <v>8193788</v>
      </c>
      <c r="S97" s="2">
        <v>32138368</v>
      </c>
      <c r="T97" s="2">
        <v>0.25495345625499999</v>
      </c>
      <c r="U97" s="2">
        <v>140</v>
      </c>
      <c r="V97" s="2">
        <v>4</v>
      </c>
      <c r="W97" s="2">
        <v>0</v>
      </c>
      <c r="X97" s="2">
        <v>8</v>
      </c>
      <c r="Y97" s="2">
        <v>0</v>
      </c>
      <c r="Z97" s="2">
        <v>0</v>
      </c>
      <c r="AA97" s="2">
        <v>7</v>
      </c>
      <c r="AB97" s="2">
        <v>6</v>
      </c>
      <c r="AC97" s="2" t="s">
        <v>1344</v>
      </c>
    </row>
    <row r="98" spans="1:29" x14ac:dyDescent="0.25">
      <c r="A98" s="2">
        <v>540075</v>
      </c>
      <c r="B98" s="2" t="s">
        <v>170</v>
      </c>
      <c r="C98" s="2" t="s">
        <v>39</v>
      </c>
      <c r="D98" s="2" t="s">
        <v>115</v>
      </c>
      <c r="E98" s="2">
        <v>3</v>
      </c>
      <c r="F98" s="197"/>
      <c r="G98" s="2">
        <v>364</v>
      </c>
      <c r="H98" s="2">
        <v>7342500</v>
      </c>
      <c r="I98" s="2">
        <v>20527600</v>
      </c>
      <c r="J98" s="2">
        <v>0.35768915996</v>
      </c>
      <c r="K98" s="2">
        <v>24698600</v>
      </c>
      <c r="L98" s="2">
        <v>8604100</v>
      </c>
      <c r="M98" s="2">
        <v>2.87056170895</v>
      </c>
      <c r="N98" s="2">
        <v>3031880</v>
      </c>
      <c r="O98" s="2">
        <v>3945680</v>
      </c>
      <c r="P98" s="2">
        <v>0.768404939073</v>
      </c>
      <c r="Q98" s="217">
        <f t="shared" si="1"/>
        <v>33077380</v>
      </c>
      <c r="R98" s="2">
        <v>18082440</v>
      </c>
      <c r="S98" s="2">
        <v>28824223</v>
      </c>
      <c r="T98" s="2">
        <v>0.62733486345800005</v>
      </c>
      <c r="U98" s="2">
        <v>216</v>
      </c>
      <c r="V98" s="2">
        <v>3</v>
      </c>
      <c r="W98" s="2">
        <v>0</v>
      </c>
      <c r="X98" s="2">
        <v>98</v>
      </c>
      <c r="Y98" s="2">
        <v>0</v>
      </c>
      <c r="Z98" s="2">
        <v>6</v>
      </c>
      <c r="AA98" s="2">
        <v>37</v>
      </c>
      <c r="AB98" s="2">
        <v>4</v>
      </c>
      <c r="AC98" s="2" t="s">
        <v>1344</v>
      </c>
    </row>
    <row r="99" spans="1:29" x14ac:dyDescent="0.25">
      <c r="A99" s="2">
        <v>540076</v>
      </c>
      <c r="B99" s="2" t="s">
        <v>171</v>
      </c>
      <c r="C99" s="2" t="s">
        <v>39</v>
      </c>
      <c r="D99" s="2" t="s">
        <v>115</v>
      </c>
      <c r="E99" s="2">
        <v>3</v>
      </c>
      <c r="F99" s="197"/>
      <c r="G99" s="2">
        <v>973</v>
      </c>
      <c r="H99" s="2">
        <v>52189900</v>
      </c>
      <c r="I99" s="2">
        <v>183979300</v>
      </c>
      <c r="J99" s="2">
        <v>0.28367267404500002</v>
      </c>
      <c r="K99" s="2">
        <v>24743200</v>
      </c>
      <c r="L99" s="2">
        <v>85216500</v>
      </c>
      <c r="M99" s="2">
        <v>0.29035691444700001</v>
      </c>
      <c r="N99" s="2">
        <v>5865740</v>
      </c>
      <c r="O99" s="2">
        <v>17825420</v>
      </c>
      <c r="P99" s="2">
        <v>0.32906601920200002</v>
      </c>
      <c r="Q99" s="217">
        <f t="shared" si="1"/>
        <v>287021220</v>
      </c>
      <c r="R99" s="2">
        <v>79347390</v>
      </c>
      <c r="S99" s="2">
        <v>279518925</v>
      </c>
      <c r="T99" s="2">
        <v>0.28387126202599999</v>
      </c>
      <c r="U99" s="2">
        <v>894</v>
      </c>
      <c r="V99" s="2">
        <v>3</v>
      </c>
      <c r="W99" s="2">
        <v>0</v>
      </c>
      <c r="X99" s="2">
        <v>58</v>
      </c>
      <c r="Y99" s="2">
        <v>2</v>
      </c>
      <c r="Z99" s="2">
        <v>0</v>
      </c>
      <c r="AA99" s="2">
        <v>14</v>
      </c>
      <c r="AB99" s="2">
        <v>2</v>
      </c>
      <c r="AC99" s="2" t="s">
        <v>1344</v>
      </c>
    </row>
    <row r="100" spans="1:29" x14ac:dyDescent="0.25">
      <c r="A100" s="2">
        <v>540077</v>
      </c>
      <c r="B100" s="2" t="s">
        <v>172</v>
      </c>
      <c r="C100" s="2" t="s">
        <v>39</v>
      </c>
      <c r="D100" s="2" t="s">
        <v>115</v>
      </c>
      <c r="E100" s="2">
        <v>3</v>
      </c>
      <c r="F100" s="197"/>
      <c r="G100" s="2">
        <v>51</v>
      </c>
      <c r="H100" s="2">
        <v>1612900</v>
      </c>
      <c r="I100" s="2">
        <v>17336900</v>
      </c>
      <c r="J100" s="2">
        <v>9.3032779793399994E-2</v>
      </c>
      <c r="K100" s="2">
        <v>0</v>
      </c>
      <c r="L100" s="2">
        <v>1573100</v>
      </c>
      <c r="M100" s="2">
        <v>0</v>
      </c>
      <c r="N100" s="2">
        <v>303200</v>
      </c>
      <c r="O100" s="2">
        <v>3504940</v>
      </c>
      <c r="P100" s="2">
        <v>8.6506473719900001E-2</v>
      </c>
      <c r="Q100" s="217">
        <f t="shared" si="1"/>
        <v>22414940</v>
      </c>
      <c r="R100" s="2">
        <v>2599600</v>
      </c>
      <c r="S100" s="2">
        <v>23125955</v>
      </c>
      <c r="T100" s="2">
        <v>0.112410492886</v>
      </c>
      <c r="U100" s="2">
        <v>47</v>
      </c>
      <c r="V100" s="2">
        <v>0</v>
      </c>
      <c r="W100" s="2">
        <v>0</v>
      </c>
      <c r="X100" s="2">
        <v>0</v>
      </c>
      <c r="Y100" s="2">
        <v>0</v>
      </c>
      <c r="Z100" s="2">
        <v>0</v>
      </c>
      <c r="AA100" s="2">
        <v>3</v>
      </c>
      <c r="AB100" s="2">
        <v>1</v>
      </c>
      <c r="AC100" s="2" t="s">
        <v>1344</v>
      </c>
    </row>
    <row r="101" spans="1:29" x14ac:dyDescent="0.25">
      <c r="A101" s="2">
        <v>540078</v>
      </c>
      <c r="B101" s="2" t="s">
        <v>173</v>
      </c>
      <c r="C101" s="2" t="s">
        <v>39</v>
      </c>
      <c r="D101" s="2" t="s">
        <v>115</v>
      </c>
      <c r="E101" s="2">
        <v>3</v>
      </c>
      <c r="F101" s="197"/>
      <c r="G101" s="2">
        <v>84</v>
      </c>
      <c r="H101" s="2">
        <v>3243200</v>
      </c>
      <c r="I101" s="2">
        <v>18589100</v>
      </c>
      <c r="J101" s="2">
        <v>0.17446783330000001</v>
      </c>
      <c r="K101" s="2">
        <v>0</v>
      </c>
      <c r="L101" s="2">
        <v>8098100</v>
      </c>
      <c r="M101" s="2">
        <v>0</v>
      </c>
      <c r="N101" s="2">
        <v>283150</v>
      </c>
      <c r="O101" s="2">
        <v>2299410</v>
      </c>
      <c r="P101" s="2">
        <v>0.123140283812</v>
      </c>
      <c r="Q101" s="217">
        <f t="shared" si="1"/>
        <v>28986610</v>
      </c>
      <c r="R101" s="2">
        <v>3527400</v>
      </c>
      <c r="S101" s="2">
        <v>79139503</v>
      </c>
      <c r="T101" s="2">
        <v>4.4571925097899999E-2</v>
      </c>
      <c r="U101" s="2">
        <v>74</v>
      </c>
      <c r="V101" s="2">
        <v>0</v>
      </c>
      <c r="W101" s="2">
        <v>0</v>
      </c>
      <c r="X101" s="2">
        <v>0</v>
      </c>
      <c r="Y101" s="2">
        <v>0</v>
      </c>
      <c r="Z101" s="2">
        <v>0</v>
      </c>
      <c r="AA101" s="2">
        <v>9</v>
      </c>
      <c r="AB101" s="2">
        <v>1</v>
      </c>
      <c r="AC101" s="2" t="s">
        <v>1344</v>
      </c>
    </row>
    <row r="102" spans="1:29" x14ac:dyDescent="0.25">
      <c r="A102" s="2">
        <v>540079</v>
      </c>
      <c r="B102" s="2" t="s">
        <v>174</v>
      </c>
      <c r="C102" s="2" t="s">
        <v>39</v>
      </c>
      <c r="D102" s="2" t="s">
        <v>115</v>
      </c>
      <c r="E102" s="2">
        <v>3</v>
      </c>
      <c r="F102" s="197"/>
      <c r="G102" s="2">
        <v>30</v>
      </c>
      <c r="H102" s="2">
        <v>475800</v>
      </c>
      <c r="I102" s="2">
        <v>30435600</v>
      </c>
      <c r="J102" s="2">
        <v>1.5633008713499999E-2</v>
      </c>
      <c r="K102" s="2">
        <v>2805800</v>
      </c>
      <c r="L102" s="2">
        <v>16519400</v>
      </c>
      <c r="M102" s="2">
        <v>0.16984878385400001</v>
      </c>
      <c r="N102" s="2">
        <v>608390</v>
      </c>
      <c r="O102" s="2">
        <v>5462610</v>
      </c>
      <c r="P102" s="2">
        <v>0.111373500946</v>
      </c>
      <c r="Q102" s="217">
        <f t="shared" si="1"/>
        <v>52417610</v>
      </c>
      <c r="R102" s="2">
        <v>2862240</v>
      </c>
      <c r="S102" s="2">
        <v>52143012</v>
      </c>
      <c r="T102" s="2">
        <v>5.4892110950600002E-2</v>
      </c>
      <c r="U102" s="2">
        <v>12</v>
      </c>
      <c r="V102" s="2">
        <v>7</v>
      </c>
      <c r="W102" s="2">
        <v>0</v>
      </c>
      <c r="X102" s="2">
        <v>6</v>
      </c>
      <c r="Y102" s="2">
        <v>1</v>
      </c>
      <c r="Z102" s="2">
        <v>0</v>
      </c>
      <c r="AA102" s="2">
        <v>0</v>
      </c>
      <c r="AB102" s="2">
        <v>4</v>
      </c>
      <c r="AC102" s="2" t="s">
        <v>1344</v>
      </c>
    </row>
    <row r="103" spans="1:29" x14ac:dyDescent="0.25">
      <c r="A103" s="2">
        <v>540081</v>
      </c>
      <c r="B103" s="2" t="s">
        <v>176</v>
      </c>
      <c r="C103" s="2" t="s">
        <v>39</v>
      </c>
      <c r="D103" s="2" t="s">
        <v>115</v>
      </c>
      <c r="E103" s="2">
        <v>3</v>
      </c>
      <c r="F103" s="197"/>
      <c r="G103" s="2">
        <v>468</v>
      </c>
      <c r="H103" s="2">
        <v>25028800</v>
      </c>
      <c r="I103" s="2">
        <v>165362500</v>
      </c>
      <c r="J103" s="2">
        <v>0.151357169854</v>
      </c>
      <c r="K103" s="2">
        <v>10507900</v>
      </c>
      <c r="L103" s="2">
        <v>107511500</v>
      </c>
      <c r="M103" s="2">
        <v>9.77374513424E-2</v>
      </c>
      <c r="N103" s="2">
        <v>1755150</v>
      </c>
      <c r="O103" s="2">
        <v>22184880</v>
      </c>
      <c r="P103" s="2">
        <v>7.9114694332399996E-2</v>
      </c>
      <c r="Q103" s="217">
        <f t="shared" si="1"/>
        <v>295058880</v>
      </c>
      <c r="R103" s="2">
        <v>36960339</v>
      </c>
      <c r="S103" s="2">
        <v>282026278</v>
      </c>
      <c r="T103" s="2">
        <v>0.13105281983700001</v>
      </c>
      <c r="U103" s="2">
        <v>389</v>
      </c>
      <c r="V103" s="2">
        <v>35</v>
      </c>
      <c r="W103" s="2">
        <v>0</v>
      </c>
      <c r="X103" s="2">
        <v>23</v>
      </c>
      <c r="Y103" s="2">
        <v>0</v>
      </c>
      <c r="Z103" s="2">
        <v>1</v>
      </c>
      <c r="AA103" s="2">
        <v>10</v>
      </c>
      <c r="AB103" s="2">
        <v>10</v>
      </c>
      <c r="AC103" s="2" t="s">
        <v>1344</v>
      </c>
    </row>
    <row r="104" spans="1:29" x14ac:dyDescent="0.25">
      <c r="A104" s="2">
        <v>540082</v>
      </c>
      <c r="B104" s="2" t="s">
        <v>177</v>
      </c>
      <c r="C104" s="2" t="s">
        <v>39</v>
      </c>
      <c r="D104" s="2" t="s">
        <v>115</v>
      </c>
      <c r="E104" s="2">
        <v>3</v>
      </c>
      <c r="F104" s="197"/>
      <c r="G104" s="2">
        <v>45</v>
      </c>
      <c r="H104" s="2">
        <v>1127600</v>
      </c>
      <c r="I104" s="2">
        <v>15058200</v>
      </c>
      <c r="J104" s="2">
        <v>7.4882788115400001E-2</v>
      </c>
      <c r="K104" s="2">
        <v>0</v>
      </c>
      <c r="L104" s="2">
        <v>665700</v>
      </c>
      <c r="M104" s="2">
        <v>0</v>
      </c>
      <c r="N104" s="2">
        <v>87640</v>
      </c>
      <c r="O104" s="2">
        <v>1483970</v>
      </c>
      <c r="P104" s="2">
        <v>5.9057797664400002E-2</v>
      </c>
      <c r="Q104" s="217">
        <f t="shared" si="1"/>
        <v>17207870</v>
      </c>
      <c r="R104" s="2">
        <v>1216400</v>
      </c>
      <c r="S104" s="2">
        <v>17623106</v>
      </c>
      <c r="T104" s="2">
        <v>6.9023020119200001E-2</v>
      </c>
      <c r="U104" s="2">
        <v>23</v>
      </c>
      <c r="V104" s="2">
        <v>0</v>
      </c>
      <c r="W104" s="2">
        <v>0</v>
      </c>
      <c r="X104" s="2">
        <v>21</v>
      </c>
      <c r="Y104" s="2">
        <v>0</v>
      </c>
      <c r="Z104" s="2">
        <v>0</v>
      </c>
      <c r="AA104" s="2">
        <v>0</v>
      </c>
      <c r="AB104" s="2">
        <v>1</v>
      </c>
      <c r="AC104" s="2" t="s">
        <v>1344</v>
      </c>
    </row>
    <row r="105" spans="1:29" x14ac:dyDescent="0.25">
      <c r="A105" s="2">
        <v>540083</v>
      </c>
      <c r="B105" s="2" t="s">
        <v>178</v>
      </c>
      <c r="C105" s="2" t="s">
        <v>39</v>
      </c>
      <c r="D105" s="2" t="s">
        <v>115</v>
      </c>
      <c r="E105" s="2">
        <v>3</v>
      </c>
      <c r="F105" s="197"/>
      <c r="G105" s="2">
        <v>147</v>
      </c>
      <c r="H105" s="2">
        <v>8307700</v>
      </c>
      <c r="I105" s="2">
        <v>363310700</v>
      </c>
      <c r="J105" s="2">
        <v>2.28666538035E-2</v>
      </c>
      <c r="K105" s="2">
        <v>13523400</v>
      </c>
      <c r="L105" s="2">
        <v>81244900</v>
      </c>
      <c r="M105" s="2">
        <v>0.166452294236</v>
      </c>
      <c r="N105" s="2">
        <v>665620</v>
      </c>
      <c r="O105" s="2">
        <v>23975630</v>
      </c>
      <c r="P105" s="2">
        <v>2.7762357026700001E-2</v>
      </c>
      <c r="Q105" s="217">
        <f t="shared" si="1"/>
        <v>468531230</v>
      </c>
      <c r="R105" s="2">
        <v>18558096</v>
      </c>
      <c r="S105" s="2">
        <v>469593102</v>
      </c>
      <c r="T105" s="2">
        <v>3.9519524288100003E-2</v>
      </c>
      <c r="U105" s="2">
        <v>111</v>
      </c>
      <c r="V105" s="2">
        <v>4</v>
      </c>
      <c r="W105" s="2">
        <v>0</v>
      </c>
      <c r="X105" s="2">
        <v>21</v>
      </c>
      <c r="Y105" s="2">
        <v>0</v>
      </c>
      <c r="Z105" s="2">
        <v>1</v>
      </c>
      <c r="AA105" s="2">
        <v>1</v>
      </c>
      <c r="AB105" s="2">
        <v>9</v>
      </c>
      <c r="AC105" s="2" t="s">
        <v>1344</v>
      </c>
    </row>
    <row r="106" spans="1:29" x14ac:dyDescent="0.25">
      <c r="A106" s="2">
        <v>540223</v>
      </c>
      <c r="B106" s="2" t="s">
        <v>277</v>
      </c>
      <c r="C106" s="2" t="s">
        <v>39</v>
      </c>
      <c r="D106" s="2" t="s">
        <v>115</v>
      </c>
      <c r="E106" s="2">
        <v>3</v>
      </c>
      <c r="F106" s="197"/>
      <c r="G106" s="2">
        <v>382</v>
      </c>
      <c r="H106" s="2">
        <v>20746100</v>
      </c>
      <c r="I106" s="2">
        <v>436156400</v>
      </c>
      <c r="J106" s="2">
        <v>4.7565735593900003E-2</v>
      </c>
      <c r="K106" s="2">
        <v>21400800</v>
      </c>
      <c r="L106" s="2">
        <v>394075300</v>
      </c>
      <c r="M106" s="2">
        <v>5.4306372411600003E-2</v>
      </c>
      <c r="N106" s="2">
        <v>2248150</v>
      </c>
      <c r="O106" s="2">
        <v>39560920</v>
      </c>
      <c r="P106" s="2">
        <v>5.6827545972099998E-2</v>
      </c>
      <c r="Q106" s="217">
        <f t="shared" si="1"/>
        <v>869792620</v>
      </c>
      <c r="R106" s="2">
        <v>41277194</v>
      </c>
      <c r="S106" s="2">
        <v>875730705</v>
      </c>
      <c r="T106" s="2">
        <v>4.7134574321000003E-2</v>
      </c>
      <c r="U106" s="2">
        <v>295</v>
      </c>
      <c r="V106" s="2">
        <v>42</v>
      </c>
      <c r="W106" s="2">
        <v>0</v>
      </c>
      <c r="X106" s="2">
        <v>26</v>
      </c>
      <c r="Y106" s="2">
        <v>1</v>
      </c>
      <c r="Z106" s="2">
        <v>0</v>
      </c>
      <c r="AA106" s="2">
        <v>8</v>
      </c>
      <c r="AB106" s="2">
        <v>10</v>
      </c>
      <c r="AC106" s="2" t="s">
        <v>1344</v>
      </c>
    </row>
    <row r="107" spans="1:29" x14ac:dyDescent="0.25">
      <c r="A107" s="2">
        <v>540279</v>
      </c>
      <c r="B107" s="2" t="s">
        <v>320</v>
      </c>
      <c r="C107" s="2" t="s">
        <v>39</v>
      </c>
      <c r="D107" s="2" t="s">
        <v>115</v>
      </c>
      <c r="E107" s="2">
        <v>3</v>
      </c>
      <c r="F107" s="197"/>
      <c r="G107" s="2">
        <v>23</v>
      </c>
      <c r="H107" s="2">
        <v>314100</v>
      </c>
      <c r="I107" s="2">
        <v>2597500</v>
      </c>
      <c r="J107" s="2">
        <v>0.120923965351</v>
      </c>
      <c r="K107" s="2">
        <v>0</v>
      </c>
      <c r="L107" s="2">
        <v>283100</v>
      </c>
      <c r="M107" s="2">
        <v>0</v>
      </c>
      <c r="N107" s="2">
        <v>46300</v>
      </c>
      <c r="O107" s="2">
        <v>1152870</v>
      </c>
      <c r="P107" s="2">
        <v>4.0160642570299998E-2</v>
      </c>
      <c r="Q107" s="217">
        <f t="shared" si="1"/>
        <v>4033470</v>
      </c>
      <c r="R107" s="2">
        <v>361700</v>
      </c>
      <c r="S107" s="2">
        <v>4079200</v>
      </c>
      <c r="T107" s="2">
        <v>8.8669346930800003E-2</v>
      </c>
      <c r="U107" s="2">
        <v>18</v>
      </c>
      <c r="V107" s="2">
        <v>0</v>
      </c>
      <c r="W107" s="2">
        <v>0</v>
      </c>
      <c r="X107" s="2">
        <v>0</v>
      </c>
      <c r="Y107" s="2">
        <v>0</v>
      </c>
      <c r="Z107" s="2">
        <v>0</v>
      </c>
      <c r="AA107" s="2">
        <v>2</v>
      </c>
      <c r="AB107" s="2">
        <v>3</v>
      </c>
      <c r="AC107" s="2" t="s">
        <v>1344</v>
      </c>
    </row>
    <row r="108" spans="1:29" x14ac:dyDescent="0.25">
      <c r="A108" s="2">
        <v>540033</v>
      </c>
      <c r="B108" s="2" t="s">
        <v>138</v>
      </c>
      <c r="C108" s="2" t="s">
        <v>39</v>
      </c>
      <c r="D108" s="2" t="s">
        <v>115</v>
      </c>
      <c r="E108" s="2">
        <v>3</v>
      </c>
      <c r="F108" s="197"/>
      <c r="G108" s="2">
        <v>0</v>
      </c>
      <c r="H108" s="2">
        <v>0</v>
      </c>
      <c r="I108" s="2">
        <v>119300</v>
      </c>
      <c r="J108" s="2">
        <v>0</v>
      </c>
      <c r="K108" s="2">
        <v>0</v>
      </c>
      <c r="L108" s="2">
        <v>0</v>
      </c>
      <c r="M108" s="2" t="s">
        <v>488</v>
      </c>
      <c r="N108" s="2">
        <v>0</v>
      </c>
      <c r="O108" s="2">
        <v>4970</v>
      </c>
      <c r="P108" s="2">
        <v>0</v>
      </c>
      <c r="Q108" s="217">
        <f t="shared" si="1"/>
        <v>124270</v>
      </c>
      <c r="R108" s="2">
        <v>0</v>
      </c>
      <c r="S108" s="2">
        <v>127000</v>
      </c>
      <c r="T108" s="2">
        <v>0</v>
      </c>
      <c r="U108" s="2">
        <v>0</v>
      </c>
      <c r="V108" s="2">
        <v>0</v>
      </c>
      <c r="W108" s="2">
        <v>0</v>
      </c>
      <c r="X108" s="2">
        <v>0</v>
      </c>
      <c r="Y108" s="2">
        <v>0</v>
      </c>
      <c r="Z108" s="2">
        <v>0</v>
      </c>
      <c r="AA108" s="2">
        <v>0</v>
      </c>
      <c r="AB108" s="2">
        <v>0</v>
      </c>
      <c r="AC108" s="2" t="s">
        <v>1344</v>
      </c>
    </row>
    <row r="109" spans="1:29" x14ac:dyDescent="0.25">
      <c r="A109" s="2"/>
      <c r="B109" s="2"/>
      <c r="C109" s="2" t="s">
        <v>39</v>
      </c>
      <c r="D109" s="2"/>
      <c r="E109" s="2"/>
      <c r="F109" s="197"/>
      <c r="G109" s="2">
        <v>13034</v>
      </c>
      <c r="H109" s="2">
        <v>503829000</v>
      </c>
      <c r="I109" s="2">
        <v>5501623900</v>
      </c>
      <c r="J109" s="2">
        <v>9.1578233837499995E-2</v>
      </c>
      <c r="K109" s="2">
        <v>4252972200</v>
      </c>
      <c r="L109" s="2">
        <v>3015782100</v>
      </c>
      <c r="M109" s="2">
        <v>1.4102385580200001</v>
      </c>
      <c r="N109" s="2">
        <v>133153490</v>
      </c>
      <c r="O109" s="2">
        <v>668880080</v>
      </c>
      <c r="P109" s="2">
        <v>0.19906930103199999</v>
      </c>
      <c r="Q109" s="217">
        <f t="shared" si="1"/>
        <v>9186286080</v>
      </c>
      <c r="R109" s="2">
        <v>5256906080</v>
      </c>
      <c r="S109" s="2">
        <v>9244819731</v>
      </c>
      <c r="T109" s="2">
        <v>0.56863262161499994</v>
      </c>
      <c r="U109" s="2">
        <v>10447</v>
      </c>
      <c r="V109" s="2">
        <v>442</v>
      </c>
      <c r="W109" s="2">
        <v>12</v>
      </c>
      <c r="X109" s="2">
        <v>1256</v>
      </c>
      <c r="Y109" s="2">
        <v>63</v>
      </c>
      <c r="Z109" s="2">
        <v>26</v>
      </c>
      <c r="AA109" s="2">
        <v>494</v>
      </c>
      <c r="AB109" s="2">
        <v>294</v>
      </c>
      <c r="AC109" s="2" t="s">
        <v>1344</v>
      </c>
    </row>
    <row r="110" spans="1:29" x14ac:dyDescent="0.25">
      <c r="A110" s="1">
        <v>540085</v>
      </c>
      <c r="B110" s="1" t="s">
        <v>40</v>
      </c>
      <c r="C110" s="1" t="s">
        <v>41</v>
      </c>
      <c r="D110" s="1" t="s">
        <v>5</v>
      </c>
      <c r="E110" s="1">
        <v>7</v>
      </c>
      <c r="F110" s="215"/>
      <c r="G110" s="1">
        <v>1690</v>
      </c>
      <c r="H110" s="1">
        <v>48114600</v>
      </c>
      <c r="I110" s="1">
        <v>306850400</v>
      </c>
      <c r="J110" s="1">
        <v>0.156801490238</v>
      </c>
      <c r="K110" s="1">
        <v>175545900</v>
      </c>
      <c r="L110" s="1">
        <v>111005600</v>
      </c>
      <c r="M110" s="1">
        <v>1.58141481151</v>
      </c>
      <c r="N110" s="1">
        <v>23143930</v>
      </c>
      <c r="O110" s="1">
        <v>52439760</v>
      </c>
      <c r="P110" s="1">
        <v>0.44134317166999998</v>
      </c>
      <c r="Q110" s="216">
        <f t="shared" si="1"/>
        <v>470295760</v>
      </c>
      <c r="R110" s="1">
        <v>335812200</v>
      </c>
      <c r="S110" s="1">
        <v>497191800</v>
      </c>
      <c r="T110" s="1">
        <v>0.675417816625</v>
      </c>
      <c r="U110" s="1">
        <v>984</v>
      </c>
      <c r="V110" s="1">
        <v>0</v>
      </c>
      <c r="W110" s="1">
        <v>226</v>
      </c>
      <c r="X110" s="1">
        <v>167</v>
      </c>
      <c r="Y110" s="1">
        <v>4</v>
      </c>
      <c r="Z110" s="1">
        <v>24</v>
      </c>
      <c r="AA110" s="1">
        <v>77</v>
      </c>
      <c r="AB110" s="1">
        <v>208</v>
      </c>
      <c r="AC110" s="1" t="s">
        <v>1344</v>
      </c>
    </row>
    <row r="111" spans="1:29" x14ac:dyDescent="0.25">
      <c r="A111" s="2">
        <v>540086</v>
      </c>
      <c r="B111" s="2" t="s">
        <v>179</v>
      </c>
      <c r="C111" s="2" t="s">
        <v>41</v>
      </c>
      <c r="D111" s="2" t="s">
        <v>115</v>
      </c>
      <c r="E111" s="2">
        <v>7</v>
      </c>
      <c r="F111" s="197"/>
      <c r="G111" s="2">
        <v>62</v>
      </c>
      <c r="H111" s="2">
        <v>1199200</v>
      </c>
      <c r="I111" s="2">
        <v>7198000</v>
      </c>
      <c r="J111" s="2">
        <v>0.16660183384300001</v>
      </c>
      <c r="K111" s="2">
        <v>1479300</v>
      </c>
      <c r="L111" s="2">
        <v>3381800</v>
      </c>
      <c r="M111" s="2">
        <v>0.43742977112800002</v>
      </c>
      <c r="N111" s="2">
        <v>832190</v>
      </c>
      <c r="O111" s="2">
        <v>1447830</v>
      </c>
      <c r="P111" s="2">
        <v>0.57478433241500004</v>
      </c>
      <c r="Q111" s="217">
        <f t="shared" si="1"/>
        <v>12027630</v>
      </c>
      <c r="R111" s="2">
        <v>3510800</v>
      </c>
      <c r="S111" s="2">
        <v>12028500</v>
      </c>
      <c r="T111" s="2">
        <v>0.29187346718200002</v>
      </c>
      <c r="U111" s="2">
        <v>24</v>
      </c>
      <c r="V111" s="2">
        <v>0</v>
      </c>
      <c r="W111" s="2">
        <v>8</v>
      </c>
      <c r="X111" s="2">
        <v>14</v>
      </c>
      <c r="Y111" s="2">
        <v>0</v>
      </c>
      <c r="Z111" s="2">
        <v>2</v>
      </c>
      <c r="AA111" s="2">
        <v>5</v>
      </c>
      <c r="AB111" s="2">
        <v>9</v>
      </c>
      <c r="AC111" s="2" t="s">
        <v>1344</v>
      </c>
    </row>
    <row r="112" spans="1:29" x14ac:dyDescent="0.25">
      <c r="A112" s="2">
        <v>540087</v>
      </c>
      <c r="B112" s="2" t="s">
        <v>180</v>
      </c>
      <c r="C112" s="2" t="s">
        <v>41</v>
      </c>
      <c r="D112" s="2" t="s">
        <v>115</v>
      </c>
      <c r="E112" s="2">
        <v>7</v>
      </c>
      <c r="F112" s="197"/>
      <c r="G112" s="2">
        <v>395</v>
      </c>
      <c r="H112" s="2">
        <v>9897600</v>
      </c>
      <c r="I112" s="2">
        <v>73219100</v>
      </c>
      <c r="J112" s="2">
        <v>0.13517784293999999</v>
      </c>
      <c r="K112" s="2">
        <v>49960100</v>
      </c>
      <c r="L112" s="2">
        <v>37984100</v>
      </c>
      <c r="M112" s="2">
        <v>1.3152898186299999</v>
      </c>
      <c r="N112" s="2">
        <v>5444140</v>
      </c>
      <c r="O112" s="2">
        <v>11621540</v>
      </c>
      <c r="P112" s="2">
        <v>0.46845254587599999</v>
      </c>
      <c r="Q112" s="217">
        <f t="shared" si="1"/>
        <v>122824740</v>
      </c>
      <c r="R112" s="2">
        <v>67026100</v>
      </c>
      <c r="S112" s="2">
        <v>124033100</v>
      </c>
      <c r="T112" s="2">
        <v>0.54038881556600005</v>
      </c>
      <c r="U112" s="2">
        <v>248</v>
      </c>
      <c r="V112" s="2">
        <v>0</v>
      </c>
      <c r="W112" s="2">
        <v>0</v>
      </c>
      <c r="X112" s="2">
        <v>83</v>
      </c>
      <c r="Y112" s="2">
        <v>0</v>
      </c>
      <c r="Z112" s="2">
        <v>0</v>
      </c>
      <c r="AA112" s="2">
        <v>32</v>
      </c>
      <c r="AB112" s="2">
        <v>32</v>
      </c>
      <c r="AC112" s="2" t="s">
        <v>1344</v>
      </c>
    </row>
    <row r="113" spans="1:29" x14ac:dyDescent="0.25">
      <c r="A113" s="2"/>
      <c r="B113" s="2"/>
      <c r="C113" s="2" t="s">
        <v>41</v>
      </c>
      <c r="D113" s="2"/>
      <c r="E113" s="2"/>
      <c r="F113" s="197"/>
      <c r="G113" s="2">
        <v>2147</v>
      </c>
      <c r="H113" s="2">
        <v>59211400</v>
      </c>
      <c r="I113" s="2">
        <v>387267500</v>
      </c>
      <c r="J113" s="2">
        <v>0.15289535011300001</v>
      </c>
      <c r="K113" s="2">
        <v>226985300</v>
      </c>
      <c r="L113" s="2">
        <v>152371500</v>
      </c>
      <c r="M113" s="2">
        <v>1.4896834381799999</v>
      </c>
      <c r="N113" s="2">
        <v>29420260</v>
      </c>
      <c r="O113" s="2">
        <v>65509130</v>
      </c>
      <c r="P113" s="2">
        <v>0.44910167483500002</v>
      </c>
      <c r="Q113" s="217">
        <f t="shared" si="1"/>
        <v>605148130</v>
      </c>
      <c r="R113" s="2">
        <v>406349100</v>
      </c>
      <c r="S113" s="2">
        <v>633253400</v>
      </c>
      <c r="T113" s="2">
        <v>0.64168482948500005</v>
      </c>
      <c r="U113" s="2">
        <v>1256</v>
      </c>
      <c r="V113" s="2">
        <v>0</v>
      </c>
      <c r="W113" s="2">
        <v>234</v>
      </c>
      <c r="X113" s="2">
        <v>264</v>
      </c>
      <c r="Y113" s="2">
        <v>4</v>
      </c>
      <c r="Z113" s="2">
        <v>26</v>
      </c>
      <c r="AA113" s="2">
        <v>114</v>
      </c>
      <c r="AB113" s="2">
        <v>249</v>
      </c>
      <c r="AC113" s="2" t="s">
        <v>1344</v>
      </c>
    </row>
    <row r="114" spans="1:29" x14ac:dyDescent="0.25">
      <c r="A114" s="1">
        <v>540088</v>
      </c>
      <c r="B114" s="1" t="s">
        <v>42</v>
      </c>
      <c r="C114" s="1" t="s">
        <v>43</v>
      </c>
      <c r="D114" s="1" t="s">
        <v>5</v>
      </c>
      <c r="E114" s="1">
        <v>2</v>
      </c>
      <c r="F114" s="215"/>
      <c r="G114" s="1">
        <v>2347</v>
      </c>
      <c r="H114" s="1">
        <v>48771100</v>
      </c>
      <c r="I114" s="1">
        <v>224483700</v>
      </c>
      <c r="J114" s="1">
        <v>0.21725898138700001</v>
      </c>
      <c r="K114" s="1">
        <v>9343300</v>
      </c>
      <c r="L114" s="1">
        <v>15332500</v>
      </c>
      <c r="M114" s="1">
        <v>0.60937877058500001</v>
      </c>
      <c r="N114" s="1">
        <v>24458180</v>
      </c>
      <c r="O114" s="1">
        <v>97933730</v>
      </c>
      <c r="P114" s="1">
        <v>0.24974214706199999</v>
      </c>
      <c r="Q114" s="216">
        <f t="shared" si="1"/>
        <v>337749930</v>
      </c>
      <c r="R114" s="1">
        <v>88495400</v>
      </c>
      <c r="S114" s="1">
        <v>342938200</v>
      </c>
      <c r="T114" s="1">
        <v>0.258050575876</v>
      </c>
      <c r="U114" s="1">
        <v>1980</v>
      </c>
      <c r="V114" s="1">
        <v>0</v>
      </c>
      <c r="W114" s="1">
        <v>132</v>
      </c>
      <c r="X114" s="1">
        <v>121</v>
      </c>
      <c r="Y114" s="1">
        <v>0</v>
      </c>
      <c r="Z114" s="1">
        <v>1</v>
      </c>
      <c r="AA114" s="1">
        <v>82</v>
      </c>
      <c r="AB114" s="1">
        <v>31</v>
      </c>
      <c r="AC114" s="1" t="s">
        <v>1344</v>
      </c>
    </row>
    <row r="115" spans="1:29" x14ac:dyDescent="0.25">
      <c r="A115" s="2">
        <v>540089</v>
      </c>
      <c r="B115" s="2" t="s">
        <v>181</v>
      </c>
      <c r="C115" s="2" t="s">
        <v>43</v>
      </c>
      <c r="D115" s="2" t="s">
        <v>115</v>
      </c>
      <c r="E115" s="2">
        <v>2</v>
      </c>
      <c r="F115" s="197"/>
      <c r="G115" s="2">
        <v>98</v>
      </c>
      <c r="H115" s="2">
        <v>2137100</v>
      </c>
      <c r="I115" s="2">
        <v>15216600</v>
      </c>
      <c r="J115" s="2">
        <v>0.14044530315600001</v>
      </c>
      <c r="K115" s="2">
        <v>469800</v>
      </c>
      <c r="L115" s="2">
        <v>9092000</v>
      </c>
      <c r="M115" s="2">
        <v>5.1671799384099999E-2</v>
      </c>
      <c r="N115" s="2">
        <v>804500</v>
      </c>
      <c r="O115" s="2">
        <v>3898370</v>
      </c>
      <c r="P115" s="2">
        <v>0.20636830265</v>
      </c>
      <c r="Q115" s="217">
        <f t="shared" si="1"/>
        <v>28206970</v>
      </c>
      <c r="R115" s="2">
        <v>3424800</v>
      </c>
      <c r="S115" s="2">
        <v>28259500</v>
      </c>
      <c r="T115" s="2">
        <v>0.12119110387699999</v>
      </c>
      <c r="U115" s="2">
        <v>90</v>
      </c>
      <c r="V115" s="2">
        <v>3</v>
      </c>
      <c r="W115" s="2">
        <v>0</v>
      </c>
      <c r="X115" s="2">
        <v>2</v>
      </c>
      <c r="Y115" s="2">
        <v>0</v>
      </c>
      <c r="Z115" s="2">
        <v>0</v>
      </c>
      <c r="AA115" s="2">
        <v>3</v>
      </c>
      <c r="AB115" s="2">
        <v>0</v>
      </c>
      <c r="AC115" s="2" t="s">
        <v>1344</v>
      </c>
    </row>
    <row r="116" spans="1:29" x14ac:dyDescent="0.25">
      <c r="A116" s="2">
        <v>540090</v>
      </c>
      <c r="B116" s="2" t="s">
        <v>182</v>
      </c>
      <c r="C116" s="2" t="s">
        <v>43</v>
      </c>
      <c r="D116" s="2" t="s">
        <v>115</v>
      </c>
      <c r="E116" s="2">
        <v>2</v>
      </c>
      <c r="F116" s="197"/>
      <c r="G116" s="2">
        <v>57</v>
      </c>
      <c r="H116" s="2">
        <v>691200</v>
      </c>
      <c r="I116" s="2">
        <v>5987400</v>
      </c>
      <c r="J116" s="2">
        <v>0.115442429101</v>
      </c>
      <c r="K116" s="2">
        <v>134200</v>
      </c>
      <c r="L116" s="2">
        <v>4785200</v>
      </c>
      <c r="M116" s="2">
        <v>2.8044804814800001E-2</v>
      </c>
      <c r="N116" s="2">
        <v>792370</v>
      </c>
      <c r="O116" s="2">
        <v>2713190</v>
      </c>
      <c r="P116" s="2">
        <v>0.292043682897</v>
      </c>
      <c r="Q116" s="217">
        <f t="shared" si="1"/>
        <v>13485790</v>
      </c>
      <c r="R116" s="2">
        <v>1624600</v>
      </c>
      <c r="S116" s="2">
        <v>13567100</v>
      </c>
      <c r="T116" s="2">
        <v>0.119745560953</v>
      </c>
      <c r="U116" s="2">
        <v>40</v>
      </c>
      <c r="V116" s="2">
        <v>0</v>
      </c>
      <c r="W116" s="2">
        <v>0</v>
      </c>
      <c r="X116" s="2">
        <v>4</v>
      </c>
      <c r="Y116" s="2">
        <v>0</v>
      </c>
      <c r="Z116" s="2">
        <v>0</v>
      </c>
      <c r="AA116" s="2">
        <v>11</v>
      </c>
      <c r="AB116" s="2">
        <v>2</v>
      </c>
      <c r="AC116" s="2" t="s">
        <v>1344</v>
      </c>
    </row>
    <row r="117" spans="1:29" x14ac:dyDescent="0.25">
      <c r="A117" s="2"/>
      <c r="B117" s="2"/>
      <c r="C117" s="2" t="s">
        <v>43</v>
      </c>
      <c r="D117" s="2"/>
      <c r="E117" s="2"/>
      <c r="F117" s="197"/>
      <c r="G117" s="2">
        <v>2502</v>
      </c>
      <c r="H117" s="2">
        <v>51599400</v>
      </c>
      <c r="I117" s="2">
        <v>245687700</v>
      </c>
      <c r="J117" s="2">
        <v>0.210020281846</v>
      </c>
      <c r="K117" s="2">
        <v>9947300</v>
      </c>
      <c r="L117" s="2">
        <v>29209700</v>
      </c>
      <c r="M117" s="2">
        <v>0.34054783171300002</v>
      </c>
      <c r="N117" s="2">
        <v>26055050</v>
      </c>
      <c r="O117" s="2">
        <v>104545290</v>
      </c>
      <c r="P117" s="2">
        <v>0.24922260964599999</v>
      </c>
      <c r="Q117" s="217">
        <f t="shared" si="1"/>
        <v>379442690</v>
      </c>
      <c r="R117" s="2">
        <v>93544800</v>
      </c>
      <c r="S117" s="2">
        <v>384764800</v>
      </c>
      <c r="T117" s="2">
        <v>0.243122031953</v>
      </c>
      <c r="U117" s="2">
        <v>2110</v>
      </c>
      <c r="V117" s="2">
        <v>3</v>
      </c>
      <c r="W117" s="2">
        <v>132</v>
      </c>
      <c r="X117" s="2">
        <v>127</v>
      </c>
      <c r="Y117" s="2">
        <v>0</v>
      </c>
      <c r="Z117" s="2">
        <v>1</v>
      </c>
      <c r="AA117" s="2">
        <v>96</v>
      </c>
      <c r="AB117" s="2">
        <v>33</v>
      </c>
      <c r="AC117" s="2" t="s">
        <v>1344</v>
      </c>
    </row>
    <row r="118" spans="1:29" x14ac:dyDescent="0.25">
      <c r="A118" s="1">
        <v>540097</v>
      </c>
      <c r="B118" s="1" t="s">
        <v>44</v>
      </c>
      <c r="C118" s="1" t="s">
        <v>45</v>
      </c>
      <c r="D118" s="1" t="s">
        <v>5</v>
      </c>
      <c r="E118" s="1">
        <v>6</v>
      </c>
      <c r="F118" s="215"/>
      <c r="G118" s="1">
        <v>1516</v>
      </c>
      <c r="H118" s="1">
        <v>60338000</v>
      </c>
      <c r="I118" s="1">
        <v>851709900</v>
      </c>
      <c r="J118" s="1">
        <v>7.0843370495000002E-2</v>
      </c>
      <c r="K118" s="1">
        <v>20401600</v>
      </c>
      <c r="L118" s="1">
        <v>131355900</v>
      </c>
      <c r="M118" s="1">
        <v>0.15531544452900001</v>
      </c>
      <c r="N118" s="1">
        <v>14540590</v>
      </c>
      <c r="O118" s="1">
        <v>78701890</v>
      </c>
      <c r="P118" s="1">
        <v>0.184755283514</v>
      </c>
      <c r="Q118" s="216">
        <f t="shared" si="1"/>
        <v>1061767690</v>
      </c>
      <c r="R118" s="1">
        <v>98451000</v>
      </c>
      <c r="S118" s="1">
        <v>1092103300</v>
      </c>
      <c r="T118" s="1">
        <v>9.0148065663800001E-2</v>
      </c>
      <c r="U118" s="1">
        <v>1129</v>
      </c>
      <c r="V118" s="1">
        <v>0</v>
      </c>
      <c r="W118" s="1">
        <v>168</v>
      </c>
      <c r="X118" s="1">
        <v>139</v>
      </c>
      <c r="Y118" s="1">
        <v>5</v>
      </c>
      <c r="Z118" s="1">
        <v>6</v>
      </c>
      <c r="AA118" s="1">
        <v>49</v>
      </c>
      <c r="AB118" s="1">
        <v>20</v>
      </c>
      <c r="AC118" s="1" t="s">
        <v>1344</v>
      </c>
    </row>
    <row r="119" spans="1:29" x14ac:dyDescent="0.25">
      <c r="A119" s="2">
        <v>540098</v>
      </c>
      <c r="B119" s="2" t="s">
        <v>187</v>
      </c>
      <c r="C119" s="2" t="s">
        <v>45</v>
      </c>
      <c r="D119" s="2" t="s">
        <v>115</v>
      </c>
      <c r="E119" s="2">
        <v>6</v>
      </c>
      <c r="F119" s="197"/>
      <c r="G119" s="2">
        <v>26</v>
      </c>
      <c r="H119" s="2">
        <v>863800</v>
      </c>
      <c r="I119" s="2">
        <v>35338900</v>
      </c>
      <c r="J119" s="2">
        <v>2.4443318835600001E-2</v>
      </c>
      <c r="K119" s="2">
        <v>451600</v>
      </c>
      <c r="L119" s="2">
        <v>3517000</v>
      </c>
      <c r="M119" s="2">
        <v>0.12840489053199999</v>
      </c>
      <c r="N119" s="2">
        <v>75190</v>
      </c>
      <c r="O119" s="2">
        <v>1455500</v>
      </c>
      <c r="P119" s="2">
        <v>5.1659223634499998E-2</v>
      </c>
      <c r="Q119" s="217">
        <f t="shared" si="1"/>
        <v>40311400</v>
      </c>
      <c r="R119" s="2">
        <v>1390600</v>
      </c>
      <c r="S119" s="2">
        <v>42839100</v>
      </c>
      <c r="T119" s="2">
        <v>3.2460999414100002E-2</v>
      </c>
      <c r="U119" s="2">
        <v>18</v>
      </c>
      <c r="V119" s="2">
        <v>1</v>
      </c>
      <c r="W119" s="2">
        <v>1</v>
      </c>
      <c r="X119" s="2">
        <v>5</v>
      </c>
      <c r="Y119" s="2">
        <v>0</v>
      </c>
      <c r="Z119" s="2">
        <v>0</v>
      </c>
      <c r="AA119" s="2">
        <v>0</v>
      </c>
      <c r="AB119" s="2">
        <v>1</v>
      </c>
      <c r="AC119" s="2" t="s">
        <v>1344</v>
      </c>
    </row>
    <row r="120" spans="1:29" x14ac:dyDescent="0.25">
      <c r="A120" s="2">
        <v>540099</v>
      </c>
      <c r="B120" s="2" t="s">
        <v>188</v>
      </c>
      <c r="C120" s="2" t="s">
        <v>45</v>
      </c>
      <c r="D120" s="2" t="s">
        <v>115</v>
      </c>
      <c r="E120" s="2">
        <v>6</v>
      </c>
      <c r="F120" s="197"/>
      <c r="G120" s="2">
        <v>44</v>
      </c>
      <c r="H120" s="2">
        <v>831100</v>
      </c>
      <c r="I120" s="2">
        <v>502292800</v>
      </c>
      <c r="J120" s="2">
        <v>1.6546126084199999E-3</v>
      </c>
      <c r="K120" s="2">
        <v>6179500</v>
      </c>
      <c r="L120" s="2">
        <v>393879100</v>
      </c>
      <c r="M120" s="2">
        <v>1.56888243118E-2</v>
      </c>
      <c r="N120" s="2">
        <v>328320</v>
      </c>
      <c r="O120" s="2">
        <v>18966290</v>
      </c>
      <c r="P120" s="2">
        <v>1.7310712849000001E-2</v>
      </c>
      <c r="Q120" s="217">
        <f t="shared" si="1"/>
        <v>915138190</v>
      </c>
      <c r="R120" s="2">
        <v>7339100</v>
      </c>
      <c r="S120" s="2">
        <v>1127306500</v>
      </c>
      <c r="T120" s="2">
        <v>6.51029688909E-3</v>
      </c>
      <c r="U120" s="2">
        <v>9</v>
      </c>
      <c r="V120" s="2">
        <v>0</v>
      </c>
      <c r="W120" s="2">
        <v>0</v>
      </c>
      <c r="X120" s="2">
        <v>32</v>
      </c>
      <c r="Y120" s="2">
        <v>0</v>
      </c>
      <c r="Z120" s="2">
        <v>0</v>
      </c>
      <c r="AA120" s="2">
        <v>1</v>
      </c>
      <c r="AB120" s="2">
        <v>2</v>
      </c>
      <c r="AC120" s="2" t="s">
        <v>1344</v>
      </c>
    </row>
    <row r="121" spans="1:29" x14ac:dyDescent="0.25">
      <c r="A121" s="2">
        <v>540100</v>
      </c>
      <c r="B121" s="2" t="s">
        <v>189</v>
      </c>
      <c r="C121" s="2" t="s">
        <v>45</v>
      </c>
      <c r="D121" s="2" t="s">
        <v>115</v>
      </c>
      <c r="E121" s="2">
        <v>6</v>
      </c>
      <c r="F121" s="197"/>
      <c r="G121" s="2">
        <v>30</v>
      </c>
      <c r="H121" s="2">
        <v>441600</v>
      </c>
      <c r="I121" s="2">
        <v>7451000</v>
      </c>
      <c r="J121" s="2">
        <v>5.92672124547E-2</v>
      </c>
      <c r="K121" s="2">
        <v>657400</v>
      </c>
      <c r="L121" s="2">
        <v>2010800</v>
      </c>
      <c r="M121" s="2">
        <v>0.32693455341200001</v>
      </c>
      <c r="N121" s="2">
        <v>87480</v>
      </c>
      <c r="O121" s="2">
        <v>2467780</v>
      </c>
      <c r="P121" s="2">
        <v>3.5448864971799998E-2</v>
      </c>
      <c r="Q121" s="217">
        <f t="shared" si="1"/>
        <v>11929580</v>
      </c>
      <c r="R121" s="2">
        <v>1186500</v>
      </c>
      <c r="S121" s="2">
        <v>12755600</v>
      </c>
      <c r="T121" s="2">
        <v>9.3017968578500004E-2</v>
      </c>
      <c r="U121" s="2">
        <v>19</v>
      </c>
      <c r="V121" s="2">
        <v>0</v>
      </c>
      <c r="W121" s="2">
        <v>0</v>
      </c>
      <c r="X121" s="2">
        <v>9</v>
      </c>
      <c r="Y121" s="2">
        <v>0</v>
      </c>
      <c r="Z121" s="2">
        <v>0</v>
      </c>
      <c r="AA121" s="2">
        <v>1</v>
      </c>
      <c r="AB121" s="2">
        <v>1</v>
      </c>
      <c r="AC121" s="2" t="s">
        <v>1344</v>
      </c>
    </row>
    <row r="122" spans="1:29" x14ac:dyDescent="0.25">
      <c r="A122" s="2">
        <v>540101</v>
      </c>
      <c r="B122" s="2" t="s">
        <v>190</v>
      </c>
      <c r="C122" s="2" t="s">
        <v>45</v>
      </c>
      <c r="D122" s="2" t="s">
        <v>115</v>
      </c>
      <c r="E122" s="2">
        <v>6</v>
      </c>
      <c r="F122" s="197"/>
      <c r="G122" s="2">
        <v>67</v>
      </c>
      <c r="H122" s="2">
        <v>2414400</v>
      </c>
      <c r="I122" s="2">
        <v>8044300</v>
      </c>
      <c r="J122" s="2">
        <v>0.300137985903</v>
      </c>
      <c r="K122" s="2">
        <v>4863300</v>
      </c>
      <c r="L122" s="2">
        <v>9050200</v>
      </c>
      <c r="M122" s="2">
        <v>0.53736933990400004</v>
      </c>
      <c r="N122" s="2">
        <v>353590</v>
      </c>
      <c r="O122" s="2">
        <v>572210</v>
      </c>
      <c r="P122" s="2">
        <v>0.61793747050900005</v>
      </c>
      <c r="Q122" s="217">
        <f t="shared" si="1"/>
        <v>17666710</v>
      </c>
      <c r="R122" s="2">
        <v>7631000</v>
      </c>
      <c r="S122" s="2">
        <v>17717300</v>
      </c>
      <c r="T122" s="2">
        <v>0.43070896807100001</v>
      </c>
      <c r="U122" s="2">
        <v>39</v>
      </c>
      <c r="V122" s="2">
        <v>0</v>
      </c>
      <c r="W122" s="2">
        <v>0</v>
      </c>
      <c r="X122" s="2">
        <v>21</v>
      </c>
      <c r="Y122" s="2">
        <v>0</v>
      </c>
      <c r="Z122" s="2">
        <v>0</v>
      </c>
      <c r="AA122" s="2">
        <v>5</v>
      </c>
      <c r="AB122" s="2">
        <v>2</v>
      </c>
      <c r="AC122" s="2" t="s">
        <v>1344</v>
      </c>
    </row>
    <row r="123" spans="1:29" x14ac:dyDescent="0.25">
      <c r="A123" s="2">
        <v>540102</v>
      </c>
      <c r="B123" s="2" t="s">
        <v>191</v>
      </c>
      <c r="C123" s="2" t="s">
        <v>45</v>
      </c>
      <c r="D123" s="2" t="s">
        <v>115</v>
      </c>
      <c r="E123" s="2">
        <v>6</v>
      </c>
      <c r="F123" s="197"/>
      <c r="G123" s="2">
        <v>48</v>
      </c>
      <c r="H123" s="2">
        <v>637200</v>
      </c>
      <c r="I123" s="2">
        <v>11412000</v>
      </c>
      <c r="J123" s="2">
        <v>5.5835962145099997E-2</v>
      </c>
      <c r="K123" s="2">
        <v>34200</v>
      </c>
      <c r="L123" s="2">
        <v>912400</v>
      </c>
      <c r="M123" s="2">
        <v>3.7483559842199997E-2</v>
      </c>
      <c r="N123" s="2">
        <v>89240</v>
      </c>
      <c r="O123" s="2">
        <v>1021360</v>
      </c>
      <c r="P123" s="2">
        <v>8.7373697814700002E-2</v>
      </c>
      <c r="Q123" s="217">
        <f t="shared" si="1"/>
        <v>13345760</v>
      </c>
      <c r="R123" s="2">
        <v>760800</v>
      </c>
      <c r="S123" s="2">
        <v>13421700</v>
      </c>
      <c r="T123" s="2">
        <v>5.6684324638499997E-2</v>
      </c>
      <c r="U123" s="2">
        <v>42</v>
      </c>
      <c r="V123" s="2">
        <v>0</v>
      </c>
      <c r="W123" s="2">
        <v>0</v>
      </c>
      <c r="X123" s="2">
        <v>2</v>
      </c>
      <c r="Y123" s="2">
        <v>0</v>
      </c>
      <c r="Z123" s="2">
        <v>0</v>
      </c>
      <c r="AA123" s="2">
        <v>3</v>
      </c>
      <c r="AB123" s="2">
        <v>1</v>
      </c>
      <c r="AC123" s="2" t="s">
        <v>1344</v>
      </c>
    </row>
    <row r="124" spans="1:29" x14ac:dyDescent="0.25">
      <c r="A124" s="2">
        <v>540103</v>
      </c>
      <c r="B124" s="2" t="s">
        <v>192</v>
      </c>
      <c r="C124" s="2" t="s">
        <v>45</v>
      </c>
      <c r="D124" s="2" t="s">
        <v>115</v>
      </c>
      <c r="E124" s="2">
        <v>6</v>
      </c>
      <c r="F124" s="197"/>
      <c r="G124" s="2">
        <v>273</v>
      </c>
      <c r="H124" s="2">
        <v>10164200</v>
      </c>
      <c r="I124" s="2">
        <v>42570000</v>
      </c>
      <c r="J124" s="2">
        <v>0.23876438806700001</v>
      </c>
      <c r="K124" s="2">
        <v>3335600</v>
      </c>
      <c r="L124" s="2">
        <v>13041500</v>
      </c>
      <c r="M124" s="2">
        <v>0.25576812483200001</v>
      </c>
      <c r="N124" s="2">
        <v>1170360</v>
      </c>
      <c r="O124" s="2">
        <v>4670310</v>
      </c>
      <c r="P124" s="2">
        <v>0.25059578486200002</v>
      </c>
      <c r="Q124" s="217">
        <f t="shared" si="1"/>
        <v>60281810</v>
      </c>
      <c r="R124" s="2">
        <v>34652100</v>
      </c>
      <c r="S124" s="2">
        <v>66610400</v>
      </c>
      <c r="T124" s="2">
        <v>0.52022056615800005</v>
      </c>
      <c r="U124" s="2">
        <v>185</v>
      </c>
      <c r="V124" s="2">
        <v>0</v>
      </c>
      <c r="W124" s="2">
        <v>0</v>
      </c>
      <c r="X124" s="2">
        <v>37</v>
      </c>
      <c r="Y124" s="2">
        <v>0</v>
      </c>
      <c r="Z124" s="2">
        <v>1</v>
      </c>
      <c r="AA124" s="2">
        <v>43</v>
      </c>
      <c r="AB124" s="2">
        <v>7</v>
      </c>
      <c r="AC124" s="2" t="s">
        <v>1344</v>
      </c>
    </row>
    <row r="125" spans="1:29" x14ac:dyDescent="0.25">
      <c r="A125" s="2">
        <v>540104</v>
      </c>
      <c r="B125" s="2" t="s">
        <v>193</v>
      </c>
      <c r="C125" s="2" t="s">
        <v>45</v>
      </c>
      <c r="D125" s="2" t="s">
        <v>115</v>
      </c>
      <c r="E125" s="2">
        <v>6</v>
      </c>
      <c r="F125" s="197"/>
      <c r="G125" s="2">
        <v>25</v>
      </c>
      <c r="H125" s="2">
        <v>811200</v>
      </c>
      <c r="I125" s="2">
        <v>19271300</v>
      </c>
      <c r="J125" s="2">
        <v>4.2093683352999997E-2</v>
      </c>
      <c r="K125" s="2">
        <v>2264100</v>
      </c>
      <c r="L125" s="2">
        <v>4778400</v>
      </c>
      <c r="M125" s="2">
        <v>0.47381968859899998</v>
      </c>
      <c r="N125" s="2">
        <v>511340</v>
      </c>
      <c r="O125" s="2">
        <v>1227620</v>
      </c>
      <c r="P125" s="2">
        <v>0.41652954497299999</v>
      </c>
      <c r="Q125" s="217">
        <f t="shared" si="1"/>
        <v>25277320</v>
      </c>
      <c r="R125" s="2">
        <v>3586600</v>
      </c>
      <c r="S125" s="2">
        <v>29818300</v>
      </c>
      <c r="T125" s="2">
        <v>0.12028184034599999</v>
      </c>
      <c r="U125" s="2">
        <v>17</v>
      </c>
      <c r="V125" s="2">
        <v>0</v>
      </c>
      <c r="W125" s="2">
        <v>0</v>
      </c>
      <c r="X125" s="2">
        <v>4</v>
      </c>
      <c r="Y125" s="2">
        <v>3</v>
      </c>
      <c r="Z125" s="2">
        <v>0</v>
      </c>
      <c r="AA125" s="2">
        <v>1</v>
      </c>
      <c r="AB125" s="2">
        <v>0</v>
      </c>
      <c r="AC125" s="2" t="s">
        <v>1344</v>
      </c>
    </row>
    <row r="126" spans="1:29" x14ac:dyDescent="0.25">
      <c r="A126" s="2">
        <v>540105</v>
      </c>
      <c r="B126" s="2" t="s">
        <v>194</v>
      </c>
      <c r="C126" s="2" t="s">
        <v>45</v>
      </c>
      <c r="D126" s="2" t="s">
        <v>115</v>
      </c>
      <c r="E126" s="2">
        <v>6</v>
      </c>
      <c r="F126" s="197"/>
      <c r="G126" s="2">
        <v>35</v>
      </c>
      <c r="H126" s="2">
        <v>351700</v>
      </c>
      <c r="I126" s="2">
        <v>22092200</v>
      </c>
      <c r="J126" s="2">
        <v>1.59196458479E-2</v>
      </c>
      <c r="K126" s="2">
        <v>9388800</v>
      </c>
      <c r="L126" s="2">
        <v>3982200</v>
      </c>
      <c r="M126" s="2">
        <v>2.3576917281899998</v>
      </c>
      <c r="N126" s="2">
        <v>367410</v>
      </c>
      <c r="O126" s="2">
        <v>1707480</v>
      </c>
      <c r="P126" s="2">
        <v>0.215176751704</v>
      </c>
      <c r="Q126" s="217">
        <f t="shared" si="1"/>
        <v>27781880</v>
      </c>
      <c r="R126" s="2">
        <v>10107900</v>
      </c>
      <c r="S126" s="2">
        <v>28588100</v>
      </c>
      <c r="T126" s="2">
        <v>0.35357019179299998</v>
      </c>
      <c r="U126" s="2">
        <v>10</v>
      </c>
      <c r="V126" s="2">
        <v>0</v>
      </c>
      <c r="W126" s="2">
        <v>0</v>
      </c>
      <c r="X126" s="2">
        <v>10</v>
      </c>
      <c r="Y126" s="2">
        <v>6</v>
      </c>
      <c r="Z126" s="2">
        <v>1</v>
      </c>
      <c r="AA126" s="2">
        <v>6</v>
      </c>
      <c r="AB126" s="2">
        <v>2</v>
      </c>
      <c r="AC126" s="2" t="s">
        <v>1344</v>
      </c>
    </row>
    <row r="127" spans="1:29" x14ac:dyDescent="0.25">
      <c r="A127" s="2">
        <v>540106</v>
      </c>
      <c r="B127" s="2" t="s">
        <v>195</v>
      </c>
      <c r="C127" s="2" t="s">
        <v>45</v>
      </c>
      <c r="D127" s="2" t="s">
        <v>115</v>
      </c>
      <c r="E127" s="2">
        <v>6</v>
      </c>
      <c r="F127" s="197"/>
      <c r="G127" s="2">
        <v>28</v>
      </c>
      <c r="H127" s="2">
        <v>851700</v>
      </c>
      <c r="I127" s="2">
        <v>3434300</v>
      </c>
      <c r="J127" s="2">
        <v>0.247998136447</v>
      </c>
      <c r="K127" s="2">
        <v>219600</v>
      </c>
      <c r="L127" s="2">
        <v>998900</v>
      </c>
      <c r="M127" s="2">
        <v>0.21984182600900001</v>
      </c>
      <c r="N127" s="2">
        <v>48030</v>
      </c>
      <c r="O127" s="2">
        <v>206910</v>
      </c>
      <c r="P127" s="2">
        <v>0.23212991155599999</v>
      </c>
      <c r="Q127" s="217">
        <f t="shared" si="1"/>
        <v>4640110</v>
      </c>
      <c r="R127" s="2">
        <v>1119500</v>
      </c>
      <c r="S127" s="2">
        <v>4650200</v>
      </c>
      <c r="T127" s="2">
        <v>0.24074233366299999</v>
      </c>
      <c r="U127" s="2">
        <v>19</v>
      </c>
      <c r="V127" s="2">
        <v>0</v>
      </c>
      <c r="W127" s="2">
        <v>0</v>
      </c>
      <c r="X127" s="2">
        <v>3</v>
      </c>
      <c r="Y127" s="2">
        <v>0</v>
      </c>
      <c r="Z127" s="2">
        <v>2</v>
      </c>
      <c r="AA127" s="2">
        <v>4</v>
      </c>
      <c r="AB127" s="2">
        <v>0</v>
      </c>
      <c r="AC127" s="2" t="s">
        <v>1344</v>
      </c>
    </row>
    <row r="128" spans="1:29" x14ac:dyDescent="0.25">
      <c r="A128" s="2">
        <v>540292</v>
      </c>
      <c r="B128" s="2" t="s">
        <v>329</v>
      </c>
      <c r="C128" s="2" t="s">
        <v>45</v>
      </c>
      <c r="D128" s="2" t="s">
        <v>115</v>
      </c>
      <c r="E128" s="2">
        <v>6</v>
      </c>
      <c r="F128" s="197"/>
      <c r="G128" s="2">
        <v>48</v>
      </c>
      <c r="H128" s="2">
        <v>3716500</v>
      </c>
      <c r="I128" s="2">
        <v>104671300</v>
      </c>
      <c r="J128" s="2">
        <v>3.5506390003800001E-2</v>
      </c>
      <c r="K128" s="2">
        <v>0</v>
      </c>
      <c r="L128" s="2">
        <v>49513500</v>
      </c>
      <c r="M128" s="2">
        <v>0</v>
      </c>
      <c r="N128" s="2">
        <v>132160</v>
      </c>
      <c r="O128" s="2">
        <v>7011910</v>
      </c>
      <c r="P128" s="2">
        <v>1.8847931590700001E-2</v>
      </c>
      <c r="Q128" s="217">
        <f t="shared" si="1"/>
        <v>161196710</v>
      </c>
      <c r="R128" s="2">
        <v>3848600</v>
      </c>
      <c r="S128" s="2">
        <v>171664100</v>
      </c>
      <c r="T128" s="2">
        <v>2.2419364328399999E-2</v>
      </c>
      <c r="U128" s="2">
        <v>45</v>
      </c>
      <c r="V128" s="2">
        <v>0</v>
      </c>
      <c r="W128" s="2">
        <v>0</v>
      </c>
      <c r="X128" s="2">
        <v>0</v>
      </c>
      <c r="Y128" s="2">
        <v>0</v>
      </c>
      <c r="Z128" s="2">
        <v>0</v>
      </c>
      <c r="AA128" s="2">
        <v>3</v>
      </c>
      <c r="AB128" s="2">
        <v>0</v>
      </c>
      <c r="AC128" s="2" t="s">
        <v>1344</v>
      </c>
    </row>
    <row r="129" spans="1:29" x14ac:dyDescent="0.25">
      <c r="A129" s="2">
        <v>545556</v>
      </c>
      <c r="B129" s="2" t="s">
        <v>337</v>
      </c>
      <c r="C129" s="2" t="s">
        <v>45</v>
      </c>
      <c r="D129" s="2" t="s">
        <v>115</v>
      </c>
      <c r="E129" s="2">
        <v>6</v>
      </c>
      <c r="F129" s="197"/>
      <c r="G129" s="2">
        <v>5</v>
      </c>
      <c r="H129" s="2">
        <v>0</v>
      </c>
      <c r="I129" s="2">
        <v>21354200</v>
      </c>
      <c r="J129" s="2">
        <v>0</v>
      </c>
      <c r="K129" s="2">
        <v>42800</v>
      </c>
      <c r="L129" s="2">
        <v>62104000</v>
      </c>
      <c r="M129" s="2">
        <v>6.8916655931999999E-4</v>
      </c>
      <c r="N129" s="2">
        <v>7050</v>
      </c>
      <c r="O129" s="2">
        <v>4398690</v>
      </c>
      <c r="P129" s="2">
        <v>1.6027499096299999E-3</v>
      </c>
      <c r="Q129" s="217">
        <f t="shared" si="1"/>
        <v>87856890</v>
      </c>
      <c r="R129" s="2">
        <v>50000</v>
      </c>
      <c r="S129" s="2">
        <v>90358000</v>
      </c>
      <c r="T129" s="2">
        <v>5.5335443458199999E-4</v>
      </c>
      <c r="U129" s="2">
        <v>0</v>
      </c>
      <c r="V129" s="2">
        <v>0</v>
      </c>
      <c r="W129" s="2">
        <v>0</v>
      </c>
      <c r="X129" s="2">
        <v>3</v>
      </c>
      <c r="Y129" s="2">
        <v>0</v>
      </c>
      <c r="Z129" s="2">
        <v>0</v>
      </c>
      <c r="AA129" s="2">
        <v>2</v>
      </c>
      <c r="AB129" s="2">
        <v>0</v>
      </c>
      <c r="AC129" s="2" t="s">
        <v>1344</v>
      </c>
    </row>
    <row r="130" spans="1:29" x14ac:dyDescent="0.25">
      <c r="A130" s="2"/>
      <c r="B130" s="2"/>
      <c r="C130" s="2" t="s">
        <v>45</v>
      </c>
      <c r="D130" s="2"/>
      <c r="E130" s="2"/>
      <c r="F130" s="197"/>
      <c r="G130" s="2">
        <v>2145</v>
      </c>
      <c r="H130" s="2">
        <v>81421400</v>
      </c>
      <c r="I130" s="2">
        <v>1629642200</v>
      </c>
      <c r="J130" s="2">
        <v>4.9962746423700001E-2</v>
      </c>
      <c r="K130" s="2">
        <v>47838500</v>
      </c>
      <c r="L130" s="2">
        <v>675143900</v>
      </c>
      <c r="M130" s="2">
        <v>7.0856746243300003E-2</v>
      </c>
      <c r="N130" s="2">
        <v>17710760</v>
      </c>
      <c r="O130" s="2">
        <v>122407950</v>
      </c>
      <c r="P130" s="2">
        <v>0.14468635411299999</v>
      </c>
      <c r="Q130" s="217">
        <f t="shared" si="1"/>
        <v>2427194050</v>
      </c>
      <c r="R130" s="2">
        <v>170123700</v>
      </c>
      <c r="S130" s="2">
        <v>2697832600</v>
      </c>
      <c r="T130" s="2">
        <v>6.3059398125699995E-2</v>
      </c>
      <c r="U130" s="2">
        <v>1532</v>
      </c>
      <c r="V130" s="2">
        <v>1</v>
      </c>
      <c r="W130" s="2">
        <v>169</v>
      </c>
      <c r="X130" s="2">
        <v>265</v>
      </c>
      <c r="Y130" s="2">
        <v>14</v>
      </c>
      <c r="Z130" s="2">
        <v>10</v>
      </c>
      <c r="AA130" s="2">
        <v>118</v>
      </c>
      <c r="AB130" s="2">
        <v>36</v>
      </c>
      <c r="AC130" s="2" t="s">
        <v>1344</v>
      </c>
    </row>
    <row r="131" spans="1:29" x14ac:dyDescent="0.25">
      <c r="A131" s="1">
        <v>540107</v>
      </c>
      <c r="B131" s="1" t="s">
        <v>46</v>
      </c>
      <c r="C131" s="1" t="s">
        <v>47</v>
      </c>
      <c r="D131" s="1" t="s">
        <v>5</v>
      </c>
      <c r="E131" s="1">
        <v>10</v>
      </c>
      <c r="F131" s="215"/>
      <c r="G131" s="1">
        <v>590</v>
      </c>
      <c r="H131" s="1">
        <v>19668000</v>
      </c>
      <c r="I131" s="1">
        <v>492070600</v>
      </c>
      <c r="J131" s="1">
        <v>3.9969874241599999E-2</v>
      </c>
      <c r="K131" s="1">
        <v>30142900</v>
      </c>
      <c r="L131" s="1">
        <v>108812200</v>
      </c>
      <c r="M131" s="1">
        <v>0.27701765059400002</v>
      </c>
      <c r="N131" s="1">
        <v>5573940</v>
      </c>
      <c r="O131" s="1">
        <v>59012050</v>
      </c>
      <c r="P131" s="1">
        <v>9.4454268238400002E-2</v>
      </c>
      <c r="Q131" s="216">
        <f t="shared" si="1"/>
        <v>659894850</v>
      </c>
      <c r="R131" s="1">
        <v>56680900</v>
      </c>
      <c r="S131" s="1">
        <v>744184400</v>
      </c>
      <c r="T131" s="1">
        <v>7.61651278903E-2</v>
      </c>
      <c r="U131" s="1">
        <v>381</v>
      </c>
      <c r="V131" s="1">
        <v>27</v>
      </c>
      <c r="W131" s="1">
        <v>63</v>
      </c>
      <c r="X131" s="1">
        <v>88</v>
      </c>
      <c r="Y131" s="1">
        <v>1</v>
      </c>
      <c r="Z131" s="1">
        <v>2</v>
      </c>
      <c r="AA131" s="1">
        <v>11</v>
      </c>
      <c r="AB131" s="1">
        <v>17</v>
      </c>
      <c r="AC131" s="1" t="s">
        <v>1344</v>
      </c>
    </row>
    <row r="132" spans="1:29" x14ac:dyDescent="0.25">
      <c r="A132" s="2">
        <v>540108</v>
      </c>
      <c r="B132" s="2" t="s">
        <v>196</v>
      </c>
      <c r="C132" s="2" t="s">
        <v>47</v>
      </c>
      <c r="D132" s="2" t="s">
        <v>115</v>
      </c>
      <c r="E132" s="2">
        <v>10</v>
      </c>
      <c r="F132" s="197"/>
      <c r="G132" s="2">
        <v>340</v>
      </c>
      <c r="H132" s="2">
        <v>8316800</v>
      </c>
      <c r="I132" s="2">
        <v>16283500</v>
      </c>
      <c r="J132" s="2">
        <v>0.51075014585300005</v>
      </c>
      <c r="K132" s="2">
        <v>21118900</v>
      </c>
      <c r="L132" s="2">
        <v>18508600</v>
      </c>
      <c r="M132" s="2">
        <v>1.1410317366</v>
      </c>
      <c r="N132" s="2">
        <v>1888640</v>
      </c>
      <c r="O132" s="2">
        <v>1877590</v>
      </c>
      <c r="P132" s="2">
        <v>1.0058852039099999</v>
      </c>
      <c r="Q132" s="217">
        <f t="shared" ref="Q132:Q195" si="2" xml:space="preserve"> I132 + L132+ O132</f>
        <v>36669690</v>
      </c>
      <c r="R132" s="2">
        <v>31525500</v>
      </c>
      <c r="S132" s="2">
        <v>36856500</v>
      </c>
      <c r="T132" s="2">
        <v>0.85535794228999995</v>
      </c>
      <c r="U132" s="2">
        <v>278</v>
      </c>
      <c r="V132" s="2">
        <v>0</v>
      </c>
      <c r="W132" s="2">
        <v>0</v>
      </c>
      <c r="X132" s="2">
        <v>35</v>
      </c>
      <c r="Y132" s="2">
        <v>5</v>
      </c>
      <c r="Z132" s="2">
        <v>0</v>
      </c>
      <c r="AA132" s="2">
        <v>20</v>
      </c>
      <c r="AB132" s="2">
        <v>2</v>
      </c>
      <c r="AC132" s="2" t="s">
        <v>1344</v>
      </c>
    </row>
    <row r="133" spans="1:29" x14ac:dyDescent="0.25">
      <c r="A133" s="2">
        <v>540109</v>
      </c>
      <c r="B133" s="2" t="s">
        <v>197</v>
      </c>
      <c r="C133" s="2" t="s">
        <v>47</v>
      </c>
      <c r="D133" s="2" t="s">
        <v>115</v>
      </c>
      <c r="E133" s="2">
        <v>10</v>
      </c>
      <c r="F133" s="197"/>
      <c r="G133" s="2">
        <v>29</v>
      </c>
      <c r="H133" s="2">
        <v>1352700</v>
      </c>
      <c r="I133" s="2">
        <v>56466700</v>
      </c>
      <c r="J133" s="2">
        <v>2.3955711950599999E-2</v>
      </c>
      <c r="K133" s="2">
        <v>71200</v>
      </c>
      <c r="L133" s="2">
        <v>63191900</v>
      </c>
      <c r="M133" s="2">
        <v>1.12672668491E-3</v>
      </c>
      <c r="N133" s="2">
        <v>66920</v>
      </c>
      <c r="O133" s="2">
        <v>4113980</v>
      </c>
      <c r="P133" s="2">
        <v>1.62664864681E-2</v>
      </c>
      <c r="Q133" s="217">
        <f t="shared" si="2"/>
        <v>123772580</v>
      </c>
      <c r="R133" s="2">
        <v>1501400</v>
      </c>
      <c r="S133" s="2">
        <v>129848900</v>
      </c>
      <c r="T133" s="2">
        <v>1.15626701497E-2</v>
      </c>
      <c r="U133" s="2">
        <v>26</v>
      </c>
      <c r="V133" s="2">
        <v>1</v>
      </c>
      <c r="W133" s="2">
        <v>0</v>
      </c>
      <c r="X133" s="2">
        <v>2</v>
      </c>
      <c r="Y133" s="2">
        <v>0</v>
      </c>
      <c r="Z133" s="2">
        <v>0</v>
      </c>
      <c r="AA133" s="2">
        <v>0</v>
      </c>
      <c r="AB133" s="2">
        <v>0</v>
      </c>
      <c r="AC133" s="2" t="s">
        <v>1344</v>
      </c>
    </row>
    <row r="134" spans="1:29" x14ac:dyDescent="0.25">
      <c r="A134" s="2">
        <v>540110</v>
      </c>
      <c r="B134" s="2" t="s">
        <v>198</v>
      </c>
      <c r="C134" s="2" t="s">
        <v>47</v>
      </c>
      <c r="D134" s="2" t="s">
        <v>115</v>
      </c>
      <c r="E134" s="2">
        <v>10</v>
      </c>
      <c r="F134" s="197"/>
      <c r="G134" s="2">
        <v>124</v>
      </c>
      <c r="H134" s="2">
        <v>3973500</v>
      </c>
      <c r="I134" s="2">
        <v>30026100</v>
      </c>
      <c r="J134" s="2">
        <v>0.13233486866399999</v>
      </c>
      <c r="K134" s="2">
        <v>3655100</v>
      </c>
      <c r="L134" s="2">
        <v>10007300</v>
      </c>
      <c r="M134" s="2">
        <v>0.36524337233800003</v>
      </c>
      <c r="N134" s="2">
        <v>264750</v>
      </c>
      <c r="O134" s="2">
        <v>2135860</v>
      </c>
      <c r="P134" s="2">
        <v>0.123954753589</v>
      </c>
      <c r="Q134" s="217">
        <f t="shared" si="2"/>
        <v>42169260</v>
      </c>
      <c r="R134" s="2">
        <v>8092900</v>
      </c>
      <c r="S134" s="2">
        <v>42728900</v>
      </c>
      <c r="T134" s="2">
        <v>0.189401084512</v>
      </c>
      <c r="U134" s="2">
        <v>99</v>
      </c>
      <c r="V134" s="2">
        <v>3</v>
      </c>
      <c r="W134" s="2">
        <v>0</v>
      </c>
      <c r="X134" s="2">
        <v>14</v>
      </c>
      <c r="Y134" s="2">
        <v>0</v>
      </c>
      <c r="Z134" s="2">
        <v>0</v>
      </c>
      <c r="AA134" s="2">
        <v>8</v>
      </c>
      <c r="AB134" s="2">
        <v>0</v>
      </c>
      <c r="AC134" s="2" t="s">
        <v>1344</v>
      </c>
    </row>
    <row r="135" spans="1:29" x14ac:dyDescent="0.25">
      <c r="A135" s="2">
        <v>540111</v>
      </c>
      <c r="B135" s="2" t="s">
        <v>199</v>
      </c>
      <c r="C135" s="2" t="s">
        <v>47</v>
      </c>
      <c r="D135" s="2" t="s">
        <v>115</v>
      </c>
      <c r="E135" s="2">
        <v>10</v>
      </c>
      <c r="F135" s="197"/>
      <c r="G135" s="2">
        <v>300</v>
      </c>
      <c r="H135" s="2">
        <v>2536600</v>
      </c>
      <c r="I135" s="2">
        <v>162872900</v>
      </c>
      <c r="J135" s="2">
        <v>1.55741071719E-2</v>
      </c>
      <c r="K135" s="2">
        <v>49674900</v>
      </c>
      <c r="L135" s="2">
        <v>111626900</v>
      </c>
      <c r="M135" s="2">
        <v>0.445008326846</v>
      </c>
      <c r="N135" s="2">
        <v>5841860</v>
      </c>
      <c r="O135" s="2">
        <v>22020020</v>
      </c>
      <c r="P135" s="2">
        <v>0.26529767002900001</v>
      </c>
      <c r="Q135" s="217">
        <f t="shared" si="2"/>
        <v>296519820</v>
      </c>
      <c r="R135" s="2">
        <v>60458600</v>
      </c>
      <c r="S135" s="2">
        <v>300921200</v>
      </c>
      <c r="T135" s="2">
        <v>0.200911733703</v>
      </c>
      <c r="U135" s="2">
        <v>163</v>
      </c>
      <c r="V135" s="2">
        <v>48</v>
      </c>
      <c r="W135" s="2">
        <v>0</v>
      </c>
      <c r="X135" s="2">
        <v>67</v>
      </c>
      <c r="Y135" s="2">
        <v>0</v>
      </c>
      <c r="Z135" s="2">
        <v>0</v>
      </c>
      <c r="AA135" s="2">
        <v>20</v>
      </c>
      <c r="AB135" s="2">
        <v>2</v>
      </c>
      <c r="AC135" s="2" t="s">
        <v>1344</v>
      </c>
    </row>
    <row r="136" spans="1:29" x14ac:dyDescent="0.25">
      <c r="A136" s="2">
        <v>540287</v>
      </c>
      <c r="B136" s="2" t="s">
        <v>326</v>
      </c>
      <c r="C136" s="2" t="s">
        <v>47</v>
      </c>
      <c r="D136" s="2" t="s">
        <v>115</v>
      </c>
      <c r="E136" s="2">
        <v>10</v>
      </c>
      <c r="F136" s="197"/>
      <c r="G136" s="2">
        <v>57</v>
      </c>
      <c r="H136" s="2">
        <v>1194800</v>
      </c>
      <c r="I136" s="2">
        <v>12276400</v>
      </c>
      <c r="J136" s="2">
        <v>9.7324948682000006E-2</v>
      </c>
      <c r="K136" s="2">
        <v>2213800</v>
      </c>
      <c r="L136" s="2">
        <v>7693000</v>
      </c>
      <c r="M136" s="2">
        <v>0.28776810087100002</v>
      </c>
      <c r="N136" s="2">
        <v>186540</v>
      </c>
      <c r="O136" s="2">
        <v>1043100</v>
      </c>
      <c r="P136" s="2">
        <v>0.17883232671800001</v>
      </c>
      <c r="Q136" s="217">
        <f t="shared" si="2"/>
        <v>21012500</v>
      </c>
      <c r="R136" s="2">
        <v>3626300</v>
      </c>
      <c r="S136" s="2">
        <v>23293600</v>
      </c>
      <c r="T136" s="2">
        <v>0.15567795445999999</v>
      </c>
      <c r="U136" s="2">
        <v>41</v>
      </c>
      <c r="V136" s="2">
        <v>0</v>
      </c>
      <c r="W136" s="2">
        <v>1</v>
      </c>
      <c r="X136" s="2">
        <v>4</v>
      </c>
      <c r="Y136" s="2">
        <v>0</v>
      </c>
      <c r="Z136" s="2">
        <v>0</v>
      </c>
      <c r="AA136" s="2">
        <v>9</v>
      </c>
      <c r="AB136" s="2">
        <v>2</v>
      </c>
      <c r="AC136" s="2" t="s">
        <v>1344</v>
      </c>
    </row>
    <row r="137" spans="1:29" x14ac:dyDescent="0.25">
      <c r="A137" s="2">
        <v>540152</v>
      </c>
      <c r="B137" s="2" t="s">
        <v>229</v>
      </c>
      <c r="C137" s="2" t="s">
        <v>47</v>
      </c>
      <c r="D137" s="2" t="s">
        <v>115</v>
      </c>
      <c r="E137" s="2">
        <v>10</v>
      </c>
      <c r="F137" s="197"/>
      <c r="G137" s="2">
        <v>6</v>
      </c>
      <c r="H137" s="2">
        <v>178300</v>
      </c>
      <c r="I137" s="2">
        <v>8829800</v>
      </c>
      <c r="J137" s="2">
        <v>2.0192982853500002E-2</v>
      </c>
      <c r="K137" s="2">
        <v>0</v>
      </c>
      <c r="L137" s="2">
        <v>3108000</v>
      </c>
      <c r="M137" s="2">
        <v>0</v>
      </c>
      <c r="N137" s="2">
        <v>5680</v>
      </c>
      <c r="O137" s="2">
        <v>410520</v>
      </c>
      <c r="P137" s="2">
        <v>1.38361102991E-2</v>
      </c>
      <c r="Q137" s="217">
        <f t="shared" si="2"/>
        <v>12348320</v>
      </c>
      <c r="R137" s="2">
        <v>184000</v>
      </c>
      <c r="S137" s="2">
        <v>12353000</v>
      </c>
      <c r="T137" s="2">
        <v>1.4895167165899999E-2</v>
      </c>
      <c r="U137" s="2">
        <v>6</v>
      </c>
      <c r="V137" s="2">
        <v>0</v>
      </c>
      <c r="W137" s="2">
        <v>0</v>
      </c>
      <c r="X137" s="2">
        <v>0</v>
      </c>
      <c r="Y137" s="2">
        <v>0</v>
      </c>
      <c r="Z137" s="2">
        <v>0</v>
      </c>
      <c r="AA137" s="2">
        <v>0</v>
      </c>
      <c r="AB137" s="2">
        <v>0</v>
      </c>
      <c r="AC137" s="2" t="s">
        <v>1344</v>
      </c>
    </row>
    <row r="138" spans="1:29" x14ac:dyDescent="0.25">
      <c r="A138" s="2"/>
      <c r="B138" s="2"/>
      <c r="C138" s="2" t="s">
        <v>47</v>
      </c>
      <c r="D138" s="2"/>
      <c r="E138" s="2"/>
      <c r="F138" s="197"/>
      <c r="G138" s="2">
        <v>1446</v>
      </c>
      <c r="H138" s="2">
        <v>37220700</v>
      </c>
      <c r="I138" s="2">
        <v>778826000</v>
      </c>
      <c r="J138" s="2">
        <v>4.77907774009E-2</v>
      </c>
      <c r="K138" s="2">
        <v>106876800</v>
      </c>
      <c r="L138" s="2">
        <v>322947900</v>
      </c>
      <c r="M138" s="2">
        <v>0.330941306632</v>
      </c>
      <c r="N138" s="2">
        <v>13828330</v>
      </c>
      <c r="O138" s="2">
        <v>90613120</v>
      </c>
      <c r="P138" s="2">
        <v>0.15260847435800001</v>
      </c>
      <c r="Q138" s="217">
        <f t="shared" si="2"/>
        <v>1192387020</v>
      </c>
      <c r="R138" s="2">
        <v>162069600</v>
      </c>
      <c r="S138" s="2">
        <v>1290186500</v>
      </c>
      <c r="T138" s="2">
        <v>0.125617187903</v>
      </c>
      <c r="U138" s="2">
        <v>994</v>
      </c>
      <c r="V138" s="2">
        <v>79</v>
      </c>
      <c r="W138" s="2">
        <v>64</v>
      </c>
      <c r="X138" s="2">
        <v>210</v>
      </c>
      <c r="Y138" s="2">
        <v>6</v>
      </c>
      <c r="Z138" s="2">
        <v>2</v>
      </c>
      <c r="AA138" s="2">
        <v>68</v>
      </c>
      <c r="AB138" s="2">
        <v>23</v>
      </c>
      <c r="AC138" s="2" t="s">
        <v>1344</v>
      </c>
    </row>
    <row r="139" spans="1:29" x14ac:dyDescent="0.25">
      <c r="A139" s="3">
        <v>540112</v>
      </c>
      <c r="B139" s="3" t="s">
        <v>48</v>
      </c>
      <c r="C139" s="3" t="s">
        <v>49</v>
      </c>
      <c r="D139" s="3" t="s">
        <v>5</v>
      </c>
      <c r="E139" s="3">
        <v>2</v>
      </c>
      <c r="F139" s="215"/>
      <c r="G139" s="3">
        <v>1182</v>
      </c>
      <c r="H139" s="3">
        <v>26205300</v>
      </c>
      <c r="I139" s="3">
        <v>406141900</v>
      </c>
      <c r="J139" s="3">
        <v>6.4522522793100001E-2</v>
      </c>
      <c r="K139" s="3">
        <v>13275700</v>
      </c>
      <c r="L139" s="3">
        <v>123626000</v>
      </c>
      <c r="M139" s="3">
        <v>0.10738598676699999</v>
      </c>
      <c r="N139" s="3">
        <v>46874790</v>
      </c>
      <c r="O139" s="3">
        <v>66142300</v>
      </c>
      <c r="P139" s="3">
        <v>0.70869609916800003</v>
      </c>
      <c r="Q139" s="220">
        <f t="shared" si="2"/>
        <v>595910200</v>
      </c>
      <c r="R139" s="3">
        <v>87774400</v>
      </c>
      <c r="S139" s="3">
        <v>1074472800</v>
      </c>
      <c r="T139" s="3">
        <v>8.1690667274200005E-2</v>
      </c>
      <c r="U139" s="3">
        <v>540</v>
      </c>
      <c r="V139" s="3">
        <v>0</v>
      </c>
      <c r="W139" s="3">
        <v>473</v>
      </c>
      <c r="X139" s="3">
        <v>133</v>
      </c>
      <c r="Y139" s="3">
        <v>1</v>
      </c>
      <c r="Z139" s="3">
        <v>1</v>
      </c>
      <c r="AA139" s="3">
        <v>15</v>
      </c>
      <c r="AB139" s="3">
        <v>19</v>
      </c>
      <c r="AC139" s="3" t="s">
        <v>1344</v>
      </c>
    </row>
    <row r="140" spans="1:29" x14ac:dyDescent="0.25">
      <c r="A140" s="2">
        <v>540113</v>
      </c>
      <c r="B140" s="2" t="s">
        <v>200</v>
      </c>
      <c r="C140" s="2" t="s">
        <v>49</v>
      </c>
      <c r="D140" s="2" t="s">
        <v>115</v>
      </c>
      <c r="E140" s="2">
        <v>2</v>
      </c>
      <c r="F140" s="197"/>
      <c r="G140" s="2">
        <v>34</v>
      </c>
      <c r="H140" s="2">
        <v>501700</v>
      </c>
      <c r="I140" s="2">
        <v>1767400</v>
      </c>
      <c r="J140" s="2">
        <v>0.28386330202600002</v>
      </c>
      <c r="K140" s="2">
        <v>134900</v>
      </c>
      <c r="L140" s="2">
        <v>278200</v>
      </c>
      <c r="M140" s="2">
        <v>0.48490294752000002</v>
      </c>
      <c r="N140" s="2">
        <v>91020</v>
      </c>
      <c r="O140" s="2">
        <v>882660</v>
      </c>
      <c r="P140" s="2">
        <v>0.1031201142</v>
      </c>
      <c r="Q140" s="217">
        <f t="shared" si="2"/>
        <v>2928260</v>
      </c>
      <c r="R140" s="2">
        <v>731800</v>
      </c>
      <c r="S140" s="2">
        <v>2935800</v>
      </c>
      <c r="T140" s="2">
        <v>0.249267661285</v>
      </c>
      <c r="U140" s="2">
        <v>27</v>
      </c>
      <c r="V140" s="2">
        <v>0</v>
      </c>
      <c r="W140" s="2">
        <v>0</v>
      </c>
      <c r="X140" s="2">
        <v>0</v>
      </c>
      <c r="Y140" s="2">
        <v>0</v>
      </c>
      <c r="Z140" s="2">
        <v>0</v>
      </c>
      <c r="AA140" s="2">
        <v>5</v>
      </c>
      <c r="AB140" s="2">
        <v>2</v>
      </c>
      <c r="AC140" s="2" t="s">
        <v>1344</v>
      </c>
    </row>
    <row r="141" spans="1:29" x14ac:dyDescent="0.25">
      <c r="A141" s="2">
        <v>540247</v>
      </c>
      <c r="B141" s="2" t="s">
        <v>293</v>
      </c>
      <c r="C141" s="2" t="s">
        <v>49</v>
      </c>
      <c r="D141" s="2" t="s">
        <v>115</v>
      </c>
      <c r="E141" s="2">
        <v>2</v>
      </c>
      <c r="F141" s="197"/>
      <c r="G141" s="2">
        <v>272</v>
      </c>
      <c r="H141" s="2">
        <v>5334600</v>
      </c>
      <c r="I141" s="2">
        <v>6910200</v>
      </c>
      <c r="J141" s="2">
        <v>0.77198923330699998</v>
      </c>
      <c r="K141" s="2">
        <v>6370400</v>
      </c>
      <c r="L141" s="2">
        <v>1912300</v>
      </c>
      <c r="M141" s="2">
        <v>3.33127647336</v>
      </c>
      <c r="N141" s="2">
        <v>2389230</v>
      </c>
      <c r="O141" s="2">
        <v>1637860</v>
      </c>
      <c r="P141" s="2">
        <v>1.4587510532000001</v>
      </c>
      <c r="Q141" s="217">
        <f t="shared" si="2"/>
        <v>10460360</v>
      </c>
      <c r="R141" s="2">
        <v>14507800</v>
      </c>
      <c r="S141" s="2">
        <v>10551900</v>
      </c>
      <c r="T141" s="2">
        <v>1.37489930723</v>
      </c>
      <c r="U141" s="2">
        <v>195</v>
      </c>
      <c r="V141" s="2">
        <v>0</v>
      </c>
      <c r="W141" s="2">
        <v>6</v>
      </c>
      <c r="X141" s="2">
        <v>23</v>
      </c>
      <c r="Y141" s="2">
        <v>0</v>
      </c>
      <c r="Z141" s="2">
        <v>0</v>
      </c>
      <c r="AA141" s="2">
        <v>12</v>
      </c>
      <c r="AB141" s="2">
        <v>36</v>
      </c>
      <c r="AC141" s="2" t="s">
        <v>1344</v>
      </c>
    </row>
    <row r="142" spans="1:29" x14ac:dyDescent="0.25">
      <c r="A142" s="2">
        <v>540248</v>
      </c>
      <c r="B142" s="2" t="s">
        <v>294</v>
      </c>
      <c r="C142" s="2" t="s">
        <v>49</v>
      </c>
      <c r="D142" s="2" t="s">
        <v>115</v>
      </c>
      <c r="E142" s="2">
        <v>2</v>
      </c>
      <c r="F142" s="197"/>
      <c r="G142" s="2">
        <v>124</v>
      </c>
      <c r="H142" s="2">
        <v>1481600</v>
      </c>
      <c r="I142" s="2">
        <v>15002200</v>
      </c>
      <c r="J142" s="2">
        <v>9.8758848702200003E-2</v>
      </c>
      <c r="K142" s="2">
        <v>2988600</v>
      </c>
      <c r="L142" s="2">
        <v>11955700</v>
      </c>
      <c r="M142" s="2">
        <v>0.24997281631400001</v>
      </c>
      <c r="N142" s="2">
        <v>6577210</v>
      </c>
      <c r="O142" s="2">
        <v>2400440</v>
      </c>
      <c r="P142" s="2">
        <v>2.740001833</v>
      </c>
      <c r="Q142" s="217">
        <f t="shared" si="2"/>
        <v>29358340</v>
      </c>
      <c r="R142" s="2">
        <v>11116000</v>
      </c>
      <c r="S142" s="2">
        <v>29388600</v>
      </c>
      <c r="T142" s="2">
        <v>0.37824190332300001</v>
      </c>
      <c r="U142" s="2">
        <v>43</v>
      </c>
      <c r="V142" s="2">
        <v>0</v>
      </c>
      <c r="W142" s="2">
        <v>0</v>
      </c>
      <c r="X142" s="2">
        <v>67</v>
      </c>
      <c r="Y142" s="2">
        <v>0</v>
      </c>
      <c r="Z142" s="2">
        <v>0</v>
      </c>
      <c r="AA142" s="2">
        <v>2</v>
      </c>
      <c r="AB142" s="2">
        <v>12</v>
      </c>
      <c r="AC142" s="2" t="s">
        <v>1344</v>
      </c>
    </row>
    <row r="143" spans="1:29" x14ac:dyDescent="0.25">
      <c r="A143" s="2">
        <v>540249</v>
      </c>
      <c r="B143" s="2" t="s">
        <v>295</v>
      </c>
      <c r="C143" s="2" t="s">
        <v>49</v>
      </c>
      <c r="D143" s="2" t="s">
        <v>115</v>
      </c>
      <c r="E143" s="2">
        <v>2</v>
      </c>
      <c r="F143" s="197"/>
      <c r="G143" s="2">
        <v>59</v>
      </c>
      <c r="H143" s="2">
        <v>3831000</v>
      </c>
      <c r="I143" s="2">
        <v>34999600</v>
      </c>
      <c r="J143" s="2">
        <v>0.10945839381</v>
      </c>
      <c r="K143" s="2">
        <v>149900</v>
      </c>
      <c r="L143" s="2">
        <v>10870500</v>
      </c>
      <c r="M143" s="2">
        <v>1.37896140932E-2</v>
      </c>
      <c r="N143" s="2">
        <v>249500</v>
      </c>
      <c r="O143" s="2">
        <v>2085540</v>
      </c>
      <c r="P143" s="2">
        <v>0.119633284425</v>
      </c>
      <c r="Q143" s="217">
        <f t="shared" si="2"/>
        <v>47955640</v>
      </c>
      <c r="R143" s="2">
        <v>4231100</v>
      </c>
      <c r="S143" s="2">
        <v>47987600</v>
      </c>
      <c r="T143" s="2">
        <v>8.8170694095999994E-2</v>
      </c>
      <c r="U143" s="2">
        <v>49</v>
      </c>
      <c r="V143" s="2">
        <v>0</v>
      </c>
      <c r="W143" s="2">
        <v>1</v>
      </c>
      <c r="X143" s="2">
        <v>0</v>
      </c>
      <c r="Y143" s="2">
        <v>0</v>
      </c>
      <c r="Z143" s="2">
        <v>0</v>
      </c>
      <c r="AA143" s="2">
        <v>2</v>
      </c>
      <c r="AB143" s="2">
        <v>7</v>
      </c>
      <c r="AC143" s="2" t="s">
        <v>1344</v>
      </c>
    </row>
    <row r="144" spans="1:29" x14ac:dyDescent="0.25">
      <c r="A144" s="2">
        <v>540250</v>
      </c>
      <c r="B144" s="2" t="s">
        <v>296</v>
      </c>
      <c r="C144" s="2" t="s">
        <v>49</v>
      </c>
      <c r="D144" s="2" t="s">
        <v>115</v>
      </c>
      <c r="E144" s="2">
        <v>2</v>
      </c>
      <c r="F144" s="197"/>
      <c r="G144" s="2">
        <v>75</v>
      </c>
      <c r="H144" s="2">
        <v>1975200</v>
      </c>
      <c r="I144" s="2">
        <v>105802800</v>
      </c>
      <c r="J144" s="2">
        <v>1.8668693078099999E-2</v>
      </c>
      <c r="K144" s="2">
        <v>742200</v>
      </c>
      <c r="L144" s="2">
        <v>63947700</v>
      </c>
      <c r="M144" s="2">
        <v>1.1606359572E-2</v>
      </c>
      <c r="N144" s="2">
        <v>886550</v>
      </c>
      <c r="O144" s="2">
        <v>6664030</v>
      </c>
      <c r="P144" s="2">
        <v>0.133035115388</v>
      </c>
      <c r="Q144" s="217">
        <f t="shared" si="2"/>
        <v>176414530</v>
      </c>
      <c r="R144" s="2">
        <v>3604200</v>
      </c>
      <c r="S144" s="2">
        <v>179172800</v>
      </c>
      <c r="T144" s="2">
        <v>2.0115776501799999E-2</v>
      </c>
      <c r="U144" s="2">
        <v>57</v>
      </c>
      <c r="V144" s="2">
        <v>0</v>
      </c>
      <c r="W144" s="2">
        <v>3</v>
      </c>
      <c r="X144" s="2">
        <v>3</v>
      </c>
      <c r="Y144" s="2">
        <v>0</v>
      </c>
      <c r="Z144" s="2">
        <v>0</v>
      </c>
      <c r="AA144" s="2">
        <v>12</v>
      </c>
      <c r="AB144" s="2">
        <v>0</v>
      </c>
      <c r="AC144" s="2" t="s">
        <v>1344</v>
      </c>
    </row>
    <row r="145" spans="1:29" x14ac:dyDescent="0.25">
      <c r="A145" s="2">
        <v>540251</v>
      </c>
      <c r="B145" s="2" t="s">
        <v>297</v>
      </c>
      <c r="C145" s="2" t="s">
        <v>49</v>
      </c>
      <c r="D145" s="2" t="s">
        <v>115</v>
      </c>
      <c r="E145" s="2">
        <v>2</v>
      </c>
      <c r="F145" s="197"/>
      <c r="G145" s="2">
        <v>166</v>
      </c>
      <c r="H145" s="2">
        <v>2206100</v>
      </c>
      <c r="I145" s="2">
        <v>1984500</v>
      </c>
      <c r="J145" s="2">
        <v>1.1116654069</v>
      </c>
      <c r="K145" s="2">
        <v>1369300</v>
      </c>
      <c r="L145" s="2">
        <v>1087700</v>
      </c>
      <c r="M145" s="2">
        <v>1.25889491588</v>
      </c>
      <c r="N145" s="2">
        <v>905970</v>
      </c>
      <c r="O145" s="2">
        <v>542590</v>
      </c>
      <c r="P145" s="2">
        <v>1.6697137801999999</v>
      </c>
      <c r="Q145" s="217">
        <f t="shared" si="2"/>
        <v>3614790</v>
      </c>
      <c r="R145" s="2">
        <v>4482100</v>
      </c>
      <c r="S145" s="2">
        <v>3619000</v>
      </c>
      <c r="T145" s="2">
        <v>1.2384912959400001</v>
      </c>
      <c r="U145" s="2">
        <v>109</v>
      </c>
      <c r="V145" s="2">
        <v>0</v>
      </c>
      <c r="W145" s="2">
        <v>0</v>
      </c>
      <c r="X145" s="2">
        <v>48</v>
      </c>
      <c r="Y145" s="2">
        <v>0</v>
      </c>
      <c r="Z145" s="2">
        <v>0</v>
      </c>
      <c r="AA145" s="2">
        <v>4</v>
      </c>
      <c r="AB145" s="2">
        <v>5</v>
      </c>
      <c r="AC145" s="2" t="s">
        <v>1344</v>
      </c>
    </row>
    <row r="146" spans="1:29" x14ac:dyDescent="0.25">
      <c r="A146" s="2"/>
      <c r="B146" s="2"/>
      <c r="C146" s="2" t="s">
        <v>49</v>
      </c>
      <c r="D146" s="2"/>
      <c r="E146" s="2"/>
      <c r="F146" s="197"/>
      <c r="G146" s="2">
        <v>1912</v>
      </c>
      <c r="H146" s="2">
        <v>41535500</v>
      </c>
      <c r="I146" s="2">
        <v>572608600</v>
      </c>
      <c r="J146" s="2">
        <v>7.2537331782999995E-2</v>
      </c>
      <c r="K146" s="2">
        <v>25031000</v>
      </c>
      <c r="L146" s="2">
        <v>213678100</v>
      </c>
      <c r="M146" s="2">
        <v>0.117143497626</v>
      </c>
      <c r="N146" s="2">
        <v>57974270</v>
      </c>
      <c r="O146" s="2">
        <v>80355420</v>
      </c>
      <c r="P146" s="2">
        <v>0.72147305060400002</v>
      </c>
      <c r="Q146" s="217">
        <f t="shared" si="2"/>
        <v>866642120</v>
      </c>
      <c r="R146" s="2">
        <v>126447400</v>
      </c>
      <c r="S146" s="2">
        <v>1348128500</v>
      </c>
      <c r="T146" s="2">
        <v>9.3794768080300003E-2</v>
      </c>
      <c r="U146" s="2">
        <v>1020</v>
      </c>
      <c r="V146" s="2">
        <v>0</v>
      </c>
      <c r="W146" s="2">
        <v>483</v>
      </c>
      <c r="X146" s="2">
        <v>274</v>
      </c>
      <c r="Y146" s="2">
        <v>1</v>
      </c>
      <c r="Z146" s="2">
        <v>1</v>
      </c>
      <c r="AA146" s="2">
        <v>52</v>
      </c>
      <c r="AB146" s="2">
        <v>81</v>
      </c>
      <c r="AC146" s="2" t="s">
        <v>1344</v>
      </c>
    </row>
    <row r="147" spans="1:29" x14ac:dyDescent="0.25">
      <c r="A147" s="1">
        <v>540114</v>
      </c>
      <c r="B147" s="1" t="s">
        <v>50</v>
      </c>
      <c r="C147" s="1" t="s">
        <v>51</v>
      </c>
      <c r="D147" s="1" t="s">
        <v>5</v>
      </c>
      <c r="E147" s="1">
        <v>1</v>
      </c>
      <c r="F147" s="215"/>
      <c r="G147" s="1">
        <v>3304</v>
      </c>
      <c r="H147" s="1">
        <v>27995100</v>
      </c>
      <c r="I147" s="1">
        <v>72115700</v>
      </c>
      <c r="J147" s="1">
        <v>0.38819702228500003</v>
      </c>
      <c r="K147" s="1">
        <v>22992000</v>
      </c>
      <c r="L147" s="1">
        <v>19027900</v>
      </c>
      <c r="M147" s="1">
        <v>1.20833092459</v>
      </c>
      <c r="N147" s="1">
        <v>24201970</v>
      </c>
      <c r="O147" s="1">
        <v>42175070</v>
      </c>
      <c r="P147" s="1">
        <v>0.57384540203500001</v>
      </c>
      <c r="Q147" s="216">
        <f t="shared" si="2"/>
        <v>133318670</v>
      </c>
      <c r="R147" s="1">
        <v>75572100</v>
      </c>
      <c r="S147" s="1">
        <v>136356500</v>
      </c>
      <c r="T147" s="1">
        <v>0.55422440440999998</v>
      </c>
      <c r="U147" s="1">
        <v>2882</v>
      </c>
      <c r="V147" s="1">
        <v>1</v>
      </c>
      <c r="W147" s="1">
        <v>27</v>
      </c>
      <c r="X147" s="1">
        <v>148</v>
      </c>
      <c r="Y147" s="1">
        <v>17</v>
      </c>
      <c r="Z147" s="1">
        <v>2</v>
      </c>
      <c r="AA147" s="1">
        <v>81</v>
      </c>
      <c r="AB147" s="1">
        <v>146</v>
      </c>
      <c r="AC147" s="1" t="s">
        <v>1344</v>
      </c>
    </row>
    <row r="148" spans="1:29" x14ac:dyDescent="0.25">
      <c r="A148" s="2">
        <v>540115</v>
      </c>
      <c r="B148" s="2" t="s">
        <v>201</v>
      </c>
      <c r="C148" s="2" t="s">
        <v>51</v>
      </c>
      <c r="D148" s="2" t="s">
        <v>115</v>
      </c>
      <c r="E148" s="2">
        <v>1</v>
      </c>
      <c r="F148" s="197"/>
      <c r="G148" s="2">
        <v>65</v>
      </c>
      <c r="H148" s="2">
        <v>424500</v>
      </c>
      <c r="I148" s="2">
        <v>924800</v>
      </c>
      <c r="J148" s="2">
        <v>0.45901816609000001</v>
      </c>
      <c r="K148" s="2">
        <v>35500</v>
      </c>
      <c r="L148" s="2">
        <v>149500</v>
      </c>
      <c r="M148" s="2">
        <v>0.23745819398000001</v>
      </c>
      <c r="N148" s="2">
        <v>194700</v>
      </c>
      <c r="O148" s="2">
        <v>351380</v>
      </c>
      <c r="P148" s="2">
        <v>0.55410097330499997</v>
      </c>
      <c r="Q148" s="217">
        <f t="shared" si="2"/>
        <v>1425680</v>
      </c>
      <c r="R148" s="2">
        <v>674900</v>
      </c>
      <c r="S148" s="2">
        <v>1437900</v>
      </c>
      <c r="T148" s="2">
        <v>0.46936504624800002</v>
      </c>
      <c r="U148" s="2">
        <v>52</v>
      </c>
      <c r="V148" s="2">
        <v>0</v>
      </c>
      <c r="W148" s="2">
        <v>0</v>
      </c>
      <c r="X148" s="2">
        <v>7</v>
      </c>
      <c r="Y148" s="2">
        <v>0</v>
      </c>
      <c r="Z148" s="2">
        <v>1</v>
      </c>
      <c r="AA148" s="2">
        <v>4</v>
      </c>
      <c r="AB148" s="2">
        <v>1</v>
      </c>
      <c r="AC148" s="2" t="s">
        <v>1344</v>
      </c>
    </row>
    <row r="149" spans="1:29" x14ac:dyDescent="0.25">
      <c r="A149" s="2">
        <v>540116</v>
      </c>
      <c r="B149" s="2" t="s">
        <v>202</v>
      </c>
      <c r="C149" s="2" t="s">
        <v>51</v>
      </c>
      <c r="D149" s="2" t="s">
        <v>115</v>
      </c>
      <c r="E149" s="2">
        <v>1</v>
      </c>
      <c r="F149" s="197"/>
      <c r="G149" s="2">
        <v>106</v>
      </c>
      <c r="H149" s="2">
        <v>670800</v>
      </c>
      <c r="I149" s="2">
        <v>1482000</v>
      </c>
      <c r="J149" s="2">
        <v>0.45263157894700001</v>
      </c>
      <c r="K149" s="2">
        <v>71800</v>
      </c>
      <c r="L149" s="2">
        <v>233100</v>
      </c>
      <c r="M149" s="2">
        <v>0.30802230802199998</v>
      </c>
      <c r="N149" s="2">
        <v>162160</v>
      </c>
      <c r="O149" s="2">
        <v>345240</v>
      </c>
      <c r="P149" s="2">
        <v>0.46970223612599998</v>
      </c>
      <c r="Q149" s="217">
        <f t="shared" si="2"/>
        <v>2060340</v>
      </c>
      <c r="R149" s="2">
        <v>905400</v>
      </c>
      <c r="S149" s="2">
        <v>2061900</v>
      </c>
      <c r="T149" s="2">
        <v>0.43910955914400002</v>
      </c>
      <c r="U149" s="2">
        <v>92</v>
      </c>
      <c r="V149" s="2">
        <v>0</v>
      </c>
      <c r="W149" s="2">
        <v>0</v>
      </c>
      <c r="X149" s="2">
        <v>5</v>
      </c>
      <c r="Y149" s="2">
        <v>0</v>
      </c>
      <c r="Z149" s="2">
        <v>0</v>
      </c>
      <c r="AA149" s="2">
        <v>7</v>
      </c>
      <c r="AB149" s="2">
        <v>2</v>
      </c>
      <c r="AC149" s="2" t="s">
        <v>1344</v>
      </c>
    </row>
    <row r="150" spans="1:29" x14ac:dyDescent="0.25">
      <c r="A150" s="2">
        <v>540117</v>
      </c>
      <c r="B150" s="2" t="s">
        <v>203</v>
      </c>
      <c r="C150" s="2" t="s">
        <v>51</v>
      </c>
      <c r="D150" s="2" t="s">
        <v>115</v>
      </c>
      <c r="E150" s="2">
        <v>1</v>
      </c>
      <c r="F150" s="197"/>
      <c r="G150" s="2">
        <v>417</v>
      </c>
      <c r="H150" s="2">
        <v>4046800</v>
      </c>
      <c r="I150" s="2">
        <v>9194300</v>
      </c>
      <c r="J150" s="2">
        <v>0.44014226205399998</v>
      </c>
      <c r="K150" s="2">
        <v>2209200</v>
      </c>
      <c r="L150" s="2">
        <v>4325600</v>
      </c>
      <c r="M150" s="2">
        <v>0.51072683558400001</v>
      </c>
      <c r="N150" s="2">
        <v>434150</v>
      </c>
      <c r="O150" s="2">
        <v>1016370</v>
      </c>
      <c r="P150" s="2">
        <v>0.42715743282500002</v>
      </c>
      <c r="Q150" s="217">
        <f t="shared" si="2"/>
        <v>14536270</v>
      </c>
      <c r="R150" s="2">
        <v>6702800</v>
      </c>
      <c r="S150" s="2">
        <v>14771900</v>
      </c>
      <c r="T150" s="2">
        <v>0.45375341019100002</v>
      </c>
      <c r="U150" s="2">
        <v>376</v>
      </c>
      <c r="V150" s="2">
        <v>1</v>
      </c>
      <c r="W150" s="2">
        <v>0</v>
      </c>
      <c r="X150" s="2">
        <v>12</v>
      </c>
      <c r="Y150" s="2">
        <v>0</v>
      </c>
      <c r="Z150" s="2">
        <v>0</v>
      </c>
      <c r="AA150" s="2">
        <v>15</v>
      </c>
      <c r="AB150" s="2">
        <v>13</v>
      </c>
      <c r="AC150" s="2" t="s">
        <v>1344</v>
      </c>
    </row>
    <row r="151" spans="1:29" x14ac:dyDescent="0.25">
      <c r="A151" s="2">
        <v>540118</v>
      </c>
      <c r="B151" s="2" t="s">
        <v>204</v>
      </c>
      <c r="C151" s="2" t="s">
        <v>51</v>
      </c>
      <c r="D151" s="2" t="s">
        <v>115</v>
      </c>
      <c r="E151" s="2">
        <v>1</v>
      </c>
      <c r="F151" s="197"/>
      <c r="G151" s="2">
        <v>49</v>
      </c>
      <c r="H151" s="2">
        <v>161800</v>
      </c>
      <c r="I151" s="2">
        <v>2886700</v>
      </c>
      <c r="J151" s="2">
        <v>5.6050161083600003E-2</v>
      </c>
      <c r="K151" s="2">
        <v>158200</v>
      </c>
      <c r="L151" s="2">
        <v>2355500</v>
      </c>
      <c r="M151" s="2">
        <v>6.7161961367000006E-2</v>
      </c>
      <c r="N151" s="2">
        <v>53290</v>
      </c>
      <c r="O151" s="2">
        <v>12858060</v>
      </c>
      <c r="P151" s="2">
        <v>4.1444821380499999E-3</v>
      </c>
      <c r="Q151" s="217">
        <f t="shared" si="2"/>
        <v>18100260</v>
      </c>
      <c r="R151" s="2">
        <v>379800</v>
      </c>
      <c r="S151" s="2">
        <v>18109300</v>
      </c>
      <c r="T151" s="2">
        <v>2.0972649412199999E-2</v>
      </c>
      <c r="U151" s="2">
        <v>25</v>
      </c>
      <c r="V151" s="2">
        <v>0</v>
      </c>
      <c r="W151" s="2">
        <v>1</v>
      </c>
      <c r="X151" s="2">
        <v>12</v>
      </c>
      <c r="Y151" s="2">
        <v>0</v>
      </c>
      <c r="Z151" s="2">
        <v>0</v>
      </c>
      <c r="AA151" s="2">
        <v>2</v>
      </c>
      <c r="AB151" s="2">
        <v>9</v>
      </c>
      <c r="AC151" s="2" t="s">
        <v>1344</v>
      </c>
    </row>
    <row r="152" spans="1:29" x14ac:dyDescent="0.25">
      <c r="A152" s="2">
        <v>540119</v>
      </c>
      <c r="B152" s="2" t="s">
        <v>205</v>
      </c>
      <c r="C152" s="2" t="s">
        <v>51</v>
      </c>
      <c r="D152" s="2" t="s">
        <v>115</v>
      </c>
      <c r="E152" s="2">
        <v>1</v>
      </c>
      <c r="F152" s="197"/>
      <c r="G152" s="2">
        <v>138</v>
      </c>
      <c r="H152" s="2">
        <v>869100</v>
      </c>
      <c r="I152" s="2">
        <v>2212000</v>
      </c>
      <c r="J152" s="2">
        <v>0.39290235081399999</v>
      </c>
      <c r="K152" s="2">
        <v>1288400</v>
      </c>
      <c r="L152" s="2">
        <v>2005700</v>
      </c>
      <c r="M152" s="2">
        <v>0.64236924764400005</v>
      </c>
      <c r="N152" s="2">
        <v>193800</v>
      </c>
      <c r="O152" s="2">
        <v>438390</v>
      </c>
      <c r="P152" s="2">
        <v>0.44207212755800002</v>
      </c>
      <c r="Q152" s="217">
        <f t="shared" si="2"/>
        <v>4656090</v>
      </c>
      <c r="R152" s="2">
        <v>2355300</v>
      </c>
      <c r="S152" s="2">
        <v>4663300</v>
      </c>
      <c r="T152" s="2">
        <v>0.50507151587900001</v>
      </c>
      <c r="U152" s="2">
        <v>88</v>
      </c>
      <c r="V152" s="2">
        <v>0</v>
      </c>
      <c r="W152" s="2">
        <v>0</v>
      </c>
      <c r="X152" s="2">
        <v>34</v>
      </c>
      <c r="Y152" s="2">
        <v>0</v>
      </c>
      <c r="Z152" s="2">
        <v>3</v>
      </c>
      <c r="AA152" s="2">
        <v>8</v>
      </c>
      <c r="AB152" s="2">
        <v>5</v>
      </c>
      <c r="AC152" s="2" t="s">
        <v>1344</v>
      </c>
    </row>
    <row r="153" spans="1:29" x14ac:dyDescent="0.25">
      <c r="A153" s="2">
        <v>540120</v>
      </c>
      <c r="B153" s="2" t="s">
        <v>206</v>
      </c>
      <c r="C153" s="2" t="s">
        <v>51</v>
      </c>
      <c r="D153" s="2" t="s">
        <v>115</v>
      </c>
      <c r="E153" s="2">
        <v>1</v>
      </c>
      <c r="F153" s="197"/>
      <c r="G153" s="2">
        <v>78</v>
      </c>
      <c r="H153" s="2">
        <v>330300</v>
      </c>
      <c r="I153" s="2">
        <v>1972400</v>
      </c>
      <c r="J153" s="2">
        <v>0.16746096126500001</v>
      </c>
      <c r="K153" s="2">
        <v>215500</v>
      </c>
      <c r="L153" s="2">
        <v>278400</v>
      </c>
      <c r="M153" s="2">
        <v>0.774066091954</v>
      </c>
      <c r="N153" s="2">
        <v>108190</v>
      </c>
      <c r="O153" s="2">
        <v>720990</v>
      </c>
      <c r="P153" s="2">
        <v>0.15005755974400001</v>
      </c>
      <c r="Q153" s="217">
        <f t="shared" si="2"/>
        <v>2971790</v>
      </c>
      <c r="R153" s="2">
        <v>654400</v>
      </c>
      <c r="S153" s="2">
        <v>2974400</v>
      </c>
      <c r="T153" s="2">
        <v>0.220010758472</v>
      </c>
      <c r="U153" s="2">
        <v>53</v>
      </c>
      <c r="V153" s="2">
        <v>0</v>
      </c>
      <c r="W153" s="2">
        <v>1</v>
      </c>
      <c r="X153" s="2">
        <v>12</v>
      </c>
      <c r="Y153" s="2">
        <v>0</v>
      </c>
      <c r="Z153" s="2">
        <v>1</v>
      </c>
      <c r="AA153" s="2">
        <v>5</v>
      </c>
      <c r="AB153" s="2">
        <v>6</v>
      </c>
      <c r="AC153" s="2" t="s">
        <v>1344</v>
      </c>
    </row>
    <row r="154" spans="1:29" x14ac:dyDescent="0.25">
      <c r="A154" s="2">
        <v>540121</v>
      </c>
      <c r="B154" s="2" t="s">
        <v>207</v>
      </c>
      <c r="C154" s="2" t="s">
        <v>51</v>
      </c>
      <c r="D154" s="2" t="s">
        <v>115</v>
      </c>
      <c r="E154" s="2">
        <v>1</v>
      </c>
      <c r="F154" s="197"/>
      <c r="G154" s="2">
        <v>168</v>
      </c>
      <c r="H154" s="2">
        <v>855300</v>
      </c>
      <c r="I154" s="2">
        <v>2526200</v>
      </c>
      <c r="J154" s="2">
        <v>0.33857176787299997</v>
      </c>
      <c r="K154" s="2">
        <v>2704500</v>
      </c>
      <c r="L154" s="2">
        <v>2834000</v>
      </c>
      <c r="M154" s="2">
        <v>0.95430486944199999</v>
      </c>
      <c r="N154" s="2">
        <v>281230</v>
      </c>
      <c r="O154" s="2">
        <v>639260</v>
      </c>
      <c r="P154" s="2">
        <v>0.43993054469199999</v>
      </c>
      <c r="Q154" s="217">
        <f t="shared" si="2"/>
        <v>5999460</v>
      </c>
      <c r="R154" s="2">
        <v>3841400</v>
      </c>
      <c r="S154" s="2">
        <v>6001800</v>
      </c>
      <c r="T154" s="2">
        <v>0.64004132093699995</v>
      </c>
      <c r="U154" s="2">
        <v>105</v>
      </c>
      <c r="V154" s="2">
        <v>0</v>
      </c>
      <c r="W154" s="2">
        <v>0</v>
      </c>
      <c r="X154" s="2">
        <v>39</v>
      </c>
      <c r="Y154" s="2">
        <v>0</v>
      </c>
      <c r="Z154" s="2">
        <v>3</v>
      </c>
      <c r="AA154" s="2">
        <v>10</v>
      </c>
      <c r="AB154" s="2">
        <v>11</v>
      </c>
      <c r="AC154" s="2" t="s">
        <v>1344</v>
      </c>
    </row>
    <row r="155" spans="1:29" x14ac:dyDescent="0.25">
      <c r="A155" s="2">
        <v>540122</v>
      </c>
      <c r="B155" s="2" t="s">
        <v>208</v>
      </c>
      <c r="C155" s="2" t="s">
        <v>51</v>
      </c>
      <c r="D155" s="2" t="s">
        <v>115</v>
      </c>
      <c r="E155" s="2">
        <v>1</v>
      </c>
      <c r="F155" s="197"/>
      <c r="G155" s="2">
        <v>82</v>
      </c>
      <c r="H155" s="2">
        <v>566400</v>
      </c>
      <c r="I155" s="2">
        <v>4541500</v>
      </c>
      <c r="J155" s="2">
        <v>0.124716503358</v>
      </c>
      <c r="K155" s="2">
        <v>1557500</v>
      </c>
      <c r="L155" s="2">
        <v>4749300</v>
      </c>
      <c r="M155" s="2">
        <v>0.32794306529400002</v>
      </c>
      <c r="N155" s="2">
        <v>427250</v>
      </c>
      <c r="O155" s="2">
        <v>11081010</v>
      </c>
      <c r="P155" s="2">
        <v>3.8556954645800001E-2</v>
      </c>
      <c r="Q155" s="217">
        <f t="shared" si="2"/>
        <v>20371810</v>
      </c>
      <c r="R155" s="2">
        <v>2552000</v>
      </c>
      <c r="S155" s="2">
        <v>20394500</v>
      </c>
      <c r="T155" s="2">
        <v>0.125131775724</v>
      </c>
      <c r="U155" s="2">
        <v>51</v>
      </c>
      <c r="V155" s="2">
        <v>0</v>
      </c>
      <c r="W155" s="2">
        <v>0</v>
      </c>
      <c r="X155" s="2">
        <v>13</v>
      </c>
      <c r="Y155" s="2">
        <v>0</v>
      </c>
      <c r="Z155" s="2">
        <v>0</v>
      </c>
      <c r="AA155" s="2">
        <v>10</v>
      </c>
      <c r="AB155" s="2">
        <v>8</v>
      </c>
      <c r="AC155" s="2" t="s">
        <v>1344</v>
      </c>
    </row>
    <row r="156" spans="1:29" x14ac:dyDescent="0.25">
      <c r="A156" s="2">
        <v>540123</v>
      </c>
      <c r="B156" s="2" t="s">
        <v>209</v>
      </c>
      <c r="C156" s="2" t="s">
        <v>51</v>
      </c>
      <c r="D156" s="2" t="s">
        <v>115</v>
      </c>
      <c r="E156" s="2">
        <v>1</v>
      </c>
      <c r="F156" s="197"/>
      <c r="G156" s="2">
        <v>397</v>
      </c>
      <c r="H156" s="2">
        <v>6111800</v>
      </c>
      <c r="I156" s="2">
        <v>21403200</v>
      </c>
      <c r="J156" s="2">
        <v>0.28555543096399999</v>
      </c>
      <c r="K156" s="2">
        <v>42976500</v>
      </c>
      <c r="L156" s="2">
        <v>47259000</v>
      </c>
      <c r="M156" s="2">
        <v>0.90938233987200001</v>
      </c>
      <c r="N156" s="2">
        <v>1458350</v>
      </c>
      <c r="O156" s="2">
        <v>301374890</v>
      </c>
      <c r="P156" s="2">
        <v>4.8389897379999998E-3</v>
      </c>
      <c r="Q156" s="217">
        <f t="shared" si="2"/>
        <v>370037090</v>
      </c>
      <c r="R156" s="2">
        <v>50620600</v>
      </c>
      <c r="S156" s="2">
        <v>370269900</v>
      </c>
      <c r="T156" s="2">
        <v>0.136712706056</v>
      </c>
      <c r="U156" s="2">
        <v>244</v>
      </c>
      <c r="V156" s="2">
        <v>0</v>
      </c>
      <c r="W156" s="2">
        <v>0</v>
      </c>
      <c r="X156" s="2">
        <v>107</v>
      </c>
      <c r="Y156" s="2">
        <v>0</v>
      </c>
      <c r="Z156" s="2">
        <v>1</v>
      </c>
      <c r="AA156" s="2">
        <v>29</v>
      </c>
      <c r="AB156" s="2">
        <v>16</v>
      </c>
      <c r="AC156" s="2" t="s">
        <v>1344</v>
      </c>
    </row>
    <row r="157" spans="1:29" x14ac:dyDescent="0.25">
      <c r="A157" s="2">
        <v>540291</v>
      </c>
      <c r="B157" s="2" t="s">
        <v>328</v>
      </c>
      <c r="C157" s="2" t="s">
        <v>51</v>
      </c>
      <c r="D157" s="2" t="s">
        <v>115</v>
      </c>
      <c r="E157" s="2">
        <v>1</v>
      </c>
      <c r="F157" s="197"/>
      <c r="G157" s="2">
        <v>32</v>
      </c>
      <c r="H157" s="2">
        <v>58700</v>
      </c>
      <c r="I157" s="2">
        <v>1585800</v>
      </c>
      <c r="J157" s="2">
        <v>3.7016017152200001E-2</v>
      </c>
      <c r="K157" s="2">
        <v>42100</v>
      </c>
      <c r="L157" s="2">
        <v>759600</v>
      </c>
      <c r="M157" s="2">
        <v>5.5423907319600001E-2</v>
      </c>
      <c r="N157" s="2">
        <v>61320</v>
      </c>
      <c r="O157" s="2">
        <v>693910</v>
      </c>
      <c r="P157" s="2">
        <v>8.8368808635099994E-2</v>
      </c>
      <c r="Q157" s="217">
        <f t="shared" si="2"/>
        <v>3039310</v>
      </c>
      <c r="R157" s="2">
        <v>162300</v>
      </c>
      <c r="S157" s="2">
        <v>3047100</v>
      </c>
      <c r="T157" s="2">
        <v>5.3263758984000001E-2</v>
      </c>
      <c r="U157" s="2">
        <v>16</v>
      </c>
      <c r="V157" s="2">
        <v>0</v>
      </c>
      <c r="W157" s="2">
        <v>1</v>
      </c>
      <c r="X157" s="2">
        <v>8</v>
      </c>
      <c r="Y157" s="2">
        <v>0</v>
      </c>
      <c r="Z157" s="2">
        <v>3</v>
      </c>
      <c r="AA157" s="2">
        <v>2</v>
      </c>
      <c r="AB157" s="2">
        <v>2</v>
      </c>
      <c r="AC157" s="2" t="s">
        <v>1344</v>
      </c>
    </row>
    <row r="158" spans="1:29" x14ac:dyDescent="0.25">
      <c r="A158" s="2"/>
      <c r="B158" s="2"/>
      <c r="C158" s="2" t="s">
        <v>51</v>
      </c>
      <c r="D158" s="2"/>
      <c r="E158" s="2"/>
      <c r="F158" s="197"/>
      <c r="G158" s="2">
        <v>4836</v>
      </c>
      <c r="H158" s="2">
        <v>42090600</v>
      </c>
      <c r="I158" s="2">
        <v>120844600</v>
      </c>
      <c r="J158" s="2">
        <v>0.34830352369899997</v>
      </c>
      <c r="K158" s="2">
        <v>74251200</v>
      </c>
      <c r="L158" s="2">
        <v>83977600</v>
      </c>
      <c r="M158" s="2">
        <v>0.88417863811300001</v>
      </c>
      <c r="N158" s="2">
        <v>27576410</v>
      </c>
      <c r="O158" s="2">
        <v>371694570</v>
      </c>
      <c r="P158" s="2">
        <v>7.4191048849599997E-2</v>
      </c>
      <c r="Q158" s="217">
        <f t="shared" si="2"/>
        <v>576516770</v>
      </c>
      <c r="R158" s="2">
        <v>144421000</v>
      </c>
      <c r="S158" s="2">
        <v>580088500</v>
      </c>
      <c r="T158" s="2">
        <v>0.248963735706</v>
      </c>
      <c r="U158" s="2">
        <v>3984</v>
      </c>
      <c r="V158" s="2">
        <v>2</v>
      </c>
      <c r="W158" s="2">
        <v>30</v>
      </c>
      <c r="X158" s="2">
        <v>397</v>
      </c>
      <c r="Y158" s="2">
        <v>17</v>
      </c>
      <c r="Z158" s="2">
        <v>14</v>
      </c>
      <c r="AA158" s="2">
        <v>173</v>
      </c>
      <c r="AB158" s="2">
        <v>219</v>
      </c>
      <c r="AC158" s="2" t="s">
        <v>1344</v>
      </c>
    </row>
    <row r="159" spans="1:29" x14ac:dyDescent="0.25">
      <c r="A159" s="1">
        <v>540124</v>
      </c>
      <c r="B159" s="1" t="s">
        <v>52</v>
      </c>
      <c r="C159" s="1" t="s">
        <v>53</v>
      </c>
      <c r="D159" s="1" t="s">
        <v>5</v>
      </c>
      <c r="E159" s="1">
        <v>1</v>
      </c>
      <c r="F159" s="215"/>
      <c r="G159" s="1">
        <v>1962</v>
      </c>
      <c r="H159" s="1">
        <v>27948000</v>
      </c>
      <c r="I159" s="1">
        <v>754557300</v>
      </c>
      <c r="J159" s="1">
        <v>3.7038936605600002E-2</v>
      </c>
      <c r="K159" s="1">
        <v>60192600</v>
      </c>
      <c r="L159" s="1">
        <v>362819800</v>
      </c>
      <c r="M159" s="1">
        <v>0.16590219166600001</v>
      </c>
      <c r="N159" s="1">
        <v>154954320</v>
      </c>
      <c r="O159" s="1">
        <v>151409810</v>
      </c>
      <c r="P159" s="1">
        <v>1.0234100419300001</v>
      </c>
      <c r="Q159" s="216">
        <f t="shared" si="2"/>
        <v>1268786910</v>
      </c>
      <c r="R159" s="1">
        <v>251729400</v>
      </c>
      <c r="S159" s="1">
        <v>1348812600</v>
      </c>
      <c r="T159" s="1">
        <v>0.18663037400499999</v>
      </c>
      <c r="U159" s="1">
        <v>1191</v>
      </c>
      <c r="V159" s="1">
        <v>0</v>
      </c>
      <c r="W159" s="1">
        <v>8</v>
      </c>
      <c r="X159" s="1">
        <v>664</v>
      </c>
      <c r="Y159" s="1">
        <v>7</v>
      </c>
      <c r="Z159" s="1">
        <v>1</v>
      </c>
      <c r="AA159" s="1">
        <v>36</v>
      </c>
      <c r="AB159" s="1">
        <v>55</v>
      </c>
      <c r="AC159" s="1" t="s">
        <v>1345</v>
      </c>
    </row>
    <row r="160" spans="1:29" x14ac:dyDescent="0.25">
      <c r="A160" s="2">
        <v>540125</v>
      </c>
      <c r="B160" s="2" t="s">
        <v>210</v>
      </c>
      <c r="C160" s="2" t="s">
        <v>53</v>
      </c>
      <c r="D160" s="2" t="s">
        <v>115</v>
      </c>
      <c r="E160" s="2">
        <v>1</v>
      </c>
      <c r="F160" s="197"/>
      <c r="G160" s="2">
        <v>20</v>
      </c>
      <c r="H160" s="2">
        <v>755300</v>
      </c>
      <c r="I160" s="2">
        <v>6364300</v>
      </c>
      <c r="J160" s="2">
        <v>0.118677623619</v>
      </c>
      <c r="K160" s="2">
        <v>135000</v>
      </c>
      <c r="L160" s="2">
        <v>1056900</v>
      </c>
      <c r="M160" s="2">
        <v>0.12773204655100001</v>
      </c>
      <c r="N160" s="2">
        <v>22150</v>
      </c>
      <c r="O160" s="2">
        <v>189920</v>
      </c>
      <c r="P160" s="2">
        <v>0.116628053917</v>
      </c>
      <c r="Q160" s="217">
        <f t="shared" si="2"/>
        <v>7611120</v>
      </c>
      <c r="R160" s="2">
        <v>913400</v>
      </c>
      <c r="S160" s="2">
        <v>7910000</v>
      </c>
      <c r="T160" s="2">
        <v>0.11547408343899999</v>
      </c>
      <c r="U160" s="2">
        <v>16</v>
      </c>
      <c r="V160" s="2">
        <v>0</v>
      </c>
      <c r="W160" s="2">
        <v>0</v>
      </c>
      <c r="X160" s="2">
        <v>0</v>
      </c>
      <c r="Y160" s="2">
        <v>0</v>
      </c>
      <c r="Z160" s="2">
        <v>0</v>
      </c>
      <c r="AA160" s="2">
        <v>2</v>
      </c>
      <c r="AB160" s="2">
        <v>2</v>
      </c>
      <c r="AC160" s="2" t="s">
        <v>1345</v>
      </c>
    </row>
    <row r="161" spans="1:29" x14ac:dyDescent="0.25">
      <c r="A161" s="2">
        <v>540126</v>
      </c>
      <c r="B161" s="2" t="s">
        <v>211</v>
      </c>
      <c r="C161" s="2" t="s">
        <v>53</v>
      </c>
      <c r="D161" s="2" t="s">
        <v>115</v>
      </c>
      <c r="E161" s="2">
        <v>1</v>
      </c>
      <c r="F161" s="197"/>
      <c r="G161" s="2">
        <v>53</v>
      </c>
      <c r="H161" s="2">
        <v>596100</v>
      </c>
      <c r="I161" s="2">
        <v>1166800</v>
      </c>
      <c r="J161" s="2">
        <v>0.51088447034600004</v>
      </c>
      <c r="K161" s="2">
        <v>584600</v>
      </c>
      <c r="L161" s="2">
        <v>924900</v>
      </c>
      <c r="M161" s="2">
        <v>0.63206833171200005</v>
      </c>
      <c r="N161" s="2">
        <v>15240</v>
      </c>
      <c r="O161" s="2">
        <v>74680</v>
      </c>
      <c r="P161" s="2">
        <v>0.20407070165999999</v>
      </c>
      <c r="Q161" s="217">
        <f t="shared" si="2"/>
        <v>2166380</v>
      </c>
      <c r="R161" s="2">
        <v>1205300</v>
      </c>
      <c r="S161" s="2">
        <v>2545800</v>
      </c>
      <c r="T161" s="2">
        <v>0.47344646083699998</v>
      </c>
      <c r="U161" s="2">
        <v>36</v>
      </c>
      <c r="V161" s="2">
        <v>0</v>
      </c>
      <c r="W161" s="2">
        <v>0</v>
      </c>
      <c r="X161" s="2">
        <v>12</v>
      </c>
      <c r="Y161" s="2">
        <v>0</v>
      </c>
      <c r="Z161" s="2">
        <v>0</v>
      </c>
      <c r="AA161" s="2">
        <v>2</v>
      </c>
      <c r="AB161" s="2">
        <v>3</v>
      </c>
      <c r="AC161" s="2" t="s">
        <v>1345</v>
      </c>
    </row>
    <row r="162" spans="1:29" x14ac:dyDescent="0.25">
      <c r="A162" s="2">
        <v>540127</v>
      </c>
      <c r="B162" s="2" t="s">
        <v>212</v>
      </c>
      <c r="C162" s="2" t="s">
        <v>53</v>
      </c>
      <c r="D162" s="2" t="s">
        <v>115</v>
      </c>
      <c r="E162" s="2">
        <v>1</v>
      </c>
      <c r="F162" s="197"/>
      <c r="G162" s="2">
        <v>19</v>
      </c>
      <c r="H162" s="2">
        <v>148000</v>
      </c>
      <c r="I162" s="2">
        <v>441500</v>
      </c>
      <c r="J162" s="2">
        <v>0.33522083805199998</v>
      </c>
      <c r="K162" s="2">
        <v>0</v>
      </c>
      <c r="L162" s="2">
        <v>134500</v>
      </c>
      <c r="M162" s="2">
        <v>0</v>
      </c>
      <c r="N162" s="2">
        <v>145530</v>
      </c>
      <c r="O162" s="2">
        <v>338340</v>
      </c>
      <c r="P162" s="2">
        <v>0.430129455577</v>
      </c>
      <c r="Q162" s="217">
        <f t="shared" si="2"/>
        <v>914340</v>
      </c>
      <c r="R162" s="2">
        <v>297100</v>
      </c>
      <c r="S162" s="2">
        <v>947900</v>
      </c>
      <c r="T162" s="2">
        <v>0.31342968667600002</v>
      </c>
      <c r="U162" s="2">
        <v>19</v>
      </c>
      <c r="V162" s="2">
        <v>0</v>
      </c>
      <c r="W162" s="2">
        <v>0</v>
      </c>
      <c r="X162" s="2">
        <v>0</v>
      </c>
      <c r="Y162" s="2">
        <v>0</v>
      </c>
      <c r="Z162" s="2">
        <v>0</v>
      </c>
      <c r="AA162" s="2">
        <v>0</v>
      </c>
      <c r="AB162" s="2">
        <v>0</v>
      </c>
      <c r="AC162" s="2" t="s">
        <v>1345</v>
      </c>
    </row>
    <row r="163" spans="1:29" x14ac:dyDescent="0.25">
      <c r="A163" s="2">
        <v>540128</v>
      </c>
      <c r="B163" s="2" t="s">
        <v>213</v>
      </c>
      <c r="C163" s="2" t="s">
        <v>53</v>
      </c>
      <c r="D163" s="2" t="s">
        <v>115</v>
      </c>
      <c r="E163" s="2">
        <v>1</v>
      </c>
      <c r="F163" s="197"/>
      <c r="G163" s="2">
        <v>232</v>
      </c>
      <c r="H163" s="2">
        <v>6563100</v>
      </c>
      <c r="I163" s="2">
        <v>125882800</v>
      </c>
      <c r="J163" s="2">
        <v>5.2136590542899999E-2</v>
      </c>
      <c r="K163" s="2">
        <v>121160600</v>
      </c>
      <c r="L163" s="2">
        <v>194823100</v>
      </c>
      <c r="M163" s="2">
        <v>0.62190058571100004</v>
      </c>
      <c r="N163" s="2">
        <v>12130840</v>
      </c>
      <c r="O163" s="2">
        <v>9295300</v>
      </c>
      <c r="P163" s="2">
        <v>1.3050509397200001</v>
      </c>
      <c r="Q163" s="217">
        <f t="shared" si="2"/>
        <v>330001200</v>
      </c>
      <c r="R163" s="2">
        <v>142364500</v>
      </c>
      <c r="S163" s="2">
        <v>372655400</v>
      </c>
      <c r="T163" s="2">
        <v>0.38202720261099998</v>
      </c>
      <c r="U163" s="2">
        <v>93</v>
      </c>
      <c r="V163" s="2">
        <v>0</v>
      </c>
      <c r="W163" s="2">
        <v>0</v>
      </c>
      <c r="X163" s="2">
        <v>117</v>
      </c>
      <c r="Y163" s="2">
        <v>5</v>
      </c>
      <c r="Z163" s="2">
        <v>1</v>
      </c>
      <c r="AA163" s="2">
        <v>12</v>
      </c>
      <c r="AB163" s="2">
        <v>4</v>
      </c>
      <c r="AC163" s="2" t="s">
        <v>1345</v>
      </c>
    </row>
    <row r="164" spans="1:29" x14ac:dyDescent="0.25">
      <c r="A164" s="2">
        <v>540172</v>
      </c>
      <c r="B164" s="2" t="s">
        <v>244</v>
      </c>
      <c r="C164" s="2" t="s">
        <v>53</v>
      </c>
      <c r="D164" s="2" t="s">
        <v>115</v>
      </c>
      <c r="E164" s="2">
        <v>1</v>
      </c>
      <c r="F164" s="197"/>
      <c r="G164" s="2">
        <v>0</v>
      </c>
      <c r="H164" s="2">
        <v>0</v>
      </c>
      <c r="I164" s="2">
        <v>16345400</v>
      </c>
      <c r="J164" s="2">
        <v>0</v>
      </c>
      <c r="K164" s="2">
        <v>0</v>
      </c>
      <c r="L164" s="2">
        <v>5984900</v>
      </c>
      <c r="M164" s="2">
        <v>0</v>
      </c>
      <c r="N164" s="2">
        <v>0</v>
      </c>
      <c r="O164" s="2">
        <v>474740</v>
      </c>
      <c r="P164" s="2">
        <v>0</v>
      </c>
      <c r="Q164" s="217">
        <f t="shared" si="2"/>
        <v>22805040</v>
      </c>
      <c r="R164" s="2">
        <v>0</v>
      </c>
      <c r="S164" s="2">
        <v>24767200</v>
      </c>
      <c r="T164" s="2">
        <v>0</v>
      </c>
      <c r="U164" s="2">
        <v>0</v>
      </c>
      <c r="V164" s="2">
        <v>0</v>
      </c>
      <c r="W164" s="2">
        <v>0</v>
      </c>
      <c r="X164" s="2">
        <v>0</v>
      </c>
      <c r="Y164" s="2">
        <v>0</v>
      </c>
      <c r="Z164" s="2">
        <v>0</v>
      </c>
      <c r="AA164" s="2">
        <v>0</v>
      </c>
      <c r="AB164" s="2">
        <v>0</v>
      </c>
      <c r="AC164" s="2" t="s">
        <v>1345</v>
      </c>
    </row>
    <row r="165" spans="1:29" x14ac:dyDescent="0.25">
      <c r="A165" s="2">
        <v>540285</v>
      </c>
      <c r="B165" s="2" t="s">
        <v>324</v>
      </c>
      <c r="C165" s="2" t="s">
        <v>53</v>
      </c>
      <c r="D165" s="2" t="s">
        <v>115</v>
      </c>
      <c r="E165" s="2">
        <v>1</v>
      </c>
      <c r="F165" s="197"/>
      <c r="G165" s="2">
        <v>2</v>
      </c>
      <c r="H165" s="2">
        <v>0</v>
      </c>
      <c r="I165" s="2">
        <v>211999800</v>
      </c>
      <c r="J165" s="2">
        <v>0</v>
      </c>
      <c r="K165" s="2">
        <v>0</v>
      </c>
      <c r="L165" s="2">
        <v>163821700</v>
      </c>
      <c r="M165" s="2">
        <v>0</v>
      </c>
      <c r="N165" s="2">
        <v>0</v>
      </c>
      <c r="O165" s="2">
        <v>8936960</v>
      </c>
      <c r="P165" s="2">
        <v>0</v>
      </c>
      <c r="Q165" s="217">
        <f t="shared" si="2"/>
        <v>384758460</v>
      </c>
      <c r="R165" s="2">
        <v>4000</v>
      </c>
      <c r="S165" s="2">
        <v>415899700</v>
      </c>
      <c r="T165" s="221">
        <v>9.61770349919E-6</v>
      </c>
      <c r="U165" s="2">
        <v>0</v>
      </c>
      <c r="V165" s="2">
        <v>0</v>
      </c>
      <c r="W165" s="2">
        <v>0</v>
      </c>
      <c r="X165" s="2">
        <v>2</v>
      </c>
      <c r="Y165" s="2">
        <v>0</v>
      </c>
      <c r="Z165" s="2">
        <v>0</v>
      </c>
      <c r="AA165" s="2">
        <v>0</v>
      </c>
      <c r="AB165" s="2">
        <v>0</v>
      </c>
      <c r="AC165" s="2" t="s">
        <v>1345</v>
      </c>
    </row>
    <row r="166" spans="1:29" x14ac:dyDescent="0.25">
      <c r="A166" s="2"/>
      <c r="B166" s="2"/>
      <c r="C166" s="2" t="s">
        <v>53</v>
      </c>
      <c r="D166" s="2"/>
      <c r="E166" s="2"/>
      <c r="F166" s="197"/>
      <c r="G166" s="2">
        <v>2288</v>
      </c>
      <c r="H166" s="2">
        <v>36010500</v>
      </c>
      <c r="I166" s="2">
        <v>1116757900</v>
      </c>
      <c r="J166" s="2">
        <v>3.2245574443699999E-2</v>
      </c>
      <c r="K166" s="2">
        <v>182072800</v>
      </c>
      <c r="L166" s="2">
        <v>729565800</v>
      </c>
      <c r="M166" s="2">
        <v>0.24956323336399999</v>
      </c>
      <c r="N166" s="2">
        <v>167268080</v>
      </c>
      <c r="O166" s="2">
        <v>170719750</v>
      </c>
      <c r="P166" s="2">
        <v>0.97978165970800002</v>
      </c>
      <c r="Q166" s="217">
        <f t="shared" si="2"/>
        <v>2017043450</v>
      </c>
      <c r="R166" s="2">
        <v>396513700</v>
      </c>
      <c r="S166" s="2">
        <v>2173538600</v>
      </c>
      <c r="T166" s="2">
        <v>0.182427724081</v>
      </c>
      <c r="U166" s="2">
        <v>1355</v>
      </c>
      <c r="V166" s="2">
        <v>0</v>
      </c>
      <c r="W166" s="2">
        <v>8</v>
      </c>
      <c r="X166" s="2">
        <v>795</v>
      </c>
      <c r="Y166" s="2">
        <v>12</v>
      </c>
      <c r="Z166" s="2">
        <v>2</v>
      </c>
      <c r="AA166" s="2">
        <v>52</v>
      </c>
      <c r="AB166" s="2">
        <v>64</v>
      </c>
      <c r="AC166" s="2" t="s">
        <v>1345</v>
      </c>
    </row>
    <row r="167" spans="1:29" x14ac:dyDescent="0.25">
      <c r="A167" s="1">
        <v>540129</v>
      </c>
      <c r="B167" s="1" t="s">
        <v>54</v>
      </c>
      <c r="C167" s="1" t="s">
        <v>55</v>
      </c>
      <c r="D167" s="1" t="s">
        <v>5</v>
      </c>
      <c r="E167" s="1">
        <v>8</v>
      </c>
      <c r="F167" s="215"/>
      <c r="G167" s="1">
        <v>592</v>
      </c>
      <c r="H167" s="1">
        <v>25762200</v>
      </c>
      <c r="I167" s="1">
        <v>696667900</v>
      </c>
      <c r="J167" s="1">
        <v>3.6979168984199999E-2</v>
      </c>
      <c r="K167" s="1">
        <v>32029600</v>
      </c>
      <c r="L167" s="1">
        <v>73860600</v>
      </c>
      <c r="M167" s="1">
        <v>0.43364933401599998</v>
      </c>
      <c r="N167" s="1">
        <v>14783740</v>
      </c>
      <c r="O167" s="1">
        <v>91182560</v>
      </c>
      <c r="P167" s="1">
        <v>0.16213341674100001</v>
      </c>
      <c r="Q167" s="216">
        <f t="shared" si="2"/>
        <v>861711060</v>
      </c>
      <c r="R167" s="1">
        <v>72822200</v>
      </c>
      <c r="S167" s="1">
        <v>963575600</v>
      </c>
      <c r="T167" s="1">
        <v>7.5574973048300007E-2</v>
      </c>
      <c r="U167" s="1">
        <v>427</v>
      </c>
      <c r="V167" s="1">
        <v>0</v>
      </c>
      <c r="W167" s="1">
        <v>42</v>
      </c>
      <c r="X167" s="1">
        <v>78</v>
      </c>
      <c r="Y167" s="1">
        <v>3</v>
      </c>
      <c r="Z167" s="1">
        <v>0</v>
      </c>
      <c r="AA167" s="1">
        <v>21</v>
      </c>
      <c r="AB167" s="1">
        <v>21</v>
      </c>
      <c r="AC167" s="1" t="s">
        <v>1345</v>
      </c>
    </row>
    <row r="168" spans="1:29" x14ac:dyDescent="0.25">
      <c r="A168" s="2">
        <v>540130</v>
      </c>
      <c r="B168" s="2" t="s">
        <v>214</v>
      </c>
      <c r="C168" s="2" t="s">
        <v>55</v>
      </c>
      <c r="D168" s="2" t="s">
        <v>115</v>
      </c>
      <c r="E168" s="2">
        <v>8</v>
      </c>
      <c r="F168" s="197"/>
      <c r="G168" s="2">
        <v>267</v>
      </c>
      <c r="H168" s="2">
        <v>12161900</v>
      </c>
      <c r="I168" s="2">
        <v>108661900</v>
      </c>
      <c r="J168" s="2">
        <v>0.111924234713</v>
      </c>
      <c r="K168" s="2">
        <v>2264000</v>
      </c>
      <c r="L168" s="2">
        <v>27782200</v>
      </c>
      <c r="M168" s="2">
        <v>8.14910266286E-2</v>
      </c>
      <c r="N168" s="2">
        <v>10729780</v>
      </c>
      <c r="O168" s="2">
        <v>34978600</v>
      </c>
      <c r="P168" s="2">
        <v>0.30675270022200002</v>
      </c>
      <c r="Q168" s="217">
        <f t="shared" si="2"/>
        <v>171422700</v>
      </c>
      <c r="R168" s="2">
        <v>25198200</v>
      </c>
      <c r="S168" s="2">
        <v>171731400</v>
      </c>
      <c r="T168" s="2">
        <v>0.14673030092299999</v>
      </c>
      <c r="U168" s="2">
        <v>225</v>
      </c>
      <c r="V168" s="2">
        <v>0</v>
      </c>
      <c r="W168" s="2">
        <v>0</v>
      </c>
      <c r="X168" s="2">
        <v>22</v>
      </c>
      <c r="Y168" s="2">
        <v>0</v>
      </c>
      <c r="Z168" s="2">
        <v>2</v>
      </c>
      <c r="AA168" s="2">
        <v>8</v>
      </c>
      <c r="AB168" s="2">
        <v>10</v>
      </c>
      <c r="AC168" s="2" t="s">
        <v>1345</v>
      </c>
    </row>
    <row r="169" spans="1:29" x14ac:dyDescent="0.25">
      <c r="A169" s="2">
        <v>540131</v>
      </c>
      <c r="B169" s="2" t="s">
        <v>215</v>
      </c>
      <c r="C169" s="2" t="s">
        <v>55</v>
      </c>
      <c r="D169" s="2" t="s">
        <v>115</v>
      </c>
      <c r="E169" s="2">
        <v>8</v>
      </c>
      <c r="F169" s="197"/>
      <c r="G169" s="2">
        <v>38</v>
      </c>
      <c r="H169" s="2">
        <v>640100</v>
      </c>
      <c r="I169" s="2">
        <v>8478200</v>
      </c>
      <c r="J169" s="2">
        <v>7.5499516406799999E-2</v>
      </c>
      <c r="K169" s="2">
        <v>1161000</v>
      </c>
      <c r="L169" s="2">
        <v>6912200</v>
      </c>
      <c r="M169" s="2">
        <v>0.16796388993399999</v>
      </c>
      <c r="N169" s="2">
        <v>1118460</v>
      </c>
      <c r="O169" s="2">
        <v>2142570</v>
      </c>
      <c r="P169" s="2">
        <v>0.52201795040499999</v>
      </c>
      <c r="Q169" s="217">
        <f t="shared" si="2"/>
        <v>17532970</v>
      </c>
      <c r="R169" s="2">
        <v>2947000</v>
      </c>
      <c r="S169" s="2">
        <v>17642200</v>
      </c>
      <c r="T169" s="2">
        <v>0.16704265907900001</v>
      </c>
      <c r="U169" s="2">
        <v>21</v>
      </c>
      <c r="V169" s="2">
        <v>0</v>
      </c>
      <c r="W169" s="2">
        <v>0</v>
      </c>
      <c r="X169" s="2">
        <v>7</v>
      </c>
      <c r="Y169" s="2">
        <v>0</v>
      </c>
      <c r="Z169" s="2">
        <v>1</v>
      </c>
      <c r="AA169" s="2">
        <v>8</v>
      </c>
      <c r="AB169" s="2">
        <v>1</v>
      </c>
      <c r="AC169" s="2" t="s">
        <v>1345</v>
      </c>
    </row>
    <row r="170" spans="1:29" x14ac:dyDescent="0.25">
      <c r="A170" s="2">
        <v>540155</v>
      </c>
      <c r="B170" s="2" t="s">
        <v>231</v>
      </c>
      <c r="C170" s="2" t="s">
        <v>55</v>
      </c>
      <c r="D170" s="2" t="s">
        <v>115</v>
      </c>
      <c r="E170" s="2">
        <v>8</v>
      </c>
      <c r="F170" s="197"/>
      <c r="G170" s="2">
        <v>9</v>
      </c>
      <c r="H170" s="2">
        <v>476900</v>
      </c>
      <c r="I170" s="2">
        <v>13313800</v>
      </c>
      <c r="J170" s="2">
        <v>3.5819976265199997E-2</v>
      </c>
      <c r="K170" s="2">
        <v>0</v>
      </c>
      <c r="L170" s="2">
        <v>2385400</v>
      </c>
      <c r="M170" s="2">
        <v>0</v>
      </c>
      <c r="N170" s="2">
        <v>0</v>
      </c>
      <c r="O170" s="2">
        <v>2017060</v>
      </c>
      <c r="P170" s="2">
        <v>0</v>
      </c>
      <c r="Q170" s="217">
        <f t="shared" si="2"/>
        <v>17716260</v>
      </c>
      <c r="R170" s="2">
        <v>477500</v>
      </c>
      <c r="S170" s="2">
        <v>17786400</v>
      </c>
      <c r="T170" s="2">
        <v>2.68463545181E-2</v>
      </c>
      <c r="U170" s="2">
        <v>9</v>
      </c>
      <c r="V170" s="2">
        <v>0</v>
      </c>
      <c r="W170" s="2">
        <v>0</v>
      </c>
      <c r="X170" s="2">
        <v>0</v>
      </c>
      <c r="Y170" s="2">
        <v>0</v>
      </c>
      <c r="Z170" s="2">
        <v>0</v>
      </c>
      <c r="AA170" s="2">
        <v>0</v>
      </c>
      <c r="AB170" s="2">
        <v>0</v>
      </c>
      <c r="AC170" s="2" t="s">
        <v>1345</v>
      </c>
    </row>
    <row r="171" spans="1:29" x14ac:dyDescent="0.25">
      <c r="A171" s="2">
        <v>545555</v>
      </c>
      <c r="B171" s="2" t="s">
        <v>336</v>
      </c>
      <c r="C171" s="2" t="s">
        <v>55</v>
      </c>
      <c r="D171" s="2" t="s">
        <v>115</v>
      </c>
      <c r="E171" s="2">
        <v>8</v>
      </c>
      <c r="F171" s="197"/>
      <c r="G171" s="2">
        <v>0</v>
      </c>
      <c r="H171" s="2">
        <v>0</v>
      </c>
      <c r="I171" s="2">
        <v>24859900</v>
      </c>
      <c r="J171" s="2">
        <v>0</v>
      </c>
      <c r="K171" s="2">
        <v>0</v>
      </c>
      <c r="L171" s="2">
        <v>731500</v>
      </c>
      <c r="M171" s="2">
        <v>0</v>
      </c>
      <c r="N171" s="2">
        <v>0</v>
      </c>
      <c r="O171" s="2">
        <v>2023140</v>
      </c>
      <c r="P171" s="2">
        <v>0</v>
      </c>
      <c r="Q171" s="217">
        <f t="shared" si="2"/>
        <v>27614540</v>
      </c>
      <c r="R171" s="2">
        <v>0</v>
      </c>
      <c r="S171" s="2">
        <v>27672200</v>
      </c>
      <c r="T171" s="2">
        <v>0</v>
      </c>
      <c r="U171" s="2">
        <v>0</v>
      </c>
      <c r="V171" s="2">
        <v>0</v>
      </c>
      <c r="W171" s="2">
        <v>0</v>
      </c>
      <c r="X171" s="2">
        <v>0</v>
      </c>
      <c r="Y171" s="2">
        <v>0</v>
      </c>
      <c r="Z171" s="2">
        <v>0</v>
      </c>
      <c r="AA171" s="2">
        <v>0</v>
      </c>
      <c r="AB171" s="2">
        <v>0</v>
      </c>
      <c r="AC171" s="2" t="s">
        <v>1345</v>
      </c>
    </row>
    <row r="172" spans="1:29" x14ac:dyDescent="0.25">
      <c r="A172" s="2">
        <v>540091</v>
      </c>
      <c r="B172" s="2" t="s">
        <v>338</v>
      </c>
      <c r="C172" s="2" t="s">
        <v>55</v>
      </c>
      <c r="D172" s="2" t="s">
        <v>115</v>
      </c>
      <c r="E172" s="2">
        <v>8</v>
      </c>
      <c r="F172" s="197"/>
      <c r="G172" s="2">
        <v>0</v>
      </c>
      <c r="H172" s="2">
        <v>0</v>
      </c>
      <c r="I172" s="2">
        <v>2992100</v>
      </c>
      <c r="J172" s="2">
        <v>0</v>
      </c>
      <c r="K172" s="2">
        <v>0</v>
      </c>
      <c r="L172" s="2">
        <v>157000</v>
      </c>
      <c r="M172" s="2">
        <v>0</v>
      </c>
      <c r="N172" s="2">
        <v>0</v>
      </c>
      <c r="O172" s="2">
        <v>1184870</v>
      </c>
      <c r="P172" s="2">
        <v>0</v>
      </c>
      <c r="Q172" s="217">
        <f t="shared" si="2"/>
        <v>4333970</v>
      </c>
      <c r="R172" s="2">
        <v>0</v>
      </c>
      <c r="S172" s="2">
        <v>4360300</v>
      </c>
      <c r="T172" s="2">
        <v>0</v>
      </c>
      <c r="U172" s="2">
        <v>0</v>
      </c>
      <c r="V172" s="2">
        <v>0</v>
      </c>
      <c r="W172" s="2">
        <v>0</v>
      </c>
      <c r="X172" s="2">
        <v>0</v>
      </c>
      <c r="Y172" s="2">
        <v>0</v>
      </c>
      <c r="Z172" s="2">
        <v>0</v>
      </c>
      <c r="AA172" s="2">
        <v>0</v>
      </c>
      <c r="AB172" s="2">
        <v>0</v>
      </c>
      <c r="AC172" s="2" t="s">
        <v>1345</v>
      </c>
    </row>
    <row r="173" spans="1:29" x14ac:dyDescent="0.25">
      <c r="A173" s="2"/>
      <c r="B173" s="2"/>
      <c r="C173" s="2" t="s">
        <v>55</v>
      </c>
      <c r="D173" s="2"/>
      <c r="E173" s="2"/>
      <c r="F173" s="197"/>
      <c r="G173" s="2">
        <v>906</v>
      </c>
      <c r="H173" s="2">
        <v>39041100</v>
      </c>
      <c r="I173" s="2">
        <v>854973800</v>
      </c>
      <c r="J173" s="2">
        <v>4.5663504542499997E-2</v>
      </c>
      <c r="K173" s="2">
        <v>35454600</v>
      </c>
      <c r="L173" s="2">
        <v>111828900</v>
      </c>
      <c r="M173" s="2">
        <v>0.31704326877900002</v>
      </c>
      <c r="N173" s="2">
        <v>26631980</v>
      </c>
      <c r="O173" s="2">
        <v>133528800</v>
      </c>
      <c r="P173" s="2">
        <v>0.19944746002399999</v>
      </c>
      <c r="Q173" s="217">
        <f t="shared" si="2"/>
        <v>1100331500</v>
      </c>
      <c r="R173" s="2">
        <v>101444900</v>
      </c>
      <c r="S173" s="2">
        <v>1202768100</v>
      </c>
      <c r="T173" s="2">
        <v>8.4342858777200005E-2</v>
      </c>
      <c r="U173" s="2">
        <v>682</v>
      </c>
      <c r="V173" s="2">
        <v>0</v>
      </c>
      <c r="W173" s="2">
        <v>42</v>
      </c>
      <c r="X173" s="2">
        <v>107</v>
      </c>
      <c r="Y173" s="2">
        <v>3</v>
      </c>
      <c r="Z173" s="2">
        <v>3</v>
      </c>
      <c r="AA173" s="2">
        <v>37</v>
      </c>
      <c r="AB173" s="2">
        <v>32</v>
      </c>
      <c r="AC173" s="2" t="s">
        <v>1345</v>
      </c>
    </row>
    <row r="174" spans="1:29" x14ac:dyDescent="0.25">
      <c r="A174" s="1">
        <v>540133</v>
      </c>
      <c r="B174" s="1" t="s">
        <v>56</v>
      </c>
      <c r="C174" s="1" t="s">
        <v>57</v>
      </c>
      <c r="D174" s="1" t="s">
        <v>5</v>
      </c>
      <c r="E174" s="1">
        <v>2</v>
      </c>
      <c r="F174" s="215"/>
      <c r="G174" s="1">
        <v>3554</v>
      </c>
      <c r="H174" s="1">
        <v>49689200</v>
      </c>
      <c r="I174" s="1">
        <v>163690000</v>
      </c>
      <c r="J174" s="1">
        <v>0.303556723074</v>
      </c>
      <c r="K174" s="1">
        <v>9970900</v>
      </c>
      <c r="L174" s="1">
        <v>24205800</v>
      </c>
      <c r="M174" s="1">
        <v>0.41192193606499999</v>
      </c>
      <c r="N174" s="1">
        <v>26326260</v>
      </c>
      <c r="O174" s="1">
        <v>69223590</v>
      </c>
      <c r="P174" s="1">
        <v>0.38030763790200001</v>
      </c>
      <c r="Q174" s="216">
        <f t="shared" si="2"/>
        <v>257119390</v>
      </c>
      <c r="R174" s="1">
        <v>86145300</v>
      </c>
      <c r="S174" s="1">
        <v>258650800</v>
      </c>
      <c r="T174" s="1">
        <v>0.33305638335499999</v>
      </c>
      <c r="U174" s="1">
        <v>3067</v>
      </c>
      <c r="V174" s="1">
        <v>0</v>
      </c>
      <c r="W174" s="1">
        <v>1</v>
      </c>
      <c r="X174" s="1">
        <v>135</v>
      </c>
      <c r="Y174" s="1">
        <v>18</v>
      </c>
      <c r="Z174" s="1">
        <v>5</v>
      </c>
      <c r="AA174" s="1">
        <v>165</v>
      </c>
      <c r="AB174" s="1">
        <v>163</v>
      </c>
      <c r="AC174" s="1" t="s">
        <v>1344</v>
      </c>
    </row>
    <row r="175" spans="1:29" x14ac:dyDescent="0.25">
      <c r="A175" s="2">
        <v>540134</v>
      </c>
      <c r="B175" s="2" t="s">
        <v>217</v>
      </c>
      <c r="C175" s="2" t="s">
        <v>57</v>
      </c>
      <c r="D175" s="2" t="s">
        <v>115</v>
      </c>
      <c r="E175" s="2">
        <v>2</v>
      </c>
      <c r="F175" s="197"/>
      <c r="G175" s="2">
        <v>178</v>
      </c>
      <c r="H175" s="2">
        <v>2136000</v>
      </c>
      <c r="I175" s="2">
        <v>4555300</v>
      </c>
      <c r="J175" s="2">
        <v>0.46890435317099999</v>
      </c>
      <c r="K175" s="2">
        <v>707100</v>
      </c>
      <c r="L175" s="2">
        <v>3768000</v>
      </c>
      <c r="M175" s="2">
        <v>0.187659235669</v>
      </c>
      <c r="N175" s="2">
        <v>858100</v>
      </c>
      <c r="O175" s="2">
        <v>2355810</v>
      </c>
      <c r="P175" s="2">
        <v>0.36424839014999999</v>
      </c>
      <c r="Q175" s="217">
        <f t="shared" si="2"/>
        <v>10679110</v>
      </c>
      <c r="R175" s="2">
        <v>3704000</v>
      </c>
      <c r="S175" s="2">
        <v>10682200</v>
      </c>
      <c r="T175" s="2">
        <v>0.346745052517</v>
      </c>
      <c r="U175" s="2">
        <v>128</v>
      </c>
      <c r="V175" s="2">
        <v>0</v>
      </c>
      <c r="W175" s="2">
        <v>0</v>
      </c>
      <c r="X175" s="2">
        <v>17</v>
      </c>
      <c r="Y175" s="2">
        <v>0</v>
      </c>
      <c r="Z175" s="2">
        <v>0</v>
      </c>
      <c r="AA175" s="2">
        <v>14</v>
      </c>
      <c r="AB175" s="2">
        <v>19</v>
      </c>
      <c r="AC175" s="2" t="s">
        <v>1344</v>
      </c>
    </row>
    <row r="176" spans="1:29" x14ac:dyDescent="0.25">
      <c r="A176" s="2">
        <v>540135</v>
      </c>
      <c r="B176" s="2" t="s">
        <v>218</v>
      </c>
      <c r="C176" s="2" t="s">
        <v>57</v>
      </c>
      <c r="D176" s="2" t="s">
        <v>115</v>
      </c>
      <c r="E176" s="2">
        <v>2</v>
      </c>
      <c r="F176" s="197"/>
      <c r="G176" s="2">
        <v>81</v>
      </c>
      <c r="H176" s="2">
        <v>314700</v>
      </c>
      <c r="I176" s="2">
        <v>4000500</v>
      </c>
      <c r="J176" s="2">
        <v>7.8665166854099994E-2</v>
      </c>
      <c r="K176" s="2">
        <v>613600</v>
      </c>
      <c r="L176" s="2">
        <v>9318800</v>
      </c>
      <c r="M176" s="2">
        <v>6.5845387818199999E-2</v>
      </c>
      <c r="N176" s="2">
        <v>268600</v>
      </c>
      <c r="O176" s="2">
        <v>1581590</v>
      </c>
      <c r="P176" s="2">
        <v>0.16982909603599999</v>
      </c>
      <c r="Q176" s="217">
        <f t="shared" si="2"/>
        <v>14900890</v>
      </c>
      <c r="R176" s="2">
        <v>1196600</v>
      </c>
      <c r="S176" s="2">
        <v>14902300</v>
      </c>
      <c r="T176" s="2">
        <v>8.0296330096699994E-2</v>
      </c>
      <c r="U176" s="2">
        <v>43</v>
      </c>
      <c r="V176" s="2">
        <v>0</v>
      </c>
      <c r="W176" s="2">
        <v>0</v>
      </c>
      <c r="X176" s="2">
        <v>27</v>
      </c>
      <c r="Y176" s="2">
        <v>0</v>
      </c>
      <c r="Z176" s="2">
        <v>0</v>
      </c>
      <c r="AA176" s="2">
        <v>2</v>
      </c>
      <c r="AB176" s="2">
        <v>9</v>
      </c>
      <c r="AC176" s="2" t="s">
        <v>1344</v>
      </c>
    </row>
    <row r="177" spans="1:29" x14ac:dyDescent="0.25">
      <c r="A177" s="2">
        <v>540136</v>
      </c>
      <c r="B177" s="2" t="s">
        <v>219</v>
      </c>
      <c r="C177" s="2" t="s">
        <v>57</v>
      </c>
      <c r="D177" s="2" t="s">
        <v>115</v>
      </c>
      <c r="E177" s="2">
        <v>2</v>
      </c>
      <c r="F177" s="197"/>
      <c r="G177" s="2">
        <v>117</v>
      </c>
      <c r="H177" s="2">
        <v>2176600</v>
      </c>
      <c r="I177" s="2">
        <v>3974000</v>
      </c>
      <c r="J177" s="2">
        <v>0.54771011575200002</v>
      </c>
      <c r="K177" s="2">
        <v>619800</v>
      </c>
      <c r="L177" s="2">
        <v>1855700</v>
      </c>
      <c r="M177" s="2">
        <v>0.33399795225500001</v>
      </c>
      <c r="N177" s="2">
        <v>453720</v>
      </c>
      <c r="O177" s="2">
        <v>1094890</v>
      </c>
      <c r="P177" s="2">
        <v>0.41439779338600002</v>
      </c>
      <c r="Q177" s="217">
        <f t="shared" si="2"/>
        <v>6924590</v>
      </c>
      <c r="R177" s="2">
        <v>3250700</v>
      </c>
      <c r="S177" s="2">
        <v>6936700</v>
      </c>
      <c r="T177" s="2">
        <v>0.46862340882600001</v>
      </c>
      <c r="U177" s="2">
        <v>88</v>
      </c>
      <c r="V177" s="2">
        <v>0</v>
      </c>
      <c r="W177" s="2">
        <v>0</v>
      </c>
      <c r="X177" s="2">
        <v>13</v>
      </c>
      <c r="Y177" s="2">
        <v>1</v>
      </c>
      <c r="Z177" s="2">
        <v>0</v>
      </c>
      <c r="AA177" s="2">
        <v>11</v>
      </c>
      <c r="AB177" s="2">
        <v>4</v>
      </c>
      <c r="AC177" s="2" t="s">
        <v>1344</v>
      </c>
    </row>
    <row r="178" spans="1:29" x14ac:dyDescent="0.25">
      <c r="A178" s="2">
        <v>540138</v>
      </c>
      <c r="B178" s="2" t="s">
        <v>221</v>
      </c>
      <c r="C178" s="2" t="s">
        <v>57</v>
      </c>
      <c r="D178" s="2" t="s">
        <v>115</v>
      </c>
      <c r="E178" s="2">
        <v>2</v>
      </c>
      <c r="F178" s="197"/>
      <c r="G178" s="2">
        <v>47</v>
      </c>
      <c r="H178" s="2">
        <v>973400</v>
      </c>
      <c r="I178" s="2">
        <v>39194200</v>
      </c>
      <c r="J178" s="2">
        <v>2.4835307264899999E-2</v>
      </c>
      <c r="K178" s="2">
        <v>105800</v>
      </c>
      <c r="L178" s="2">
        <v>53998000</v>
      </c>
      <c r="M178" s="2">
        <v>1.9593318271E-3</v>
      </c>
      <c r="N178" s="2">
        <v>28680</v>
      </c>
      <c r="O178" s="2">
        <v>5319610</v>
      </c>
      <c r="P178" s="2">
        <v>5.39137267582E-3</v>
      </c>
      <c r="Q178" s="217">
        <f t="shared" si="2"/>
        <v>98511810</v>
      </c>
      <c r="R178" s="2">
        <v>1111600</v>
      </c>
      <c r="S178" s="2">
        <v>98648900</v>
      </c>
      <c r="T178" s="2">
        <v>1.12682452617E-2</v>
      </c>
      <c r="U178" s="2">
        <v>29</v>
      </c>
      <c r="V178" s="2">
        <v>0</v>
      </c>
      <c r="W178" s="2">
        <v>0</v>
      </c>
      <c r="X178" s="2">
        <v>4</v>
      </c>
      <c r="Y178" s="2">
        <v>0</v>
      </c>
      <c r="Z178" s="2">
        <v>0</v>
      </c>
      <c r="AA178" s="2">
        <v>7</v>
      </c>
      <c r="AB178" s="2">
        <v>7</v>
      </c>
      <c r="AC178" s="2" t="s">
        <v>1344</v>
      </c>
    </row>
    <row r="179" spans="1:29" x14ac:dyDescent="0.25">
      <c r="A179" s="2">
        <v>545538</v>
      </c>
      <c r="B179" s="2" t="s">
        <v>334</v>
      </c>
      <c r="C179" s="2" t="s">
        <v>57</v>
      </c>
      <c r="D179" s="2" t="s">
        <v>115</v>
      </c>
      <c r="E179" s="2">
        <v>2</v>
      </c>
      <c r="F179" s="197"/>
      <c r="G179" s="2">
        <v>56</v>
      </c>
      <c r="H179" s="2">
        <v>401400</v>
      </c>
      <c r="I179" s="2">
        <v>4829300</v>
      </c>
      <c r="J179" s="2">
        <v>8.3117636096300004E-2</v>
      </c>
      <c r="K179" s="2">
        <v>45000</v>
      </c>
      <c r="L179" s="2">
        <v>4763000</v>
      </c>
      <c r="M179" s="2">
        <v>9.4478269997900002E-3</v>
      </c>
      <c r="N179" s="2">
        <v>2171930</v>
      </c>
      <c r="O179" s="2">
        <v>3471390</v>
      </c>
      <c r="P179" s="2">
        <v>0.62566579957900004</v>
      </c>
      <c r="Q179" s="217">
        <f t="shared" si="2"/>
        <v>13063690</v>
      </c>
      <c r="R179" s="2">
        <v>3082900</v>
      </c>
      <c r="S179" s="2">
        <v>13296000</v>
      </c>
      <c r="T179" s="2">
        <v>0.23186672683500001</v>
      </c>
      <c r="U179" s="2">
        <v>41</v>
      </c>
      <c r="V179" s="2">
        <v>0</v>
      </c>
      <c r="W179" s="2">
        <v>0</v>
      </c>
      <c r="X179" s="2">
        <v>2</v>
      </c>
      <c r="Y179" s="2">
        <v>0</v>
      </c>
      <c r="Z179" s="2">
        <v>0</v>
      </c>
      <c r="AA179" s="2">
        <v>4</v>
      </c>
      <c r="AB179" s="2">
        <v>9</v>
      </c>
      <c r="AC179" s="2" t="s">
        <v>1344</v>
      </c>
    </row>
    <row r="180" spans="1:29" x14ac:dyDescent="0.25">
      <c r="A180" s="2"/>
      <c r="B180" s="2"/>
      <c r="C180" s="2" t="s">
        <v>57</v>
      </c>
      <c r="D180" s="2"/>
      <c r="E180" s="2"/>
      <c r="F180" s="197"/>
      <c r="G180" s="2">
        <v>4033</v>
      </c>
      <c r="H180" s="2">
        <v>55691300</v>
      </c>
      <c r="I180" s="2">
        <v>220243300</v>
      </c>
      <c r="J180" s="2">
        <v>0.25286262964599998</v>
      </c>
      <c r="K180" s="2">
        <v>12062200</v>
      </c>
      <c r="L180" s="2">
        <v>97909300</v>
      </c>
      <c r="M180" s="2">
        <v>0.123197694192</v>
      </c>
      <c r="N180" s="2">
        <v>30107290</v>
      </c>
      <c r="O180" s="2">
        <v>83046880</v>
      </c>
      <c r="P180" s="2">
        <v>0.36253366773099999</v>
      </c>
      <c r="Q180" s="217">
        <f t="shared" si="2"/>
        <v>401199480</v>
      </c>
      <c r="R180" s="2">
        <v>98491100</v>
      </c>
      <c r="S180" s="2">
        <v>403116900</v>
      </c>
      <c r="T180" s="2">
        <v>0.24432391695799999</v>
      </c>
      <c r="U180" s="2">
        <v>3396</v>
      </c>
      <c r="V180" s="2">
        <v>0</v>
      </c>
      <c r="W180" s="2">
        <v>1</v>
      </c>
      <c r="X180" s="2">
        <v>198</v>
      </c>
      <c r="Y180" s="2">
        <v>19</v>
      </c>
      <c r="Z180" s="2">
        <v>5</v>
      </c>
      <c r="AA180" s="2">
        <v>203</v>
      </c>
      <c r="AB180" s="2">
        <v>211</v>
      </c>
      <c r="AC180" s="2" t="s">
        <v>1344</v>
      </c>
    </row>
    <row r="181" spans="1:29" x14ac:dyDescent="0.25">
      <c r="A181" s="1">
        <v>540139</v>
      </c>
      <c r="B181" s="1" t="s">
        <v>58</v>
      </c>
      <c r="C181" s="1" t="s">
        <v>59</v>
      </c>
      <c r="D181" s="1" t="s">
        <v>5</v>
      </c>
      <c r="E181" s="1">
        <v>6</v>
      </c>
      <c r="F181" s="215"/>
      <c r="G181" s="1">
        <v>934</v>
      </c>
      <c r="H181" s="1">
        <v>41681900</v>
      </c>
      <c r="I181" s="1">
        <v>2924716900</v>
      </c>
      <c r="J181" s="1">
        <v>1.4251601582400001E-2</v>
      </c>
      <c r="K181" s="1">
        <v>66082400</v>
      </c>
      <c r="L181" s="1">
        <v>1058325900</v>
      </c>
      <c r="M181" s="1">
        <v>6.2440501550599999E-2</v>
      </c>
      <c r="N181" s="1">
        <v>9385420</v>
      </c>
      <c r="O181" s="1">
        <v>175637170</v>
      </c>
      <c r="P181" s="1">
        <v>5.3436410982900001E-2</v>
      </c>
      <c r="Q181" s="216">
        <f t="shared" si="2"/>
        <v>4158679970</v>
      </c>
      <c r="R181" s="1">
        <v>114203100</v>
      </c>
      <c r="S181" s="1">
        <v>4176539753</v>
      </c>
      <c r="T181" s="1">
        <v>2.7343951393700001E-2</v>
      </c>
      <c r="U181" s="1">
        <v>624</v>
      </c>
      <c r="V181" s="1">
        <v>62</v>
      </c>
      <c r="W181" s="1">
        <v>25</v>
      </c>
      <c r="X181" s="1">
        <v>168</v>
      </c>
      <c r="Y181" s="1">
        <v>6</v>
      </c>
      <c r="Z181" s="1">
        <v>1</v>
      </c>
      <c r="AA181" s="1">
        <v>32</v>
      </c>
      <c r="AB181" s="1">
        <v>16</v>
      </c>
      <c r="AC181" s="1" t="s">
        <v>1344</v>
      </c>
    </row>
    <row r="182" spans="1:29" x14ac:dyDescent="0.25">
      <c r="A182" s="2">
        <v>540140</v>
      </c>
      <c r="B182" s="2" t="s">
        <v>222</v>
      </c>
      <c r="C182" s="2" t="s">
        <v>59</v>
      </c>
      <c r="D182" s="2" t="s">
        <v>115</v>
      </c>
      <c r="E182" s="2">
        <v>6</v>
      </c>
      <c r="F182" s="197"/>
      <c r="G182" s="2">
        <v>10</v>
      </c>
      <c r="H182" s="2">
        <v>121000</v>
      </c>
      <c r="I182" s="2">
        <v>2507400</v>
      </c>
      <c r="J182" s="2">
        <v>4.8257158809900003E-2</v>
      </c>
      <c r="K182" s="2">
        <v>177000</v>
      </c>
      <c r="L182" s="2">
        <v>2146300</v>
      </c>
      <c r="M182" s="2">
        <v>8.2467502213099994E-2</v>
      </c>
      <c r="N182" s="2">
        <v>57090</v>
      </c>
      <c r="O182" s="2">
        <v>840760</v>
      </c>
      <c r="P182" s="2">
        <v>6.7902849802600002E-2</v>
      </c>
      <c r="Q182" s="217">
        <f t="shared" si="2"/>
        <v>5494460</v>
      </c>
      <c r="R182" s="2">
        <v>355100</v>
      </c>
      <c r="S182" s="2">
        <v>5637200</v>
      </c>
      <c r="T182" s="2">
        <v>6.2992265663800007E-2</v>
      </c>
      <c r="U182" s="2">
        <v>7</v>
      </c>
      <c r="V182" s="2">
        <v>0</v>
      </c>
      <c r="W182" s="2">
        <v>0</v>
      </c>
      <c r="X182" s="2">
        <v>2</v>
      </c>
      <c r="Y182" s="2">
        <v>0</v>
      </c>
      <c r="Z182" s="2">
        <v>0</v>
      </c>
      <c r="AA182" s="2">
        <v>0</v>
      </c>
      <c r="AB182" s="2">
        <v>1</v>
      </c>
      <c r="AC182" s="2" t="s">
        <v>1344</v>
      </c>
    </row>
    <row r="183" spans="1:29" x14ac:dyDescent="0.25">
      <c r="A183" s="2">
        <v>540141</v>
      </c>
      <c r="B183" s="2" t="s">
        <v>223</v>
      </c>
      <c r="C183" s="2" t="s">
        <v>59</v>
      </c>
      <c r="D183" s="2" t="s">
        <v>115</v>
      </c>
      <c r="E183" s="2">
        <v>6</v>
      </c>
      <c r="F183" s="197"/>
      <c r="G183" s="2">
        <v>172</v>
      </c>
      <c r="H183" s="2">
        <v>6118200</v>
      </c>
      <c r="I183" s="2">
        <v>759143200</v>
      </c>
      <c r="J183" s="2">
        <v>8.0593490134699998E-3</v>
      </c>
      <c r="K183" s="2">
        <v>23870400</v>
      </c>
      <c r="L183" s="2">
        <v>796811400</v>
      </c>
      <c r="M183" s="2">
        <v>2.9957402717900001E-2</v>
      </c>
      <c r="N183" s="2">
        <v>2665010</v>
      </c>
      <c r="O183" s="2">
        <v>22926190</v>
      </c>
      <c r="P183" s="2">
        <v>0.116243039075</v>
      </c>
      <c r="Q183" s="217">
        <f t="shared" si="2"/>
        <v>1578880790</v>
      </c>
      <c r="R183" s="2">
        <v>41059500</v>
      </c>
      <c r="S183" s="2">
        <v>4264243155</v>
      </c>
      <c r="T183" s="2">
        <v>9.6287895665300004E-3</v>
      </c>
      <c r="U183" s="2">
        <v>73</v>
      </c>
      <c r="V183" s="2">
        <v>11</v>
      </c>
      <c r="W183" s="2">
        <v>0</v>
      </c>
      <c r="X183" s="2">
        <v>84</v>
      </c>
      <c r="Y183" s="2">
        <v>1</v>
      </c>
      <c r="Z183" s="2">
        <v>0</v>
      </c>
      <c r="AA183" s="2">
        <v>2</v>
      </c>
      <c r="AB183" s="2">
        <v>1</v>
      </c>
      <c r="AC183" s="2" t="s">
        <v>1344</v>
      </c>
    </row>
    <row r="184" spans="1:29" x14ac:dyDescent="0.25">
      <c r="A184" s="2">
        <v>540272</v>
      </c>
      <c r="B184" s="2" t="s">
        <v>315</v>
      </c>
      <c r="C184" s="2" t="s">
        <v>59</v>
      </c>
      <c r="D184" s="2" t="s">
        <v>115</v>
      </c>
      <c r="E184" s="2">
        <v>6</v>
      </c>
      <c r="F184" s="197"/>
      <c r="G184" s="2">
        <v>27</v>
      </c>
      <c r="H184" s="2">
        <v>459100</v>
      </c>
      <c r="I184" s="2">
        <v>7369300</v>
      </c>
      <c r="J184" s="2">
        <v>6.2298997191000002E-2</v>
      </c>
      <c r="K184" s="2">
        <v>1288100</v>
      </c>
      <c r="L184" s="2">
        <v>135581300</v>
      </c>
      <c r="M184" s="2">
        <v>9.5005727191000006E-3</v>
      </c>
      <c r="N184" s="2">
        <v>118690</v>
      </c>
      <c r="O184" s="2">
        <v>8314950</v>
      </c>
      <c r="P184" s="2">
        <v>1.42742890817E-2</v>
      </c>
      <c r="Q184" s="217">
        <f t="shared" si="2"/>
        <v>151265550</v>
      </c>
      <c r="R184" s="2">
        <v>1755600</v>
      </c>
      <c r="S184" s="2">
        <v>200599600</v>
      </c>
      <c r="T184" s="2">
        <v>8.7517622168700009E-3</v>
      </c>
      <c r="U184" s="2">
        <v>11</v>
      </c>
      <c r="V184" s="2">
        <v>0</v>
      </c>
      <c r="W184" s="2">
        <v>0</v>
      </c>
      <c r="X184" s="2">
        <v>16</v>
      </c>
      <c r="Y184" s="2">
        <v>0</v>
      </c>
      <c r="Z184" s="2">
        <v>0</v>
      </c>
      <c r="AA184" s="2">
        <v>0</v>
      </c>
      <c r="AB184" s="2">
        <v>0</v>
      </c>
      <c r="AC184" s="2" t="s">
        <v>1344</v>
      </c>
    </row>
    <row r="185" spans="1:29" x14ac:dyDescent="0.25">
      <c r="A185" s="2">
        <v>540273</v>
      </c>
      <c r="B185" s="2" t="s">
        <v>316</v>
      </c>
      <c r="C185" s="2" t="s">
        <v>59</v>
      </c>
      <c r="D185" s="2" t="s">
        <v>115</v>
      </c>
      <c r="E185" s="2">
        <v>6</v>
      </c>
      <c r="F185" s="197"/>
      <c r="G185" s="2">
        <v>1</v>
      </c>
      <c r="H185" s="2">
        <v>0</v>
      </c>
      <c r="I185" s="2">
        <v>60476100</v>
      </c>
      <c r="J185" s="2">
        <v>0</v>
      </c>
      <c r="K185" s="2">
        <v>0</v>
      </c>
      <c r="L185" s="2">
        <v>31584800</v>
      </c>
      <c r="M185" s="2">
        <v>0</v>
      </c>
      <c r="N185" s="2">
        <v>0</v>
      </c>
      <c r="O185" s="2">
        <v>2311210</v>
      </c>
      <c r="P185" s="2">
        <v>0</v>
      </c>
      <c r="Q185" s="217">
        <f t="shared" si="2"/>
        <v>94372110</v>
      </c>
      <c r="R185" s="2">
        <v>4200000</v>
      </c>
      <c r="S185" s="2">
        <v>95837000</v>
      </c>
      <c r="T185" s="2">
        <v>4.3824410196499998E-2</v>
      </c>
      <c r="U185" s="2">
        <v>0</v>
      </c>
      <c r="V185" s="2">
        <v>0</v>
      </c>
      <c r="W185" s="2">
        <v>0</v>
      </c>
      <c r="X185" s="2">
        <v>0</v>
      </c>
      <c r="Y185" s="2">
        <v>0</v>
      </c>
      <c r="Z185" s="2">
        <v>0</v>
      </c>
      <c r="AA185" s="2">
        <v>1</v>
      </c>
      <c r="AB185" s="2">
        <v>0</v>
      </c>
      <c r="AC185" s="2" t="s">
        <v>1344</v>
      </c>
    </row>
    <row r="186" spans="1:29" x14ac:dyDescent="0.25">
      <c r="A186" s="2">
        <v>540274</v>
      </c>
      <c r="B186" s="2" t="s">
        <v>317</v>
      </c>
      <c r="C186" s="2" t="s">
        <v>59</v>
      </c>
      <c r="D186" s="2" t="s">
        <v>115</v>
      </c>
      <c r="E186" s="2">
        <v>6</v>
      </c>
      <c r="F186" s="197"/>
      <c r="G186" s="2">
        <v>26</v>
      </c>
      <c r="H186" s="2">
        <v>379800</v>
      </c>
      <c r="I186" s="2">
        <v>119389200</v>
      </c>
      <c r="J186" s="2">
        <v>3.18119226865E-3</v>
      </c>
      <c r="K186" s="2">
        <v>2172700</v>
      </c>
      <c r="L186" s="2">
        <v>57490900</v>
      </c>
      <c r="M186" s="2">
        <v>3.7792067962100002E-2</v>
      </c>
      <c r="N186" s="2">
        <v>111300</v>
      </c>
      <c r="O186" s="2">
        <v>4496060</v>
      </c>
      <c r="P186" s="2">
        <v>2.4755007717899999E-2</v>
      </c>
      <c r="Q186" s="217">
        <f t="shared" si="2"/>
        <v>181376160</v>
      </c>
      <c r="R186" s="2">
        <v>2663800</v>
      </c>
      <c r="S186" s="2">
        <v>177527422</v>
      </c>
      <c r="T186" s="2">
        <v>1.5005005818199999E-2</v>
      </c>
      <c r="U186" s="2">
        <v>12</v>
      </c>
      <c r="V186" s="2">
        <v>5</v>
      </c>
      <c r="W186" s="2">
        <v>0</v>
      </c>
      <c r="X186" s="2">
        <v>8</v>
      </c>
      <c r="Y186" s="2">
        <v>0</v>
      </c>
      <c r="Z186" s="2">
        <v>0</v>
      </c>
      <c r="AA186" s="2">
        <v>0</v>
      </c>
      <c r="AB186" s="2">
        <v>1</v>
      </c>
      <c r="AC186" s="2" t="s">
        <v>1344</v>
      </c>
    </row>
    <row r="187" spans="1:29" x14ac:dyDescent="0.25">
      <c r="A187" s="2"/>
      <c r="B187" s="2"/>
      <c r="C187" s="2" t="s">
        <v>59</v>
      </c>
      <c r="D187" s="2"/>
      <c r="E187" s="2"/>
      <c r="F187" s="197"/>
      <c r="G187" s="2">
        <v>1170</v>
      </c>
      <c r="H187" s="2">
        <v>48760000</v>
      </c>
      <c r="I187" s="2">
        <v>3873602100</v>
      </c>
      <c r="J187" s="2">
        <v>1.2587766823E-2</v>
      </c>
      <c r="K187" s="2">
        <v>93590600</v>
      </c>
      <c r="L187" s="2">
        <v>2081940600</v>
      </c>
      <c r="M187" s="2">
        <v>4.4953539980900001E-2</v>
      </c>
      <c r="N187" s="2">
        <v>12337510</v>
      </c>
      <c r="O187" s="2">
        <v>214526340</v>
      </c>
      <c r="P187" s="2">
        <v>5.7510467013E-2</v>
      </c>
      <c r="Q187" s="217">
        <f t="shared" si="2"/>
        <v>6170069040</v>
      </c>
      <c r="R187" s="2">
        <v>164237100</v>
      </c>
      <c r="S187" s="2">
        <v>8920384130</v>
      </c>
      <c r="T187" s="2">
        <v>1.84114380734E-2</v>
      </c>
      <c r="U187" s="2">
        <v>727</v>
      </c>
      <c r="V187" s="2">
        <v>78</v>
      </c>
      <c r="W187" s="2">
        <v>25</v>
      </c>
      <c r="X187" s="2">
        <v>278</v>
      </c>
      <c r="Y187" s="2">
        <v>7</v>
      </c>
      <c r="Z187" s="2">
        <v>1</v>
      </c>
      <c r="AA187" s="2">
        <v>35</v>
      </c>
      <c r="AB187" s="2">
        <v>19</v>
      </c>
      <c r="AC187" s="2" t="s">
        <v>1344</v>
      </c>
    </row>
    <row r="188" spans="1:29" x14ac:dyDescent="0.25">
      <c r="A188" s="1">
        <v>540144</v>
      </c>
      <c r="B188" s="1" t="s">
        <v>60</v>
      </c>
      <c r="C188" s="1" t="s">
        <v>61</v>
      </c>
      <c r="D188" s="1" t="s">
        <v>5</v>
      </c>
      <c r="E188" s="1">
        <v>9</v>
      </c>
      <c r="F188" s="215"/>
      <c r="G188" s="1">
        <v>821</v>
      </c>
      <c r="H188" s="1">
        <v>31570100</v>
      </c>
      <c r="I188" s="1">
        <v>867565900</v>
      </c>
      <c r="J188" s="1">
        <v>3.6389281782499998E-2</v>
      </c>
      <c r="K188" s="1">
        <v>10328700</v>
      </c>
      <c r="L188" s="1">
        <v>76314600</v>
      </c>
      <c r="M188" s="1">
        <v>0.135343695702</v>
      </c>
      <c r="N188" s="1">
        <v>45123450</v>
      </c>
      <c r="O188" s="1">
        <v>93610600</v>
      </c>
      <c r="P188" s="1">
        <v>0.48203355175599999</v>
      </c>
      <c r="Q188" s="216">
        <f t="shared" si="2"/>
        <v>1037491100</v>
      </c>
      <c r="R188" s="1">
        <v>101762200</v>
      </c>
      <c r="S188" s="1">
        <v>1058518100</v>
      </c>
      <c r="T188" s="1">
        <v>9.6136476079200006E-2</v>
      </c>
      <c r="U188" s="1">
        <v>556</v>
      </c>
      <c r="V188" s="1">
        <v>0</v>
      </c>
      <c r="W188" s="1">
        <v>58</v>
      </c>
      <c r="X188" s="1">
        <v>136</v>
      </c>
      <c r="Y188" s="1">
        <v>8</v>
      </c>
      <c r="Z188" s="1">
        <v>3</v>
      </c>
      <c r="AA188" s="1">
        <v>30</v>
      </c>
      <c r="AB188" s="1">
        <v>30</v>
      </c>
      <c r="AC188" s="1" t="s">
        <v>1344</v>
      </c>
    </row>
    <row r="189" spans="1:29" x14ac:dyDescent="0.25">
      <c r="A189" s="2">
        <v>540005</v>
      </c>
      <c r="B189" s="2" t="s">
        <v>118</v>
      </c>
      <c r="C189" s="2" t="s">
        <v>61</v>
      </c>
      <c r="D189" s="2" t="s">
        <v>115</v>
      </c>
      <c r="E189" s="2">
        <v>9</v>
      </c>
      <c r="F189" s="197"/>
      <c r="G189" s="2">
        <v>91</v>
      </c>
      <c r="H189" s="2">
        <v>2935400</v>
      </c>
      <c r="I189" s="2">
        <v>25255400</v>
      </c>
      <c r="J189" s="2">
        <v>0.116228608535</v>
      </c>
      <c r="K189" s="2">
        <v>17223600</v>
      </c>
      <c r="L189" s="2">
        <v>30566200</v>
      </c>
      <c r="M189" s="2">
        <v>0.56348515680699995</v>
      </c>
      <c r="N189" s="2">
        <v>18437730</v>
      </c>
      <c r="O189" s="2">
        <v>7901760</v>
      </c>
      <c r="P189" s="2">
        <v>2.3333700340200001</v>
      </c>
      <c r="Q189" s="217">
        <f t="shared" si="2"/>
        <v>63723360</v>
      </c>
      <c r="R189" s="2">
        <v>52710800</v>
      </c>
      <c r="S189" s="2">
        <v>68438200</v>
      </c>
      <c r="T189" s="2">
        <v>0.77019559252000003</v>
      </c>
      <c r="U189" s="2">
        <v>35</v>
      </c>
      <c r="V189" s="2">
        <v>0</v>
      </c>
      <c r="W189" s="2">
        <v>0</v>
      </c>
      <c r="X189" s="2">
        <v>36</v>
      </c>
      <c r="Y189" s="2">
        <v>0</v>
      </c>
      <c r="Z189" s="2">
        <v>1</v>
      </c>
      <c r="AA189" s="2">
        <v>19</v>
      </c>
      <c r="AB189" s="2">
        <v>0</v>
      </c>
      <c r="AC189" s="2" t="s">
        <v>1344</v>
      </c>
    </row>
    <row r="190" spans="1:29" x14ac:dyDescent="0.25">
      <c r="A190" s="2">
        <v>540252</v>
      </c>
      <c r="B190" s="2" t="s">
        <v>298</v>
      </c>
      <c r="C190" s="2" t="s">
        <v>61</v>
      </c>
      <c r="D190" s="2" t="s">
        <v>115</v>
      </c>
      <c r="E190" s="2">
        <v>9</v>
      </c>
      <c r="F190" s="197"/>
      <c r="G190" s="2">
        <v>55</v>
      </c>
      <c r="H190" s="2">
        <v>1806900</v>
      </c>
      <c r="I190" s="2">
        <v>9558600</v>
      </c>
      <c r="J190" s="2">
        <v>0.18903395894800001</v>
      </c>
      <c r="K190" s="2">
        <v>1535600</v>
      </c>
      <c r="L190" s="2">
        <v>4826400</v>
      </c>
      <c r="M190" s="2">
        <v>0.31816674954399998</v>
      </c>
      <c r="N190" s="2">
        <v>265060</v>
      </c>
      <c r="O190" s="2">
        <v>3554160</v>
      </c>
      <c r="P190" s="2">
        <v>7.4577396628199996E-2</v>
      </c>
      <c r="Q190" s="217">
        <f t="shared" si="2"/>
        <v>17939160</v>
      </c>
      <c r="R190" s="2">
        <v>3608800</v>
      </c>
      <c r="S190" s="2">
        <v>17946600</v>
      </c>
      <c r="T190" s="2">
        <v>0.20108544236799999</v>
      </c>
      <c r="U190" s="2">
        <v>34</v>
      </c>
      <c r="V190" s="2">
        <v>0</v>
      </c>
      <c r="W190" s="2">
        <v>7</v>
      </c>
      <c r="X190" s="2">
        <v>12</v>
      </c>
      <c r="Y190" s="2">
        <v>0</v>
      </c>
      <c r="Z190" s="2">
        <v>0</v>
      </c>
      <c r="AA190" s="2">
        <v>1</v>
      </c>
      <c r="AB190" s="2">
        <v>1</v>
      </c>
      <c r="AC190" s="2" t="s">
        <v>1344</v>
      </c>
    </row>
    <row r="191" spans="1:29" x14ac:dyDescent="0.25">
      <c r="A191" s="2"/>
      <c r="B191" s="2"/>
      <c r="C191" s="2" t="s">
        <v>61</v>
      </c>
      <c r="D191" s="2"/>
      <c r="E191" s="2"/>
      <c r="F191" s="197"/>
      <c r="G191" s="2">
        <v>967</v>
      </c>
      <c r="H191" s="2">
        <v>36312400</v>
      </c>
      <c r="I191" s="2">
        <v>902379900</v>
      </c>
      <c r="J191" s="2">
        <v>4.0240701283400002E-2</v>
      </c>
      <c r="K191" s="2">
        <v>29087900</v>
      </c>
      <c r="L191" s="2">
        <v>111707200</v>
      </c>
      <c r="M191" s="2">
        <v>0.26039413753099999</v>
      </c>
      <c r="N191" s="2">
        <v>63826240</v>
      </c>
      <c r="O191" s="2">
        <v>105066520</v>
      </c>
      <c r="P191" s="2">
        <v>0.60748409674199999</v>
      </c>
      <c r="Q191" s="217">
        <f t="shared" si="2"/>
        <v>1119153620</v>
      </c>
      <c r="R191" s="2">
        <v>158081800</v>
      </c>
      <c r="S191" s="2">
        <v>1144902900</v>
      </c>
      <c r="T191" s="2">
        <v>0.13807441661600001</v>
      </c>
      <c r="U191" s="2">
        <v>625</v>
      </c>
      <c r="V191" s="2">
        <v>0</v>
      </c>
      <c r="W191" s="2">
        <v>65</v>
      </c>
      <c r="X191" s="2">
        <v>184</v>
      </c>
      <c r="Y191" s="2">
        <v>8</v>
      </c>
      <c r="Z191" s="2">
        <v>4</v>
      </c>
      <c r="AA191" s="2">
        <v>50</v>
      </c>
      <c r="AB191" s="2">
        <v>31</v>
      </c>
      <c r="AC191" s="2" t="s">
        <v>1344</v>
      </c>
    </row>
    <row r="192" spans="1:29" x14ac:dyDescent="0.25">
      <c r="A192" s="1">
        <v>540146</v>
      </c>
      <c r="B192" s="1" t="s">
        <v>62</v>
      </c>
      <c r="C192" s="1" t="s">
        <v>63</v>
      </c>
      <c r="D192" s="1" t="s">
        <v>5</v>
      </c>
      <c r="E192" s="1">
        <v>4</v>
      </c>
      <c r="F192" s="215"/>
      <c r="G192" s="1">
        <v>733</v>
      </c>
      <c r="H192" s="1">
        <v>14363300</v>
      </c>
      <c r="I192" s="1">
        <v>456039800</v>
      </c>
      <c r="J192" s="1">
        <v>3.14957159441E-2</v>
      </c>
      <c r="K192" s="1">
        <v>16546100</v>
      </c>
      <c r="L192" s="1">
        <v>49638300</v>
      </c>
      <c r="M192" s="1">
        <v>0.33333333333300003</v>
      </c>
      <c r="N192" s="1">
        <v>4718330</v>
      </c>
      <c r="O192" s="1">
        <v>75254250</v>
      </c>
      <c r="P192" s="1">
        <v>6.2698518688299995E-2</v>
      </c>
      <c r="Q192" s="216">
        <f t="shared" si="2"/>
        <v>580932350</v>
      </c>
      <c r="R192" s="1">
        <v>35717600</v>
      </c>
      <c r="S192" s="1">
        <v>582203800</v>
      </c>
      <c r="T192" s="1">
        <v>6.1348964056899997E-2</v>
      </c>
      <c r="U192" s="1">
        <v>623</v>
      </c>
      <c r="V192" s="1">
        <v>0</v>
      </c>
      <c r="W192" s="1">
        <v>58</v>
      </c>
      <c r="X192" s="1">
        <v>32</v>
      </c>
      <c r="Y192" s="1">
        <v>10</v>
      </c>
      <c r="Z192" s="1">
        <v>0</v>
      </c>
      <c r="AA192" s="1">
        <v>1</v>
      </c>
      <c r="AB192" s="1">
        <v>9</v>
      </c>
      <c r="AC192" s="1" t="s">
        <v>1344</v>
      </c>
    </row>
    <row r="193" spans="1:29" x14ac:dyDescent="0.25">
      <c r="A193" s="2">
        <v>540147</v>
      </c>
      <c r="B193" s="2" t="s">
        <v>225</v>
      </c>
      <c r="C193" s="2" t="s">
        <v>63</v>
      </c>
      <c r="D193" s="2" t="s">
        <v>115</v>
      </c>
      <c r="E193" s="2">
        <v>4</v>
      </c>
      <c r="F193" s="197"/>
      <c r="G193" s="2">
        <v>366</v>
      </c>
      <c r="H193" s="2">
        <v>5231200</v>
      </c>
      <c r="I193" s="2">
        <v>17981100</v>
      </c>
      <c r="J193" s="2">
        <v>0.29092769630300003</v>
      </c>
      <c r="K193" s="2">
        <v>2769400</v>
      </c>
      <c r="L193" s="2">
        <v>3915100</v>
      </c>
      <c r="M193" s="2">
        <v>0.70736379658199999</v>
      </c>
      <c r="N193" s="2">
        <v>4676170</v>
      </c>
      <c r="O193" s="2">
        <v>6412320</v>
      </c>
      <c r="P193" s="2">
        <v>0.72924776056100005</v>
      </c>
      <c r="Q193" s="217">
        <f t="shared" si="2"/>
        <v>28308520</v>
      </c>
      <c r="R193" s="2">
        <v>12752100</v>
      </c>
      <c r="S193" s="2">
        <v>28383900</v>
      </c>
      <c r="T193" s="2">
        <v>0.44927229873300001</v>
      </c>
      <c r="U193" s="2">
        <v>284</v>
      </c>
      <c r="V193" s="2">
        <v>0</v>
      </c>
      <c r="W193" s="2">
        <v>0</v>
      </c>
      <c r="X193" s="2">
        <v>63</v>
      </c>
      <c r="Y193" s="2">
        <v>2</v>
      </c>
      <c r="Z193" s="2">
        <v>0</v>
      </c>
      <c r="AA193" s="2">
        <v>12</v>
      </c>
      <c r="AB193" s="2">
        <v>5</v>
      </c>
      <c r="AC193" s="2" t="s">
        <v>1344</v>
      </c>
    </row>
    <row r="194" spans="1:29" x14ac:dyDescent="0.25">
      <c r="A194" s="2">
        <v>540148</v>
      </c>
      <c r="B194" s="2" t="s">
        <v>226</v>
      </c>
      <c r="C194" s="2" t="s">
        <v>63</v>
      </c>
      <c r="D194" s="2" t="s">
        <v>115</v>
      </c>
      <c r="E194" s="2">
        <v>4</v>
      </c>
      <c r="F194" s="197"/>
      <c r="G194" s="2">
        <v>52</v>
      </c>
      <c r="H194" s="2">
        <v>928900</v>
      </c>
      <c r="I194" s="2">
        <v>116823500</v>
      </c>
      <c r="J194" s="2">
        <v>7.9513111659900004E-3</v>
      </c>
      <c r="K194" s="2">
        <v>12017600</v>
      </c>
      <c r="L194" s="2">
        <v>88084400</v>
      </c>
      <c r="M194" s="2">
        <v>0.13643278491999999</v>
      </c>
      <c r="N194" s="2">
        <v>6593610</v>
      </c>
      <c r="O194" s="2">
        <v>19753690</v>
      </c>
      <c r="P194" s="2">
        <v>0.33379130683899999</v>
      </c>
      <c r="Q194" s="217">
        <f t="shared" si="2"/>
        <v>224661590</v>
      </c>
      <c r="R194" s="2">
        <v>20941200</v>
      </c>
      <c r="S194" s="2">
        <v>227621500</v>
      </c>
      <c r="T194" s="2">
        <v>9.2000096651700003E-2</v>
      </c>
      <c r="U194" s="2">
        <v>17</v>
      </c>
      <c r="V194" s="2">
        <v>0</v>
      </c>
      <c r="W194" s="2">
        <v>0</v>
      </c>
      <c r="X194" s="2">
        <v>33</v>
      </c>
      <c r="Y194" s="2">
        <v>0</v>
      </c>
      <c r="Z194" s="2">
        <v>0</v>
      </c>
      <c r="AA194" s="2">
        <v>1</v>
      </c>
      <c r="AB194" s="2">
        <v>1</v>
      </c>
      <c r="AC194" s="2" t="s">
        <v>1344</v>
      </c>
    </row>
    <row r="195" spans="1:29" x14ac:dyDescent="0.25">
      <c r="A195" s="2"/>
      <c r="B195" s="2"/>
      <c r="C195" s="2" t="s">
        <v>63</v>
      </c>
      <c r="D195" s="2"/>
      <c r="E195" s="2"/>
      <c r="F195" s="197"/>
      <c r="G195" s="2">
        <v>1151</v>
      </c>
      <c r="H195" s="2">
        <v>20523400</v>
      </c>
      <c r="I195" s="2">
        <v>590844400</v>
      </c>
      <c r="J195" s="2">
        <v>3.4735710450999997E-2</v>
      </c>
      <c r="K195" s="2">
        <v>31333100</v>
      </c>
      <c r="L195" s="2">
        <v>141637800</v>
      </c>
      <c r="M195" s="2">
        <v>0.22121990033700001</v>
      </c>
      <c r="N195" s="2">
        <v>15988110</v>
      </c>
      <c r="O195" s="2">
        <v>101420260</v>
      </c>
      <c r="P195" s="2">
        <v>0.15764217129800001</v>
      </c>
      <c r="Q195" s="217">
        <f t="shared" si="2"/>
        <v>833902460</v>
      </c>
      <c r="R195" s="2">
        <v>69410900</v>
      </c>
      <c r="S195" s="2">
        <v>838209200</v>
      </c>
      <c r="T195" s="2">
        <v>8.2808563781000002E-2</v>
      </c>
      <c r="U195" s="2">
        <v>924</v>
      </c>
      <c r="V195" s="2">
        <v>0</v>
      </c>
      <c r="W195" s="2">
        <v>58</v>
      </c>
      <c r="X195" s="2">
        <v>128</v>
      </c>
      <c r="Y195" s="2">
        <v>12</v>
      </c>
      <c r="Z195" s="2">
        <v>0</v>
      </c>
      <c r="AA195" s="2">
        <v>14</v>
      </c>
      <c r="AB195" s="2">
        <v>15</v>
      </c>
      <c r="AC195" s="2" t="s">
        <v>1344</v>
      </c>
    </row>
    <row r="196" spans="1:29" x14ac:dyDescent="0.25">
      <c r="A196" s="1">
        <v>540149</v>
      </c>
      <c r="B196" s="1" t="s">
        <v>64</v>
      </c>
      <c r="C196" s="1" t="s">
        <v>65</v>
      </c>
      <c r="D196" s="1" t="s">
        <v>5</v>
      </c>
      <c r="E196" s="1">
        <v>10</v>
      </c>
      <c r="F196" s="215"/>
      <c r="G196" s="1">
        <v>339</v>
      </c>
      <c r="H196" s="1">
        <v>8776400</v>
      </c>
      <c r="I196" s="1">
        <v>433088500</v>
      </c>
      <c r="J196" s="1">
        <v>2.02646803136E-2</v>
      </c>
      <c r="K196" s="1">
        <v>4726500</v>
      </c>
      <c r="L196" s="1">
        <v>281805900</v>
      </c>
      <c r="M196" s="1">
        <v>1.67721825554E-2</v>
      </c>
      <c r="N196" s="1">
        <v>4827180</v>
      </c>
      <c r="O196" s="1">
        <v>62163530</v>
      </c>
      <c r="P196" s="1">
        <v>7.7652926080599996E-2</v>
      </c>
      <c r="Q196" s="216">
        <f t="shared" ref="Q196:Q259" si="3" xml:space="preserve"> I196 + L196+ O196</f>
        <v>777057930</v>
      </c>
      <c r="R196" s="1">
        <v>18929900</v>
      </c>
      <c r="S196" s="1">
        <v>712713401</v>
      </c>
      <c r="T196" s="1">
        <v>2.6560325613999999E-2</v>
      </c>
      <c r="U196" s="1">
        <v>191</v>
      </c>
      <c r="V196" s="1">
        <v>0</v>
      </c>
      <c r="W196" s="1">
        <v>41</v>
      </c>
      <c r="X196" s="1">
        <v>92</v>
      </c>
      <c r="Y196" s="1">
        <v>2</v>
      </c>
      <c r="Z196" s="1">
        <v>3</v>
      </c>
      <c r="AA196" s="1">
        <v>7</v>
      </c>
      <c r="AB196" s="1">
        <v>3</v>
      </c>
      <c r="AC196" s="1" t="s">
        <v>1344</v>
      </c>
    </row>
    <row r="197" spans="1:29" x14ac:dyDescent="0.25">
      <c r="A197" s="2">
        <v>540080</v>
      </c>
      <c r="B197" s="2" t="s">
        <v>175</v>
      </c>
      <c r="C197" s="2" t="s">
        <v>65</v>
      </c>
      <c r="D197" s="2" t="s">
        <v>115</v>
      </c>
      <c r="E197" s="2">
        <v>10</v>
      </c>
      <c r="F197" s="197"/>
      <c r="G197" s="2">
        <v>0</v>
      </c>
      <c r="H197" s="2">
        <v>0</v>
      </c>
      <c r="I197" s="2">
        <v>15363400</v>
      </c>
      <c r="J197" s="2">
        <v>0</v>
      </c>
      <c r="K197" s="2">
        <v>0</v>
      </c>
      <c r="L197" s="2">
        <v>52600</v>
      </c>
      <c r="M197" s="2">
        <v>0</v>
      </c>
      <c r="N197" s="2">
        <v>0</v>
      </c>
      <c r="O197" s="2">
        <v>479430</v>
      </c>
      <c r="P197" s="2">
        <v>0</v>
      </c>
      <c r="Q197" s="217">
        <f t="shared" si="3"/>
        <v>15895430</v>
      </c>
      <c r="R197" s="2">
        <v>0</v>
      </c>
      <c r="S197" s="2">
        <v>15895700</v>
      </c>
      <c r="T197" s="2">
        <v>0</v>
      </c>
      <c r="U197" s="2">
        <v>0</v>
      </c>
      <c r="V197" s="2">
        <v>0</v>
      </c>
      <c r="W197" s="2">
        <v>0</v>
      </c>
      <c r="X197" s="2">
        <v>0</v>
      </c>
      <c r="Y197" s="2">
        <v>0</v>
      </c>
      <c r="Z197" s="2">
        <v>0</v>
      </c>
      <c r="AA197" s="2">
        <v>0</v>
      </c>
      <c r="AB197" s="2">
        <v>0</v>
      </c>
      <c r="AC197" s="2" t="s">
        <v>1344</v>
      </c>
    </row>
    <row r="198" spans="1:29" x14ac:dyDescent="0.25">
      <c r="A198" s="2">
        <v>540094</v>
      </c>
      <c r="B198" s="2" t="s">
        <v>185</v>
      </c>
      <c r="C198" s="2" t="s">
        <v>65</v>
      </c>
      <c r="D198" s="2" t="s">
        <v>115</v>
      </c>
      <c r="E198" s="2">
        <v>10</v>
      </c>
      <c r="F198" s="197"/>
      <c r="G198" s="2">
        <v>11</v>
      </c>
      <c r="H198" s="2">
        <v>433700</v>
      </c>
      <c r="I198" s="2">
        <v>8338300</v>
      </c>
      <c r="J198" s="2">
        <v>5.2013000251800001E-2</v>
      </c>
      <c r="K198" s="2">
        <v>909200</v>
      </c>
      <c r="L198" s="2">
        <v>9365000</v>
      </c>
      <c r="M198" s="2">
        <v>9.7084890549899994E-2</v>
      </c>
      <c r="N198" s="2">
        <v>113050</v>
      </c>
      <c r="O198" s="2">
        <v>3482640</v>
      </c>
      <c r="P198" s="2">
        <v>3.2461006592700001E-2</v>
      </c>
      <c r="Q198" s="217">
        <f t="shared" si="3"/>
        <v>21185940</v>
      </c>
      <c r="R198" s="2">
        <v>1456100</v>
      </c>
      <c r="S198" s="2">
        <v>21186500</v>
      </c>
      <c r="T198" s="2">
        <v>6.8727727562400004E-2</v>
      </c>
      <c r="U198" s="2">
        <v>7</v>
      </c>
      <c r="V198" s="2">
        <v>2</v>
      </c>
      <c r="W198" s="2">
        <v>2</v>
      </c>
      <c r="X198" s="2">
        <v>0</v>
      </c>
      <c r="Y198" s="2">
        <v>0</v>
      </c>
      <c r="Z198" s="2">
        <v>0</v>
      </c>
      <c r="AA198" s="2">
        <v>0</v>
      </c>
      <c r="AB198" s="2">
        <v>0</v>
      </c>
      <c r="AC198" s="2" t="s">
        <v>1344</v>
      </c>
    </row>
    <row r="199" spans="1:29" x14ac:dyDescent="0.25">
      <c r="A199" s="2">
        <v>540150</v>
      </c>
      <c r="B199" s="2" t="s">
        <v>227</v>
      </c>
      <c r="C199" s="2" t="s">
        <v>65</v>
      </c>
      <c r="D199" s="2" t="s">
        <v>115</v>
      </c>
      <c r="E199" s="2">
        <v>10</v>
      </c>
      <c r="F199" s="197"/>
      <c r="G199" s="2">
        <v>97</v>
      </c>
      <c r="H199" s="2">
        <v>2891200</v>
      </c>
      <c r="I199" s="2">
        <v>11365500</v>
      </c>
      <c r="J199" s="2">
        <v>0.254383881044</v>
      </c>
      <c r="K199" s="2">
        <v>916100</v>
      </c>
      <c r="L199" s="2">
        <v>7270300</v>
      </c>
      <c r="M199" s="2">
        <v>0.12600580443699999</v>
      </c>
      <c r="N199" s="2">
        <v>576150</v>
      </c>
      <c r="O199" s="2">
        <v>4525340</v>
      </c>
      <c r="P199" s="2">
        <v>0.12731640053599999</v>
      </c>
      <c r="Q199" s="217">
        <f t="shared" si="3"/>
        <v>23161140</v>
      </c>
      <c r="R199" s="2">
        <v>4383500</v>
      </c>
      <c r="S199" s="2">
        <v>23132000</v>
      </c>
      <c r="T199" s="2">
        <v>0.18949939477800001</v>
      </c>
      <c r="U199" s="2">
        <v>75</v>
      </c>
      <c r="V199" s="2">
        <v>0</v>
      </c>
      <c r="W199" s="2">
        <v>0</v>
      </c>
      <c r="X199" s="2">
        <v>19</v>
      </c>
      <c r="Y199" s="2">
        <v>0</v>
      </c>
      <c r="Z199" s="2">
        <v>0</v>
      </c>
      <c r="AA199" s="2">
        <v>2</v>
      </c>
      <c r="AB199" s="2">
        <v>1</v>
      </c>
      <c r="AC199" s="2" t="s">
        <v>1344</v>
      </c>
    </row>
    <row r="200" spans="1:29" x14ac:dyDescent="0.25">
      <c r="A200" s="2">
        <v>540151</v>
      </c>
      <c r="B200" s="2" t="s">
        <v>228</v>
      </c>
      <c r="C200" s="2" t="s">
        <v>65</v>
      </c>
      <c r="D200" s="2" t="s">
        <v>115</v>
      </c>
      <c r="E200" s="2">
        <v>10</v>
      </c>
      <c r="F200" s="197"/>
      <c r="G200" s="2">
        <v>61</v>
      </c>
      <c r="H200" s="2">
        <v>1638500</v>
      </c>
      <c r="I200" s="2">
        <v>5957000</v>
      </c>
      <c r="J200" s="2">
        <v>0.27505455766300002</v>
      </c>
      <c r="K200" s="2">
        <v>748900</v>
      </c>
      <c r="L200" s="2">
        <v>443300</v>
      </c>
      <c r="M200" s="2">
        <v>1.68937514099</v>
      </c>
      <c r="N200" s="2">
        <v>884460</v>
      </c>
      <c r="O200" s="2">
        <v>1544900</v>
      </c>
      <c r="P200" s="2">
        <v>0.57250307463299999</v>
      </c>
      <c r="Q200" s="217">
        <f t="shared" si="3"/>
        <v>7945200</v>
      </c>
      <c r="R200" s="2">
        <v>3310900</v>
      </c>
      <c r="S200" s="2">
        <v>7952800</v>
      </c>
      <c r="T200" s="2">
        <v>0.41631878080700002</v>
      </c>
      <c r="U200" s="2">
        <v>38</v>
      </c>
      <c r="V200" s="2">
        <v>2</v>
      </c>
      <c r="W200" s="2">
        <v>2</v>
      </c>
      <c r="X200" s="2">
        <v>17</v>
      </c>
      <c r="Y200" s="2">
        <v>0</v>
      </c>
      <c r="Z200" s="2">
        <v>0</v>
      </c>
      <c r="AA200" s="2">
        <v>2</v>
      </c>
      <c r="AB200" s="2">
        <v>0</v>
      </c>
      <c r="AC200" s="2" t="s">
        <v>1344</v>
      </c>
    </row>
    <row r="201" spans="1:29" x14ac:dyDescent="0.25">
      <c r="A201" s="2">
        <v>540152</v>
      </c>
      <c r="B201" s="2" t="s">
        <v>229</v>
      </c>
      <c r="C201" s="2" t="s">
        <v>65</v>
      </c>
      <c r="D201" s="2" t="s">
        <v>115</v>
      </c>
      <c r="E201" s="2">
        <v>10</v>
      </c>
      <c r="F201" s="197"/>
      <c r="G201" s="2">
        <v>2659</v>
      </c>
      <c r="H201" s="2">
        <v>92309700</v>
      </c>
      <c r="I201" s="2">
        <v>780823600</v>
      </c>
      <c r="J201" s="2">
        <v>0.118220940043</v>
      </c>
      <c r="K201" s="2">
        <v>192767400</v>
      </c>
      <c r="L201" s="2">
        <v>852281500</v>
      </c>
      <c r="M201" s="2">
        <v>0.22617808787400001</v>
      </c>
      <c r="N201" s="2">
        <v>28513630</v>
      </c>
      <c r="O201" s="2">
        <v>110227640</v>
      </c>
      <c r="P201" s="2">
        <v>0.25867949273000002</v>
      </c>
      <c r="Q201" s="217">
        <f t="shared" si="3"/>
        <v>1743332740</v>
      </c>
      <c r="R201" s="2">
        <v>380298750</v>
      </c>
      <c r="S201" s="2">
        <v>1762753250</v>
      </c>
      <c r="T201" s="2">
        <v>0.21574134099600001</v>
      </c>
      <c r="U201" s="2">
        <v>2171</v>
      </c>
      <c r="V201" s="2">
        <v>30</v>
      </c>
      <c r="W201" s="2">
        <v>0</v>
      </c>
      <c r="X201" s="2">
        <v>340</v>
      </c>
      <c r="Y201" s="2">
        <v>7</v>
      </c>
      <c r="Z201" s="2">
        <v>4</v>
      </c>
      <c r="AA201" s="2">
        <v>91</v>
      </c>
      <c r="AB201" s="2">
        <v>16</v>
      </c>
      <c r="AC201" s="2" t="s">
        <v>1344</v>
      </c>
    </row>
    <row r="202" spans="1:29" x14ac:dyDescent="0.25">
      <c r="A202" s="2">
        <v>540275</v>
      </c>
      <c r="B202" s="2" t="s">
        <v>318</v>
      </c>
      <c r="C202" s="2" t="s">
        <v>65</v>
      </c>
      <c r="D202" s="2" t="s">
        <v>115</v>
      </c>
      <c r="E202" s="2">
        <v>10</v>
      </c>
      <c r="F202" s="197"/>
      <c r="G202" s="2">
        <v>0</v>
      </c>
      <c r="H202" s="2">
        <v>0</v>
      </c>
      <c r="I202" s="2">
        <v>118236600</v>
      </c>
      <c r="J202" s="2">
        <v>0</v>
      </c>
      <c r="K202" s="2">
        <v>0</v>
      </c>
      <c r="L202" s="2">
        <v>7259800</v>
      </c>
      <c r="M202" s="2">
        <v>0</v>
      </c>
      <c r="N202" s="2">
        <v>0</v>
      </c>
      <c r="O202" s="2">
        <v>3072440</v>
      </c>
      <c r="P202" s="2">
        <v>0</v>
      </c>
      <c r="Q202" s="217">
        <f t="shared" si="3"/>
        <v>128568840</v>
      </c>
      <c r="R202" s="2">
        <v>0</v>
      </c>
      <c r="S202" s="2">
        <v>128585800</v>
      </c>
      <c r="T202" s="2">
        <v>0</v>
      </c>
      <c r="U202" s="2">
        <v>0</v>
      </c>
      <c r="V202" s="2">
        <v>0</v>
      </c>
      <c r="W202" s="2">
        <v>0</v>
      </c>
      <c r="X202" s="2">
        <v>0</v>
      </c>
      <c r="Y202" s="2">
        <v>0</v>
      </c>
      <c r="Z202" s="2">
        <v>0</v>
      </c>
      <c r="AA202" s="2">
        <v>0</v>
      </c>
      <c r="AB202" s="2">
        <v>0</v>
      </c>
      <c r="AC202" s="2" t="s">
        <v>1344</v>
      </c>
    </row>
    <row r="203" spans="1:29" x14ac:dyDescent="0.25">
      <c r="A203" s="2"/>
      <c r="B203" s="2"/>
      <c r="C203" s="2" t="s">
        <v>65</v>
      </c>
      <c r="D203" s="2"/>
      <c r="E203" s="2"/>
      <c r="F203" s="197"/>
      <c r="G203" s="2">
        <v>3167</v>
      </c>
      <c r="H203" s="2">
        <v>106049500</v>
      </c>
      <c r="I203" s="2">
        <v>1373172900</v>
      </c>
      <c r="J203" s="2">
        <v>7.7229531692599995E-2</v>
      </c>
      <c r="K203" s="2">
        <v>200068100</v>
      </c>
      <c r="L203" s="2">
        <v>1158478400</v>
      </c>
      <c r="M203" s="2">
        <v>0.17269903349099999</v>
      </c>
      <c r="N203" s="2">
        <v>34914470</v>
      </c>
      <c r="O203" s="2">
        <v>185495920</v>
      </c>
      <c r="P203" s="2">
        <v>0.18822230699199999</v>
      </c>
      <c r="Q203" s="217">
        <f t="shared" si="3"/>
        <v>2717147220</v>
      </c>
      <c r="R203" s="2">
        <v>408379150</v>
      </c>
      <c r="S203" s="2">
        <v>2672219451</v>
      </c>
      <c r="T203" s="2">
        <v>0.15282395682300001</v>
      </c>
      <c r="U203" s="2">
        <v>2482</v>
      </c>
      <c r="V203" s="2">
        <v>34</v>
      </c>
      <c r="W203" s="2">
        <v>45</v>
      </c>
      <c r="X203" s="2">
        <v>468</v>
      </c>
      <c r="Y203" s="2">
        <v>9</v>
      </c>
      <c r="Z203" s="2">
        <v>7</v>
      </c>
      <c r="AA203" s="2">
        <v>102</v>
      </c>
      <c r="AB203" s="2">
        <v>20</v>
      </c>
      <c r="AC203" s="2" t="s">
        <v>1344</v>
      </c>
    </row>
    <row r="204" spans="1:29" x14ac:dyDescent="0.25">
      <c r="A204" s="1">
        <v>540153</v>
      </c>
      <c r="B204" s="1" t="s">
        <v>66</v>
      </c>
      <c r="C204" s="1" t="s">
        <v>67</v>
      </c>
      <c r="D204" s="1" t="s">
        <v>5</v>
      </c>
      <c r="E204" s="1">
        <v>8</v>
      </c>
      <c r="F204" s="215"/>
      <c r="G204" s="1">
        <v>639</v>
      </c>
      <c r="H204" s="1">
        <v>28779900</v>
      </c>
      <c r="I204" s="1">
        <v>307665800</v>
      </c>
      <c r="J204" s="1">
        <v>9.35427337065E-2</v>
      </c>
      <c r="K204" s="1">
        <v>169247500</v>
      </c>
      <c r="L204" s="1">
        <v>34155600</v>
      </c>
      <c r="M204" s="1">
        <v>4.9551903640999999</v>
      </c>
      <c r="N204" s="1">
        <v>24734620</v>
      </c>
      <c r="O204" s="1">
        <v>66301120</v>
      </c>
      <c r="P204" s="1">
        <v>0.373064889402</v>
      </c>
      <c r="Q204" s="216">
        <f t="shared" si="3"/>
        <v>408122520</v>
      </c>
      <c r="R204" s="1">
        <v>227043700</v>
      </c>
      <c r="S204" s="1">
        <v>432267200</v>
      </c>
      <c r="T204" s="1">
        <v>0.52523925016700002</v>
      </c>
      <c r="U204" s="1">
        <v>359</v>
      </c>
      <c r="V204" s="1">
        <v>0</v>
      </c>
      <c r="W204" s="1">
        <v>136</v>
      </c>
      <c r="X204" s="1">
        <v>90</v>
      </c>
      <c r="Y204" s="1">
        <v>1</v>
      </c>
      <c r="Z204" s="1">
        <v>0</v>
      </c>
      <c r="AA204" s="1">
        <v>50</v>
      </c>
      <c r="AB204" s="1">
        <v>3</v>
      </c>
      <c r="AC204" s="1" t="s">
        <v>1344</v>
      </c>
    </row>
    <row r="205" spans="1:29" x14ac:dyDescent="0.25">
      <c r="A205" s="2">
        <v>540154</v>
      </c>
      <c r="B205" s="2" t="s">
        <v>230</v>
      </c>
      <c r="C205" s="2" t="s">
        <v>67</v>
      </c>
      <c r="D205" s="2" t="s">
        <v>115</v>
      </c>
      <c r="E205" s="2">
        <v>8</v>
      </c>
      <c r="F205" s="197"/>
      <c r="G205" s="2">
        <v>20</v>
      </c>
      <c r="H205" s="2">
        <v>150000</v>
      </c>
      <c r="I205" s="2">
        <v>31058700</v>
      </c>
      <c r="J205" s="2">
        <v>4.8295646630400002E-3</v>
      </c>
      <c r="K205" s="2">
        <v>1493000</v>
      </c>
      <c r="L205" s="2">
        <v>15647900</v>
      </c>
      <c r="M205" s="2">
        <v>9.5412163932500002E-2</v>
      </c>
      <c r="N205" s="2">
        <v>3208480</v>
      </c>
      <c r="O205" s="2">
        <v>10127340</v>
      </c>
      <c r="P205" s="2">
        <v>0.31681369441500001</v>
      </c>
      <c r="Q205" s="217">
        <f t="shared" si="3"/>
        <v>56833940</v>
      </c>
      <c r="R205" s="2">
        <v>4851400</v>
      </c>
      <c r="S205" s="2">
        <v>58578500</v>
      </c>
      <c r="T205" s="2">
        <v>8.2818781634900002E-2</v>
      </c>
      <c r="U205" s="2">
        <v>2</v>
      </c>
      <c r="V205" s="2">
        <v>0</v>
      </c>
      <c r="W205" s="2">
        <v>0</v>
      </c>
      <c r="X205" s="2">
        <v>2</v>
      </c>
      <c r="Y205" s="2">
        <v>2</v>
      </c>
      <c r="Z205" s="2">
        <v>0</v>
      </c>
      <c r="AA205" s="2">
        <v>13</v>
      </c>
      <c r="AB205" s="2">
        <v>1</v>
      </c>
      <c r="AC205" s="2" t="s">
        <v>1344</v>
      </c>
    </row>
    <row r="206" spans="1:29" x14ac:dyDescent="0.25">
      <c r="A206" s="2"/>
      <c r="B206" s="2"/>
      <c r="C206" s="2" t="s">
        <v>67</v>
      </c>
      <c r="D206" s="2"/>
      <c r="E206" s="2"/>
      <c r="F206" s="197"/>
      <c r="G206" s="2">
        <v>659</v>
      </c>
      <c r="H206" s="2">
        <v>28929900</v>
      </c>
      <c r="I206" s="2">
        <v>338724500</v>
      </c>
      <c r="J206" s="2">
        <v>8.5408348082299995E-2</v>
      </c>
      <c r="K206" s="2">
        <v>170740500</v>
      </c>
      <c r="L206" s="2">
        <v>49803500</v>
      </c>
      <c r="M206" s="2">
        <v>3.4282831527900002</v>
      </c>
      <c r="N206" s="2">
        <v>27943100</v>
      </c>
      <c r="O206" s="2">
        <v>76428460</v>
      </c>
      <c r="P206" s="2">
        <v>0.365611187246</v>
      </c>
      <c r="Q206" s="217">
        <f t="shared" si="3"/>
        <v>464956460</v>
      </c>
      <c r="R206" s="2">
        <v>231895100</v>
      </c>
      <c r="S206" s="2">
        <v>490845700</v>
      </c>
      <c r="T206" s="2">
        <v>0.47243991339800001</v>
      </c>
      <c r="U206" s="2">
        <v>361</v>
      </c>
      <c r="V206" s="2">
        <v>0</v>
      </c>
      <c r="W206" s="2">
        <v>136</v>
      </c>
      <c r="X206" s="2">
        <v>92</v>
      </c>
      <c r="Y206" s="2">
        <v>3</v>
      </c>
      <c r="Z206" s="2">
        <v>0</v>
      </c>
      <c r="AA206" s="2">
        <v>63</v>
      </c>
      <c r="AB206" s="2">
        <v>4</v>
      </c>
      <c r="AC206" s="2" t="s">
        <v>1344</v>
      </c>
    </row>
    <row r="207" spans="1:29" x14ac:dyDescent="0.25">
      <c r="A207" s="1">
        <v>540160</v>
      </c>
      <c r="B207" s="1" t="s">
        <v>68</v>
      </c>
      <c r="C207" s="1" t="s">
        <v>69</v>
      </c>
      <c r="D207" s="1" t="s">
        <v>5</v>
      </c>
      <c r="E207" s="1">
        <v>6</v>
      </c>
      <c r="F207" s="215"/>
      <c r="G207" s="1">
        <v>523</v>
      </c>
      <c r="H207" s="1">
        <v>21287000</v>
      </c>
      <c r="I207" s="1">
        <v>773448000</v>
      </c>
      <c r="J207" s="1">
        <v>2.75222122237E-2</v>
      </c>
      <c r="K207" s="1">
        <v>6675800</v>
      </c>
      <c r="L207" s="1">
        <v>75136300</v>
      </c>
      <c r="M207" s="1">
        <v>8.8849198057400006E-2</v>
      </c>
      <c r="N207" s="1">
        <v>4116110</v>
      </c>
      <c r="O207" s="1">
        <v>95664230</v>
      </c>
      <c r="P207" s="1">
        <v>4.3026635974599999E-2</v>
      </c>
      <c r="Q207" s="216">
        <f t="shared" si="3"/>
        <v>944248530</v>
      </c>
      <c r="R207" s="1">
        <v>11620993200</v>
      </c>
      <c r="S207" s="1">
        <v>1687091500</v>
      </c>
      <c r="T207" s="1">
        <v>6.8881819391499999</v>
      </c>
      <c r="U207" s="1">
        <v>361</v>
      </c>
      <c r="V207" s="1">
        <v>0</v>
      </c>
      <c r="W207" s="1">
        <v>44</v>
      </c>
      <c r="X207" s="1">
        <v>30</v>
      </c>
      <c r="Y207" s="1">
        <v>1</v>
      </c>
      <c r="Z207" s="1">
        <v>0</v>
      </c>
      <c r="AA207" s="1">
        <v>71</v>
      </c>
      <c r="AB207" s="1">
        <v>16</v>
      </c>
      <c r="AC207" s="1" t="s">
        <v>1345</v>
      </c>
    </row>
    <row r="208" spans="1:29" x14ac:dyDescent="0.25">
      <c r="A208" s="2">
        <v>540137</v>
      </c>
      <c r="B208" s="2" t="s">
        <v>220</v>
      </c>
      <c r="C208" s="2" t="s">
        <v>69</v>
      </c>
      <c r="D208" s="2" t="s">
        <v>115</v>
      </c>
      <c r="E208" s="2">
        <v>6</v>
      </c>
      <c r="F208" s="197"/>
      <c r="G208" s="2">
        <v>0</v>
      </c>
      <c r="H208" s="2">
        <v>0</v>
      </c>
      <c r="I208" s="2">
        <v>2978500</v>
      </c>
      <c r="J208" s="2">
        <v>0</v>
      </c>
      <c r="K208" s="2">
        <v>0</v>
      </c>
      <c r="L208" s="2">
        <v>854600</v>
      </c>
      <c r="M208" s="2">
        <v>0</v>
      </c>
      <c r="N208" s="2">
        <v>0</v>
      </c>
      <c r="O208" s="2">
        <v>619460</v>
      </c>
      <c r="P208" s="2">
        <v>0</v>
      </c>
      <c r="Q208" s="217">
        <f t="shared" si="3"/>
        <v>4452560</v>
      </c>
      <c r="R208" s="2">
        <v>0</v>
      </c>
      <c r="S208" s="2">
        <v>5061200</v>
      </c>
      <c r="T208" s="2">
        <v>0</v>
      </c>
      <c r="U208" s="2">
        <v>0</v>
      </c>
      <c r="V208" s="2">
        <v>0</v>
      </c>
      <c r="W208" s="2">
        <v>0</v>
      </c>
      <c r="X208" s="2">
        <v>0</v>
      </c>
      <c r="Y208" s="2">
        <v>0</v>
      </c>
      <c r="Z208" s="2">
        <v>0</v>
      </c>
      <c r="AA208" s="2">
        <v>0</v>
      </c>
      <c r="AB208" s="2">
        <v>0</v>
      </c>
      <c r="AC208" s="2" t="s">
        <v>1345</v>
      </c>
    </row>
    <row r="209" spans="1:29" x14ac:dyDescent="0.25">
      <c r="A209" s="2">
        <v>540161</v>
      </c>
      <c r="B209" s="2" t="s">
        <v>235</v>
      </c>
      <c r="C209" s="2" t="s">
        <v>69</v>
      </c>
      <c r="D209" s="2" t="s">
        <v>115</v>
      </c>
      <c r="E209" s="2">
        <v>6</v>
      </c>
      <c r="F209" s="197"/>
      <c r="G209" s="2">
        <v>52</v>
      </c>
      <c r="H209" s="2">
        <v>662900</v>
      </c>
      <c r="I209" s="2">
        <v>2482000</v>
      </c>
      <c r="J209" s="2">
        <v>0.26708299758300003</v>
      </c>
      <c r="K209" s="2">
        <v>323300</v>
      </c>
      <c r="L209" s="2">
        <v>812900</v>
      </c>
      <c r="M209" s="2">
        <v>0.39771189568199999</v>
      </c>
      <c r="N209" s="2">
        <v>608600</v>
      </c>
      <c r="O209" s="2">
        <v>1023690</v>
      </c>
      <c r="P209" s="2">
        <v>0.59451591790500002</v>
      </c>
      <c r="Q209" s="217">
        <f t="shared" si="3"/>
        <v>4318590</v>
      </c>
      <c r="R209" s="2">
        <v>1602700</v>
      </c>
      <c r="S209" s="2">
        <v>4377600</v>
      </c>
      <c r="T209" s="2">
        <v>0.36611385233900001</v>
      </c>
      <c r="U209" s="2">
        <v>39</v>
      </c>
      <c r="V209" s="2">
        <v>0</v>
      </c>
      <c r="W209" s="2">
        <v>0</v>
      </c>
      <c r="X209" s="2">
        <v>2</v>
      </c>
      <c r="Y209" s="2">
        <v>0</v>
      </c>
      <c r="Z209" s="2">
        <v>2</v>
      </c>
      <c r="AA209" s="2">
        <v>8</v>
      </c>
      <c r="AB209" s="2">
        <v>1</v>
      </c>
      <c r="AC209" s="2" t="s">
        <v>1345</v>
      </c>
    </row>
    <row r="210" spans="1:29" x14ac:dyDescent="0.25">
      <c r="A210" s="2">
        <v>540162</v>
      </c>
      <c r="B210" s="2" t="s">
        <v>236</v>
      </c>
      <c r="C210" s="2" t="s">
        <v>69</v>
      </c>
      <c r="D210" s="2" t="s">
        <v>115</v>
      </c>
      <c r="E210" s="2">
        <v>6</v>
      </c>
      <c r="F210" s="197"/>
      <c r="G210" s="2">
        <v>29</v>
      </c>
      <c r="H210" s="2">
        <v>1110300</v>
      </c>
      <c r="I210" s="2">
        <v>2662900</v>
      </c>
      <c r="J210" s="2">
        <v>0.416951443915</v>
      </c>
      <c r="K210" s="2">
        <v>1772400</v>
      </c>
      <c r="L210" s="2">
        <v>3657500</v>
      </c>
      <c r="M210" s="2">
        <v>0.48459330143500001</v>
      </c>
      <c r="N210" s="2">
        <v>42520</v>
      </c>
      <c r="O210" s="2">
        <v>199400</v>
      </c>
      <c r="P210" s="2">
        <v>0.21323971915699999</v>
      </c>
      <c r="Q210" s="217">
        <f t="shared" si="3"/>
        <v>6519800</v>
      </c>
      <c r="R210" s="2">
        <v>3067400</v>
      </c>
      <c r="S210" s="2">
        <v>23828600</v>
      </c>
      <c r="T210" s="2">
        <v>0.128727663396</v>
      </c>
      <c r="U210" s="2">
        <v>11</v>
      </c>
      <c r="V210" s="2">
        <v>0</v>
      </c>
      <c r="W210" s="2">
        <v>0</v>
      </c>
      <c r="X210" s="2">
        <v>16</v>
      </c>
      <c r="Y210" s="2">
        <v>0</v>
      </c>
      <c r="Z210" s="2">
        <v>0</v>
      </c>
      <c r="AA210" s="2">
        <v>2</v>
      </c>
      <c r="AB210" s="2">
        <v>0</v>
      </c>
      <c r="AC210" s="2" t="s">
        <v>1345</v>
      </c>
    </row>
    <row r="211" spans="1:29" x14ac:dyDescent="0.25">
      <c r="A211" s="2">
        <v>540163</v>
      </c>
      <c r="B211" s="2" t="s">
        <v>237</v>
      </c>
      <c r="C211" s="2" t="s">
        <v>69</v>
      </c>
      <c r="D211" s="2" t="s">
        <v>115</v>
      </c>
      <c r="E211" s="2">
        <v>6</v>
      </c>
      <c r="F211" s="197"/>
      <c r="G211" s="2">
        <v>130</v>
      </c>
      <c r="H211" s="2">
        <v>3827500</v>
      </c>
      <c r="I211" s="2">
        <v>8851900</v>
      </c>
      <c r="J211" s="2">
        <v>0.432393045561</v>
      </c>
      <c r="K211" s="2">
        <v>1347900</v>
      </c>
      <c r="L211" s="2">
        <v>1769100</v>
      </c>
      <c r="M211" s="2">
        <v>0.76191283703599999</v>
      </c>
      <c r="N211" s="2">
        <v>326810</v>
      </c>
      <c r="O211" s="2">
        <v>928880</v>
      </c>
      <c r="P211" s="2">
        <v>0.35183231418499999</v>
      </c>
      <c r="Q211" s="217">
        <f t="shared" si="3"/>
        <v>11549880</v>
      </c>
      <c r="R211" s="2">
        <v>7193300</v>
      </c>
      <c r="S211" s="2">
        <v>16942100</v>
      </c>
      <c r="T211" s="2">
        <v>0.424581368307</v>
      </c>
      <c r="U211" s="2">
        <v>98</v>
      </c>
      <c r="V211" s="2">
        <v>0</v>
      </c>
      <c r="W211" s="2">
        <v>0</v>
      </c>
      <c r="X211" s="2">
        <v>15</v>
      </c>
      <c r="Y211" s="2">
        <v>0</v>
      </c>
      <c r="Z211" s="2">
        <v>1</v>
      </c>
      <c r="AA211" s="2">
        <v>15</v>
      </c>
      <c r="AB211" s="2">
        <v>1</v>
      </c>
      <c r="AC211" s="2" t="s">
        <v>1345</v>
      </c>
    </row>
    <row r="212" spans="1:29" x14ac:dyDescent="0.25">
      <c r="A212" s="2">
        <v>540254</v>
      </c>
      <c r="B212" s="2" t="s">
        <v>300</v>
      </c>
      <c r="C212" s="2" t="s">
        <v>69</v>
      </c>
      <c r="D212" s="2" t="s">
        <v>115</v>
      </c>
      <c r="E212" s="2">
        <v>6</v>
      </c>
      <c r="F212" s="197"/>
      <c r="G212" s="2">
        <v>1</v>
      </c>
      <c r="H212" s="2">
        <v>26000</v>
      </c>
      <c r="I212" s="2">
        <v>92454200</v>
      </c>
      <c r="J212" s="2">
        <v>2.81220323144E-4</v>
      </c>
      <c r="K212" s="2">
        <v>0</v>
      </c>
      <c r="L212" s="2">
        <v>30028300</v>
      </c>
      <c r="M212" s="2">
        <v>0</v>
      </c>
      <c r="N212" s="2">
        <v>4340</v>
      </c>
      <c r="O212" s="2">
        <v>4056290</v>
      </c>
      <c r="P212" s="2">
        <v>1.06994322398E-3</v>
      </c>
      <c r="Q212" s="217">
        <f t="shared" si="3"/>
        <v>126538790</v>
      </c>
      <c r="R212" s="2">
        <v>30300</v>
      </c>
      <c r="S212" s="2">
        <v>183391700</v>
      </c>
      <c r="T212" s="2">
        <v>1.6522012719200001E-4</v>
      </c>
      <c r="U212" s="2">
        <v>1</v>
      </c>
      <c r="V212" s="2">
        <v>0</v>
      </c>
      <c r="W212" s="2">
        <v>0</v>
      </c>
      <c r="X212" s="2">
        <v>0</v>
      </c>
      <c r="Y212" s="2">
        <v>0</v>
      </c>
      <c r="Z212" s="2">
        <v>0</v>
      </c>
      <c r="AA212" s="2">
        <v>0</v>
      </c>
      <c r="AB212" s="2">
        <v>0</v>
      </c>
      <c r="AC212" s="2" t="s">
        <v>1345</v>
      </c>
    </row>
    <row r="213" spans="1:29" x14ac:dyDescent="0.25">
      <c r="A213" s="2">
        <v>540257</v>
      </c>
      <c r="B213" s="2" t="s">
        <v>302</v>
      </c>
      <c r="C213" s="2" t="s">
        <v>69</v>
      </c>
      <c r="D213" s="2" t="s">
        <v>115</v>
      </c>
      <c r="E213" s="2">
        <v>6</v>
      </c>
      <c r="F213" s="197"/>
      <c r="G213" s="2">
        <v>27</v>
      </c>
      <c r="H213" s="2">
        <v>817900</v>
      </c>
      <c r="I213" s="2">
        <v>23798900</v>
      </c>
      <c r="J213" s="2">
        <v>3.4367134615499999E-2</v>
      </c>
      <c r="K213" s="2">
        <v>606000</v>
      </c>
      <c r="L213" s="2">
        <v>8670200</v>
      </c>
      <c r="M213" s="2">
        <v>6.9894581439900003E-2</v>
      </c>
      <c r="N213" s="2">
        <v>86480</v>
      </c>
      <c r="O213" s="2">
        <v>3385790</v>
      </c>
      <c r="P213" s="2">
        <v>2.55420448403E-2</v>
      </c>
      <c r="Q213" s="217">
        <f t="shared" si="3"/>
        <v>35854890</v>
      </c>
      <c r="R213" s="2">
        <v>1629800</v>
      </c>
      <c r="S213" s="2">
        <v>55491900</v>
      </c>
      <c r="T213" s="2">
        <v>2.9370052205799999E-2</v>
      </c>
      <c r="U213" s="2">
        <v>20</v>
      </c>
      <c r="V213" s="2">
        <v>0</v>
      </c>
      <c r="W213" s="2">
        <v>0</v>
      </c>
      <c r="X213" s="2">
        <v>5</v>
      </c>
      <c r="Y213" s="2">
        <v>0</v>
      </c>
      <c r="Z213" s="2">
        <v>0</v>
      </c>
      <c r="AA213" s="2">
        <v>1</v>
      </c>
      <c r="AB213" s="2">
        <v>1</v>
      </c>
      <c r="AC213" s="2" t="s">
        <v>1345</v>
      </c>
    </row>
    <row r="214" spans="1:29" x14ac:dyDescent="0.25">
      <c r="A214" s="2">
        <v>540268</v>
      </c>
      <c r="B214" s="2" t="s">
        <v>311</v>
      </c>
      <c r="C214" s="2" t="s">
        <v>69</v>
      </c>
      <c r="D214" s="2" t="s">
        <v>115</v>
      </c>
      <c r="E214" s="2">
        <v>6</v>
      </c>
      <c r="F214" s="197"/>
      <c r="G214" s="2">
        <v>21</v>
      </c>
      <c r="H214" s="2">
        <v>496300</v>
      </c>
      <c r="I214" s="2">
        <v>3986900</v>
      </c>
      <c r="J214" s="2">
        <v>0.12448268077999999</v>
      </c>
      <c r="K214" s="2">
        <v>80700</v>
      </c>
      <c r="L214" s="2">
        <v>1224400</v>
      </c>
      <c r="M214" s="2">
        <v>6.5909833387800001E-2</v>
      </c>
      <c r="N214" s="2">
        <v>151840</v>
      </c>
      <c r="O214" s="2">
        <v>795650</v>
      </c>
      <c r="P214" s="2">
        <v>0.19083767988399999</v>
      </c>
      <c r="Q214" s="217">
        <f t="shared" si="3"/>
        <v>6006950</v>
      </c>
      <c r="R214" s="2">
        <v>731000</v>
      </c>
      <c r="S214" s="2">
        <v>6186600</v>
      </c>
      <c r="T214" s="2">
        <v>0.118158600847</v>
      </c>
      <c r="U214" s="2">
        <v>18</v>
      </c>
      <c r="V214" s="2">
        <v>0</v>
      </c>
      <c r="W214" s="2">
        <v>0</v>
      </c>
      <c r="X214" s="2">
        <v>1</v>
      </c>
      <c r="Y214" s="2">
        <v>0</v>
      </c>
      <c r="Z214" s="2">
        <v>0</v>
      </c>
      <c r="AA214" s="2">
        <v>2</v>
      </c>
      <c r="AB214" s="2">
        <v>0</v>
      </c>
      <c r="AC214" s="2" t="s">
        <v>1345</v>
      </c>
    </row>
    <row r="215" spans="1:29" x14ac:dyDescent="0.25">
      <c r="A215" s="2">
        <v>540269</v>
      </c>
      <c r="B215" s="2" t="s">
        <v>312</v>
      </c>
      <c r="C215" s="2" t="s">
        <v>69</v>
      </c>
      <c r="D215" s="2" t="s">
        <v>115</v>
      </c>
      <c r="E215" s="2">
        <v>6</v>
      </c>
      <c r="F215" s="197"/>
      <c r="G215" s="2">
        <v>0</v>
      </c>
      <c r="H215" s="2">
        <v>0</v>
      </c>
      <c r="I215" s="2">
        <v>14863600</v>
      </c>
      <c r="J215" s="2">
        <v>0</v>
      </c>
      <c r="K215" s="2">
        <v>0</v>
      </c>
      <c r="L215" s="2">
        <v>4729200</v>
      </c>
      <c r="M215" s="2">
        <v>0</v>
      </c>
      <c r="N215" s="2">
        <v>0</v>
      </c>
      <c r="O215" s="2">
        <v>1223630</v>
      </c>
      <c r="P215" s="2">
        <v>0</v>
      </c>
      <c r="Q215" s="217">
        <f t="shared" si="3"/>
        <v>20816430</v>
      </c>
      <c r="R215" s="2">
        <v>0</v>
      </c>
      <c r="S215" s="2">
        <v>20960200</v>
      </c>
      <c r="T215" s="2">
        <v>0</v>
      </c>
      <c r="U215" s="2">
        <v>0</v>
      </c>
      <c r="V215" s="2">
        <v>0</v>
      </c>
      <c r="W215" s="2">
        <v>0</v>
      </c>
      <c r="X215" s="2">
        <v>0</v>
      </c>
      <c r="Y215" s="2">
        <v>0</v>
      </c>
      <c r="Z215" s="2">
        <v>0</v>
      </c>
      <c r="AA215" s="2">
        <v>0</v>
      </c>
      <c r="AB215" s="2">
        <v>0</v>
      </c>
      <c r="AC215" s="2" t="s">
        <v>1345</v>
      </c>
    </row>
    <row r="216" spans="1:29" x14ac:dyDescent="0.25">
      <c r="A216" s="2">
        <v>540270</v>
      </c>
      <c r="B216" s="2" t="s">
        <v>313</v>
      </c>
      <c r="C216" s="2" t="s">
        <v>69</v>
      </c>
      <c r="D216" s="2" t="s">
        <v>115</v>
      </c>
      <c r="E216" s="2">
        <v>6</v>
      </c>
      <c r="F216" s="197"/>
      <c r="G216" s="2">
        <v>0</v>
      </c>
      <c r="H216" s="2">
        <v>0</v>
      </c>
      <c r="I216" s="2">
        <v>11382400</v>
      </c>
      <c r="J216" s="2">
        <v>0</v>
      </c>
      <c r="K216" s="2">
        <v>0</v>
      </c>
      <c r="L216" s="2">
        <v>3699300</v>
      </c>
      <c r="M216" s="2">
        <v>0</v>
      </c>
      <c r="N216" s="2">
        <v>0</v>
      </c>
      <c r="O216" s="2">
        <v>2568170</v>
      </c>
      <c r="P216" s="2">
        <v>0</v>
      </c>
      <c r="Q216" s="217">
        <f t="shared" si="3"/>
        <v>17649870</v>
      </c>
      <c r="R216" s="2">
        <v>0</v>
      </c>
      <c r="S216" s="2">
        <v>18150800</v>
      </c>
      <c r="T216" s="2">
        <v>0</v>
      </c>
      <c r="U216" s="2">
        <v>0</v>
      </c>
      <c r="V216" s="2">
        <v>0</v>
      </c>
      <c r="W216" s="2">
        <v>0</v>
      </c>
      <c r="X216" s="2">
        <v>0</v>
      </c>
      <c r="Y216" s="2">
        <v>0</v>
      </c>
      <c r="Z216" s="2">
        <v>0</v>
      </c>
      <c r="AA216" s="2">
        <v>0</v>
      </c>
      <c r="AB216" s="2">
        <v>0</v>
      </c>
      <c r="AC216" s="2" t="s">
        <v>1345</v>
      </c>
    </row>
    <row r="217" spans="1:29" x14ac:dyDescent="0.25">
      <c r="A217" s="2">
        <v>540284</v>
      </c>
      <c r="B217" s="2" t="s">
        <v>323</v>
      </c>
      <c r="C217" s="2" t="s">
        <v>69</v>
      </c>
      <c r="D217" s="2" t="s">
        <v>115</v>
      </c>
      <c r="E217" s="2">
        <v>6</v>
      </c>
      <c r="F217" s="197"/>
      <c r="G217" s="2">
        <v>0</v>
      </c>
      <c r="H217" s="2">
        <v>0</v>
      </c>
      <c r="I217" s="2">
        <v>6289700</v>
      </c>
      <c r="J217" s="2">
        <v>0</v>
      </c>
      <c r="K217" s="2">
        <v>0</v>
      </c>
      <c r="L217" s="2">
        <v>322600</v>
      </c>
      <c r="M217" s="2">
        <v>0</v>
      </c>
      <c r="N217" s="2">
        <v>0</v>
      </c>
      <c r="O217" s="2">
        <v>300390</v>
      </c>
      <c r="P217" s="2">
        <v>0</v>
      </c>
      <c r="Q217" s="217">
        <f t="shared" si="3"/>
        <v>6912690</v>
      </c>
      <c r="R217" s="2">
        <v>0</v>
      </c>
      <c r="S217" s="2">
        <v>7125300</v>
      </c>
      <c r="T217" s="2">
        <v>0</v>
      </c>
      <c r="U217" s="2">
        <v>0</v>
      </c>
      <c r="V217" s="2">
        <v>0</v>
      </c>
      <c r="W217" s="2">
        <v>0</v>
      </c>
      <c r="X217" s="2">
        <v>0</v>
      </c>
      <c r="Y217" s="2">
        <v>0</v>
      </c>
      <c r="Z217" s="2">
        <v>0</v>
      </c>
      <c r="AA217" s="2">
        <v>0</v>
      </c>
      <c r="AB217" s="2">
        <v>0</v>
      </c>
      <c r="AC217" s="2" t="s">
        <v>1345</v>
      </c>
    </row>
    <row r="218" spans="1:29" x14ac:dyDescent="0.25">
      <c r="A218" s="2"/>
      <c r="B218" s="2"/>
      <c r="C218" s="2" t="s">
        <v>69</v>
      </c>
      <c r="D218" s="2"/>
      <c r="E218" s="2"/>
      <c r="F218" s="197"/>
      <c r="G218" s="2">
        <v>783</v>
      </c>
      <c r="H218" s="2">
        <v>28227900</v>
      </c>
      <c r="I218" s="2">
        <v>943199000</v>
      </c>
      <c r="J218" s="2">
        <v>2.9927830712299999E-2</v>
      </c>
      <c r="K218" s="2">
        <v>10806100</v>
      </c>
      <c r="L218" s="2">
        <v>130904400</v>
      </c>
      <c r="M218" s="2">
        <v>8.2549555248000006E-2</v>
      </c>
      <c r="N218" s="2">
        <v>5336700</v>
      </c>
      <c r="O218" s="2">
        <v>110765580</v>
      </c>
      <c r="P218" s="2">
        <v>4.8180129603399999E-2</v>
      </c>
      <c r="Q218" s="217">
        <f t="shared" si="3"/>
        <v>1184868980</v>
      </c>
      <c r="R218" s="2">
        <v>11635247700</v>
      </c>
      <c r="S218" s="2">
        <v>2028607500</v>
      </c>
      <c r="T218" s="2">
        <v>5.7355834975500004</v>
      </c>
      <c r="U218" s="2">
        <v>548</v>
      </c>
      <c r="V218" s="2">
        <v>0</v>
      </c>
      <c r="W218" s="2">
        <v>44</v>
      </c>
      <c r="X218" s="2">
        <v>69</v>
      </c>
      <c r="Y218" s="2">
        <v>1</v>
      </c>
      <c r="Z218" s="2">
        <v>3</v>
      </c>
      <c r="AA218" s="2">
        <v>99</v>
      </c>
      <c r="AB218" s="2">
        <v>19</v>
      </c>
      <c r="AC218" s="2" t="s">
        <v>1345</v>
      </c>
    </row>
    <row r="219" spans="1:29" x14ac:dyDescent="0.25">
      <c r="A219" s="1">
        <v>540164</v>
      </c>
      <c r="B219" s="1" t="s">
        <v>70</v>
      </c>
      <c r="C219" s="1" t="s">
        <v>71</v>
      </c>
      <c r="D219" s="1" t="s">
        <v>5</v>
      </c>
      <c r="E219" s="1">
        <v>3</v>
      </c>
      <c r="F219" s="215"/>
      <c r="G219" s="1">
        <v>1818</v>
      </c>
      <c r="H219" s="1">
        <v>103239800</v>
      </c>
      <c r="I219" s="1">
        <v>1880816700</v>
      </c>
      <c r="J219" s="1">
        <v>5.48909417914E-2</v>
      </c>
      <c r="K219" s="1">
        <v>47208600</v>
      </c>
      <c r="L219" s="1">
        <v>411131600</v>
      </c>
      <c r="M219" s="1">
        <v>0.11482600705</v>
      </c>
      <c r="N219" s="1">
        <v>116633830</v>
      </c>
      <c r="O219" s="1">
        <v>93401880</v>
      </c>
      <c r="P219" s="1">
        <v>1.24873107479</v>
      </c>
      <c r="Q219" s="216">
        <f t="shared" si="3"/>
        <v>2385350180</v>
      </c>
      <c r="R219" s="1">
        <v>267310500</v>
      </c>
      <c r="S219" s="1">
        <v>2647809016</v>
      </c>
      <c r="T219" s="1">
        <v>0.100955355309</v>
      </c>
      <c r="U219" s="1">
        <v>1112</v>
      </c>
      <c r="V219" s="1">
        <v>0</v>
      </c>
      <c r="W219" s="1">
        <v>292</v>
      </c>
      <c r="X219" s="1">
        <v>368</v>
      </c>
      <c r="Y219" s="1">
        <v>5</v>
      </c>
      <c r="Z219" s="1">
        <v>4</v>
      </c>
      <c r="AA219" s="1">
        <v>21</v>
      </c>
      <c r="AB219" s="1">
        <v>16</v>
      </c>
      <c r="AC219" s="1" t="s">
        <v>1344</v>
      </c>
    </row>
    <row r="220" spans="1:29" x14ac:dyDescent="0.25">
      <c r="A220" s="2">
        <v>540081</v>
      </c>
      <c r="B220" s="2" t="s">
        <v>176</v>
      </c>
      <c r="C220" s="2" t="s">
        <v>71</v>
      </c>
      <c r="D220" s="2" t="s">
        <v>115</v>
      </c>
      <c r="E220" s="2">
        <v>3</v>
      </c>
      <c r="F220" s="197"/>
      <c r="G220" s="2">
        <v>146</v>
      </c>
      <c r="H220" s="2">
        <v>5079400</v>
      </c>
      <c r="I220" s="2">
        <v>28325100</v>
      </c>
      <c r="J220" s="2">
        <v>0.17932505092699999</v>
      </c>
      <c r="K220" s="2">
        <v>1802600</v>
      </c>
      <c r="L220" s="2">
        <v>8559600</v>
      </c>
      <c r="M220" s="2">
        <v>0.21059395298799999</v>
      </c>
      <c r="N220" s="2">
        <v>224270</v>
      </c>
      <c r="O220" s="2">
        <v>1350320</v>
      </c>
      <c r="P220" s="2">
        <v>0.166086557261</v>
      </c>
      <c r="Q220" s="217">
        <f t="shared" si="3"/>
        <v>38235020</v>
      </c>
      <c r="R220" s="2">
        <v>7106600</v>
      </c>
      <c r="S220" s="2">
        <v>38836800</v>
      </c>
      <c r="T220" s="2">
        <v>0.18298623985500001</v>
      </c>
      <c r="U220" s="2">
        <v>125</v>
      </c>
      <c r="V220" s="2">
        <v>0</v>
      </c>
      <c r="W220" s="2">
        <v>0</v>
      </c>
      <c r="X220" s="2">
        <v>15</v>
      </c>
      <c r="Y220" s="2">
        <v>0</v>
      </c>
      <c r="Z220" s="2">
        <v>0</v>
      </c>
      <c r="AA220" s="2">
        <v>5</v>
      </c>
      <c r="AB220" s="2">
        <v>1</v>
      </c>
      <c r="AC220" s="2" t="s">
        <v>1344</v>
      </c>
    </row>
    <row r="221" spans="1:29" x14ac:dyDescent="0.25">
      <c r="A221" s="2">
        <v>540165</v>
      </c>
      <c r="B221" s="2" t="s">
        <v>238</v>
      </c>
      <c r="C221" s="2" t="s">
        <v>71</v>
      </c>
      <c r="D221" s="2" t="s">
        <v>115</v>
      </c>
      <c r="E221" s="2">
        <v>3</v>
      </c>
      <c r="F221" s="197"/>
      <c r="G221" s="2">
        <v>72</v>
      </c>
      <c r="H221" s="2">
        <v>1241600</v>
      </c>
      <c r="I221" s="2">
        <v>5512700</v>
      </c>
      <c r="J221" s="2">
        <v>0.22522538864800001</v>
      </c>
      <c r="K221" s="2">
        <v>38400</v>
      </c>
      <c r="L221" s="2">
        <v>1435700</v>
      </c>
      <c r="M221" s="2">
        <v>2.67465347914E-2</v>
      </c>
      <c r="N221" s="2">
        <v>155770</v>
      </c>
      <c r="O221" s="2">
        <v>627110</v>
      </c>
      <c r="P221" s="2">
        <v>0.24839342380099999</v>
      </c>
      <c r="Q221" s="217">
        <f t="shared" si="3"/>
        <v>7575510</v>
      </c>
      <c r="R221" s="2">
        <v>1436300</v>
      </c>
      <c r="S221" s="2">
        <v>7578100</v>
      </c>
      <c r="T221" s="2">
        <v>0.189532996398</v>
      </c>
      <c r="U221" s="2">
        <v>63</v>
      </c>
      <c r="V221" s="2">
        <v>0</v>
      </c>
      <c r="W221" s="2">
        <v>0</v>
      </c>
      <c r="X221" s="2">
        <v>4</v>
      </c>
      <c r="Y221" s="2">
        <v>0</v>
      </c>
      <c r="Z221" s="2">
        <v>0</v>
      </c>
      <c r="AA221" s="2">
        <v>4</v>
      </c>
      <c r="AB221" s="2">
        <v>1</v>
      </c>
      <c r="AC221" s="2" t="s">
        <v>1344</v>
      </c>
    </row>
    <row r="222" spans="1:29" x14ac:dyDescent="0.25">
      <c r="A222" s="2">
        <v>540166</v>
      </c>
      <c r="B222" s="2" t="s">
        <v>239</v>
      </c>
      <c r="C222" s="2" t="s">
        <v>71</v>
      </c>
      <c r="D222" s="2" t="s">
        <v>115</v>
      </c>
      <c r="E222" s="2">
        <v>3</v>
      </c>
      <c r="F222" s="197"/>
      <c r="G222" s="2">
        <v>369</v>
      </c>
      <c r="H222" s="2">
        <v>12464200</v>
      </c>
      <c r="I222" s="2">
        <v>23233200</v>
      </c>
      <c r="J222" s="2">
        <v>0.53648227536500004</v>
      </c>
      <c r="K222" s="2">
        <v>71094300</v>
      </c>
      <c r="L222" s="2">
        <v>15384000</v>
      </c>
      <c r="M222" s="2">
        <v>4.6213143525699998</v>
      </c>
      <c r="N222" s="2">
        <v>7649470</v>
      </c>
      <c r="O222" s="2">
        <v>3204840</v>
      </c>
      <c r="P222" s="2">
        <v>2.38684926549</v>
      </c>
      <c r="Q222" s="217">
        <f t="shared" si="3"/>
        <v>41822040</v>
      </c>
      <c r="R222" s="2">
        <v>91210400</v>
      </c>
      <c r="S222" s="2">
        <v>42453600</v>
      </c>
      <c r="T222" s="2">
        <v>2.1484726854699998</v>
      </c>
      <c r="U222" s="2">
        <v>268</v>
      </c>
      <c r="V222" s="2">
        <v>0</v>
      </c>
      <c r="W222" s="2">
        <v>5</v>
      </c>
      <c r="X222" s="2">
        <v>69</v>
      </c>
      <c r="Y222" s="2">
        <v>0</v>
      </c>
      <c r="Z222" s="2">
        <v>1</v>
      </c>
      <c r="AA222" s="2">
        <v>26</v>
      </c>
      <c r="AB222" s="2">
        <v>0</v>
      </c>
      <c r="AC222" s="2" t="s">
        <v>1344</v>
      </c>
    </row>
    <row r="223" spans="1:29" x14ac:dyDescent="0.25">
      <c r="A223" s="2">
        <v>540167</v>
      </c>
      <c r="B223" s="2" t="s">
        <v>240</v>
      </c>
      <c r="C223" s="2" t="s">
        <v>71</v>
      </c>
      <c r="D223" s="2" t="s">
        <v>115</v>
      </c>
      <c r="E223" s="2">
        <v>3</v>
      </c>
      <c r="F223" s="197"/>
      <c r="G223" s="2">
        <v>20</v>
      </c>
      <c r="H223" s="2">
        <v>2526900</v>
      </c>
      <c r="I223" s="2">
        <v>251310200</v>
      </c>
      <c r="J223" s="2">
        <v>1.00549042578E-2</v>
      </c>
      <c r="K223" s="2">
        <v>1221600</v>
      </c>
      <c r="L223" s="2">
        <v>74219700</v>
      </c>
      <c r="M223" s="2">
        <v>1.6459241953300001E-2</v>
      </c>
      <c r="N223" s="2">
        <v>364160</v>
      </c>
      <c r="O223" s="2">
        <v>8812050</v>
      </c>
      <c r="P223" s="2">
        <v>4.1325230791900001E-2</v>
      </c>
      <c r="Q223" s="217">
        <f t="shared" si="3"/>
        <v>334341950</v>
      </c>
      <c r="R223" s="2">
        <v>4112800</v>
      </c>
      <c r="S223" s="2">
        <v>335313700</v>
      </c>
      <c r="T223" s="2">
        <v>1.22655292641E-2</v>
      </c>
      <c r="U223" s="2">
        <v>12</v>
      </c>
      <c r="V223" s="2">
        <v>0</v>
      </c>
      <c r="W223" s="2">
        <v>0</v>
      </c>
      <c r="X223" s="2">
        <v>4</v>
      </c>
      <c r="Y223" s="2">
        <v>0</v>
      </c>
      <c r="Z223" s="2">
        <v>0</v>
      </c>
      <c r="AA223" s="2">
        <v>2</v>
      </c>
      <c r="AB223" s="2">
        <v>2</v>
      </c>
      <c r="AC223" s="2" t="s">
        <v>1344</v>
      </c>
    </row>
    <row r="224" spans="1:29" x14ac:dyDescent="0.25">
      <c r="A224" s="2">
        <v>540168</v>
      </c>
      <c r="B224" s="2" t="s">
        <v>241</v>
      </c>
      <c r="C224" s="2" t="s">
        <v>71</v>
      </c>
      <c r="D224" s="2" t="s">
        <v>115</v>
      </c>
      <c r="E224" s="2">
        <v>3</v>
      </c>
      <c r="F224" s="197"/>
      <c r="G224" s="2">
        <v>34</v>
      </c>
      <c r="H224" s="2">
        <v>2594500</v>
      </c>
      <c r="I224" s="2">
        <v>32877900</v>
      </c>
      <c r="J224" s="2">
        <v>7.8913190927600005E-2</v>
      </c>
      <c r="K224" s="2">
        <v>3394400</v>
      </c>
      <c r="L224" s="2">
        <v>20690100</v>
      </c>
      <c r="M224" s="2">
        <v>0.164059139395</v>
      </c>
      <c r="N224" s="2">
        <v>385070</v>
      </c>
      <c r="O224" s="2">
        <v>2131030</v>
      </c>
      <c r="P224" s="2">
        <v>0.18069665842300001</v>
      </c>
      <c r="Q224" s="217">
        <f t="shared" si="3"/>
        <v>55699030</v>
      </c>
      <c r="R224" s="2">
        <v>6374100</v>
      </c>
      <c r="S224" s="2">
        <v>55699700</v>
      </c>
      <c r="T224" s="2">
        <v>0.114436882066</v>
      </c>
      <c r="U224" s="2">
        <v>27</v>
      </c>
      <c r="V224" s="2">
        <v>0</v>
      </c>
      <c r="W224" s="2">
        <v>1</v>
      </c>
      <c r="X224" s="2">
        <v>3</v>
      </c>
      <c r="Y224" s="2">
        <v>0</v>
      </c>
      <c r="Z224" s="2">
        <v>0</v>
      </c>
      <c r="AA224" s="2">
        <v>3</v>
      </c>
      <c r="AB224" s="2">
        <v>0</v>
      </c>
      <c r="AC224" s="2" t="s">
        <v>1344</v>
      </c>
    </row>
    <row r="225" spans="1:29" x14ac:dyDescent="0.25">
      <c r="A225" s="2">
        <v>540222</v>
      </c>
      <c r="B225" s="2" t="s">
        <v>276</v>
      </c>
      <c r="C225" s="2" t="s">
        <v>71</v>
      </c>
      <c r="D225" s="2" t="s">
        <v>115</v>
      </c>
      <c r="E225" s="2">
        <v>3</v>
      </c>
      <c r="F225" s="197"/>
      <c r="G225" s="2">
        <v>14</v>
      </c>
      <c r="H225" s="2">
        <v>97100</v>
      </c>
      <c r="I225" s="2">
        <v>67994800</v>
      </c>
      <c r="J225" s="2">
        <v>1.42805038032E-3</v>
      </c>
      <c r="K225" s="2">
        <v>14758300</v>
      </c>
      <c r="L225" s="2">
        <v>29383700</v>
      </c>
      <c r="M225" s="2">
        <v>0.50226145788300003</v>
      </c>
      <c r="N225" s="2">
        <v>5422650</v>
      </c>
      <c r="O225" s="2">
        <v>4656430</v>
      </c>
      <c r="P225" s="2">
        <v>1.1645509542700001</v>
      </c>
      <c r="Q225" s="217">
        <f t="shared" si="3"/>
        <v>102034930</v>
      </c>
      <c r="R225" s="2">
        <v>20277700</v>
      </c>
      <c r="S225" s="2">
        <v>103868078</v>
      </c>
      <c r="T225" s="2">
        <v>0.19522552443899999</v>
      </c>
      <c r="U225" s="2">
        <v>1</v>
      </c>
      <c r="V225" s="2">
        <v>0</v>
      </c>
      <c r="W225" s="2">
        <v>0</v>
      </c>
      <c r="X225" s="2">
        <v>0</v>
      </c>
      <c r="Y225" s="2">
        <v>0</v>
      </c>
      <c r="Z225" s="2">
        <v>0</v>
      </c>
      <c r="AA225" s="2">
        <v>12</v>
      </c>
      <c r="AB225" s="2">
        <v>1</v>
      </c>
      <c r="AC225" s="2" t="s">
        <v>1344</v>
      </c>
    </row>
    <row r="226" spans="1:29" x14ac:dyDescent="0.25">
      <c r="A226" s="2">
        <v>540271</v>
      </c>
      <c r="B226" s="2" t="s">
        <v>314</v>
      </c>
      <c r="C226" s="2" t="s">
        <v>71</v>
      </c>
      <c r="D226" s="2" t="s">
        <v>115</v>
      </c>
      <c r="E226" s="2">
        <v>3</v>
      </c>
      <c r="F226" s="197"/>
      <c r="G226" s="2">
        <v>99</v>
      </c>
      <c r="H226" s="2">
        <v>16872400</v>
      </c>
      <c r="I226" s="2">
        <v>119861400</v>
      </c>
      <c r="J226" s="2">
        <v>0.14076591796900001</v>
      </c>
      <c r="K226" s="2">
        <v>1557000</v>
      </c>
      <c r="L226" s="2">
        <v>41474500</v>
      </c>
      <c r="M226" s="2">
        <v>3.7541139736500001E-2</v>
      </c>
      <c r="N226" s="2">
        <v>269110</v>
      </c>
      <c r="O226" s="2">
        <v>3398220</v>
      </c>
      <c r="P226" s="2">
        <v>7.9191459057999999E-2</v>
      </c>
      <c r="Q226" s="217">
        <f t="shared" si="3"/>
        <v>164734120</v>
      </c>
      <c r="R226" s="2">
        <v>18648200</v>
      </c>
      <c r="S226" s="2">
        <v>164862500</v>
      </c>
      <c r="T226" s="2">
        <v>0.113113655319</v>
      </c>
      <c r="U226" s="2">
        <v>93</v>
      </c>
      <c r="V226" s="2">
        <v>0</v>
      </c>
      <c r="W226" s="2">
        <v>0</v>
      </c>
      <c r="X226" s="2">
        <v>2</v>
      </c>
      <c r="Y226" s="2">
        <v>0</v>
      </c>
      <c r="Z226" s="2">
        <v>0</v>
      </c>
      <c r="AA226" s="2">
        <v>4</v>
      </c>
      <c r="AB226" s="2">
        <v>0</v>
      </c>
      <c r="AC226" s="2" t="s">
        <v>1344</v>
      </c>
    </row>
    <row r="227" spans="1:29" x14ac:dyDescent="0.25">
      <c r="A227" s="2"/>
      <c r="B227" s="2"/>
      <c r="C227" s="2" t="s">
        <v>71</v>
      </c>
      <c r="D227" s="2"/>
      <c r="E227" s="2"/>
      <c r="F227" s="197"/>
      <c r="G227" s="2">
        <v>2572</v>
      </c>
      <c r="H227" s="2">
        <v>144115900</v>
      </c>
      <c r="I227" s="2">
        <v>2409932000</v>
      </c>
      <c r="J227" s="2">
        <v>5.9800815956600001E-2</v>
      </c>
      <c r="K227" s="2">
        <v>141075200</v>
      </c>
      <c r="L227" s="2">
        <v>602278900</v>
      </c>
      <c r="M227" s="2">
        <v>0.23423566723</v>
      </c>
      <c r="N227" s="2">
        <v>131104330</v>
      </c>
      <c r="O227" s="2">
        <v>117581880</v>
      </c>
      <c r="P227" s="2">
        <v>1.1150045398199999</v>
      </c>
      <c r="Q227" s="217">
        <f t="shared" si="3"/>
        <v>3129792780</v>
      </c>
      <c r="R227" s="2">
        <v>416476600</v>
      </c>
      <c r="S227" s="2">
        <v>3396421494</v>
      </c>
      <c r="T227" s="2">
        <v>0.122622177705</v>
      </c>
      <c r="U227" s="2">
        <v>1701</v>
      </c>
      <c r="V227" s="2">
        <v>0</v>
      </c>
      <c r="W227" s="2">
        <v>298</v>
      </c>
      <c r="X227" s="2">
        <v>465</v>
      </c>
      <c r="Y227" s="2">
        <v>5</v>
      </c>
      <c r="Z227" s="2">
        <v>5</v>
      </c>
      <c r="AA227" s="2">
        <v>77</v>
      </c>
      <c r="AB227" s="2">
        <v>21</v>
      </c>
      <c r="AC227" s="2" t="s">
        <v>1344</v>
      </c>
    </row>
    <row r="228" spans="1:29" x14ac:dyDescent="0.25">
      <c r="A228" s="1">
        <v>540169</v>
      </c>
      <c r="B228" s="1" t="s">
        <v>72</v>
      </c>
      <c r="C228" s="1" t="s">
        <v>73</v>
      </c>
      <c r="D228" s="1" t="s">
        <v>5</v>
      </c>
      <c r="E228" s="1">
        <v>1</v>
      </c>
      <c r="F228" s="215"/>
      <c r="G228" s="1">
        <v>2450</v>
      </c>
      <c r="H228" s="1">
        <v>38486900</v>
      </c>
      <c r="I228" s="1">
        <v>1368856400</v>
      </c>
      <c r="J228" s="1">
        <v>2.8116097495700001E-2</v>
      </c>
      <c r="K228" s="1">
        <v>21112500</v>
      </c>
      <c r="L228" s="1">
        <v>326894800</v>
      </c>
      <c r="M228" s="1">
        <v>6.4584997987100004E-2</v>
      </c>
      <c r="N228" s="1">
        <v>23154830</v>
      </c>
      <c r="O228" s="1">
        <v>319041150</v>
      </c>
      <c r="P228" s="1">
        <v>7.2576311864500004E-2</v>
      </c>
      <c r="Q228" s="216">
        <f t="shared" si="3"/>
        <v>2014792350</v>
      </c>
      <c r="R228" s="1">
        <v>88460100</v>
      </c>
      <c r="S228" s="1">
        <v>2136911200</v>
      </c>
      <c r="T228" s="1">
        <v>4.1396245197300001E-2</v>
      </c>
      <c r="U228" s="1">
        <v>2011</v>
      </c>
      <c r="V228" s="1">
        <v>0</v>
      </c>
      <c r="W228" s="1">
        <v>123</v>
      </c>
      <c r="X228" s="1">
        <v>147</v>
      </c>
      <c r="Y228" s="1">
        <v>20</v>
      </c>
      <c r="Z228" s="1">
        <v>2</v>
      </c>
      <c r="AA228" s="1">
        <v>106</v>
      </c>
      <c r="AB228" s="1">
        <v>41</v>
      </c>
      <c r="AC228" s="1" t="s">
        <v>1344</v>
      </c>
    </row>
    <row r="229" spans="1:29" x14ac:dyDescent="0.25">
      <c r="A229" s="2">
        <v>540170</v>
      </c>
      <c r="B229" s="2" t="s">
        <v>242</v>
      </c>
      <c r="C229" s="2" t="s">
        <v>73</v>
      </c>
      <c r="D229" s="2" t="s">
        <v>115</v>
      </c>
      <c r="E229" s="2">
        <v>1</v>
      </c>
      <c r="F229" s="197"/>
      <c r="G229" s="2">
        <v>19</v>
      </c>
      <c r="H229" s="2">
        <v>147000</v>
      </c>
      <c r="I229" s="2">
        <v>467087200</v>
      </c>
      <c r="J229" s="2">
        <v>3.14716395568E-4</v>
      </c>
      <c r="K229" s="2">
        <v>280500</v>
      </c>
      <c r="L229" s="2">
        <v>305052500</v>
      </c>
      <c r="M229" s="2">
        <v>9.1951385417299997E-4</v>
      </c>
      <c r="N229" s="2">
        <v>118370</v>
      </c>
      <c r="O229" s="2">
        <v>113458110</v>
      </c>
      <c r="P229" s="2">
        <v>1.0432925420699999E-3</v>
      </c>
      <c r="Q229" s="217">
        <f t="shared" si="3"/>
        <v>885597810</v>
      </c>
      <c r="R229" s="2">
        <v>546000</v>
      </c>
      <c r="S229" s="2">
        <v>1010204500</v>
      </c>
      <c r="T229" s="2">
        <v>5.4048462464800003E-4</v>
      </c>
      <c r="U229" s="2">
        <v>6</v>
      </c>
      <c r="V229" s="2">
        <v>0</v>
      </c>
      <c r="W229" s="2">
        <v>0</v>
      </c>
      <c r="X229" s="2">
        <v>9</v>
      </c>
      <c r="Y229" s="2">
        <v>0</v>
      </c>
      <c r="Z229" s="2">
        <v>1</v>
      </c>
      <c r="AA229" s="2">
        <v>1</v>
      </c>
      <c r="AB229" s="2">
        <v>2</v>
      </c>
      <c r="AC229" s="2" t="s">
        <v>1344</v>
      </c>
    </row>
    <row r="230" spans="1:29" x14ac:dyDescent="0.25">
      <c r="A230" s="2">
        <v>540171</v>
      </c>
      <c r="B230" s="2" t="s">
        <v>243</v>
      </c>
      <c r="C230" s="2" t="s">
        <v>73</v>
      </c>
      <c r="D230" s="2" t="s">
        <v>115</v>
      </c>
      <c r="E230" s="2">
        <v>1</v>
      </c>
      <c r="F230" s="197"/>
      <c r="G230" s="2">
        <v>35</v>
      </c>
      <c r="H230" s="2">
        <v>162300</v>
      </c>
      <c r="I230" s="2">
        <v>2286400</v>
      </c>
      <c r="J230" s="2">
        <v>7.0984954513599999E-2</v>
      </c>
      <c r="K230" s="2">
        <v>56300</v>
      </c>
      <c r="L230" s="2">
        <v>138100</v>
      </c>
      <c r="M230" s="2">
        <v>0.40767559739300002</v>
      </c>
      <c r="N230" s="2">
        <v>469520</v>
      </c>
      <c r="O230" s="2">
        <v>2731620</v>
      </c>
      <c r="P230" s="2">
        <v>0.17188335127099999</v>
      </c>
      <c r="Q230" s="217">
        <f t="shared" si="3"/>
        <v>5156120</v>
      </c>
      <c r="R230" s="2">
        <v>702200</v>
      </c>
      <c r="S230" s="2">
        <v>5194600</v>
      </c>
      <c r="T230" s="2">
        <v>0.13517883956400001</v>
      </c>
      <c r="U230" s="2">
        <v>21</v>
      </c>
      <c r="V230" s="2">
        <v>0</v>
      </c>
      <c r="W230" s="2">
        <v>0</v>
      </c>
      <c r="X230" s="2">
        <v>5</v>
      </c>
      <c r="Y230" s="2">
        <v>0</v>
      </c>
      <c r="Z230" s="2">
        <v>0</v>
      </c>
      <c r="AA230" s="2">
        <v>7</v>
      </c>
      <c r="AB230" s="2">
        <v>2</v>
      </c>
      <c r="AC230" s="2" t="s">
        <v>1344</v>
      </c>
    </row>
    <row r="231" spans="1:29" x14ac:dyDescent="0.25">
      <c r="A231" s="2">
        <v>540173</v>
      </c>
      <c r="B231" s="2" t="s">
        <v>245</v>
      </c>
      <c r="C231" s="2" t="s">
        <v>73</v>
      </c>
      <c r="D231" s="2" t="s">
        <v>115</v>
      </c>
      <c r="E231" s="2">
        <v>1</v>
      </c>
      <c r="F231" s="197"/>
      <c r="G231" s="2">
        <v>117</v>
      </c>
      <c r="H231" s="2">
        <v>363600</v>
      </c>
      <c r="I231" s="2">
        <v>494300</v>
      </c>
      <c r="J231" s="2">
        <v>0.73558567671499997</v>
      </c>
      <c r="K231" s="2">
        <v>37200</v>
      </c>
      <c r="L231" s="2">
        <v>46400</v>
      </c>
      <c r="M231" s="2">
        <v>0.80172413793099995</v>
      </c>
      <c r="N231" s="2">
        <v>448960</v>
      </c>
      <c r="O231" s="2">
        <v>538510</v>
      </c>
      <c r="P231" s="2">
        <v>0.83370782343899996</v>
      </c>
      <c r="Q231" s="217">
        <f t="shared" si="3"/>
        <v>1079210</v>
      </c>
      <c r="R231" s="2">
        <v>894400</v>
      </c>
      <c r="S231" s="2">
        <v>1149600</v>
      </c>
      <c r="T231" s="2">
        <v>0.77800974251900001</v>
      </c>
      <c r="U231" s="2">
        <v>95</v>
      </c>
      <c r="V231" s="2">
        <v>0</v>
      </c>
      <c r="W231" s="2">
        <v>3</v>
      </c>
      <c r="X231" s="2">
        <v>6</v>
      </c>
      <c r="Y231" s="2">
        <v>0</v>
      </c>
      <c r="Z231" s="2">
        <v>0</v>
      </c>
      <c r="AA231" s="2">
        <v>12</v>
      </c>
      <c r="AB231" s="2">
        <v>1</v>
      </c>
      <c r="AC231" s="2" t="s">
        <v>1344</v>
      </c>
    </row>
    <row r="232" spans="1:29" x14ac:dyDescent="0.25">
      <c r="A232" s="2">
        <v>540174</v>
      </c>
      <c r="B232" s="2" t="s">
        <v>246</v>
      </c>
      <c r="C232" s="2" t="s">
        <v>73</v>
      </c>
      <c r="D232" s="2" t="s">
        <v>115</v>
      </c>
      <c r="E232" s="2">
        <v>1</v>
      </c>
      <c r="F232" s="197"/>
      <c r="G232" s="2">
        <v>12</v>
      </c>
      <c r="H232" s="2">
        <v>249600</v>
      </c>
      <c r="I232" s="2">
        <v>21233900</v>
      </c>
      <c r="J232" s="2">
        <v>1.17547883337E-2</v>
      </c>
      <c r="K232" s="2">
        <v>0</v>
      </c>
      <c r="L232" s="2">
        <v>7745700</v>
      </c>
      <c r="M232" s="2">
        <v>0</v>
      </c>
      <c r="N232" s="2">
        <v>273010</v>
      </c>
      <c r="O232" s="2">
        <v>6153760</v>
      </c>
      <c r="P232" s="2">
        <v>4.4364746106400003E-2</v>
      </c>
      <c r="Q232" s="217">
        <f t="shared" si="3"/>
        <v>35133360</v>
      </c>
      <c r="R232" s="2">
        <v>522600</v>
      </c>
      <c r="S232" s="2">
        <v>35209000</v>
      </c>
      <c r="T232" s="2">
        <v>1.48427958761E-2</v>
      </c>
      <c r="U232" s="2">
        <v>9</v>
      </c>
      <c r="V232" s="2">
        <v>0</v>
      </c>
      <c r="W232" s="2">
        <v>0</v>
      </c>
      <c r="X232" s="2">
        <v>1</v>
      </c>
      <c r="Y232" s="2">
        <v>0</v>
      </c>
      <c r="Z232" s="2">
        <v>0</v>
      </c>
      <c r="AA232" s="2">
        <v>2</v>
      </c>
      <c r="AB232" s="2">
        <v>0</v>
      </c>
      <c r="AC232" s="2" t="s">
        <v>1344</v>
      </c>
    </row>
    <row r="233" spans="1:29" x14ac:dyDescent="0.25">
      <c r="A233" s="2">
        <v>540286</v>
      </c>
      <c r="B233" s="2" t="s">
        <v>325</v>
      </c>
      <c r="C233" s="2" t="s">
        <v>73</v>
      </c>
      <c r="D233" s="2" t="s">
        <v>115</v>
      </c>
      <c r="E233" s="2">
        <v>1</v>
      </c>
      <c r="F233" s="197"/>
      <c r="G233" s="2">
        <v>58</v>
      </c>
      <c r="H233" s="2">
        <v>386800</v>
      </c>
      <c r="I233" s="2">
        <v>35633700</v>
      </c>
      <c r="J233" s="2">
        <v>1.08548929805E-2</v>
      </c>
      <c r="K233" s="2">
        <v>1698000</v>
      </c>
      <c r="L233" s="2">
        <v>4470900</v>
      </c>
      <c r="M233" s="2">
        <v>0.37978930416700002</v>
      </c>
      <c r="N233" s="2">
        <v>1174150</v>
      </c>
      <c r="O233" s="2">
        <v>5926440</v>
      </c>
      <c r="P233" s="2">
        <v>0.19812062553599999</v>
      </c>
      <c r="Q233" s="217">
        <f t="shared" si="3"/>
        <v>46031040</v>
      </c>
      <c r="R233" s="2">
        <v>3336800</v>
      </c>
      <c r="S233" s="2">
        <v>47021200</v>
      </c>
      <c r="T233" s="2">
        <v>7.0963735506499995E-2</v>
      </c>
      <c r="U233" s="2">
        <v>25</v>
      </c>
      <c r="V233" s="2">
        <v>0</v>
      </c>
      <c r="W233" s="2">
        <v>0</v>
      </c>
      <c r="X233" s="2">
        <v>16</v>
      </c>
      <c r="Y233" s="2">
        <v>4</v>
      </c>
      <c r="Z233" s="2">
        <v>2</v>
      </c>
      <c r="AA233" s="2">
        <v>9</v>
      </c>
      <c r="AB233" s="2">
        <v>2</v>
      </c>
      <c r="AC233" s="2" t="s">
        <v>1344</v>
      </c>
    </row>
    <row r="234" spans="1:29" x14ac:dyDescent="0.25">
      <c r="A234" s="2"/>
      <c r="B234" s="2"/>
      <c r="C234" s="2" t="s">
        <v>73</v>
      </c>
      <c r="D234" s="2"/>
      <c r="E234" s="2"/>
      <c r="F234" s="197"/>
      <c r="G234" s="2">
        <v>2691</v>
      </c>
      <c r="H234" s="2">
        <v>39796200</v>
      </c>
      <c r="I234" s="2">
        <v>1895591900</v>
      </c>
      <c r="J234" s="2">
        <v>2.0994075781800001E-2</v>
      </c>
      <c r="K234" s="2">
        <v>23184500</v>
      </c>
      <c r="L234" s="2">
        <v>644348400</v>
      </c>
      <c r="M234" s="2">
        <v>3.5981310731900001E-2</v>
      </c>
      <c r="N234" s="2">
        <v>25638840</v>
      </c>
      <c r="O234" s="2">
        <v>447849590</v>
      </c>
      <c r="P234" s="2">
        <v>5.7248774080600001E-2</v>
      </c>
      <c r="Q234" s="217">
        <f t="shared" si="3"/>
        <v>2987789890</v>
      </c>
      <c r="R234" s="2">
        <v>94462100</v>
      </c>
      <c r="S234" s="2">
        <v>3235690100</v>
      </c>
      <c r="T234" s="2">
        <v>2.9193803201400002E-2</v>
      </c>
      <c r="U234" s="2">
        <v>2167</v>
      </c>
      <c r="V234" s="2">
        <v>0</v>
      </c>
      <c r="W234" s="2">
        <v>126</v>
      </c>
      <c r="X234" s="2">
        <v>184</v>
      </c>
      <c r="Y234" s="2">
        <v>24</v>
      </c>
      <c r="Z234" s="2">
        <v>5</v>
      </c>
      <c r="AA234" s="2">
        <v>137</v>
      </c>
      <c r="AB234" s="2">
        <v>48</v>
      </c>
      <c r="AC234" s="2" t="s">
        <v>1344</v>
      </c>
    </row>
    <row r="235" spans="1:29" x14ac:dyDescent="0.25">
      <c r="A235" s="1">
        <v>540183</v>
      </c>
      <c r="B235" s="1" t="s">
        <v>76</v>
      </c>
      <c r="C235" s="1" t="s">
        <v>77</v>
      </c>
      <c r="D235" s="1" t="s">
        <v>5</v>
      </c>
      <c r="E235" s="1">
        <v>5</v>
      </c>
      <c r="F235" s="215"/>
      <c r="G235" s="1">
        <v>1718</v>
      </c>
      <c r="H235" s="1">
        <v>62512500</v>
      </c>
      <c r="I235" s="1">
        <v>281122600</v>
      </c>
      <c r="J235" s="1">
        <v>0.22236739415500001</v>
      </c>
      <c r="K235" s="1">
        <v>9458900</v>
      </c>
      <c r="L235" s="1">
        <v>28141100</v>
      </c>
      <c r="M235" s="1">
        <v>0.33612403211000003</v>
      </c>
      <c r="N235" s="1">
        <v>14951430</v>
      </c>
      <c r="O235" s="1">
        <v>45707580</v>
      </c>
      <c r="P235" s="1">
        <v>0.32711051427400001</v>
      </c>
      <c r="Q235" s="216">
        <f t="shared" si="3"/>
        <v>354971280</v>
      </c>
      <c r="R235" s="1">
        <v>87780900</v>
      </c>
      <c r="S235" s="1">
        <v>361402000</v>
      </c>
      <c r="T235" s="1">
        <v>0.24288991206499999</v>
      </c>
      <c r="U235" s="1">
        <v>708</v>
      </c>
      <c r="V235" s="1">
        <v>0</v>
      </c>
      <c r="W235" s="1">
        <v>754</v>
      </c>
      <c r="X235" s="1">
        <v>80</v>
      </c>
      <c r="Y235" s="1">
        <v>0</v>
      </c>
      <c r="Z235" s="1">
        <v>0</v>
      </c>
      <c r="AA235" s="1">
        <v>47</v>
      </c>
      <c r="AB235" s="1">
        <v>129</v>
      </c>
      <c r="AC235" s="1" t="s">
        <v>1344</v>
      </c>
    </row>
    <row r="236" spans="1:29" x14ac:dyDescent="0.25">
      <c r="A236" s="2">
        <v>540184</v>
      </c>
      <c r="B236" s="2" t="s">
        <v>253</v>
      </c>
      <c r="C236" s="2" t="s">
        <v>77</v>
      </c>
      <c r="D236" s="2" t="s">
        <v>115</v>
      </c>
      <c r="E236" s="2">
        <v>5</v>
      </c>
      <c r="F236" s="197"/>
      <c r="G236" s="2">
        <v>52</v>
      </c>
      <c r="H236" s="2">
        <v>942700</v>
      </c>
      <c r="I236" s="2">
        <v>2394300</v>
      </c>
      <c r="J236" s="2">
        <v>0.39372676773999998</v>
      </c>
      <c r="K236" s="2">
        <v>338500</v>
      </c>
      <c r="L236" s="2">
        <v>423600</v>
      </c>
      <c r="M236" s="2">
        <v>0.79910292728999999</v>
      </c>
      <c r="N236" s="2">
        <v>173860</v>
      </c>
      <c r="O236" s="2">
        <v>790830</v>
      </c>
      <c r="P236" s="2">
        <v>0.21984497300299999</v>
      </c>
      <c r="Q236" s="217">
        <f t="shared" si="3"/>
        <v>3608730</v>
      </c>
      <c r="R236" s="2">
        <v>1457100</v>
      </c>
      <c r="S236" s="2">
        <v>3616700</v>
      </c>
      <c r="T236" s="2">
        <v>0.40288107943700002</v>
      </c>
      <c r="U236" s="2">
        <v>37</v>
      </c>
      <c r="V236" s="2">
        <v>0</v>
      </c>
      <c r="W236" s="2">
        <v>0</v>
      </c>
      <c r="X236" s="2">
        <v>2</v>
      </c>
      <c r="Y236" s="2">
        <v>0</v>
      </c>
      <c r="Z236" s="2">
        <v>0</v>
      </c>
      <c r="AA236" s="2">
        <v>13</v>
      </c>
      <c r="AB236" s="2">
        <v>0</v>
      </c>
      <c r="AC236" s="2" t="s">
        <v>1344</v>
      </c>
    </row>
    <row r="237" spans="1:29" x14ac:dyDescent="0.25">
      <c r="A237" s="2">
        <v>540185</v>
      </c>
      <c r="B237" s="2" t="s">
        <v>254</v>
      </c>
      <c r="C237" s="2" t="s">
        <v>77</v>
      </c>
      <c r="D237" s="2" t="s">
        <v>115</v>
      </c>
      <c r="E237" s="2">
        <v>5</v>
      </c>
      <c r="F237" s="197"/>
      <c r="G237" s="2">
        <v>237</v>
      </c>
      <c r="H237" s="2">
        <v>5815000</v>
      </c>
      <c r="I237" s="2">
        <v>45620400</v>
      </c>
      <c r="J237" s="2">
        <v>0.127464906051</v>
      </c>
      <c r="K237" s="2">
        <v>12095400</v>
      </c>
      <c r="L237" s="2">
        <v>34264100</v>
      </c>
      <c r="M237" s="2">
        <v>0.35300504026099999</v>
      </c>
      <c r="N237" s="2">
        <v>500620</v>
      </c>
      <c r="O237" s="2">
        <v>5470050</v>
      </c>
      <c r="P237" s="2">
        <v>9.1520187201200004E-2</v>
      </c>
      <c r="Q237" s="217">
        <f t="shared" si="3"/>
        <v>85354550</v>
      </c>
      <c r="R237" s="2">
        <v>18450000</v>
      </c>
      <c r="S237" s="2">
        <v>85502500</v>
      </c>
      <c r="T237" s="2">
        <v>0.21578316423499999</v>
      </c>
      <c r="U237" s="2">
        <v>153</v>
      </c>
      <c r="V237" s="2">
        <v>0</v>
      </c>
      <c r="W237" s="2">
        <v>0</v>
      </c>
      <c r="X237" s="2">
        <v>36</v>
      </c>
      <c r="Y237" s="2">
        <v>2</v>
      </c>
      <c r="Z237" s="2">
        <v>0</v>
      </c>
      <c r="AA237" s="2">
        <v>33</v>
      </c>
      <c r="AB237" s="2">
        <v>13</v>
      </c>
      <c r="AC237" s="2" t="s">
        <v>1344</v>
      </c>
    </row>
    <row r="238" spans="1:29" x14ac:dyDescent="0.25">
      <c r="A238" s="2"/>
      <c r="B238" s="2"/>
      <c r="C238" s="2" t="s">
        <v>77</v>
      </c>
      <c r="D238" s="2"/>
      <c r="E238" s="2"/>
      <c r="F238" s="197"/>
      <c r="G238" s="2">
        <v>2007</v>
      </c>
      <c r="H238" s="2">
        <v>69270200</v>
      </c>
      <c r="I238" s="2">
        <v>329137300</v>
      </c>
      <c r="J238" s="2">
        <v>0.21045989014300001</v>
      </c>
      <c r="K238" s="2">
        <v>21892800</v>
      </c>
      <c r="L238" s="2">
        <v>62828800</v>
      </c>
      <c r="M238" s="2">
        <v>0.34845166547799999</v>
      </c>
      <c r="N238" s="2">
        <v>15625910</v>
      </c>
      <c r="O238" s="2">
        <v>51968460</v>
      </c>
      <c r="P238" s="2">
        <v>0.300680643606</v>
      </c>
      <c r="Q238" s="217">
        <f t="shared" si="3"/>
        <v>443934560</v>
      </c>
      <c r="R238" s="2">
        <v>107688000</v>
      </c>
      <c r="S238" s="2">
        <v>450521200</v>
      </c>
      <c r="T238" s="2">
        <v>0.23902981702100001</v>
      </c>
      <c r="U238" s="2">
        <v>898</v>
      </c>
      <c r="V238" s="2">
        <v>0</v>
      </c>
      <c r="W238" s="2">
        <v>754</v>
      </c>
      <c r="X238" s="2">
        <v>118</v>
      </c>
      <c r="Y238" s="2">
        <v>2</v>
      </c>
      <c r="Z238" s="2">
        <v>0</v>
      </c>
      <c r="AA238" s="2">
        <v>93</v>
      </c>
      <c r="AB238" s="2">
        <v>142</v>
      </c>
      <c r="AC238" s="2" t="s">
        <v>1344</v>
      </c>
    </row>
    <row r="239" spans="1:29" x14ac:dyDescent="0.25">
      <c r="A239" s="1">
        <v>540186</v>
      </c>
      <c r="B239" s="1" t="s">
        <v>78</v>
      </c>
      <c r="C239" s="1" t="s">
        <v>79</v>
      </c>
      <c r="D239" s="1" t="s">
        <v>5</v>
      </c>
      <c r="E239" s="1">
        <v>1</v>
      </c>
      <c r="F239" s="215"/>
      <c r="G239" s="1">
        <v>1201</v>
      </c>
      <c r="H239" s="1">
        <v>26838800</v>
      </c>
      <c r="I239" s="1">
        <v>282387700</v>
      </c>
      <c r="J239" s="1">
        <v>9.5042383219899995E-2</v>
      </c>
      <c r="K239" s="1">
        <v>6645800</v>
      </c>
      <c r="L239" s="1">
        <v>14084100</v>
      </c>
      <c r="M239" s="1">
        <v>0.47186543691100002</v>
      </c>
      <c r="N239" s="1">
        <v>4965360</v>
      </c>
      <c r="O239" s="1">
        <v>39547910</v>
      </c>
      <c r="P239" s="1">
        <v>0.12555303175300001</v>
      </c>
      <c r="Q239" s="216">
        <f t="shared" si="3"/>
        <v>336019710</v>
      </c>
      <c r="R239" s="1">
        <v>38550900</v>
      </c>
      <c r="S239" s="1">
        <v>419229620</v>
      </c>
      <c r="T239" s="1">
        <v>9.1956527308399996E-2</v>
      </c>
      <c r="U239" s="1">
        <v>1012</v>
      </c>
      <c r="V239" s="1">
        <v>0</v>
      </c>
      <c r="W239" s="1">
        <v>33</v>
      </c>
      <c r="X239" s="1">
        <v>56</v>
      </c>
      <c r="Y239" s="1">
        <v>0</v>
      </c>
      <c r="Z239" s="1">
        <v>0</v>
      </c>
      <c r="AA239" s="1">
        <v>18</v>
      </c>
      <c r="AB239" s="1">
        <v>82</v>
      </c>
      <c r="AC239" s="1" t="s">
        <v>1344</v>
      </c>
    </row>
    <row r="240" spans="1:29" x14ac:dyDescent="0.25">
      <c r="A240" s="2">
        <v>540187</v>
      </c>
      <c r="B240" s="2" t="s">
        <v>255</v>
      </c>
      <c r="C240" s="2" t="s">
        <v>79</v>
      </c>
      <c r="D240" s="2" t="s">
        <v>115</v>
      </c>
      <c r="E240" s="2">
        <v>1</v>
      </c>
      <c r="F240" s="197"/>
      <c r="G240" s="2">
        <v>70</v>
      </c>
      <c r="H240" s="2">
        <v>1185100</v>
      </c>
      <c r="I240" s="2">
        <v>58539200</v>
      </c>
      <c r="J240" s="2">
        <v>2.0244554076599999E-2</v>
      </c>
      <c r="K240" s="2">
        <v>1290300</v>
      </c>
      <c r="L240" s="2">
        <v>25862300</v>
      </c>
      <c r="M240" s="2">
        <v>4.98911543057E-2</v>
      </c>
      <c r="N240" s="2">
        <v>448900</v>
      </c>
      <c r="O240" s="2">
        <v>10289220</v>
      </c>
      <c r="P240" s="2">
        <v>4.3628185615600001E-2</v>
      </c>
      <c r="Q240" s="217">
        <f t="shared" si="3"/>
        <v>94690720</v>
      </c>
      <c r="R240" s="2">
        <v>2927200</v>
      </c>
      <c r="S240" s="2">
        <v>161755600</v>
      </c>
      <c r="T240" s="2">
        <v>1.8096436846699999E-2</v>
      </c>
      <c r="U240" s="2">
        <v>48</v>
      </c>
      <c r="V240" s="2">
        <v>0</v>
      </c>
      <c r="W240" s="2">
        <v>0</v>
      </c>
      <c r="X240" s="2">
        <v>14</v>
      </c>
      <c r="Y240" s="2">
        <v>0</v>
      </c>
      <c r="Z240" s="2">
        <v>0</v>
      </c>
      <c r="AA240" s="2">
        <v>5</v>
      </c>
      <c r="AB240" s="2">
        <v>3</v>
      </c>
      <c r="AC240" s="2" t="s">
        <v>1344</v>
      </c>
    </row>
    <row r="241" spans="1:29" x14ac:dyDescent="0.25">
      <c r="A241" s="2"/>
      <c r="B241" s="2"/>
      <c r="C241" s="2" t="s">
        <v>79</v>
      </c>
      <c r="D241" s="2"/>
      <c r="E241" s="2"/>
      <c r="F241" s="197"/>
      <c r="G241" s="2">
        <v>1271</v>
      </c>
      <c r="H241" s="2">
        <v>28023900</v>
      </c>
      <c r="I241" s="2">
        <v>340926900</v>
      </c>
      <c r="J241" s="2">
        <v>8.2199145916600005E-2</v>
      </c>
      <c r="K241" s="2">
        <v>7936100</v>
      </c>
      <c r="L241" s="2">
        <v>39946400</v>
      </c>
      <c r="M241" s="2">
        <v>0.19866871608</v>
      </c>
      <c r="N241" s="2">
        <v>5414260</v>
      </c>
      <c r="O241" s="2">
        <v>49837130</v>
      </c>
      <c r="P241" s="2">
        <v>0.108639080942</v>
      </c>
      <c r="Q241" s="217">
        <f t="shared" si="3"/>
        <v>430710430</v>
      </c>
      <c r="R241" s="2">
        <v>41478100</v>
      </c>
      <c r="S241" s="2">
        <v>580985220</v>
      </c>
      <c r="T241" s="2">
        <v>7.1392693948400004E-2</v>
      </c>
      <c r="U241" s="2">
        <v>1060</v>
      </c>
      <c r="V241" s="2">
        <v>0</v>
      </c>
      <c r="W241" s="2">
        <v>33</v>
      </c>
      <c r="X241" s="2">
        <v>70</v>
      </c>
      <c r="Y241" s="2">
        <v>0</v>
      </c>
      <c r="Z241" s="2">
        <v>0</v>
      </c>
      <c r="AA241" s="2">
        <v>23</v>
      </c>
      <c r="AB241" s="2">
        <v>85</v>
      </c>
      <c r="AC241" s="2" t="s">
        <v>1344</v>
      </c>
    </row>
    <row r="242" spans="1:29" x14ac:dyDescent="0.25">
      <c r="A242" s="1">
        <v>540188</v>
      </c>
      <c r="B242" s="1" t="s">
        <v>80</v>
      </c>
      <c r="C242" s="1" t="s">
        <v>81</v>
      </c>
      <c r="D242" s="1" t="s">
        <v>5</v>
      </c>
      <c r="E242" s="1">
        <v>6</v>
      </c>
      <c r="F242" s="215"/>
      <c r="G242" s="1">
        <v>229</v>
      </c>
      <c r="H242" s="1">
        <v>7144800</v>
      </c>
      <c r="I242" s="1">
        <v>420670800</v>
      </c>
      <c r="J242" s="1">
        <v>1.6984302214500001E-2</v>
      </c>
      <c r="K242" s="1">
        <v>2809000</v>
      </c>
      <c r="L242" s="1">
        <v>38494400</v>
      </c>
      <c r="M242" s="1">
        <v>7.2971653019700003E-2</v>
      </c>
      <c r="N242" s="1">
        <v>3358700</v>
      </c>
      <c r="O242" s="1">
        <v>54358960</v>
      </c>
      <c r="P242" s="1">
        <v>6.1787421981599998E-2</v>
      </c>
      <c r="Q242" s="216">
        <f t="shared" si="3"/>
        <v>513524160</v>
      </c>
      <c r="R242" s="1">
        <v>13327300</v>
      </c>
      <c r="S242" s="1">
        <v>557730100</v>
      </c>
      <c r="T242" s="1">
        <v>2.3895608288000001E-2</v>
      </c>
      <c r="U242" s="1">
        <v>136</v>
      </c>
      <c r="V242" s="1">
        <v>0</v>
      </c>
      <c r="W242" s="1">
        <v>26</v>
      </c>
      <c r="X242" s="1">
        <v>47</v>
      </c>
      <c r="Y242" s="1">
        <v>0</v>
      </c>
      <c r="Z242" s="1">
        <v>1</v>
      </c>
      <c r="AA242" s="1">
        <v>15</v>
      </c>
      <c r="AB242" s="1">
        <v>4</v>
      </c>
      <c r="AC242" s="1" t="s">
        <v>1344</v>
      </c>
    </row>
    <row r="243" spans="1:29" x14ac:dyDescent="0.25">
      <c r="A243" s="2">
        <v>540189</v>
      </c>
      <c r="B243" s="2" t="s">
        <v>256</v>
      </c>
      <c r="C243" s="2" t="s">
        <v>81</v>
      </c>
      <c r="D243" s="2" t="s">
        <v>115</v>
      </c>
      <c r="E243" s="2">
        <v>6</v>
      </c>
      <c r="F243" s="197"/>
      <c r="G243" s="2">
        <v>11</v>
      </c>
      <c r="H243" s="2">
        <v>218500</v>
      </c>
      <c r="I243" s="2">
        <v>3791800</v>
      </c>
      <c r="J243" s="2">
        <v>5.7624347275699997E-2</v>
      </c>
      <c r="K243" s="2">
        <v>26600</v>
      </c>
      <c r="L243" s="2">
        <v>572100</v>
      </c>
      <c r="M243" s="2">
        <v>4.6495367942699997E-2</v>
      </c>
      <c r="N243" s="2">
        <v>75560</v>
      </c>
      <c r="O243" s="2">
        <v>1545450</v>
      </c>
      <c r="P243" s="2">
        <v>4.8891908505599997E-2</v>
      </c>
      <c r="Q243" s="217">
        <f t="shared" si="3"/>
        <v>5909350</v>
      </c>
      <c r="R243" s="2">
        <v>320600</v>
      </c>
      <c r="S243" s="2">
        <v>5913300</v>
      </c>
      <c r="T243" s="2">
        <v>5.4216765596199999E-2</v>
      </c>
      <c r="U243" s="2">
        <v>7</v>
      </c>
      <c r="V243" s="2">
        <v>0</v>
      </c>
      <c r="W243" s="2">
        <v>0</v>
      </c>
      <c r="X243" s="2">
        <v>2</v>
      </c>
      <c r="Y243" s="2">
        <v>0</v>
      </c>
      <c r="Z243" s="2">
        <v>1</v>
      </c>
      <c r="AA243" s="2">
        <v>1</v>
      </c>
      <c r="AB243" s="2">
        <v>0</v>
      </c>
      <c r="AC243" s="2" t="s">
        <v>1344</v>
      </c>
    </row>
    <row r="244" spans="1:29" x14ac:dyDescent="0.25">
      <c r="A244" s="2">
        <v>540190</v>
      </c>
      <c r="B244" s="2" t="s">
        <v>257</v>
      </c>
      <c r="C244" s="2" t="s">
        <v>81</v>
      </c>
      <c r="D244" s="2" t="s">
        <v>115</v>
      </c>
      <c r="E244" s="2">
        <v>6</v>
      </c>
      <c r="F244" s="197"/>
      <c r="G244" s="2">
        <v>116</v>
      </c>
      <c r="H244" s="2">
        <v>6013700</v>
      </c>
      <c r="I244" s="2">
        <v>84909800</v>
      </c>
      <c r="J244" s="2">
        <v>7.0824569131000006E-2</v>
      </c>
      <c r="K244" s="2">
        <v>2769800</v>
      </c>
      <c r="L244" s="2">
        <v>32541600</v>
      </c>
      <c r="M244" s="2">
        <v>8.5115667330400005E-2</v>
      </c>
      <c r="N244" s="2">
        <v>529580</v>
      </c>
      <c r="O244" s="2">
        <v>22201280</v>
      </c>
      <c r="P244" s="2">
        <v>2.3853579613400001E-2</v>
      </c>
      <c r="Q244" s="217">
        <f t="shared" si="3"/>
        <v>139652680</v>
      </c>
      <c r="R244" s="2">
        <v>9316400</v>
      </c>
      <c r="S244" s="2">
        <v>139818600</v>
      </c>
      <c r="T244" s="2">
        <v>6.6632050385299998E-2</v>
      </c>
      <c r="U244" s="2">
        <v>101</v>
      </c>
      <c r="V244" s="2">
        <v>0</v>
      </c>
      <c r="W244" s="2">
        <v>0</v>
      </c>
      <c r="X244" s="2">
        <v>6</v>
      </c>
      <c r="Y244" s="2">
        <v>0</v>
      </c>
      <c r="Z244" s="2">
        <v>0</v>
      </c>
      <c r="AA244" s="2">
        <v>9</v>
      </c>
      <c r="AB244" s="2">
        <v>0</v>
      </c>
      <c r="AC244" s="2" t="s">
        <v>1344</v>
      </c>
    </row>
    <row r="245" spans="1:29" x14ac:dyDescent="0.25">
      <c r="A245" s="2"/>
      <c r="B245" s="2"/>
      <c r="C245" s="2" t="s">
        <v>81</v>
      </c>
      <c r="D245" s="2"/>
      <c r="E245" s="2"/>
      <c r="F245" s="197"/>
      <c r="G245" s="2">
        <v>356</v>
      </c>
      <c r="H245" s="2">
        <v>13377000</v>
      </c>
      <c r="I245" s="2">
        <v>509372400</v>
      </c>
      <c r="J245" s="2">
        <v>2.6261729139599999E-2</v>
      </c>
      <c r="K245" s="2">
        <v>5605400</v>
      </c>
      <c r="L245" s="2">
        <v>71608100</v>
      </c>
      <c r="M245" s="2">
        <v>7.8278853928499995E-2</v>
      </c>
      <c r="N245" s="2">
        <v>3963840</v>
      </c>
      <c r="O245" s="2">
        <v>78105690</v>
      </c>
      <c r="P245" s="2">
        <v>5.0749695700799999E-2</v>
      </c>
      <c r="Q245" s="217">
        <f t="shared" si="3"/>
        <v>659086190</v>
      </c>
      <c r="R245" s="2">
        <v>22964300</v>
      </c>
      <c r="S245" s="2">
        <v>703462000</v>
      </c>
      <c r="T245" s="2">
        <v>3.26446915398E-2</v>
      </c>
      <c r="U245" s="2">
        <v>244</v>
      </c>
      <c r="V245" s="2">
        <v>0</v>
      </c>
      <c r="W245" s="2">
        <v>26</v>
      </c>
      <c r="X245" s="2">
        <v>55</v>
      </c>
      <c r="Y245" s="2">
        <v>0</v>
      </c>
      <c r="Z245" s="2">
        <v>2</v>
      </c>
      <c r="AA245" s="2">
        <v>25</v>
      </c>
      <c r="AB245" s="2">
        <v>4</v>
      </c>
      <c r="AC245" s="2" t="s">
        <v>1344</v>
      </c>
    </row>
    <row r="246" spans="1:29" x14ac:dyDescent="0.25">
      <c r="A246" s="1">
        <v>540198</v>
      </c>
      <c r="B246" s="1" t="s">
        <v>82</v>
      </c>
      <c r="C246" s="1" t="s">
        <v>83</v>
      </c>
      <c r="D246" s="1" t="s">
        <v>5</v>
      </c>
      <c r="E246" s="1">
        <v>7</v>
      </c>
      <c r="F246" s="215"/>
      <c r="G246" s="1">
        <v>671</v>
      </c>
      <c r="H246" s="1">
        <v>21756000</v>
      </c>
      <c r="I246" s="1">
        <v>547980300</v>
      </c>
      <c r="J246" s="1">
        <v>3.9702157176099998E-2</v>
      </c>
      <c r="K246" s="1">
        <v>14720500</v>
      </c>
      <c r="L246" s="1">
        <v>95334500</v>
      </c>
      <c r="M246" s="1">
        <v>0.15440894954100001</v>
      </c>
      <c r="N246" s="1">
        <v>17499840</v>
      </c>
      <c r="O246" s="1">
        <v>108793600</v>
      </c>
      <c r="P246" s="1">
        <v>0.160853579622</v>
      </c>
      <c r="Q246" s="216">
        <f t="shared" si="3"/>
        <v>752108400</v>
      </c>
      <c r="R246" s="1">
        <v>54958700</v>
      </c>
      <c r="S246" s="1">
        <v>755290800</v>
      </c>
      <c r="T246" s="1">
        <v>7.2764953578100006E-2</v>
      </c>
      <c r="U246" s="1">
        <v>404</v>
      </c>
      <c r="V246" s="1">
        <v>0</v>
      </c>
      <c r="W246" s="1">
        <v>92</v>
      </c>
      <c r="X246" s="1">
        <v>90</v>
      </c>
      <c r="Y246" s="1">
        <v>2</v>
      </c>
      <c r="Z246" s="1">
        <v>1</v>
      </c>
      <c r="AA246" s="1">
        <v>22</v>
      </c>
      <c r="AB246" s="1">
        <v>60</v>
      </c>
      <c r="AC246" s="1" t="s">
        <v>1344</v>
      </c>
    </row>
    <row r="247" spans="1:29" x14ac:dyDescent="0.25">
      <c r="A247" s="2">
        <v>540199</v>
      </c>
      <c r="B247" s="2" t="s">
        <v>261</v>
      </c>
      <c r="C247" s="2" t="s">
        <v>83</v>
      </c>
      <c r="D247" s="2" t="s">
        <v>115</v>
      </c>
      <c r="E247" s="2">
        <v>7</v>
      </c>
      <c r="F247" s="197"/>
      <c r="G247" s="2">
        <v>594</v>
      </c>
      <c r="H247" s="2">
        <v>23316700</v>
      </c>
      <c r="I247" s="2">
        <v>138515700</v>
      </c>
      <c r="J247" s="2">
        <v>0.16833254280900001</v>
      </c>
      <c r="K247" s="2">
        <v>46622100</v>
      </c>
      <c r="L247" s="2">
        <v>153029700</v>
      </c>
      <c r="M247" s="2">
        <v>0.30466046787000001</v>
      </c>
      <c r="N247" s="2">
        <v>6466490</v>
      </c>
      <c r="O247" s="2">
        <v>33965610</v>
      </c>
      <c r="P247" s="2">
        <v>0.19038344961299999</v>
      </c>
      <c r="Q247" s="217">
        <f t="shared" si="3"/>
        <v>325511010</v>
      </c>
      <c r="R247" s="2">
        <v>76956800</v>
      </c>
      <c r="S247" s="2">
        <v>331547300</v>
      </c>
      <c r="T247" s="2">
        <v>0.232114090508</v>
      </c>
      <c r="U247" s="2">
        <v>378</v>
      </c>
      <c r="V247" s="2">
        <v>0</v>
      </c>
      <c r="W247" s="2">
        <v>0</v>
      </c>
      <c r="X247" s="2">
        <v>160</v>
      </c>
      <c r="Y247" s="2">
        <v>4</v>
      </c>
      <c r="Z247" s="2">
        <v>1</v>
      </c>
      <c r="AA247" s="2">
        <v>41</v>
      </c>
      <c r="AB247" s="2">
        <v>10</v>
      </c>
      <c r="AC247" s="2" t="s">
        <v>1344</v>
      </c>
    </row>
    <row r="248" spans="1:29" x14ac:dyDescent="0.25">
      <c r="A248" s="2"/>
      <c r="B248" s="2"/>
      <c r="C248" s="2" t="s">
        <v>83</v>
      </c>
      <c r="D248" s="2"/>
      <c r="E248" s="2"/>
      <c r="F248" s="197"/>
      <c r="G248" s="2">
        <v>1265</v>
      </c>
      <c r="H248" s="2">
        <v>45072700</v>
      </c>
      <c r="I248" s="2">
        <v>686496000</v>
      </c>
      <c r="J248" s="2">
        <v>6.5656172796299997E-2</v>
      </c>
      <c r="K248" s="2">
        <v>61342600</v>
      </c>
      <c r="L248" s="2">
        <v>248364200</v>
      </c>
      <c r="M248" s="2">
        <v>0.246986481949</v>
      </c>
      <c r="N248" s="2">
        <v>23966330</v>
      </c>
      <c r="O248" s="2">
        <v>142759210</v>
      </c>
      <c r="P248" s="2">
        <v>0.16787939636300001</v>
      </c>
      <c r="Q248" s="217">
        <f t="shared" si="3"/>
        <v>1077619410</v>
      </c>
      <c r="R248" s="2">
        <v>131915500</v>
      </c>
      <c r="S248" s="2">
        <v>1086838100</v>
      </c>
      <c r="T248" s="2">
        <v>0.12137548361599999</v>
      </c>
      <c r="U248" s="2">
        <v>782</v>
      </c>
      <c r="V248" s="2">
        <v>0</v>
      </c>
      <c r="W248" s="2">
        <v>92</v>
      </c>
      <c r="X248" s="2">
        <v>250</v>
      </c>
      <c r="Y248" s="2">
        <v>6</v>
      </c>
      <c r="Z248" s="2">
        <v>2</v>
      </c>
      <c r="AA248" s="2">
        <v>63</v>
      </c>
      <c r="AB248" s="2">
        <v>70</v>
      </c>
      <c r="AC248" s="2" t="s">
        <v>1344</v>
      </c>
    </row>
    <row r="249" spans="1:29" x14ac:dyDescent="0.25">
      <c r="A249" s="1">
        <v>540200</v>
      </c>
      <c r="B249" s="1" t="s">
        <v>84</v>
      </c>
      <c r="C249" s="1" t="s">
        <v>85</v>
      </c>
      <c r="D249" s="1" t="s">
        <v>5</v>
      </c>
      <c r="E249" s="1">
        <v>2</v>
      </c>
      <c r="F249" s="215"/>
      <c r="G249" s="1">
        <v>3339</v>
      </c>
      <c r="H249" s="1">
        <v>84669200</v>
      </c>
      <c r="I249" s="1">
        <v>563150000</v>
      </c>
      <c r="J249" s="1">
        <v>0.15034928526999999</v>
      </c>
      <c r="K249" s="1">
        <v>72502300</v>
      </c>
      <c r="L249" s="1">
        <v>85757800</v>
      </c>
      <c r="M249" s="1">
        <v>0.84543096954399999</v>
      </c>
      <c r="N249" s="1">
        <v>69501480</v>
      </c>
      <c r="O249" s="1">
        <v>88787330</v>
      </c>
      <c r="P249" s="1">
        <v>0.78278601237400003</v>
      </c>
      <c r="Q249" s="216">
        <f t="shared" si="3"/>
        <v>737695130</v>
      </c>
      <c r="R249" s="1">
        <v>711259600</v>
      </c>
      <c r="S249" s="1">
        <v>763392000</v>
      </c>
      <c r="T249" s="1">
        <v>0.93170952800100004</v>
      </c>
      <c r="U249" s="1">
        <v>2342</v>
      </c>
      <c r="V249" s="1">
        <v>0</v>
      </c>
      <c r="W249" s="1">
        <v>145</v>
      </c>
      <c r="X249" s="1">
        <v>259</v>
      </c>
      <c r="Y249" s="1">
        <v>2</v>
      </c>
      <c r="Z249" s="1">
        <v>2</v>
      </c>
      <c r="AA249" s="1">
        <v>446</v>
      </c>
      <c r="AB249" s="1">
        <v>143</v>
      </c>
      <c r="AC249" s="1" t="s">
        <v>1344</v>
      </c>
    </row>
    <row r="250" spans="1:29" x14ac:dyDescent="0.25">
      <c r="A250" s="2">
        <v>540018</v>
      </c>
      <c r="B250" s="2" t="s">
        <v>127</v>
      </c>
      <c r="C250" s="2" t="s">
        <v>85</v>
      </c>
      <c r="D250" s="2" t="s">
        <v>115</v>
      </c>
      <c r="E250" s="2">
        <v>2</v>
      </c>
      <c r="F250" s="197"/>
      <c r="G250" s="2">
        <v>202</v>
      </c>
      <c r="H250" s="2">
        <v>6732700</v>
      </c>
      <c r="I250" s="2">
        <v>82440100</v>
      </c>
      <c r="J250" s="2">
        <v>8.1667780606799995E-2</v>
      </c>
      <c r="K250" s="2">
        <v>5651000</v>
      </c>
      <c r="L250" s="2">
        <v>12723900</v>
      </c>
      <c r="M250" s="2">
        <v>0.44412483593899998</v>
      </c>
      <c r="N250" s="2">
        <v>1261480</v>
      </c>
      <c r="O250" s="2">
        <v>7164640</v>
      </c>
      <c r="P250" s="2">
        <v>0.176070256147</v>
      </c>
      <c r="Q250" s="217">
        <f t="shared" si="3"/>
        <v>102328640</v>
      </c>
      <c r="R250" s="2">
        <v>14164900</v>
      </c>
      <c r="S250" s="2">
        <v>109115300</v>
      </c>
      <c r="T250" s="2">
        <v>0.129815891997</v>
      </c>
      <c r="U250" s="2">
        <v>169</v>
      </c>
      <c r="V250" s="2">
        <v>0</v>
      </c>
      <c r="W250" s="2">
        <v>0</v>
      </c>
      <c r="X250" s="2">
        <v>19</v>
      </c>
      <c r="Y250" s="2">
        <v>0</v>
      </c>
      <c r="Z250" s="2">
        <v>1</v>
      </c>
      <c r="AA250" s="2">
        <v>8</v>
      </c>
      <c r="AB250" s="2">
        <v>5</v>
      </c>
      <c r="AC250" s="2" t="s">
        <v>1344</v>
      </c>
    </row>
    <row r="251" spans="1:29" x14ac:dyDescent="0.25">
      <c r="A251" s="2">
        <v>540202</v>
      </c>
      <c r="B251" s="2" t="s">
        <v>262</v>
      </c>
      <c r="C251" s="2" t="s">
        <v>85</v>
      </c>
      <c r="D251" s="2" t="s">
        <v>115</v>
      </c>
      <c r="E251" s="2">
        <v>2</v>
      </c>
      <c r="F251" s="197"/>
      <c r="G251" s="2">
        <v>127</v>
      </c>
      <c r="H251" s="2">
        <v>2714200</v>
      </c>
      <c r="I251" s="2">
        <v>7517400</v>
      </c>
      <c r="J251" s="2">
        <v>0.36105568414599998</v>
      </c>
      <c r="K251" s="2">
        <v>127100</v>
      </c>
      <c r="L251" s="2">
        <v>13251600</v>
      </c>
      <c r="M251" s="2">
        <v>9.5912946361200006E-3</v>
      </c>
      <c r="N251" s="2">
        <v>1069660</v>
      </c>
      <c r="O251" s="2">
        <v>2722020</v>
      </c>
      <c r="P251" s="2">
        <v>0.39296551825499998</v>
      </c>
      <c r="Q251" s="217">
        <f t="shared" si="3"/>
        <v>23491020</v>
      </c>
      <c r="R251" s="2">
        <v>10990800</v>
      </c>
      <c r="S251" s="2">
        <v>24570400</v>
      </c>
      <c r="T251" s="2">
        <v>0.44731872497000003</v>
      </c>
      <c r="U251" s="2">
        <v>94</v>
      </c>
      <c r="V251" s="2">
        <v>0</v>
      </c>
      <c r="W251" s="2">
        <v>0</v>
      </c>
      <c r="X251" s="2">
        <v>3</v>
      </c>
      <c r="Y251" s="2">
        <v>0</v>
      </c>
      <c r="Z251" s="2">
        <v>1</v>
      </c>
      <c r="AA251" s="2">
        <v>15</v>
      </c>
      <c r="AB251" s="2">
        <v>14</v>
      </c>
      <c r="AC251" s="2" t="s">
        <v>1344</v>
      </c>
    </row>
    <row r="252" spans="1:29" x14ac:dyDescent="0.25">
      <c r="A252" s="2">
        <v>540221</v>
      </c>
      <c r="B252" s="2" t="s">
        <v>275</v>
      </c>
      <c r="C252" s="2" t="s">
        <v>85</v>
      </c>
      <c r="D252" s="2" t="s">
        <v>115</v>
      </c>
      <c r="E252" s="2">
        <v>2</v>
      </c>
      <c r="F252" s="197"/>
      <c r="G252" s="2">
        <v>106</v>
      </c>
      <c r="H252" s="2">
        <v>1871800</v>
      </c>
      <c r="I252" s="2">
        <v>49735800</v>
      </c>
      <c r="J252" s="2">
        <v>3.7634862614099998E-2</v>
      </c>
      <c r="K252" s="2">
        <v>143600</v>
      </c>
      <c r="L252" s="2">
        <v>23055900</v>
      </c>
      <c r="M252" s="2">
        <v>6.2283406850300004E-3</v>
      </c>
      <c r="N252" s="2">
        <v>435340</v>
      </c>
      <c r="O252" s="2">
        <v>6658690</v>
      </c>
      <c r="P252" s="2">
        <v>6.5379226244200006E-2</v>
      </c>
      <c r="Q252" s="217">
        <f t="shared" si="3"/>
        <v>79450390</v>
      </c>
      <c r="R252" s="2">
        <v>2807300</v>
      </c>
      <c r="S252" s="2">
        <v>85652900</v>
      </c>
      <c r="T252" s="2">
        <v>3.2775305914900001E-2</v>
      </c>
      <c r="U252" s="2">
        <v>90</v>
      </c>
      <c r="V252" s="2">
        <v>0</v>
      </c>
      <c r="W252" s="2">
        <v>0</v>
      </c>
      <c r="X252" s="2">
        <v>4</v>
      </c>
      <c r="Y252" s="2">
        <v>0</v>
      </c>
      <c r="Z252" s="2">
        <v>0</v>
      </c>
      <c r="AA252" s="2">
        <v>7</v>
      </c>
      <c r="AB252" s="2">
        <v>5</v>
      </c>
      <c r="AC252" s="2" t="s">
        <v>1344</v>
      </c>
    </row>
    <row r="253" spans="1:29" x14ac:dyDescent="0.25">
      <c r="A253" s="2">
        <v>540231</v>
      </c>
      <c r="B253" s="2" t="s">
        <v>281</v>
      </c>
      <c r="C253" s="2" t="s">
        <v>85</v>
      </c>
      <c r="D253" s="2" t="s">
        <v>115</v>
      </c>
      <c r="E253" s="2">
        <v>2</v>
      </c>
      <c r="F253" s="197"/>
      <c r="G253" s="2">
        <v>227</v>
      </c>
      <c r="H253" s="2">
        <v>4610700</v>
      </c>
      <c r="I253" s="2">
        <v>17825400</v>
      </c>
      <c r="J253" s="2">
        <v>0.258658992225</v>
      </c>
      <c r="K253" s="2">
        <v>7839100</v>
      </c>
      <c r="L253" s="2">
        <v>19435400</v>
      </c>
      <c r="M253" s="2">
        <v>0.40334132562199998</v>
      </c>
      <c r="N253" s="2">
        <v>3472240</v>
      </c>
      <c r="O253" s="2">
        <v>8686330</v>
      </c>
      <c r="P253" s="2">
        <v>0.39973613712599998</v>
      </c>
      <c r="Q253" s="217">
        <f t="shared" si="3"/>
        <v>45947130</v>
      </c>
      <c r="R253" s="2">
        <v>16264100</v>
      </c>
      <c r="S253" s="2">
        <v>46576500</v>
      </c>
      <c r="T253" s="2">
        <v>0.34919111569099998</v>
      </c>
      <c r="U253" s="2">
        <v>146</v>
      </c>
      <c r="V253" s="2">
        <v>0</v>
      </c>
      <c r="W253" s="2">
        <v>0</v>
      </c>
      <c r="X253" s="2">
        <v>51</v>
      </c>
      <c r="Y253" s="2">
        <v>0</v>
      </c>
      <c r="Z253" s="2">
        <v>0</v>
      </c>
      <c r="AA253" s="2">
        <v>22</v>
      </c>
      <c r="AB253" s="2">
        <v>8</v>
      </c>
      <c r="AC253" s="2" t="s">
        <v>1344</v>
      </c>
    </row>
    <row r="254" spans="1:29" x14ac:dyDescent="0.25">
      <c r="A254" s="2">
        <v>540232</v>
      </c>
      <c r="B254" s="2" t="s">
        <v>282</v>
      </c>
      <c r="C254" s="2" t="s">
        <v>85</v>
      </c>
      <c r="D254" s="2" t="s">
        <v>115</v>
      </c>
      <c r="E254" s="2">
        <v>2</v>
      </c>
      <c r="F254" s="197"/>
      <c r="G254" s="2">
        <v>79</v>
      </c>
      <c r="H254" s="2">
        <v>1821000</v>
      </c>
      <c r="I254" s="2">
        <v>28901100</v>
      </c>
      <c r="J254" s="2">
        <v>6.3007982395099998E-2</v>
      </c>
      <c r="K254" s="2">
        <v>2051500</v>
      </c>
      <c r="L254" s="2">
        <v>15142700</v>
      </c>
      <c r="M254" s="2">
        <v>0.135477820996</v>
      </c>
      <c r="N254" s="2">
        <v>336950</v>
      </c>
      <c r="O254" s="2">
        <v>5159580</v>
      </c>
      <c r="P254" s="2">
        <v>6.5305703177400004E-2</v>
      </c>
      <c r="Q254" s="217">
        <f t="shared" si="3"/>
        <v>49203380</v>
      </c>
      <c r="R254" s="2">
        <v>4130900</v>
      </c>
      <c r="S254" s="2">
        <v>49195300</v>
      </c>
      <c r="T254" s="2">
        <v>8.3969403581200003E-2</v>
      </c>
      <c r="U254" s="2">
        <v>53</v>
      </c>
      <c r="V254" s="2">
        <v>0</v>
      </c>
      <c r="W254" s="2">
        <v>0</v>
      </c>
      <c r="X254" s="2">
        <v>11</v>
      </c>
      <c r="Y254" s="2">
        <v>3</v>
      </c>
      <c r="Z254" s="2">
        <v>1</v>
      </c>
      <c r="AA254" s="2">
        <v>8</v>
      </c>
      <c r="AB254" s="2">
        <v>3</v>
      </c>
      <c r="AC254" s="2" t="s">
        <v>1344</v>
      </c>
    </row>
    <row r="255" spans="1:29" x14ac:dyDescent="0.25">
      <c r="A255" s="2"/>
      <c r="B255" s="2"/>
      <c r="C255" s="2" t="s">
        <v>85</v>
      </c>
      <c r="D255" s="2"/>
      <c r="E255" s="2"/>
      <c r="F255" s="197"/>
      <c r="G255" s="2">
        <v>4080</v>
      </c>
      <c r="H255" s="2">
        <v>102419600</v>
      </c>
      <c r="I255" s="2">
        <v>749569800</v>
      </c>
      <c r="J255" s="2">
        <v>0.13663784213300001</v>
      </c>
      <c r="K255" s="2">
        <v>88314600</v>
      </c>
      <c r="L255" s="2">
        <v>169367300</v>
      </c>
      <c r="M255" s="2">
        <v>0.52143831778600003</v>
      </c>
      <c r="N255" s="2">
        <v>76077150</v>
      </c>
      <c r="O255" s="2">
        <v>119178590</v>
      </c>
      <c r="P255" s="2">
        <v>0.63834578005999998</v>
      </c>
      <c r="Q255" s="217">
        <f t="shared" si="3"/>
        <v>1038115690</v>
      </c>
      <c r="R255" s="2">
        <v>759617600</v>
      </c>
      <c r="S255" s="2">
        <v>1078502400</v>
      </c>
      <c r="T255" s="2">
        <v>0.704326295426</v>
      </c>
      <c r="U255" s="2">
        <v>2894</v>
      </c>
      <c r="V255" s="2">
        <v>0</v>
      </c>
      <c r="W255" s="2">
        <v>145</v>
      </c>
      <c r="X255" s="2">
        <v>347</v>
      </c>
      <c r="Y255" s="2">
        <v>5</v>
      </c>
      <c r="Z255" s="2">
        <v>5</v>
      </c>
      <c r="AA255" s="2">
        <v>506</v>
      </c>
      <c r="AB255" s="2">
        <v>178</v>
      </c>
      <c r="AC255" s="2" t="s">
        <v>1344</v>
      </c>
    </row>
    <row r="256" spans="1:29" x14ac:dyDescent="0.25">
      <c r="A256" s="1">
        <v>540203</v>
      </c>
      <c r="B256" s="1" t="s">
        <v>86</v>
      </c>
      <c r="C256" s="1" t="s">
        <v>87</v>
      </c>
      <c r="D256" s="1" t="s">
        <v>5</v>
      </c>
      <c r="E256" s="1">
        <v>4</v>
      </c>
      <c r="F256" s="215"/>
      <c r="G256" s="1">
        <v>644</v>
      </c>
      <c r="H256" s="1">
        <v>10749700</v>
      </c>
      <c r="I256" s="1">
        <v>93343900</v>
      </c>
      <c r="J256" s="1">
        <v>0.115162319123</v>
      </c>
      <c r="K256" s="1">
        <v>2209300</v>
      </c>
      <c r="L256" s="1">
        <v>22616400</v>
      </c>
      <c r="M256" s="1">
        <v>9.7685750163599996E-2</v>
      </c>
      <c r="N256" s="1">
        <v>3167470</v>
      </c>
      <c r="O256" s="1">
        <v>25661480</v>
      </c>
      <c r="P256" s="1">
        <v>0.123432865135</v>
      </c>
      <c r="Q256" s="216">
        <f t="shared" si="3"/>
        <v>141621780</v>
      </c>
      <c r="R256" s="1">
        <v>17787500</v>
      </c>
      <c r="S256" s="1">
        <v>146006600</v>
      </c>
      <c r="T256" s="1">
        <v>0.12182668454700001</v>
      </c>
      <c r="U256" s="1">
        <v>532</v>
      </c>
      <c r="V256" s="1">
        <v>0</v>
      </c>
      <c r="W256" s="1">
        <v>36</v>
      </c>
      <c r="X256" s="1">
        <v>29</v>
      </c>
      <c r="Y256" s="1">
        <v>0</v>
      </c>
      <c r="Z256" s="1">
        <v>0</v>
      </c>
      <c r="AA256" s="1">
        <v>20</v>
      </c>
      <c r="AB256" s="1">
        <v>27</v>
      </c>
      <c r="AC256" s="1" t="s">
        <v>1344</v>
      </c>
    </row>
    <row r="257" spans="1:29" x14ac:dyDescent="0.25">
      <c r="A257" s="2">
        <v>540204</v>
      </c>
      <c r="B257" s="2" t="s">
        <v>263</v>
      </c>
      <c r="C257" s="2" t="s">
        <v>87</v>
      </c>
      <c r="D257" s="2" t="s">
        <v>115</v>
      </c>
      <c r="E257" s="2">
        <v>4</v>
      </c>
      <c r="F257" s="197"/>
      <c r="G257" s="2">
        <v>116</v>
      </c>
      <c r="H257" s="2">
        <v>2287800</v>
      </c>
      <c r="I257" s="2">
        <v>10159000</v>
      </c>
      <c r="J257" s="2">
        <v>0.22519933064299999</v>
      </c>
      <c r="K257" s="2">
        <v>20620300</v>
      </c>
      <c r="L257" s="2">
        <v>12320600</v>
      </c>
      <c r="M257" s="2">
        <v>1.67364414071</v>
      </c>
      <c r="N257" s="2">
        <v>385360</v>
      </c>
      <c r="O257" s="2">
        <v>976210</v>
      </c>
      <c r="P257" s="2">
        <v>0.394751129368</v>
      </c>
      <c r="Q257" s="217">
        <f t="shared" si="3"/>
        <v>23455810</v>
      </c>
      <c r="R257" s="2">
        <v>23301600</v>
      </c>
      <c r="S257" s="2">
        <v>23490300</v>
      </c>
      <c r="T257" s="2">
        <v>0.99196689697399998</v>
      </c>
      <c r="U257" s="2">
        <v>78</v>
      </c>
      <c r="V257" s="2">
        <v>1</v>
      </c>
      <c r="W257" s="2">
        <v>0</v>
      </c>
      <c r="X257" s="2">
        <v>28</v>
      </c>
      <c r="Y257" s="2">
        <v>0</v>
      </c>
      <c r="Z257" s="2">
        <v>0</v>
      </c>
      <c r="AA257" s="2">
        <v>8</v>
      </c>
      <c r="AB257" s="2">
        <v>1</v>
      </c>
      <c r="AC257" s="2" t="s">
        <v>1344</v>
      </c>
    </row>
    <row r="258" spans="1:29" x14ac:dyDescent="0.25">
      <c r="A258" s="2">
        <v>540205</v>
      </c>
      <c r="B258" s="2" t="s">
        <v>264</v>
      </c>
      <c r="C258" s="2" t="s">
        <v>87</v>
      </c>
      <c r="D258" s="2" t="s">
        <v>115</v>
      </c>
      <c r="E258" s="2">
        <v>4</v>
      </c>
      <c r="F258" s="197"/>
      <c r="G258" s="2">
        <v>20</v>
      </c>
      <c r="H258" s="2">
        <v>92800</v>
      </c>
      <c r="I258" s="2">
        <v>1787200</v>
      </c>
      <c r="J258" s="2">
        <v>5.1924798567600003E-2</v>
      </c>
      <c r="K258" s="2">
        <v>109900</v>
      </c>
      <c r="L258" s="2">
        <v>436800</v>
      </c>
      <c r="M258" s="2">
        <v>0.25160256410300003</v>
      </c>
      <c r="N258" s="2">
        <v>1060</v>
      </c>
      <c r="O258" s="2">
        <v>277460</v>
      </c>
      <c r="P258" s="2">
        <v>3.8203705038600002E-3</v>
      </c>
      <c r="Q258" s="217">
        <f t="shared" si="3"/>
        <v>2501460</v>
      </c>
      <c r="R258" s="2">
        <v>203800</v>
      </c>
      <c r="S258" s="2">
        <v>2513400</v>
      </c>
      <c r="T258" s="2">
        <v>8.1085382350600005E-2</v>
      </c>
      <c r="U258" s="2">
        <v>15</v>
      </c>
      <c r="V258" s="2">
        <v>0</v>
      </c>
      <c r="W258" s="2">
        <v>0</v>
      </c>
      <c r="X258" s="2">
        <v>4</v>
      </c>
      <c r="Y258" s="2">
        <v>0</v>
      </c>
      <c r="Z258" s="2">
        <v>0</v>
      </c>
      <c r="AA258" s="2">
        <v>0</v>
      </c>
      <c r="AB258" s="2">
        <v>1</v>
      </c>
      <c r="AC258" s="2" t="s">
        <v>1344</v>
      </c>
    </row>
    <row r="259" spans="1:29" x14ac:dyDescent="0.25">
      <c r="A259" s="2">
        <v>540206</v>
      </c>
      <c r="B259" s="2" t="s">
        <v>265</v>
      </c>
      <c r="C259" s="2" t="s">
        <v>87</v>
      </c>
      <c r="D259" s="2" t="s">
        <v>115</v>
      </c>
      <c r="E259" s="2">
        <v>4</v>
      </c>
      <c r="F259" s="197"/>
      <c r="G259" s="2">
        <v>39</v>
      </c>
      <c r="H259" s="2">
        <v>427200</v>
      </c>
      <c r="I259" s="2">
        <v>5592200</v>
      </c>
      <c r="J259" s="2">
        <v>7.63921175924E-2</v>
      </c>
      <c r="K259" s="2">
        <v>85500</v>
      </c>
      <c r="L259" s="2">
        <v>5437800</v>
      </c>
      <c r="M259" s="2">
        <v>1.5723270440299999E-2</v>
      </c>
      <c r="N259" s="2">
        <v>231200</v>
      </c>
      <c r="O259" s="2">
        <v>1241370</v>
      </c>
      <c r="P259" s="2">
        <v>0.18624584128800001</v>
      </c>
      <c r="Q259" s="217">
        <f t="shared" si="3"/>
        <v>12271370</v>
      </c>
      <c r="R259" s="2">
        <v>745100</v>
      </c>
      <c r="S259" s="2">
        <v>12540700</v>
      </c>
      <c r="T259" s="2">
        <v>5.9414546237499997E-2</v>
      </c>
      <c r="U259" s="2">
        <v>32</v>
      </c>
      <c r="V259" s="2">
        <v>0</v>
      </c>
      <c r="W259" s="2">
        <v>0</v>
      </c>
      <c r="X259" s="2">
        <v>7</v>
      </c>
      <c r="Y259" s="2">
        <v>0</v>
      </c>
      <c r="Z259" s="2">
        <v>0</v>
      </c>
      <c r="AA259" s="2">
        <v>0</v>
      </c>
      <c r="AB259" s="2">
        <v>0</v>
      </c>
      <c r="AC259" s="2" t="s">
        <v>1344</v>
      </c>
    </row>
    <row r="260" spans="1:29" x14ac:dyDescent="0.25">
      <c r="A260" s="2"/>
      <c r="B260" s="2"/>
      <c r="C260" s="2" t="s">
        <v>87</v>
      </c>
      <c r="D260" s="2"/>
      <c r="E260" s="2"/>
      <c r="F260" s="197"/>
      <c r="G260" s="2">
        <v>819</v>
      </c>
      <c r="H260" s="2">
        <v>13557500</v>
      </c>
      <c r="I260" s="2">
        <v>110882300</v>
      </c>
      <c r="J260" s="2">
        <v>0.122269289147</v>
      </c>
      <c r="K260" s="2">
        <v>23025000</v>
      </c>
      <c r="L260" s="2">
        <v>40811600</v>
      </c>
      <c r="M260" s="2">
        <v>0.56417783179299996</v>
      </c>
      <c r="N260" s="2">
        <v>3785090</v>
      </c>
      <c r="O260" s="2">
        <v>28156520</v>
      </c>
      <c r="P260" s="2">
        <v>0.13443032022400001</v>
      </c>
      <c r="Q260" s="217">
        <f t="shared" ref="Q260:Q323" si="4" xml:space="preserve"> I260 + L260+ O260</f>
        <v>179850420</v>
      </c>
      <c r="R260" s="2">
        <v>42038000</v>
      </c>
      <c r="S260" s="2">
        <v>184551000</v>
      </c>
      <c r="T260" s="2">
        <v>0.227785273447</v>
      </c>
      <c r="U260" s="2">
        <v>657</v>
      </c>
      <c r="V260" s="2">
        <v>1</v>
      </c>
      <c r="W260" s="2">
        <v>36</v>
      </c>
      <c r="X260" s="2">
        <v>68</v>
      </c>
      <c r="Y260" s="2">
        <v>0</v>
      </c>
      <c r="Z260" s="2">
        <v>0</v>
      </c>
      <c r="AA260" s="2">
        <v>28</v>
      </c>
      <c r="AB260" s="2">
        <v>29</v>
      </c>
      <c r="AC260" s="2" t="s">
        <v>1344</v>
      </c>
    </row>
    <row r="261" spans="1:29" x14ac:dyDescent="0.25">
      <c r="A261" s="1">
        <v>540207</v>
      </c>
      <c r="B261" s="1" t="s">
        <v>88</v>
      </c>
      <c r="C261" s="1" t="s">
        <v>89</v>
      </c>
      <c r="D261" s="1" t="s">
        <v>5</v>
      </c>
      <c r="E261" s="1">
        <v>10</v>
      </c>
      <c r="F261" s="215"/>
      <c r="G261" s="1">
        <v>883</v>
      </c>
      <c r="H261" s="1">
        <v>32533600</v>
      </c>
      <c r="I261" s="1">
        <v>187406700</v>
      </c>
      <c r="J261" s="1">
        <v>0.173598916154</v>
      </c>
      <c r="K261" s="1">
        <v>29062500</v>
      </c>
      <c r="L261" s="1">
        <v>15771600</v>
      </c>
      <c r="M261" s="1">
        <v>1.84271094879</v>
      </c>
      <c r="N261" s="1">
        <v>15756210</v>
      </c>
      <c r="O261" s="1">
        <v>57408590</v>
      </c>
      <c r="P261" s="1">
        <v>0.27445735908199997</v>
      </c>
      <c r="Q261" s="216">
        <f t="shared" si="4"/>
        <v>260586890</v>
      </c>
      <c r="R261" s="1">
        <v>77090100</v>
      </c>
      <c r="S261" s="1">
        <v>268106500</v>
      </c>
      <c r="T261" s="1">
        <v>0.28753536374499999</v>
      </c>
      <c r="U261" s="1">
        <v>560</v>
      </c>
      <c r="V261" s="1">
        <v>0</v>
      </c>
      <c r="W261" s="1">
        <v>214</v>
      </c>
      <c r="X261" s="1">
        <v>40</v>
      </c>
      <c r="Y261" s="1">
        <v>6</v>
      </c>
      <c r="Z261" s="1">
        <v>6</v>
      </c>
      <c r="AA261" s="1">
        <v>40</v>
      </c>
      <c r="AB261" s="1">
        <v>17</v>
      </c>
      <c r="AC261" s="1" t="s">
        <v>1344</v>
      </c>
    </row>
    <row r="262" spans="1:29" x14ac:dyDescent="0.25">
      <c r="A262" s="2">
        <v>540196</v>
      </c>
      <c r="B262" s="2" t="s">
        <v>259</v>
      </c>
      <c r="C262" s="2" t="s">
        <v>89</v>
      </c>
      <c r="D262" s="2" t="s">
        <v>115</v>
      </c>
      <c r="E262" s="2">
        <v>5</v>
      </c>
      <c r="F262" s="197"/>
      <c r="G262" s="2">
        <v>7</v>
      </c>
      <c r="H262" s="2">
        <v>0</v>
      </c>
      <c r="I262" s="2">
        <v>42298900</v>
      </c>
      <c r="J262" s="2">
        <v>0</v>
      </c>
      <c r="K262" s="2">
        <v>0</v>
      </c>
      <c r="L262" s="2">
        <v>4935600</v>
      </c>
      <c r="M262" s="2">
        <v>0</v>
      </c>
      <c r="N262" s="2">
        <v>153760</v>
      </c>
      <c r="O262" s="2">
        <v>10904120</v>
      </c>
      <c r="P262" s="2">
        <v>1.41010920643E-2</v>
      </c>
      <c r="Q262" s="217">
        <f t="shared" si="4"/>
        <v>58138620</v>
      </c>
      <c r="R262" s="2">
        <v>2574900</v>
      </c>
      <c r="S262" s="2">
        <v>59365800</v>
      </c>
      <c r="T262" s="2">
        <v>4.3373457445199999E-2</v>
      </c>
      <c r="U262" s="2">
        <v>2</v>
      </c>
      <c r="V262" s="2">
        <v>0</v>
      </c>
      <c r="W262" s="2">
        <v>0</v>
      </c>
      <c r="X262" s="2">
        <v>0</v>
      </c>
      <c r="Y262" s="2">
        <v>0</v>
      </c>
      <c r="Z262" s="2">
        <v>0</v>
      </c>
      <c r="AA262" s="2">
        <v>4</v>
      </c>
      <c r="AB262" s="2">
        <v>1</v>
      </c>
      <c r="AC262" s="2" t="s">
        <v>1344</v>
      </c>
    </row>
    <row r="263" spans="1:29" x14ac:dyDescent="0.25">
      <c r="A263" s="2">
        <v>540208</v>
      </c>
      <c r="B263" s="2" t="s">
        <v>266</v>
      </c>
      <c r="C263" s="2" t="s">
        <v>89</v>
      </c>
      <c r="D263" s="2" t="s">
        <v>115</v>
      </c>
      <c r="E263" s="2">
        <v>10</v>
      </c>
      <c r="F263" s="197"/>
      <c r="G263" s="2">
        <v>905</v>
      </c>
      <c r="H263" s="2">
        <v>36068800</v>
      </c>
      <c r="I263" s="2">
        <v>132565500</v>
      </c>
      <c r="J263" s="2">
        <v>0.27208285715399999</v>
      </c>
      <c r="K263" s="2">
        <v>40334200</v>
      </c>
      <c r="L263" s="2">
        <v>84829800</v>
      </c>
      <c r="M263" s="2">
        <v>0.47547206288400001</v>
      </c>
      <c r="N263" s="2">
        <v>17230840</v>
      </c>
      <c r="O263" s="2">
        <v>37746990</v>
      </c>
      <c r="P263" s="2">
        <v>0.45648249039200001</v>
      </c>
      <c r="Q263" s="217">
        <f t="shared" si="4"/>
        <v>255142290</v>
      </c>
      <c r="R263" s="2">
        <v>223037070</v>
      </c>
      <c r="S263" s="2">
        <v>289856575</v>
      </c>
      <c r="T263" s="2">
        <v>0.76947390274000005</v>
      </c>
      <c r="U263" s="2">
        <v>623</v>
      </c>
      <c r="V263" s="2">
        <v>0</v>
      </c>
      <c r="W263" s="2">
        <v>3</v>
      </c>
      <c r="X263" s="2">
        <v>198</v>
      </c>
      <c r="Y263" s="2">
        <v>1</v>
      </c>
      <c r="Z263" s="2">
        <v>2</v>
      </c>
      <c r="AA263" s="2">
        <v>64</v>
      </c>
      <c r="AB263" s="2">
        <v>14</v>
      </c>
      <c r="AC263" s="2" t="s">
        <v>1344</v>
      </c>
    </row>
    <row r="264" spans="1:29" x14ac:dyDescent="0.25">
      <c r="A264" s="2">
        <v>540210</v>
      </c>
      <c r="B264" s="2" t="s">
        <v>267</v>
      </c>
      <c r="C264" s="2" t="s">
        <v>89</v>
      </c>
      <c r="D264" s="2" t="s">
        <v>115</v>
      </c>
      <c r="E264" s="2">
        <v>10</v>
      </c>
      <c r="F264" s="197"/>
      <c r="G264" s="2">
        <v>90</v>
      </c>
      <c r="H264" s="2">
        <v>1788700</v>
      </c>
      <c r="I264" s="2">
        <v>5699200</v>
      </c>
      <c r="J264" s="2">
        <v>0.313851066816</v>
      </c>
      <c r="K264" s="2">
        <v>722400</v>
      </c>
      <c r="L264" s="2">
        <v>2119700</v>
      </c>
      <c r="M264" s="2">
        <v>0.34080294381300003</v>
      </c>
      <c r="N264" s="2">
        <v>8295320</v>
      </c>
      <c r="O264" s="2">
        <v>8289920</v>
      </c>
      <c r="P264" s="2">
        <v>1.0006513935000001</v>
      </c>
      <c r="Q264" s="217">
        <f t="shared" si="4"/>
        <v>16108820</v>
      </c>
      <c r="R264" s="2">
        <v>10858500</v>
      </c>
      <c r="S264" s="2">
        <v>16167900</v>
      </c>
      <c r="T264" s="2">
        <v>0.67160855769799999</v>
      </c>
      <c r="U264" s="2">
        <v>64</v>
      </c>
      <c r="V264" s="2">
        <v>0</v>
      </c>
      <c r="W264" s="2">
        <v>1</v>
      </c>
      <c r="X264" s="2">
        <v>14</v>
      </c>
      <c r="Y264" s="2">
        <v>0</v>
      </c>
      <c r="Z264" s="2">
        <v>0</v>
      </c>
      <c r="AA264" s="2">
        <v>11</v>
      </c>
      <c r="AB264" s="2">
        <v>0</v>
      </c>
      <c r="AC264" s="2" t="s">
        <v>1344</v>
      </c>
    </row>
    <row r="265" spans="1:29" x14ac:dyDescent="0.25">
      <c r="A265" s="2">
        <v>540256</v>
      </c>
      <c r="B265" s="2" t="s">
        <v>301</v>
      </c>
      <c r="C265" s="2" t="s">
        <v>89</v>
      </c>
      <c r="D265" s="2" t="s">
        <v>115</v>
      </c>
      <c r="E265" s="2">
        <v>10</v>
      </c>
      <c r="F265" s="197"/>
      <c r="G265" s="2">
        <v>114</v>
      </c>
      <c r="H265" s="2">
        <v>1908200</v>
      </c>
      <c r="I265" s="2">
        <v>4791300</v>
      </c>
      <c r="J265" s="2">
        <v>0.39826351929499998</v>
      </c>
      <c r="K265" s="2">
        <v>7070200</v>
      </c>
      <c r="L265" s="2">
        <v>2587000</v>
      </c>
      <c r="M265" s="2">
        <v>2.7329725550799999</v>
      </c>
      <c r="N265" s="2">
        <v>571370</v>
      </c>
      <c r="O265" s="2">
        <v>3306040</v>
      </c>
      <c r="P265" s="2">
        <v>0.17282610010800001</v>
      </c>
      <c r="Q265" s="217">
        <f t="shared" si="4"/>
        <v>10684340</v>
      </c>
      <c r="R265" s="2">
        <v>9625900</v>
      </c>
      <c r="S265" s="2">
        <v>10772900</v>
      </c>
      <c r="T265" s="2">
        <v>0.89352913328799999</v>
      </c>
      <c r="U265" s="2">
        <v>60</v>
      </c>
      <c r="V265" s="2">
        <v>0</v>
      </c>
      <c r="W265" s="2">
        <v>1</v>
      </c>
      <c r="X265" s="2">
        <v>44</v>
      </c>
      <c r="Y265" s="2">
        <v>0</v>
      </c>
      <c r="Z265" s="2">
        <v>0</v>
      </c>
      <c r="AA265" s="2">
        <v>9</v>
      </c>
      <c r="AB265" s="2">
        <v>0</v>
      </c>
      <c r="AC265" s="2" t="s">
        <v>1344</v>
      </c>
    </row>
    <row r="266" spans="1:29" x14ac:dyDescent="0.25">
      <c r="A266" s="2">
        <v>540258</v>
      </c>
      <c r="B266" s="2" t="s">
        <v>303</v>
      </c>
      <c r="C266" s="2" t="s">
        <v>89</v>
      </c>
      <c r="D266" s="2" t="s">
        <v>115</v>
      </c>
      <c r="E266" s="2">
        <v>10</v>
      </c>
      <c r="F266" s="197"/>
      <c r="G266" s="2">
        <v>29</v>
      </c>
      <c r="H266" s="2">
        <v>296700</v>
      </c>
      <c r="I266" s="2">
        <v>1592100</v>
      </c>
      <c r="J266" s="2">
        <v>0.18635764085199999</v>
      </c>
      <c r="K266" s="2">
        <v>3978400</v>
      </c>
      <c r="L266" s="2">
        <v>360700</v>
      </c>
      <c r="M266" s="2">
        <v>11.029664541200001</v>
      </c>
      <c r="N266" s="2">
        <v>323370</v>
      </c>
      <c r="O266" s="2">
        <v>488360</v>
      </c>
      <c r="P266" s="2">
        <v>0.66215496764699999</v>
      </c>
      <c r="Q266" s="217">
        <f t="shared" si="4"/>
        <v>2441160</v>
      </c>
      <c r="R266" s="2">
        <v>4653900</v>
      </c>
      <c r="S266" s="2">
        <v>2480800</v>
      </c>
      <c r="T266" s="2">
        <v>1.87596742986</v>
      </c>
      <c r="U266" s="2">
        <v>13</v>
      </c>
      <c r="V266" s="2">
        <v>0</v>
      </c>
      <c r="W266" s="2">
        <v>0</v>
      </c>
      <c r="X266" s="2">
        <v>14</v>
      </c>
      <c r="Y266" s="2">
        <v>0</v>
      </c>
      <c r="Z266" s="2">
        <v>1</v>
      </c>
      <c r="AA266" s="2">
        <v>1</v>
      </c>
      <c r="AB266" s="2">
        <v>0</v>
      </c>
      <c r="AC266" s="2" t="s">
        <v>1344</v>
      </c>
    </row>
    <row r="267" spans="1:29" x14ac:dyDescent="0.25">
      <c r="A267" s="2"/>
      <c r="B267" s="2"/>
      <c r="C267" s="2" t="s">
        <v>89</v>
      </c>
      <c r="D267" s="2"/>
      <c r="E267" s="2"/>
      <c r="F267" s="197"/>
      <c r="G267" s="2">
        <v>2028</v>
      </c>
      <c r="H267" s="2">
        <v>72596000</v>
      </c>
      <c r="I267" s="2">
        <v>374353700</v>
      </c>
      <c r="J267" s="2">
        <v>0.19392355411500001</v>
      </c>
      <c r="K267" s="2">
        <v>81167700</v>
      </c>
      <c r="L267" s="2">
        <v>110604400</v>
      </c>
      <c r="M267" s="2">
        <v>0.73385597679699999</v>
      </c>
      <c r="N267" s="2">
        <v>42330870</v>
      </c>
      <c r="O267" s="2">
        <v>118144020</v>
      </c>
      <c r="P267" s="2">
        <v>0.35829887962200002</v>
      </c>
      <c r="Q267" s="217">
        <f t="shared" si="4"/>
        <v>603102120</v>
      </c>
      <c r="R267" s="2">
        <v>327840370</v>
      </c>
      <c r="S267" s="2">
        <v>646750475</v>
      </c>
      <c r="T267" s="2">
        <v>0.506903949317</v>
      </c>
      <c r="U267" s="2">
        <v>1322</v>
      </c>
      <c r="V267" s="2">
        <v>0</v>
      </c>
      <c r="W267" s="2">
        <v>219</v>
      </c>
      <c r="X267" s="2">
        <v>310</v>
      </c>
      <c r="Y267" s="2">
        <v>7</v>
      </c>
      <c r="Z267" s="2">
        <v>9</v>
      </c>
      <c r="AA267" s="2">
        <v>129</v>
      </c>
      <c r="AB267" s="2">
        <v>32</v>
      </c>
      <c r="AC267" s="2" t="s">
        <v>1344</v>
      </c>
    </row>
    <row r="268" spans="1:29" x14ac:dyDescent="0.25">
      <c r="A268" s="1">
        <v>540211</v>
      </c>
      <c r="B268" s="1" t="s">
        <v>90</v>
      </c>
      <c r="C268" s="1" t="s">
        <v>91</v>
      </c>
      <c r="D268" s="1" t="s">
        <v>5</v>
      </c>
      <c r="E268" s="1">
        <v>5</v>
      </c>
      <c r="F268" s="215"/>
      <c r="G268" s="1">
        <v>797</v>
      </c>
      <c r="H268" s="1">
        <v>12543600</v>
      </c>
      <c r="I268" s="1">
        <v>51568300</v>
      </c>
      <c r="J268" s="1">
        <v>0.24324245709100001</v>
      </c>
      <c r="K268" s="1">
        <v>1208600</v>
      </c>
      <c r="L268" s="1">
        <v>1757000</v>
      </c>
      <c r="M268" s="1">
        <v>0.68787706317599995</v>
      </c>
      <c r="N268" s="1">
        <v>3345700</v>
      </c>
      <c r="O268" s="1">
        <v>10213470</v>
      </c>
      <c r="P268" s="1">
        <v>0.327577209313</v>
      </c>
      <c r="Q268" s="216">
        <f t="shared" si="4"/>
        <v>63538770</v>
      </c>
      <c r="R268" s="1">
        <v>17263800</v>
      </c>
      <c r="S268" s="1">
        <v>64052300</v>
      </c>
      <c r="T268" s="1">
        <v>0.26952662121400001</v>
      </c>
      <c r="U268" s="1">
        <v>345</v>
      </c>
      <c r="V268" s="1">
        <v>0</v>
      </c>
      <c r="W268" s="1">
        <v>199</v>
      </c>
      <c r="X268" s="1">
        <v>4</v>
      </c>
      <c r="Y268" s="1">
        <v>0</v>
      </c>
      <c r="Z268" s="1">
        <v>0</v>
      </c>
      <c r="AA268" s="1">
        <v>28</v>
      </c>
      <c r="AB268" s="1">
        <v>221</v>
      </c>
      <c r="AC268" s="1" t="s">
        <v>1344</v>
      </c>
    </row>
    <row r="269" spans="1:29" x14ac:dyDescent="0.25">
      <c r="A269" s="2">
        <v>540212</v>
      </c>
      <c r="B269" s="2" t="s">
        <v>268</v>
      </c>
      <c r="C269" s="2" t="s">
        <v>91</v>
      </c>
      <c r="D269" s="2" t="s">
        <v>115</v>
      </c>
      <c r="E269" s="2">
        <v>5</v>
      </c>
      <c r="F269" s="197"/>
      <c r="G269" s="2">
        <v>87</v>
      </c>
      <c r="H269" s="2">
        <v>1144200</v>
      </c>
      <c r="I269" s="2">
        <v>7472400</v>
      </c>
      <c r="J269" s="2">
        <v>0.15312349446000001</v>
      </c>
      <c r="K269" s="2">
        <v>4468600</v>
      </c>
      <c r="L269" s="2">
        <v>7443200</v>
      </c>
      <c r="M269" s="2">
        <v>0.60036006018900001</v>
      </c>
      <c r="N269" s="2">
        <v>1833910</v>
      </c>
      <c r="O269" s="2">
        <v>4113160</v>
      </c>
      <c r="P269" s="2">
        <v>0.44586400723500003</v>
      </c>
      <c r="Q269" s="217">
        <f t="shared" si="4"/>
        <v>19028760</v>
      </c>
      <c r="R269" s="2">
        <v>7453200</v>
      </c>
      <c r="S269" s="2">
        <v>19087900</v>
      </c>
      <c r="T269" s="2">
        <v>0.39046725936299997</v>
      </c>
      <c r="U269" s="2">
        <v>41</v>
      </c>
      <c r="V269" s="2">
        <v>0</v>
      </c>
      <c r="W269" s="2">
        <v>4</v>
      </c>
      <c r="X269" s="2">
        <v>16</v>
      </c>
      <c r="Y269" s="2">
        <v>0</v>
      </c>
      <c r="Z269" s="2">
        <v>0</v>
      </c>
      <c r="AA269" s="2">
        <v>3</v>
      </c>
      <c r="AB269" s="2">
        <v>23</v>
      </c>
      <c r="AC269" s="2" t="s">
        <v>1344</v>
      </c>
    </row>
    <row r="270" spans="1:29" x14ac:dyDescent="0.25">
      <c r="A270" s="2"/>
      <c r="B270" s="2"/>
      <c r="C270" s="2" t="s">
        <v>91</v>
      </c>
      <c r="D270" s="2"/>
      <c r="E270" s="2"/>
      <c r="F270" s="197"/>
      <c r="G270" s="2">
        <v>884</v>
      </c>
      <c r="H270" s="2">
        <v>13687800</v>
      </c>
      <c r="I270" s="2">
        <v>59040700</v>
      </c>
      <c r="J270" s="2">
        <v>0.23183668215299999</v>
      </c>
      <c r="K270" s="2">
        <v>5677200</v>
      </c>
      <c r="L270" s="2">
        <v>9200200</v>
      </c>
      <c r="M270" s="2">
        <v>0.61707354187999996</v>
      </c>
      <c r="N270" s="2">
        <v>5179610</v>
      </c>
      <c r="O270" s="2">
        <v>14326630</v>
      </c>
      <c r="P270" s="2">
        <v>0.36153722124499998</v>
      </c>
      <c r="Q270" s="217">
        <f t="shared" si="4"/>
        <v>82567530</v>
      </c>
      <c r="R270" s="2">
        <v>24717000</v>
      </c>
      <c r="S270" s="2">
        <v>83140200</v>
      </c>
      <c r="T270" s="2">
        <v>0.29729300627100003</v>
      </c>
      <c r="U270" s="2">
        <v>386</v>
      </c>
      <c r="V270" s="2">
        <v>0</v>
      </c>
      <c r="W270" s="2">
        <v>203</v>
      </c>
      <c r="X270" s="2">
        <v>20</v>
      </c>
      <c r="Y270" s="2">
        <v>0</v>
      </c>
      <c r="Z270" s="2">
        <v>0</v>
      </c>
      <c r="AA270" s="2">
        <v>31</v>
      </c>
      <c r="AB270" s="2">
        <v>244</v>
      </c>
      <c r="AC270" s="2" t="s">
        <v>1344</v>
      </c>
    </row>
    <row r="271" spans="1:29" x14ac:dyDescent="0.25">
      <c r="A271" s="1">
        <v>540213</v>
      </c>
      <c r="B271" s="1" t="s">
        <v>92</v>
      </c>
      <c r="C271" s="1" t="s">
        <v>93</v>
      </c>
      <c r="D271" s="1" t="s">
        <v>5</v>
      </c>
      <c r="E271" s="1">
        <v>5</v>
      </c>
      <c r="F271" s="215"/>
      <c r="G271" s="1">
        <v>1685</v>
      </c>
      <c r="H271" s="1">
        <v>59099600</v>
      </c>
      <c r="I271" s="1">
        <v>1306832000</v>
      </c>
      <c r="J271" s="1">
        <v>4.5223563549100003E-2</v>
      </c>
      <c r="K271" s="1">
        <v>103362300</v>
      </c>
      <c r="L271" s="1">
        <v>296184600</v>
      </c>
      <c r="M271" s="1">
        <v>0.34897931897899997</v>
      </c>
      <c r="N271" s="1">
        <v>15565980</v>
      </c>
      <c r="O271" s="1">
        <v>170469000</v>
      </c>
      <c r="P271" s="1">
        <v>9.1312672685399998E-2</v>
      </c>
      <c r="Q271" s="216">
        <f t="shared" si="4"/>
        <v>1773485600</v>
      </c>
      <c r="R271" s="1">
        <v>194856200</v>
      </c>
      <c r="S271" s="1">
        <v>1824892600</v>
      </c>
      <c r="T271" s="1">
        <v>0.10677680429</v>
      </c>
      <c r="U271" s="1">
        <v>961</v>
      </c>
      <c r="V271" s="1">
        <v>121</v>
      </c>
      <c r="W271" s="1">
        <v>157</v>
      </c>
      <c r="X271" s="1">
        <v>385</v>
      </c>
      <c r="Y271" s="1">
        <v>8</v>
      </c>
      <c r="Z271" s="1">
        <v>2</v>
      </c>
      <c r="AA271" s="1">
        <v>34</v>
      </c>
      <c r="AB271" s="1">
        <v>17</v>
      </c>
      <c r="AC271" s="1" t="s">
        <v>1344</v>
      </c>
    </row>
    <row r="272" spans="1:29" x14ac:dyDescent="0.25">
      <c r="A272" s="2">
        <v>540042</v>
      </c>
      <c r="B272" s="2" t="s">
        <v>143</v>
      </c>
      <c r="C272" s="2" t="s">
        <v>93</v>
      </c>
      <c r="D272" s="2" t="s">
        <v>115</v>
      </c>
      <c r="E272" s="2">
        <v>5</v>
      </c>
      <c r="F272" s="197"/>
      <c r="G272" s="2">
        <v>0</v>
      </c>
      <c r="H272" s="2">
        <v>0</v>
      </c>
      <c r="I272" s="2">
        <v>49752800</v>
      </c>
      <c r="J272" s="2">
        <v>0</v>
      </c>
      <c r="K272" s="2">
        <v>0</v>
      </c>
      <c r="L272" s="2">
        <v>37400</v>
      </c>
      <c r="M272" s="2">
        <v>0</v>
      </c>
      <c r="N272" s="2">
        <v>0</v>
      </c>
      <c r="O272" s="2">
        <v>564720</v>
      </c>
      <c r="P272" s="2">
        <v>0</v>
      </c>
      <c r="Q272" s="217">
        <f t="shared" si="4"/>
        <v>50354920</v>
      </c>
      <c r="R272" s="2">
        <v>0</v>
      </c>
      <c r="S272" s="2">
        <v>50355200</v>
      </c>
      <c r="T272" s="2">
        <v>0</v>
      </c>
      <c r="U272" s="2">
        <v>0</v>
      </c>
      <c r="V272" s="2">
        <v>0</v>
      </c>
      <c r="W272" s="2">
        <v>0</v>
      </c>
      <c r="X272" s="2">
        <v>0</v>
      </c>
      <c r="Y272" s="2">
        <v>0</v>
      </c>
      <c r="Z272" s="2">
        <v>0</v>
      </c>
      <c r="AA272" s="2">
        <v>0</v>
      </c>
      <c r="AB272" s="2">
        <v>0</v>
      </c>
      <c r="AC272" s="2" t="s">
        <v>1344</v>
      </c>
    </row>
    <row r="273" spans="1:29" x14ac:dyDescent="0.25">
      <c r="A273" s="2">
        <v>540214</v>
      </c>
      <c r="B273" s="2" t="s">
        <v>269</v>
      </c>
      <c r="C273" s="2" t="s">
        <v>93</v>
      </c>
      <c r="D273" s="2" t="s">
        <v>115</v>
      </c>
      <c r="E273" s="2">
        <v>5</v>
      </c>
      <c r="F273" s="197"/>
      <c r="G273" s="2">
        <v>226</v>
      </c>
      <c r="H273" s="2">
        <v>8981400</v>
      </c>
      <c r="I273" s="2">
        <v>786939100</v>
      </c>
      <c r="J273" s="2">
        <v>1.14130813935E-2</v>
      </c>
      <c r="K273" s="2">
        <v>19323100</v>
      </c>
      <c r="L273" s="2">
        <v>537189000</v>
      </c>
      <c r="M273" s="2">
        <v>3.5970766341099997E-2</v>
      </c>
      <c r="N273" s="2">
        <v>2390080</v>
      </c>
      <c r="O273" s="2">
        <v>47584420</v>
      </c>
      <c r="P273" s="2">
        <v>5.0228204946100002E-2</v>
      </c>
      <c r="Q273" s="217">
        <f t="shared" si="4"/>
        <v>1371712520</v>
      </c>
      <c r="R273" s="2">
        <v>31106300</v>
      </c>
      <c r="S273" s="2">
        <v>1370712900</v>
      </c>
      <c r="T273" s="2">
        <v>2.26935195547E-2</v>
      </c>
      <c r="U273" s="2">
        <v>144</v>
      </c>
      <c r="V273" s="2">
        <v>10</v>
      </c>
      <c r="W273" s="2">
        <v>0</v>
      </c>
      <c r="X273" s="2">
        <v>59</v>
      </c>
      <c r="Y273" s="2">
        <v>3</v>
      </c>
      <c r="Z273" s="2">
        <v>0</v>
      </c>
      <c r="AA273" s="2">
        <v>4</v>
      </c>
      <c r="AB273" s="2">
        <v>6</v>
      </c>
      <c r="AC273" s="2" t="s">
        <v>1344</v>
      </c>
    </row>
    <row r="274" spans="1:29" x14ac:dyDescent="0.25">
      <c r="A274" s="2">
        <v>540215</v>
      </c>
      <c r="B274" s="2" t="s">
        <v>270</v>
      </c>
      <c r="C274" s="2" t="s">
        <v>93</v>
      </c>
      <c r="D274" s="2" t="s">
        <v>115</v>
      </c>
      <c r="E274" s="2">
        <v>5</v>
      </c>
      <c r="F274" s="197"/>
      <c r="G274" s="2">
        <v>324</v>
      </c>
      <c r="H274" s="2">
        <v>12538400</v>
      </c>
      <c r="I274" s="2">
        <v>430801200</v>
      </c>
      <c r="J274" s="2">
        <v>2.91048400051E-2</v>
      </c>
      <c r="K274" s="2">
        <v>61969800</v>
      </c>
      <c r="L274" s="2">
        <v>118618500</v>
      </c>
      <c r="M274" s="2">
        <v>0.522429469265</v>
      </c>
      <c r="N274" s="2">
        <v>2601030</v>
      </c>
      <c r="O274" s="2">
        <v>15433420</v>
      </c>
      <c r="P274" s="2">
        <v>0.16853231493699999</v>
      </c>
      <c r="Q274" s="217">
        <f t="shared" si="4"/>
        <v>564853120</v>
      </c>
      <c r="R274" s="2">
        <v>77010500</v>
      </c>
      <c r="S274" s="2">
        <v>565017800</v>
      </c>
      <c r="T274" s="2">
        <v>0.13629747593800001</v>
      </c>
      <c r="U274" s="2">
        <v>197</v>
      </c>
      <c r="V274" s="2">
        <v>71</v>
      </c>
      <c r="W274" s="2">
        <v>0</v>
      </c>
      <c r="X274" s="2">
        <v>50</v>
      </c>
      <c r="Y274" s="2">
        <v>0</v>
      </c>
      <c r="Z274" s="2">
        <v>1</v>
      </c>
      <c r="AA274" s="2">
        <v>5</v>
      </c>
      <c r="AB274" s="2">
        <v>0</v>
      </c>
      <c r="AC274" s="2" t="s">
        <v>1344</v>
      </c>
    </row>
    <row r="275" spans="1:29" x14ac:dyDescent="0.25">
      <c r="A275" s="2">
        <v>540216</v>
      </c>
      <c r="B275" s="2" t="s">
        <v>271</v>
      </c>
      <c r="C275" s="2" t="s">
        <v>93</v>
      </c>
      <c r="D275" s="2" t="s">
        <v>115</v>
      </c>
      <c r="E275" s="2">
        <v>5</v>
      </c>
      <c r="F275" s="197"/>
      <c r="G275" s="2">
        <v>96</v>
      </c>
      <c r="H275" s="2">
        <v>3328300</v>
      </c>
      <c r="I275" s="2">
        <v>125116400</v>
      </c>
      <c r="J275" s="2">
        <v>2.6601628563499999E-2</v>
      </c>
      <c r="K275" s="2">
        <v>2758300</v>
      </c>
      <c r="L275" s="2">
        <v>21975900</v>
      </c>
      <c r="M275" s="2">
        <v>0.12551476845099999</v>
      </c>
      <c r="N275" s="2">
        <v>428340</v>
      </c>
      <c r="O275" s="2">
        <v>4285950</v>
      </c>
      <c r="P275" s="2">
        <v>9.9940503272300002E-2</v>
      </c>
      <c r="Q275" s="217">
        <f t="shared" si="4"/>
        <v>151378250</v>
      </c>
      <c r="R275" s="2">
        <v>6529500</v>
      </c>
      <c r="S275" s="2">
        <v>152135200</v>
      </c>
      <c r="T275" s="2">
        <v>4.2919061466400003E-2</v>
      </c>
      <c r="U275" s="2">
        <v>48</v>
      </c>
      <c r="V275" s="2">
        <v>0</v>
      </c>
      <c r="W275" s="2">
        <v>0</v>
      </c>
      <c r="X275" s="2">
        <v>45</v>
      </c>
      <c r="Y275" s="2">
        <v>0</v>
      </c>
      <c r="Z275" s="2">
        <v>1</v>
      </c>
      <c r="AA275" s="2">
        <v>1</v>
      </c>
      <c r="AB275" s="2">
        <v>1</v>
      </c>
      <c r="AC275" s="2" t="s">
        <v>1344</v>
      </c>
    </row>
    <row r="276" spans="1:29" x14ac:dyDescent="0.25">
      <c r="A276" s="2"/>
      <c r="B276" s="2"/>
      <c r="C276" s="2" t="s">
        <v>93</v>
      </c>
      <c r="D276" s="2"/>
      <c r="E276" s="2"/>
      <c r="F276" s="197"/>
      <c r="G276" s="2">
        <v>2331</v>
      </c>
      <c r="H276" s="2">
        <v>83947700</v>
      </c>
      <c r="I276" s="2">
        <v>2699441500</v>
      </c>
      <c r="J276" s="2">
        <v>3.1098173455499999E-2</v>
      </c>
      <c r="K276" s="2">
        <v>187413500</v>
      </c>
      <c r="L276" s="2">
        <v>974005400</v>
      </c>
      <c r="M276" s="2">
        <v>0.19241525765699999</v>
      </c>
      <c r="N276" s="2">
        <v>20985430</v>
      </c>
      <c r="O276" s="2">
        <v>238337510</v>
      </c>
      <c r="P276" s="2">
        <v>8.8049212228499998E-2</v>
      </c>
      <c r="Q276" s="217">
        <f t="shared" si="4"/>
        <v>3911784410</v>
      </c>
      <c r="R276" s="2">
        <v>309502500</v>
      </c>
      <c r="S276" s="2">
        <v>3963113700</v>
      </c>
      <c r="T276" s="2">
        <v>7.8095791195699996E-2</v>
      </c>
      <c r="U276" s="2">
        <v>1350</v>
      </c>
      <c r="V276" s="2">
        <v>202</v>
      </c>
      <c r="W276" s="2">
        <v>157</v>
      </c>
      <c r="X276" s="2">
        <v>539</v>
      </c>
      <c r="Y276" s="2">
        <v>11</v>
      </c>
      <c r="Z276" s="2">
        <v>4</v>
      </c>
      <c r="AA276" s="2">
        <v>44</v>
      </c>
      <c r="AB276" s="2">
        <v>24</v>
      </c>
      <c r="AC276" s="2" t="s">
        <v>1344</v>
      </c>
    </row>
    <row r="277" spans="1:29" x14ac:dyDescent="0.25">
      <c r="A277" s="1">
        <v>540224</v>
      </c>
      <c r="B277" s="1" t="s">
        <v>96</v>
      </c>
      <c r="C277" s="1" t="s">
        <v>97</v>
      </c>
      <c r="D277" s="1" t="s">
        <v>5</v>
      </c>
      <c r="E277" s="1">
        <v>5</v>
      </c>
      <c r="F277" s="215"/>
      <c r="G277" s="1">
        <v>810</v>
      </c>
      <c r="H277" s="1">
        <v>20393000</v>
      </c>
      <c r="I277" s="1">
        <v>138815600</v>
      </c>
      <c r="J277" s="1">
        <v>0.14690711994899999</v>
      </c>
      <c r="K277" s="1">
        <v>2984400</v>
      </c>
      <c r="L277" s="1">
        <v>17811200</v>
      </c>
      <c r="M277" s="1">
        <v>0.167557491915</v>
      </c>
      <c r="N277" s="1">
        <v>6727490</v>
      </c>
      <c r="O277" s="1">
        <v>39597990</v>
      </c>
      <c r="P277" s="1">
        <v>0.16989473455599999</v>
      </c>
      <c r="Q277" s="216">
        <f t="shared" si="4"/>
        <v>196224790</v>
      </c>
      <c r="R277" s="1">
        <v>30172000</v>
      </c>
      <c r="S277" s="1">
        <v>196562700</v>
      </c>
      <c r="T277" s="1">
        <v>0.15349809501</v>
      </c>
      <c r="U277" s="1">
        <v>327</v>
      </c>
      <c r="V277" s="1">
        <v>0</v>
      </c>
      <c r="W277" s="1">
        <v>329</v>
      </c>
      <c r="X277" s="1">
        <v>34</v>
      </c>
      <c r="Y277" s="1">
        <v>0</v>
      </c>
      <c r="Z277" s="1">
        <v>0</v>
      </c>
      <c r="AA277" s="1">
        <v>9</v>
      </c>
      <c r="AB277" s="1">
        <v>111</v>
      </c>
      <c r="AC277" s="1" t="s">
        <v>1344</v>
      </c>
    </row>
    <row r="278" spans="1:29" x14ac:dyDescent="0.25">
      <c r="A278" s="2">
        <v>540132</v>
      </c>
      <c r="B278" s="2" t="s">
        <v>216</v>
      </c>
      <c r="C278" s="2" t="s">
        <v>97</v>
      </c>
      <c r="D278" s="2" t="s">
        <v>115</v>
      </c>
      <c r="E278" s="2">
        <v>5</v>
      </c>
      <c r="F278" s="197"/>
      <c r="G278" s="2">
        <v>1</v>
      </c>
      <c r="H278" s="2">
        <v>0</v>
      </c>
      <c r="I278" s="2">
        <v>40280400</v>
      </c>
      <c r="J278" s="2">
        <v>0</v>
      </c>
      <c r="K278" s="2">
        <v>0</v>
      </c>
      <c r="L278" s="2">
        <v>13388700</v>
      </c>
      <c r="M278" s="2">
        <v>0</v>
      </c>
      <c r="N278" s="2">
        <v>0</v>
      </c>
      <c r="O278" s="2">
        <v>5078510</v>
      </c>
      <c r="P278" s="2">
        <v>0</v>
      </c>
      <c r="Q278" s="217">
        <f t="shared" si="4"/>
        <v>58747610</v>
      </c>
      <c r="R278" s="2">
        <v>0</v>
      </c>
      <c r="S278" s="2">
        <v>58838100</v>
      </c>
      <c r="T278" s="2">
        <v>0</v>
      </c>
      <c r="U278" s="2">
        <v>0</v>
      </c>
      <c r="V278" s="2">
        <v>0</v>
      </c>
      <c r="W278" s="2">
        <v>0</v>
      </c>
      <c r="X278" s="2">
        <v>0</v>
      </c>
      <c r="Y278" s="2">
        <v>0</v>
      </c>
      <c r="Z278" s="2">
        <v>0</v>
      </c>
      <c r="AA278" s="2">
        <v>0</v>
      </c>
      <c r="AB278" s="2">
        <v>1</v>
      </c>
      <c r="AC278" s="2" t="s">
        <v>1344</v>
      </c>
    </row>
    <row r="279" spans="1:29" x14ac:dyDescent="0.25">
      <c r="A279" s="2">
        <v>540179</v>
      </c>
      <c r="B279" s="2" t="s">
        <v>250</v>
      </c>
      <c r="C279" s="2" t="s">
        <v>97</v>
      </c>
      <c r="D279" s="2" t="s">
        <v>115</v>
      </c>
      <c r="E279" s="2">
        <v>5</v>
      </c>
      <c r="F279" s="197"/>
      <c r="G279" s="2">
        <v>25</v>
      </c>
      <c r="H279" s="2">
        <v>177000</v>
      </c>
      <c r="I279" s="2">
        <v>3551400</v>
      </c>
      <c r="J279" s="2">
        <v>4.9839499915499998E-2</v>
      </c>
      <c r="K279" s="2">
        <v>165700</v>
      </c>
      <c r="L279" s="2">
        <v>507000</v>
      </c>
      <c r="M279" s="2">
        <v>0.32682445759399997</v>
      </c>
      <c r="N279" s="2">
        <v>169350</v>
      </c>
      <c r="O279" s="2">
        <v>693720</v>
      </c>
      <c r="P279" s="2">
        <v>0.24411866459100001</v>
      </c>
      <c r="Q279" s="217">
        <f t="shared" si="4"/>
        <v>4752120</v>
      </c>
      <c r="R279" s="2">
        <v>512000</v>
      </c>
      <c r="S279" s="2">
        <v>4752600</v>
      </c>
      <c r="T279" s="2">
        <v>0.107730505408</v>
      </c>
      <c r="U279" s="2">
        <v>15</v>
      </c>
      <c r="V279" s="2">
        <v>0</v>
      </c>
      <c r="W279" s="2">
        <v>0</v>
      </c>
      <c r="X279" s="2">
        <v>5</v>
      </c>
      <c r="Y279" s="2">
        <v>0</v>
      </c>
      <c r="Z279" s="2">
        <v>0</v>
      </c>
      <c r="AA279" s="2">
        <v>0</v>
      </c>
      <c r="AB279" s="2">
        <v>5</v>
      </c>
      <c r="AC279" s="2" t="s">
        <v>1344</v>
      </c>
    </row>
    <row r="280" spans="1:29" x14ac:dyDescent="0.25">
      <c r="A280" s="2">
        <v>540180</v>
      </c>
      <c r="B280" s="2" t="s">
        <v>251</v>
      </c>
      <c r="C280" s="2" t="s">
        <v>97</v>
      </c>
      <c r="D280" s="2" t="s">
        <v>115</v>
      </c>
      <c r="E280" s="2">
        <v>5</v>
      </c>
      <c r="F280" s="197"/>
      <c r="G280" s="2">
        <v>46</v>
      </c>
      <c r="H280" s="2">
        <v>316600</v>
      </c>
      <c r="I280" s="2">
        <v>6550400</v>
      </c>
      <c r="J280" s="2">
        <v>4.8332926233500002E-2</v>
      </c>
      <c r="K280" s="2">
        <v>1137200</v>
      </c>
      <c r="L280" s="2">
        <v>4846800</v>
      </c>
      <c r="M280" s="2">
        <v>0.234629033589</v>
      </c>
      <c r="N280" s="2">
        <v>390770</v>
      </c>
      <c r="O280" s="2">
        <v>13181280</v>
      </c>
      <c r="P280" s="2">
        <v>2.9645831057399999E-2</v>
      </c>
      <c r="Q280" s="217">
        <f t="shared" si="4"/>
        <v>24578480</v>
      </c>
      <c r="R280" s="2">
        <v>2259900</v>
      </c>
      <c r="S280" s="2">
        <v>24695500</v>
      </c>
      <c r="T280" s="2">
        <v>9.1510599097000003E-2</v>
      </c>
      <c r="U280" s="2">
        <v>11</v>
      </c>
      <c r="V280" s="2">
        <v>0</v>
      </c>
      <c r="W280" s="2">
        <v>0</v>
      </c>
      <c r="X280" s="2">
        <v>32</v>
      </c>
      <c r="Y280" s="2">
        <v>0</v>
      </c>
      <c r="Z280" s="2">
        <v>0</v>
      </c>
      <c r="AA280" s="2">
        <v>0</v>
      </c>
      <c r="AB280" s="2">
        <v>3</v>
      </c>
      <c r="AC280" s="2" t="s">
        <v>1344</v>
      </c>
    </row>
    <row r="281" spans="1:29" x14ac:dyDescent="0.25">
      <c r="A281" s="2">
        <v>540182</v>
      </c>
      <c r="B281" s="2" t="s">
        <v>252</v>
      </c>
      <c r="C281" s="2" t="s">
        <v>97</v>
      </c>
      <c r="D281" s="2" t="s">
        <v>115</v>
      </c>
      <c r="E281" s="2">
        <v>5</v>
      </c>
      <c r="F281" s="197"/>
      <c r="G281" s="2">
        <v>46</v>
      </c>
      <c r="H281" s="2">
        <v>1151600</v>
      </c>
      <c r="I281" s="2">
        <v>20971900</v>
      </c>
      <c r="J281" s="2">
        <v>5.4911572151299999E-2</v>
      </c>
      <c r="K281" s="2">
        <v>2382600</v>
      </c>
      <c r="L281" s="2">
        <v>8946200</v>
      </c>
      <c r="M281" s="2">
        <v>0.266325367195</v>
      </c>
      <c r="N281" s="2">
        <v>125810</v>
      </c>
      <c r="O281" s="2">
        <v>2646910</v>
      </c>
      <c r="P281" s="2">
        <v>4.7530894514700002E-2</v>
      </c>
      <c r="Q281" s="217">
        <f t="shared" si="4"/>
        <v>32565010</v>
      </c>
      <c r="R281" s="2">
        <v>3660500</v>
      </c>
      <c r="S281" s="2">
        <v>32656200</v>
      </c>
      <c r="T281" s="2">
        <v>0.11209203765300001</v>
      </c>
      <c r="U281" s="2">
        <v>19</v>
      </c>
      <c r="V281" s="2">
        <v>0</v>
      </c>
      <c r="W281" s="2">
        <v>0</v>
      </c>
      <c r="X281" s="2">
        <v>16</v>
      </c>
      <c r="Y281" s="2">
        <v>0</v>
      </c>
      <c r="Z281" s="2">
        <v>3</v>
      </c>
      <c r="AA281" s="2">
        <v>3</v>
      </c>
      <c r="AB281" s="2">
        <v>5</v>
      </c>
      <c r="AC281" s="2" t="s">
        <v>1344</v>
      </c>
    </row>
    <row r="282" spans="1:29" x14ac:dyDescent="0.25">
      <c r="A282" s="2">
        <v>540262</v>
      </c>
      <c r="B282" s="2" t="s">
        <v>305</v>
      </c>
      <c r="C282" s="2" t="s">
        <v>97</v>
      </c>
      <c r="D282" s="2" t="s">
        <v>115</v>
      </c>
      <c r="E282" s="2">
        <v>5</v>
      </c>
      <c r="F282" s="197"/>
      <c r="G282" s="2">
        <v>29</v>
      </c>
      <c r="H282" s="2">
        <v>398700</v>
      </c>
      <c r="I282" s="2">
        <v>929300</v>
      </c>
      <c r="J282" s="2">
        <v>0.42903260518699998</v>
      </c>
      <c r="K282" s="2">
        <v>0</v>
      </c>
      <c r="L282" s="2">
        <v>37200</v>
      </c>
      <c r="M282" s="2">
        <v>0</v>
      </c>
      <c r="N282" s="2">
        <v>140270</v>
      </c>
      <c r="O282" s="2">
        <v>309110</v>
      </c>
      <c r="P282" s="2">
        <v>0.453786677882</v>
      </c>
      <c r="Q282" s="217">
        <f t="shared" si="4"/>
        <v>1275610</v>
      </c>
      <c r="R282" s="2">
        <v>538800</v>
      </c>
      <c r="S282" s="2">
        <v>1275500</v>
      </c>
      <c r="T282" s="2">
        <v>0.42242257938099997</v>
      </c>
      <c r="U282" s="2">
        <v>22</v>
      </c>
      <c r="V282" s="2">
        <v>0</v>
      </c>
      <c r="W282" s="2">
        <v>3</v>
      </c>
      <c r="X282" s="2">
        <v>0</v>
      </c>
      <c r="Y282" s="2">
        <v>0</v>
      </c>
      <c r="Z282" s="2">
        <v>0</v>
      </c>
      <c r="AA282" s="2">
        <v>1</v>
      </c>
      <c r="AB282" s="2">
        <v>3</v>
      </c>
      <c r="AC282" s="2" t="s">
        <v>1344</v>
      </c>
    </row>
    <row r="283" spans="1:29" x14ac:dyDescent="0.25">
      <c r="A283" s="2">
        <v>540263</v>
      </c>
      <c r="B283" s="2" t="s">
        <v>306</v>
      </c>
      <c r="C283" s="2" t="s">
        <v>97</v>
      </c>
      <c r="D283" s="2" t="s">
        <v>115</v>
      </c>
      <c r="E283" s="2">
        <v>5</v>
      </c>
      <c r="F283" s="197"/>
      <c r="G283" s="2">
        <v>26</v>
      </c>
      <c r="H283" s="2">
        <v>1126300</v>
      </c>
      <c r="I283" s="2">
        <v>1527300</v>
      </c>
      <c r="J283" s="2">
        <v>0.73744516466999999</v>
      </c>
      <c r="K283" s="2">
        <v>182200</v>
      </c>
      <c r="L283" s="2">
        <v>269700</v>
      </c>
      <c r="M283" s="2">
        <v>0.67556544308499999</v>
      </c>
      <c r="N283" s="2">
        <v>132430</v>
      </c>
      <c r="O283" s="2">
        <v>516930</v>
      </c>
      <c r="P283" s="2">
        <v>0.25618555703899998</v>
      </c>
      <c r="Q283" s="217">
        <f t="shared" si="4"/>
        <v>2313930</v>
      </c>
      <c r="R283" s="2">
        <v>1440600</v>
      </c>
      <c r="S283" s="2">
        <v>2313800</v>
      </c>
      <c r="T283" s="2">
        <v>0.622612153168</v>
      </c>
      <c r="U283" s="2">
        <v>13</v>
      </c>
      <c r="V283" s="2">
        <v>0</v>
      </c>
      <c r="W283" s="2">
        <v>9</v>
      </c>
      <c r="X283" s="2">
        <v>2</v>
      </c>
      <c r="Y283" s="2">
        <v>0</v>
      </c>
      <c r="Z283" s="2">
        <v>0</v>
      </c>
      <c r="AA283" s="2">
        <v>0</v>
      </c>
      <c r="AB283" s="2">
        <v>2</v>
      </c>
      <c r="AC283" s="2" t="s">
        <v>1344</v>
      </c>
    </row>
    <row r="284" spans="1:29" x14ac:dyDescent="0.25">
      <c r="A284" s="2"/>
      <c r="B284" s="2"/>
      <c r="C284" s="2" t="s">
        <v>97</v>
      </c>
      <c r="D284" s="2"/>
      <c r="E284" s="2"/>
      <c r="F284" s="197"/>
      <c r="G284" s="2">
        <v>983</v>
      </c>
      <c r="H284" s="2">
        <v>23563200</v>
      </c>
      <c r="I284" s="2">
        <v>212626300</v>
      </c>
      <c r="J284" s="2">
        <v>0.110819780996</v>
      </c>
      <c r="K284" s="2">
        <v>6852100</v>
      </c>
      <c r="L284" s="2">
        <v>45806800</v>
      </c>
      <c r="M284" s="2">
        <v>0.149586960888</v>
      </c>
      <c r="N284" s="2">
        <v>7686120</v>
      </c>
      <c r="O284" s="2">
        <v>62024450</v>
      </c>
      <c r="P284" s="2">
        <v>0.123920808649</v>
      </c>
      <c r="Q284" s="217">
        <f t="shared" si="4"/>
        <v>320457550</v>
      </c>
      <c r="R284" s="2">
        <v>38583800</v>
      </c>
      <c r="S284" s="2">
        <v>321094400</v>
      </c>
      <c r="T284" s="2">
        <v>0.120163416117</v>
      </c>
      <c r="U284" s="2">
        <v>407</v>
      </c>
      <c r="V284" s="2">
        <v>0</v>
      </c>
      <c r="W284" s="2">
        <v>341</v>
      </c>
      <c r="X284" s="2">
        <v>89</v>
      </c>
      <c r="Y284" s="2">
        <v>0</v>
      </c>
      <c r="Z284" s="2">
        <v>3</v>
      </c>
      <c r="AA284" s="2">
        <v>13</v>
      </c>
      <c r="AB284" s="2">
        <v>130</v>
      </c>
      <c r="AC284" s="2" t="s">
        <v>1344</v>
      </c>
    </row>
    <row r="285" spans="1:29" x14ac:dyDescent="0.25">
      <c r="A285" s="1">
        <v>540225</v>
      </c>
      <c r="B285" s="1" t="s">
        <v>98</v>
      </c>
      <c r="C285" s="1" t="s">
        <v>99</v>
      </c>
      <c r="D285" s="1" t="s">
        <v>5</v>
      </c>
      <c r="E285" s="1">
        <v>5</v>
      </c>
      <c r="F285" s="215"/>
      <c r="G285" s="1">
        <v>548</v>
      </c>
      <c r="H285" s="1">
        <v>16464300</v>
      </c>
      <c r="I285" s="1">
        <v>120754300</v>
      </c>
      <c r="J285" s="1">
        <v>0.13634545519300001</v>
      </c>
      <c r="K285" s="1">
        <v>29328000</v>
      </c>
      <c r="L285" s="1">
        <v>101751400</v>
      </c>
      <c r="M285" s="1">
        <v>0.28823190639099999</v>
      </c>
      <c r="N285" s="1">
        <v>5113560</v>
      </c>
      <c r="O285" s="1">
        <v>20573260</v>
      </c>
      <c r="P285" s="1">
        <v>0.24855370514899999</v>
      </c>
      <c r="Q285" s="216">
        <f t="shared" si="4"/>
        <v>243078960</v>
      </c>
      <c r="R285" s="1">
        <v>119598000</v>
      </c>
      <c r="S285" s="1">
        <v>275743800</v>
      </c>
      <c r="T285" s="1">
        <v>0.43372870033700001</v>
      </c>
      <c r="U285" s="1">
        <v>307</v>
      </c>
      <c r="V285" s="1">
        <v>0</v>
      </c>
      <c r="W285" s="1">
        <v>77</v>
      </c>
      <c r="X285" s="1">
        <v>127</v>
      </c>
      <c r="Y285" s="1">
        <v>11</v>
      </c>
      <c r="Z285" s="1">
        <v>1</v>
      </c>
      <c r="AA285" s="1">
        <v>14</v>
      </c>
      <c r="AB285" s="1">
        <v>11</v>
      </c>
      <c r="AC285" s="1" t="s">
        <v>1344</v>
      </c>
    </row>
    <row r="286" spans="1:29" x14ac:dyDescent="0.25">
      <c r="A286" s="2">
        <v>540156</v>
      </c>
      <c r="B286" s="2" t="s">
        <v>232</v>
      </c>
      <c r="C286" s="2" t="s">
        <v>99</v>
      </c>
      <c r="D286" s="2" t="s">
        <v>115</v>
      </c>
      <c r="E286" s="2">
        <v>5</v>
      </c>
      <c r="F286" s="197"/>
      <c r="G286" s="2">
        <v>149</v>
      </c>
      <c r="H286" s="2">
        <v>3850700</v>
      </c>
      <c r="I286" s="2">
        <v>57422800</v>
      </c>
      <c r="J286" s="2">
        <v>6.70587292852E-2</v>
      </c>
      <c r="K286" s="2">
        <v>3098800</v>
      </c>
      <c r="L286" s="2">
        <v>11404400</v>
      </c>
      <c r="M286" s="2">
        <v>0.27171968713799999</v>
      </c>
      <c r="N286" s="2">
        <v>3047910</v>
      </c>
      <c r="O286" s="2">
        <v>35004280</v>
      </c>
      <c r="P286" s="2">
        <v>8.7072495134899994E-2</v>
      </c>
      <c r="Q286" s="217">
        <f t="shared" si="4"/>
        <v>103831480</v>
      </c>
      <c r="R286" s="2">
        <v>10076000</v>
      </c>
      <c r="S286" s="2">
        <v>103956900</v>
      </c>
      <c r="T286" s="2">
        <v>9.6924783251500002E-2</v>
      </c>
      <c r="U286" s="2">
        <v>81</v>
      </c>
      <c r="V286" s="2">
        <v>0</v>
      </c>
      <c r="W286" s="2">
        <v>0</v>
      </c>
      <c r="X286" s="2">
        <v>42</v>
      </c>
      <c r="Y286" s="2">
        <v>1</v>
      </c>
      <c r="Z286" s="2">
        <v>0</v>
      </c>
      <c r="AA286" s="2">
        <v>22</v>
      </c>
      <c r="AB286" s="2">
        <v>3</v>
      </c>
      <c r="AC286" s="2" t="s">
        <v>1344</v>
      </c>
    </row>
    <row r="287" spans="1:29" x14ac:dyDescent="0.25">
      <c r="A287" s="2">
        <v>540253</v>
      </c>
      <c r="B287" s="2" t="s">
        <v>299</v>
      </c>
      <c r="C287" s="2" t="s">
        <v>99</v>
      </c>
      <c r="D287" s="2" t="s">
        <v>115</v>
      </c>
      <c r="E287" s="2">
        <v>5</v>
      </c>
      <c r="F287" s="197"/>
      <c r="G287" s="2">
        <v>16</v>
      </c>
      <c r="H287" s="2">
        <v>456100</v>
      </c>
      <c r="I287" s="2">
        <v>21789600</v>
      </c>
      <c r="J287" s="2">
        <v>2.0932004258899999E-2</v>
      </c>
      <c r="K287" s="2">
        <v>419500</v>
      </c>
      <c r="L287" s="2">
        <v>4914700</v>
      </c>
      <c r="M287" s="2">
        <v>8.53561763689E-2</v>
      </c>
      <c r="N287" s="2">
        <v>6320</v>
      </c>
      <c r="O287" s="2">
        <v>6026600</v>
      </c>
      <c r="P287" s="2">
        <v>1.04868416686E-3</v>
      </c>
      <c r="Q287" s="217">
        <f t="shared" si="4"/>
        <v>32730900</v>
      </c>
      <c r="R287" s="2">
        <v>881900</v>
      </c>
      <c r="S287" s="2">
        <v>32866000</v>
      </c>
      <c r="T287" s="2">
        <v>2.68332014848E-2</v>
      </c>
      <c r="U287" s="2">
        <v>7</v>
      </c>
      <c r="V287" s="2">
        <v>0</v>
      </c>
      <c r="W287" s="2">
        <v>1</v>
      </c>
      <c r="X287" s="2">
        <v>6</v>
      </c>
      <c r="Y287" s="2">
        <v>0</v>
      </c>
      <c r="Z287" s="2">
        <v>0</v>
      </c>
      <c r="AA287" s="2">
        <v>1</v>
      </c>
      <c r="AB287" s="2">
        <v>1</v>
      </c>
      <c r="AC287" s="2" t="s">
        <v>1344</v>
      </c>
    </row>
    <row r="288" spans="1:29" x14ac:dyDescent="0.25">
      <c r="A288" s="2"/>
      <c r="B288" s="2"/>
      <c r="C288" s="2" t="s">
        <v>99</v>
      </c>
      <c r="D288" s="2"/>
      <c r="E288" s="2"/>
      <c r="F288" s="197"/>
      <c r="G288" s="2">
        <v>713</v>
      </c>
      <c r="H288" s="2">
        <v>20771100</v>
      </c>
      <c r="I288" s="2">
        <v>199966700</v>
      </c>
      <c r="J288" s="2">
        <v>0.10387279482</v>
      </c>
      <c r="K288" s="2">
        <v>32846300</v>
      </c>
      <c r="L288" s="2">
        <v>118070500</v>
      </c>
      <c r="M288" s="2">
        <v>0.27819226648500001</v>
      </c>
      <c r="N288" s="2">
        <v>8167790</v>
      </c>
      <c r="O288" s="2">
        <v>61604140</v>
      </c>
      <c r="P288" s="2">
        <v>0.13258508275600001</v>
      </c>
      <c r="Q288" s="217">
        <f t="shared" si="4"/>
        <v>379641340</v>
      </c>
      <c r="R288" s="2">
        <v>130555900</v>
      </c>
      <c r="S288" s="2">
        <v>412566700</v>
      </c>
      <c r="T288" s="2">
        <v>0.31644798283499997</v>
      </c>
      <c r="U288" s="2">
        <v>395</v>
      </c>
      <c r="V288" s="2">
        <v>0</v>
      </c>
      <c r="W288" s="2">
        <v>78</v>
      </c>
      <c r="X288" s="2">
        <v>175</v>
      </c>
      <c r="Y288" s="2">
        <v>12</v>
      </c>
      <c r="Z288" s="2">
        <v>1</v>
      </c>
      <c r="AA288" s="2">
        <v>37</v>
      </c>
      <c r="AB288" s="2">
        <v>15</v>
      </c>
      <c r="AC288" s="2" t="s">
        <v>1344</v>
      </c>
    </row>
    <row r="289" spans="1:29" x14ac:dyDescent="0.25">
      <c r="A289" s="1">
        <v>540226</v>
      </c>
      <c r="B289" s="1" t="s">
        <v>100</v>
      </c>
      <c r="C289" s="1" t="s">
        <v>101</v>
      </c>
      <c r="D289" s="1" t="s">
        <v>5</v>
      </c>
      <c r="E289" s="1">
        <v>8</v>
      </c>
      <c r="F289" s="215"/>
      <c r="G289" s="1">
        <v>1501</v>
      </c>
      <c r="H289" s="1">
        <v>66739200</v>
      </c>
      <c r="I289" s="1">
        <v>753529000</v>
      </c>
      <c r="J289" s="1">
        <v>8.8568854018899995E-2</v>
      </c>
      <c r="K289" s="1">
        <v>52721700</v>
      </c>
      <c r="L289" s="1">
        <v>153699900</v>
      </c>
      <c r="M289" s="1">
        <v>0.34301713924299998</v>
      </c>
      <c r="N289" s="1">
        <v>37580800</v>
      </c>
      <c r="O289" s="1">
        <v>144919460</v>
      </c>
      <c r="P289" s="1">
        <v>0.25932197097600002</v>
      </c>
      <c r="Q289" s="216">
        <f t="shared" si="4"/>
        <v>1052148360</v>
      </c>
      <c r="R289" s="1">
        <v>151379500</v>
      </c>
      <c r="S289" s="1">
        <v>1054169500</v>
      </c>
      <c r="T289" s="1">
        <v>0.14360072075700001</v>
      </c>
      <c r="U289" s="1">
        <v>749</v>
      </c>
      <c r="V289" s="1">
        <v>0</v>
      </c>
      <c r="W289" s="1">
        <v>610</v>
      </c>
      <c r="X289" s="1">
        <v>77</v>
      </c>
      <c r="Y289" s="1">
        <v>3</v>
      </c>
      <c r="Z289" s="1">
        <v>4</v>
      </c>
      <c r="AA289" s="1">
        <v>48</v>
      </c>
      <c r="AB289" s="1">
        <v>10</v>
      </c>
      <c r="AC289" s="1" t="s">
        <v>1344</v>
      </c>
    </row>
    <row r="290" spans="1:29" x14ac:dyDescent="0.25">
      <c r="A290" s="2">
        <v>540046</v>
      </c>
      <c r="B290" s="2" t="s">
        <v>147</v>
      </c>
      <c r="C290" s="2" t="s">
        <v>101</v>
      </c>
      <c r="D290" s="2" t="s">
        <v>115</v>
      </c>
      <c r="E290" s="2">
        <v>8</v>
      </c>
      <c r="F290" s="197"/>
      <c r="G290" s="2">
        <v>37</v>
      </c>
      <c r="H290" s="2">
        <v>2156300</v>
      </c>
      <c r="I290" s="2">
        <v>12484600</v>
      </c>
      <c r="J290" s="2">
        <v>0.172716787082</v>
      </c>
      <c r="K290" s="2">
        <v>1682100</v>
      </c>
      <c r="L290" s="2">
        <v>11892200</v>
      </c>
      <c r="M290" s="2">
        <v>0.14144565345400001</v>
      </c>
      <c r="N290" s="2">
        <v>158270</v>
      </c>
      <c r="O290" s="2">
        <v>1600840</v>
      </c>
      <c r="P290" s="2">
        <v>9.8866844906400006E-2</v>
      </c>
      <c r="Q290" s="217">
        <f t="shared" si="4"/>
        <v>25977640</v>
      </c>
      <c r="R290" s="2">
        <v>3977000</v>
      </c>
      <c r="S290" s="2">
        <v>25958500</v>
      </c>
      <c r="T290" s="2">
        <v>0.15320607893400001</v>
      </c>
      <c r="U290" s="2">
        <v>22</v>
      </c>
      <c r="V290" s="2">
        <v>0</v>
      </c>
      <c r="W290" s="2">
        <v>1</v>
      </c>
      <c r="X290" s="2">
        <v>12</v>
      </c>
      <c r="Y290" s="2">
        <v>0</v>
      </c>
      <c r="Z290" s="2">
        <v>0</v>
      </c>
      <c r="AA290" s="2">
        <v>2</v>
      </c>
      <c r="AB290" s="2">
        <v>0</v>
      </c>
      <c r="AC290" s="2" t="s">
        <v>1344</v>
      </c>
    </row>
    <row r="291" spans="1:29" x14ac:dyDescent="0.25">
      <c r="A291" s="2">
        <v>540276</v>
      </c>
      <c r="B291" s="2" t="s">
        <v>319</v>
      </c>
      <c r="C291" s="2" t="s">
        <v>101</v>
      </c>
      <c r="D291" s="2" t="s">
        <v>115</v>
      </c>
      <c r="E291" s="2">
        <v>8</v>
      </c>
      <c r="F291" s="197"/>
      <c r="G291" s="2">
        <v>6</v>
      </c>
      <c r="H291" s="2">
        <v>56100</v>
      </c>
      <c r="I291" s="2">
        <v>43001300</v>
      </c>
      <c r="J291" s="2">
        <v>1.3046117210400001E-3</v>
      </c>
      <c r="K291" s="2">
        <v>2158400</v>
      </c>
      <c r="L291" s="2">
        <v>65811100</v>
      </c>
      <c r="M291" s="2">
        <v>3.27968990034E-2</v>
      </c>
      <c r="N291" s="2">
        <v>218220</v>
      </c>
      <c r="O291" s="2">
        <v>4623810</v>
      </c>
      <c r="P291" s="2">
        <v>4.7194845808999998E-2</v>
      </c>
      <c r="Q291" s="217">
        <f t="shared" si="4"/>
        <v>113436210</v>
      </c>
      <c r="R291" s="2">
        <v>2432800</v>
      </c>
      <c r="S291" s="2">
        <v>112530100</v>
      </c>
      <c r="T291" s="2">
        <v>2.1619104577399999E-2</v>
      </c>
      <c r="U291" s="2">
        <v>1</v>
      </c>
      <c r="V291" s="2">
        <v>0</v>
      </c>
      <c r="W291" s="2">
        <v>0</v>
      </c>
      <c r="X291" s="2">
        <v>3</v>
      </c>
      <c r="Y291" s="2">
        <v>0</v>
      </c>
      <c r="Z291" s="2">
        <v>0</v>
      </c>
      <c r="AA291" s="2">
        <v>2</v>
      </c>
      <c r="AB291" s="2">
        <v>0</v>
      </c>
      <c r="AC291" s="2" t="s">
        <v>1344</v>
      </c>
    </row>
    <row r="292" spans="1:29" x14ac:dyDescent="0.25">
      <c r="A292" s="2"/>
      <c r="B292" s="2"/>
      <c r="C292" s="2" t="s">
        <v>101</v>
      </c>
      <c r="D292" s="2"/>
      <c r="E292" s="2"/>
      <c r="F292" s="197"/>
      <c r="G292" s="2">
        <v>1544</v>
      </c>
      <c r="H292" s="2">
        <v>68951600</v>
      </c>
      <c r="I292" s="2">
        <v>809014900</v>
      </c>
      <c r="J292" s="2">
        <v>8.5229085397600005E-2</v>
      </c>
      <c r="K292" s="2">
        <v>56562200</v>
      </c>
      <c r="L292" s="2">
        <v>231403200</v>
      </c>
      <c r="M292" s="2">
        <v>0.244431364821</v>
      </c>
      <c r="N292" s="2">
        <v>37957290</v>
      </c>
      <c r="O292" s="2">
        <v>151144110</v>
      </c>
      <c r="P292" s="2">
        <v>0.25113310733700001</v>
      </c>
      <c r="Q292" s="217">
        <f t="shared" si="4"/>
        <v>1191562210</v>
      </c>
      <c r="R292" s="2">
        <v>157789300</v>
      </c>
      <c r="S292" s="2">
        <v>1192658100</v>
      </c>
      <c r="T292" s="2">
        <v>0.13230053105699999</v>
      </c>
      <c r="U292" s="2">
        <v>772</v>
      </c>
      <c r="V292" s="2">
        <v>0</v>
      </c>
      <c r="W292" s="2">
        <v>611</v>
      </c>
      <c r="X292" s="2">
        <v>92</v>
      </c>
      <c r="Y292" s="2">
        <v>3</v>
      </c>
      <c r="Z292" s="2">
        <v>4</v>
      </c>
      <c r="AA292" s="2">
        <v>52</v>
      </c>
      <c r="AB292" s="2">
        <v>10</v>
      </c>
      <c r="AC292" s="2" t="s">
        <v>1344</v>
      </c>
    </row>
    <row r="293" spans="1:29" x14ac:dyDescent="0.25">
      <c r="A293" s="1">
        <v>540277</v>
      </c>
      <c r="B293" s="1" t="s">
        <v>102</v>
      </c>
      <c r="C293" s="1" t="s">
        <v>103</v>
      </c>
      <c r="D293" s="1" t="s">
        <v>5</v>
      </c>
      <c r="E293" s="1">
        <v>5</v>
      </c>
      <c r="F293" s="215"/>
      <c r="G293" s="1">
        <v>747</v>
      </c>
      <c r="H293" s="1">
        <v>26900100</v>
      </c>
      <c r="I293" s="1">
        <v>131013700</v>
      </c>
      <c r="J293" s="1">
        <v>0.205322802119</v>
      </c>
      <c r="K293" s="1">
        <v>9942600</v>
      </c>
      <c r="L293" s="1">
        <v>20646200</v>
      </c>
      <c r="M293" s="1">
        <v>0.481570458486</v>
      </c>
      <c r="N293" s="1">
        <v>6155930</v>
      </c>
      <c r="O293" s="1">
        <v>29093040</v>
      </c>
      <c r="P293" s="1">
        <v>0.21159459444600001</v>
      </c>
      <c r="Q293" s="216">
        <f t="shared" si="4"/>
        <v>180752940</v>
      </c>
      <c r="R293" s="1">
        <v>43597900</v>
      </c>
      <c r="S293" s="1">
        <v>195350600</v>
      </c>
      <c r="T293" s="1">
        <v>0.22317771227700001</v>
      </c>
      <c r="U293" s="1">
        <v>409</v>
      </c>
      <c r="V293" s="1">
        <v>0</v>
      </c>
      <c r="W293" s="1">
        <v>265</v>
      </c>
      <c r="X293" s="1">
        <v>36</v>
      </c>
      <c r="Y293" s="1">
        <v>1</v>
      </c>
      <c r="Z293" s="1">
        <v>0</v>
      </c>
      <c r="AA293" s="1">
        <v>26</v>
      </c>
      <c r="AB293" s="1">
        <v>10</v>
      </c>
      <c r="AC293" s="1" t="s">
        <v>1344</v>
      </c>
    </row>
    <row r="294" spans="1:29" x14ac:dyDescent="0.25">
      <c r="A294" s="2">
        <v>540195</v>
      </c>
      <c r="B294" s="2" t="s">
        <v>258</v>
      </c>
      <c r="C294" s="2" t="s">
        <v>103</v>
      </c>
      <c r="D294" s="2" t="s">
        <v>115</v>
      </c>
      <c r="E294" s="2">
        <v>5</v>
      </c>
      <c r="F294" s="197"/>
      <c r="G294" s="2">
        <v>1</v>
      </c>
      <c r="H294" s="2">
        <v>0</v>
      </c>
      <c r="I294" s="2">
        <v>16633400</v>
      </c>
      <c r="J294" s="2">
        <v>0</v>
      </c>
      <c r="K294" s="2">
        <v>0</v>
      </c>
      <c r="L294" s="2">
        <v>3504800</v>
      </c>
      <c r="M294" s="2">
        <v>0</v>
      </c>
      <c r="N294" s="2">
        <v>0</v>
      </c>
      <c r="O294" s="2">
        <v>3879740</v>
      </c>
      <c r="P294" s="2">
        <v>0</v>
      </c>
      <c r="Q294" s="217">
        <f t="shared" si="4"/>
        <v>24017940</v>
      </c>
      <c r="R294" s="2">
        <v>0</v>
      </c>
      <c r="S294" s="2">
        <v>24160600</v>
      </c>
      <c r="T294" s="2">
        <v>0</v>
      </c>
      <c r="U294" s="2">
        <v>0</v>
      </c>
      <c r="V294" s="2">
        <v>0</v>
      </c>
      <c r="W294" s="2">
        <v>0</v>
      </c>
      <c r="X294" s="2">
        <v>0</v>
      </c>
      <c r="Y294" s="2">
        <v>0</v>
      </c>
      <c r="Z294" s="2">
        <v>0</v>
      </c>
      <c r="AA294" s="2">
        <v>0</v>
      </c>
      <c r="AB294" s="2">
        <v>1</v>
      </c>
      <c r="AC294" s="2" t="s">
        <v>1344</v>
      </c>
    </row>
    <row r="295" spans="1:29" x14ac:dyDescent="0.25">
      <c r="A295" s="2">
        <v>540196</v>
      </c>
      <c r="B295" s="2" t="s">
        <v>259</v>
      </c>
      <c r="C295" s="2" t="s">
        <v>103</v>
      </c>
      <c r="D295" s="2" t="s">
        <v>115</v>
      </c>
      <c r="E295" s="2">
        <v>5</v>
      </c>
      <c r="F295" s="197"/>
      <c r="G295" s="2">
        <v>1</v>
      </c>
      <c r="H295" s="2">
        <v>0</v>
      </c>
      <c r="I295" s="2">
        <v>17522300</v>
      </c>
      <c r="J295" s="2">
        <v>0</v>
      </c>
      <c r="K295" s="2">
        <v>0</v>
      </c>
      <c r="L295" s="2">
        <v>2407700</v>
      </c>
      <c r="M295" s="2">
        <v>0</v>
      </c>
      <c r="N295" s="2">
        <v>0</v>
      </c>
      <c r="O295" s="2">
        <v>2354020</v>
      </c>
      <c r="P295" s="2">
        <v>0</v>
      </c>
      <c r="Q295" s="217">
        <f t="shared" si="4"/>
        <v>22284020</v>
      </c>
      <c r="R295" s="2">
        <v>0</v>
      </c>
      <c r="S295" s="2">
        <v>22369800</v>
      </c>
      <c r="T295" s="2">
        <v>0</v>
      </c>
      <c r="U295" s="2">
        <v>0</v>
      </c>
      <c r="V295" s="2">
        <v>0</v>
      </c>
      <c r="W295" s="2">
        <v>0</v>
      </c>
      <c r="X295" s="2">
        <v>0</v>
      </c>
      <c r="Y295" s="2">
        <v>0</v>
      </c>
      <c r="Z295" s="2">
        <v>0</v>
      </c>
      <c r="AA295" s="2">
        <v>1</v>
      </c>
      <c r="AB295" s="2">
        <v>0</v>
      </c>
      <c r="AC295" s="2" t="s">
        <v>1344</v>
      </c>
    </row>
    <row r="296" spans="1:29" x14ac:dyDescent="0.25">
      <c r="A296" s="2">
        <v>540197</v>
      </c>
      <c r="B296" s="2" t="s">
        <v>260</v>
      </c>
      <c r="C296" s="2" t="s">
        <v>103</v>
      </c>
      <c r="D296" s="2" t="s">
        <v>115</v>
      </c>
      <c r="E296" s="2">
        <v>5</v>
      </c>
      <c r="F296" s="197"/>
      <c r="G296" s="2">
        <v>76</v>
      </c>
      <c r="H296" s="2">
        <v>2694000</v>
      </c>
      <c r="I296" s="2">
        <v>30357900</v>
      </c>
      <c r="J296" s="2">
        <v>8.87413160989E-2</v>
      </c>
      <c r="K296" s="2">
        <v>113300</v>
      </c>
      <c r="L296" s="2">
        <v>5887200</v>
      </c>
      <c r="M296" s="2">
        <v>1.9245142002999999E-2</v>
      </c>
      <c r="N296" s="2">
        <v>327300</v>
      </c>
      <c r="O296" s="2">
        <v>7596610</v>
      </c>
      <c r="P296" s="2">
        <v>4.3085007654699997E-2</v>
      </c>
      <c r="Q296" s="217">
        <f t="shared" si="4"/>
        <v>43841710</v>
      </c>
      <c r="R296" s="2">
        <v>3142100</v>
      </c>
      <c r="S296" s="2">
        <v>44136700</v>
      </c>
      <c r="T296" s="2">
        <v>7.1190188663900006E-2</v>
      </c>
      <c r="U296" s="2">
        <v>64</v>
      </c>
      <c r="V296" s="2">
        <v>0</v>
      </c>
      <c r="W296" s="2">
        <v>0</v>
      </c>
      <c r="X296" s="2">
        <v>4</v>
      </c>
      <c r="Y296" s="2">
        <v>0</v>
      </c>
      <c r="Z296" s="2">
        <v>0</v>
      </c>
      <c r="AA296" s="2">
        <v>6</v>
      </c>
      <c r="AB296" s="2">
        <v>2</v>
      </c>
      <c r="AC296" s="2" t="s">
        <v>1344</v>
      </c>
    </row>
    <row r="297" spans="1:29" x14ac:dyDescent="0.25">
      <c r="A297" s="2">
        <v>540259</v>
      </c>
      <c r="B297" s="2" t="s">
        <v>304</v>
      </c>
      <c r="C297" s="2" t="s">
        <v>103</v>
      </c>
      <c r="D297" s="2" t="s">
        <v>115</v>
      </c>
      <c r="E297" s="2">
        <v>5</v>
      </c>
      <c r="F297" s="197"/>
      <c r="G297" s="2">
        <v>68</v>
      </c>
      <c r="H297" s="2">
        <v>1140000</v>
      </c>
      <c r="I297" s="2">
        <v>1466100</v>
      </c>
      <c r="J297" s="2">
        <v>0.77757315326400001</v>
      </c>
      <c r="K297" s="2">
        <v>107800</v>
      </c>
      <c r="L297" s="2">
        <v>104700</v>
      </c>
      <c r="M297" s="2">
        <v>1.0296084049700001</v>
      </c>
      <c r="N297" s="2">
        <v>743210</v>
      </c>
      <c r="O297" s="2">
        <v>718810</v>
      </c>
      <c r="P297" s="2">
        <v>1.0339449924199999</v>
      </c>
      <c r="Q297" s="217">
        <f t="shared" si="4"/>
        <v>2289610</v>
      </c>
      <c r="R297" s="2">
        <v>2004600</v>
      </c>
      <c r="S297" s="2">
        <v>2319000</v>
      </c>
      <c r="T297" s="2">
        <v>0.86442432082800003</v>
      </c>
      <c r="U297" s="2">
        <v>53</v>
      </c>
      <c r="V297" s="2">
        <v>0</v>
      </c>
      <c r="W297" s="2">
        <v>0</v>
      </c>
      <c r="X297" s="2">
        <v>7</v>
      </c>
      <c r="Y297" s="2">
        <v>0</v>
      </c>
      <c r="Z297" s="2">
        <v>0</v>
      </c>
      <c r="AA297" s="2">
        <v>6</v>
      </c>
      <c r="AB297" s="2">
        <v>2</v>
      </c>
      <c r="AC297" s="2" t="s">
        <v>1344</v>
      </c>
    </row>
    <row r="298" spans="1:29" x14ac:dyDescent="0.25">
      <c r="A298" s="2"/>
      <c r="B298" s="2"/>
      <c r="C298" s="2" t="s">
        <v>103</v>
      </c>
      <c r="D298" s="2"/>
      <c r="E298" s="2"/>
      <c r="F298" s="197"/>
      <c r="G298" s="2">
        <v>893</v>
      </c>
      <c r="H298" s="2">
        <v>30734100</v>
      </c>
      <c r="I298" s="2">
        <v>196993400</v>
      </c>
      <c r="J298" s="2">
        <v>0.15601588682699999</v>
      </c>
      <c r="K298" s="2">
        <v>10163700</v>
      </c>
      <c r="L298" s="2">
        <v>32550600</v>
      </c>
      <c r="M298" s="2">
        <v>0.31224309229300001</v>
      </c>
      <c r="N298" s="2">
        <v>7226440</v>
      </c>
      <c r="O298" s="2">
        <v>43642220</v>
      </c>
      <c r="P298" s="2">
        <v>0.165583693955</v>
      </c>
      <c r="Q298" s="217">
        <f t="shared" si="4"/>
        <v>273186220</v>
      </c>
      <c r="R298" s="2">
        <v>48744600</v>
      </c>
      <c r="S298" s="2">
        <v>288336700</v>
      </c>
      <c r="T298" s="2">
        <v>0.16905444225399999</v>
      </c>
      <c r="U298" s="2">
        <v>526</v>
      </c>
      <c r="V298" s="2">
        <v>0</v>
      </c>
      <c r="W298" s="2">
        <v>265</v>
      </c>
      <c r="X298" s="2">
        <v>47</v>
      </c>
      <c r="Y298" s="2">
        <v>1</v>
      </c>
      <c r="Z298" s="2">
        <v>0</v>
      </c>
      <c r="AA298" s="2">
        <v>39</v>
      </c>
      <c r="AB298" s="2">
        <v>15</v>
      </c>
      <c r="AC298" s="2" t="s">
        <v>1344</v>
      </c>
    </row>
    <row r="299" spans="1:29" x14ac:dyDescent="0.25">
      <c r="A299" s="1">
        <v>540278</v>
      </c>
      <c r="B299" s="1" t="s">
        <v>104</v>
      </c>
      <c r="C299" s="1" t="s">
        <v>105</v>
      </c>
      <c r="D299" s="1" t="s">
        <v>5</v>
      </c>
      <c r="E299" s="1">
        <v>1</v>
      </c>
      <c r="F299" s="215"/>
      <c r="G299" s="1">
        <v>338</v>
      </c>
      <c r="H299" s="1">
        <v>12260800</v>
      </c>
      <c r="I299" s="1">
        <v>313915400</v>
      </c>
      <c r="J299" s="1">
        <v>3.9057656935600003E-2</v>
      </c>
      <c r="K299" s="1">
        <v>1432700</v>
      </c>
      <c r="L299" s="1">
        <v>14430300</v>
      </c>
      <c r="M299" s="1">
        <v>9.9284145166799995E-2</v>
      </c>
      <c r="N299" s="1">
        <v>3073670</v>
      </c>
      <c r="O299" s="1">
        <v>80674350</v>
      </c>
      <c r="P299" s="1">
        <v>3.8099718188000002E-2</v>
      </c>
      <c r="Q299" s="216">
        <f t="shared" si="4"/>
        <v>409020050</v>
      </c>
      <c r="R299" s="1">
        <v>16905800</v>
      </c>
      <c r="S299" s="1">
        <v>411981500</v>
      </c>
      <c r="T299" s="1">
        <v>4.1035337751800002E-2</v>
      </c>
      <c r="U299" s="1">
        <v>220</v>
      </c>
      <c r="V299" s="1">
        <v>0</v>
      </c>
      <c r="W299" s="1">
        <v>85</v>
      </c>
      <c r="X299" s="1">
        <v>10</v>
      </c>
      <c r="Y299" s="1">
        <v>0</v>
      </c>
      <c r="Z299" s="1">
        <v>1</v>
      </c>
      <c r="AA299" s="1">
        <v>14</v>
      </c>
      <c r="AB299" s="1">
        <v>8</v>
      </c>
      <c r="AC299" s="1" t="s">
        <v>1344</v>
      </c>
    </row>
    <row r="300" spans="1:29" x14ac:dyDescent="0.25">
      <c r="A300" s="2">
        <v>540041</v>
      </c>
      <c r="B300" s="2" t="s">
        <v>142</v>
      </c>
      <c r="C300" s="2" t="s">
        <v>105</v>
      </c>
      <c r="D300" s="2" t="s">
        <v>115</v>
      </c>
      <c r="E300" s="2">
        <v>1</v>
      </c>
      <c r="F300" s="197"/>
      <c r="G300" s="2">
        <v>79</v>
      </c>
      <c r="H300" s="2">
        <v>2682600</v>
      </c>
      <c r="I300" s="2">
        <v>2951800</v>
      </c>
      <c r="J300" s="2">
        <v>0.90880140930999997</v>
      </c>
      <c r="K300" s="2">
        <v>610800</v>
      </c>
      <c r="L300" s="2">
        <v>1224000</v>
      </c>
      <c r="M300" s="2">
        <v>0.49901960784299998</v>
      </c>
      <c r="N300" s="2">
        <v>88430</v>
      </c>
      <c r="O300" s="2">
        <v>732770</v>
      </c>
      <c r="P300" s="2">
        <v>0.12067906710200001</v>
      </c>
      <c r="Q300" s="217">
        <f t="shared" si="4"/>
        <v>4908570</v>
      </c>
      <c r="R300" s="2">
        <v>3381800</v>
      </c>
      <c r="S300" s="2">
        <v>4937800</v>
      </c>
      <c r="T300" s="2">
        <v>0.68487990603100002</v>
      </c>
      <c r="U300" s="2">
        <v>62</v>
      </c>
      <c r="V300" s="2">
        <v>0</v>
      </c>
      <c r="W300" s="2">
        <v>0</v>
      </c>
      <c r="X300" s="2">
        <v>14</v>
      </c>
      <c r="Y300" s="2">
        <v>0</v>
      </c>
      <c r="Z300" s="2">
        <v>0</v>
      </c>
      <c r="AA300" s="2">
        <v>0</v>
      </c>
      <c r="AB300" s="2">
        <v>3</v>
      </c>
      <c r="AC300" s="2" t="s">
        <v>1344</v>
      </c>
    </row>
    <row r="301" spans="1:29" x14ac:dyDescent="0.25">
      <c r="A301" s="2">
        <v>540143</v>
      </c>
      <c r="B301" s="2" t="s">
        <v>224</v>
      </c>
      <c r="C301" s="2" t="s">
        <v>105</v>
      </c>
      <c r="D301" s="2" t="s">
        <v>115</v>
      </c>
      <c r="E301" s="2">
        <v>1</v>
      </c>
      <c r="F301" s="197"/>
      <c r="G301" s="2">
        <v>27</v>
      </c>
      <c r="H301" s="2">
        <v>346000</v>
      </c>
      <c r="I301" s="2">
        <v>9050600</v>
      </c>
      <c r="J301" s="2">
        <v>3.8229509645799999E-2</v>
      </c>
      <c r="K301" s="2">
        <v>688700</v>
      </c>
      <c r="L301" s="2">
        <v>3817800</v>
      </c>
      <c r="M301" s="2">
        <v>0.18039184870899999</v>
      </c>
      <c r="N301" s="2">
        <v>68180</v>
      </c>
      <c r="O301" s="2">
        <v>3198430</v>
      </c>
      <c r="P301" s="2">
        <v>2.1316708510100001E-2</v>
      </c>
      <c r="Q301" s="217">
        <f t="shared" si="4"/>
        <v>16066830</v>
      </c>
      <c r="R301" s="2">
        <v>1105200</v>
      </c>
      <c r="S301" s="2">
        <v>16161400</v>
      </c>
      <c r="T301" s="2">
        <v>6.8385164651599994E-2</v>
      </c>
      <c r="U301" s="2">
        <v>19</v>
      </c>
      <c r="V301" s="2">
        <v>0</v>
      </c>
      <c r="W301" s="2">
        <v>0</v>
      </c>
      <c r="X301" s="2">
        <v>7</v>
      </c>
      <c r="Y301" s="2">
        <v>0</v>
      </c>
      <c r="Z301" s="2">
        <v>0</v>
      </c>
      <c r="AA301" s="2">
        <v>1</v>
      </c>
      <c r="AB301" s="2">
        <v>0</v>
      </c>
      <c r="AC301" s="2" t="s">
        <v>1344</v>
      </c>
    </row>
    <row r="302" spans="1:29" x14ac:dyDescent="0.25">
      <c r="A302" s="2">
        <v>540290</v>
      </c>
      <c r="B302" s="2" t="s">
        <v>327</v>
      </c>
      <c r="C302" s="2" t="s">
        <v>105</v>
      </c>
      <c r="D302" s="2" t="s">
        <v>115</v>
      </c>
      <c r="E302" s="2">
        <v>1</v>
      </c>
      <c r="F302" s="197"/>
      <c r="G302" s="2">
        <v>0</v>
      </c>
      <c r="H302" s="2">
        <v>0</v>
      </c>
      <c r="I302" s="2">
        <v>12921100</v>
      </c>
      <c r="J302" s="2">
        <v>0</v>
      </c>
      <c r="K302" s="2">
        <v>0</v>
      </c>
      <c r="L302" s="2">
        <v>6464400</v>
      </c>
      <c r="M302" s="2">
        <v>0</v>
      </c>
      <c r="N302" s="2">
        <v>0</v>
      </c>
      <c r="O302" s="2">
        <v>9194030</v>
      </c>
      <c r="P302" s="2">
        <v>0</v>
      </c>
      <c r="Q302" s="217">
        <f t="shared" si="4"/>
        <v>28579530</v>
      </c>
      <c r="R302" s="2">
        <v>0</v>
      </c>
      <c r="S302" s="2">
        <v>28779300</v>
      </c>
      <c r="T302" s="2">
        <v>0</v>
      </c>
      <c r="U302" s="2">
        <v>0</v>
      </c>
      <c r="V302" s="2">
        <v>0</v>
      </c>
      <c r="W302" s="2">
        <v>0</v>
      </c>
      <c r="X302" s="2">
        <v>0</v>
      </c>
      <c r="Y302" s="2">
        <v>0</v>
      </c>
      <c r="Z302" s="2">
        <v>0</v>
      </c>
      <c r="AA302" s="2">
        <v>0</v>
      </c>
      <c r="AB302" s="2">
        <v>0</v>
      </c>
      <c r="AC302" s="2" t="s">
        <v>1344</v>
      </c>
    </row>
    <row r="303" spans="1:29" x14ac:dyDescent="0.25">
      <c r="A303" s="2"/>
      <c r="B303" s="2"/>
      <c r="C303" s="2" t="s">
        <v>105</v>
      </c>
      <c r="D303" s="2"/>
      <c r="E303" s="2"/>
      <c r="F303" s="197"/>
      <c r="G303" s="2">
        <v>444</v>
      </c>
      <c r="H303" s="2">
        <v>15289400</v>
      </c>
      <c r="I303" s="2">
        <v>338838900</v>
      </c>
      <c r="J303" s="2">
        <v>4.5122918295400001E-2</v>
      </c>
      <c r="K303" s="2">
        <v>2732200</v>
      </c>
      <c r="L303" s="2">
        <v>25936500</v>
      </c>
      <c r="M303" s="2">
        <v>0.105341892699</v>
      </c>
      <c r="N303" s="2">
        <v>3230280</v>
      </c>
      <c r="O303" s="2">
        <v>93799580</v>
      </c>
      <c r="P303" s="2">
        <v>3.4438107292200003E-2</v>
      </c>
      <c r="Q303" s="217">
        <f t="shared" si="4"/>
        <v>458574980</v>
      </c>
      <c r="R303" s="2">
        <v>21392800</v>
      </c>
      <c r="S303" s="2">
        <v>461860000</v>
      </c>
      <c r="T303" s="2">
        <v>4.6318797904099998E-2</v>
      </c>
      <c r="U303" s="2">
        <v>301</v>
      </c>
      <c r="V303" s="2">
        <v>0</v>
      </c>
      <c r="W303" s="2">
        <v>85</v>
      </c>
      <c r="X303" s="2">
        <v>31</v>
      </c>
      <c r="Y303" s="2">
        <v>0</v>
      </c>
      <c r="Z303" s="2">
        <v>1</v>
      </c>
      <c r="AA303" s="2">
        <v>15</v>
      </c>
      <c r="AB303" s="2">
        <v>11</v>
      </c>
      <c r="AC303" s="2" t="s">
        <v>1344</v>
      </c>
    </row>
    <row r="304" spans="1:29" x14ac:dyDescent="0.25">
      <c r="A304" s="1">
        <v>540282</v>
      </c>
      <c r="B304" s="1" t="s">
        <v>106</v>
      </c>
      <c r="C304" s="1" t="s">
        <v>107</v>
      </c>
      <c r="D304" s="1" t="s">
        <v>5</v>
      </c>
      <c r="E304" s="1">
        <v>9</v>
      </c>
      <c r="F304" s="215"/>
      <c r="G304" s="1">
        <v>556</v>
      </c>
      <c r="H304" s="1">
        <v>29245900</v>
      </c>
      <c r="I304" s="1">
        <v>3895983300</v>
      </c>
      <c r="J304" s="1">
        <v>7.5066800209299999E-3</v>
      </c>
      <c r="K304" s="1">
        <v>17894300</v>
      </c>
      <c r="L304" s="1">
        <v>965593800</v>
      </c>
      <c r="M304" s="1">
        <v>1.85319126946E-2</v>
      </c>
      <c r="N304" s="1">
        <v>5321480</v>
      </c>
      <c r="O304" s="1">
        <v>210994920</v>
      </c>
      <c r="P304" s="1">
        <v>2.5220891574099999E-2</v>
      </c>
      <c r="Q304" s="216">
        <f t="shared" si="4"/>
        <v>5072572020</v>
      </c>
      <c r="R304" s="1">
        <v>62157100</v>
      </c>
      <c r="S304" s="1">
        <v>5362549400</v>
      </c>
      <c r="T304" s="1">
        <v>1.1590960821700001E-2</v>
      </c>
      <c r="U304" s="1">
        <v>426</v>
      </c>
      <c r="V304" s="1">
        <v>0</v>
      </c>
      <c r="W304" s="1">
        <v>38</v>
      </c>
      <c r="X304" s="1">
        <v>78</v>
      </c>
      <c r="Y304" s="1">
        <v>1</v>
      </c>
      <c r="Z304" s="1">
        <v>0</v>
      </c>
      <c r="AA304" s="1">
        <v>10</v>
      </c>
      <c r="AB304" s="1">
        <v>3</v>
      </c>
      <c r="AC304" s="1" t="s">
        <v>1344</v>
      </c>
    </row>
    <row r="305" spans="1:29" x14ac:dyDescent="0.25">
      <c r="A305" s="2">
        <v>540006</v>
      </c>
      <c r="B305" s="2" t="s">
        <v>119</v>
      </c>
      <c r="C305" s="2" t="s">
        <v>107</v>
      </c>
      <c r="D305" s="2" t="s">
        <v>115</v>
      </c>
      <c r="E305" s="2">
        <v>9</v>
      </c>
      <c r="F305" s="197"/>
      <c r="G305" s="2">
        <v>87</v>
      </c>
      <c r="H305" s="2">
        <v>2361900</v>
      </c>
      <c r="I305" s="2">
        <v>484056900</v>
      </c>
      <c r="J305" s="2">
        <v>4.8793850475000004E-3</v>
      </c>
      <c r="K305" s="2">
        <v>69037000</v>
      </c>
      <c r="L305" s="2">
        <v>365094700</v>
      </c>
      <c r="M305" s="2">
        <v>0.189093405081</v>
      </c>
      <c r="N305" s="2">
        <v>3736860</v>
      </c>
      <c r="O305" s="2">
        <v>28309010</v>
      </c>
      <c r="P305" s="2">
        <v>0.13200249673200001</v>
      </c>
      <c r="Q305" s="217">
        <f t="shared" si="4"/>
        <v>877460610</v>
      </c>
      <c r="R305" s="2">
        <v>75232500</v>
      </c>
      <c r="S305" s="2">
        <v>996903400</v>
      </c>
      <c r="T305" s="2">
        <v>7.5466188599599998E-2</v>
      </c>
      <c r="U305" s="2">
        <v>25</v>
      </c>
      <c r="V305" s="2">
        <v>41</v>
      </c>
      <c r="W305" s="2">
        <v>0</v>
      </c>
      <c r="X305" s="2">
        <v>14</v>
      </c>
      <c r="Y305" s="2">
        <v>0</v>
      </c>
      <c r="Z305" s="2">
        <v>0</v>
      </c>
      <c r="AA305" s="2">
        <v>5</v>
      </c>
      <c r="AB305" s="2">
        <v>2</v>
      </c>
      <c r="AC305" s="2" t="s">
        <v>1344</v>
      </c>
    </row>
    <row r="306" spans="1:29" x14ac:dyDescent="0.25">
      <c r="A306" s="2">
        <v>545550</v>
      </c>
      <c r="B306" s="2" t="s">
        <v>339</v>
      </c>
      <c r="C306" s="2" t="s">
        <v>107</v>
      </c>
      <c r="D306" s="2" t="s">
        <v>115</v>
      </c>
      <c r="E306" s="2">
        <v>9</v>
      </c>
      <c r="F306" s="197"/>
      <c r="G306" s="2">
        <v>0</v>
      </c>
      <c r="H306" s="2">
        <v>0</v>
      </c>
      <c r="I306" s="2">
        <v>8845100</v>
      </c>
      <c r="J306" s="2">
        <v>0</v>
      </c>
      <c r="K306" s="2">
        <v>0</v>
      </c>
      <c r="L306" s="2">
        <v>5437500</v>
      </c>
      <c r="M306" s="2">
        <v>0</v>
      </c>
      <c r="N306" s="2">
        <v>0</v>
      </c>
      <c r="O306" s="2">
        <v>565810</v>
      </c>
      <c r="P306" s="2">
        <v>0</v>
      </c>
      <c r="Q306" s="217">
        <f t="shared" si="4"/>
        <v>14848410</v>
      </c>
      <c r="R306" s="2">
        <v>0</v>
      </c>
      <c r="S306" s="2">
        <v>14878000</v>
      </c>
      <c r="T306" s="2">
        <v>0</v>
      </c>
      <c r="U306" s="2">
        <v>0</v>
      </c>
      <c r="V306" s="2">
        <v>0</v>
      </c>
      <c r="W306" s="2">
        <v>0</v>
      </c>
      <c r="X306" s="2">
        <v>0</v>
      </c>
      <c r="Y306" s="2">
        <v>0</v>
      </c>
      <c r="Z306" s="2">
        <v>0</v>
      </c>
      <c r="AA306" s="2">
        <v>0</v>
      </c>
      <c r="AB306" s="2">
        <v>0</v>
      </c>
      <c r="AC306" s="2" t="s">
        <v>1344</v>
      </c>
    </row>
    <row r="307" spans="1:29" x14ac:dyDescent="0.25">
      <c r="A307" s="2"/>
      <c r="B307" s="2"/>
      <c r="C307" s="2" t="s">
        <v>107</v>
      </c>
      <c r="D307" s="2"/>
      <c r="E307" s="2"/>
      <c r="F307" s="197"/>
      <c r="G307" s="2">
        <v>643</v>
      </c>
      <c r="H307" s="2">
        <v>31607800</v>
      </c>
      <c r="I307" s="2">
        <v>4388885300</v>
      </c>
      <c r="J307" s="2">
        <v>7.2017831042400001E-3</v>
      </c>
      <c r="K307" s="2">
        <v>86931300</v>
      </c>
      <c r="L307" s="2">
        <v>1336126000</v>
      </c>
      <c r="M307" s="2">
        <v>6.5062202217500004E-2</v>
      </c>
      <c r="N307" s="2">
        <v>9058340</v>
      </c>
      <c r="O307" s="2">
        <v>239869740</v>
      </c>
      <c r="P307" s="2">
        <v>3.7763579516100002E-2</v>
      </c>
      <c r="Q307" s="217">
        <f t="shared" si="4"/>
        <v>5964881040</v>
      </c>
      <c r="R307" s="2">
        <v>137389600</v>
      </c>
      <c r="S307" s="2">
        <v>6374330800</v>
      </c>
      <c r="T307" s="2">
        <v>2.15535723374E-2</v>
      </c>
      <c r="U307" s="2">
        <v>451</v>
      </c>
      <c r="V307" s="2">
        <v>41</v>
      </c>
      <c r="W307" s="2">
        <v>38</v>
      </c>
      <c r="X307" s="2">
        <v>92</v>
      </c>
      <c r="Y307" s="2">
        <v>1</v>
      </c>
      <c r="Z307" s="2">
        <v>0</v>
      </c>
      <c r="AA307" s="2">
        <v>15</v>
      </c>
      <c r="AB307" s="2">
        <v>5</v>
      </c>
      <c r="AC307" s="2" t="s">
        <v>1344</v>
      </c>
    </row>
    <row r="308" spans="1:29" x14ac:dyDescent="0.25">
      <c r="A308" s="1">
        <v>540283</v>
      </c>
      <c r="B308" s="1" t="s">
        <v>108</v>
      </c>
      <c r="C308" s="1" t="s">
        <v>109</v>
      </c>
      <c r="D308" s="1" t="s">
        <v>5</v>
      </c>
      <c r="E308" s="1">
        <v>4</v>
      </c>
      <c r="F308" s="215"/>
      <c r="G308" s="1">
        <v>376</v>
      </c>
      <c r="H308" s="1">
        <v>12971700</v>
      </c>
      <c r="I308" s="1">
        <v>308965100</v>
      </c>
      <c r="J308" s="1">
        <v>4.1984353572599997E-2</v>
      </c>
      <c r="K308" s="1">
        <v>5633200</v>
      </c>
      <c r="L308" s="1">
        <v>42867400</v>
      </c>
      <c r="M308" s="1">
        <v>0.13140988256800001</v>
      </c>
      <c r="N308" s="1">
        <v>2020140</v>
      </c>
      <c r="O308" s="1">
        <v>35237910</v>
      </c>
      <c r="P308" s="1">
        <v>5.7328598659800001E-2</v>
      </c>
      <c r="Q308" s="216">
        <f t="shared" si="4"/>
        <v>387070410</v>
      </c>
      <c r="R308" s="1">
        <v>20911300</v>
      </c>
      <c r="S308" s="1">
        <v>390612100</v>
      </c>
      <c r="T308" s="1">
        <v>5.3534695929800001E-2</v>
      </c>
      <c r="U308" s="1">
        <v>262</v>
      </c>
      <c r="V308" s="1">
        <v>0</v>
      </c>
      <c r="W308" s="1">
        <v>61</v>
      </c>
      <c r="X308" s="1">
        <v>35</v>
      </c>
      <c r="Y308" s="1">
        <v>0</v>
      </c>
      <c r="Z308" s="1">
        <v>0</v>
      </c>
      <c r="AA308" s="1">
        <v>15</v>
      </c>
      <c r="AB308" s="1">
        <v>3</v>
      </c>
      <c r="AC308" s="1" t="s">
        <v>1344</v>
      </c>
    </row>
    <row r="309" spans="1:29" x14ac:dyDescent="0.25">
      <c r="A309" s="2">
        <v>540158</v>
      </c>
      <c r="B309" s="2" t="s">
        <v>233</v>
      </c>
      <c r="C309" s="2" t="s">
        <v>109</v>
      </c>
      <c r="D309" s="2" t="s">
        <v>115</v>
      </c>
      <c r="E309" s="2">
        <v>4</v>
      </c>
      <c r="F309" s="197"/>
      <c r="G309" s="2">
        <v>4</v>
      </c>
      <c r="H309" s="2">
        <v>62200</v>
      </c>
      <c r="I309" s="2">
        <v>4264900</v>
      </c>
      <c r="J309" s="2">
        <v>1.45841637553E-2</v>
      </c>
      <c r="K309" s="2">
        <v>0</v>
      </c>
      <c r="L309" s="2">
        <v>1526100</v>
      </c>
      <c r="M309" s="2">
        <v>0</v>
      </c>
      <c r="N309" s="2">
        <v>33600</v>
      </c>
      <c r="O309" s="2">
        <v>518100</v>
      </c>
      <c r="P309" s="2">
        <v>6.4852345107100001E-2</v>
      </c>
      <c r="Q309" s="217">
        <f t="shared" si="4"/>
        <v>6309100</v>
      </c>
      <c r="R309" s="2">
        <v>98800</v>
      </c>
      <c r="S309" s="2">
        <v>6321600</v>
      </c>
      <c r="T309" s="2">
        <v>1.5628954694999999E-2</v>
      </c>
      <c r="U309" s="2">
        <v>3</v>
      </c>
      <c r="V309" s="2">
        <v>0</v>
      </c>
      <c r="W309" s="2">
        <v>0</v>
      </c>
      <c r="X309" s="2">
        <v>0</v>
      </c>
      <c r="Y309" s="2">
        <v>0</v>
      </c>
      <c r="Z309" s="2">
        <v>0</v>
      </c>
      <c r="AA309" s="2">
        <v>1</v>
      </c>
      <c r="AB309" s="2">
        <v>0</v>
      </c>
      <c r="AC309" s="2" t="s">
        <v>1344</v>
      </c>
    </row>
    <row r="310" spans="1:29" x14ac:dyDescent="0.25">
      <c r="A310" s="2">
        <v>540159</v>
      </c>
      <c r="B310" s="2" t="s">
        <v>234</v>
      </c>
      <c r="C310" s="2" t="s">
        <v>109</v>
      </c>
      <c r="D310" s="2" t="s">
        <v>115</v>
      </c>
      <c r="E310" s="2">
        <v>4</v>
      </c>
      <c r="F310" s="197"/>
      <c r="G310" s="2">
        <v>449</v>
      </c>
      <c r="H310" s="2">
        <v>7891400</v>
      </c>
      <c r="I310" s="2">
        <v>19753200</v>
      </c>
      <c r="J310" s="2">
        <v>0.39949982787600002</v>
      </c>
      <c r="K310" s="2">
        <v>42299400</v>
      </c>
      <c r="L310" s="2">
        <v>28247500</v>
      </c>
      <c r="M310" s="2">
        <v>1.49745641207</v>
      </c>
      <c r="N310" s="2">
        <v>4079330</v>
      </c>
      <c r="O310" s="2">
        <v>3730980</v>
      </c>
      <c r="P310" s="2">
        <v>1.0933668902</v>
      </c>
      <c r="Q310" s="217">
        <f t="shared" si="4"/>
        <v>51731680</v>
      </c>
      <c r="R310" s="2">
        <v>56173300</v>
      </c>
      <c r="S310" s="2">
        <v>52098100</v>
      </c>
      <c r="T310" s="2">
        <v>1.0782216625900001</v>
      </c>
      <c r="U310" s="2">
        <v>262</v>
      </c>
      <c r="V310" s="2">
        <v>0</v>
      </c>
      <c r="W310" s="2">
        <v>0</v>
      </c>
      <c r="X310" s="2">
        <v>123</v>
      </c>
      <c r="Y310" s="2">
        <v>0</v>
      </c>
      <c r="Z310" s="2">
        <v>3</v>
      </c>
      <c r="AA310" s="2">
        <v>42</v>
      </c>
      <c r="AB310" s="2">
        <v>19</v>
      </c>
      <c r="AC310" s="2" t="s">
        <v>1344</v>
      </c>
    </row>
    <row r="311" spans="1:29" x14ac:dyDescent="0.25">
      <c r="A311" s="2">
        <v>540288</v>
      </c>
      <c r="B311" s="2" t="s">
        <v>340</v>
      </c>
      <c r="C311" s="2" t="s">
        <v>109</v>
      </c>
      <c r="D311" s="2" t="s">
        <v>115</v>
      </c>
      <c r="E311" s="2">
        <v>4</v>
      </c>
      <c r="F311" s="197"/>
      <c r="G311" s="2">
        <v>0</v>
      </c>
      <c r="H311" s="2">
        <v>0</v>
      </c>
      <c r="I311" s="2">
        <v>3256400</v>
      </c>
      <c r="J311" s="2">
        <v>0</v>
      </c>
      <c r="K311" s="2">
        <v>0</v>
      </c>
      <c r="L311" s="2">
        <v>1482700</v>
      </c>
      <c r="M311" s="2">
        <v>0</v>
      </c>
      <c r="N311" s="2">
        <v>0</v>
      </c>
      <c r="O311" s="2">
        <v>949830</v>
      </c>
      <c r="P311" s="2">
        <v>0</v>
      </c>
      <c r="Q311" s="217">
        <f t="shared" si="4"/>
        <v>5688930</v>
      </c>
      <c r="R311" s="2">
        <v>0</v>
      </c>
      <c r="S311" s="2">
        <v>5723800</v>
      </c>
      <c r="T311" s="2">
        <v>0</v>
      </c>
      <c r="U311" s="2">
        <v>0</v>
      </c>
      <c r="V311" s="2">
        <v>0</v>
      </c>
      <c r="W311" s="2">
        <v>0</v>
      </c>
      <c r="X311" s="2">
        <v>0</v>
      </c>
      <c r="Y311" s="2">
        <v>0</v>
      </c>
      <c r="Z311" s="2">
        <v>0</v>
      </c>
      <c r="AA311" s="2">
        <v>0</v>
      </c>
      <c r="AB311" s="2">
        <v>0</v>
      </c>
      <c r="AC311" s="2" t="s">
        <v>1344</v>
      </c>
    </row>
    <row r="312" spans="1:29" x14ac:dyDescent="0.25">
      <c r="A312" s="2"/>
      <c r="B312" s="2"/>
      <c r="C312" s="2" t="s">
        <v>109</v>
      </c>
      <c r="D312" s="2"/>
      <c r="E312" s="2"/>
      <c r="F312" s="197"/>
      <c r="G312" s="2">
        <v>829</v>
      </c>
      <c r="H312" s="2">
        <v>20925300</v>
      </c>
      <c r="I312" s="2">
        <v>336239600</v>
      </c>
      <c r="J312" s="2">
        <v>6.2233300301299997E-2</v>
      </c>
      <c r="K312" s="2">
        <v>47932600</v>
      </c>
      <c r="L312" s="2">
        <v>74123700</v>
      </c>
      <c r="M312" s="2">
        <v>0.64665687222799995</v>
      </c>
      <c r="N312" s="2">
        <v>6133070</v>
      </c>
      <c r="O312" s="2">
        <v>40436820</v>
      </c>
      <c r="P312" s="2">
        <v>0.151670433036</v>
      </c>
      <c r="Q312" s="217">
        <f t="shared" si="4"/>
        <v>450800120</v>
      </c>
      <c r="R312" s="2">
        <v>77183400</v>
      </c>
      <c r="S312" s="2">
        <v>454755600</v>
      </c>
      <c r="T312" s="2">
        <v>0.169725012732</v>
      </c>
      <c r="U312" s="2">
        <v>527</v>
      </c>
      <c r="V312" s="2">
        <v>0</v>
      </c>
      <c r="W312" s="2">
        <v>61</v>
      </c>
      <c r="X312" s="2">
        <v>158</v>
      </c>
      <c r="Y312" s="2">
        <v>0</v>
      </c>
      <c r="Z312" s="2">
        <v>3</v>
      </c>
      <c r="AA312" s="2">
        <v>58</v>
      </c>
      <c r="AB312" s="2">
        <v>22</v>
      </c>
      <c r="AC312" s="2" t="s">
        <v>1344</v>
      </c>
    </row>
    <row r="313" spans="1:29" x14ac:dyDescent="0.25">
      <c r="A313" s="1">
        <v>545536</v>
      </c>
      <c r="B313" s="1" t="s">
        <v>110</v>
      </c>
      <c r="C313" s="1" t="s">
        <v>111</v>
      </c>
      <c r="D313" s="1" t="s">
        <v>5</v>
      </c>
      <c r="E313" s="1">
        <v>2</v>
      </c>
      <c r="F313" s="215"/>
      <c r="G313" s="1">
        <v>6413</v>
      </c>
      <c r="H313" s="1">
        <v>124662900</v>
      </c>
      <c r="I313" s="1">
        <v>391480900</v>
      </c>
      <c r="J313" s="1">
        <v>0.31843929039699997</v>
      </c>
      <c r="K313" s="1">
        <v>37125300</v>
      </c>
      <c r="L313" s="1">
        <v>189110400</v>
      </c>
      <c r="M313" s="1">
        <v>0.19631548555799999</v>
      </c>
      <c r="N313" s="1">
        <v>43288230</v>
      </c>
      <c r="O313" s="1">
        <v>100935680</v>
      </c>
      <c r="P313" s="1">
        <v>0.42886945429000001</v>
      </c>
      <c r="Q313" s="216">
        <f t="shared" si="4"/>
        <v>681526980</v>
      </c>
      <c r="R313" s="1">
        <v>206692200</v>
      </c>
      <c r="S313" s="1">
        <v>682307900</v>
      </c>
      <c r="T313" s="1">
        <v>0.30293097881499997</v>
      </c>
      <c r="U313" s="1">
        <v>5206</v>
      </c>
      <c r="V313" s="1">
        <v>0</v>
      </c>
      <c r="W313" s="1">
        <v>0</v>
      </c>
      <c r="X313" s="1">
        <v>523</v>
      </c>
      <c r="Y313" s="1">
        <v>269</v>
      </c>
      <c r="Z313" s="1">
        <v>1</v>
      </c>
      <c r="AA313" s="1">
        <v>219</v>
      </c>
      <c r="AB313" s="1">
        <v>195</v>
      </c>
      <c r="AC313" s="1" t="s">
        <v>1344</v>
      </c>
    </row>
    <row r="314" spans="1:29" x14ac:dyDescent="0.25">
      <c r="A314" s="2">
        <v>540092</v>
      </c>
      <c r="B314" s="2" t="s">
        <v>183</v>
      </c>
      <c r="C314" s="2" t="s">
        <v>111</v>
      </c>
      <c r="D314" s="2" t="s">
        <v>115</v>
      </c>
      <c r="E314" s="2">
        <v>2</v>
      </c>
      <c r="F314" s="197"/>
      <c r="G314" s="2">
        <v>45</v>
      </c>
      <c r="H314" s="2">
        <v>745100</v>
      </c>
      <c r="I314" s="2">
        <v>18382300</v>
      </c>
      <c r="J314" s="2">
        <v>4.0533556736600002E-2</v>
      </c>
      <c r="K314" s="2">
        <v>5842300</v>
      </c>
      <c r="L314" s="2">
        <v>16988500</v>
      </c>
      <c r="M314" s="2">
        <v>0.34389734232000002</v>
      </c>
      <c r="N314" s="2">
        <v>7947510</v>
      </c>
      <c r="O314" s="2">
        <v>34627630</v>
      </c>
      <c r="P314" s="2">
        <v>0.229513541643</v>
      </c>
      <c r="Q314" s="217">
        <f t="shared" si="4"/>
        <v>69998430</v>
      </c>
      <c r="R314" s="2">
        <v>14540800</v>
      </c>
      <c r="S314" s="2">
        <v>70911500</v>
      </c>
      <c r="T314" s="2">
        <v>0.20505559746999999</v>
      </c>
      <c r="U314" s="2">
        <v>21</v>
      </c>
      <c r="V314" s="2">
        <v>0</v>
      </c>
      <c r="W314" s="2">
        <v>0</v>
      </c>
      <c r="X314" s="2">
        <v>21</v>
      </c>
      <c r="Y314" s="2">
        <v>0</v>
      </c>
      <c r="Z314" s="2">
        <v>0</v>
      </c>
      <c r="AA314" s="2">
        <v>3</v>
      </c>
      <c r="AB314" s="2">
        <v>0</v>
      </c>
      <c r="AC314" s="2" t="s">
        <v>1344</v>
      </c>
    </row>
    <row r="315" spans="1:29" x14ac:dyDescent="0.25">
      <c r="A315" s="2">
        <v>540095</v>
      </c>
      <c r="B315" s="2" t="s">
        <v>186</v>
      </c>
      <c r="C315" s="2" t="s">
        <v>111</v>
      </c>
      <c r="D315" s="2" t="s">
        <v>115</v>
      </c>
      <c r="E315" s="2">
        <v>2</v>
      </c>
      <c r="F315" s="197"/>
      <c r="G315" s="2">
        <v>31</v>
      </c>
      <c r="H315" s="2">
        <v>4192300</v>
      </c>
      <c r="I315" s="2">
        <v>13859300</v>
      </c>
      <c r="J315" s="2">
        <v>0.302490024749</v>
      </c>
      <c r="K315" s="2">
        <v>0</v>
      </c>
      <c r="L315" s="2">
        <v>15600</v>
      </c>
      <c r="M315" s="2">
        <v>0</v>
      </c>
      <c r="N315" s="2">
        <v>46700</v>
      </c>
      <c r="O315" s="2">
        <v>235000</v>
      </c>
      <c r="P315" s="2">
        <v>0.19872340425500001</v>
      </c>
      <c r="Q315" s="217">
        <f t="shared" si="4"/>
        <v>14109900</v>
      </c>
      <c r="R315" s="2">
        <v>4239300</v>
      </c>
      <c r="S315" s="2">
        <v>14116400</v>
      </c>
      <c r="T315" s="2">
        <v>0.30031027740799998</v>
      </c>
      <c r="U315" s="2">
        <v>31</v>
      </c>
      <c r="V315" s="2">
        <v>0</v>
      </c>
      <c r="W315" s="2">
        <v>0</v>
      </c>
      <c r="X315" s="2">
        <v>0</v>
      </c>
      <c r="Y315" s="2">
        <v>0</v>
      </c>
      <c r="Z315" s="2">
        <v>0</v>
      </c>
      <c r="AA315" s="2">
        <v>0</v>
      </c>
      <c r="AB315" s="2">
        <v>0</v>
      </c>
      <c r="AC315" s="2" t="s">
        <v>1344</v>
      </c>
    </row>
    <row r="316" spans="1:29" x14ac:dyDescent="0.25">
      <c r="A316" s="2">
        <v>545535</v>
      </c>
      <c r="B316" s="2" t="s">
        <v>332</v>
      </c>
      <c r="C316" s="2" t="s">
        <v>111</v>
      </c>
      <c r="D316" s="2" t="s">
        <v>115</v>
      </c>
      <c r="E316" s="2">
        <v>2</v>
      </c>
      <c r="F316" s="197"/>
      <c r="G316" s="2">
        <v>7</v>
      </c>
      <c r="H316" s="2">
        <v>0</v>
      </c>
      <c r="I316" s="2">
        <v>24927600</v>
      </c>
      <c r="J316" s="2">
        <v>0</v>
      </c>
      <c r="K316" s="2">
        <v>1008600</v>
      </c>
      <c r="L316" s="2">
        <v>60728500</v>
      </c>
      <c r="M316" s="2">
        <v>1.6608346986999999E-2</v>
      </c>
      <c r="N316" s="2">
        <v>51650</v>
      </c>
      <c r="O316" s="2">
        <v>3169320</v>
      </c>
      <c r="P316" s="2">
        <v>1.62968712531E-2</v>
      </c>
      <c r="Q316" s="217">
        <f t="shared" si="4"/>
        <v>88825420</v>
      </c>
      <c r="R316" s="2">
        <v>1060200</v>
      </c>
      <c r="S316" s="2">
        <v>88838900</v>
      </c>
      <c r="T316" s="2">
        <v>1.19339613615E-2</v>
      </c>
      <c r="U316" s="2">
        <v>0</v>
      </c>
      <c r="V316" s="2">
        <v>0</v>
      </c>
      <c r="W316" s="2">
        <v>0</v>
      </c>
      <c r="X316" s="2">
        <v>3</v>
      </c>
      <c r="Y316" s="2">
        <v>0</v>
      </c>
      <c r="Z316" s="2">
        <v>0</v>
      </c>
      <c r="AA316" s="2">
        <v>1</v>
      </c>
      <c r="AB316" s="2">
        <v>3</v>
      </c>
      <c r="AC316" s="2" t="s">
        <v>1344</v>
      </c>
    </row>
    <row r="317" spans="1:29" x14ac:dyDescent="0.25">
      <c r="A317" s="2">
        <v>545537</v>
      </c>
      <c r="B317" s="2" t="s">
        <v>333</v>
      </c>
      <c r="C317" s="2" t="s">
        <v>111</v>
      </c>
      <c r="D317" s="2" t="s">
        <v>115</v>
      </c>
      <c r="E317" s="2">
        <v>2</v>
      </c>
      <c r="F317" s="197"/>
      <c r="G317" s="2">
        <v>154</v>
      </c>
      <c r="H317" s="2">
        <v>3385000</v>
      </c>
      <c r="I317" s="2">
        <v>18262000</v>
      </c>
      <c r="J317" s="2">
        <v>0.185357573103</v>
      </c>
      <c r="K317" s="2">
        <v>3597700</v>
      </c>
      <c r="L317" s="2">
        <v>6217200</v>
      </c>
      <c r="M317" s="2">
        <v>0.57866885414699998</v>
      </c>
      <c r="N317" s="2">
        <v>1650550</v>
      </c>
      <c r="O317" s="2">
        <v>2786800</v>
      </c>
      <c r="P317" s="2">
        <v>0.59227429309599999</v>
      </c>
      <c r="Q317" s="217">
        <f t="shared" si="4"/>
        <v>27266000</v>
      </c>
      <c r="R317" s="2">
        <v>9533000</v>
      </c>
      <c r="S317" s="2">
        <v>29102200</v>
      </c>
      <c r="T317" s="2">
        <v>0.327569736996</v>
      </c>
      <c r="U317" s="2">
        <v>91</v>
      </c>
      <c r="V317" s="2">
        <v>0</v>
      </c>
      <c r="W317" s="2">
        <v>0</v>
      </c>
      <c r="X317" s="2">
        <v>45</v>
      </c>
      <c r="Y317" s="2">
        <v>0</v>
      </c>
      <c r="Z317" s="2">
        <v>2</v>
      </c>
      <c r="AA317" s="2">
        <v>11</v>
      </c>
      <c r="AB317" s="2">
        <v>5</v>
      </c>
      <c r="AC317" s="2" t="s">
        <v>1344</v>
      </c>
    </row>
    <row r="318" spans="1:29" x14ac:dyDescent="0.25">
      <c r="A318" s="2">
        <v>545539</v>
      </c>
      <c r="B318" s="2" t="s">
        <v>335</v>
      </c>
      <c r="C318" s="2" t="s">
        <v>111</v>
      </c>
      <c r="D318" s="2" t="s">
        <v>115</v>
      </c>
      <c r="E318" s="2">
        <v>2</v>
      </c>
      <c r="F318" s="197"/>
      <c r="G318" s="2">
        <v>4</v>
      </c>
      <c r="H318" s="2">
        <v>73700</v>
      </c>
      <c r="I318" s="2">
        <v>7679200</v>
      </c>
      <c r="J318" s="2">
        <v>9.5973538910299992E-3</v>
      </c>
      <c r="K318" s="2">
        <v>45300</v>
      </c>
      <c r="L318" s="2">
        <v>2327600</v>
      </c>
      <c r="M318" s="2">
        <v>1.9462106891199999E-2</v>
      </c>
      <c r="N318" s="2">
        <v>33310</v>
      </c>
      <c r="O318" s="2">
        <v>241460</v>
      </c>
      <c r="P318" s="2">
        <v>0.13795245589300001</v>
      </c>
      <c r="Q318" s="217">
        <f t="shared" si="4"/>
        <v>10248260</v>
      </c>
      <c r="R318" s="2">
        <v>152300</v>
      </c>
      <c r="S318" s="2">
        <v>10249900</v>
      </c>
      <c r="T318" s="2">
        <v>1.48586815481E-2</v>
      </c>
      <c r="U318" s="2">
        <v>3</v>
      </c>
      <c r="V318" s="2">
        <v>0</v>
      </c>
      <c r="W318" s="2">
        <v>0</v>
      </c>
      <c r="X318" s="2">
        <v>1</v>
      </c>
      <c r="Y318" s="2">
        <v>0</v>
      </c>
      <c r="Z318" s="2">
        <v>0</v>
      </c>
      <c r="AA318" s="2">
        <v>0</v>
      </c>
      <c r="AB318" s="2">
        <v>0</v>
      </c>
      <c r="AC318" s="2" t="s">
        <v>1344</v>
      </c>
    </row>
    <row r="319" spans="1:29" x14ac:dyDescent="0.25">
      <c r="A319" s="2"/>
      <c r="B319" s="2"/>
      <c r="C319" s="2" t="s">
        <v>111</v>
      </c>
      <c r="D319" s="2"/>
      <c r="E319" s="2"/>
      <c r="F319" s="197"/>
      <c r="G319" s="2">
        <v>6654</v>
      </c>
      <c r="H319" s="2">
        <v>133059000</v>
      </c>
      <c r="I319" s="2">
        <v>474591300</v>
      </c>
      <c r="J319" s="2">
        <v>0.28036544285600001</v>
      </c>
      <c r="K319" s="2">
        <v>47619200</v>
      </c>
      <c r="L319" s="2">
        <v>275387800</v>
      </c>
      <c r="M319" s="2">
        <v>0.17291688302800001</v>
      </c>
      <c r="N319" s="2">
        <v>53017950</v>
      </c>
      <c r="O319" s="2">
        <v>141995890</v>
      </c>
      <c r="P319" s="2">
        <v>0.37337665195800002</v>
      </c>
      <c r="Q319" s="217">
        <f t="shared" si="4"/>
        <v>891974990</v>
      </c>
      <c r="R319" s="2">
        <v>236217800</v>
      </c>
      <c r="S319" s="2">
        <v>895526800</v>
      </c>
      <c r="T319" s="2">
        <v>0.26377524380099998</v>
      </c>
      <c r="U319" s="2">
        <v>5352</v>
      </c>
      <c r="V319" s="2">
        <v>0</v>
      </c>
      <c r="W319" s="2">
        <v>0</v>
      </c>
      <c r="X319" s="2">
        <v>593</v>
      </c>
      <c r="Y319" s="2">
        <v>269</v>
      </c>
      <c r="Z319" s="2">
        <v>3</v>
      </c>
      <c r="AA319" s="2">
        <v>234</v>
      </c>
      <c r="AB319" s="2">
        <v>203</v>
      </c>
      <c r="AC319" s="2" t="s">
        <v>1344</v>
      </c>
    </row>
    <row r="320" spans="1:29" x14ac:dyDescent="0.25">
      <c r="A320" s="1">
        <v>540191</v>
      </c>
      <c r="B320" s="1" t="s">
        <v>112</v>
      </c>
      <c r="C320" s="1" t="s">
        <v>113</v>
      </c>
      <c r="D320" s="1" t="s">
        <v>5</v>
      </c>
      <c r="E320" s="1">
        <v>7</v>
      </c>
      <c r="F320" s="215"/>
      <c r="G320" s="1">
        <v>580</v>
      </c>
      <c r="H320" s="1">
        <v>18740900</v>
      </c>
      <c r="I320" s="1">
        <v>293469600</v>
      </c>
      <c r="J320" s="1">
        <v>6.3859766054100001E-2</v>
      </c>
      <c r="K320" s="1">
        <v>51096400</v>
      </c>
      <c r="L320" s="1">
        <v>31596800</v>
      </c>
      <c r="M320" s="1">
        <v>1.6171384444000001</v>
      </c>
      <c r="N320" s="1">
        <v>7132090</v>
      </c>
      <c r="O320" s="1">
        <v>16246350</v>
      </c>
      <c r="P320" s="1">
        <v>0.43899645151099997</v>
      </c>
      <c r="Q320" s="216">
        <f t="shared" si="4"/>
        <v>341312750</v>
      </c>
      <c r="R320" s="1">
        <v>80412500</v>
      </c>
      <c r="S320" s="1">
        <v>356522200</v>
      </c>
      <c r="T320" s="1">
        <v>0.22554696453699999</v>
      </c>
      <c r="U320" s="1">
        <v>336</v>
      </c>
      <c r="V320" s="1">
        <v>0</v>
      </c>
      <c r="W320" s="1">
        <v>124</v>
      </c>
      <c r="X320" s="1">
        <v>16</v>
      </c>
      <c r="Y320" s="1">
        <v>16</v>
      </c>
      <c r="Z320" s="1">
        <v>0</v>
      </c>
      <c r="AA320" s="1">
        <v>12</v>
      </c>
      <c r="AB320" s="1">
        <v>76</v>
      </c>
      <c r="AC320" s="1" t="s">
        <v>1344</v>
      </c>
    </row>
    <row r="321" spans="1:29" x14ac:dyDescent="0.25">
      <c r="A321" s="2">
        <v>540193</v>
      </c>
      <c r="B321" s="2" t="s">
        <v>342</v>
      </c>
      <c r="C321" s="2" t="s">
        <v>113</v>
      </c>
      <c r="D321" s="2" t="s">
        <v>115</v>
      </c>
      <c r="E321" s="2">
        <v>7</v>
      </c>
      <c r="F321" s="197"/>
      <c r="G321" s="2">
        <v>20</v>
      </c>
      <c r="H321" s="2">
        <v>928100</v>
      </c>
      <c r="I321" s="2">
        <v>6254700</v>
      </c>
      <c r="J321" s="2">
        <v>0.14838441492000001</v>
      </c>
      <c r="K321" s="2">
        <v>238000</v>
      </c>
      <c r="L321" s="2">
        <v>805500</v>
      </c>
      <c r="M321" s="2">
        <v>0.295468653011</v>
      </c>
      <c r="N321" s="2">
        <v>78310</v>
      </c>
      <c r="O321" s="2">
        <v>625320</v>
      </c>
      <c r="P321" s="2">
        <v>0.125231881277</v>
      </c>
      <c r="Q321" s="217">
        <f t="shared" si="4"/>
        <v>7685520</v>
      </c>
      <c r="R321" s="2">
        <v>1246100</v>
      </c>
      <c r="S321" s="2">
        <v>7774300</v>
      </c>
      <c r="T321" s="2">
        <v>0.160284527224</v>
      </c>
      <c r="U321" s="2">
        <v>16</v>
      </c>
      <c r="V321" s="2">
        <v>0</v>
      </c>
      <c r="W321" s="2">
        <v>0</v>
      </c>
      <c r="X321" s="2">
        <v>1</v>
      </c>
      <c r="Y321" s="2">
        <v>3</v>
      </c>
      <c r="Z321" s="2">
        <v>0</v>
      </c>
      <c r="AA321" s="2">
        <v>0</v>
      </c>
      <c r="AB321" s="2">
        <v>0</v>
      </c>
      <c r="AC321" s="2" t="s">
        <v>1344</v>
      </c>
    </row>
    <row r="322" spans="1:29" x14ac:dyDescent="0.25">
      <c r="A322" s="2">
        <v>540192</v>
      </c>
      <c r="B322" s="2" t="s">
        <v>343</v>
      </c>
      <c r="C322" s="2" t="s">
        <v>113</v>
      </c>
      <c r="D322" s="2" t="s">
        <v>115</v>
      </c>
      <c r="E322" s="2">
        <v>7</v>
      </c>
      <c r="F322" s="197"/>
      <c r="G322" s="2">
        <v>14</v>
      </c>
      <c r="H322" s="2">
        <v>422000</v>
      </c>
      <c r="I322" s="2">
        <v>4188600</v>
      </c>
      <c r="J322" s="2">
        <v>0.100749653822</v>
      </c>
      <c r="K322" s="2">
        <v>0</v>
      </c>
      <c r="L322" s="2">
        <v>646000</v>
      </c>
      <c r="M322" s="2">
        <v>0</v>
      </c>
      <c r="N322" s="2">
        <v>74400</v>
      </c>
      <c r="O322" s="2">
        <v>600090</v>
      </c>
      <c r="P322" s="2">
        <v>0.12398140279</v>
      </c>
      <c r="Q322" s="217">
        <f t="shared" si="4"/>
        <v>5434690</v>
      </c>
      <c r="R322" s="2">
        <v>499000</v>
      </c>
      <c r="S322" s="2">
        <v>5467800</v>
      </c>
      <c r="T322" s="2">
        <v>9.1261567723799994E-2</v>
      </c>
      <c r="U322" s="2">
        <v>14</v>
      </c>
      <c r="V322" s="2">
        <v>0</v>
      </c>
      <c r="W322" s="2">
        <v>0</v>
      </c>
      <c r="X322" s="2">
        <v>0</v>
      </c>
      <c r="Y322" s="2">
        <v>0</v>
      </c>
      <c r="Z322" s="2">
        <v>0</v>
      </c>
      <c r="AA322" s="2">
        <v>0</v>
      </c>
      <c r="AB322" s="2">
        <v>0</v>
      </c>
      <c r="AC322" s="2" t="s">
        <v>1344</v>
      </c>
    </row>
    <row r="323" spans="1:29" x14ac:dyDescent="0.25">
      <c r="A323" s="2">
        <v>540194</v>
      </c>
      <c r="B323" s="2" t="s">
        <v>344</v>
      </c>
      <c r="C323" s="2" t="s">
        <v>113</v>
      </c>
      <c r="D323" s="2" t="s">
        <v>115</v>
      </c>
      <c r="E323" s="2">
        <v>7</v>
      </c>
      <c r="F323" s="197"/>
      <c r="G323" s="2">
        <v>356</v>
      </c>
      <c r="H323" s="2">
        <v>9987400</v>
      </c>
      <c r="I323" s="2">
        <v>25845100</v>
      </c>
      <c r="J323" s="2">
        <v>0.38643301825100002</v>
      </c>
      <c r="K323" s="2">
        <v>11337300</v>
      </c>
      <c r="L323" s="2">
        <v>13642300</v>
      </c>
      <c r="M323" s="2">
        <v>0.83104022049100001</v>
      </c>
      <c r="N323" s="2">
        <v>2873270</v>
      </c>
      <c r="O323" s="2">
        <v>2752050</v>
      </c>
      <c r="P323" s="2">
        <v>1.04404716484</v>
      </c>
      <c r="Q323" s="217">
        <f t="shared" si="4"/>
        <v>42239450</v>
      </c>
      <c r="R323" s="2">
        <v>24355300</v>
      </c>
      <c r="S323" s="2">
        <v>42513300</v>
      </c>
      <c r="T323" s="2">
        <v>0.57288660254599999</v>
      </c>
      <c r="U323" s="2">
        <v>227</v>
      </c>
      <c r="V323" s="2">
        <v>6</v>
      </c>
      <c r="W323" s="2">
        <v>0</v>
      </c>
      <c r="X323" s="2">
        <v>63</v>
      </c>
      <c r="Y323" s="2">
        <v>1</v>
      </c>
      <c r="Z323" s="2">
        <v>0</v>
      </c>
      <c r="AA323" s="2">
        <v>36</v>
      </c>
      <c r="AB323" s="2">
        <v>23</v>
      </c>
      <c r="AC323" s="2" t="s">
        <v>1344</v>
      </c>
    </row>
    <row r="324" spans="1:29" x14ac:dyDescent="0.25">
      <c r="A324" s="2">
        <v>540261</v>
      </c>
      <c r="B324" s="2" t="s">
        <v>345</v>
      </c>
      <c r="C324" s="2" t="s">
        <v>113</v>
      </c>
      <c r="D324" s="2" t="s">
        <v>115</v>
      </c>
      <c r="E324" s="2">
        <v>7</v>
      </c>
      <c r="F324" s="197"/>
      <c r="G324" s="2">
        <v>0</v>
      </c>
      <c r="H324" s="2">
        <v>0</v>
      </c>
      <c r="I324" s="2">
        <v>14427700</v>
      </c>
      <c r="J324" s="2">
        <v>0</v>
      </c>
      <c r="K324" s="2">
        <v>0</v>
      </c>
      <c r="L324" s="2">
        <v>5907000</v>
      </c>
      <c r="M324" s="2">
        <v>0</v>
      </c>
      <c r="N324" s="2">
        <v>0</v>
      </c>
      <c r="O324" s="2">
        <v>2324750</v>
      </c>
      <c r="P324" s="2">
        <v>0</v>
      </c>
      <c r="Q324" s="217">
        <f t="shared" ref="Q324:Q361" si="5" xml:space="preserve"> I324 + L324+ O324</f>
        <v>22659450</v>
      </c>
      <c r="R324" s="2">
        <v>0</v>
      </c>
      <c r="S324" s="2">
        <v>24207900</v>
      </c>
      <c r="T324" s="2">
        <v>0</v>
      </c>
      <c r="U324" s="2">
        <v>0</v>
      </c>
      <c r="V324" s="2">
        <v>0</v>
      </c>
      <c r="W324" s="2">
        <v>0</v>
      </c>
      <c r="X324" s="2">
        <v>0</v>
      </c>
      <c r="Y324" s="2">
        <v>0</v>
      </c>
      <c r="Z324" s="2">
        <v>0</v>
      </c>
      <c r="AA324" s="2">
        <v>0</v>
      </c>
      <c r="AB324" s="2">
        <v>0</v>
      </c>
      <c r="AC324" s="2" t="s">
        <v>1344</v>
      </c>
    </row>
    <row r="325" spans="1:29" x14ac:dyDescent="0.25">
      <c r="A325" s="2">
        <v>540260</v>
      </c>
      <c r="B325" s="2" t="s">
        <v>346</v>
      </c>
      <c r="C325" s="2" t="s">
        <v>113</v>
      </c>
      <c r="D325" s="2" t="s">
        <v>115</v>
      </c>
      <c r="E325" s="2">
        <v>7</v>
      </c>
      <c r="F325" s="197"/>
      <c r="G325" s="2">
        <v>1</v>
      </c>
      <c r="H325" s="2">
        <v>0</v>
      </c>
      <c r="I325" s="2">
        <v>21604000</v>
      </c>
      <c r="J325" s="2">
        <v>0</v>
      </c>
      <c r="K325" s="2">
        <v>0</v>
      </c>
      <c r="L325" s="2">
        <v>5970700</v>
      </c>
      <c r="M325" s="2">
        <v>0</v>
      </c>
      <c r="N325" s="2">
        <v>0</v>
      </c>
      <c r="O325" s="2">
        <v>2024410</v>
      </c>
      <c r="P325" s="2">
        <v>0</v>
      </c>
      <c r="Q325" s="217">
        <f t="shared" si="5"/>
        <v>29599110</v>
      </c>
      <c r="R325" s="2">
        <v>0</v>
      </c>
      <c r="S325" s="2">
        <v>29732900</v>
      </c>
      <c r="T325" s="2">
        <v>0</v>
      </c>
      <c r="U325" s="2">
        <v>1</v>
      </c>
      <c r="V325" s="2">
        <v>0</v>
      </c>
      <c r="W325" s="2">
        <v>0</v>
      </c>
      <c r="X325" s="2">
        <v>0</v>
      </c>
      <c r="Y325" s="2">
        <v>0</v>
      </c>
      <c r="Z325" s="2">
        <v>0</v>
      </c>
      <c r="AA325" s="2">
        <v>0</v>
      </c>
      <c r="AB325" s="2">
        <v>0</v>
      </c>
      <c r="AC325" s="2" t="s">
        <v>1344</v>
      </c>
    </row>
    <row r="326" spans="1:29" x14ac:dyDescent="0.25">
      <c r="A326" s="2"/>
      <c r="B326" s="2"/>
      <c r="C326" s="2" t="s">
        <v>113</v>
      </c>
      <c r="D326" s="2"/>
      <c r="E326" s="2"/>
      <c r="F326" s="197"/>
      <c r="G326" s="2">
        <v>971</v>
      </c>
      <c r="H326" s="2">
        <v>30078400</v>
      </c>
      <c r="I326" s="2">
        <v>365789700</v>
      </c>
      <c r="J326" s="2">
        <v>8.2228668549199996E-2</v>
      </c>
      <c r="K326" s="2">
        <v>62671700</v>
      </c>
      <c r="L326" s="2">
        <v>58568300</v>
      </c>
      <c r="M326" s="2">
        <v>1.0700617911100001</v>
      </c>
      <c r="N326" s="2">
        <v>10158070</v>
      </c>
      <c r="O326" s="2">
        <v>24572970</v>
      </c>
      <c r="P326" s="2">
        <v>0.41338389295200001</v>
      </c>
      <c r="Q326" s="217">
        <f t="shared" si="5"/>
        <v>448930970</v>
      </c>
      <c r="R326" s="2">
        <v>106512900</v>
      </c>
      <c r="S326" s="2">
        <v>466218400</v>
      </c>
      <c r="T326" s="2">
        <v>0.22846138204800001</v>
      </c>
      <c r="U326" s="2">
        <v>594</v>
      </c>
      <c r="V326" s="2">
        <v>6</v>
      </c>
      <c r="W326" s="2">
        <v>124</v>
      </c>
      <c r="X326" s="2">
        <v>80</v>
      </c>
      <c r="Y326" s="2">
        <v>20</v>
      </c>
      <c r="Z326" s="2">
        <v>0</v>
      </c>
      <c r="AA326" s="2">
        <v>48</v>
      </c>
      <c r="AB326" s="2">
        <v>99</v>
      </c>
      <c r="AC326" s="2" t="s">
        <v>1344</v>
      </c>
    </row>
    <row r="327" spans="1:29" x14ac:dyDescent="0.25">
      <c r="A327" s="2">
        <v>540027</v>
      </c>
      <c r="B327" s="2" t="s">
        <v>132</v>
      </c>
      <c r="C327" s="2" t="s">
        <v>21</v>
      </c>
      <c r="D327" s="2" t="s">
        <v>115</v>
      </c>
      <c r="E327" s="2">
        <v>4</v>
      </c>
      <c r="F327" s="197"/>
      <c r="G327" s="2">
        <v>1</v>
      </c>
      <c r="H327" s="2">
        <v>42000</v>
      </c>
      <c r="I327" s="2">
        <v>23686300</v>
      </c>
      <c r="J327" s="2">
        <v>1.7731768997299999E-3</v>
      </c>
      <c r="K327" s="2">
        <v>0</v>
      </c>
      <c r="L327" s="2">
        <v>4806600</v>
      </c>
      <c r="M327" s="2">
        <v>0</v>
      </c>
      <c r="N327" s="2">
        <v>26550</v>
      </c>
      <c r="O327" s="2">
        <v>6368470</v>
      </c>
      <c r="P327" s="2">
        <v>4.1689762219200002E-3</v>
      </c>
      <c r="Q327" s="217">
        <f t="shared" si="5"/>
        <v>34861370</v>
      </c>
      <c r="R327" s="2">
        <v>68900</v>
      </c>
      <c r="S327" s="2">
        <v>37378300</v>
      </c>
      <c r="T327" s="2">
        <v>1.8433155065900001E-3</v>
      </c>
      <c r="U327" s="2">
        <v>1</v>
      </c>
      <c r="V327" s="2">
        <v>0</v>
      </c>
      <c r="W327" s="2">
        <v>0</v>
      </c>
      <c r="X327" s="2">
        <v>0</v>
      </c>
      <c r="Y327" s="2">
        <v>0</v>
      </c>
      <c r="Z327" s="2">
        <v>0</v>
      </c>
      <c r="AA327" s="2">
        <v>0</v>
      </c>
      <c r="AB327" s="2">
        <v>0</v>
      </c>
      <c r="AC327" s="2" t="s">
        <v>1345</v>
      </c>
    </row>
    <row r="328" spans="1:29" x14ac:dyDescent="0.25">
      <c r="A328" s="2">
        <v>540028</v>
      </c>
      <c r="B328" s="2" t="s">
        <v>133</v>
      </c>
      <c r="C328" s="2" t="s">
        <v>21</v>
      </c>
      <c r="D328" s="2" t="s">
        <v>115</v>
      </c>
      <c r="E328" s="2">
        <v>4</v>
      </c>
      <c r="F328" s="197"/>
      <c r="G328" s="2">
        <v>18</v>
      </c>
      <c r="H328" s="2">
        <v>572000</v>
      </c>
      <c r="I328" s="2">
        <v>5647900</v>
      </c>
      <c r="J328" s="2">
        <v>0.101276580676</v>
      </c>
      <c r="K328" s="2">
        <v>53000</v>
      </c>
      <c r="L328" s="2">
        <v>1464400</v>
      </c>
      <c r="M328" s="2">
        <v>3.6192297186599998E-2</v>
      </c>
      <c r="N328" s="2">
        <v>45720</v>
      </c>
      <c r="O328" s="2">
        <v>4977590</v>
      </c>
      <c r="P328" s="2">
        <v>9.1851679226299995E-3</v>
      </c>
      <c r="Q328" s="217">
        <f t="shared" si="5"/>
        <v>12089890</v>
      </c>
      <c r="R328" s="2">
        <v>673800</v>
      </c>
      <c r="S328" s="2">
        <v>12288300</v>
      </c>
      <c r="T328" s="2">
        <v>5.4832645687399997E-2</v>
      </c>
      <c r="U328" s="2">
        <v>15</v>
      </c>
      <c r="V328" s="2">
        <v>0</v>
      </c>
      <c r="W328" s="2">
        <v>0</v>
      </c>
      <c r="X328" s="2">
        <v>3</v>
      </c>
      <c r="Y328" s="2">
        <v>0</v>
      </c>
      <c r="Z328" s="2">
        <v>0</v>
      </c>
      <c r="AA328" s="2">
        <v>0</v>
      </c>
      <c r="AB328" s="2">
        <v>0</v>
      </c>
      <c r="AC328" s="2" t="s">
        <v>1345</v>
      </c>
    </row>
    <row r="329" spans="1:29" x14ac:dyDescent="0.25">
      <c r="A329" s="2">
        <v>540029</v>
      </c>
      <c r="B329" s="2" t="s">
        <v>134</v>
      </c>
      <c r="C329" s="2" t="s">
        <v>21</v>
      </c>
      <c r="D329" s="2" t="s">
        <v>115</v>
      </c>
      <c r="E329" s="2">
        <v>4</v>
      </c>
      <c r="F329" s="197"/>
      <c r="G329" s="2">
        <v>12</v>
      </c>
      <c r="H329" s="2">
        <v>1079800</v>
      </c>
      <c r="I329" s="2">
        <v>15882200</v>
      </c>
      <c r="J329" s="2">
        <v>6.7988062107300004E-2</v>
      </c>
      <c r="K329" s="2">
        <v>0</v>
      </c>
      <c r="L329" s="2">
        <v>12637900</v>
      </c>
      <c r="M329" s="2">
        <v>0</v>
      </c>
      <c r="N329" s="2">
        <v>12980</v>
      </c>
      <c r="O329" s="2">
        <v>28712330</v>
      </c>
      <c r="P329" s="2">
        <v>4.52070591276E-4</v>
      </c>
      <c r="Q329" s="217">
        <f t="shared" si="5"/>
        <v>57232430</v>
      </c>
      <c r="R329" s="2">
        <v>1096100</v>
      </c>
      <c r="S329" s="2">
        <v>64887300</v>
      </c>
      <c r="T329" s="2">
        <v>1.6892365686399999E-2</v>
      </c>
      <c r="U329" s="2">
        <v>11</v>
      </c>
      <c r="V329" s="2">
        <v>0</v>
      </c>
      <c r="W329" s="2">
        <v>0</v>
      </c>
      <c r="X329" s="2">
        <v>0</v>
      </c>
      <c r="Y329" s="2">
        <v>0</v>
      </c>
      <c r="Z329" s="2">
        <v>0</v>
      </c>
      <c r="AA329" s="2">
        <v>1</v>
      </c>
      <c r="AB329" s="2">
        <v>0</v>
      </c>
      <c r="AC329" s="2" t="s">
        <v>1345</v>
      </c>
    </row>
    <row r="330" spans="1:29" x14ac:dyDescent="0.25">
      <c r="A330" s="2">
        <v>540031</v>
      </c>
      <c r="B330" s="2" t="s">
        <v>136</v>
      </c>
      <c r="C330" s="2" t="s">
        <v>21</v>
      </c>
      <c r="D330" s="2" t="s">
        <v>115</v>
      </c>
      <c r="E330" s="2">
        <v>4</v>
      </c>
      <c r="F330" s="197"/>
      <c r="G330" s="2">
        <v>60</v>
      </c>
      <c r="H330" s="2">
        <v>1972800</v>
      </c>
      <c r="I330" s="2">
        <v>213857800</v>
      </c>
      <c r="J330" s="2">
        <v>9.2248213532499998E-3</v>
      </c>
      <c r="K330" s="2">
        <v>116900</v>
      </c>
      <c r="L330" s="2">
        <v>52350100</v>
      </c>
      <c r="M330" s="2">
        <v>2.23304253478E-3</v>
      </c>
      <c r="N330" s="2">
        <v>61270</v>
      </c>
      <c r="O330" s="2">
        <v>52521090</v>
      </c>
      <c r="P330" s="2">
        <v>1.1665789876E-3</v>
      </c>
      <c r="Q330" s="217">
        <f t="shared" si="5"/>
        <v>318728990</v>
      </c>
      <c r="R330" s="2">
        <v>2150600</v>
      </c>
      <c r="S330" s="2">
        <v>321766700</v>
      </c>
      <c r="T330" s="2">
        <v>6.6837245743599999E-3</v>
      </c>
      <c r="U330" s="2">
        <v>54</v>
      </c>
      <c r="V330" s="2">
        <v>0</v>
      </c>
      <c r="W330" s="2">
        <v>0</v>
      </c>
      <c r="X330" s="2">
        <v>5</v>
      </c>
      <c r="Y330" s="2">
        <v>0</v>
      </c>
      <c r="Z330" s="2">
        <v>0</v>
      </c>
      <c r="AA330" s="2">
        <v>0</v>
      </c>
      <c r="AB330" s="2">
        <v>1</v>
      </c>
      <c r="AC330" s="2" t="s">
        <v>1345</v>
      </c>
    </row>
    <row r="331" spans="1:29" x14ac:dyDescent="0.25">
      <c r="A331" s="2">
        <v>540032</v>
      </c>
      <c r="B331" s="2" t="s">
        <v>137</v>
      </c>
      <c r="C331" s="2" t="s">
        <v>21</v>
      </c>
      <c r="D331" s="2" t="s">
        <v>115</v>
      </c>
      <c r="E331" s="2">
        <v>4</v>
      </c>
      <c r="F331" s="197"/>
      <c r="G331" s="2">
        <v>41</v>
      </c>
      <c r="H331" s="2">
        <v>1109600</v>
      </c>
      <c r="I331" s="2">
        <v>2687300</v>
      </c>
      <c r="J331" s="2">
        <v>0.41290514642999998</v>
      </c>
      <c r="K331" s="2">
        <v>90400</v>
      </c>
      <c r="L331" s="2">
        <v>273800</v>
      </c>
      <c r="M331" s="2">
        <v>0.33016800584400002</v>
      </c>
      <c r="N331" s="2">
        <v>246330</v>
      </c>
      <c r="O331" s="2">
        <v>1089800</v>
      </c>
      <c r="P331" s="2">
        <v>0.226032299504</v>
      </c>
      <c r="Q331" s="217">
        <f t="shared" si="5"/>
        <v>4050900</v>
      </c>
      <c r="R331" s="2">
        <v>1448700</v>
      </c>
      <c r="S331" s="2">
        <v>4062600</v>
      </c>
      <c r="T331" s="2">
        <v>0.35659429921699998</v>
      </c>
      <c r="U331" s="2">
        <v>32</v>
      </c>
      <c r="V331" s="2">
        <v>0</v>
      </c>
      <c r="W331" s="2">
        <v>0</v>
      </c>
      <c r="X331" s="2">
        <v>3</v>
      </c>
      <c r="Y331" s="2">
        <v>0</v>
      </c>
      <c r="Z331" s="2">
        <v>0</v>
      </c>
      <c r="AA331" s="2">
        <v>4</v>
      </c>
      <c r="AB331" s="2">
        <v>2</v>
      </c>
      <c r="AC331" s="2" t="s">
        <v>1345</v>
      </c>
    </row>
    <row r="332" spans="1:29" x14ac:dyDescent="0.25">
      <c r="A332" s="2">
        <v>540050</v>
      </c>
      <c r="B332" s="2" t="s">
        <v>150</v>
      </c>
      <c r="C332" s="2" t="s">
        <v>21</v>
      </c>
      <c r="D332" s="2" t="s">
        <v>115</v>
      </c>
      <c r="E332" s="2">
        <v>4</v>
      </c>
      <c r="F332" s="197"/>
      <c r="G332" s="2">
        <v>0</v>
      </c>
      <c r="H332" s="2">
        <v>0</v>
      </c>
      <c r="I332" s="2">
        <v>499600</v>
      </c>
      <c r="J332" s="2">
        <v>0</v>
      </c>
      <c r="K332" s="2">
        <v>0</v>
      </c>
      <c r="L332" s="2">
        <v>0</v>
      </c>
      <c r="M332" s="2" t="s">
        <v>488</v>
      </c>
      <c r="N332" s="2">
        <v>0</v>
      </c>
      <c r="O332" s="2">
        <v>2640</v>
      </c>
      <c r="P332" s="2">
        <v>0</v>
      </c>
      <c r="Q332" s="217">
        <f t="shared" si="5"/>
        <v>502240</v>
      </c>
      <c r="R332" s="2">
        <v>0</v>
      </c>
      <c r="S332" s="2">
        <v>643700</v>
      </c>
      <c r="T332" s="2">
        <v>0</v>
      </c>
      <c r="U332" s="2">
        <v>0</v>
      </c>
      <c r="V332" s="2">
        <v>0</v>
      </c>
      <c r="W332" s="2">
        <v>0</v>
      </c>
      <c r="X332" s="2">
        <v>0</v>
      </c>
      <c r="Y332" s="2">
        <v>0</v>
      </c>
      <c r="Z332" s="2">
        <v>0</v>
      </c>
      <c r="AA332" s="2">
        <v>0</v>
      </c>
      <c r="AB332" s="2">
        <v>0</v>
      </c>
      <c r="AC332" s="2" t="s">
        <v>1345</v>
      </c>
    </row>
    <row r="333" spans="1:29" x14ac:dyDescent="0.25">
      <c r="A333" s="2">
        <v>540293</v>
      </c>
      <c r="B333" s="2" t="s">
        <v>330</v>
      </c>
      <c r="C333" s="2" t="s">
        <v>21</v>
      </c>
      <c r="D333" s="2" t="s">
        <v>115</v>
      </c>
      <c r="E333" s="2">
        <v>4</v>
      </c>
      <c r="F333" s="197"/>
      <c r="G333" s="2">
        <v>0</v>
      </c>
      <c r="H333" s="2">
        <v>0</v>
      </c>
      <c r="I333" s="2">
        <v>103703300</v>
      </c>
      <c r="J333" s="2">
        <v>0</v>
      </c>
      <c r="K333" s="2">
        <v>0</v>
      </c>
      <c r="L333" s="2">
        <v>32575700</v>
      </c>
      <c r="M333" s="2">
        <v>0</v>
      </c>
      <c r="N333" s="2">
        <v>0</v>
      </c>
      <c r="O333" s="2">
        <v>32201670</v>
      </c>
      <c r="P333" s="2">
        <v>0</v>
      </c>
      <c r="Q333" s="217">
        <f t="shared" si="5"/>
        <v>168480670</v>
      </c>
      <c r="R333" s="2">
        <v>0</v>
      </c>
      <c r="S333" s="2">
        <v>171602900</v>
      </c>
      <c r="T333" s="2">
        <v>0</v>
      </c>
      <c r="U333" s="2">
        <v>0</v>
      </c>
      <c r="V333" s="2">
        <v>0</v>
      </c>
      <c r="W333" s="2">
        <v>0</v>
      </c>
      <c r="X333" s="2">
        <v>0</v>
      </c>
      <c r="Y333" s="2">
        <v>0</v>
      </c>
      <c r="Z333" s="2">
        <v>0</v>
      </c>
      <c r="AA333" s="2">
        <v>0</v>
      </c>
      <c r="AB333" s="2">
        <v>0</v>
      </c>
      <c r="AC333" s="2" t="s">
        <v>1345</v>
      </c>
    </row>
    <row r="334" spans="1:29" x14ac:dyDescent="0.25">
      <c r="A334" s="2">
        <v>540294</v>
      </c>
      <c r="B334" s="2" t="s">
        <v>331</v>
      </c>
      <c r="C334" s="2" t="s">
        <v>21</v>
      </c>
      <c r="D334" s="2" t="s">
        <v>115</v>
      </c>
      <c r="E334" s="2">
        <v>4</v>
      </c>
      <c r="F334" s="197"/>
      <c r="G334" s="2">
        <v>24</v>
      </c>
      <c r="H334" s="2">
        <v>418000</v>
      </c>
      <c r="I334" s="2">
        <v>10211100</v>
      </c>
      <c r="J334" s="2">
        <v>4.09358443263E-2</v>
      </c>
      <c r="K334" s="2">
        <v>637300</v>
      </c>
      <c r="L334" s="2">
        <v>3678500</v>
      </c>
      <c r="M334" s="2">
        <v>0.173249966019</v>
      </c>
      <c r="N334" s="2">
        <v>117070</v>
      </c>
      <c r="O334" s="2">
        <v>4112140</v>
      </c>
      <c r="P334" s="2">
        <v>2.8469361451699999E-2</v>
      </c>
      <c r="Q334" s="217">
        <f t="shared" si="5"/>
        <v>18001740</v>
      </c>
      <c r="R334" s="2">
        <v>1185800</v>
      </c>
      <c r="S334" s="2">
        <v>18255800</v>
      </c>
      <c r="T334" s="2">
        <v>6.4954699328400006E-2</v>
      </c>
      <c r="U334" s="2">
        <v>13</v>
      </c>
      <c r="V334" s="2">
        <v>0</v>
      </c>
      <c r="W334" s="2">
        <v>0</v>
      </c>
      <c r="X334" s="2">
        <v>8</v>
      </c>
      <c r="Y334" s="2">
        <v>0</v>
      </c>
      <c r="Z334" s="2">
        <v>0</v>
      </c>
      <c r="AA334" s="2">
        <v>2</v>
      </c>
      <c r="AB334" s="2">
        <v>1</v>
      </c>
      <c r="AC334" s="2" t="s">
        <v>1345</v>
      </c>
    </row>
    <row r="335" spans="1:29" x14ac:dyDescent="0.25">
      <c r="A335" s="2">
        <v>540033</v>
      </c>
      <c r="B335" s="2" t="s">
        <v>138</v>
      </c>
      <c r="C335" s="2" t="s">
        <v>21</v>
      </c>
      <c r="D335" s="2" t="s">
        <v>115</v>
      </c>
      <c r="E335" s="2">
        <v>4</v>
      </c>
      <c r="F335" s="197"/>
      <c r="G335" s="2">
        <v>58</v>
      </c>
      <c r="H335" s="2">
        <v>1820700</v>
      </c>
      <c r="I335" s="2">
        <v>14043600</v>
      </c>
      <c r="J335" s="2">
        <v>0.129646244553</v>
      </c>
      <c r="K335" s="2">
        <v>394400</v>
      </c>
      <c r="L335" s="2">
        <v>5821800</v>
      </c>
      <c r="M335" s="2">
        <v>6.77453708475E-2</v>
      </c>
      <c r="N335" s="2">
        <v>920010</v>
      </c>
      <c r="O335" s="2">
        <v>11309580</v>
      </c>
      <c r="P335" s="2">
        <v>8.1347848461199995E-2</v>
      </c>
      <c r="Q335" s="217">
        <f t="shared" si="5"/>
        <v>31174980</v>
      </c>
      <c r="R335" s="2">
        <v>3145700</v>
      </c>
      <c r="S335" s="2">
        <v>31414500</v>
      </c>
      <c r="T335" s="2">
        <v>0.100135287845</v>
      </c>
      <c r="U335" s="2">
        <v>43</v>
      </c>
      <c r="V335" s="2">
        <v>0</v>
      </c>
      <c r="W335" s="2">
        <v>0</v>
      </c>
      <c r="X335" s="2">
        <v>12</v>
      </c>
      <c r="Y335" s="2">
        <v>1</v>
      </c>
      <c r="Z335" s="2">
        <v>0</v>
      </c>
      <c r="AA335" s="2">
        <v>2</v>
      </c>
      <c r="AB335" s="2">
        <v>0</v>
      </c>
      <c r="AC335" s="2" t="s">
        <v>1345</v>
      </c>
    </row>
    <row r="336" spans="1:29" x14ac:dyDescent="0.25">
      <c r="A336" s="2">
        <v>540280</v>
      </c>
      <c r="B336" s="2" t="s">
        <v>321</v>
      </c>
      <c r="C336" s="2" t="s">
        <v>21</v>
      </c>
      <c r="D336" s="2" t="s">
        <v>115</v>
      </c>
      <c r="E336" s="2">
        <v>4</v>
      </c>
      <c r="F336" s="197"/>
      <c r="G336" s="2">
        <v>40</v>
      </c>
      <c r="H336" s="2">
        <v>1036700</v>
      </c>
      <c r="I336" s="2">
        <v>23283600</v>
      </c>
      <c r="J336" s="2">
        <v>4.4524901647499997E-2</v>
      </c>
      <c r="K336" s="2">
        <v>49000</v>
      </c>
      <c r="L336" s="2">
        <v>21226500</v>
      </c>
      <c r="M336" s="2">
        <v>2.3084352107000002E-3</v>
      </c>
      <c r="N336" s="2">
        <v>289010</v>
      </c>
      <c r="O336" s="2">
        <v>10928680</v>
      </c>
      <c r="P336" s="2">
        <v>2.6445096754599998E-2</v>
      </c>
      <c r="Q336" s="217">
        <f t="shared" si="5"/>
        <v>55438780</v>
      </c>
      <c r="R336" s="2">
        <v>1375600</v>
      </c>
      <c r="S336" s="2">
        <v>62918700</v>
      </c>
      <c r="T336" s="2">
        <v>2.1863134489399999E-2</v>
      </c>
      <c r="U336" s="2">
        <v>31</v>
      </c>
      <c r="V336" s="2">
        <v>0</v>
      </c>
      <c r="W336" s="2">
        <v>0</v>
      </c>
      <c r="X336" s="2">
        <v>3</v>
      </c>
      <c r="Y336" s="2">
        <v>0</v>
      </c>
      <c r="Z336" s="2">
        <v>0</v>
      </c>
      <c r="AA336" s="2">
        <v>3</v>
      </c>
      <c r="AB336" s="2">
        <v>3</v>
      </c>
      <c r="AC336" s="2" t="s">
        <v>1345</v>
      </c>
    </row>
    <row r="337" spans="1:29" x14ac:dyDescent="0.25">
      <c r="A337" s="1">
        <v>540026</v>
      </c>
      <c r="B337" s="1" t="s">
        <v>20</v>
      </c>
      <c r="C337" s="1" t="s">
        <v>21</v>
      </c>
      <c r="D337" s="1" t="s">
        <v>5</v>
      </c>
      <c r="E337" s="1">
        <v>4</v>
      </c>
      <c r="F337" s="215"/>
      <c r="G337" s="1">
        <v>1489</v>
      </c>
      <c r="H337" s="1">
        <v>50709300</v>
      </c>
      <c r="I337" s="1">
        <v>604459000</v>
      </c>
      <c r="J337" s="1">
        <v>8.3892042305600004E-2</v>
      </c>
      <c r="K337" s="1">
        <v>3384200</v>
      </c>
      <c r="L337" s="1">
        <v>90634200</v>
      </c>
      <c r="M337" s="1">
        <v>3.7339105988700001E-2</v>
      </c>
      <c r="N337" s="1">
        <v>9691830</v>
      </c>
      <c r="O337" s="1">
        <v>110852260</v>
      </c>
      <c r="P337" s="1">
        <v>8.7430152529099997E-2</v>
      </c>
      <c r="Q337" s="216">
        <f t="shared" si="5"/>
        <v>805945460</v>
      </c>
      <c r="R337" s="1">
        <v>65769000</v>
      </c>
      <c r="S337" s="1">
        <v>873642000</v>
      </c>
      <c r="T337" s="1">
        <v>7.5281408174100006E-2</v>
      </c>
      <c r="U337" s="1">
        <v>1268</v>
      </c>
      <c r="V337" s="1">
        <v>0</v>
      </c>
      <c r="W337" s="1">
        <v>34</v>
      </c>
      <c r="X337" s="1">
        <v>72</v>
      </c>
      <c r="Y337" s="1">
        <v>5</v>
      </c>
      <c r="Z337" s="1">
        <v>3</v>
      </c>
      <c r="AA337" s="1">
        <v>65</v>
      </c>
      <c r="AB337" s="1">
        <v>42</v>
      </c>
      <c r="AC337" s="1" t="s">
        <v>1345</v>
      </c>
    </row>
    <row r="338" spans="1:29" x14ac:dyDescent="0.25">
      <c r="A338" s="2"/>
      <c r="B338" s="2"/>
      <c r="C338" s="2" t="s">
        <v>21</v>
      </c>
      <c r="D338" s="2"/>
      <c r="E338" s="2"/>
      <c r="F338" s="197"/>
      <c r="G338" s="2">
        <v>1743</v>
      </c>
      <c r="H338" s="2">
        <v>58760900</v>
      </c>
      <c r="I338" s="2">
        <v>1017961700</v>
      </c>
      <c r="J338" s="2">
        <v>5.7724077438299999E-2</v>
      </c>
      <c r="K338" s="2">
        <v>4725200</v>
      </c>
      <c r="L338" s="2">
        <v>225469500</v>
      </c>
      <c r="M338" s="2">
        <v>2.0957158285299999E-2</v>
      </c>
      <c r="N338" s="2">
        <v>11410770</v>
      </c>
      <c r="O338" s="2">
        <v>263076250</v>
      </c>
      <c r="P338" s="2">
        <v>4.3374382902300002E-2</v>
      </c>
      <c r="Q338" s="217">
        <f t="shared" si="5"/>
        <v>1506507450</v>
      </c>
      <c r="R338" s="2">
        <v>76914200</v>
      </c>
      <c r="S338" s="2">
        <v>1598860800</v>
      </c>
      <c r="T338" s="2">
        <v>4.8105626205899997E-2</v>
      </c>
      <c r="U338" s="2">
        <v>1468</v>
      </c>
      <c r="V338" s="2">
        <v>0</v>
      </c>
      <c r="W338" s="2">
        <v>34</v>
      </c>
      <c r="X338" s="2">
        <v>106</v>
      </c>
      <c r="Y338" s="2">
        <v>6</v>
      </c>
      <c r="Z338" s="2">
        <v>3</v>
      </c>
      <c r="AA338" s="2">
        <v>77</v>
      </c>
      <c r="AB338" s="2">
        <v>49</v>
      </c>
      <c r="AC338" s="2" t="s">
        <v>1345</v>
      </c>
    </row>
    <row r="339" spans="1:29" x14ac:dyDescent="0.25">
      <c r="A339" s="2">
        <v>540176</v>
      </c>
      <c r="B339" s="2" t="s">
        <v>247</v>
      </c>
      <c r="C339" s="2" t="s">
        <v>75</v>
      </c>
      <c r="D339" s="2" t="s">
        <v>115</v>
      </c>
      <c r="E339" s="2">
        <v>7</v>
      </c>
      <c r="F339" s="197"/>
      <c r="G339" s="2">
        <v>46</v>
      </c>
      <c r="H339" s="2">
        <v>1094700</v>
      </c>
      <c r="I339" s="2">
        <v>4714200</v>
      </c>
      <c r="J339" s="2">
        <v>0.232213312969</v>
      </c>
      <c r="K339" s="2">
        <v>84600</v>
      </c>
      <c r="L339" s="2">
        <v>84200</v>
      </c>
      <c r="M339" s="2">
        <v>1.0047505938200001</v>
      </c>
      <c r="N339" s="2">
        <v>376600</v>
      </c>
      <c r="O339" s="2">
        <v>1728380</v>
      </c>
      <c r="P339" s="2">
        <v>0.21789189877199999</v>
      </c>
      <c r="Q339" s="217">
        <f t="shared" si="5"/>
        <v>6526780</v>
      </c>
      <c r="R339" s="2">
        <v>1559500</v>
      </c>
      <c r="S339" s="2">
        <v>6696200</v>
      </c>
      <c r="T339" s="2">
        <v>0.232893282757</v>
      </c>
      <c r="U339" s="2">
        <v>39</v>
      </c>
      <c r="V339" s="2">
        <v>0</v>
      </c>
      <c r="W339" s="2">
        <v>0</v>
      </c>
      <c r="X339" s="2">
        <v>2</v>
      </c>
      <c r="Y339" s="2">
        <v>0</v>
      </c>
      <c r="Z339" s="2">
        <v>0</v>
      </c>
      <c r="AA339" s="2">
        <v>1</v>
      </c>
      <c r="AB339" s="2">
        <v>4</v>
      </c>
      <c r="AC339" s="2" t="s">
        <v>1344</v>
      </c>
    </row>
    <row r="340" spans="1:29" x14ac:dyDescent="0.25">
      <c r="A340" s="2">
        <v>540178</v>
      </c>
      <c r="B340" s="2" t="s">
        <v>249</v>
      </c>
      <c r="C340" s="2" t="s">
        <v>75</v>
      </c>
      <c r="D340" s="2" t="s">
        <v>115</v>
      </c>
      <c r="E340" s="2">
        <v>7</v>
      </c>
      <c r="F340" s="197"/>
      <c r="G340" s="2">
        <v>37</v>
      </c>
      <c r="H340" s="2">
        <v>753500</v>
      </c>
      <c r="I340" s="2">
        <v>2050100</v>
      </c>
      <c r="J340" s="2">
        <v>0.36754304668100002</v>
      </c>
      <c r="K340" s="2">
        <v>350000</v>
      </c>
      <c r="L340" s="2">
        <v>1498800</v>
      </c>
      <c r="M340" s="2">
        <v>0.23352014945300001</v>
      </c>
      <c r="N340" s="2">
        <v>393030</v>
      </c>
      <c r="O340" s="2">
        <v>1698090</v>
      </c>
      <c r="P340" s="2">
        <v>0.23145416320699999</v>
      </c>
      <c r="Q340" s="217">
        <f t="shared" si="5"/>
        <v>5246990</v>
      </c>
      <c r="R340" s="2">
        <v>1546600</v>
      </c>
      <c r="S340" s="2">
        <v>5307800</v>
      </c>
      <c r="T340" s="2">
        <v>0.29138249368899999</v>
      </c>
      <c r="U340" s="2">
        <v>26</v>
      </c>
      <c r="V340" s="2">
        <v>0</v>
      </c>
      <c r="W340" s="2">
        <v>1</v>
      </c>
      <c r="X340" s="2">
        <v>4</v>
      </c>
      <c r="Y340" s="2">
        <v>0</v>
      </c>
      <c r="Z340" s="2">
        <v>0</v>
      </c>
      <c r="AA340" s="2">
        <v>2</v>
      </c>
      <c r="AB340" s="2">
        <v>4</v>
      </c>
      <c r="AC340" s="2" t="s">
        <v>1344</v>
      </c>
    </row>
    <row r="341" spans="1:29" x14ac:dyDescent="0.25">
      <c r="A341" s="2">
        <v>540264</v>
      </c>
      <c r="B341" s="2" t="s">
        <v>307</v>
      </c>
      <c r="C341" s="2" t="s">
        <v>75</v>
      </c>
      <c r="D341" s="2" t="s">
        <v>115</v>
      </c>
      <c r="E341" s="2">
        <v>7</v>
      </c>
      <c r="F341" s="197"/>
      <c r="G341" s="2">
        <v>1</v>
      </c>
      <c r="H341" s="2">
        <v>0</v>
      </c>
      <c r="I341" s="2">
        <v>3461500</v>
      </c>
      <c r="J341" s="2">
        <v>0</v>
      </c>
      <c r="K341" s="2">
        <v>0</v>
      </c>
      <c r="L341" s="2">
        <v>332000</v>
      </c>
      <c r="M341" s="2">
        <v>0</v>
      </c>
      <c r="N341" s="2">
        <v>0</v>
      </c>
      <c r="O341" s="2">
        <v>614730</v>
      </c>
      <c r="P341" s="2">
        <v>0</v>
      </c>
      <c r="Q341" s="217">
        <f t="shared" si="5"/>
        <v>4408230</v>
      </c>
      <c r="R341" s="2">
        <v>0</v>
      </c>
      <c r="S341" s="2">
        <v>4414100</v>
      </c>
      <c r="T341" s="2">
        <v>0</v>
      </c>
      <c r="U341" s="2">
        <v>0</v>
      </c>
      <c r="V341" s="2">
        <v>0</v>
      </c>
      <c r="W341" s="2">
        <v>0</v>
      </c>
      <c r="X341" s="2">
        <v>0</v>
      </c>
      <c r="Y341" s="2">
        <v>0</v>
      </c>
      <c r="Z341" s="2">
        <v>0</v>
      </c>
      <c r="AA341" s="2">
        <v>0</v>
      </c>
      <c r="AB341" s="2">
        <v>1</v>
      </c>
      <c r="AC341" s="2" t="s">
        <v>1344</v>
      </c>
    </row>
    <row r="342" spans="1:29" x14ac:dyDescent="0.25">
      <c r="A342" s="2">
        <v>540265</v>
      </c>
      <c r="B342" s="2" t="s">
        <v>308</v>
      </c>
      <c r="C342" s="2" t="s">
        <v>75</v>
      </c>
      <c r="D342" s="2" t="s">
        <v>115</v>
      </c>
      <c r="E342" s="2">
        <v>7</v>
      </c>
      <c r="F342" s="197"/>
      <c r="G342" s="2">
        <v>22</v>
      </c>
      <c r="H342" s="2">
        <v>688000</v>
      </c>
      <c r="I342" s="2">
        <v>3371400</v>
      </c>
      <c r="J342" s="2">
        <v>0.20406952601299999</v>
      </c>
      <c r="K342" s="2">
        <v>16600</v>
      </c>
      <c r="L342" s="2">
        <v>125400</v>
      </c>
      <c r="M342" s="2">
        <v>0.13237639553399999</v>
      </c>
      <c r="N342" s="2">
        <v>65510</v>
      </c>
      <c r="O342" s="2">
        <v>301290</v>
      </c>
      <c r="P342" s="2">
        <v>0.21743171031200001</v>
      </c>
      <c r="Q342" s="217">
        <f t="shared" si="5"/>
        <v>3798090</v>
      </c>
      <c r="R342" s="2">
        <v>775300</v>
      </c>
      <c r="S342" s="2">
        <v>3855100</v>
      </c>
      <c r="T342" s="2">
        <v>0.201110217634</v>
      </c>
      <c r="U342" s="2">
        <v>20</v>
      </c>
      <c r="V342" s="2">
        <v>0</v>
      </c>
      <c r="W342" s="2">
        <v>1</v>
      </c>
      <c r="X342" s="2">
        <v>0</v>
      </c>
      <c r="Y342" s="2">
        <v>0</v>
      </c>
      <c r="Z342" s="2">
        <v>0</v>
      </c>
      <c r="AA342" s="2">
        <v>1</v>
      </c>
      <c r="AB342" s="2">
        <v>0</v>
      </c>
      <c r="AC342" s="2" t="s">
        <v>1344</v>
      </c>
    </row>
    <row r="343" spans="1:29" x14ac:dyDescent="0.25">
      <c r="A343" s="2">
        <v>540266</v>
      </c>
      <c r="B343" s="2" t="s">
        <v>309</v>
      </c>
      <c r="C343" s="2" t="s">
        <v>75</v>
      </c>
      <c r="D343" s="2" t="s">
        <v>115</v>
      </c>
      <c r="E343" s="2">
        <v>7</v>
      </c>
      <c r="F343" s="197"/>
      <c r="G343" s="2">
        <v>13</v>
      </c>
      <c r="H343" s="2">
        <v>254200</v>
      </c>
      <c r="I343" s="2">
        <v>11847500</v>
      </c>
      <c r="J343" s="2">
        <v>2.14560033762E-2</v>
      </c>
      <c r="K343" s="2">
        <v>0</v>
      </c>
      <c r="L343" s="2">
        <v>3522900</v>
      </c>
      <c r="M343" s="2">
        <v>0</v>
      </c>
      <c r="N343" s="2">
        <v>426540</v>
      </c>
      <c r="O343" s="2">
        <v>2690260</v>
      </c>
      <c r="P343" s="2">
        <v>0.15854973125300001</v>
      </c>
      <c r="Q343" s="217">
        <f t="shared" si="5"/>
        <v>18060660</v>
      </c>
      <c r="R343" s="2">
        <v>752900</v>
      </c>
      <c r="S343" s="2">
        <v>18210100</v>
      </c>
      <c r="T343" s="2">
        <v>4.1345187560699999E-2</v>
      </c>
      <c r="U343" s="2">
        <v>11</v>
      </c>
      <c r="V343" s="2">
        <v>0</v>
      </c>
      <c r="W343" s="2">
        <v>0</v>
      </c>
      <c r="X343" s="2">
        <v>0</v>
      </c>
      <c r="Y343" s="2">
        <v>0</v>
      </c>
      <c r="Z343" s="2">
        <v>0</v>
      </c>
      <c r="AA343" s="2">
        <v>1</v>
      </c>
      <c r="AB343" s="2">
        <v>1</v>
      </c>
      <c r="AC343" s="2" t="s">
        <v>1344</v>
      </c>
    </row>
    <row r="344" spans="1:29" x14ac:dyDescent="0.25">
      <c r="A344" s="2">
        <v>540267</v>
      </c>
      <c r="B344" s="2" t="s">
        <v>310</v>
      </c>
      <c r="C344" s="2" t="s">
        <v>75</v>
      </c>
      <c r="D344" s="2" t="s">
        <v>115</v>
      </c>
      <c r="E344" s="2">
        <v>7</v>
      </c>
      <c r="F344" s="197"/>
      <c r="G344" s="2">
        <v>28</v>
      </c>
      <c r="H344" s="2">
        <v>420200</v>
      </c>
      <c r="I344" s="2">
        <v>13853600</v>
      </c>
      <c r="J344" s="2">
        <v>3.0331466189300001E-2</v>
      </c>
      <c r="K344" s="2">
        <v>24563200</v>
      </c>
      <c r="L344" s="2">
        <v>5608300</v>
      </c>
      <c r="M344" s="2">
        <v>4.3797942335500002</v>
      </c>
      <c r="N344" s="2">
        <v>633120</v>
      </c>
      <c r="O344" s="2">
        <v>1940420</v>
      </c>
      <c r="P344" s="2">
        <v>0.326279877552</v>
      </c>
      <c r="Q344" s="217">
        <f t="shared" si="5"/>
        <v>21402320</v>
      </c>
      <c r="R344" s="2">
        <v>25656400</v>
      </c>
      <c r="S344" s="2">
        <v>21458700</v>
      </c>
      <c r="T344" s="2">
        <v>1.19561762828</v>
      </c>
      <c r="U344" s="2">
        <v>4</v>
      </c>
      <c r="V344" s="2">
        <v>18</v>
      </c>
      <c r="W344" s="2">
        <v>0</v>
      </c>
      <c r="X344" s="2">
        <v>3</v>
      </c>
      <c r="Y344" s="2">
        <v>1</v>
      </c>
      <c r="Z344" s="2">
        <v>0</v>
      </c>
      <c r="AA344" s="2">
        <v>1</v>
      </c>
      <c r="AB344" s="2">
        <v>1</v>
      </c>
      <c r="AC344" s="2" t="s">
        <v>1344</v>
      </c>
    </row>
    <row r="345" spans="1:29" x14ac:dyDescent="0.25">
      <c r="A345" s="2">
        <v>540177</v>
      </c>
      <c r="B345" s="2" t="s">
        <v>248</v>
      </c>
      <c r="C345" s="2" t="s">
        <v>75</v>
      </c>
      <c r="D345" s="2" t="s">
        <v>115</v>
      </c>
      <c r="E345" s="2">
        <v>7</v>
      </c>
      <c r="F345" s="197"/>
      <c r="G345" s="2">
        <v>216</v>
      </c>
      <c r="H345" s="2">
        <v>8336900</v>
      </c>
      <c r="I345" s="2">
        <v>200401300</v>
      </c>
      <c r="J345" s="2">
        <v>4.1601027538199997E-2</v>
      </c>
      <c r="K345" s="2">
        <v>4708900</v>
      </c>
      <c r="L345" s="2">
        <v>151217300</v>
      </c>
      <c r="M345" s="2">
        <v>3.1139955547400001E-2</v>
      </c>
      <c r="N345" s="2">
        <v>722860</v>
      </c>
      <c r="O345" s="2">
        <v>15346130</v>
      </c>
      <c r="P345" s="2">
        <v>4.7103732341600001E-2</v>
      </c>
      <c r="Q345" s="217">
        <f t="shared" si="5"/>
        <v>366964730</v>
      </c>
      <c r="R345" s="2">
        <v>13811000</v>
      </c>
      <c r="S345" s="2">
        <v>367244800</v>
      </c>
      <c r="T345" s="2">
        <v>3.7607067547299998E-2</v>
      </c>
      <c r="U345" s="2">
        <v>142</v>
      </c>
      <c r="V345" s="2">
        <v>22</v>
      </c>
      <c r="W345" s="2">
        <v>0</v>
      </c>
      <c r="X345" s="2">
        <v>37</v>
      </c>
      <c r="Y345" s="2">
        <v>0</v>
      </c>
      <c r="Z345" s="2">
        <v>0</v>
      </c>
      <c r="AA345" s="2">
        <v>4</v>
      </c>
      <c r="AB345" s="2">
        <v>11</v>
      </c>
      <c r="AC345" s="2" t="s">
        <v>1344</v>
      </c>
    </row>
    <row r="346" spans="1:29" x14ac:dyDescent="0.25">
      <c r="A346" s="1">
        <v>540175</v>
      </c>
      <c r="B346" s="1" t="s">
        <v>74</v>
      </c>
      <c r="C346" s="1" t="s">
        <v>75</v>
      </c>
      <c r="D346" s="1" t="s">
        <v>5</v>
      </c>
      <c r="E346" s="1">
        <v>7</v>
      </c>
      <c r="F346" s="215"/>
      <c r="G346" s="1">
        <v>1335</v>
      </c>
      <c r="H346" s="1">
        <v>46702400</v>
      </c>
      <c r="I346" s="1">
        <v>591532600</v>
      </c>
      <c r="J346" s="1">
        <v>7.8951523550900002E-2</v>
      </c>
      <c r="K346" s="1">
        <v>25915900</v>
      </c>
      <c r="L346" s="1">
        <v>128967600</v>
      </c>
      <c r="M346" s="1">
        <v>0.20094892050400001</v>
      </c>
      <c r="N346" s="1">
        <v>28993260</v>
      </c>
      <c r="O346" s="1">
        <v>92053720</v>
      </c>
      <c r="P346" s="1">
        <v>0.31496022105400001</v>
      </c>
      <c r="Q346" s="216">
        <f t="shared" si="5"/>
        <v>812553920</v>
      </c>
      <c r="R346" s="1">
        <v>102490100</v>
      </c>
      <c r="S346" s="1">
        <v>815967700</v>
      </c>
      <c r="T346" s="1">
        <v>0.12560558463300001</v>
      </c>
      <c r="U346" s="1">
        <v>909</v>
      </c>
      <c r="V346" s="1">
        <v>0</v>
      </c>
      <c r="W346" s="1">
        <v>99</v>
      </c>
      <c r="X346" s="1">
        <v>175</v>
      </c>
      <c r="Y346" s="1">
        <v>0</v>
      </c>
      <c r="Z346" s="1">
        <v>0</v>
      </c>
      <c r="AA346" s="1">
        <v>49</v>
      </c>
      <c r="AB346" s="1">
        <v>103</v>
      </c>
      <c r="AC346" s="1" t="s">
        <v>1344</v>
      </c>
    </row>
    <row r="347" spans="1:29" x14ac:dyDescent="0.25">
      <c r="A347" s="2"/>
      <c r="B347" s="2"/>
      <c r="C347" s="2" t="s">
        <v>75</v>
      </c>
      <c r="D347" s="2"/>
      <c r="E347" s="2"/>
      <c r="F347" s="197"/>
      <c r="G347" s="2">
        <v>1698</v>
      </c>
      <c r="H347" s="2">
        <v>58249900</v>
      </c>
      <c r="I347" s="2">
        <v>831232200</v>
      </c>
      <c r="J347" s="2">
        <v>7.0076568256099994E-2</v>
      </c>
      <c r="K347" s="2">
        <v>55639200</v>
      </c>
      <c r="L347" s="2">
        <v>291356500</v>
      </c>
      <c r="M347" s="2">
        <v>0.190966050183</v>
      </c>
      <c r="N347" s="2">
        <v>31610920</v>
      </c>
      <c r="O347" s="2">
        <v>116373020</v>
      </c>
      <c r="P347" s="2">
        <v>0.27163443897900003</v>
      </c>
      <c r="Q347" s="217">
        <f t="shared" si="5"/>
        <v>1238961720</v>
      </c>
      <c r="R347" s="2">
        <v>146591800</v>
      </c>
      <c r="S347" s="2">
        <v>1243154500</v>
      </c>
      <c r="T347" s="2">
        <v>0.117919212777</v>
      </c>
      <c r="U347" s="2">
        <v>1151</v>
      </c>
      <c r="V347" s="2">
        <v>40</v>
      </c>
      <c r="W347" s="2">
        <v>101</v>
      </c>
      <c r="X347" s="2">
        <v>221</v>
      </c>
      <c r="Y347" s="2">
        <v>1</v>
      </c>
      <c r="Z347" s="2">
        <v>0</v>
      </c>
      <c r="AA347" s="2">
        <v>59</v>
      </c>
      <c r="AB347" s="2">
        <v>125</v>
      </c>
      <c r="AC347" s="2" t="s">
        <v>1344</v>
      </c>
    </row>
    <row r="348" spans="1:29" x14ac:dyDescent="0.25">
      <c r="A348" s="2">
        <v>540219</v>
      </c>
      <c r="B348" s="2" t="s">
        <v>273</v>
      </c>
      <c r="C348" s="2" t="s">
        <v>95</v>
      </c>
      <c r="D348" s="2" t="s">
        <v>115</v>
      </c>
      <c r="E348" s="2">
        <v>1</v>
      </c>
      <c r="F348" s="197"/>
      <c r="G348" s="2">
        <v>467</v>
      </c>
      <c r="H348" s="2">
        <v>6281700</v>
      </c>
      <c r="I348" s="2">
        <v>12125900</v>
      </c>
      <c r="J348" s="2">
        <v>0.51803989806899997</v>
      </c>
      <c r="K348" s="2">
        <v>15640900</v>
      </c>
      <c r="L348" s="2">
        <v>16728600</v>
      </c>
      <c r="M348" s="2">
        <v>0.93497961574800004</v>
      </c>
      <c r="N348" s="2">
        <v>2067690</v>
      </c>
      <c r="O348" s="2">
        <v>3196950</v>
      </c>
      <c r="P348" s="2">
        <v>0.64676957725299999</v>
      </c>
      <c r="Q348" s="217">
        <f t="shared" si="5"/>
        <v>32051450</v>
      </c>
      <c r="R348" s="2">
        <v>24358300</v>
      </c>
      <c r="S348" s="2">
        <v>32690400</v>
      </c>
      <c r="T348" s="2">
        <v>0.74512089175999996</v>
      </c>
      <c r="U348" s="2">
        <v>293</v>
      </c>
      <c r="V348" s="2">
        <v>0</v>
      </c>
      <c r="W348" s="2">
        <v>3</v>
      </c>
      <c r="X348" s="2">
        <v>111</v>
      </c>
      <c r="Y348" s="2">
        <v>0</v>
      </c>
      <c r="Z348" s="2">
        <v>0</v>
      </c>
      <c r="AA348" s="2">
        <v>56</v>
      </c>
      <c r="AB348" s="2">
        <v>4</v>
      </c>
      <c r="AC348" s="2" t="s">
        <v>1344</v>
      </c>
    </row>
    <row r="349" spans="1:29" x14ac:dyDescent="0.25">
      <c r="A349" s="2">
        <v>540220</v>
      </c>
      <c r="B349" s="2" t="s">
        <v>274</v>
      </c>
      <c r="C349" s="2" t="s">
        <v>95</v>
      </c>
      <c r="D349" s="2" t="s">
        <v>115</v>
      </c>
      <c r="E349" s="2">
        <v>1</v>
      </c>
      <c r="F349" s="197"/>
      <c r="G349" s="2">
        <v>128</v>
      </c>
      <c r="H349" s="2">
        <v>2140700</v>
      </c>
      <c r="I349" s="2">
        <v>9451600</v>
      </c>
      <c r="J349" s="2">
        <v>0.226490752888</v>
      </c>
      <c r="K349" s="2">
        <v>2440600</v>
      </c>
      <c r="L349" s="2">
        <v>25843400</v>
      </c>
      <c r="M349" s="2">
        <v>9.4438038338599997E-2</v>
      </c>
      <c r="N349" s="2">
        <v>342920</v>
      </c>
      <c r="O349" s="2">
        <v>12476660</v>
      </c>
      <c r="P349" s="2">
        <v>2.7484919842300001E-2</v>
      </c>
      <c r="Q349" s="217">
        <f t="shared" si="5"/>
        <v>47771660</v>
      </c>
      <c r="R349" s="2">
        <v>5149300</v>
      </c>
      <c r="S349" s="2">
        <v>48363300</v>
      </c>
      <c r="T349" s="2">
        <v>0.106471229217</v>
      </c>
      <c r="U349" s="2">
        <v>98</v>
      </c>
      <c r="V349" s="2">
        <v>0</v>
      </c>
      <c r="W349" s="2">
        <v>2</v>
      </c>
      <c r="X349" s="2">
        <v>9</v>
      </c>
      <c r="Y349" s="2">
        <v>0</v>
      </c>
      <c r="Z349" s="2">
        <v>4</v>
      </c>
      <c r="AA349" s="2">
        <v>13</v>
      </c>
      <c r="AB349" s="2">
        <v>2</v>
      </c>
      <c r="AC349" s="2" t="s">
        <v>1344</v>
      </c>
    </row>
    <row r="350" spans="1:29" x14ac:dyDescent="0.25">
      <c r="A350" s="2">
        <v>540218</v>
      </c>
      <c r="B350" s="2" t="s">
        <v>272</v>
      </c>
      <c r="C350" s="2" t="s">
        <v>95</v>
      </c>
      <c r="D350" s="2" t="s">
        <v>115</v>
      </c>
      <c r="E350" s="2">
        <v>1</v>
      </c>
      <c r="F350" s="197"/>
      <c r="G350" s="2">
        <v>97</v>
      </c>
      <c r="H350" s="2">
        <v>996200</v>
      </c>
      <c r="I350" s="2">
        <v>19016600</v>
      </c>
      <c r="J350" s="2">
        <v>5.2385810292100002E-2</v>
      </c>
      <c r="K350" s="2">
        <v>2836300</v>
      </c>
      <c r="L350" s="2">
        <v>9486400</v>
      </c>
      <c r="M350" s="2">
        <v>0.298985916681</v>
      </c>
      <c r="N350" s="2">
        <v>722710</v>
      </c>
      <c r="O350" s="2">
        <v>3133140</v>
      </c>
      <c r="P350" s="2">
        <v>0.23066636026500001</v>
      </c>
      <c r="Q350" s="217">
        <f t="shared" si="5"/>
        <v>31636140</v>
      </c>
      <c r="R350" s="2">
        <v>13944000</v>
      </c>
      <c r="S350" s="2">
        <v>35525100</v>
      </c>
      <c r="T350" s="2">
        <v>0.392511210384</v>
      </c>
      <c r="U350" s="2">
        <v>41</v>
      </c>
      <c r="V350" s="2">
        <v>0</v>
      </c>
      <c r="W350" s="2">
        <v>0</v>
      </c>
      <c r="X350" s="2">
        <v>33</v>
      </c>
      <c r="Y350" s="2">
        <v>0</v>
      </c>
      <c r="Z350" s="2">
        <v>0</v>
      </c>
      <c r="AA350" s="2">
        <v>21</v>
      </c>
      <c r="AB350" s="2">
        <v>2</v>
      </c>
      <c r="AC350" s="2" t="s">
        <v>1344</v>
      </c>
    </row>
    <row r="351" spans="1:29" x14ac:dyDescent="0.25">
      <c r="A351" s="1">
        <v>540217</v>
      </c>
      <c r="B351" s="1" t="s">
        <v>94</v>
      </c>
      <c r="C351" s="1" t="s">
        <v>95</v>
      </c>
      <c r="D351" s="1" t="s">
        <v>5</v>
      </c>
      <c r="E351" s="1">
        <v>1</v>
      </c>
      <c r="F351" s="215"/>
      <c r="G351" s="1">
        <v>3252</v>
      </c>
      <c r="H351" s="1">
        <v>36860500</v>
      </c>
      <c r="I351" s="1">
        <v>146115300</v>
      </c>
      <c r="J351" s="1">
        <v>0.25226995393399998</v>
      </c>
      <c r="K351" s="1">
        <v>23618700</v>
      </c>
      <c r="L351" s="1">
        <v>87517200</v>
      </c>
      <c r="M351" s="1">
        <v>0.26987495029500003</v>
      </c>
      <c r="N351" s="1">
        <v>19168940</v>
      </c>
      <c r="O351" s="1">
        <v>59009100</v>
      </c>
      <c r="P351" s="1">
        <v>0.32484718458700002</v>
      </c>
      <c r="Q351" s="216">
        <f t="shared" si="5"/>
        <v>292641600</v>
      </c>
      <c r="R351" s="1">
        <v>86718800</v>
      </c>
      <c r="S351" s="1">
        <v>302251600</v>
      </c>
      <c r="T351" s="1">
        <v>0.28690931660899999</v>
      </c>
      <c r="U351" s="1">
        <v>2851</v>
      </c>
      <c r="V351" s="1">
        <v>0</v>
      </c>
      <c r="W351" s="1">
        <v>10</v>
      </c>
      <c r="X351" s="1">
        <v>167</v>
      </c>
      <c r="Y351" s="1">
        <v>5</v>
      </c>
      <c r="Z351" s="1">
        <v>3</v>
      </c>
      <c r="AA351" s="1">
        <v>170</v>
      </c>
      <c r="AB351" s="1">
        <v>46</v>
      </c>
      <c r="AC351" s="1" t="s">
        <v>1344</v>
      </c>
    </row>
    <row r="352" spans="1:29" x14ac:dyDescent="0.25">
      <c r="A352" s="2"/>
      <c r="B352" s="2"/>
      <c r="C352" s="2" t="s">
        <v>95</v>
      </c>
      <c r="D352" s="2"/>
      <c r="E352" s="2"/>
      <c r="F352" s="197"/>
      <c r="G352" s="2">
        <v>3944</v>
      </c>
      <c r="H352" s="2">
        <v>46279100</v>
      </c>
      <c r="I352" s="2">
        <v>186709400</v>
      </c>
      <c r="J352" s="2">
        <v>0.24786700615999999</v>
      </c>
      <c r="K352" s="2">
        <v>44536500</v>
      </c>
      <c r="L352" s="2">
        <v>139575600</v>
      </c>
      <c r="M352" s="2">
        <v>0.31908514095599999</v>
      </c>
      <c r="N352" s="2">
        <v>22302260</v>
      </c>
      <c r="O352" s="2">
        <v>77815850</v>
      </c>
      <c r="P352" s="2">
        <v>0.28660305066399999</v>
      </c>
      <c r="Q352" s="217">
        <f t="shared" si="5"/>
        <v>404100850</v>
      </c>
      <c r="R352" s="2">
        <v>130170400</v>
      </c>
      <c r="S352" s="2">
        <v>418830400</v>
      </c>
      <c r="T352" s="2">
        <v>0.310795013924</v>
      </c>
      <c r="U352" s="2">
        <v>3283</v>
      </c>
      <c r="V352" s="2">
        <v>0</v>
      </c>
      <c r="W352" s="2">
        <v>15</v>
      </c>
      <c r="X352" s="2">
        <v>320</v>
      </c>
      <c r="Y352" s="2">
        <v>5</v>
      </c>
      <c r="Z352" s="2">
        <v>7</v>
      </c>
      <c r="AA352" s="2">
        <v>260</v>
      </c>
      <c r="AB352" s="2">
        <v>54</v>
      </c>
      <c r="AC352" s="2" t="s">
        <v>1344</v>
      </c>
    </row>
    <row r="353" spans="1:31" x14ac:dyDescent="0.25">
      <c r="A353" s="2" t="s">
        <v>535</v>
      </c>
      <c r="B353" s="2"/>
      <c r="C353" s="2"/>
      <c r="D353" s="2"/>
      <c r="E353" s="2"/>
      <c r="F353" s="197"/>
      <c r="G353" s="2"/>
      <c r="H353" s="2"/>
      <c r="I353" s="2"/>
      <c r="J353" s="2"/>
      <c r="K353" s="2"/>
      <c r="L353" s="2"/>
      <c r="M353" s="2"/>
      <c r="N353" s="2"/>
      <c r="O353" s="2"/>
      <c r="P353" s="2"/>
      <c r="Q353" s="217">
        <f t="shared" si="5"/>
        <v>0</v>
      </c>
      <c r="R353" s="2"/>
      <c r="S353" s="2"/>
      <c r="T353" s="2"/>
      <c r="U353" s="2"/>
      <c r="V353" s="2"/>
      <c r="W353" s="2"/>
      <c r="X353" s="2"/>
      <c r="Y353" s="2"/>
      <c r="Z353" s="2"/>
      <c r="AA353" s="2"/>
      <c r="AB353" s="2"/>
      <c r="AC353" s="2"/>
    </row>
    <row r="354" spans="1:31" x14ac:dyDescent="0.25">
      <c r="A354" s="2">
        <v>540152</v>
      </c>
      <c r="B354" s="2" t="s">
        <v>229</v>
      </c>
      <c r="C354" s="2" t="s">
        <v>544</v>
      </c>
      <c r="D354" s="2" t="s">
        <v>115</v>
      </c>
      <c r="E354" s="2" t="s">
        <v>545</v>
      </c>
      <c r="F354" s="197"/>
      <c r="G354" s="2">
        <v>2665</v>
      </c>
      <c r="H354" s="2">
        <v>92488000</v>
      </c>
      <c r="I354" s="2">
        <v>789653400</v>
      </c>
      <c r="J354" s="2">
        <v>0.11712480437599999</v>
      </c>
      <c r="K354" s="2">
        <v>192767400</v>
      </c>
      <c r="L354" s="2">
        <v>855389500</v>
      </c>
      <c r="M354" s="2">
        <v>0.225356285061</v>
      </c>
      <c r="N354" s="2">
        <v>28519310</v>
      </c>
      <c r="O354" s="2">
        <v>110638160</v>
      </c>
      <c r="P354" s="2">
        <v>0.25777100776099998</v>
      </c>
      <c r="Q354" s="217">
        <f t="shared" si="5"/>
        <v>1755681060</v>
      </c>
      <c r="R354" s="2">
        <v>380482750</v>
      </c>
      <c r="S354" s="2">
        <v>1775106250</v>
      </c>
      <c r="T354" s="2">
        <v>0.214343648444</v>
      </c>
      <c r="U354" s="2">
        <v>2177</v>
      </c>
      <c r="V354" s="2">
        <v>30</v>
      </c>
      <c r="W354" s="2">
        <v>0</v>
      </c>
      <c r="X354" s="2">
        <v>340</v>
      </c>
      <c r="Y354" s="2">
        <v>7</v>
      </c>
      <c r="Z354" s="2">
        <v>4</v>
      </c>
      <c r="AA354" s="2">
        <v>91</v>
      </c>
      <c r="AB354" s="2">
        <v>16</v>
      </c>
      <c r="AC354" s="2"/>
    </row>
    <row r="355" spans="1:31" x14ac:dyDescent="0.25">
      <c r="A355" s="2">
        <v>540196</v>
      </c>
      <c r="B355" s="2" t="s">
        <v>259</v>
      </c>
      <c r="C355" s="2" t="s">
        <v>546</v>
      </c>
      <c r="D355" s="2" t="s">
        <v>115</v>
      </c>
      <c r="E355" s="2" t="s">
        <v>547</v>
      </c>
      <c r="F355" s="197"/>
      <c r="G355" s="2">
        <v>8</v>
      </c>
      <c r="H355" s="2">
        <v>0</v>
      </c>
      <c r="I355" s="2">
        <v>59821200</v>
      </c>
      <c r="J355" s="2">
        <v>0</v>
      </c>
      <c r="K355" s="2">
        <v>0</v>
      </c>
      <c r="L355" s="2">
        <v>7343300</v>
      </c>
      <c r="M355" s="2">
        <v>0</v>
      </c>
      <c r="N355" s="2">
        <v>153760</v>
      </c>
      <c r="O355" s="2">
        <v>13258140</v>
      </c>
      <c r="P355" s="2">
        <v>1.15974035574E-2</v>
      </c>
      <c r="Q355" s="217">
        <f t="shared" si="5"/>
        <v>80422640</v>
      </c>
      <c r="R355" s="2">
        <v>2574900</v>
      </c>
      <c r="S355" s="2">
        <v>81735600</v>
      </c>
      <c r="T355" s="2">
        <v>3.1502796822899998E-2</v>
      </c>
      <c r="U355" s="2">
        <v>2</v>
      </c>
      <c r="V355" s="2">
        <v>0</v>
      </c>
      <c r="W355" s="2">
        <v>0</v>
      </c>
      <c r="X355" s="2">
        <v>0</v>
      </c>
      <c r="Y355" s="2">
        <v>0</v>
      </c>
      <c r="Z355" s="2">
        <v>0</v>
      </c>
      <c r="AA355" s="2">
        <v>5</v>
      </c>
      <c r="AB355" s="2">
        <v>1</v>
      </c>
      <c r="AC355" s="2"/>
    </row>
    <row r="356" spans="1:31" x14ac:dyDescent="0.25">
      <c r="A356" s="2">
        <v>540041</v>
      </c>
      <c r="B356" s="2" t="s">
        <v>142</v>
      </c>
      <c r="C356" s="2" t="s">
        <v>540</v>
      </c>
      <c r="D356" s="2" t="s">
        <v>115</v>
      </c>
      <c r="E356" s="2" t="s">
        <v>541</v>
      </c>
      <c r="F356" s="197"/>
      <c r="G356" s="2">
        <v>313</v>
      </c>
      <c r="H356" s="2">
        <v>10354400</v>
      </c>
      <c r="I356" s="2">
        <v>25833500</v>
      </c>
      <c r="J356" s="2">
        <v>0.400812897981</v>
      </c>
      <c r="K356" s="2">
        <v>2171700</v>
      </c>
      <c r="L356" s="2">
        <v>4806300</v>
      </c>
      <c r="M356" s="2">
        <v>0.45184445415399999</v>
      </c>
      <c r="N356" s="2">
        <v>1217010</v>
      </c>
      <c r="O356" s="2">
        <v>2045710</v>
      </c>
      <c r="P356" s="2">
        <v>0.59490836922099999</v>
      </c>
      <c r="Q356" s="217">
        <f t="shared" si="5"/>
        <v>32685510</v>
      </c>
      <c r="R356" s="2">
        <v>13925800</v>
      </c>
      <c r="S356" s="2">
        <v>32909800</v>
      </c>
      <c r="T356" s="2">
        <v>0.42315055089999998</v>
      </c>
      <c r="U356" s="2">
        <v>267</v>
      </c>
      <c r="V356" s="2">
        <v>1</v>
      </c>
      <c r="W356" s="2">
        <v>0</v>
      </c>
      <c r="X356" s="2">
        <v>32</v>
      </c>
      <c r="Y356" s="2">
        <v>0</v>
      </c>
      <c r="Z356" s="2">
        <v>0</v>
      </c>
      <c r="AA356" s="2">
        <v>9</v>
      </c>
      <c r="AB356" s="2">
        <v>4</v>
      </c>
      <c r="AC356" s="2"/>
    </row>
    <row r="357" spans="1:31" x14ac:dyDescent="0.25">
      <c r="A357" s="2">
        <v>540018</v>
      </c>
      <c r="B357" s="2" t="s">
        <v>127</v>
      </c>
      <c r="C357" s="2" t="s">
        <v>538</v>
      </c>
      <c r="D357" s="2" t="s">
        <v>115</v>
      </c>
      <c r="E357" s="2" t="s">
        <v>539</v>
      </c>
      <c r="F357" s="197"/>
      <c r="G357" s="2">
        <v>661</v>
      </c>
      <c r="H357" s="2">
        <v>44111700</v>
      </c>
      <c r="I357" s="2">
        <v>1061149400</v>
      </c>
      <c r="J357" s="2">
        <v>4.1569735609300003E-2</v>
      </c>
      <c r="K357" s="2">
        <v>8992600</v>
      </c>
      <c r="L357" s="2">
        <v>607657400</v>
      </c>
      <c r="M357" s="2">
        <v>1.4798799455100001E-2</v>
      </c>
      <c r="N357" s="2">
        <v>2525240</v>
      </c>
      <c r="O357" s="2">
        <v>87600860</v>
      </c>
      <c r="P357" s="2">
        <v>2.8826657637799999E-2</v>
      </c>
      <c r="Q357" s="217">
        <f t="shared" si="5"/>
        <v>1756407660</v>
      </c>
      <c r="R357" s="2">
        <v>56169300</v>
      </c>
      <c r="S357" s="2">
        <v>2231804100</v>
      </c>
      <c r="T357" s="2">
        <v>2.5167665925499998E-2</v>
      </c>
      <c r="U357" s="2">
        <v>597</v>
      </c>
      <c r="V357" s="2">
        <v>1</v>
      </c>
      <c r="W357" s="2">
        <v>0</v>
      </c>
      <c r="X357" s="2">
        <v>35</v>
      </c>
      <c r="Y357" s="2">
        <v>1</v>
      </c>
      <c r="Z357" s="2">
        <v>2</v>
      </c>
      <c r="AA357" s="2">
        <v>17</v>
      </c>
      <c r="AB357" s="2">
        <v>8</v>
      </c>
      <c r="AC357" s="2"/>
    </row>
    <row r="358" spans="1:31" x14ac:dyDescent="0.25">
      <c r="A358" s="2">
        <v>540014</v>
      </c>
      <c r="B358" s="2" t="s">
        <v>124</v>
      </c>
      <c r="C358" s="2" t="s">
        <v>536</v>
      </c>
      <c r="D358" s="2" t="s">
        <v>115</v>
      </c>
      <c r="E358" s="2" t="s">
        <v>537</v>
      </c>
      <c r="F358" s="197"/>
      <c r="G358" s="2">
        <v>235</v>
      </c>
      <c r="H358" s="2">
        <v>8833600</v>
      </c>
      <c r="I358" s="2">
        <v>515045100</v>
      </c>
      <c r="J358" s="2">
        <v>1.71511193874E-2</v>
      </c>
      <c r="K358" s="2">
        <v>143606700</v>
      </c>
      <c r="L358" s="2">
        <v>294664900</v>
      </c>
      <c r="M358" s="2">
        <v>0.48735597622900001</v>
      </c>
      <c r="N358" s="2">
        <v>8430860</v>
      </c>
      <c r="O358" s="2">
        <v>22063390</v>
      </c>
      <c r="P358" s="2">
        <v>0.38211988275600001</v>
      </c>
      <c r="Q358" s="217">
        <f t="shared" si="5"/>
        <v>831773390</v>
      </c>
      <c r="R358" s="2">
        <v>165244900</v>
      </c>
      <c r="S358" s="2">
        <v>812150888</v>
      </c>
      <c r="T358" s="2">
        <v>0.20346576287900001</v>
      </c>
      <c r="U358" s="2">
        <v>116</v>
      </c>
      <c r="V358" s="2">
        <v>9</v>
      </c>
      <c r="W358" s="2">
        <v>0</v>
      </c>
      <c r="X358" s="2">
        <v>73</v>
      </c>
      <c r="Y358" s="2">
        <v>16</v>
      </c>
      <c r="Z358" s="2">
        <v>0</v>
      </c>
      <c r="AA358" s="2">
        <v>12</v>
      </c>
      <c r="AB358" s="2">
        <v>9</v>
      </c>
      <c r="AC358" s="2"/>
    </row>
    <row r="359" spans="1:31" x14ac:dyDescent="0.25">
      <c r="A359" s="2">
        <v>540081</v>
      </c>
      <c r="B359" s="2" t="s">
        <v>176</v>
      </c>
      <c r="C359" s="2" t="s">
        <v>542</v>
      </c>
      <c r="D359" s="2" t="s">
        <v>115</v>
      </c>
      <c r="E359" s="2" t="s">
        <v>543</v>
      </c>
      <c r="F359" s="197"/>
      <c r="G359" s="2">
        <v>614</v>
      </c>
      <c r="H359" s="2">
        <v>30108200</v>
      </c>
      <c r="I359" s="2">
        <v>193687600</v>
      </c>
      <c r="J359" s="2">
        <v>0.155447225326</v>
      </c>
      <c r="K359" s="2">
        <v>12310500</v>
      </c>
      <c r="L359" s="2">
        <v>116071100</v>
      </c>
      <c r="M359" s="2">
        <v>0.106059992539</v>
      </c>
      <c r="N359" s="2">
        <v>1979420</v>
      </c>
      <c r="O359" s="2">
        <v>23535200</v>
      </c>
      <c r="P359" s="2">
        <v>8.41046602536E-2</v>
      </c>
      <c r="Q359" s="217">
        <f t="shared" si="5"/>
        <v>333293900</v>
      </c>
      <c r="R359" s="2">
        <v>44066939</v>
      </c>
      <c r="S359" s="2">
        <v>320863078</v>
      </c>
      <c r="T359" s="2">
        <v>0.13733876541600001</v>
      </c>
      <c r="U359" s="2">
        <v>514</v>
      </c>
      <c r="V359" s="2">
        <v>35</v>
      </c>
      <c r="W359" s="2">
        <v>0</v>
      </c>
      <c r="X359" s="2">
        <v>38</v>
      </c>
      <c r="Y359" s="2">
        <v>0</v>
      </c>
      <c r="Z359" s="2">
        <v>1</v>
      </c>
      <c r="AA359" s="2">
        <v>15</v>
      </c>
      <c r="AB359" s="2">
        <v>11</v>
      </c>
      <c r="AC359" s="2"/>
    </row>
    <row r="360" spans="1:31" x14ac:dyDescent="0.25">
      <c r="A360" s="2">
        <v>540033</v>
      </c>
      <c r="B360" s="2" t="s">
        <v>138</v>
      </c>
      <c r="C360" s="2" t="s">
        <v>1299</v>
      </c>
      <c r="D360" s="2" t="s">
        <v>115</v>
      </c>
      <c r="E360" s="2" t="s">
        <v>1298</v>
      </c>
      <c r="F360" s="197"/>
      <c r="G360" s="2">
        <v>58</v>
      </c>
      <c r="H360" s="2">
        <v>1820700</v>
      </c>
      <c r="I360" s="2">
        <v>14162900</v>
      </c>
      <c r="J360" s="2">
        <v>0.128554180288</v>
      </c>
      <c r="K360" s="2">
        <v>394400</v>
      </c>
      <c r="L360" s="2">
        <v>5821800</v>
      </c>
      <c r="M360" s="2">
        <v>6.77453708475E-2</v>
      </c>
      <c r="N360" s="2">
        <v>920010</v>
      </c>
      <c r="O360" s="2">
        <v>11314550</v>
      </c>
      <c r="P360" s="2">
        <v>8.1312115815500005E-2</v>
      </c>
      <c r="Q360" s="217">
        <f t="shared" si="5"/>
        <v>31299250</v>
      </c>
      <c r="R360" s="2">
        <v>3145700</v>
      </c>
      <c r="S360" s="2">
        <v>31541500</v>
      </c>
      <c r="T360" s="2">
        <v>9.9732098980699999E-2</v>
      </c>
      <c r="U360" s="2">
        <v>43</v>
      </c>
      <c r="V360" s="2">
        <v>0</v>
      </c>
      <c r="W360" s="2">
        <v>0</v>
      </c>
      <c r="X360" s="2">
        <v>12</v>
      </c>
      <c r="Y360" s="2">
        <v>1</v>
      </c>
      <c r="Z360" s="2">
        <v>0</v>
      </c>
      <c r="AA360" s="2">
        <v>2</v>
      </c>
      <c r="AB360" s="2">
        <v>0</v>
      </c>
      <c r="AC360" s="2"/>
    </row>
    <row r="361" spans="1:31" x14ac:dyDescent="0.25">
      <c r="A361" s="2">
        <v>540029</v>
      </c>
      <c r="B361" s="2" t="s">
        <v>134</v>
      </c>
      <c r="C361" s="2" t="s">
        <v>1299</v>
      </c>
      <c r="D361" s="2" t="s">
        <v>115</v>
      </c>
      <c r="E361" s="2" t="s">
        <v>1298</v>
      </c>
      <c r="F361" s="197"/>
      <c r="G361" s="2">
        <v>61</v>
      </c>
      <c r="H361" s="2">
        <v>2032900</v>
      </c>
      <c r="I361" s="2">
        <v>23959500</v>
      </c>
      <c r="J361" s="2">
        <v>8.4847346564000004E-2</v>
      </c>
      <c r="K361" s="2">
        <v>1148600</v>
      </c>
      <c r="L361" s="2">
        <v>17878900</v>
      </c>
      <c r="M361" s="2">
        <v>6.4243325931699999E-2</v>
      </c>
      <c r="N361" s="2">
        <v>117180</v>
      </c>
      <c r="O361" s="2">
        <v>29717240</v>
      </c>
      <c r="P361" s="2">
        <v>3.9431656506500002E-3</v>
      </c>
      <c r="Q361" s="217">
        <f t="shared" si="5"/>
        <v>71555640</v>
      </c>
      <c r="R361" s="2">
        <v>3324500</v>
      </c>
      <c r="S361" s="2">
        <v>83224480</v>
      </c>
      <c r="T361" s="2">
        <v>3.9946179297199999E-2</v>
      </c>
      <c r="U361" s="2">
        <v>51</v>
      </c>
      <c r="V361" s="2">
        <v>0</v>
      </c>
      <c r="W361" s="2">
        <v>0</v>
      </c>
      <c r="X361" s="2">
        <v>9</v>
      </c>
      <c r="Y361" s="2">
        <v>0</v>
      </c>
      <c r="Z361" s="2">
        <v>0</v>
      </c>
      <c r="AA361" s="2">
        <v>1</v>
      </c>
      <c r="AB361" s="2">
        <v>0</v>
      </c>
      <c r="AC361" s="2"/>
    </row>
    <row r="362" spans="1:31" x14ac:dyDescent="0.25">
      <c r="A362" s="2"/>
      <c r="B362" s="2"/>
      <c r="C362" s="2"/>
      <c r="D362" s="2"/>
      <c r="E362" s="2"/>
      <c r="F362" s="197"/>
      <c r="G362" s="2"/>
      <c r="H362" s="2"/>
      <c r="I362" s="2"/>
      <c r="J362" s="2"/>
      <c r="K362" s="2"/>
      <c r="L362" s="2"/>
      <c r="M362" s="2"/>
      <c r="N362" s="2"/>
      <c r="O362" s="2"/>
      <c r="P362" s="2"/>
      <c r="Q362" s="2"/>
      <c r="R362" s="2"/>
      <c r="S362" s="2"/>
      <c r="T362" s="2"/>
      <c r="U362" s="2"/>
      <c r="V362" s="2"/>
      <c r="W362" s="2"/>
      <c r="X362" s="2"/>
      <c r="Y362" s="2"/>
      <c r="Z362" s="2"/>
      <c r="AA362" s="2"/>
      <c r="AB362" s="2"/>
      <c r="AC362" s="2"/>
    </row>
    <row r="363" spans="1:31" x14ac:dyDescent="0.25">
      <c r="A363" s="2"/>
      <c r="B363" s="2"/>
      <c r="C363" s="2"/>
      <c r="D363" s="2"/>
      <c r="E363" s="2"/>
      <c r="F363" s="197"/>
      <c r="G363" s="2"/>
      <c r="H363" s="2"/>
      <c r="I363" s="2"/>
      <c r="J363" s="2"/>
      <c r="K363" s="2"/>
      <c r="L363" s="2"/>
      <c r="M363" s="2"/>
      <c r="N363" s="2"/>
      <c r="O363" s="2"/>
      <c r="P363" s="2"/>
      <c r="Q363" s="2"/>
      <c r="R363" s="2"/>
      <c r="S363" s="2"/>
      <c r="T363" s="2"/>
      <c r="U363" s="2"/>
      <c r="V363" s="2"/>
      <c r="W363" s="2"/>
      <c r="X363" s="2"/>
      <c r="Y363" s="2"/>
      <c r="Z363" s="2"/>
      <c r="AA363" s="2"/>
      <c r="AB363" s="2"/>
      <c r="AC363" s="2"/>
    </row>
    <row r="364" spans="1:31" x14ac:dyDescent="0.25">
      <c r="A364" s="2"/>
      <c r="B364" s="2"/>
      <c r="C364" s="2"/>
      <c r="D364" s="2"/>
      <c r="E364" s="2"/>
      <c r="F364" s="197"/>
      <c r="G364" s="2">
        <f>SUM(G2:G361)</f>
        <v>218099</v>
      </c>
      <c r="H364" s="2"/>
      <c r="I364" s="2"/>
      <c r="J364" s="2"/>
      <c r="K364" s="2"/>
      <c r="L364" s="2"/>
      <c r="M364" s="2"/>
      <c r="N364" s="2"/>
      <c r="O364" s="2"/>
      <c r="P364" s="2"/>
      <c r="Q364" s="112">
        <f>SUM(Q66:Q361)</f>
        <v>142692360380</v>
      </c>
      <c r="R364" s="112">
        <f>SUM(R66:R361)</f>
        <v>47826588689</v>
      </c>
      <c r="S364" s="112">
        <f>SUM(S66:S361)</f>
        <v>156549691242</v>
      </c>
      <c r="T364" s="2"/>
      <c r="U364" s="2"/>
      <c r="V364" s="2"/>
      <c r="W364" s="2"/>
      <c r="X364" s="2"/>
      <c r="Y364" s="2"/>
      <c r="Z364" s="2"/>
      <c r="AA364" s="2"/>
      <c r="AB364" s="2"/>
      <c r="AC364" s="2"/>
    </row>
    <row r="365" spans="1:31" x14ac:dyDescent="0.25">
      <c r="A365" s="223"/>
      <c r="B365" s="223"/>
      <c r="C365" s="223"/>
      <c r="D365" s="223"/>
      <c r="E365" s="223"/>
      <c r="F365" s="224"/>
      <c r="G365" s="223"/>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row>
    <row r="366" spans="1:31" x14ac:dyDescent="0.25">
      <c r="A366" s="225" t="s">
        <v>1336</v>
      </c>
      <c r="B366" s="225"/>
      <c r="C366" s="225"/>
      <c r="D366" s="225"/>
      <c r="E366" s="225"/>
      <c r="F366" s="225"/>
      <c r="G366" s="225"/>
      <c r="H366" s="225"/>
      <c r="I366" s="225"/>
      <c r="J366" s="225"/>
      <c r="K366" s="225"/>
      <c r="L366" s="225"/>
      <c r="M366" s="225"/>
      <c r="N366" s="225"/>
      <c r="O366" s="225"/>
      <c r="P366" s="225"/>
      <c r="Q366" s="225"/>
      <c r="R366" s="225"/>
      <c r="S366" s="225"/>
      <c r="T366" s="225"/>
      <c r="U366" s="225"/>
      <c r="V366" s="225"/>
      <c r="W366" s="225"/>
      <c r="X366" s="225"/>
      <c r="Y366" s="225"/>
      <c r="Z366" s="225"/>
      <c r="AA366" s="225"/>
      <c r="AB366" s="225"/>
      <c r="AC366" s="225"/>
      <c r="AD366" s="225"/>
      <c r="AE366" s="225"/>
    </row>
    <row r="367" spans="1:31" x14ac:dyDescent="0.25">
      <c r="A367" s="225"/>
      <c r="B367" s="225"/>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c r="Y367" s="225"/>
      <c r="Z367" s="225"/>
      <c r="AA367" s="225"/>
      <c r="AB367" s="225"/>
      <c r="AC367" s="225"/>
      <c r="AD367" s="225"/>
      <c r="AE367" s="225"/>
    </row>
    <row r="368" spans="1:31" x14ac:dyDescent="0.25">
      <c r="A368" s="225" t="s">
        <v>451</v>
      </c>
      <c r="B368" s="225"/>
      <c r="C368" s="225"/>
      <c r="D368" s="225"/>
      <c r="E368" s="225"/>
      <c r="F368" s="225"/>
      <c r="G368" s="225"/>
      <c r="H368" s="225"/>
      <c r="I368" s="225"/>
      <c r="J368" s="225"/>
      <c r="K368" s="225"/>
      <c r="L368" s="225"/>
      <c r="M368" s="225"/>
      <c r="N368" s="225"/>
      <c r="O368" s="225"/>
      <c r="P368" s="225"/>
      <c r="Q368" s="225"/>
      <c r="R368" s="225"/>
      <c r="S368" s="225"/>
      <c r="T368" s="225"/>
      <c r="U368" s="225"/>
      <c r="V368" s="225"/>
      <c r="W368" s="225"/>
      <c r="X368" s="225"/>
      <c r="Y368" s="225"/>
      <c r="Z368" s="225"/>
      <c r="AA368" s="225"/>
      <c r="AB368" s="225"/>
      <c r="AC368" s="225"/>
      <c r="AD368" s="225"/>
      <c r="AE368" s="225"/>
    </row>
    <row r="369" spans="1:31" x14ac:dyDescent="0.25">
      <c r="A369" s="225"/>
      <c r="B369" s="225"/>
      <c r="C369" s="225"/>
      <c r="D369" s="225"/>
      <c r="E369" s="225"/>
      <c r="F369" s="225"/>
      <c r="G369" s="225"/>
      <c r="H369" s="225"/>
      <c r="I369" s="225"/>
      <c r="J369" s="225"/>
      <c r="K369" s="225"/>
      <c r="L369" s="225"/>
      <c r="M369" s="225"/>
      <c r="N369" s="225"/>
      <c r="O369" s="225"/>
      <c r="P369" s="225"/>
      <c r="Q369" s="225"/>
      <c r="R369" s="225"/>
      <c r="S369" s="225"/>
      <c r="T369" s="225"/>
      <c r="U369" s="225"/>
      <c r="V369" s="225"/>
      <c r="W369" s="225"/>
      <c r="X369" s="225"/>
      <c r="Y369" s="225"/>
      <c r="Z369" s="225"/>
      <c r="AA369" s="225"/>
      <c r="AB369" s="225"/>
      <c r="AC369" s="225"/>
      <c r="AD369" s="225"/>
      <c r="AE369" s="225"/>
    </row>
    <row r="370" spans="1:31" x14ac:dyDescent="0.25">
      <c r="A370" s="225" t="s">
        <v>452</v>
      </c>
      <c r="B370" s="225"/>
      <c r="C370" s="225"/>
      <c r="D370" s="225"/>
      <c r="E370" s="225"/>
      <c r="F370" s="225"/>
      <c r="G370" s="225"/>
      <c r="H370" s="225"/>
      <c r="I370" s="225"/>
      <c r="J370" s="225"/>
      <c r="K370" s="225"/>
      <c r="L370" s="225"/>
      <c r="M370" s="225"/>
      <c r="N370" s="225"/>
      <c r="O370" s="225"/>
      <c r="P370" s="225"/>
      <c r="Q370" s="225"/>
      <c r="R370" s="225"/>
      <c r="S370" s="225"/>
      <c r="T370" s="225"/>
      <c r="U370" s="225"/>
      <c r="V370" s="225"/>
      <c r="W370" s="225"/>
      <c r="X370" s="225"/>
      <c r="Y370" s="225"/>
      <c r="Z370" s="225"/>
      <c r="AA370" s="225"/>
      <c r="AB370" s="225"/>
      <c r="AC370" s="225"/>
      <c r="AD370" s="225"/>
      <c r="AE370" s="225"/>
    </row>
    <row r="371" spans="1:31" x14ac:dyDescent="0.25">
      <c r="A371" s="225" t="s">
        <v>454</v>
      </c>
      <c r="B371" s="225"/>
      <c r="C371" s="225"/>
      <c r="D371" s="225"/>
      <c r="E371" s="225"/>
      <c r="F371" s="225"/>
      <c r="G371" s="225"/>
      <c r="H371" s="225"/>
      <c r="I371" s="225"/>
      <c r="J371" s="225"/>
      <c r="K371" s="225"/>
      <c r="L371" s="225"/>
      <c r="M371" s="225"/>
      <c r="N371" s="225"/>
      <c r="O371" s="225"/>
      <c r="P371" s="225"/>
      <c r="Q371" s="225"/>
      <c r="R371" s="225"/>
      <c r="S371" s="225"/>
      <c r="T371" s="225"/>
      <c r="U371" s="225"/>
      <c r="V371" s="225"/>
      <c r="W371" s="225"/>
      <c r="X371" s="225"/>
      <c r="Y371" s="225"/>
      <c r="Z371" s="225"/>
      <c r="AA371" s="225"/>
      <c r="AB371" s="225"/>
      <c r="AC371" s="225"/>
      <c r="AD371" s="225"/>
      <c r="AE371" s="225"/>
    </row>
    <row r="372" spans="1:31" x14ac:dyDescent="0.25">
      <c r="A372" s="225" t="s">
        <v>456</v>
      </c>
      <c r="B372" s="225"/>
      <c r="C372" s="225"/>
      <c r="D372" s="225"/>
      <c r="E372" s="225"/>
      <c r="F372" s="225"/>
      <c r="G372" s="225"/>
      <c r="H372" s="225"/>
      <c r="I372" s="225"/>
      <c r="J372" s="225"/>
      <c r="K372" s="225"/>
      <c r="L372" s="225"/>
      <c r="M372" s="225"/>
      <c r="N372" s="225"/>
      <c r="O372" s="225"/>
      <c r="P372" s="225"/>
      <c r="Q372" s="225"/>
      <c r="R372" s="225"/>
      <c r="S372" s="225"/>
      <c r="T372" s="225"/>
      <c r="U372" s="225"/>
      <c r="V372" s="225"/>
      <c r="W372" s="225"/>
      <c r="X372" s="225"/>
      <c r="Y372" s="225"/>
      <c r="Z372" s="225"/>
      <c r="AA372" s="225"/>
      <c r="AB372" s="225"/>
      <c r="AC372" s="225"/>
      <c r="AD372" s="225"/>
      <c r="AE372" s="225"/>
    </row>
    <row r="373" spans="1:31" x14ac:dyDescent="0.25">
      <c r="A373" s="225"/>
      <c r="B373" s="225"/>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c r="Y373" s="225"/>
      <c r="Z373" s="225"/>
      <c r="AA373" s="225"/>
      <c r="AB373" s="225"/>
      <c r="AC373" s="225"/>
      <c r="AD373" s="225"/>
      <c r="AE373" s="225"/>
    </row>
    <row r="374" spans="1:31" x14ac:dyDescent="0.25">
      <c r="A374" s="225" t="s">
        <v>453</v>
      </c>
      <c r="B374" s="225"/>
      <c r="C374" s="225"/>
      <c r="D374" s="225"/>
      <c r="E374" s="225"/>
      <c r="F374" s="225"/>
      <c r="G374" s="225"/>
      <c r="H374" s="226"/>
      <c r="I374" s="226"/>
      <c r="J374" s="227"/>
      <c r="K374" s="226"/>
      <c r="L374" s="226"/>
      <c r="M374" s="227"/>
      <c r="N374" s="226"/>
      <c r="O374" s="226"/>
      <c r="P374" s="227"/>
      <c r="Q374" s="227"/>
      <c r="R374" s="226"/>
      <c r="S374" s="226"/>
      <c r="T374" s="227"/>
      <c r="U374" s="225"/>
      <c r="V374" s="225"/>
      <c r="W374" s="225"/>
      <c r="X374" s="225"/>
      <c r="Y374" s="225"/>
      <c r="Z374" s="225"/>
      <c r="AA374" s="225"/>
      <c r="AB374" s="225"/>
      <c r="AC374" s="225"/>
      <c r="AD374" s="225"/>
      <c r="AE374" s="225"/>
    </row>
    <row r="375" spans="1:31" x14ac:dyDescent="0.25">
      <c r="A375" s="225" t="s">
        <v>454</v>
      </c>
      <c r="B375" s="225"/>
      <c r="C375" s="225"/>
      <c r="D375" s="225"/>
      <c r="E375" s="225"/>
      <c r="F375" s="225"/>
      <c r="G375" s="225"/>
      <c r="H375" s="226"/>
      <c r="I375" s="226"/>
      <c r="J375" s="227"/>
      <c r="K375" s="226"/>
      <c r="L375" s="226"/>
      <c r="M375" s="227"/>
      <c r="N375" s="226"/>
      <c r="O375" s="226"/>
      <c r="P375" s="227"/>
      <c r="Q375" s="227"/>
      <c r="R375" s="226"/>
      <c r="S375" s="226"/>
      <c r="T375" s="227"/>
      <c r="U375" s="225"/>
      <c r="V375" s="225"/>
      <c r="W375" s="225"/>
      <c r="X375" s="225"/>
      <c r="Y375" s="225"/>
      <c r="Z375" s="225"/>
      <c r="AA375" s="225"/>
      <c r="AB375" s="225"/>
      <c r="AC375" s="225"/>
      <c r="AD375" s="225"/>
      <c r="AE375" s="225"/>
    </row>
    <row r="376" spans="1:31" x14ac:dyDescent="0.25">
      <c r="A376" s="225" t="s">
        <v>455</v>
      </c>
      <c r="B376" s="225"/>
      <c r="C376" s="225"/>
      <c r="D376" s="225"/>
      <c r="E376" s="225"/>
      <c r="F376" s="225"/>
      <c r="G376" s="225"/>
      <c r="H376" s="226"/>
      <c r="I376" s="226"/>
      <c r="J376" s="227"/>
      <c r="K376" s="226"/>
      <c r="L376" s="226"/>
      <c r="M376" s="227"/>
      <c r="N376" s="226"/>
      <c r="O376" s="226"/>
      <c r="P376" s="227"/>
      <c r="Q376" s="227"/>
      <c r="R376" s="226"/>
      <c r="S376" s="226"/>
      <c r="T376" s="227"/>
      <c r="U376" s="225"/>
      <c r="V376" s="225"/>
      <c r="W376" s="225"/>
      <c r="X376" s="225"/>
      <c r="Y376" s="225"/>
      <c r="Z376" s="225"/>
      <c r="AA376" s="225"/>
      <c r="AB376" s="225"/>
      <c r="AC376" s="225"/>
      <c r="AD376" s="225"/>
      <c r="AE376" s="225"/>
    </row>
    <row r="377" spans="1:31" x14ac:dyDescent="0.25">
      <c r="A377" s="225"/>
      <c r="B377" s="225"/>
      <c r="C377" s="225"/>
      <c r="D377" s="225"/>
      <c r="E377" s="225"/>
      <c r="F377" s="225"/>
      <c r="G377" s="225"/>
      <c r="H377" s="226"/>
      <c r="I377" s="226"/>
      <c r="J377" s="227"/>
      <c r="K377" s="226"/>
      <c r="L377" s="226"/>
      <c r="M377" s="227"/>
      <c r="N377" s="226"/>
      <c r="O377" s="226"/>
      <c r="P377" s="227"/>
      <c r="Q377" s="227"/>
      <c r="R377" s="226"/>
      <c r="S377" s="226"/>
      <c r="T377" s="227"/>
      <c r="U377" s="225"/>
      <c r="V377" s="225"/>
      <c r="W377" s="225"/>
      <c r="X377" s="225"/>
      <c r="Y377" s="225"/>
      <c r="Z377" s="225"/>
      <c r="AA377" s="225"/>
      <c r="AB377" s="225"/>
      <c r="AC377" s="225"/>
      <c r="AD377" s="225"/>
      <c r="AE377" s="225"/>
    </row>
    <row r="378" spans="1:31" x14ac:dyDescent="0.25">
      <c r="A378" s="225"/>
      <c r="B378" s="225"/>
      <c r="C378" s="225"/>
      <c r="D378" s="225"/>
      <c r="E378" s="225"/>
      <c r="F378" s="225"/>
      <c r="G378" s="225"/>
      <c r="H378" s="226"/>
      <c r="I378" s="226"/>
      <c r="J378" s="227"/>
      <c r="K378" s="226"/>
      <c r="L378" s="226"/>
      <c r="M378" s="227"/>
      <c r="N378" s="226"/>
      <c r="O378" s="226"/>
      <c r="P378" s="227"/>
      <c r="Q378" s="227"/>
      <c r="R378" s="226"/>
      <c r="S378" s="226"/>
      <c r="T378" s="227"/>
      <c r="U378" s="225"/>
      <c r="V378" s="225"/>
      <c r="W378" s="225"/>
      <c r="X378" s="225"/>
      <c r="Y378" s="225"/>
      <c r="Z378" s="225"/>
      <c r="AA378" s="225"/>
      <c r="AB378" s="225"/>
      <c r="AC378" s="225"/>
      <c r="AD378" s="225"/>
      <c r="AE378" s="225"/>
    </row>
    <row r="379" spans="1:31" x14ac:dyDescent="0.25">
      <c r="A379" s="225"/>
      <c r="B379" s="225"/>
      <c r="C379" s="225"/>
      <c r="D379" s="225"/>
      <c r="E379" s="225"/>
      <c r="F379" s="225"/>
      <c r="G379" s="225"/>
      <c r="H379" s="226"/>
      <c r="I379" s="226"/>
      <c r="J379" s="227"/>
      <c r="K379" s="226"/>
      <c r="L379" s="226"/>
      <c r="M379" s="227"/>
      <c r="N379" s="226"/>
      <c r="O379" s="226"/>
      <c r="P379" s="227"/>
      <c r="Q379" s="227"/>
      <c r="R379" s="226"/>
      <c r="S379" s="226"/>
      <c r="T379" s="227"/>
      <c r="U379" s="225"/>
      <c r="V379" s="225"/>
      <c r="W379" s="225"/>
      <c r="X379" s="225"/>
      <c r="Y379" s="225"/>
      <c r="Z379" s="225"/>
      <c r="AA379" s="225"/>
      <c r="AB379" s="225"/>
      <c r="AC379" s="225"/>
      <c r="AD379" s="225"/>
      <c r="AE379" s="225"/>
    </row>
    <row r="380" spans="1:31" x14ac:dyDescent="0.25">
      <c r="A380" s="225"/>
      <c r="B380" s="225"/>
      <c r="C380" s="225"/>
      <c r="D380" s="225"/>
      <c r="E380" s="225"/>
      <c r="F380" s="225"/>
      <c r="G380" s="225"/>
      <c r="H380" s="226"/>
      <c r="I380" s="226"/>
      <c r="J380" s="227"/>
      <c r="K380" s="226"/>
      <c r="L380" s="226"/>
      <c r="M380" s="227"/>
      <c r="N380" s="226"/>
      <c r="O380" s="226"/>
      <c r="P380" s="227"/>
      <c r="Q380" s="227"/>
      <c r="R380" s="226"/>
      <c r="S380" s="226"/>
      <c r="T380" s="227"/>
      <c r="U380" s="225"/>
      <c r="V380" s="225"/>
      <c r="W380" s="225"/>
      <c r="X380" s="225"/>
      <c r="Y380" s="225"/>
      <c r="Z380" s="225"/>
      <c r="AA380" s="225"/>
      <c r="AB380" s="225"/>
      <c r="AC380" s="225"/>
      <c r="AD380" s="225"/>
      <c r="AE380" s="225"/>
    </row>
    <row r="381" spans="1:31" x14ac:dyDescent="0.25">
      <c r="A381" s="225"/>
      <c r="B381" s="225"/>
      <c r="C381" s="225"/>
      <c r="D381" s="225"/>
      <c r="E381" s="225"/>
      <c r="F381" s="225"/>
      <c r="G381" s="225"/>
      <c r="H381" s="226"/>
      <c r="I381" s="226"/>
      <c r="J381" s="227"/>
      <c r="K381" s="226"/>
      <c r="L381" s="226"/>
      <c r="M381" s="227"/>
      <c r="N381" s="226"/>
      <c r="O381" s="226"/>
      <c r="P381" s="227"/>
      <c r="Q381" s="227"/>
      <c r="R381" s="226"/>
      <c r="S381" s="226"/>
      <c r="T381" s="227"/>
      <c r="U381" s="225"/>
      <c r="V381" s="225"/>
      <c r="W381" s="225"/>
      <c r="X381" s="225"/>
      <c r="Y381" s="225"/>
      <c r="Z381" s="225"/>
      <c r="AA381" s="225"/>
      <c r="AB381" s="225"/>
      <c r="AC381" s="225"/>
      <c r="AD381" s="225"/>
      <c r="AE381" s="225"/>
    </row>
    <row r="382" spans="1:31" x14ac:dyDescent="0.25">
      <c r="A382" s="225"/>
      <c r="B382" s="225"/>
      <c r="C382" s="225"/>
      <c r="D382" s="225"/>
      <c r="E382" s="225"/>
      <c r="F382" s="225"/>
      <c r="G382" s="225"/>
      <c r="H382" s="226"/>
      <c r="I382" s="226"/>
      <c r="J382" s="227"/>
      <c r="K382" s="226"/>
      <c r="L382" s="226"/>
      <c r="M382" s="227"/>
      <c r="N382" s="226"/>
      <c r="O382" s="226"/>
      <c r="P382" s="227"/>
      <c r="Q382" s="227"/>
      <c r="R382" s="226"/>
      <c r="S382" s="226"/>
      <c r="T382" s="227"/>
      <c r="U382" s="225"/>
      <c r="V382" s="225"/>
      <c r="W382" s="225"/>
      <c r="X382" s="225"/>
      <c r="Y382" s="225"/>
      <c r="Z382" s="225"/>
      <c r="AA382" s="225"/>
      <c r="AB382" s="225"/>
      <c r="AC382" s="225"/>
      <c r="AD382" s="225"/>
      <c r="AE382" s="225"/>
    </row>
    <row r="383" spans="1:31" x14ac:dyDescent="0.25">
      <c r="A383" s="225"/>
      <c r="B383" s="225"/>
      <c r="C383" s="225"/>
      <c r="D383" s="225"/>
      <c r="E383" s="225"/>
      <c r="F383" s="225"/>
      <c r="G383" s="225"/>
      <c r="H383" s="226"/>
      <c r="I383" s="226"/>
      <c r="J383" s="227"/>
      <c r="K383" s="226"/>
      <c r="L383" s="226"/>
      <c r="M383" s="227"/>
      <c r="N383" s="226"/>
      <c r="O383" s="226"/>
      <c r="P383" s="227"/>
      <c r="Q383" s="227"/>
      <c r="R383" s="226"/>
      <c r="S383" s="226"/>
      <c r="T383" s="227"/>
      <c r="U383" s="225"/>
      <c r="V383" s="225"/>
      <c r="W383" s="225"/>
      <c r="X383" s="225"/>
      <c r="Y383" s="225"/>
      <c r="Z383" s="225"/>
      <c r="AA383" s="225"/>
      <c r="AB383" s="225"/>
      <c r="AC383" s="225"/>
      <c r="AD383" s="225"/>
      <c r="AE383" s="225"/>
    </row>
    <row r="384" spans="1:31" x14ac:dyDescent="0.25">
      <c r="A384" s="225"/>
      <c r="B384" s="225"/>
      <c r="C384" s="225"/>
      <c r="D384" s="225"/>
      <c r="E384" s="225"/>
      <c r="F384" s="225"/>
      <c r="G384" s="226"/>
      <c r="H384" s="226"/>
      <c r="I384" s="226"/>
      <c r="J384" s="227"/>
      <c r="K384" s="226"/>
      <c r="L384" s="226"/>
      <c r="M384" s="227"/>
      <c r="N384" s="226"/>
      <c r="O384" s="226"/>
      <c r="P384" s="227"/>
      <c r="Q384" s="227"/>
      <c r="R384" s="226"/>
      <c r="S384" s="226"/>
      <c r="T384" s="227"/>
      <c r="U384" s="225"/>
      <c r="V384" s="225"/>
      <c r="W384" s="225"/>
      <c r="X384" s="225"/>
      <c r="Y384" s="225"/>
      <c r="Z384" s="225"/>
      <c r="AA384" s="225"/>
      <c r="AB384" s="225"/>
      <c r="AC384" s="225"/>
      <c r="AD384" s="225"/>
      <c r="AE384" s="225"/>
    </row>
    <row r="385" spans="1:31" x14ac:dyDescent="0.25">
      <c r="A385" s="225"/>
      <c r="B385" s="225"/>
      <c r="C385" s="225"/>
      <c r="D385" s="225"/>
      <c r="E385" s="225"/>
      <c r="F385" s="225"/>
      <c r="G385" s="226"/>
      <c r="H385" s="226"/>
      <c r="I385" s="226"/>
      <c r="J385" s="227"/>
      <c r="K385" s="226"/>
      <c r="L385" s="226"/>
      <c r="M385" s="227"/>
      <c r="N385" s="226"/>
      <c r="O385" s="226"/>
      <c r="P385" s="227"/>
      <c r="Q385" s="227"/>
      <c r="R385" s="226"/>
      <c r="S385" s="226"/>
      <c r="T385" s="227"/>
      <c r="U385" s="225"/>
      <c r="V385" s="225"/>
      <c r="W385" s="225"/>
      <c r="X385" s="225"/>
      <c r="Y385" s="225"/>
      <c r="Z385" s="225"/>
      <c r="AA385" s="225"/>
      <c r="AB385" s="225"/>
      <c r="AC385" s="225"/>
      <c r="AD385" s="225"/>
      <c r="AE385" s="225"/>
    </row>
    <row r="386" spans="1:31" x14ac:dyDescent="0.25">
      <c r="A386" s="225"/>
      <c r="B386" s="225"/>
      <c r="C386" s="225"/>
      <c r="D386" s="225"/>
      <c r="E386" s="225"/>
      <c r="F386" s="225"/>
      <c r="G386" s="226"/>
      <c r="H386" s="226"/>
      <c r="I386" s="226"/>
      <c r="J386" s="227"/>
      <c r="K386" s="226"/>
      <c r="L386" s="226"/>
      <c r="M386" s="227"/>
      <c r="N386" s="226"/>
      <c r="O386" s="226"/>
      <c r="P386" s="227"/>
      <c r="Q386" s="227"/>
      <c r="R386" s="226"/>
      <c r="S386" s="226"/>
      <c r="T386" s="227"/>
      <c r="U386" s="225"/>
      <c r="V386" s="225"/>
      <c r="W386" s="225"/>
      <c r="X386" s="225"/>
      <c r="Y386" s="225"/>
      <c r="Z386" s="225"/>
      <c r="AA386" s="225"/>
      <c r="AB386" s="225"/>
      <c r="AC386" s="225"/>
      <c r="AD386" s="225"/>
      <c r="AE386" s="225"/>
    </row>
    <row r="387" spans="1:31" x14ac:dyDescent="0.25">
      <c r="A387" s="225"/>
      <c r="B387" s="225"/>
      <c r="C387" s="225"/>
      <c r="D387" s="225"/>
      <c r="E387" s="225"/>
      <c r="F387" s="225"/>
      <c r="G387" s="226"/>
      <c r="H387" s="226"/>
      <c r="I387" s="226"/>
      <c r="J387" s="227"/>
      <c r="K387" s="226"/>
      <c r="L387" s="226"/>
      <c r="M387" s="227"/>
      <c r="N387" s="226"/>
      <c r="O387" s="226"/>
      <c r="P387" s="227"/>
      <c r="Q387" s="227"/>
      <c r="R387" s="226"/>
      <c r="S387" s="226"/>
      <c r="T387" s="227"/>
      <c r="U387" s="225"/>
      <c r="V387" s="225"/>
      <c r="W387" s="225"/>
      <c r="X387" s="225"/>
      <c r="Y387" s="225"/>
      <c r="Z387" s="225"/>
      <c r="AA387" s="225"/>
      <c r="AB387" s="225"/>
      <c r="AC387" s="225"/>
      <c r="AD387" s="225"/>
      <c r="AE387" s="225"/>
    </row>
    <row r="388" spans="1:31" x14ac:dyDescent="0.25">
      <c r="A388" s="225"/>
      <c r="B388" s="225"/>
      <c r="C388" s="225"/>
      <c r="D388" s="225"/>
      <c r="E388" s="225"/>
      <c r="F388" s="225"/>
      <c r="G388" s="226"/>
      <c r="H388" s="226"/>
      <c r="I388" s="226"/>
      <c r="J388" s="227"/>
      <c r="K388" s="226"/>
      <c r="L388" s="226"/>
      <c r="M388" s="227"/>
      <c r="N388" s="226"/>
      <c r="O388" s="226"/>
      <c r="P388" s="227"/>
      <c r="Q388" s="227"/>
      <c r="R388" s="226"/>
      <c r="S388" s="226"/>
      <c r="T388" s="227"/>
      <c r="U388" s="225"/>
      <c r="V388" s="225"/>
      <c r="W388" s="225"/>
      <c r="X388" s="225"/>
      <c r="Y388" s="225"/>
      <c r="Z388" s="225"/>
      <c r="AA388" s="225"/>
      <c r="AB388" s="225"/>
      <c r="AC388" s="225"/>
      <c r="AD388" s="225"/>
      <c r="AE388" s="225"/>
    </row>
    <row r="389" spans="1:31" x14ac:dyDescent="0.25">
      <c r="A389" s="225"/>
      <c r="B389" s="225"/>
      <c r="C389" s="225"/>
      <c r="D389" s="225"/>
      <c r="E389" s="225"/>
      <c r="F389" s="225"/>
      <c r="G389" s="226"/>
      <c r="H389" s="226"/>
      <c r="I389" s="226"/>
      <c r="J389" s="227"/>
      <c r="K389" s="226"/>
      <c r="L389" s="226"/>
      <c r="M389" s="227"/>
      <c r="N389" s="226"/>
      <c r="O389" s="226"/>
      <c r="P389" s="227"/>
      <c r="Q389" s="227"/>
      <c r="R389" s="226"/>
      <c r="S389" s="226"/>
      <c r="T389" s="227"/>
      <c r="U389" s="225"/>
      <c r="V389" s="225"/>
      <c r="W389" s="225"/>
      <c r="X389" s="225"/>
      <c r="Y389" s="225"/>
      <c r="Z389" s="225"/>
      <c r="AA389" s="225"/>
      <c r="AB389" s="225"/>
      <c r="AC389" s="225"/>
      <c r="AD389" s="225"/>
      <c r="AE389" s="225"/>
    </row>
    <row r="390" spans="1:31" x14ac:dyDescent="0.25">
      <c r="F390"/>
      <c r="G390" s="34"/>
    </row>
    <row r="391" spans="1:31" x14ac:dyDescent="0.25">
      <c r="F391"/>
      <c r="G391" s="34"/>
    </row>
    <row r="392" spans="1:31" x14ac:dyDescent="0.25">
      <c r="F392"/>
      <c r="G392" s="34"/>
    </row>
  </sheetData>
  <mergeCells count="2">
    <mergeCell ref="A1:H1"/>
    <mergeCell ref="U1:AB1"/>
  </mergeCells>
  <hyperlinks>
    <hyperlink ref="AE2" r:id="rId1"/>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1"/>
  <sheetViews>
    <sheetView topLeftCell="I1" zoomScale="90" zoomScaleNormal="90" workbookViewId="0">
      <pane ySplit="3" topLeftCell="A4" activePane="bottomLeft" state="frozen"/>
      <selection pane="bottomLeft" activeCell="U2" sqref="U2:V3"/>
    </sheetView>
  </sheetViews>
  <sheetFormatPr defaultRowHeight="15" x14ac:dyDescent="0.25"/>
  <cols>
    <col min="2" max="2" width="22.28515625" customWidth="1"/>
    <col min="3" max="3" width="17.85546875" customWidth="1"/>
    <col min="4" max="4" width="15.85546875" customWidth="1"/>
    <col min="5" max="5" width="9.140625" style="10"/>
    <col min="6" max="6" width="6.5703125" style="10" customWidth="1"/>
    <col min="7" max="8" width="11.28515625" customWidth="1"/>
    <col min="9" max="9" width="11.85546875" style="25" customWidth="1"/>
    <col min="10" max="10" width="9.28515625" style="25" customWidth="1"/>
    <col min="11" max="11" width="11.5703125" style="25" customWidth="1"/>
    <col min="12" max="12" width="13.140625" style="25" customWidth="1"/>
    <col min="13" max="13" width="2.28515625" style="25" customWidth="1"/>
    <col min="14" max="14" width="12.7109375" style="27" customWidth="1"/>
    <col min="15" max="15" width="13" style="27" customWidth="1"/>
    <col min="16" max="16" width="16.28515625" style="27" customWidth="1"/>
    <col min="17" max="17" width="4.28515625" customWidth="1"/>
    <col min="18" max="18" width="13.140625" customWidth="1"/>
    <col min="19" max="19" width="14.85546875" customWidth="1"/>
    <col min="22" max="22" width="121" bestFit="1" customWidth="1"/>
  </cols>
  <sheetData>
    <row r="1" spans="1:22" ht="18.75" x14ac:dyDescent="0.3">
      <c r="A1" s="397" t="s">
        <v>425</v>
      </c>
      <c r="B1" s="397"/>
      <c r="C1" s="397"/>
      <c r="D1" s="397"/>
    </row>
    <row r="2" spans="1:22" x14ac:dyDescent="0.25">
      <c r="U2" s="233" t="s">
        <v>1325</v>
      </c>
      <c r="V2" s="235" t="s">
        <v>1341</v>
      </c>
    </row>
    <row r="3" spans="1:22" s="15" customFormat="1" ht="82.5" customHeight="1" x14ac:dyDescent="0.25">
      <c r="A3" s="19" t="s">
        <v>0</v>
      </c>
      <c r="B3" s="19" t="s">
        <v>1</v>
      </c>
      <c r="C3" s="19" t="s">
        <v>2</v>
      </c>
      <c r="D3" s="19" t="s">
        <v>347</v>
      </c>
      <c r="E3" s="19" t="s">
        <v>416</v>
      </c>
      <c r="F3" s="229" t="s">
        <v>417</v>
      </c>
      <c r="G3" s="19" t="s">
        <v>402</v>
      </c>
      <c r="H3" s="231" t="s">
        <v>1349</v>
      </c>
      <c r="I3" s="231" t="s">
        <v>1350</v>
      </c>
      <c r="J3" s="20" t="s">
        <v>397</v>
      </c>
      <c r="K3" s="20" t="s">
        <v>398</v>
      </c>
      <c r="L3" s="20" t="s">
        <v>400</v>
      </c>
      <c r="M3" s="21"/>
      <c r="N3" s="22" t="s">
        <v>401</v>
      </c>
      <c r="O3" s="22" t="s">
        <v>418</v>
      </c>
      <c r="P3" s="22" t="s">
        <v>399</v>
      </c>
      <c r="R3" s="229" t="s">
        <v>419</v>
      </c>
      <c r="S3" s="229" t="s">
        <v>420</v>
      </c>
      <c r="U3" s="233" t="s">
        <v>1326</v>
      </c>
      <c r="V3" s="235" t="s">
        <v>1347</v>
      </c>
    </row>
    <row r="4" spans="1:22" x14ac:dyDescent="0.25">
      <c r="A4" s="1">
        <v>540001</v>
      </c>
      <c r="B4" s="1" t="s">
        <v>3</v>
      </c>
      <c r="C4" s="1" t="s">
        <v>4</v>
      </c>
      <c r="D4" s="1" t="s">
        <v>5</v>
      </c>
      <c r="E4" s="1">
        <v>7</v>
      </c>
      <c r="F4" s="24" t="s">
        <v>421</v>
      </c>
      <c r="G4" s="1">
        <v>393</v>
      </c>
      <c r="H4" s="1">
        <v>0</v>
      </c>
      <c r="I4" s="1">
        <v>0</v>
      </c>
      <c r="J4" s="1">
        <v>244</v>
      </c>
      <c r="K4" s="1">
        <v>0</v>
      </c>
      <c r="L4" s="1">
        <v>244</v>
      </c>
      <c r="M4" s="1"/>
      <c r="N4" s="1">
        <v>149</v>
      </c>
      <c r="O4" s="1">
        <v>148</v>
      </c>
      <c r="P4" s="1">
        <v>1</v>
      </c>
      <c r="R4" s="230">
        <v>0</v>
      </c>
      <c r="S4" s="230">
        <v>245</v>
      </c>
    </row>
    <row r="5" spans="1:22" x14ac:dyDescent="0.25">
      <c r="A5" s="2">
        <v>540002</v>
      </c>
      <c r="B5" s="2" t="s">
        <v>114</v>
      </c>
      <c r="C5" s="2" t="s">
        <v>4</v>
      </c>
      <c r="D5" s="2" t="s">
        <v>115</v>
      </c>
      <c r="E5" s="2">
        <v>7</v>
      </c>
      <c r="F5" s="200" t="s">
        <v>421</v>
      </c>
      <c r="G5" s="2">
        <v>120</v>
      </c>
      <c r="H5" s="2">
        <v>0</v>
      </c>
      <c r="I5" s="2">
        <v>0</v>
      </c>
      <c r="J5" s="2">
        <v>102</v>
      </c>
      <c r="K5" s="2">
        <v>0</v>
      </c>
      <c r="L5" s="2">
        <v>102</v>
      </c>
      <c r="M5" s="2"/>
      <c r="N5" s="2">
        <v>18</v>
      </c>
      <c r="O5" s="2">
        <v>0</v>
      </c>
      <c r="P5" s="2">
        <v>18</v>
      </c>
      <c r="R5" s="230">
        <v>0</v>
      </c>
      <c r="S5" s="230">
        <v>0</v>
      </c>
    </row>
    <row r="6" spans="1:22" x14ac:dyDescent="0.25">
      <c r="A6" s="2">
        <v>540003</v>
      </c>
      <c r="B6" s="2" t="s">
        <v>116</v>
      </c>
      <c r="C6" s="2" t="s">
        <v>4</v>
      </c>
      <c r="D6" s="2" t="s">
        <v>115</v>
      </c>
      <c r="E6" s="2">
        <v>7</v>
      </c>
      <c r="F6" s="200" t="s">
        <v>421</v>
      </c>
      <c r="G6" s="2">
        <v>12</v>
      </c>
      <c r="H6" s="2">
        <v>0</v>
      </c>
      <c r="I6" s="2">
        <v>0</v>
      </c>
      <c r="J6" s="2">
        <v>9</v>
      </c>
      <c r="K6" s="2">
        <v>0</v>
      </c>
      <c r="L6" s="2">
        <v>9</v>
      </c>
      <c r="M6" s="2"/>
      <c r="N6" s="2">
        <v>3</v>
      </c>
      <c r="O6" s="2">
        <v>3</v>
      </c>
      <c r="P6" s="2">
        <v>0</v>
      </c>
      <c r="R6" s="230">
        <v>0</v>
      </c>
      <c r="S6" s="230">
        <v>9</v>
      </c>
      <c r="T6" s="228" t="s">
        <v>1348</v>
      </c>
    </row>
    <row r="7" spans="1:22" x14ac:dyDescent="0.25">
      <c r="A7" s="2">
        <v>540004</v>
      </c>
      <c r="B7" s="2" t="s">
        <v>117</v>
      </c>
      <c r="C7" s="2" t="s">
        <v>4</v>
      </c>
      <c r="D7" s="2" t="s">
        <v>115</v>
      </c>
      <c r="E7" s="2">
        <v>7</v>
      </c>
      <c r="F7" s="200" t="s">
        <v>421</v>
      </c>
      <c r="G7" s="2">
        <v>264</v>
      </c>
      <c r="H7" s="2">
        <v>0</v>
      </c>
      <c r="I7" s="2">
        <v>0</v>
      </c>
      <c r="J7" s="2">
        <v>201</v>
      </c>
      <c r="K7" s="2">
        <v>0</v>
      </c>
      <c r="L7" s="2">
        <v>201</v>
      </c>
      <c r="M7" s="2"/>
      <c r="N7" s="2">
        <v>63</v>
      </c>
      <c r="O7" s="2">
        <v>2</v>
      </c>
      <c r="P7" s="2">
        <v>61</v>
      </c>
      <c r="R7" s="230">
        <v>0</v>
      </c>
      <c r="S7" s="230">
        <v>2</v>
      </c>
      <c r="T7" s="228" t="s">
        <v>1351</v>
      </c>
    </row>
    <row r="8" spans="1:22" x14ac:dyDescent="0.25">
      <c r="A8" s="1">
        <v>540282</v>
      </c>
      <c r="B8" s="1" t="s">
        <v>106</v>
      </c>
      <c r="C8" s="1" t="s">
        <v>107</v>
      </c>
      <c r="D8" s="1" t="s">
        <v>5</v>
      </c>
      <c r="E8" s="1">
        <v>9</v>
      </c>
      <c r="F8" s="24" t="s">
        <v>421</v>
      </c>
      <c r="G8" s="1">
        <v>570</v>
      </c>
      <c r="H8" s="1">
        <v>0</v>
      </c>
      <c r="I8" s="1">
        <v>0</v>
      </c>
      <c r="J8" s="1">
        <v>87</v>
      </c>
      <c r="K8" s="1">
        <v>557</v>
      </c>
      <c r="L8" s="1">
        <v>558</v>
      </c>
      <c r="M8" s="1"/>
      <c r="N8" s="1">
        <v>12</v>
      </c>
      <c r="O8" s="1">
        <v>6</v>
      </c>
      <c r="P8" s="1">
        <v>6</v>
      </c>
      <c r="R8" s="230">
        <v>0</v>
      </c>
      <c r="S8" s="230">
        <v>38</v>
      </c>
    </row>
    <row r="9" spans="1:22" x14ac:dyDescent="0.25">
      <c r="A9" s="2">
        <v>545550</v>
      </c>
      <c r="B9" s="2" t="s">
        <v>339</v>
      </c>
      <c r="C9" s="2" t="s">
        <v>107</v>
      </c>
      <c r="D9" s="2" t="s">
        <v>115</v>
      </c>
      <c r="E9" s="2">
        <v>9</v>
      </c>
      <c r="F9" s="200" t="s">
        <v>421</v>
      </c>
      <c r="G9" s="2">
        <v>0</v>
      </c>
      <c r="H9" s="2">
        <v>0</v>
      </c>
      <c r="I9" s="2">
        <v>0</v>
      </c>
      <c r="J9" s="2">
        <v>0</v>
      </c>
      <c r="K9" s="2">
        <v>0</v>
      </c>
      <c r="L9" s="2">
        <v>0</v>
      </c>
      <c r="M9" s="2"/>
      <c r="N9" s="2">
        <v>0</v>
      </c>
      <c r="O9" s="2">
        <v>0</v>
      </c>
      <c r="P9" s="2">
        <v>0</v>
      </c>
      <c r="R9" s="230">
        <v>0</v>
      </c>
      <c r="S9" s="230">
        <v>0</v>
      </c>
    </row>
    <row r="10" spans="1:22" x14ac:dyDescent="0.25">
      <c r="A10" s="2">
        <v>540006</v>
      </c>
      <c r="B10" s="2" t="s">
        <v>119</v>
      </c>
      <c r="C10" s="2" t="s">
        <v>107</v>
      </c>
      <c r="D10" s="2" t="s">
        <v>115</v>
      </c>
      <c r="E10" s="2">
        <v>9</v>
      </c>
      <c r="F10" s="200" t="s">
        <v>421</v>
      </c>
      <c r="G10" s="2">
        <v>87</v>
      </c>
      <c r="H10" s="2">
        <v>0</v>
      </c>
      <c r="I10" s="2">
        <v>0</v>
      </c>
      <c r="J10" s="2">
        <v>33</v>
      </c>
      <c r="K10" s="2">
        <v>87</v>
      </c>
      <c r="L10" s="2">
        <v>87</v>
      </c>
      <c r="M10" s="2"/>
      <c r="N10" s="2">
        <v>0</v>
      </c>
      <c r="O10" s="2">
        <v>0</v>
      </c>
      <c r="P10" s="2">
        <v>0</v>
      </c>
      <c r="R10" s="230">
        <v>0</v>
      </c>
      <c r="S10" s="230">
        <v>0</v>
      </c>
    </row>
    <row r="11" spans="1:22" x14ac:dyDescent="0.25">
      <c r="A11" s="1">
        <v>540007</v>
      </c>
      <c r="B11" s="1" t="s">
        <v>6</v>
      </c>
      <c r="C11" s="1" t="s">
        <v>7</v>
      </c>
      <c r="D11" s="1" t="s">
        <v>5</v>
      </c>
      <c r="E11" s="1">
        <v>3</v>
      </c>
      <c r="F11" s="24" t="s">
        <v>421</v>
      </c>
      <c r="G11" s="1">
        <v>2932</v>
      </c>
      <c r="H11" s="1">
        <v>0</v>
      </c>
      <c r="I11" s="1">
        <v>0</v>
      </c>
      <c r="J11" s="1">
        <v>1909</v>
      </c>
      <c r="K11" s="1">
        <v>0</v>
      </c>
      <c r="L11" s="1">
        <v>1909</v>
      </c>
      <c r="M11" s="1"/>
      <c r="N11" s="1">
        <v>1023</v>
      </c>
      <c r="O11" s="1">
        <v>466</v>
      </c>
      <c r="P11" s="1">
        <v>557</v>
      </c>
      <c r="R11" s="230">
        <v>0</v>
      </c>
      <c r="S11" s="230">
        <v>468</v>
      </c>
    </row>
    <row r="12" spans="1:22" x14ac:dyDescent="0.25">
      <c r="A12" s="2">
        <v>540230</v>
      </c>
      <c r="B12" s="2" t="s">
        <v>280</v>
      </c>
      <c r="C12" s="2" t="s">
        <v>7</v>
      </c>
      <c r="D12" s="2" t="s">
        <v>115</v>
      </c>
      <c r="E12" s="2">
        <v>3</v>
      </c>
      <c r="F12" s="200" t="s">
        <v>421</v>
      </c>
      <c r="G12" s="2">
        <v>155</v>
      </c>
      <c r="H12" s="2">
        <v>0</v>
      </c>
      <c r="I12" s="2">
        <v>0</v>
      </c>
      <c r="J12" s="2">
        <v>131</v>
      </c>
      <c r="K12" s="2">
        <v>0</v>
      </c>
      <c r="L12" s="2">
        <v>131</v>
      </c>
      <c r="M12" s="2"/>
      <c r="N12" s="2">
        <v>24</v>
      </c>
      <c r="O12" s="2">
        <v>0</v>
      </c>
      <c r="P12" s="2">
        <v>24</v>
      </c>
      <c r="R12" s="230">
        <v>0</v>
      </c>
      <c r="S12" s="230">
        <v>5</v>
      </c>
    </row>
    <row r="13" spans="1:22" x14ac:dyDescent="0.25">
      <c r="A13" s="2">
        <v>540008</v>
      </c>
      <c r="B13" s="2" t="s">
        <v>120</v>
      </c>
      <c r="C13" s="2" t="s">
        <v>7</v>
      </c>
      <c r="D13" s="2" t="s">
        <v>115</v>
      </c>
      <c r="E13" s="2">
        <v>3</v>
      </c>
      <c r="F13" s="200" t="s">
        <v>421</v>
      </c>
      <c r="G13" s="2">
        <v>324</v>
      </c>
      <c r="H13" s="2">
        <v>0</v>
      </c>
      <c r="I13" s="2">
        <v>0</v>
      </c>
      <c r="J13" s="2">
        <v>292</v>
      </c>
      <c r="K13" s="2">
        <v>0</v>
      </c>
      <c r="L13" s="2">
        <v>292</v>
      </c>
      <c r="M13" s="2"/>
      <c r="N13" s="2">
        <v>32</v>
      </c>
      <c r="O13" s="2">
        <v>0</v>
      </c>
      <c r="P13" s="2">
        <v>32</v>
      </c>
      <c r="R13" s="230">
        <v>0</v>
      </c>
      <c r="S13" s="230">
        <v>0</v>
      </c>
    </row>
    <row r="14" spans="1:22" x14ac:dyDescent="0.25">
      <c r="A14" s="2">
        <v>540238</v>
      </c>
      <c r="B14" s="2" t="s">
        <v>286</v>
      </c>
      <c r="C14" s="2" t="s">
        <v>7</v>
      </c>
      <c r="D14" s="2" t="s">
        <v>115</v>
      </c>
      <c r="E14" s="2">
        <v>3</v>
      </c>
      <c r="F14" s="200" t="s">
        <v>421</v>
      </c>
      <c r="G14" s="2">
        <v>69</v>
      </c>
      <c r="H14" s="2">
        <v>0</v>
      </c>
      <c r="I14" s="2">
        <v>0</v>
      </c>
      <c r="J14" s="2">
        <v>65</v>
      </c>
      <c r="K14" s="2">
        <v>0</v>
      </c>
      <c r="L14" s="2">
        <v>65</v>
      </c>
      <c r="M14" s="2"/>
      <c r="N14" s="2">
        <v>4</v>
      </c>
      <c r="O14" s="2">
        <v>0</v>
      </c>
      <c r="P14" s="2">
        <v>4</v>
      </c>
      <c r="R14" s="230">
        <v>0</v>
      </c>
      <c r="S14" s="230">
        <v>0</v>
      </c>
    </row>
    <row r="15" spans="1:22" x14ac:dyDescent="0.25">
      <c r="A15" s="2">
        <v>540229</v>
      </c>
      <c r="B15" s="2" t="s">
        <v>279</v>
      </c>
      <c r="C15" s="2" t="s">
        <v>7</v>
      </c>
      <c r="D15" s="2" t="s">
        <v>115</v>
      </c>
      <c r="E15" s="2">
        <v>3</v>
      </c>
      <c r="F15" s="200" t="s">
        <v>421</v>
      </c>
      <c r="G15" s="2">
        <v>85</v>
      </c>
      <c r="H15" s="2">
        <v>0</v>
      </c>
      <c r="I15" s="2">
        <v>0</v>
      </c>
      <c r="J15" s="2">
        <v>77</v>
      </c>
      <c r="K15" s="2">
        <v>0</v>
      </c>
      <c r="L15" s="2">
        <v>77</v>
      </c>
      <c r="M15" s="2"/>
      <c r="N15" s="2">
        <v>8</v>
      </c>
      <c r="O15" s="2">
        <v>0</v>
      </c>
      <c r="P15" s="2">
        <v>8</v>
      </c>
      <c r="R15" s="230">
        <v>0</v>
      </c>
      <c r="S15" s="230">
        <v>0</v>
      </c>
    </row>
    <row r="16" spans="1:22" x14ac:dyDescent="0.25">
      <c r="A16" s="1">
        <v>540009</v>
      </c>
      <c r="B16" s="1" t="s">
        <v>8</v>
      </c>
      <c r="C16" s="1" t="s">
        <v>9</v>
      </c>
      <c r="D16" s="1" t="s">
        <v>5</v>
      </c>
      <c r="E16" s="1">
        <v>7</v>
      </c>
      <c r="F16" s="24" t="s">
        <v>422</v>
      </c>
      <c r="G16" s="1">
        <v>1290</v>
      </c>
      <c r="H16" s="1">
        <v>0</v>
      </c>
      <c r="I16" s="1">
        <v>0</v>
      </c>
      <c r="J16" s="1">
        <v>543</v>
      </c>
      <c r="K16" s="1">
        <v>0</v>
      </c>
      <c r="L16" s="1">
        <v>543</v>
      </c>
      <c r="M16" s="1"/>
      <c r="N16" s="1">
        <v>747</v>
      </c>
      <c r="O16" s="1">
        <v>687</v>
      </c>
      <c r="P16" s="1">
        <v>60</v>
      </c>
      <c r="R16" s="230">
        <v>0</v>
      </c>
      <c r="S16" s="230">
        <v>0</v>
      </c>
    </row>
    <row r="17" spans="1:19" x14ac:dyDescent="0.25">
      <c r="A17" s="2">
        <v>540010</v>
      </c>
      <c r="B17" s="2" t="s">
        <v>121</v>
      </c>
      <c r="C17" s="2" t="s">
        <v>9</v>
      </c>
      <c r="D17" s="2" t="s">
        <v>115</v>
      </c>
      <c r="E17" s="2">
        <v>7</v>
      </c>
      <c r="F17" s="200" t="s">
        <v>422</v>
      </c>
      <c r="G17" s="2">
        <v>35</v>
      </c>
      <c r="H17" s="2">
        <v>0</v>
      </c>
      <c r="I17" s="2">
        <v>0</v>
      </c>
      <c r="J17" s="2">
        <v>17</v>
      </c>
      <c r="K17" s="2">
        <v>0</v>
      </c>
      <c r="L17" s="2">
        <v>17</v>
      </c>
      <c r="M17" s="2"/>
      <c r="N17" s="2">
        <v>18</v>
      </c>
      <c r="O17" s="2">
        <v>0</v>
      </c>
      <c r="P17" s="2">
        <v>18</v>
      </c>
      <c r="R17" s="230">
        <v>0</v>
      </c>
      <c r="S17" s="230">
        <v>0</v>
      </c>
    </row>
    <row r="18" spans="1:19" x14ac:dyDescent="0.25">
      <c r="A18" s="2">
        <v>540235</v>
      </c>
      <c r="B18" s="2" t="s">
        <v>283</v>
      </c>
      <c r="C18" s="2" t="s">
        <v>9</v>
      </c>
      <c r="D18" s="2" t="s">
        <v>115</v>
      </c>
      <c r="E18" s="2">
        <v>7</v>
      </c>
      <c r="F18" s="200" t="s">
        <v>422</v>
      </c>
      <c r="G18" s="2">
        <v>0</v>
      </c>
      <c r="H18" s="2">
        <v>0</v>
      </c>
      <c r="I18" s="2">
        <v>0</v>
      </c>
      <c r="J18" s="2">
        <v>0</v>
      </c>
      <c r="K18" s="2">
        <v>0</v>
      </c>
      <c r="L18" s="2">
        <v>0</v>
      </c>
      <c r="M18" s="2"/>
      <c r="N18" s="2">
        <v>0</v>
      </c>
      <c r="O18" s="2">
        <v>0</v>
      </c>
      <c r="P18" s="2">
        <v>0</v>
      </c>
      <c r="R18" s="230">
        <v>0</v>
      </c>
      <c r="S18" s="230">
        <v>0</v>
      </c>
    </row>
    <row r="19" spans="1:19" x14ac:dyDescent="0.25">
      <c r="A19" s="2">
        <v>540237</v>
      </c>
      <c r="B19" s="2" t="s">
        <v>285</v>
      </c>
      <c r="C19" s="2" t="s">
        <v>9</v>
      </c>
      <c r="D19" s="2" t="s">
        <v>115</v>
      </c>
      <c r="E19" s="2">
        <v>7</v>
      </c>
      <c r="F19" s="200" t="s">
        <v>422</v>
      </c>
      <c r="G19" s="2">
        <v>57</v>
      </c>
      <c r="H19" s="2">
        <v>0</v>
      </c>
      <c r="I19" s="2">
        <v>0</v>
      </c>
      <c r="J19" s="2">
        <v>42</v>
      </c>
      <c r="K19" s="2">
        <v>0</v>
      </c>
      <c r="L19" s="2">
        <v>42</v>
      </c>
      <c r="M19" s="2"/>
      <c r="N19" s="2">
        <v>15</v>
      </c>
      <c r="O19" s="2">
        <v>1</v>
      </c>
      <c r="P19" s="2">
        <v>14</v>
      </c>
      <c r="R19" s="230">
        <v>0</v>
      </c>
      <c r="S19" s="230">
        <v>0</v>
      </c>
    </row>
    <row r="20" spans="1:19" x14ac:dyDescent="0.25">
      <c r="A20" s="2">
        <v>540236</v>
      </c>
      <c r="B20" s="2" t="s">
        <v>284</v>
      </c>
      <c r="C20" s="2" t="s">
        <v>9</v>
      </c>
      <c r="D20" s="2" t="s">
        <v>115</v>
      </c>
      <c r="E20" s="2">
        <v>7</v>
      </c>
      <c r="F20" s="200" t="s">
        <v>422</v>
      </c>
      <c r="G20" s="2">
        <v>41</v>
      </c>
      <c r="H20" s="2">
        <v>0</v>
      </c>
      <c r="I20" s="2">
        <v>0</v>
      </c>
      <c r="J20" s="2">
        <v>25</v>
      </c>
      <c r="K20" s="2">
        <v>0</v>
      </c>
      <c r="L20" s="2">
        <v>25</v>
      </c>
      <c r="M20" s="2"/>
      <c r="N20" s="2">
        <v>16</v>
      </c>
      <c r="O20" s="2">
        <v>0</v>
      </c>
      <c r="P20" s="2">
        <v>16</v>
      </c>
      <c r="R20" s="230">
        <v>0</v>
      </c>
      <c r="S20" s="230">
        <v>0</v>
      </c>
    </row>
    <row r="21" spans="1:19" x14ac:dyDescent="0.25">
      <c r="A21" s="1">
        <v>540011</v>
      </c>
      <c r="B21" s="1" t="s">
        <v>10</v>
      </c>
      <c r="C21" s="1" t="s">
        <v>11</v>
      </c>
      <c r="D21" s="1" t="s">
        <v>5</v>
      </c>
      <c r="E21" s="1">
        <v>11</v>
      </c>
      <c r="F21" s="24" t="s">
        <v>421</v>
      </c>
      <c r="G21" s="1">
        <v>307</v>
      </c>
      <c r="H21" s="1">
        <v>0</v>
      </c>
      <c r="I21" s="1">
        <v>0</v>
      </c>
      <c r="J21" s="1">
        <v>242</v>
      </c>
      <c r="K21" s="1">
        <v>0</v>
      </c>
      <c r="L21" s="1">
        <v>242</v>
      </c>
      <c r="M21" s="1"/>
      <c r="N21" s="1">
        <v>65</v>
      </c>
      <c r="O21" s="1">
        <v>25</v>
      </c>
      <c r="P21" s="1">
        <v>40</v>
      </c>
      <c r="R21" s="230">
        <v>0</v>
      </c>
      <c r="S21" s="230">
        <v>74</v>
      </c>
    </row>
    <row r="22" spans="1:19" x14ac:dyDescent="0.25">
      <c r="A22" s="2">
        <v>540093</v>
      </c>
      <c r="B22" s="2" t="s">
        <v>184</v>
      </c>
      <c r="C22" s="2" t="s">
        <v>11</v>
      </c>
      <c r="D22" s="2" t="s">
        <v>115</v>
      </c>
      <c r="E22" s="2">
        <v>11</v>
      </c>
      <c r="F22" s="200" t="s">
        <v>421</v>
      </c>
      <c r="G22" s="2">
        <v>36</v>
      </c>
      <c r="H22" s="2">
        <v>0</v>
      </c>
      <c r="I22" s="2">
        <v>0</v>
      </c>
      <c r="J22" s="2">
        <v>36</v>
      </c>
      <c r="K22" s="2">
        <v>0</v>
      </c>
      <c r="L22" s="2">
        <v>36</v>
      </c>
      <c r="M22" s="2"/>
      <c r="N22" s="2">
        <v>0</v>
      </c>
      <c r="O22" s="2">
        <v>0</v>
      </c>
      <c r="P22" s="2">
        <v>0</v>
      </c>
      <c r="R22" s="230">
        <v>0</v>
      </c>
      <c r="S22" s="230">
        <v>0</v>
      </c>
    </row>
    <row r="23" spans="1:19" x14ac:dyDescent="0.25">
      <c r="A23" s="2">
        <v>540012</v>
      </c>
      <c r="B23" s="2" t="s">
        <v>122</v>
      </c>
      <c r="C23" s="2" t="s">
        <v>11</v>
      </c>
      <c r="D23" s="2" t="s">
        <v>115</v>
      </c>
      <c r="E23" s="2">
        <v>11</v>
      </c>
      <c r="F23" s="200" t="s">
        <v>421</v>
      </c>
      <c r="G23" s="2">
        <v>15</v>
      </c>
      <c r="H23" s="2">
        <v>0</v>
      </c>
      <c r="I23" s="2">
        <v>0</v>
      </c>
      <c r="J23" s="2">
        <v>12</v>
      </c>
      <c r="K23" s="2">
        <v>0</v>
      </c>
      <c r="L23" s="2">
        <v>12</v>
      </c>
      <c r="M23" s="2"/>
      <c r="N23" s="2">
        <v>3</v>
      </c>
      <c r="O23" s="2">
        <v>3</v>
      </c>
      <c r="P23" s="2">
        <v>0</v>
      </c>
      <c r="R23" s="230">
        <v>0</v>
      </c>
      <c r="S23" s="230">
        <v>12</v>
      </c>
    </row>
    <row r="24" spans="1:19" x14ac:dyDescent="0.25">
      <c r="A24" s="2">
        <v>540013</v>
      </c>
      <c r="B24" s="2" t="s">
        <v>123</v>
      </c>
      <c r="C24" s="2" t="s">
        <v>11</v>
      </c>
      <c r="D24" s="2" t="s">
        <v>115</v>
      </c>
      <c r="E24" s="2">
        <v>11</v>
      </c>
      <c r="F24" s="200" t="s">
        <v>421</v>
      </c>
      <c r="G24" s="2">
        <v>112</v>
      </c>
      <c r="H24" s="2">
        <v>0</v>
      </c>
      <c r="I24" s="2">
        <v>0</v>
      </c>
      <c r="J24" s="2">
        <v>112</v>
      </c>
      <c r="K24" s="2">
        <v>0</v>
      </c>
      <c r="L24" s="2">
        <v>112</v>
      </c>
      <c r="M24" s="2"/>
      <c r="N24" s="2">
        <v>0</v>
      </c>
      <c r="O24" s="2">
        <v>0</v>
      </c>
      <c r="P24" s="2">
        <v>0</v>
      </c>
      <c r="R24" s="230">
        <v>0</v>
      </c>
      <c r="S24" s="230">
        <v>0</v>
      </c>
    </row>
    <row r="25" spans="1:19" x14ac:dyDescent="0.25">
      <c r="A25" s="2">
        <v>540014</v>
      </c>
      <c r="B25" s="2" t="s">
        <v>124</v>
      </c>
      <c r="C25" s="2" t="s">
        <v>11</v>
      </c>
      <c r="D25" s="2" t="s">
        <v>115</v>
      </c>
      <c r="E25" s="2">
        <v>11</v>
      </c>
      <c r="F25" s="200" t="s">
        <v>421</v>
      </c>
      <c r="G25" s="2">
        <v>97</v>
      </c>
      <c r="H25" s="2">
        <v>0</v>
      </c>
      <c r="I25" s="2">
        <v>0</v>
      </c>
      <c r="J25" s="2">
        <v>93</v>
      </c>
      <c r="K25" s="2">
        <v>0</v>
      </c>
      <c r="L25" s="2">
        <v>93</v>
      </c>
      <c r="M25" s="2"/>
      <c r="N25" s="2">
        <v>4</v>
      </c>
      <c r="O25" s="2">
        <v>0</v>
      </c>
      <c r="P25" s="2">
        <v>4</v>
      </c>
      <c r="R25" s="230">
        <v>0</v>
      </c>
      <c r="S25" s="230">
        <v>0</v>
      </c>
    </row>
    <row r="26" spans="1:19" x14ac:dyDescent="0.25">
      <c r="A26" s="2">
        <v>540015</v>
      </c>
      <c r="B26" s="2" t="s">
        <v>125</v>
      </c>
      <c r="C26" s="2" t="s">
        <v>11</v>
      </c>
      <c r="D26" s="2" t="s">
        <v>115</v>
      </c>
      <c r="E26" s="2">
        <v>11</v>
      </c>
      <c r="F26" s="200" t="s">
        <v>421</v>
      </c>
      <c r="G26" s="2">
        <v>1331</v>
      </c>
      <c r="H26" s="2">
        <v>0</v>
      </c>
      <c r="I26" s="2">
        <v>0</v>
      </c>
      <c r="J26" s="2">
        <v>1330</v>
      </c>
      <c r="K26" s="2">
        <v>0</v>
      </c>
      <c r="L26" s="2">
        <v>1330</v>
      </c>
      <c r="M26" s="2"/>
      <c r="N26" s="2">
        <v>1</v>
      </c>
      <c r="O26" s="2">
        <v>0</v>
      </c>
      <c r="P26" s="2">
        <v>1</v>
      </c>
      <c r="R26" s="230">
        <v>0</v>
      </c>
      <c r="S26" s="230">
        <v>0</v>
      </c>
    </row>
    <row r="27" spans="1:19" x14ac:dyDescent="0.25">
      <c r="A27" s="2">
        <v>540084</v>
      </c>
      <c r="B27" s="2" t="s">
        <v>341</v>
      </c>
      <c r="C27" s="2" t="s">
        <v>11</v>
      </c>
      <c r="D27" s="2" t="s">
        <v>115</v>
      </c>
      <c r="E27" s="2">
        <v>11</v>
      </c>
      <c r="F27" s="200" t="s">
        <v>421</v>
      </c>
      <c r="G27" s="2">
        <v>0</v>
      </c>
      <c r="H27" s="2">
        <v>0</v>
      </c>
      <c r="I27" s="2">
        <v>0</v>
      </c>
      <c r="J27" s="2">
        <v>0</v>
      </c>
      <c r="K27" s="2">
        <v>0</v>
      </c>
      <c r="L27" s="2">
        <v>0</v>
      </c>
      <c r="M27" s="2"/>
      <c r="N27" s="2">
        <v>0</v>
      </c>
      <c r="O27" s="2">
        <v>0</v>
      </c>
      <c r="P27" s="2">
        <v>0</v>
      </c>
      <c r="R27" s="230">
        <v>0</v>
      </c>
      <c r="S27" s="230">
        <v>0</v>
      </c>
    </row>
    <row r="28" spans="1:19" x14ac:dyDescent="0.25">
      <c r="A28" s="1">
        <v>540016</v>
      </c>
      <c r="B28" s="1" t="s">
        <v>12</v>
      </c>
      <c r="C28" s="1" t="s">
        <v>13</v>
      </c>
      <c r="D28" s="1" t="s">
        <v>5</v>
      </c>
      <c r="E28" s="1">
        <v>2</v>
      </c>
      <c r="F28" s="24" t="s">
        <v>421</v>
      </c>
      <c r="G28" s="1">
        <v>1467</v>
      </c>
      <c r="H28" s="1">
        <v>0</v>
      </c>
      <c r="I28" s="1">
        <v>0</v>
      </c>
      <c r="J28" s="1">
        <v>633</v>
      </c>
      <c r="K28" s="1">
        <v>0</v>
      </c>
      <c r="L28" s="1">
        <v>633</v>
      </c>
      <c r="M28" s="1"/>
      <c r="N28" s="1">
        <v>834</v>
      </c>
      <c r="O28" s="1">
        <v>561</v>
      </c>
      <c r="P28" s="1">
        <v>273</v>
      </c>
      <c r="R28" s="230">
        <v>0</v>
      </c>
      <c r="S28" s="230">
        <v>71</v>
      </c>
    </row>
    <row r="29" spans="1:19" x14ac:dyDescent="0.25">
      <c r="A29" s="2">
        <v>540017</v>
      </c>
      <c r="B29" s="2" t="s">
        <v>126</v>
      </c>
      <c r="C29" s="2" t="s">
        <v>13</v>
      </c>
      <c r="D29" s="2" t="s">
        <v>115</v>
      </c>
      <c r="E29" s="2">
        <v>2</v>
      </c>
      <c r="F29" s="200" t="s">
        <v>421</v>
      </c>
      <c r="G29" s="2">
        <v>31</v>
      </c>
      <c r="H29" s="2">
        <v>0</v>
      </c>
      <c r="I29" s="2">
        <v>0</v>
      </c>
      <c r="J29" s="2">
        <v>17</v>
      </c>
      <c r="K29" s="2">
        <v>0</v>
      </c>
      <c r="L29" s="2">
        <v>17</v>
      </c>
      <c r="M29" s="2"/>
      <c r="N29" s="2">
        <v>14</v>
      </c>
      <c r="O29" s="2">
        <v>7</v>
      </c>
      <c r="P29" s="2">
        <v>7</v>
      </c>
      <c r="R29" s="230">
        <v>0</v>
      </c>
      <c r="S29" s="230">
        <v>0</v>
      </c>
    </row>
    <row r="30" spans="1:19" x14ac:dyDescent="0.25">
      <c r="A30" s="2">
        <v>540018</v>
      </c>
      <c r="B30" s="2" t="s">
        <v>127</v>
      </c>
      <c r="C30" s="2" t="s">
        <v>13</v>
      </c>
      <c r="D30" s="2" t="s">
        <v>115</v>
      </c>
      <c r="E30" s="2">
        <v>2</v>
      </c>
      <c r="F30" s="200" t="s">
        <v>421</v>
      </c>
      <c r="G30" s="2">
        <v>458</v>
      </c>
      <c r="H30" s="2">
        <v>0</v>
      </c>
      <c r="I30" s="2">
        <v>0</v>
      </c>
      <c r="J30" s="2">
        <v>342</v>
      </c>
      <c r="K30" s="2">
        <v>0</v>
      </c>
      <c r="L30" s="2">
        <v>342</v>
      </c>
      <c r="M30" s="2"/>
      <c r="N30" s="2">
        <v>116</v>
      </c>
      <c r="O30" s="2">
        <v>3</v>
      </c>
      <c r="P30" s="2">
        <v>113</v>
      </c>
      <c r="R30" s="230">
        <v>0</v>
      </c>
      <c r="S30" s="230">
        <v>0</v>
      </c>
    </row>
    <row r="31" spans="1:19" x14ac:dyDescent="0.25">
      <c r="A31" s="2">
        <v>540019</v>
      </c>
      <c r="B31" s="2" t="s">
        <v>128</v>
      </c>
      <c r="C31" s="2" t="s">
        <v>13</v>
      </c>
      <c r="D31" s="2" t="s">
        <v>115</v>
      </c>
      <c r="E31" s="2">
        <v>2</v>
      </c>
      <c r="F31" s="200" t="s">
        <v>421</v>
      </c>
      <c r="G31" s="2">
        <v>417</v>
      </c>
      <c r="H31" s="2">
        <v>0</v>
      </c>
      <c r="I31" s="2">
        <v>0</v>
      </c>
      <c r="J31" s="2">
        <v>48</v>
      </c>
      <c r="K31" s="2">
        <v>0</v>
      </c>
      <c r="L31" s="2">
        <v>48</v>
      </c>
      <c r="M31" s="2"/>
      <c r="N31" s="2">
        <v>369</v>
      </c>
      <c r="O31" s="2">
        <v>0</v>
      </c>
      <c r="P31" s="2">
        <v>369</v>
      </c>
      <c r="R31" s="230">
        <v>0</v>
      </c>
      <c r="S31" s="230">
        <v>0</v>
      </c>
    </row>
    <row r="32" spans="1:19" x14ac:dyDescent="0.25">
      <c r="A32" s="1">
        <v>540020</v>
      </c>
      <c r="B32" s="1" t="s">
        <v>14</v>
      </c>
      <c r="C32" s="1" t="s">
        <v>15</v>
      </c>
      <c r="D32" s="1" t="s">
        <v>5</v>
      </c>
      <c r="E32" s="1">
        <v>5</v>
      </c>
      <c r="F32" s="24" t="s">
        <v>422</v>
      </c>
      <c r="G32" s="1">
        <v>245</v>
      </c>
      <c r="H32" s="1">
        <v>0</v>
      </c>
      <c r="I32" s="1">
        <v>0</v>
      </c>
      <c r="J32" s="1">
        <v>69</v>
      </c>
      <c r="K32" s="1">
        <v>0</v>
      </c>
      <c r="L32" s="1">
        <v>69</v>
      </c>
      <c r="M32" s="1"/>
      <c r="N32" s="1">
        <v>176</v>
      </c>
      <c r="O32" s="1">
        <v>99</v>
      </c>
      <c r="P32" s="1">
        <v>77</v>
      </c>
      <c r="R32" s="230">
        <v>0</v>
      </c>
      <c r="S32" s="230">
        <v>0</v>
      </c>
    </row>
    <row r="33" spans="1:19" x14ac:dyDescent="0.25">
      <c r="A33" s="2">
        <v>540021</v>
      </c>
      <c r="B33" s="2" t="s">
        <v>129</v>
      </c>
      <c r="C33" s="2" t="s">
        <v>15</v>
      </c>
      <c r="D33" s="2" t="s">
        <v>115</v>
      </c>
      <c r="E33" s="2">
        <v>5</v>
      </c>
      <c r="F33" s="200" t="s">
        <v>422</v>
      </c>
      <c r="G33" s="2">
        <v>127</v>
      </c>
      <c r="H33" s="2">
        <v>0</v>
      </c>
      <c r="I33" s="2">
        <v>0</v>
      </c>
      <c r="J33" s="2">
        <v>31</v>
      </c>
      <c r="K33" s="2">
        <v>0</v>
      </c>
      <c r="L33" s="2">
        <v>31</v>
      </c>
      <c r="M33" s="2"/>
      <c r="N33" s="2">
        <v>96</v>
      </c>
      <c r="O33" s="2">
        <v>0</v>
      </c>
      <c r="P33" s="2">
        <v>96</v>
      </c>
      <c r="R33" s="230">
        <v>0</v>
      </c>
      <c r="S33" s="230">
        <v>0</v>
      </c>
    </row>
    <row r="34" spans="1:19" x14ac:dyDescent="0.25">
      <c r="A34" s="1">
        <v>540022</v>
      </c>
      <c r="B34" s="1" t="s">
        <v>16</v>
      </c>
      <c r="C34" s="1" t="s">
        <v>17</v>
      </c>
      <c r="D34" s="1" t="s">
        <v>5</v>
      </c>
      <c r="E34" s="1">
        <v>3</v>
      </c>
      <c r="F34" s="24" t="s">
        <v>422</v>
      </c>
      <c r="G34" s="1">
        <v>1694</v>
      </c>
      <c r="H34" s="1">
        <v>0</v>
      </c>
      <c r="I34" s="1">
        <v>0</v>
      </c>
      <c r="J34" s="1">
        <v>356</v>
      </c>
      <c r="K34" s="1">
        <v>0</v>
      </c>
      <c r="L34" s="1">
        <v>356</v>
      </c>
      <c r="M34" s="1"/>
      <c r="N34" s="1">
        <v>1338</v>
      </c>
      <c r="O34" s="1">
        <v>704</v>
      </c>
      <c r="P34" s="1">
        <v>634</v>
      </c>
      <c r="R34" s="230">
        <v>0</v>
      </c>
      <c r="S34" s="230">
        <v>0</v>
      </c>
    </row>
    <row r="35" spans="1:19" x14ac:dyDescent="0.25">
      <c r="A35" s="2">
        <v>540023</v>
      </c>
      <c r="B35" s="2" t="s">
        <v>130</v>
      </c>
      <c r="C35" s="2" t="s">
        <v>17</v>
      </c>
      <c r="D35" s="2" t="s">
        <v>115</v>
      </c>
      <c r="E35" s="2">
        <v>3</v>
      </c>
      <c r="F35" s="200" t="s">
        <v>422</v>
      </c>
      <c r="G35" s="2">
        <v>51</v>
      </c>
      <c r="H35" s="2">
        <v>0</v>
      </c>
      <c r="I35" s="2">
        <v>0</v>
      </c>
      <c r="J35" s="2">
        <v>13</v>
      </c>
      <c r="K35" s="2">
        <v>0</v>
      </c>
      <c r="L35" s="2">
        <v>13</v>
      </c>
      <c r="M35" s="2"/>
      <c r="N35" s="2">
        <v>38</v>
      </c>
      <c r="O35" s="2">
        <v>0</v>
      </c>
      <c r="P35" s="2">
        <v>38</v>
      </c>
      <c r="R35" s="230">
        <v>0</v>
      </c>
      <c r="S35" s="230">
        <v>0</v>
      </c>
    </row>
    <row r="36" spans="1:19" x14ac:dyDescent="0.25">
      <c r="A36" s="1">
        <v>540024</v>
      </c>
      <c r="B36" s="1" t="s">
        <v>18</v>
      </c>
      <c r="C36" s="1" t="s">
        <v>19</v>
      </c>
      <c r="D36" s="1" t="s">
        <v>5</v>
      </c>
      <c r="E36" s="1">
        <v>6</v>
      </c>
      <c r="F36" s="24" t="s">
        <v>421</v>
      </c>
      <c r="G36" s="1">
        <v>1353</v>
      </c>
      <c r="H36" s="1">
        <v>0</v>
      </c>
      <c r="I36" s="1">
        <v>0</v>
      </c>
      <c r="J36" s="1">
        <v>299</v>
      </c>
      <c r="K36" s="1">
        <v>0</v>
      </c>
      <c r="L36" s="1">
        <v>299</v>
      </c>
      <c r="M36" s="1"/>
      <c r="N36" s="1">
        <v>1054</v>
      </c>
      <c r="O36" s="1">
        <v>884</v>
      </c>
      <c r="P36" s="1">
        <v>170</v>
      </c>
      <c r="R36" s="230">
        <v>0</v>
      </c>
      <c r="S36" s="230">
        <v>317</v>
      </c>
    </row>
    <row r="37" spans="1:19" x14ac:dyDescent="0.25">
      <c r="A37" s="2">
        <v>540025</v>
      </c>
      <c r="B37" s="2" t="s">
        <v>131</v>
      </c>
      <c r="C37" s="2" t="s">
        <v>19</v>
      </c>
      <c r="D37" s="2" t="s">
        <v>115</v>
      </c>
      <c r="E37" s="2">
        <v>6</v>
      </c>
      <c r="F37" s="200" t="s">
        <v>422</v>
      </c>
      <c r="G37" s="2">
        <v>15</v>
      </c>
      <c r="H37" s="2">
        <v>0</v>
      </c>
      <c r="I37" s="2">
        <v>0</v>
      </c>
      <c r="J37" s="2">
        <v>15</v>
      </c>
      <c r="K37" s="2">
        <v>0</v>
      </c>
      <c r="L37" s="2">
        <v>15</v>
      </c>
      <c r="M37" s="2"/>
      <c r="N37" s="2">
        <v>0</v>
      </c>
      <c r="O37" s="2">
        <v>0</v>
      </c>
      <c r="P37" s="2">
        <v>0</v>
      </c>
      <c r="R37" s="230">
        <v>0</v>
      </c>
      <c r="S37" s="230">
        <v>0</v>
      </c>
    </row>
    <row r="38" spans="1:19" x14ac:dyDescent="0.25">
      <c r="A38" s="1">
        <v>540026</v>
      </c>
      <c r="B38" s="1" t="s">
        <v>20</v>
      </c>
      <c r="C38" s="1" t="s">
        <v>21</v>
      </c>
      <c r="D38" s="1" t="s">
        <v>5</v>
      </c>
      <c r="E38" s="1">
        <v>4</v>
      </c>
      <c r="F38" s="24" t="s">
        <v>421</v>
      </c>
      <c r="G38" s="1">
        <v>1065</v>
      </c>
      <c r="H38" s="1">
        <v>0</v>
      </c>
      <c r="I38" s="1">
        <v>0</v>
      </c>
      <c r="J38" s="1">
        <v>484</v>
      </c>
      <c r="K38" s="1">
        <v>0</v>
      </c>
      <c r="L38" s="1">
        <v>484</v>
      </c>
      <c r="M38" s="1"/>
      <c r="N38" s="1">
        <v>581</v>
      </c>
      <c r="O38" s="1">
        <v>468</v>
      </c>
      <c r="P38" s="1">
        <v>113</v>
      </c>
      <c r="R38" s="230">
        <v>0</v>
      </c>
      <c r="S38" s="230">
        <v>463</v>
      </c>
    </row>
    <row r="39" spans="1:19" x14ac:dyDescent="0.25">
      <c r="A39" s="2">
        <v>540027</v>
      </c>
      <c r="B39" s="2" t="s">
        <v>132</v>
      </c>
      <c r="C39" s="2" t="s">
        <v>21</v>
      </c>
      <c r="D39" s="2" t="s">
        <v>115</v>
      </c>
      <c r="E39" s="2">
        <v>4</v>
      </c>
      <c r="F39" s="200" t="s">
        <v>421</v>
      </c>
      <c r="G39" s="2">
        <v>2</v>
      </c>
      <c r="H39" s="2">
        <v>0</v>
      </c>
      <c r="I39" s="2">
        <v>0</v>
      </c>
      <c r="J39" s="2">
        <v>0</v>
      </c>
      <c r="K39" s="2">
        <v>0</v>
      </c>
      <c r="L39" s="2">
        <v>0</v>
      </c>
      <c r="M39" s="2"/>
      <c r="N39" s="2">
        <v>2</v>
      </c>
      <c r="O39" s="2">
        <v>2</v>
      </c>
      <c r="P39" s="2">
        <v>0</v>
      </c>
      <c r="R39" s="230">
        <v>0</v>
      </c>
      <c r="S39" s="230">
        <v>1</v>
      </c>
    </row>
    <row r="40" spans="1:19" x14ac:dyDescent="0.25">
      <c r="A40" s="2">
        <v>540293</v>
      </c>
      <c r="B40" s="2" t="s">
        <v>330</v>
      </c>
      <c r="C40" s="2" t="s">
        <v>21</v>
      </c>
      <c r="D40" s="2" t="s">
        <v>115</v>
      </c>
      <c r="E40" s="2">
        <v>4</v>
      </c>
      <c r="F40" s="200" t="s">
        <v>421</v>
      </c>
      <c r="G40" s="2">
        <v>0</v>
      </c>
      <c r="H40" s="2">
        <v>0</v>
      </c>
      <c r="I40" s="2">
        <v>0</v>
      </c>
      <c r="J40" s="2">
        <v>0</v>
      </c>
      <c r="K40" s="2">
        <v>0</v>
      </c>
      <c r="L40" s="2">
        <v>0</v>
      </c>
      <c r="M40" s="2"/>
      <c r="N40" s="2">
        <v>0</v>
      </c>
      <c r="O40" s="2">
        <v>0</v>
      </c>
      <c r="P40" s="2">
        <v>0</v>
      </c>
      <c r="R40" s="230">
        <v>0</v>
      </c>
      <c r="S40" s="230">
        <v>0</v>
      </c>
    </row>
    <row r="41" spans="1:19" x14ac:dyDescent="0.25">
      <c r="A41" s="2">
        <v>540294</v>
      </c>
      <c r="B41" s="2" t="s">
        <v>331</v>
      </c>
      <c r="C41" s="2" t="s">
        <v>21</v>
      </c>
      <c r="D41" s="2" t="s">
        <v>115</v>
      </c>
      <c r="E41" s="2">
        <v>4</v>
      </c>
      <c r="F41" s="200" t="s">
        <v>421</v>
      </c>
      <c r="G41" s="2">
        <v>16</v>
      </c>
      <c r="H41" s="2">
        <v>0</v>
      </c>
      <c r="I41" s="2">
        <v>0</v>
      </c>
      <c r="J41" s="2">
        <v>12</v>
      </c>
      <c r="K41" s="2">
        <v>0</v>
      </c>
      <c r="L41" s="2">
        <v>12</v>
      </c>
      <c r="M41" s="2"/>
      <c r="N41" s="2">
        <v>4</v>
      </c>
      <c r="O41" s="2">
        <v>0</v>
      </c>
      <c r="P41" s="2">
        <v>4</v>
      </c>
      <c r="R41" s="230">
        <v>0</v>
      </c>
      <c r="S41" s="230">
        <v>0</v>
      </c>
    </row>
    <row r="42" spans="1:19" x14ac:dyDescent="0.25">
      <c r="A42" s="2">
        <v>540028</v>
      </c>
      <c r="B42" s="2" t="s">
        <v>133</v>
      </c>
      <c r="C42" s="2" t="s">
        <v>21</v>
      </c>
      <c r="D42" s="2" t="s">
        <v>115</v>
      </c>
      <c r="E42" s="2">
        <v>4</v>
      </c>
      <c r="F42" s="200" t="s">
        <v>421</v>
      </c>
      <c r="G42" s="2">
        <v>13</v>
      </c>
      <c r="H42" s="2">
        <v>0</v>
      </c>
      <c r="I42" s="2">
        <v>0</v>
      </c>
      <c r="J42" s="2">
        <v>1</v>
      </c>
      <c r="K42" s="2">
        <v>0</v>
      </c>
      <c r="L42" s="2">
        <v>1</v>
      </c>
      <c r="M42" s="2"/>
      <c r="N42" s="2">
        <v>12</v>
      </c>
      <c r="O42" s="2">
        <v>0</v>
      </c>
      <c r="P42" s="2">
        <v>12</v>
      </c>
      <c r="R42" s="230">
        <v>0</v>
      </c>
      <c r="S42" s="230">
        <v>0</v>
      </c>
    </row>
    <row r="43" spans="1:19" x14ac:dyDescent="0.25">
      <c r="A43" s="2">
        <v>540029</v>
      </c>
      <c r="B43" s="2" t="s">
        <v>134</v>
      </c>
      <c r="C43" s="2" t="s">
        <v>21</v>
      </c>
      <c r="D43" s="2" t="s">
        <v>115</v>
      </c>
      <c r="E43" s="2">
        <v>4</v>
      </c>
      <c r="F43" s="200" t="s">
        <v>421</v>
      </c>
      <c r="G43" s="2">
        <v>14</v>
      </c>
      <c r="H43" s="2">
        <v>0</v>
      </c>
      <c r="I43" s="2">
        <v>0</v>
      </c>
      <c r="J43" s="2">
        <v>2</v>
      </c>
      <c r="K43" s="2">
        <v>0</v>
      </c>
      <c r="L43" s="2">
        <v>2</v>
      </c>
      <c r="M43" s="2"/>
      <c r="N43" s="2">
        <v>12</v>
      </c>
      <c r="O43" s="2">
        <v>12</v>
      </c>
      <c r="P43" s="2">
        <v>0</v>
      </c>
      <c r="R43" s="230">
        <v>0</v>
      </c>
      <c r="S43" s="230">
        <v>1</v>
      </c>
    </row>
    <row r="44" spans="1:19" x14ac:dyDescent="0.25">
      <c r="A44" s="2">
        <v>540280</v>
      </c>
      <c r="B44" s="2" t="s">
        <v>321</v>
      </c>
      <c r="C44" s="2" t="s">
        <v>21</v>
      </c>
      <c r="D44" s="2" t="s">
        <v>115</v>
      </c>
      <c r="E44" s="2">
        <v>4</v>
      </c>
      <c r="F44" s="200" t="s">
        <v>421</v>
      </c>
      <c r="G44" s="2">
        <v>101</v>
      </c>
      <c r="H44" s="2">
        <v>0</v>
      </c>
      <c r="I44" s="2">
        <v>0</v>
      </c>
      <c r="J44" s="2">
        <v>14</v>
      </c>
      <c r="K44" s="2">
        <v>0</v>
      </c>
      <c r="L44" s="2">
        <v>14</v>
      </c>
      <c r="M44" s="2"/>
      <c r="N44" s="2">
        <v>87</v>
      </c>
      <c r="O44" s="2">
        <v>87</v>
      </c>
      <c r="P44" s="2">
        <v>0</v>
      </c>
      <c r="R44" s="230">
        <v>0</v>
      </c>
      <c r="S44" s="230">
        <v>72</v>
      </c>
    </row>
    <row r="45" spans="1:19" x14ac:dyDescent="0.25">
      <c r="A45" s="2">
        <v>540031</v>
      </c>
      <c r="B45" s="2" t="s">
        <v>136</v>
      </c>
      <c r="C45" s="2" t="s">
        <v>21</v>
      </c>
      <c r="D45" s="2" t="s">
        <v>115</v>
      </c>
      <c r="E45" s="2">
        <v>4</v>
      </c>
      <c r="F45" s="200" t="s">
        <v>421</v>
      </c>
      <c r="G45" s="2">
        <v>49</v>
      </c>
      <c r="H45" s="2">
        <v>0</v>
      </c>
      <c r="I45" s="2">
        <v>0</v>
      </c>
      <c r="J45" s="2">
        <v>0</v>
      </c>
      <c r="K45" s="2">
        <v>0</v>
      </c>
      <c r="L45" s="2">
        <v>0</v>
      </c>
      <c r="M45" s="2"/>
      <c r="N45" s="2">
        <v>49</v>
      </c>
      <c r="O45" s="2">
        <v>49</v>
      </c>
      <c r="P45" s="2">
        <v>0</v>
      </c>
      <c r="R45" s="230">
        <v>0</v>
      </c>
      <c r="S45" s="230">
        <v>15</v>
      </c>
    </row>
    <row r="46" spans="1:19" x14ac:dyDescent="0.25">
      <c r="A46" s="2">
        <v>540032</v>
      </c>
      <c r="B46" s="2" t="s">
        <v>137</v>
      </c>
      <c r="C46" s="2" t="s">
        <v>21</v>
      </c>
      <c r="D46" s="2" t="s">
        <v>115</v>
      </c>
      <c r="E46" s="2">
        <v>4</v>
      </c>
      <c r="F46" s="200" t="s">
        <v>421</v>
      </c>
      <c r="G46" s="2">
        <v>42</v>
      </c>
      <c r="H46" s="2">
        <v>0</v>
      </c>
      <c r="I46" s="2">
        <v>0</v>
      </c>
      <c r="J46" s="2">
        <v>33</v>
      </c>
      <c r="K46" s="2">
        <v>0</v>
      </c>
      <c r="L46" s="2">
        <v>33</v>
      </c>
      <c r="M46" s="2"/>
      <c r="N46" s="2">
        <v>9</v>
      </c>
      <c r="O46" s="2">
        <v>0</v>
      </c>
      <c r="P46" s="2">
        <v>9</v>
      </c>
      <c r="R46" s="230">
        <v>0</v>
      </c>
      <c r="S46" s="230">
        <v>0</v>
      </c>
    </row>
    <row r="47" spans="1:19" x14ac:dyDescent="0.25">
      <c r="A47" s="2">
        <v>540033</v>
      </c>
      <c r="B47" s="2" t="s">
        <v>138</v>
      </c>
      <c r="C47" s="2" t="s">
        <v>21</v>
      </c>
      <c r="D47" s="2" t="s">
        <v>115</v>
      </c>
      <c r="E47" s="2">
        <v>4</v>
      </c>
      <c r="F47" s="200" t="s">
        <v>421</v>
      </c>
      <c r="G47" s="2">
        <v>51</v>
      </c>
      <c r="H47" s="2">
        <v>0</v>
      </c>
      <c r="I47" s="2">
        <v>0</v>
      </c>
      <c r="J47" s="2">
        <v>43</v>
      </c>
      <c r="K47" s="2">
        <v>0</v>
      </c>
      <c r="L47" s="2">
        <v>43</v>
      </c>
      <c r="M47" s="2"/>
      <c r="N47" s="2">
        <v>8</v>
      </c>
      <c r="O47" s="2">
        <v>1</v>
      </c>
      <c r="P47" s="2">
        <v>7</v>
      </c>
      <c r="R47" s="230">
        <v>0</v>
      </c>
      <c r="S47" s="230">
        <v>1</v>
      </c>
    </row>
    <row r="48" spans="1:19" x14ac:dyDescent="0.25">
      <c r="A48" s="2">
        <v>540050</v>
      </c>
      <c r="B48" s="2" t="s">
        <v>150</v>
      </c>
      <c r="C48" s="2" t="s">
        <v>21</v>
      </c>
      <c r="D48" s="2" t="s">
        <v>115</v>
      </c>
      <c r="E48" s="2">
        <v>4</v>
      </c>
      <c r="F48" s="200" t="s">
        <v>421</v>
      </c>
      <c r="G48" s="2">
        <v>0</v>
      </c>
      <c r="H48" s="2">
        <v>0</v>
      </c>
      <c r="I48" s="2">
        <v>0</v>
      </c>
      <c r="J48" s="2">
        <v>0</v>
      </c>
      <c r="K48" s="2">
        <v>0</v>
      </c>
      <c r="L48" s="2">
        <v>0</v>
      </c>
      <c r="M48" s="2"/>
      <c r="N48" s="2">
        <v>0</v>
      </c>
      <c r="O48" s="2">
        <v>0</v>
      </c>
      <c r="P48" s="2">
        <v>0</v>
      </c>
      <c r="R48" s="230">
        <v>0</v>
      </c>
      <c r="S48" s="230">
        <v>0</v>
      </c>
    </row>
    <row r="49" spans="1:19" x14ac:dyDescent="0.25">
      <c r="A49" s="1">
        <v>540035</v>
      </c>
      <c r="B49" s="1" t="s">
        <v>22</v>
      </c>
      <c r="C49" s="1" t="s">
        <v>23</v>
      </c>
      <c r="D49" s="1" t="s">
        <v>5</v>
      </c>
      <c r="E49" s="1">
        <v>7</v>
      </c>
      <c r="F49" s="24" t="s">
        <v>422</v>
      </c>
      <c r="G49" s="1">
        <v>649</v>
      </c>
      <c r="H49" s="1">
        <v>0</v>
      </c>
      <c r="I49" s="1">
        <v>0</v>
      </c>
      <c r="J49" s="1">
        <v>392</v>
      </c>
      <c r="K49" s="1">
        <v>0</v>
      </c>
      <c r="L49" s="1">
        <v>392</v>
      </c>
      <c r="M49" s="1"/>
      <c r="N49" s="1">
        <v>257</v>
      </c>
      <c r="O49" s="1">
        <v>190</v>
      </c>
      <c r="P49" s="1">
        <v>67</v>
      </c>
      <c r="R49" s="230">
        <v>0</v>
      </c>
      <c r="S49" s="230">
        <v>0</v>
      </c>
    </row>
    <row r="50" spans="1:19" x14ac:dyDescent="0.25">
      <c r="A50" s="2">
        <v>540036</v>
      </c>
      <c r="B50" s="2" t="s">
        <v>139</v>
      </c>
      <c r="C50" s="2" t="s">
        <v>23</v>
      </c>
      <c r="D50" s="2" t="s">
        <v>115</v>
      </c>
      <c r="E50" s="2">
        <v>7</v>
      </c>
      <c r="F50" s="200" t="s">
        <v>422</v>
      </c>
      <c r="G50" s="2">
        <v>134</v>
      </c>
      <c r="H50" s="2">
        <v>0</v>
      </c>
      <c r="I50" s="2">
        <v>0</v>
      </c>
      <c r="J50" s="2">
        <v>56</v>
      </c>
      <c r="K50" s="2">
        <v>0</v>
      </c>
      <c r="L50" s="2">
        <v>56</v>
      </c>
      <c r="M50" s="2"/>
      <c r="N50" s="2">
        <v>78</v>
      </c>
      <c r="O50" s="2">
        <v>0</v>
      </c>
      <c r="P50" s="2">
        <v>78</v>
      </c>
      <c r="R50" s="230">
        <v>0</v>
      </c>
      <c r="S50" s="230">
        <v>0</v>
      </c>
    </row>
    <row r="51" spans="1:19" x14ac:dyDescent="0.25">
      <c r="A51" s="2">
        <v>540037</v>
      </c>
      <c r="B51" s="2" t="s">
        <v>140</v>
      </c>
      <c r="C51" s="2" t="s">
        <v>23</v>
      </c>
      <c r="D51" s="2" t="s">
        <v>115</v>
      </c>
      <c r="E51" s="2">
        <v>7</v>
      </c>
      <c r="F51" s="200" t="s">
        <v>422</v>
      </c>
      <c r="G51" s="2">
        <v>22</v>
      </c>
      <c r="H51" s="2">
        <v>0</v>
      </c>
      <c r="I51" s="2">
        <v>0</v>
      </c>
      <c r="J51" s="2">
        <v>21</v>
      </c>
      <c r="K51" s="2">
        <v>0</v>
      </c>
      <c r="L51" s="2">
        <v>21</v>
      </c>
      <c r="M51" s="2"/>
      <c r="N51" s="2">
        <v>1</v>
      </c>
      <c r="O51" s="2">
        <v>0</v>
      </c>
      <c r="P51" s="2">
        <v>1</v>
      </c>
      <c r="R51" s="230">
        <v>0</v>
      </c>
      <c r="S51" s="230">
        <v>0</v>
      </c>
    </row>
    <row r="52" spans="1:19" x14ac:dyDescent="0.25">
      <c r="A52" s="1">
        <v>540038</v>
      </c>
      <c r="B52" s="1" t="s">
        <v>24</v>
      </c>
      <c r="C52" s="1" t="s">
        <v>25</v>
      </c>
      <c r="D52" s="1" t="s">
        <v>5</v>
      </c>
      <c r="E52" s="1">
        <v>8</v>
      </c>
      <c r="F52" s="24" t="s">
        <v>422</v>
      </c>
      <c r="G52" s="1">
        <v>280</v>
      </c>
      <c r="H52" s="1">
        <v>0</v>
      </c>
      <c r="I52" s="1">
        <v>0</v>
      </c>
      <c r="J52" s="1">
        <v>105</v>
      </c>
      <c r="K52" s="1">
        <v>0</v>
      </c>
      <c r="L52" s="1">
        <v>105</v>
      </c>
      <c r="M52" s="1"/>
      <c r="N52" s="1">
        <v>175</v>
      </c>
      <c r="O52" s="1">
        <v>170</v>
      </c>
      <c r="P52" s="1">
        <v>5</v>
      </c>
      <c r="R52" s="230">
        <v>0</v>
      </c>
      <c r="S52" s="230">
        <v>0</v>
      </c>
    </row>
    <row r="53" spans="1:19" x14ac:dyDescent="0.25">
      <c r="A53" s="2">
        <v>540240</v>
      </c>
      <c r="B53" s="2" t="s">
        <v>287</v>
      </c>
      <c r="C53" s="2" t="s">
        <v>25</v>
      </c>
      <c r="D53" s="2" t="s">
        <v>115</v>
      </c>
      <c r="E53" s="2">
        <v>8</v>
      </c>
      <c r="F53" s="200" t="s">
        <v>422</v>
      </c>
      <c r="G53" s="2">
        <v>21</v>
      </c>
      <c r="H53" s="2">
        <v>0</v>
      </c>
      <c r="I53" s="2">
        <v>0</v>
      </c>
      <c r="J53" s="2">
        <v>8</v>
      </c>
      <c r="K53" s="2">
        <v>0</v>
      </c>
      <c r="L53" s="2">
        <v>8</v>
      </c>
      <c r="M53" s="2"/>
      <c r="N53" s="2">
        <v>13</v>
      </c>
      <c r="O53" s="2">
        <v>0</v>
      </c>
      <c r="P53" s="2">
        <v>13</v>
      </c>
      <c r="R53" s="230">
        <v>0</v>
      </c>
      <c r="S53" s="230">
        <v>0</v>
      </c>
    </row>
    <row r="54" spans="1:19" x14ac:dyDescent="0.25">
      <c r="A54" s="2">
        <v>540039</v>
      </c>
      <c r="B54" s="2" t="s">
        <v>141</v>
      </c>
      <c r="C54" s="2" t="s">
        <v>25</v>
      </c>
      <c r="D54" s="2" t="s">
        <v>115</v>
      </c>
      <c r="E54" s="2">
        <v>8</v>
      </c>
      <c r="F54" s="200" t="s">
        <v>422</v>
      </c>
      <c r="G54" s="2">
        <v>5</v>
      </c>
      <c r="H54" s="2">
        <v>0</v>
      </c>
      <c r="I54" s="2">
        <v>0</v>
      </c>
      <c r="J54" s="2">
        <v>2</v>
      </c>
      <c r="K54" s="2">
        <v>0</v>
      </c>
      <c r="L54" s="2">
        <v>2</v>
      </c>
      <c r="M54" s="2"/>
      <c r="N54" s="2">
        <v>3</v>
      </c>
      <c r="O54" s="2">
        <v>1</v>
      </c>
      <c r="P54" s="2">
        <v>2</v>
      </c>
      <c r="R54" s="230">
        <v>0</v>
      </c>
      <c r="S54" s="230">
        <v>0</v>
      </c>
    </row>
    <row r="55" spans="1:19" x14ac:dyDescent="0.25">
      <c r="A55" s="1">
        <v>540040</v>
      </c>
      <c r="B55" s="1" t="s">
        <v>26</v>
      </c>
      <c r="C55" s="1" t="s">
        <v>27</v>
      </c>
      <c r="D55" s="1" t="s">
        <v>5</v>
      </c>
      <c r="E55" s="1">
        <v>4</v>
      </c>
      <c r="F55" s="24" t="s">
        <v>421</v>
      </c>
      <c r="G55" s="1">
        <v>979</v>
      </c>
      <c r="H55" s="1">
        <v>0</v>
      </c>
      <c r="I55" s="1">
        <v>0</v>
      </c>
      <c r="J55" s="1">
        <v>655</v>
      </c>
      <c r="K55" s="1">
        <v>0</v>
      </c>
      <c r="L55" s="1">
        <v>665</v>
      </c>
      <c r="M55" s="1"/>
      <c r="N55" s="1">
        <v>314</v>
      </c>
      <c r="O55" s="1">
        <v>266</v>
      </c>
      <c r="P55" s="1">
        <v>48</v>
      </c>
      <c r="R55" s="230">
        <v>0</v>
      </c>
      <c r="S55" s="230">
        <v>706</v>
      </c>
    </row>
    <row r="56" spans="1:19" x14ac:dyDescent="0.25">
      <c r="A56" s="2">
        <v>540041</v>
      </c>
      <c r="B56" s="2" t="s">
        <v>142</v>
      </c>
      <c r="C56" s="2" t="s">
        <v>27</v>
      </c>
      <c r="D56" s="2" t="s">
        <v>115</v>
      </c>
      <c r="E56" s="2">
        <v>4</v>
      </c>
      <c r="F56" s="200" t="s">
        <v>421</v>
      </c>
      <c r="G56" s="2">
        <v>136</v>
      </c>
      <c r="H56" s="2">
        <v>0</v>
      </c>
      <c r="I56" s="2">
        <v>0</v>
      </c>
      <c r="J56" s="2">
        <v>136</v>
      </c>
      <c r="K56" s="2">
        <v>0</v>
      </c>
      <c r="L56" s="2">
        <v>136</v>
      </c>
      <c r="M56" s="2"/>
      <c r="N56" s="2">
        <v>0</v>
      </c>
      <c r="O56" s="2">
        <v>0</v>
      </c>
      <c r="P56" s="2">
        <v>0</v>
      </c>
      <c r="R56" s="230">
        <v>0</v>
      </c>
      <c r="S56" s="230">
        <v>136</v>
      </c>
    </row>
    <row r="57" spans="1:19" x14ac:dyDescent="0.25">
      <c r="A57" s="2">
        <v>540243</v>
      </c>
      <c r="B57" s="2" t="s">
        <v>290</v>
      </c>
      <c r="C57" s="2" t="s">
        <v>27</v>
      </c>
      <c r="D57" s="2" t="s">
        <v>115</v>
      </c>
      <c r="E57" s="2">
        <v>4</v>
      </c>
      <c r="F57" s="200" t="s">
        <v>421</v>
      </c>
      <c r="G57" s="2">
        <v>7</v>
      </c>
      <c r="H57" s="2">
        <v>0</v>
      </c>
      <c r="I57" s="2">
        <v>0</v>
      </c>
      <c r="J57" s="2">
        <v>0</v>
      </c>
      <c r="K57" s="2">
        <v>0</v>
      </c>
      <c r="L57" s="2">
        <v>0</v>
      </c>
      <c r="M57" s="2"/>
      <c r="N57" s="2">
        <v>7</v>
      </c>
      <c r="O57" s="2">
        <v>7</v>
      </c>
      <c r="P57" s="2">
        <v>0</v>
      </c>
      <c r="R57" s="230">
        <v>0</v>
      </c>
      <c r="S57" s="230">
        <v>7</v>
      </c>
    </row>
    <row r="58" spans="1:19" x14ac:dyDescent="0.25">
      <c r="A58" s="2">
        <v>540281</v>
      </c>
      <c r="B58" s="2" t="s">
        <v>322</v>
      </c>
      <c r="C58" s="2" t="s">
        <v>27</v>
      </c>
      <c r="D58" s="2" t="s">
        <v>115</v>
      </c>
      <c r="E58" s="2">
        <v>4</v>
      </c>
      <c r="F58" s="200" t="s">
        <v>421</v>
      </c>
      <c r="G58" s="2">
        <v>0</v>
      </c>
      <c r="H58" s="2">
        <v>0</v>
      </c>
      <c r="I58" s="2">
        <v>0</v>
      </c>
      <c r="J58" s="2">
        <v>0</v>
      </c>
      <c r="K58" s="2">
        <v>0</v>
      </c>
      <c r="L58" s="2">
        <v>0</v>
      </c>
      <c r="M58" s="2"/>
      <c r="N58" s="2">
        <v>0</v>
      </c>
      <c r="O58" s="2">
        <v>0</v>
      </c>
      <c r="P58" s="2">
        <v>0</v>
      </c>
      <c r="R58" s="230">
        <v>0</v>
      </c>
      <c r="S58" s="230">
        <v>0</v>
      </c>
    </row>
    <row r="59" spans="1:19" x14ac:dyDescent="0.25">
      <c r="A59" s="2">
        <v>540244</v>
      </c>
      <c r="B59" s="2" t="s">
        <v>291</v>
      </c>
      <c r="C59" s="2" t="s">
        <v>27</v>
      </c>
      <c r="D59" s="2" t="s">
        <v>115</v>
      </c>
      <c r="E59" s="2">
        <v>4</v>
      </c>
      <c r="F59" s="200" t="s">
        <v>421</v>
      </c>
      <c r="G59" s="2">
        <v>0</v>
      </c>
      <c r="H59" s="2">
        <v>0</v>
      </c>
      <c r="I59" s="2">
        <v>0</v>
      </c>
      <c r="J59" s="2">
        <v>0</v>
      </c>
      <c r="K59" s="2">
        <v>0</v>
      </c>
      <c r="L59" s="2">
        <v>0</v>
      </c>
      <c r="M59" s="2"/>
      <c r="N59" s="2">
        <v>0</v>
      </c>
      <c r="O59" s="2">
        <v>0</v>
      </c>
      <c r="P59" s="2">
        <v>0</v>
      </c>
      <c r="R59" s="230">
        <v>0</v>
      </c>
      <c r="S59" s="230">
        <v>0</v>
      </c>
    </row>
    <row r="60" spans="1:19" x14ac:dyDescent="0.25">
      <c r="A60" s="2">
        <v>540228</v>
      </c>
      <c r="B60" s="2" t="s">
        <v>278</v>
      </c>
      <c r="C60" s="2" t="s">
        <v>27</v>
      </c>
      <c r="D60" s="2" t="s">
        <v>115</v>
      </c>
      <c r="E60" s="2">
        <v>4</v>
      </c>
      <c r="F60" s="200" t="s">
        <v>421</v>
      </c>
      <c r="G60" s="2">
        <v>19</v>
      </c>
      <c r="H60" s="2">
        <v>0</v>
      </c>
      <c r="I60" s="2">
        <v>0</v>
      </c>
      <c r="J60" s="2">
        <v>17</v>
      </c>
      <c r="K60" s="2">
        <v>0</v>
      </c>
      <c r="L60" s="2">
        <v>19</v>
      </c>
      <c r="M60" s="2"/>
      <c r="N60" s="2">
        <v>0</v>
      </c>
      <c r="O60" s="2">
        <v>0</v>
      </c>
      <c r="P60" s="2">
        <v>0</v>
      </c>
      <c r="R60" s="230">
        <v>0</v>
      </c>
      <c r="S60" s="230">
        <v>0</v>
      </c>
    </row>
    <row r="61" spans="1:19" x14ac:dyDescent="0.25">
      <c r="A61" s="2">
        <v>540043</v>
      </c>
      <c r="B61" s="2" t="s">
        <v>144</v>
      </c>
      <c r="C61" s="2" t="s">
        <v>27</v>
      </c>
      <c r="D61" s="2" t="s">
        <v>115</v>
      </c>
      <c r="E61" s="2">
        <v>4</v>
      </c>
      <c r="F61" s="200" t="s">
        <v>421</v>
      </c>
      <c r="G61" s="2">
        <v>69</v>
      </c>
      <c r="H61" s="2">
        <v>0</v>
      </c>
      <c r="I61" s="2">
        <v>0</v>
      </c>
      <c r="J61" s="2">
        <v>56</v>
      </c>
      <c r="K61" s="2">
        <v>0</v>
      </c>
      <c r="L61" s="2">
        <v>60</v>
      </c>
      <c r="M61" s="2"/>
      <c r="N61" s="2">
        <v>9</v>
      </c>
      <c r="O61" s="2">
        <v>9</v>
      </c>
      <c r="P61" s="2">
        <v>0</v>
      </c>
      <c r="R61" s="230">
        <v>0</v>
      </c>
      <c r="S61" s="230">
        <v>14</v>
      </c>
    </row>
    <row r="62" spans="1:19" x14ac:dyDescent="0.25">
      <c r="A62" s="2">
        <v>540044</v>
      </c>
      <c r="B62" s="2" t="s">
        <v>145</v>
      </c>
      <c r="C62" s="2" t="s">
        <v>27</v>
      </c>
      <c r="D62" s="2" t="s">
        <v>115</v>
      </c>
      <c r="E62" s="2">
        <v>4</v>
      </c>
      <c r="F62" s="200" t="s">
        <v>421</v>
      </c>
      <c r="G62" s="2">
        <v>22</v>
      </c>
      <c r="H62" s="2">
        <v>0</v>
      </c>
      <c r="I62" s="2">
        <v>0</v>
      </c>
      <c r="J62" s="2">
        <v>3</v>
      </c>
      <c r="K62" s="2">
        <v>0</v>
      </c>
      <c r="L62" s="2">
        <v>3</v>
      </c>
      <c r="M62" s="2"/>
      <c r="N62" s="2">
        <v>19</v>
      </c>
      <c r="O62" s="2">
        <v>19</v>
      </c>
      <c r="P62" s="2">
        <v>0</v>
      </c>
      <c r="R62" s="230">
        <v>0</v>
      </c>
      <c r="S62" s="230">
        <v>22</v>
      </c>
    </row>
    <row r="63" spans="1:19" x14ac:dyDescent="0.25">
      <c r="A63" s="2">
        <v>540045</v>
      </c>
      <c r="B63" s="2" t="s">
        <v>146</v>
      </c>
      <c r="C63" s="2" t="s">
        <v>27</v>
      </c>
      <c r="D63" s="2" t="s">
        <v>115</v>
      </c>
      <c r="E63" s="2">
        <v>4</v>
      </c>
      <c r="F63" s="200" t="s">
        <v>421</v>
      </c>
      <c r="G63" s="2">
        <v>470</v>
      </c>
      <c r="H63" s="2">
        <v>0</v>
      </c>
      <c r="I63" s="2">
        <v>0</v>
      </c>
      <c r="J63" s="2">
        <v>255</v>
      </c>
      <c r="K63" s="2">
        <v>0</v>
      </c>
      <c r="L63" s="2">
        <v>274</v>
      </c>
      <c r="M63" s="2"/>
      <c r="N63" s="2">
        <v>196</v>
      </c>
      <c r="O63" s="2">
        <v>1</v>
      </c>
      <c r="P63" s="2">
        <v>195</v>
      </c>
      <c r="R63" s="230">
        <v>0</v>
      </c>
      <c r="S63" s="230">
        <v>1</v>
      </c>
    </row>
    <row r="64" spans="1:19" x14ac:dyDescent="0.25">
      <c r="A64" s="1">
        <v>540226</v>
      </c>
      <c r="B64" s="1" t="s">
        <v>100</v>
      </c>
      <c r="C64" s="1" t="s">
        <v>101</v>
      </c>
      <c r="D64" s="1" t="s">
        <v>5</v>
      </c>
      <c r="E64" s="1">
        <v>8</v>
      </c>
      <c r="F64" s="24" t="s">
        <v>422</v>
      </c>
      <c r="G64" s="1">
        <v>1501</v>
      </c>
      <c r="H64" s="1">
        <v>0</v>
      </c>
      <c r="I64" s="1">
        <v>0</v>
      </c>
      <c r="J64" s="1">
        <v>226</v>
      </c>
      <c r="K64" s="1">
        <v>0</v>
      </c>
      <c r="L64" s="1">
        <v>226</v>
      </c>
      <c r="M64" s="1"/>
      <c r="N64" s="1">
        <v>1275</v>
      </c>
      <c r="O64" s="1">
        <v>399</v>
      </c>
      <c r="P64" s="1">
        <v>876</v>
      </c>
      <c r="R64" s="230">
        <v>0</v>
      </c>
      <c r="S64" s="230">
        <v>0</v>
      </c>
    </row>
    <row r="65" spans="1:19" x14ac:dyDescent="0.25">
      <c r="A65" s="2">
        <v>540046</v>
      </c>
      <c r="B65" s="2" t="s">
        <v>147</v>
      </c>
      <c r="C65" s="2" t="s">
        <v>101</v>
      </c>
      <c r="D65" s="2" t="s">
        <v>115</v>
      </c>
      <c r="E65" s="2">
        <v>8</v>
      </c>
      <c r="F65" s="200" t="s">
        <v>422</v>
      </c>
      <c r="G65" s="2">
        <v>37</v>
      </c>
      <c r="H65" s="2">
        <v>0</v>
      </c>
      <c r="I65" s="2">
        <v>0</v>
      </c>
      <c r="J65" s="2">
        <v>14</v>
      </c>
      <c r="K65" s="2">
        <v>0</v>
      </c>
      <c r="L65" s="2">
        <v>14</v>
      </c>
      <c r="M65" s="2"/>
      <c r="N65" s="2">
        <v>23</v>
      </c>
      <c r="O65" s="2">
        <v>0</v>
      </c>
      <c r="P65" s="2">
        <v>23</v>
      </c>
      <c r="R65" s="230">
        <v>0</v>
      </c>
      <c r="S65" s="230">
        <v>0</v>
      </c>
    </row>
    <row r="66" spans="1:19" x14ac:dyDescent="0.25">
      <c r="A66" s="2">
        <v>540276</v>
      </c>
      <c r="B66" s="2" t="s">
        <v>319</v>
      </c>
      <c r="C66" s="2" t="s">
        <v>101</v>
      </c>
      <c r="D66" s="2" t="s">
        <v>115</v>
      </c>
      <c r="E66" s="2">
        <v>8</v>
      </c>
      <c r="F66" s="200" t="s">
        <v>422</v>
      </c>
      <c r="G66" s="2">
        <v>6</v>
      </c>
      <c r="H66" s="2">
        <v>0</v>
      </c>
      <c r="I66" s="2">
        <v>0</v>
      </c>
      <c r="J66" s="2">
        <v>0</v>
      </c>
      <c r="K66" s="2">
        <v>0</v>
      </c>
      <c r="L66" s="2">
        <v>0</v>
      </c>
      <c r="M66" s="2"/>
      <c r="N66" s="2">
        <v>6</v>
      </c>
      <c r="O66" s="2">
        <v>0</v>
      </c>
      <c r="P66" s="2">
        <v>6</v>
      </c>
      <c r="R66" s="230">
        <v>0</v>
      </c>
      <c r="S66" s="230">
        <v>0</v>
      </c>
    </row>
    <row r="67" spans="1:19" x14ac:dyDescent="0.25">
      <c r="A67" s="1">
        <v>540047</v>
      </c>
      <c r="B67" s="1" t="s">
        <v>28</v>
      </c>
      <c r="C67" s="1" t="s">
        <v>29</v>
      </c>
      <c r="D67" s="1" t="s">
        <v>5</v>
      </c>
      <c r="E67" s="1">
        <v>11</v>
      </c>
      <c r="F67" s="24" t="s">
        <v>421</v>
      </c>
      <c r="G67" s="1">
        <v>307</v>
      </c>
      <c r="H67" s="1">
        <v>0</v>
      </c>
      <c r="I67" s="1">
        <v>0</v>
      </c>
      <c r="J67" s="1">
        <v>275</v>
      </c>
      <c r="K67" s="1">
        <v>0</v>
      </c>
      <c r="L67" s="1">
        <v>275</v>
      </c>
      <c r="M67" s="1"/>
      <c r="N67" s="1">
        <v>32</v>
      </c>
      <c r="O67" s="1">
        <v>2</v>
      </c>
      <c r="P67" s="1">
        <v>30</v>
      </c>
      <c r="R67" s="230">
        <v>0</v>
      </c>
      <c r="S67" s="230">
        <v>1</v>
      </c>
    </row>
    <row r="68" spans="1:19" x14ac:dyDescent="0.25">
      <c r="A68" s="2">
        <v>540048</v>
      </c>
      <c r="B68" s="2" t="s">
        <v>148</v>
      </c>
      <c r="C68" s="2" t="s">
        <v>29</v>
      </c>
      <c r="D68" s="2" t="s">
        <v>115</v>
      </c>
      <c r="E68" s="2">
        <v>11</v>
      </c>
      <c r="F68" s="200" t="s">
        <v>421</v>
      </c>
      <c r="G68" s="2">
        <v>23</v>
      </c>
      <c r="H68" s="2">
        <v>0</v>
      </c>
      <c r="I68" s="2">
        <v>0</v>
      </c>
      <c r="J68" s="2">
        <v>23</v>
      </c>
      <c r="K68" s="2">
        <v>0</v>
      </c>
      <c r="L68" s="2">
        <v>23</v>
      </c>
      <c r="M68" s="2"/>
      <c r="N68" s="2">
        <v>0</v>
      </c>
      <c r="O68" s="2">
        <v>0</v>
      </c>
      <c r="P68" s="2">
        <v>0</v>
      </c>
      <c r="R68" s="230">
        <v>0</v>
      </c>
      <c r="S68" s="230">
        <v>0</v>
      </c>
    </row>
    <row r="69" spans="1:19" x14ac:dyDescent="0.25">
      <c r="A69" s="2">
        <v>540049</v>
      </c>
      <c r="B69" s="2" t="s">
        <v>149</v>
      </c>
      <c r="C69" s="2" t="s">
        <v>29</v>
      </c>
      <c r="D69" s="2" t="s">
        <v>115</v>
      </c>
      <c r="E69" s="2">
        <v>11</v>
      </c>
      <c r="F69" s="200" t="s">
        <v>421</v>
      </c>
      <c r="G69" s="2">
        <v>190</v>
      </c>
      <c r="H69" s="2">
        <v>0</v>
      </c>
      <c r="I69" s="2">
        <v>0</v>
      </c>
      <c r="J69" s="2">
        <v>188</v>
      </c>
      <c r="K69" s="2">
        <v>0</v>
      </c>
      <c r="L69" s="2">
        <v>188</v>
      </c>
      <c r="M69" s="2"/>
      <c r="N69" s="2">
        <v>2</v>
      </c>
      <c r="O69" s="2">
        <v>0</v>
      </c>
      <c r="P69" s="2">
        <v>2</v>
      </c>
      <c r="R69" s="230">
        <v>0</v>
      </c>
      <c r="S69" s="230">
        <v>0</v>
      </c>
    </row>
    <row r="70" spans="1:19" x14ac:dyDescent="0.25">
      <c r="A70" s="2">
        <v>540014</v>
      </c>
      <c r="B70" s="2" t="s">
        <v>124</v>
      </c>
      <c r="C70" s="2" t="s">
        <v>29</v>
      </c>
      <c r="D70" s="2" t="s">
        <v>115</v>
      </c>
      <c r="E70" s="2">
        <v>11</v>
      </c>
      <c r="F70" s="200" t="s">
        <v>421</v>
      </c>
      <c r="G70" s="2">
        <v>112</v>
      </c>
      <c r="H70" s="2">
        <v>0</v>
      </c>
      <c r="I70" s="2">
        <v>0</v>
      </c>
      <c r="J70" s="2">
        <v>66</v>
      </c>
      <c r="K70" s="2">
        <v>0</v>
      </c>
      <c r="L70" s="2">
        <v>66</v>
      </c>
      <c r="M70" s="2"/>
      <c r="N70" s="2">
        <v>46</v>
      </c>
      <c r="O70" s="2">
        <v>0</v>
      </c>
      <c r="P70" s="2">
        <v>46</v>
      </c>
      <c r="R70" s="230">
        <v>0</v>
      </c>
      <c r="S70" s="230">
        <v>0</v>
      </c>
    </row>
    <row r="71" spans="1:19" x14ac:dyDescent="0.25">
      <c r="A71" s="1">
        <v>540051</v>
      </c>
      <c r="B71" s="1" t="s">
        <v>30</v>
      </c>
      <c r="C71" s="1" t="s">
        <v>31</v>
      </c>
      <c r="D71" s="1" t="s">
        <v>5</v>
      </c>
      <c r="E71" s="1">
        <v>8</v>
      </c>
      <c r="F71" s="24" t="s">
        <v>422</v>
      </c>
      <c r="G71" s="1">
        <v>416</v>
      </c>
      <c r="H71" s="1">
        <v>0</v>
      </c>
      <c r="I71" s="1">
        <v>0</v>
      </c>
      <c r="J71" s="1">
        <v>171</v>
      </c>
      <c r="K71" s="1">
        <v>0</v>
      </c>
      <c r="L71" s="1">
        <v>171</v>
      </c>
      <c r="M71" s="1"/>
      <c r="N71" s="1">
        <v>245</v>
      </c>
      <c r="O71" s="1">
        <v>230</v>
      </c>
      <c r="P71" s="1">
        <v>15</v>
      </c>
      <c r="R71" s="230">
        <v>0</v>
      </c>
      <c r="S71" s="230">
        <v>0</v>
      </c>
    </row>
    <row r="72" spans="1:19" x14ac:dyDescent="0.25">
      <c r="A72" s="2">
        <v>540052</v>
      </c>
      <c r="B72" s="2" t="s">
        <v>151</v>
      </c>
      <c r="C72" s="2" t="s">
        <v>31</v>
      </c>
      <c r="D72" s="2" t="s">
        <v>115</v>
      </c>
      <c r="E72" s="2">
        <v>8</v>
      </c>
      <c r="F72" s="200" t="s">
        <v>422</v>
      </c>
      <c r="G72" s="2">
        <v>77</v>
      </c>
      <c r="H72" s="2">
        <v>0</v>
      </c>
      <c r="I72" s="2">
        <v>0</v>
      </c>
      <c r="J72" s="2">
        <v>32</v>
      </c>
      <c r="K72" s="2">
        <v>0</v>
      </c>
      <c r="L72" s="2">
        <v>32</v>
      </c>
      <c r="M72" s="2"/>
      <c r="N72" s="2">
        <v>45</v>
      </c>
      <c r="O72" s="2">
        <v>3</v>
      </c>
      <c r="P72" s="2">
        <v>42</v>
      </c>
      <c r="R72" s="230">
        <v>0</v>
      </c>
      <c r="S72" s="230">
        <v>0</v>
      </c>
    </row>
    <row r="73" spans="1:19" x14ac:dyDescent="0.25">
      <c r="A73" s="2">
        <v>540245</v>
      </c>
      <c r="B73" s="2" t="s">
        <v>292</v>
      </c>
      <c r="C73" s="2" t="s">
        <v>31</v>
      </c>
      <c r="D73" s="2" t="s">
        <v>115</v>
      </c>
      <c r="E73" s="2">
        <v>8</v>
      </c>
      <c r="F73" s="200" t="s">
        <v>422</v>
      </c>
      <c r="G73" s="2">
        <v>1</v>
      </c>
      <c r="H73" s="2">
        <v>0</v>
      </c>
      <c r="I73" s="2">
        <v>0</v>
      </c>
      <c r="J73" s="2">
        <v>0</v>
      </c>
      <c r="K73" s="2">
        <v>0</v>
      </c>
      <c r="L73" s="2">
        <v>0</v>
      </c>
      <c r="M73" s="2"/>
      <c r="N73" s="2">
        <v>1</v>
      </c>
      <c r="O73" s="2">
        <v>1</v>
      </c>
      <c r="P73" s="2">
        <v>0</v>
      </c>
      <c r="R73" s="230">
        <v>0</v>
      </c>
      <c r="S73" s="230">
        <v>0</v>
      </c>
    </row>
    <row r="74" spans="1:19" x14ac:dyDescent="0.25">
      <c r="A74" s="1">
        <v>540053</v>
      </c>
      <c r="B74" s="1" t="s">
        <v>32</v>
      </c>
      <c r="C74" s="1" t="s">
        <v>33</v>
      </c>
      <c r="D74" s="1" t="s">
        <v>5</v>
      </c>
      <c r="E74" s="1">
        <v>6</v>
      </c>
      <c r="F74" s="24" t="s">
        <v>421</v>
      </c>
      <c r="G74" s="1">
        <v>1029</v>
      </c>
      <c r="H74" s="1">
        <v>0</v>
      </c>
      <c r="I74" s="1">
        <v>0</v>
      </c>
      <c r="J74" s="1">
        <v>438</v>
      </c>
      <c r="K74" s="1">
        <v>0</v>
      </c>
      <c r="L74" s="1">
        <v>438</v>
      </c>
      <c r="M74" s="1"/>
      <c r="N74" s="1">
        <v>591</v>
      </c>
      <c r="O74" s="1">
        <v>311</v>
      </c>
      <c r="P74" s="1">
        <v>280</v>
      </c>
      <c r="R74" s="230">
        <v>0</v>
      </c>
      <c r="S74" s="230">
        <v>514</v>
      </c>
    </row>
    <row r="75" spans="1:19" x14ac:dyDescent="0.25">
      <c r="A75" s="2">
        <v>540054</v>
      </c>
      <c r="B75" s="2" t="s">
        <v>152</v>
      </c>
      <c r="C75" s="2" t="s">
        <v>33</v>
      </c>
      <c r="D75" s="2" t="s">
        <v>115</v>
      </c>
      <c r="E75" s="2">
        <v>6</v>
      </c>
      <c r="F75" s="200" t="s">
        <v>421</v>
      </c>
      <c r="G75" s="2">
        <v>21</v>
      </c>
      <c r="H75" s="2">
        <v>0</v>
      </c>
      <c r="I75" s="2">
        <v>0</v>
      </c>
      <c r="J75" s="2">
        <v>0</v>
      </c>
      <c r="K75" s="2">
        <v>0</v>
      </c>
      <c r="L75" s="2">
        <v>0</v>
      </c>
      <c r="M75" s="2"/>
      <c r="N75" s="2">
        <v>21</v>
      </c>
      <c r="O75" s="2">
        <v>0</v>
      </c>
      <c r="P75" s="2">
        <v>21</v>
      </c>
      <c r="R75" s="230">
        <v>0</v>
      </c>
      <c r="S75" s="230">
        <v>0</v>
      </c>
    </row>
    <row r="76" spans="1:19" x14ac:dyDescent="0.25">
      <c r="A76" s="2">
        <v>540055</v>
      </c>
      <c r="B76" s="2" t="s">
        <v>153</v>
      </c>
      <c r="C76" s="2" t="s">
        <v>33</v>
      </c>
      <c r="D76" s="2" t="s">
        <v>115</v>
      </c>
      <c r="E76" s="2">
        <v>6</v>
      </c>
      <c r="F76" s="200" t="s">
        <v>421</v>
      </c>
      <c r="G76" s="2">
        <v>95</v>
      </c>
      <c r="H76" s="2">
        <v>0</v>
      </c>
      <c r="I76" s="2">
        <v>0</v>
      </c>
      <c r="J76" s="2">
        <v>64</v>
      </c>
      <c r="K76" s="2">
        <v>0</v>
      </c>
      <c r="L76" s="2">
        <v>64</v>
      </c>
      <c r="M76" s="2"/>
      <c r="N76" s="2">
        <v>31</v>
      </c>
      <c r="O76" s="2">
        <v>7</v>
      </c>
      <c r="P76" s="2">
        <v>24</v>
      </c>
      <c r="R76" s="230">
        <v>0</v>
      </c>
      <c r="S76" s="230">
        <v>6</v>
      </c>
    </row>
    <row r="77" spans="1:19" x14ac:dyDescent="0.25">
      <c r="A77" s="2">
        <v>540056</v>
      </c>
      <c r="B77" s="2" t="s">
        <v>154</v>
      </c>
      <c r="C77" s="2" t="s">
        <v>33</v>
      </c>
      <c r="D77" s="2" t="s">
        <v>115</v>
      </c>
      <c r="E77" s="2">
        <v>6</v>
      </c>
      <c r="F77" s="200" t="s">
        <v>421</v>
      </c>
      <c r="G77" s="2">
        <v>291</v>
      </c>
      <c r="H77" s="2">
        <v>0</v>
      </c>
      <c r="I77" s="2">
        <v>0</v>
      </c>
      <c r="J77" s="2">
        <v>199</v>
      </c>
      <c r="K77" s="2">
        <v>0</v>
      </c>
      <c r="L77" s="2">
        <v>199</v>
      </c>
      <c r="M77" s="2"/>
      <c r="N77" s="2">
        <v>92</v>
      </c>
      <c r="O77" s="2">
        <v>0</v>
      </c>
      <c r="P77" s="2">
        <v>92</v>
      </c>
      <c r="R77" s="230">
        <v>0</v>
      </c>
      <c r="S77" s="230">
        <v>0</v>
      </c>
    </row>
    <row r="78" spans="1:19" x14ac:dyDescent="0.25">
      <c r="A78" s="2">
        <v>540057</v>
      </c>
      <c r="B78" s="2" t="s">
        <v>155</v>
      </c>
      <c r="C78" s="2" t="s">
        <v>33</v>
      </c>
      <c r="D78" s="2" t="s">
        <v>115</v>
      </c>
      <c r="E78" s="2">
        <v>6</v>
      </c>
      <c r="F78" s="200" t="s">
        <v>421</v>
      </c>
      <c r="G78" s="2">
        <v>77</v>
      </c>
      <c r="H78" s="2">
        <v>0</v>
      </c>
      <c r="I78" s="2">
        <v>0</v>
      </c>
      <c r="J78" s="2">
        <v>14</v>
      </c>
      <c r="K78" s="2">
        <v>0</v>
      </c>
      <c r="L78" s="2">
        <v>14</v>
      </c>
      <c r="M78" s="2"/>
      <c r="N78" s="2">
        <v>63</v>
      </c>
      <c r="O78" s="2">
        <v>1</v>
      </c>
      <c r="P78" s="2">
        <v>62</v>
      </c>
      <c r="R78" s="230">
        <v>0</v>
      </c>
      <c r="S78" s="230">
        <v>1</v>
      </c>
    </row>
    <row r="79" spans="1:19" x14ac:dyDescent="0.25">
      <c r="A79" s="2">
        <v>540058</v>
      </c>
      <c r="B79" s="2" t="s">
        <v>156</v>
      </c>
      <c r="C79" s="2" t="s">
        <v>33</v>
      </c>
      <c r="D79" s="2" t="s">
        <v>115</v>
      </c>
      <c r="E79" s="2">
        <v>6</v>
      </c>
      <c r="F79" s="200" t="s">
        <v>421</v>
      </c>
      <c r="G79" s="2">
        <v>44</v>
      </c>
      <c r="H79" s="2">
        <v>0</v>
      </c>
      <c r="I79" s="2">
        <v>0</v>
      </c>
      <c r="J79" s="2">
        <v>11</v>
      </c>
      <c r="K79" s="2">
        <v>0</v>
      </c>
      <c r="L79" s="2">
        <v>11</v>
      </c>
      <c r="M79" s="2"/>
      <c r="N79" s="2">
        <v>33</v>
      </c>
      <c r="O79" s="2">
        <v>0</v>
      </c>
      <c r="P79" s="2">
        <v>33</v>
      </c>
      <c r="R79" s="230">
        <v>0</v>
      </c>
      <c r="S79" s="230">
        <v>0</v>
      </c>
    </row>
    <row r="80" spans="1:19" x14ac:dyDescent="0.25">
      <c r="A80" s="2">
        <v>540059</v>
      </c>
      <c r="B80" s="2" t="s">
        <v>157</v>
      </c>
      <c r="C80" s="2" t="s">
        <v>33</v>
      </c>
      <c r="D80" s="2" t="s">
        <v>115</v>
      </c>
      <c r="E80" s="2">
        <v>6</v>
      </c>
      <c r="F80" s="200" t="s">
        <v>421</v>
      </c>
      <c r="G80" s="2">
        <v>41</v>
      </c>
      <c r="H80" s="2">
        <v>0</v>
      </c>
      <c r="I80" s="2">
        <v>0</v>
      </c>
      <c r="J80" s="2">
        <v>26</v>
      </c>
      <c r="K80" s="2">
        <v>0</v>
      </c>
      <c r="L80" s="2">
        <v>26</v>
      </c>
      <c r="M80" s="2"/>
      <c r="N80" s="2">
        <v>15</v>
      </c>
      <c r="O80" s="2">
        <v>0</v>
      </c>
      <c r="P80" s="2">
        <v>15</v>
      </c>
      <c r="R80" s="230">
        <v>0</v>
      </c>
      <c r="S80" s="230">
        <v>0</v>
      </c>
    </row>
    <row r="81" spans="1:19" x14ac:dyDescent="0.25">
      <c r="A81" s="2">
        <v>540242</v>
      </c>
      <c r="B81" s="2" t="s">
        <v>289</v>
      </c>
      <c r="C81" s="2" t="s">
        <v>33</v>
      </c>
      <c r="D81" s="2" t="s">
        <v>115</v>
      </c>
      <c r="E81" s="2">
        <v>6</v>
      </c>
      <c r="F81" s="200" t="s">
        <v>421</v>
      </c>
      <c r="G81" s="2">
        <v>54</v>
      </c>
      <c r="H81" s="2">
        <v>0</v>
      </c>
      <c r="I81" s="2">
        <v>0</v>
      </c>
      <c r="J81" s="2">
        <v>0</v>
      </c>
      <c r="K81" s="2">
        <v>0</v>
      </c>
      <c r="L81" s="2">
        <v>0</v>
      </c>
      <c r="M81" s="2"/>
      <c r="N81" s="2">
        <v>54</v>
      </c>
      <c r="O81" s="2">
        <v>54</v>
      </c>
      <c r="P81" s="2">
        <v>0</v>
      </c>
      <c r="R81" s="230">
        <v>0</v>
      </c>
      <c r="S81" s="230">
        <v>54</v>
      </c>
    </row>
    <row r="82" spans="1:19" x14ac:dyDescent="0.25">
      <c r="A82" s="2">
        <v>540060</v>
      </c>
      <c r="B82" s="2" t="s">
        <v>158</v>
      </c>
      <c r="C82" s="2" t="s">
        <v>33</v>
      </c>
      <c r="D82" s="2" t="s">
        <v>115</v>
      </c>
      <c r="E82" s="2">
        <v>6</v>
      </c>
      <c r="F82" s="200" t="s">
        <v>421</v>
      </c>
      <c r="G82" s="2">
        <v>66</v>
      </c>
      <c r="H82" s="2">
        <v>0</v>
      </c>
      <c r="I82" s="2">
        <v>0</v>
      </c>
      <c r="J82" s="2">
        <v>17</v>
      </c>
      <c r="K82" s="2">
        <v>0</v>
      </c>
      <c r="L82" s="2">
        <v>17</v>
      </c>
      <c r="M82" s="2"/>
      <c r="N82" s="2">
        <v>49</v>
      </c>
      <c r="O82" s="2">
        <v>2</v>
      </c>
      <c r="P82" s="2">
        <v>47</v>
      </c>
      <c r="R82" s="230">
        <v>0</v>
      </c>
      <c r="S82" s="230">
        <v>4</v>
      </c>
    </row>
    <row r="83" spans="1:19" x14ac:dyDescent="0.25">
      <c r="A83" s="2">
        <v>540061</v>
      </c>
      <c r="B83" s="2" t="s">
        <v>159</v>
      </c>
      <c r="C83" s="2" t="s">
        <v>33</v>
      </c>
      <c r="D83" s="2" t="s">
        <v>115</v>
      </c>
      <c r="E83" s="2">
        <v>6</v>
      </c>
      <c r="F83" s="200" t="s">
        <v>421</v>
      </c>
      <c r="G83" s="2">
        <v>16</v>
      </c>
      <c r="H83" s="2">
        <v>0</v>
      </c>
      <c r="I83" s="2">
        <v>0</v>
      </c>
      <c r="J83" s="2">
        <v>10</v>
      </c>
      <c r="K83" s="2">
        <v>0</v>
      </c>
      <c r="L83" s="2">
        <v>10</v>
      </c>
      <c r="M83" s="2"/>
      <c r="N83" s="2">
        <v>6</v>
      </c>
      <c r="O83" s="2">
        <v>0</v>
      </c>
      <c r="P83" s="2">
        <v>6</v>
      </c>
      <c r="R83" s="230">
        <v>0</v>
      </c>
      <c r="S83" s="230">
        <v>0</v>
      </c>
    </row>
    <row r="84" spans="1:19" x14ac:dyDescent="0.25">
      <c r="A84" s="2">
        <v>540062</v>
      </c>
      <c r="B84" s="2" t="s">
        <v>160</v>
      </c>
      <c r="C84" s="2" t="s">
        <v>33</v>
      </c>
      <c r="D84" s="2" t="s">
        <v>115</v>
      </c>
      <c r="E84" s="2">
        <v>6</v>
      </c>
      <c r="F84" s="200" t="s">
        <v>421</v>
      </c>
      <c r="G84" s="2">
        <v>0</v>
      </c>
      <c r="H84" s="2">
        <v>0</v>
      </c>
      <c r="I84" s="2">
        <v>0</v>
      </c>
      <c r="J84" s="2">
        <v>0</v>
      </c>
      <c r="K84" s="2">
        <v>0</v>
      </c>
      <c r="L84" s="2">
        <v>0</v>
      </c>
      <c r="M84" s="2"/>
      <c r="N84" s="2">
        <v>0</v>
      </c>
      <c r="O84" s="2">
        <v>0</v>
      </c>
      <c r="P84" s="2">
        <v>0</v>
      </c>
      <c r="R84" s="230">
        <v>0</v>
      </c>
      <c r="S84" s="230">
        <v>0</v>
      </c>
    </row>
    <row r="85" spans="1:19" x14ac:dyDescent="0.25">
      <c r="A85" s="1">
        <v>540063</v>
      </c>
      <c r="B85" s="1" t="s">
        <v>34</v>
      </c>
      <c r="C85" s="1" t="s">
        <v>35</v>
      </c>
      <c r="D85" s="1" t="s">
        <v>5</v>
      </c>
      <c r="E85" s="1">
        <v>5</v>
      </c>
      <c r="F85" s="24" t="s">
        <v>422</v>
      </c>
      <c r="G85" s="1">
        <v>888</v>
      </c>
      <c r="H85" s="1">
        <v>0</v>
      </c>
      <c r="I85" s="1">
        <v>0</v>
      </c>
      <c r="J85" s="1">
        <v>308</v>
      </c>
      <c r="K85" s="1">
        <v>0</v>
      </c>
      <c r="L85" s="1">
        <v>308</v>
      </c>
      <c r="M85" s="1"/>
      <c r="N85" s="1">
        <v>580</v>
      </c>
      <c r="O85" s="1">
        <v>497</v>
      </c>
      <c r="P85" s="1">
        <v>83</v>
      </c>
      <c r="R85" s="230">
        <v>0</v>
      </c>
      <c r="S85" s="230">
        <v>0</v>
      </c>
    </row>
    <row r="86" spans="1:19" x14ac:dyDescent="0.25">
      <c r="A86" s="2">
        <v>540241</v>
      </c>
      <c r="B86" s="2" t="s">
        <v>288</v>
      </c>
      <c r="C86" s="2" t="s">
        <v>35</v>
      </c>
      <c r="D86" s="2" t="s">
        <v>115</v>
      </c>
      <c r="E86" s="2">
        <v>5</v>
      </c>
      <c r="F86" s="200" t="s">
        <v>422</v>
      </c>
      <c r="G86" s="2">
        <v>142</v>
      </c>
      <c r="H86" s="2">
        <v>0</v>
      </c>
      <c r="I86" s="2">
        <v>0</v>
      </c>
      <c r="J86" s="2">
        <v>141</v>
      </c>
      <c r="K86" s="2">
        <v>0</v>
      </c>
      <c r="L86" s="2">
        <v>141</v>
      </c>
      <c r="M86" s="2"/>
      <c r="N86" s="2">
        <v>1</v>
      </c>
      <c r="O86" s="2">
        <v>0</v>
      </c>
      <c r="P86" s="2">
        <v>1</v>
      </c>
      <c r="R86" s="230">
        <v>0</v>
      </c>
      <c r="S86" s="230">
        <v>0</v>
      </c>
    </row>
    <row r="87" spans="1:19" x14ac:dyDescent="0.25">
      <c r="A87" s="2">
        <v>540064</v>
      </c>
      <c r="B87" s="2" t="s">
        <v>161</v>
      </c>
      <c r="C87" s="2" t="s">
        <v>35</v>
      </c>
      <c r="D87" s="2" t="s">
        <v>115</v>
      </c>
      <c r="E87" s="2">
        <v>5</v>
      </c>
      <c r="F87" s="200" t="s">
        <v>422</v>
      </c>
      <c r="G87" s="2">
        <v>14</v>
      </c>
      <c r="H87" s="2">
        <v>0</v>
      </c>
      <c r="I87" s="2">
        <v>0</v>
      </c>
      <c r="J87" s="2">
        <v>6</v>
      </c>
      <c r="K87" s="2">
        <v>0</v>
      </c>
      <c r="L87" s="2">
        <v>6</v>
      </c>
      <c r="M87" s="2"/>
      <c r="N87" s="2">
        <v>8</v>
      </c>
      <c r="O87" s="2">
        <v>8</v>
      </c>
      <c r="P87" s="2">
        <v>0</v>
      </c>
      <c r="R87" s="230">
        <v>0</v>
      </c>
      <c r="S87" s="230">
        <v>0</v>
      </c>
    </row>
    <row r="88" spans="1:19" x14ac:dyDescent="0.25">
      <c r="A88" s="1">
        <v>540065</v>
      </c>
      <c r="B88" s="1" t="s">
        <v>36</v>
      </c>
      <c r="C88" s="1" t="s">
        <v>37</v>
      </c>
      <c r="D88" s="1" t="s">
        <v>5</v>
      </c>
      <c r="E88" s="1">
        <v>9</v>
      </c>
      <c r="F88" s="24" t="s">
        <v>421</v>
      </c>
      <c r="G88" s="1">
        <v>441</v>
      </c>
      <c r="H88" s="1">
        <v>0</v>
      </c>
      <c r="I88" s="1">
        <v>0</v>
      </c>
      <c r="J88" s="1">
        <v>39</v>
      </c>
      <c r="K88" s="1">
        <v>0</v>
      </c>
      <c r="L88" s="1">
        <v>39</v>
      </c>
      <c r="M88" s="1"/>
      <c r="N88" s="1">
        <v>402</v>
      </c>
      <c r="O88" s="1">
        <v>305</v>
      </c>
      <c r="P88" s="1">
        <v>97</v>
      </c>
      <c r="R88" s="230">
        <v>0</v>
      </c>
      <c r="S88" s="230">
        <v>159</v>
      </c>
    </row>
    <row r="89" spans="1:19" x14ac:dyDescent="0.25">
      <c r="A89" s="2">
        <v>540030</v>
      </c>
      <c r="B89" s="2" t="s">
        <v>135</v>
      </c>
      <c r="C89" s="2" t="s">
        <v>37</v>
      </c>
      <c r="D89" s="2" t="s">
        <v>115</v>
      </c>
      <c r="E89" s="2">
        <v>9</v>
      </c>
      <c r="F89" s="200" t="s">
        <v>421</v>
      </c>
      <c r="G89" s="2">
        <v>0</v>
      </c>
      <c r="H89" s="2">
        <v>0</v>
      </c>
      <c r="I89" s="2">
        <v>0</v>
      </c>
      <c r="J89" s="2">
        <v>0</v>
      </c>
      <c r="K89" s="2">
        <v>0</v>
      </c>
      <c r="L89" s="2">
        <v>0</v>
      </c>
      <c r="M89" s="2"/>
      <c r="N89" s="2">
        <v>0</v>
      </c>
      <c r="O89" s="2">
        <v>0</v>
      </c>
      <c r="P89" s="2">
        <v>0</v>
      </c>
      <c r="R89" s="230">
        <v>0</v>
      </c>
      <c r="S89" s="230">
        <v>0</v>
      </c>
    </row>
    <row r="90" spans="1:19" x14ac:dyDescent="0.25">
      <c r="A90" s="2">
        <v>540066</v>
      </c>
      <c r="B90" s="2" t="s">
        <v>162</v>
      </c>
      <c r="C90" s="2" t="s">
        <v>37</v>
      </c>
      <c r="D90" s="2" t="s">
        <v>115</v>
      </c>
      <c r="E90" s="2">
        <v>9</v>
      </c>
      <c r="F90" s="200" t="s">
        <v>421</v>
      </c>
      <c r="G90" s="2">
        <v>21</v>
      </c>
      <c r="H90" s="2">
        <v>0</v>
      </c>
      <c r="I90" s="2">
        <v>0</v>
      </c>
      <c r="J90" s="2">
        <v>11</v>
      </c>
      <c r="K90" s="2">
        <v>0</v>
      </c>
      <c r="L90" s="2">
        <v>11</v>
      </c>
      <c r="M90" s="2"/>
      <c r="N90" s="2">
        <v>10</v>
      </c>
      <c r="O90" s="2">
        <v>1</v>
      </c>
      <c r="P90" s="2">
        <v>9</v>
      </c>
      <c r="R90" s="230">
        <v>0</v>
      </c>
      <c r="S90" s="230">
        <v>0</v>
      </c>
    </row>
    <row r="91" spans="1:19" x14ac:dyDescent="0.25">
      <c r="A91" s="2">
        <v>540067</v>
      </c>
      <c r="B91" s="2" t="s">
        <v>163</v>
      </c>
      <c r="C91" s="2" t="s">
        <v>37</v>
      </c>
      <c r="D91" s="2" t="s">
        <v>115</v>
      </c>
      <c r="E91" s="2">
        <v>9</v>
      </c>
      <c r="F91" s="200" t="s">
        <v>421</v>
      </c>
      <c r="G91" s="2">
        <v>4</v>
      </c>
      <c r="H91" s="2">
        <v>0</v>
      </c>
      <c r="I91" s="2">
        <v>0</v>
      </c>
      <c r="J91" s="2">
        <v>1</v>
      </c>
      <c r="K91" s="2">
        <v>0</v>
      </c>
      <c r="L91" s="2">
        <v>1</v>
      </c>
      <c r="M91" s="2"/>
      <c r="N91" s="2">
        <v>3</v>
      </c>
      <c r="O91" s="2">
        <v>3</v>
      </c>
      <c r="P91" s="2">
        <v>0</v>
      </c>
      <c r="R91" s="230">
        <v>0</v>
      </c>
      <c r="S91" s="230">
        <v>3</v>
      </c>
    </row>
    <row r="92" spans="1:19" x14ac:dyDescent="0.25">
      <c r="A92" s="2">
        <v>540068</v>
      </c>
      <c r="B92" s="2" t="s">
        <v>164</v>
      </c>
      <c r="C92" s="2" t="s">
        <v>37</v>
      </c>
      <c r="D92" s="2" t="s">
        <v>115</v>
      </c>
      <c r="E92" s="2">
        <v>9</v>
      </c>
      <c r="F92" s="200" t="s">
        <v>421</v>
      </c>
      <c r="G92" s="2">
        <v>76</v>
      </c>
      <c r="H92" s="2">
        <v>0</v>
      </c>
      <c r="I92" s="2">
        <v>0</v>
      </c>
      <c r="J92" s="2">
        <v>18</v>
      </c>
      <c r="K92" s="2">
        <v>0</v>
      </c>
      <c r="L92" s="2">
        <v>18</v>
      </c>
      <c r="M92" s="2"/>
      <c r="N92" s="2">
        <v>58</v>
      </c>
      <c r="O92" s="2">
        <v>1</v>
      </c>
      <c r="P92" s="2">
        <v>57</v>
      </c>
      <c r="R92" s="230">
        <v>0</v>
      </c>
      <c r="S92" s="230">
        <v>0</v>
      </c>
    </row>
    <row r="93" spans="1:19" x14ac:dyDescent="0.25">
      <c r="A93" s="2">
        <v>540069</v>
      </c>
      <c r="B93" s="2" t="s">
        <v>165</v>
      </c>
      <c r="C93" s="2" t="s">
        <v>37</v>
      </c>
      <c r="D93" s="2" t="s">
        <v>115</v>
      </c>
      <c r="E93" s="2">
        <v>9</v>
      </c>
      <c r="F93" s="200" t="s">
        <v>421</v>
      </c>
      <c r="G93" s="2">
        <v>129</v>
      </c>
      <c r="H93" s="2">
        <v>0</v>
      </c>
      <c r="I93" s="2">
        <v>0</v>
      </c>
      <c r="J93" s="2">
        <v>0</v>
      </c>
      <c r="K93" s="2">
        <v>0</v>
      </c>
      <c r="L93" s="2">
        <v>0</v>
      </c>
      <c r="M93" s="2"/>
      <c r="N93" s="2">
        <v>129</v>
      </c>
      <c r="O93" s="2">
        <v>0</v>
      </c>
      <c r="P93" s="2">
        <v>129</v>
      </c>
      <c r="R93" s="230">
        <v>0</v>
      </c>
      <c r="S93" s="230">
        <v>0</v>
      </c>
    </row>
    <row r="94" spans="1:19" x14ac:dyDescent="0.25">
      <c r="A94" s="1">
        <v>540070</v>
      </c>
      <c r="B94" s="1" t="s">
        <v>38</v>
      </c>
      <c r="C94" s="1" t="s">
        <v>39</v>
      </c>
      <c r="D94" s="1" t="s">
        <v>5</v>
      </c>
      <c r="E94" s="1">
        <v>3</v>
      </c>
      <c r="F94" s="24" t="s">
        <v>421</v>
      </c>
      <c r="G94" s="1">
        <v>8230</v>
      </c>
      <c r="H94" s="1">
        <v>0</v>
      </c>
      <c r="I94" s="1">
        <v>0</v>
      </c>
      <c r="J94" s="1">
        <v>3018</v>
      </c>
      <c r="K94" s="1">
        <v>0</v>
      </c>
      <c r="L94" s="1">
        <v>3514</v>
      </c>
      <c r="M94" s="1"/>
      <c r="N94" s="1">
        <v>4716</v>
      </c>
      <c r="O94" s="1">
        <v>1464</v>
      </c>
      <c r="P94" s="1">
        <v>3252</v>
      </c>
      <c r="R94" s="230">
        <v>0</v>
      </c>
      <c r="S94" s="230">
        <v>582</v>
      </c>
    </row>
    <row r="95" spans="1:19" x14ac:dyDescent="0.25">
      <c r="A95" s="2">
        <v>540071</v>
      </c>
      <c r="B95" s="2" t="s">
        <v>166</v>
      </c>
      <c r="C95" s="2" t="s">
        <v>39</v>
      </c>
      <c r="D95" s="2" t="s">
        <v>115</v>
      </c>
      <c r="E95" s="2">
        <v>3</v>
      </c>
      <c r="F95" s="200" t="s">
        <v>421</v>
      </c>
      <c r="G95" s="2">
        <v>94</v>
      </c>
      <c r="H95" s="2">
        <v>0</v>
      </c>
      <c r="I95" s="2">
        <v>0</v>
      </c>
      <c r="J95" s="2">
        <v>92</v>
      </c>
      <c r="K95" s="2">
        <v>0</v>
      </c>
      <c r="L95" s="2">
        <v>92</v>
      </c>
      <c r="M95" s="2"/>
      <c r="N95" s="2">
        <v>2</v>
      </c>
      <c r="O95" s="2">
        <v>0</v>
      </c>
      <c r="P95" s="2">
        <v>2</v>
      </c>
      <c r="R95" s="230">
        <v>0</v>
      </c>
      <c r="S95" s="230">
        <v>0</v>
      </c>
    </row>
    <row r="96" spans="1:19" x14ac:dyDescent="0.25">
      <c r="A96" s="2">
        <v>540072</v>
      </c>
      <c r="B96" s="2" t="s">
        <v>167</v>
      </c>
      <c r="C96" s="2" t="s">
        <v>39</v>
      </c>
      <c r="D96" s="2" t="s">
        <v>115</v>
      </c>
      <c r="E96" s="2">
        <v>3</v>
      </c>
      <c r="F96" s="200" t="s">
        <v>421</v>
      </c>
      <c r="G96" s="2">
        <v>65</v>
      </c>
      <c r="H96" s="2">
        <v>0</v>
      </c>
      <c r="I96" s="2">
        <v>0</v>
      </c>
      <c r="J96" s="2">
        <v>35</v>
      </c>
      <c r="K96" s="2">
        <v>0</v>
      </c>
      <c r="L96" s="2">
        <v>35</v>
      </c>
      <c r="M96" s="2"/>
      <c r="N96" s="2">
        <v>30</v>
      </c>
      <c r="O96" s="2">
        <v>1</v>
      </c>
      <c r="P96" s="2">
        <v>29</v>
      </c>
      <c r="R96" s="230">
        <v>0</v>
      </c>
      <c r="S96" s="230">
        <v>0</v>
      </c>
    </row>
    <row r="97" spans="1:19" x14ac:dyDescent="0.25">
      <c r="A97" s="2">
        <v>540073</v>
      </c>
      <c r="B97" s="2" t="s">
        <v>168</v>
      </c>
      <c r="C97" s="2" t="s">
        <v>39</v>
      </c>
      <c r="D97" s="2" t="s">
        <v>115</v>
      </c>
      <c r="E97" s="2">
        <v>3</v>
      </c>
      <c r="F97" s="200" t="s">
        <v>421</v>
      </c>
      <c r="G97" s="2">
        <v>1630</v>
      </c>
      <c r="H97" s="2">
        <v>0</v>
      </c>
      <c r="I97" s="2">
        <v>0</v>
      </c>
      <c r="J97" s="2">
        <v>212</v>
      </c>
      <c r="K97" s="2">
        <v>0</v>
      </c>
      <c r="L97" s="2">
        <v>212</v>
      </c>
      <c r="M97" s="2"/>
      <c r="N97" s="2">
        <v>1418</v>
      </c>
      <c r="O97" s="2">
        <v>143</v>
      </c>
      <c r="P97" s="2">
        <v>1275</v>
      </c>
      <c r="R97" s="230">
        <v>0</v>
      </c>
      <c r="S97" s="230">
        <v>3</v>
      </c>
    </row>
    <row r="98" spans="1:19" x14ac:dyDescent="0.25">
      <c r="A98" s="2">
        <v>540074</v>
      </c>
      <c r="B98" s="2" t="s">
        <v>169</v>
      </c>
      <c r="C98" s="2" t="s">
        <v>39</v>
      </c>
      <c r="D98" s="2" t="s">
        <v>115</v>
      </c>
      <c r="E98" s="2">
        <v>3</v>
      </c>
      <c r="F98" s="200" t="s">
        <v>421</v>
      </c>
      <c r="G98" s="2">
        <v>165</v>
      </c>
      <c r="H98" s="2">
        <v>0</v>
      </c>
      <c r="I98" s="2">
        <v>0</v>
      </c>
      <c r="J98" s="2">
        <v>109</v>
      </c>
      <c r="K98" s="2">
        <v>0</v>
      </c>
      <c r="L98" s="2">
        <v>109</v>
      </c>
      <c r="M98" s="2"/>
      <c r="N98" s="2">
        <v>56</v>
      </c>
      <c r="O98" s="2">
        <v>0</v>
      </c>
      <c r="P98" s="2">
        <v>56</v>
      </c>
      <c r="R98" s="230">
        <v>0</v>
      </c>
      <c r="S98" s="230">
        <v>0</v>
      </c>
    </row>
    <row r="99" spans="1:19" x14ac:dyDescent="0.25">
      <c r="A99" s="2">
        <v>540075</v>
      </c>
      <c r="B99" s="2" t="s">
        <v>170</v>
      </c>
      <c r="C99" s="2" t="s">
        <v>39</v>
      </c>
      <c r="D99" s="2" t="s">
        <v>115</v>
      </c>
      <c r="E99" s="2">
        <v>3</v>
      </c>
      <c r="F99" s="200" t="s">
        <v>421</v>
      </c>
      <c r="G99" s="2">
        <v>364</v>
      </c>
      <c r="H99" s="2">
        <v>0</v>
      </c>
      <c r="I99" s="2">
        <v>0</v>
      </c>
      <c r="J99" s="2">
        <v>13</v>
      </c>
      <c r="K99" s="2">
        <v>0</v>
      </c>
      <c r="L99" s="2">
        <v>267</v>
      </c>
      <c r="M99" s="2"/>
      <c r="N99" s="2">
        <v>97</v>
      </c>
      <c r="O99" s="2">
        <v>0</v>
      </c>
      <c r="P99" s="2">
        <v>97</v>
      </c>
      <c r="R99" s="230">
        <v>0</v>
      </c>
      <c r="S99" s="230">
        <v>0</v>
      </c>
    </row>
    <row r="100" spans="1:19" x14ac:dyDescent="0.25">
      <c r="A100" s="2">
        <v>540076</v>
      </c>
      <c r="B100" s="2" t="s">
        <v>171</v>
      </c>
      <c r="C100" s="2" t="s">
        <v>39</v>
      </c>
      <c r="D100" s="2" t="s">
        <v>115</v>
      </c>
      <c r="E100" s="2">
        <v>3</v>
      </c>
      <c r="F100" s="200" t="s">
        <v>421</v>
      </c>
      <c r="G100" s="2">
        <v>973</v>
      </c>
      <c r="H100" s="2">
        <v>0</v>
      </c>
      <c r="I100" s="2">
        <v>0</v>
      </c>
      <c r="J100" s="2">
        <v>77</v>
      </c>
      <c r="K100" s="2">
        <v>0</v>
      </c>
      <c r="L100" s="2">
        <v>77</v>
      </c>
      <c r="M100" s="2"/>
      <c r="N100" s="2">
        <v>896</v>
      </c>
      <c r="O100" s="2">
        <v>58</v>
      </c>
      <c r="P100" s="2">
        <v>838</v>
      </c>
      <c r="R100" s="230">
        <v>0</v>
      </c>
      <c r="S100" s="230">
        <v>0</v>
      </c>
    </row>
    <row r="101" spans="1:19" x14ac:dyDescent="0.25">
      <c r="A101" s="2">
        <v>540077</v>
      </c>
      <c r="B101" s="2" t="s">
        <v>172</v>
      </c>
      <c r="C101" s="2" t="s">
        <v>39</v>
      </c>
      <c r="D101" s="2" t="s">
        <v>115</v>
      </c>
      <c r="E101" s="2">
        <v>3</v>
      </c>
      <c r="F101" s="200" t="s">
        <v>421</v>
      </c>
      <c r="G101" s="2">
        <v>51</v>
      </c>
      <c r="H101" s="2">
        <v>0</v>
      </c>
      <c r="I101" s="2">
        <v>0</v>
      </c>
      <c r="J101" s="2">
        <v>0</v>
      </c>
      <c r="K101" s="2">
        <v>0</v>
      </c>
      <c r="L101" s="2">
        <v>0</v>
      </c>
      <c r="M101" s="2"/>
      <c r="N101" s="2">
        <v>51</v>
      </c>
      <c r="O101" s="2">
        <v>0</v>
      </c>
      <c r="P101" s="2">
        <v>51</v>
      </c>
      <c r="R101" s="230">
        <v>0</v>
      </c>
      <c r="S101" s="230">
        <v>0</v>
      </c>
    </row>
    <row r="102" spans="1:19" x14ac:dyDescent="0.25">
      <c r="A102" s="2">
        <v>540078</v>
      </c>
      <c r="B102" s="2" t="s">
        <v>173</v>
      </c>
      <c r="C102" s="2" t="s">
        <v>39</v>
      </c>
      <c r="D102" s="2" t="s">
        <v>115</v>
      </c>
      <c r="E102" s="2">
        <v>3</v>
      </c>
      <c r="F102" s="200" t="s">
        <v>421</v>
      </c>
      <c r="G102" s="2">
        <v>84</v>
      </c>
      <c r="H102" s="2">
        <v>0</v>
      </c>
      <c r="I102" s="2">
        <v>0</v>
      </c>
      <c r="J102" s="2">
        <v>10</v>
      </c>
      <c r="K102" s="2">
        <v>0</v>
      </c>
      <c r="L102" s="2">
        <v>10</v>
      </c>
      <c r="M102" s="2"/>
      <c r="N102" s="2">
        <v>74</v>
      </c>
      <c r="O102" s="2">
        <v>0</v>
      </c>
      <c r="P102" s="2">
        <v>74</v>
      </c>
      <c r="R102" s="230">
        <v>0</v>
      </c>
      <c r="S102" s="230">
        <v>0</v>
      </c>
    </row>
    <row r="103" spans="1:19" x14ac:dyDescent="0.25">
      <c r="A103" s="2">
        <v>540279</v>
      </c>
      <c r="B103" s="2" t="s">
        <v>320</v>
      </c>
      <c r="C103" s="2" t="s">
        <v>39</v>
      </c>
      <c r="D103" s="2" t="s">
        <v>115</v>
      </c>
      <c r="E103" s="2">
        <v>3</v>
      </c>
      <c r="F103" s="200" t="s">
        <v>421</v>
      </c>
      <c r="G103" s="2">
        <v>23</v>
      </c>
      <c r="H103" s="2">
        <v>0</v>
      </c>
      <c r="I103" s="2">
        <v>0</v>
      </c>
      <c r="J103" s="2">
        <v>2</v>
      </c>
      <c r="K103" s="2">
        <v>0</v>
      </c>
      <c r="L103" s="2">
        <v>2</v>
      </c>
      <c r="M103" s="2"/>
      <c r="N103" s="2">
        <v>21</v>
      </c>
      <c r="O103" s="2">
        <v>0</v>
      </c>
      <c r="P103" s="2">
        <v>21</v>
      </c>
      <c r="R103" s="230">
        <v>0</v>
      </c>
      <c r="S103" s="230">
        <v>0</v>
      </c>
    </row>
    <row r="104" spans="1:19" x14ac:dyDescent="0.25">
      <c r="A104" s="2">
        <v>540079</v>
      </c>
      <c r="B104" s="2" t="s">
        <v>174</v>
      </c>
      <c r="C104" s="2" t="s">
        <v>39</v>
      </c>
      <c r="D104" s="2" t="s">
        <v>115</v>
      </c>
      <c r="E104" s="2">
        <v>3</v>
      </c>
      <c r="F104" s="200" t="s">
        <v>421</v>
      </c>
      <c r="G104" s="2">
        <v>30</v>
      </c>
      <c r="H104" s="2">
        <v>0</v>
      </c>
      <c r="I104" s="2">
        <v>0</v>
      </c>
      <c r="J104" s="2">
        <v>22</v>
      </c>
      <c r="K104" s="2">
        <v>0</v>
      </c>
      <c r="L104" s="2">
        <v>22</v>
      </c>
      <c r="M104" s="2"/>
      <c r="N104" s="2">
        <v>8</v>
      </c>
      <c r="O104" s="2">
        <v>0</v>
      </c>
      <c r="P104" s="2">
        <v>8</v>
      </c>
      <c r="R104" s="230">
        <v>0</v>
      </c>
      <c r="S104" s="230">
        <v>0</v>
      </c>
    </row>
    <row r="105" spans="1:19" x14ac:dyDescent="0.25">
      <c r="A105" s="2">
        <v>540029</v>
      </c>
      <c r="B105" s="2" t="s">
        <v>134</v>
      </c>
      <c r="C105" s="2" t="s">
        <v>39</v>
      </c>
      <c r="D105" s="2" t="s">
        <v>115</v>
      </c>
      <c r="E105" s="2">
        <v>3</v>
      </c>
      <c r="F105" s="200" t="s">
        <v>421</v>
      </c>
      <c r="G105" s="2">
        <v>18</v>
      </c>
      <c r="H105" s="2">
        <v>0</v>
      </c>
      <c r="I105" s="2">
        <v>0</v>
      </c>
      <c r="J105" s="2">
        <v>1</v>
      </c>
      <c r="K105" s="2">
        <v>0</v>
      </c>
      <c r="L105" s="2">
        <v>1</v>
      </c>
      <c r="M105" s="2"/>
      <c r="N105" s="2">
        <v>17</v>
      </c>
      <c r="O105" s="2">
        <v>7</v>
      </c>
      <c r="P105" s="2">
        <v>10</v>
      </c>
      <c r="R105" s="230">
        <v>0</v>
      </c>
      <c r="S105" s="230">
        <v>4</v>
      </c>
    </row>
    <row r="106" spans="1:19" x14ac:dyDescent="0.25">
      <c r="A106" s="2">
        <v>540081</v>
      </c>
      <c r="B106" s="2" t="s">
        <v>176</v>
      </c>
      <c r="C106" s="2" t="s">
        <v>39</v>
      </c>
      <c r="D106" s="2" t="s">
        <v>115</v>
      </c>
      <c r="E106" s="2">
        <v>3</v>
      </c>
      <c r="F106" s="200" t="s">
        <v>421</v>
      </c>
      <c r="G106" s="2">
        <v>468</v>
      </c>
      <c r="H106" s="2">
        <v>0</v>
      </c>
      <c r="I106" s="2">
        <v>0</v>
      </c>
      <c r="J106" s="2">
        <v>454</v>
      </c>
      <c r="K106" s="2">
        <v>0</v>
      </c>
      <c r="L106" s="2">
        <v>454</v>
      </c>
      <c r="M106" s="2"/>
      <c r="N106" s="2">
        <v>14</v>
      </c>
      <c r="O106" s="2">
        <v>4</v>
      </c>
      <c r="P106" s="2">
        <v>10</v>
      </c>
      <c r="R106" s="230">
        <v>0</v>
      </c>
      <c r="S106" s="230">
        <v>0</v>
      </c>
    </row>
    <row r="107" spans="1:19" x14ac:dyDescent="0.25">
      <c r="A107" s="2">
        <v>540082</v>
      </c>
      <c r="B107" s="2" t="s">
        <v>177</v>
      </c>
      <c r="C107" s="2" t="s">
        <v>39</v>
      </c>
      <c r="D107" s="2" t="s">
        <v>115</v>
      </c>
      <c r="E107" s="2">
        <v>3</v>
      </c>
      <c r="F107" s="200" t="s">
        <v>421</v>
      </c>
      <c r="G107" s="2">
        <v>45</v>
      </c>
      <c r="H107" s="2">
        <v>0</v>
      </c>
      <c r="I107" s="2">
        <v>0</v>
      </c>
      <c r="J107" s="2">
        <v>1</v>
      </c>
      <c r="K107" s="2">
        <v>0</v>
      </c>
      <c r="L107" s="2">
        <v>1</v>
      </c>
      <c r="M107" s="2"/>
      <c r="N107" s="2">
        <v>44</v>
      </c>
      <c r="O107" s="2">
        <v>0</v>
      </c>
      <c r="P107" s="2">
        <v>44</v>
      </c>
      <c r="R107" s="230">
        <v>0</v>
      </c>
      <c r="S107" s="230">
        <v>0</v>
      </c>
    </row>
    <row r="108" spans="1:19" x14ac:dyDescent="0.25">
      <c r="A108" s="2">
        <v>540033</v>
      </c>
      <c r="B108" s="2" t="s">
        <v>138</v>
      </c>
      <c r="C108" s="2" t="s">
        <v>39</v>
      </c>
      <c r="D108" s="2" t="s">
        <v>115</v>
      </c>
      <c r="E108" s="2">
        <v>3</v>
      </c>
      <c r="F108" s="200" t="s">
        <v>421</v>
      </c>
      <c r="G108" s="2">
        <v>0</v>
      </c>
      <c r="H108" s="2">
        <v>0</v>
      </c>
      <c r="I108" s="2">
        <v>0</v>
      </c>
      <c r="J108" s="2">
        <v>0</v>
      </c>
      <c r="K108" s="2">
        <v>0</v>
      </c>
      <c r="L108" s="2">
        <v>0</v>
      </c>
      <c r="M108" s="2"/>
      <c r="N108" s="2">
        <v>0</v>
      </c>
      <c r="O108" s="2">
        <v>0</v>
      </c>
      <c r="P108" s="2">
        <v>0</v>
      </c>
      <c r="R108" s="230">
        <v>0</v>
      </c>
      <c r="S108" s="230">
        <v>0</v>
      </c>
    </row>
    <row r="109" spans="1:19" x14ac:dyDescent="0.25">
      <c r="A109" s="2">
        <v>540223</v>
      </c>
      <c r="B109" s="2" t="s">
        <v>277</v>
      </c>
      <c r="C109" s="2" t="s">
        <v>39</v>
      </c>
      <c r="D109" s="2" t="s">
        <v>115</v>
      </c>
      <c r="E109" s="2">
        <v>3</v>
      </c>
      <c r="F109" s="200" t="s">
        <v>421</v>
      </c>
      <c r="G109" s="2">
        <v>382</v>
      </c>
      <c r="H109" s="2">
        <v>0</v>
      </c>
      <c r="I109" s="2">
        <v>0</v>
      </c>
      <c r="J109" s="2">
        <v>13</v>
      </c>
      <c r="K109" s="2">
        <v>0</v>
      </c>
      <c r="L109" s="2">
        <v>13</v>
      </c>
      <c r="M109" s="2"/>
      <c r="N109" s="2">
        <v>369</v>
      </c>
      <c r="O109" s="2">
        <v>6</v>
      </c>
      <c r="P109" s="2">
        <v>363</v>
      </c>
      <c r="R109" s="230">
        <v>0</v>
      </c>
      <c r="S109" s="230">
        <v>4</v>
      </c>
    </row>
    <row r="110" spans="1:19" x14ac:dyDescent="0.25">
      <c r="A110" s="2">
        <v>540083</v>
      </c>
      <c r="B110" s="2" t="s">
        <v>178</v>
      </c>
      <c r="C110" s="2" t="s">
        <v>39</v>
      </c>
      <c r="D110" s="2" t="s">
        <v>115</v>
      </c>
      <c r="E110" s="2">
        <v>3</v>
      </c>
      <c r="F110" s="200" t="s">
        <v>421</v>
      </c>
      <c r="G110" s="2">
        <v>147</v>
      </c>
      <c r="H110" s="2">
        <v>0</v>
      </c>
      <c r="I110" s="2">
        <v>0</v>
      </c>
      <c r="J110" s="2">
        <v>27</v>
      </c>
      <c r="K110" s="2">
        <v>0</v>
      </c>
      <c r="L110" s="2">
        <v>27</v>
      </c>
      <c r="M110" s="2"/>
      <c r="N110" s="2">
        <v>120</v>
      </c>
      <c r="O110" s="2">
        <v>92</v>
      </c>
      <c r="P110" s="2">
        <v>28</v>
      </c>
      <c r="R110" s="230">
        <v>0</v>
      </c>
      <c r="S110" s="230">
        <v>0</v>
      </c>
    </row>
    <row r="111" spans="1:19" x14ac:dyDescent="0.25">
      <c r="A111" s="1">
        <v>540085</v>
      </c>
      <c r="B111" s="1" t="s">
        <v>40</v>
      </c>
      <c r="C111" s="1" t="s">
        <v>41</v>
      </c>
      <c r="D111" s="1" t="s">
        <v>5</v>
      </c>
      <c r="E111" s="1">
        <v>7</v>
      </c>
      <c r="F111" s="24" t="s">
        <v>422</v>
      </c>
      <c r="G111" s="1">
        <v>1689</v>
      </c>
      <c r="H111" s="1">
        <v>0</v>
      </c>
      <c r="I111" s="1">
        <v>0</v>
      </c>
      <c r="J111" s="1">
        <v>633</v>
      </c>
      <c r="K111" s="1">
        <v>0</v>
      </c>
      <c r="L111" s="1">
        <v>633</v>
      </c>
      <c r="M111" s="1"/>
      <c r="N111" s="1">
        <v>1056</v>
      </c>
      <c r="O111" s="1">
        <v>1028</v>
      </c>
      <c r="P111" s="1">
        <v>28</v>
      </c>
      <c r="R111" s="230">
        <v>0</v>
      </c>
      <c r="S111" s="230">
        <v>8</v>
      </c>
    </row>
    <row r="112" spans="1:19" x14ac:dyDescent="0.25">
      <c r="A112" s="2">
        <v>540086</v>
      </c>
      <c r="B112" s="2" t="s">
        <v>179</v>
      </c>
      <c r="C112" s="2" t="s">
        <v>41</v>
      </c>
      <c r="D112" s="2" t="s">
        <v>115</v>
      </c>
      <c r="E112" s="2">
        <v>7</v>
      </c>
      <c r="F112" s="200" t="s">
        <v>422</v>
      </c>
      <c r="G112" s="2">
        <v>62</v>
      </c>
      <c r="H112" s="2">
        <v>0</v>
      </c>
      <c r="I112" s="2">
        <v>0</v>
      </c>
      <c r="J112" s="2">
        <v>49</v>
      </c>
      <c r="K112" s="2">
        <v>0</v>
      </c>
      <c r="L112" s="2">
        <v>49</v>
      </c>
      <c r="M112" s="2"/>
      <c r="N112" s="2">
        <v>13</v>
      </c>
      <c r="O112" s="2">
        <v>13</v>
      </c>
      <c r="P112" s="2">
        <v>0</v>
      </c>
      <c r="R112" s="230">
        <v>0</v>
      </c>
      <c r="S112" s="230">
        <v>0</v>
      </c>
    </row>
    <row r="113" spans="1:19" x14ac:dyDescent="0.25">
      <c r="A113" s="2">
        <v>540087</v>
      </c>
      <c r="B113" s="2" t="s">
        <v>180</v>
      </c>
      <c r="C113" s="2" t="s">
        <v>41</v>
      </c>
      <c r="D113" s="2" t="s">
        <v>115</v>
      </c>
      <c r="E113" s="2">
        <v>7</v>
      </c>
      <c r="F113" s="200" t="s">
        <v>422</v>
      </c>
      <c r="G113" s="2">
        <v>395</v>
      </c>
      <c r="H113" s="2">
        <v>0</v>
      </c>
      <c r="I113" s="2">
        <v>0</v>
      </c>
      <c r="J113" s="2">
        <v>366</v>
      </c>
      <c r="K113" s="2">
        <v>0</v>
      </c>
      <c r="L113" s="2">
        <v>366</v>
      </c>
      <c r="M113" s="2"/>
      <c r="N113" s="2">
        <v>29</v>
      </c>
      <c r="O113" s="2">
        <v>14</v>
      </c>
      <c r="P113" s="2">
        <v>15</v>
      </c>
      <c r="R113" s="230">
        <v>0</v>
      </c>
      <c r="S113" s="230">
        <v>0</v>
      </c>
    </row>
    <row r="114" spans="1:19" x14ac:dyDescent="0.25">
      <c r="A114" s="2">
        <v>540088</v>
      </c>
      <c r="B114" s="2" t="s">
        <v>42</v>
      </c>
      <c r="C114" s="2" t="s">
        <v>43</v>
      </c>
      <c r="D114" s="2" t="s">
        <v>5</v>
      </c>
      <c r="E114" s="2">
        <v>2</v>
      </c>
      <c r="F114" s="24" t="s">
        <v>422</v>
      </c>
      <c r="G114" s="2">
        <v>2347</v>
      </c>
      <c r="H114" s="2">
        <v>0</v>
      </c>
      <c r="I114" s="2">
        <v>0</v>
      </c>
      <c r="J114" s="2">
        <v>527</v>
      </c>
      <c r="K114" s="2">
        <v>0</v>
      </c>
      <c r="L114" s="2">
        <v>527</v>
      </c>
      <c r="M114" s="2"/>
      <c r="N114" s="2">
        <v>1820</v>
      </c>
      <c r="O114" s="2">
        <v>1611</v>
      </c>
      <c r="P114" s="2">
        <v>209</v>
      </c>
      <c r="R114" s="230">
        <v>0</v>
      </c>
      <c r="S114" s="230">
        <v>1</v>
      </c>
    </row>
    <row r="115" spans="1:19" x14ac:dyDescent="0.25">
      <c r="A115" s="2">
        <v>540089</v>
      </c>
      <c r="B115" s="2" t="s">
        <v>181</v>
      </c>
      <c r="C115" s="2" t="s">
        <v>43</v>
      </c>
      <c r="D115" s="2" t="s">
        <v>115</v>
      </c>
      <c r="E115" s="2">
        <v>2</v>
      </c>
      <c r="F115" s="200" t="s">
        <v>422</v>
      </c>
      <c r="G115" s="2">
        <v>98</v>
      </c>
      <c r="H115" s="2">
        <v>0</v>
      </c>
      <c r="I115" s="2">
        <v>0</v>
      </c>
      <c r="J115" s="2">
        <v>89</v>
      </c>
      <c r="K115" s="2">
        <v>0</v>
      </c>
      <c r="L115" s="2">
        <v>89</v>
      </c>
      <c r="M115" s="2"/>
      <c r="N115" s="2">
        <v>9</v>
      </c>
      <c r="O115" s="2">
        <v>1</v>
      </c>
      <c r="P115" s="2">
        <v>8</v>
      </c>
      <c r="R115" s="230">
        <v>0</v>
      </c>
      <c r="S115" s="230">
        <v>0</v>
      </c>
    </row>
    <row r="116" spans="1:19" x14ac:dyDescent="0.25">
      <c r="A116" s="2">
        <v>540090</v>
      </c>
      <c r="B116" s="2" t="s">
        <v>182</v>
      </c>
      <c r="C116" s="2" t="s">
        <v>43</v>
      </c>
      <c r="D116" s="2" t="s">
        <v>115</v>
      </c>
      <c r="E116" s="2">
        <v>2</v>
      </c>
      <c r="F116" s="200" t="s">
        <v>422</v>
      </c>
      <c r="G116" s="2">
        <v>57</v>
      </c>
      <c r="H116" s="2">
        <v>0</v>
      </c>
      <c r="I116" s="2">
        <v>0</v>
      </c>
      <c r="J116" s="2">
        <v>2</v>
      </c>
      <c r="K116" s="2">
        <v>0</v>
      </c>
      <c r="L116" s="2">
        <v>2</v>
      </c>
      <c r="M116" s="2"/>
      <c r="N116" s="2">
        <v>55</v>
      </c>
      <c r="O116" s="2">
        <v>55</v>
      </c>
      <c r="P116" s="2">
        <v>0</v>
      </c>
      <c r="R116" s="230">
        <v>0</v>
      </c>
      <c r="S116" s="230">
        <v>0</v>
      </c>
    </row>
    <row r="117" spans="1:19" x14ac:dyDescent="0.25">
      <c r="A117" s="1">
        <v>545536</v>
      </c>
      <c r="B117" s="1" t="s">
        <v>110</v>
      </c>
      <c r="C117" s="1" t="s">
        <v>111</v>
      </c>
      <c r="D117" s="1" t="s">
        <v>5</v>
      </c>
      <c r="E117" s="1">
        <v>2</v>
      </c>
      <c r="F117" s="24" t="s">
        <v>421</v>
      </c>
      <c r="G117" s="1">
        <v>5706</v>
      </c>
      <c r="H117" s="1">
        <v>0</v>
      </c>
      <c r="I117" s="1">
        <v>0</v>
      </c>
      <c r="J117" s="1">
        <v>3337</v>
      </c>
      <c r="K117" s="1">
        <v>0</v>
      </c>
      <c r="L117" s="1">
        <v>3337</v>
      </c>
      <c r="M117" s="1"/>
      <c r="N117" s="1">
        <v>2369</v>
      </c>
      <c r="O117" s="1">
        <v>762</v>
      </c>
      <c r="P117" s="1">
        <v>1607</v>
      </c>
      <c r="R117" s="230">
        <v>0</v>
      </c>
      <c r="S117" s="230">
        <v>643</v>
      </c>
    </row>
    <row r="118" spans="1:19" x14ac:dyDescent="0.25">
      <c r="A118" s="2">
        <v>540092</v>
      </c>
      <c r="B118" s="2" t="s">
        <v>183</v>
      </c>
      <c r="C118" s="2" t="s">
        <v>111</v>
      </c>
      <c r="D118" s="2" t="s">
        <v>115</v>
      </c>
      <c r="E118" s="2">
        <v>2</v>
      </c>
      <c r="F118" s="200" t="s">
        <v>421</v>
      </c>
      <c r="G118" s="2">
        <v>45</v>
      </c>
      <c r="H118" s="2">
        <v>0</v>
      </c>
      <c r="I118" s="2">
        <v>0</v>
      </c>
      <c r="J118" s="2">
        <v>45</v>
      </c>
      <c r="K118" s="2">
        <v>0</v>
      </c>
      <c r="L118" s="2">
        <v>45</v>
      </c>
      <c r="M118" s="2"/>
      <c r="N118" s="2">
        <v>0</v>
      </c>
      <c r="O118" s="2">
        <v>0</v>
      </c>
      <c r="P118" s="2">
        <v>0</v>
      </c>
      <c r="R118" s="230">
        <v>0</v>
      </c>
      <c r="S118" s="230">
        <v>0</v>
      </c>
    </row>
    <row r="119" spans="1:19" x14ac:dyDescent="0.25">
      <c r="A119" s="2">
        <v>545535</v>
      </c>
      <c r="B119" s="2" t="s">
        <v>332</v>
      </c>
      <c r="C119" s="2" t="s">
        <v>111</v>
      </c>
      <c r="D119" s="2" t="s">
        <v>115</v>
      </c>
      <c r="E119" s="2">
        <v>2</v>
      </c>
      <c r="F119" s="200" t="s">
        <v>421</v>
      </c>
      <c r="G119" s="2">
        <v>7</v>
      </c>
      <c r="H119" s="2">
        <v>0</v>
      </c>
      <c r="I119" s="2">
        <v>0</v>
      </c>
      <c r="J119" s="2">
        <v>3</v>
      </c>
      <c r="K119" s="2">
        <v>0</v>
      </c>
      <c r="L119" s="2">
        <v>3</v>
      </c>
      <c r="M119" s="2"/>
      <c r="N119" s="2">
        <v>4</v>
      </c>
      <c r="O119" s="2">
        <v>0</v>
      </c>
      <c r="P119" s="2">
        <v>4</v>
      </c>
      <c r="R119" s="230">
        <v>0</v>
      </c>
      <c r="S119" s="230">
        <v>0</v>
      </c>
    </row>
    <row r="120" spans="1:19" x14ac:dyDescent="0.25">
      <c r="A120" s="2">
        <v>545537</v>
      </c>
      <c r="B120" s="2" t="s">
        <v>333</v>
      </c>
      <c r="C120" s="2" t="s">
        <v>111</v>
      </c>
      <c r="D120" s="2" t="s">
        <v>115</v>
      </c>
      <c r="E120" s="2">
        <v>2</v>
      </c>
      <c r="F120" s="200" t="s">
        <v>421</v>
      </c>
      <c r="G120" s="2">
        <v>154</v>
      </c>
      <c r="H120" s="2">
        <v>0</v>
      </c>
      <c r="I120" s="2">
        <v>0</v>
      </c>
      <c r="J120" s="2">
        <v>125</v>
      </c>
      <c r="K120" s="2">
        <v>0</v>
      </c>
      <c r="L120" s="2">
        <v>125</v>
      </c>
      <c r="M120" s="2"/>
      <c r="N120" s="2">
        <v>29</v>
      </c>
      <c r="O120" s="2">
        <v>0</v>
      </c>
      <c r="P120" s="2">
        <v>29</v>
      </c>
      <c r="R120" s="230">
        <v>0</v>
      </c>
      <c r="S120" s="230">
        <v>0</v>
      </c>
    </row>
    <row r="121" spans="1:19" x14ac:dyDescent="0.25">
      <c r="A121" s="2">
        <v>540095</v>
      </c>
      <c r="B121" s="2" t="s">
        <v>186</v>
      </c>
      <c r="C121" s="2" t="s">
        <v>111</v>
      </c>
      <c r="D121" s="2" t="s">
        <v>115</v>
      </c>
      <c r="E121" s="2">
        <v>2</v>
      </c>
      <c r="F121" s="200" t="s">
        <v>421</v>
      </c>
      <c r="G121" s="2">
        <v>31</v>
      </c>
      <c r="H121" s="2">
        <v>0</v>
      </c>
      <c r="I121" s="2">
        <v>0</v>
      </c>
      <c r="J121" s="2">
        <v>31</v>
      </c>
      <c r="K121" s="2">
        <v>0</v>
      </c>
      <c r="L121" s="2">
        <v>31</v>
      </c>
      <c r="M121" s="2"/>
      <c r="N121" s="2">
        <v>0</v>
      </c>
      <c r="O121" s="2">
        <v>0</v>
      </c>
      <c r="P121" s="2">
        <v>0</v>
      </c>
      <c r="R121" s="230">
        <v>0</v>
      </c>
      <c r="S121" s="230">
        <v>0</v>
      </c>
    </row>
    <row r="122" spans="1:19" x14ac:dyDescent="0.25">
      <c r="A122" s="2">
        <v>545539</v>
      </c>
      <c r="B122" s="2" t="s">
        <v>335</v>
      </c>
      <c r="C122" s="2" t="s">
        <v>111</v>
      </c>
      <c r="D122" s="2" t="s">
        <v>115</v>
      </c>
      <c r="E122" s="2">
        <v>2</v>
      </c>
      <c r="F122" s="200" t="s">
        <v>421</v>
      </c>
      <c r="G122" s="2">
        <v>4</v>
      </c>
      <c r="H122" s="2">
        <v>0</v>
      </c>
      <c r="I122" s="2">
        <v>0</v>
      </c>
      <c r="J122" s="2">
        <v>4</v>
      </c>
      <c r="K122" s="2">
        <v>0</v>
      </c>
      <c r="L122" s="2">
        <v>4</v>
      </c>
      <c r="M122" s="2"/>
      <c r="N122" s="2">
        <v>0</v>
      </c>
      <c r="O122" s="2">
        <v>0</v>
      </c>
      <c r="P122" s="2">
        <v>0</v>
      </c>
      <c r="R122" s="230">
        <v>0</v>
      </c>
      <c r="S122" s="230">
        <v>0</v>
      </c>
    </row>
    <row r="123" spans="1:19" x14ac:dyDescent="0.25">
      <c r="A123" s="1">
        <v>540097</v>
      </c>
      <c r="B123" s="1" t="s">
        <v>44</v>
      </c>
      <c r="C123" s="1" t="s">
        <v>45</v>
      </c>
      <c r="D123" s="1" t="s">
        <v>5</v>
      </c>
      <c r="E123" s="1">
        <v>6</v>
      </c>
      <c r="F123" s="24" t="s">
        <v>421</v>
      </c>
      <c r="G123" s="1">
        <v>1312</v>
      </c>
      <c r="H123" s="1">
        <v>0</v>
      </c>
      <c r="I123" s="1">
        <v>0</v>
      </c>
      <c r="J123" s="1">
        <v>576</v>
      </c>
      <c r="K123" s="1">
        <v>0</v>
      </c>
      <c r="L123" s="1">
        <v>576</v>
      </c>
      <c r="M123" s="1"/>
      <c r="N123" s="1">
        <v>736</v>
      </c>
      <c r="O123" s="1">
        <v>580</v>
      </c>
      <c r="P123" s="1">
        <v>156</v>
      </c>
      <c r="R123" s="230">
        <v>6</v>
      </c>
      <c r="S123" s="230">
        <v>722</v>
      </c>
    </row>
    <row r="124" spans="1:19" x14ac:dyDescent="0.25">
      <c r="A124" s="2">
        <v>540098</v>
      </c>
      <c r="B124" s="2" t="s">
        <v>187</v>
      </c>
      <c r="C124" s="2" t="s">
        <v>45</v>
      </c>
      <c r="D124" s="2" t="s">
        <v>115</v>
      </c>
      <c r="E124" s="2">
        <v>6</v>
      </c>
      <c r="F124" s="200" t="s">
        <v>421</v>
      </c>
      <c r="G124" s="2">
        <v>26</v>
      </c>
      <c r="H124" s="2">
        <v>0</v>
      </c>
      <c r="I124" s="2">
        <v>0</v>
      </c>
      <c r="J124" s="2">
        <v>18</v>
      </c>
      <c r="K124" s="2">
        <v>0</v>
      </c>
      <c r="L124" s="2">
        <v>18</v>
      </c>
      <c r="M124" s="2"/>
      <c r="N124" s="2">
        <v>8</v>
      </c>
      <c r="O124" s="2">
        <v>6</v>
      </c>
      <c r="P124" s="2">
        <v>2</v>
      </c>
      <c r="R124" s="230">
        <v>0</v>
      </c>
      <c r="S124" s="230">
        <v>11</v>
      </c>
    </row>
    <row r="125" spans="1:19" x14ac:dyDescent="0.25">
      <c r="A125" s="2">
        <v>540099</v>
      </c>
      <c r="B125" s="2" t="s">
        <v>188</v>
      </c>
      <c r="C125" s="2" t="s">
        <v>45</v>
      </c>
      <c r="D125" s="2" t="s">
        <v>115</v>
      </c>
      <c r="E125" s="2">
        <v>6</v>
      </c>
      <c r="F125" s="200" t="s">
        <v>421</v>
      </c>
      <c r="G125" s="2">
        <v>42</v>
      </c>
      <c r="H125" s="2">
        <v>0</v>
      </c>
      <c r="I125" s="2">
        <v>0</v>
      </c>
      <c r="J125" s="2">
        <v>9</v>
      </c>
      <c r="K125" s="2">
        <v>0</v>
      </c>
      <c r="L125" s="2">
        <v>9</v>
      </c>
      <c r="M125" s="2"/>
      <c r="N125" s="2">
        <v>33</v>
      </c>
      <c r="O125" s="2">
        <v>1</v>
      </c>
      <c r="P125" s="2">
        <v>32</v>
      </c>
      <c r="R125" s="230">
        <v>18</v>
      </c>
      <c r="S125" s="230">
        <v>2</v>
      </c>
    </row>
    <row r="126" spans="1:19" x14ac:dyDescent="0.25">
      <c r="A126" s="2">
        <v>540100</v>
      </c>
      <c r="B126" s="2" t="s">
        <v>189</v>
      </c>
      <c r="C126" s="2" t="s">
        <v>45</v>
      </c>
      <c r="D126" s="2" t="s">
        <v>115</v>
      </c>
      <c r="E126" s="2">
        <v>6</v>
      </c>
      <c r="F126" s="200" t="s">
        <v>421</v>
      </c>
      <c r="G126" s="2">
        <v>30</v>
      </c>
      <c r="H126" s="2">
        <v>0</v>
      </c>
      <c r="I126" s="2">
        <v>0</v>
      </c>
      <c r="J126" s="2">
        <v>21</v>
      </c>
      <c r="K126" s="2">
        <v>0</v>
      </c>
      <c r="L126" s="2">
        <v>21</v>
      </c>
      <c r="M126" s="2"/>
      <c r="N126" s="2">
        <v>9</v>
      </c>
      <c r="O126" s="2">
        <v>0</v>
      </c>
      <c r="P126" s="2">
        <v>9</v>
      </c>
      <c r="R126" s="230">
        <v>0</v>
      </c>
      <c r="S126" s="230">
        <v>6</v>
      </c>
    </row>
    <row r="127" spans="1:19" x14ac:dyDescent="0.25">
      <c r="A127" s="2">
        <v>540101</v>
      </c>
      <c r="B127" s="2" t="s">
        <v>190</v>
      </c>
      <c r="C127" s="2" t="s">
        <v>45</v>
      </c>
      <c r="D127" s="2" t="s">
        <v>115</v>
      </c>
      <c r="E127" s="2">
        <v>6</v>
      </c>
      <c r="F127" s="200" t="s">
        <v>421</v>
      </c>
      <c r="G127" s="2">
        <v>67</v>
      </c>
      <c r="H127" s="2">
        <v>0</v>
      </c>
      <c r="I127" s="2">
        <v>0</v>
      </c>
      <c r="J127" s="2">
        <v>53</v>
      </c>
      <c r="K127" s="2">
        <v>0</v>
      </c>
      <c r="L127" s="2">
        <v>53</v>
      </c>
      <c r="M127" s="2"/>
      <c r="N127" s="2">
        <v>14</v>
      </c>
      <c r="O127" s="2">
        <v>0</v>
      </c>
      <c r="P127" s="2">
        <v>14</v>
      </c>
      <c r="R127" s="230">
        <v>0</v>
      </c>
      <c r="S127" s="230">
        <v>0</v>
      </c>
    </row>
    <row r="128" spans="1:19" x14ac:dyDescent="0.25">
      <c r="A128" s="2">
        <v>540102</v>
      </c>
      <c r="B128" s="2" t="s">
        <v>191</v>
      </c>
      <c r="C128" s="2" t="s">
        <v>45</v>
      </c>
      <c r="D128" s="2" t="s">
        <v>115</v>
      </c>
      <c r="E128" s="2">
        <v>6</v>
      </c>
      <c r="F128" s="200" t="s">
        <v>421</v>
      </c>
      <c r="G128" s="2">
        <v>48</v>
      </c>
      <c r="H128" s="2">
        <v>0</v>
      </c>
      <c r="I128" s="2">
        <v>0</v>
      </c>
      <c r="J128" s="2">
        <v>44</v>
      </c>
      <c r="K128" s="2">
        <v>0</v>
      </c>
      <c r="L128" s="2">
        <v>44</v>
      </c>
      <c r="M128" s="2"/>
      <c r="N128" s="2">
        <v>4</v>
      </c>
      <c r="O128" s="2">
        <v>0</v>
      </c>
      <c r="P128" s="2">
        <v>4</v>
      </c>
      <c r="R128" s="230">
        <v>0</v>
      </c>
      <c r="S128" s="230">
        <v>0</v>
      </c>
    </row>
    <row r="129" spans="1:19" x14ac:dyDescent="0.25">
      <c r="A129" s="2">
        <v>540103</v>
      </c>
      <c r="B129" s="2" t="s">
        <v>192</v>
      </c>
      <c r="C129" s="2" t="s">
        <v>45</v>
      </c>
      <c r="D129" s="2" t="s">
        <v>115</v>
      </c>
      <c r="E129" s="2">
        <v>6</v>
      </c>
      <c r="F129" s="200" t="s">
        <v>421</v>
      </c>
      <c r="G129" s="2">
        <v>273</v>
      </c>
      <c r="H129" s="2">
        <v>0</v>
      </c>
      <c r="I129" s="2">
        <v>0</v>
      </c>
      <c r="J129" s="2">
        <v>262</v>
      </c>
      <c r="K129" s="2">
        <v>0</v>
      </c>
      <c r="L129" s="2">
        <v>262</v>
      </c>
      <c r="M129" s="2"/>
      <c r="N129" s="2">
        <v>11</v>
      </c>
      <c r="O129" s="2">
        <v>2</v>
      </c>
      <c r="P129" s="2">
        <v>9</v>
      </c>
      <c r="R129" s="230">
        <v>0</v>
      </c>
      <c r="S129" s="230">
        <v>0</v>
      </c>
    </row>
    <row r="130" spans="1:19" x14ac:dyDescent="0.25">
      <c r="A130" s="2">
        <v>540104</v>
      </c>
      <c r="B130" s="2" t="s">
        <v>193</v>
      </c>
      <c r="C130" s="2" t="s">
        <v>45</v>
      </c>
      <c r="D130" s="2" t="s">
        <v>115</v>
      </c>
      <c r="E130" s="2">
        <v>6</v>
      </c>
      <c r="F130" s="200" t="s">
        <v>421</v>
      </c>
      <c r="G130" s="2">
        <v>25</v>
      </c>
      <c r="H130" s="2">
        <v>0</v>
      </c>
      <c r="I130" s="2">
        <v>0</v>
      </c>
      <c r="J130" s="2">
        <v>1</v>
      </c>
      <c r="K130" s="2">
        <v>0</v>
      </c>
      <c r="L130" s="2">
        <v>1</v>
      </c>
      <c r="M130" s="2"/>
      <c r="N130" s="2">
        <v>24</v>
      </c>
      <c r="O130" s="2">
        <v>0</v>
      </c>
      <c r="P130" s="2">
        <v>24</v>
      </c>
      <c r="R130" s="230">
        <v>0</v>
      </c>
      <c r="S130" s="230">
        <v>1</v>
      </c>
    </row>
    <row r="131" spans="1:19" x14ac:dyDescent="0.25">
      <c r="A131" s="2">
        <v>540292</v>
      </c>
      <c r="B131" s="2" t="s">
        <v>329</v>
      </c>
      <c r="C131" s="2" t="s">
        <v>45</v>
      </c>
      <c r="D131" s="2" t="s">
        <v>115</v>
      </c>
      <c r="E131" s="2">
        <v>6</v>
      </c>
      <c r="F131" s="200" t="s">
        <v>421</v>
      </c>
      <c r="G131" s="2">
        <v>48</v>
      </c>
      <c r="H131" s="2">
        <v>0</v>
      </c>
      <c r="I131" s="2">
        <v>0</v>
      </c>
      <c r="J131" s="2">
        <v>26</v>
      </c>
      <c r="K131" s="2">
        <v>0</v>
      </c>
      <c r="L131" s="2">
        <v>26</v>
      </c>
      <c r="M131" s="2"/>
      <c r="N131" s="2">
        <v>22</v>
      </c>
      <c r="O131" s="2">
        <v>22</v>
      </c>
      <c r="P131" s="2">
        <v>0</v>
      </c>
      <c r="R131" s="230">
        <v>0</v>
      </c>
      <c r="S131" s="230">
        <v>30</v>
      </c>
    </row>
    <row r="132" spans="1:19" x14ac:dyDescent="0.25">
      <c r="A132" s="2">
        <v>540105</v>
      </c>
      <c r="B132" s="2" t="s">
        <v>194</v>
      </c>
      <c r="C132" s="2" t="s">
        <v>45</v>
      </c>
      <c r="D132" s="2" t="s">
        <v>115</v>
      </c>
      <c r="E132" s="2">
        <v>6</v>
      </c>
      <c r="F132" s="200" t="s">
        <v>421</v>
      </c>
      <c r="G132" s="2">
        <v>35</v>
      </c>
      <c r="H132" s="2">
        <v>0</v>
      </c>
      <c r="I132" s="2">
        <v>0</v>
      </c>
      <c r="J132" s="2">
        <v>32</v>
      </c>
      <c r="K132" s="2">
        <v>0</v>
      </c>
      <c r="L132" s="2">
        <v>32</v>
      </c>
      <c r="M132" s="2"/>
      <c r="N132" s="2">
        <v>3</v>
      </c>
      <c r="O132" s="2">
        <v>0</v>
      </c>
      <c r="P132" s="2">
        <v>3</v>
      </c>
      <c r="R132" s="230">
        <v>0</v>
      </c>
      <c r="S132" s="230">
        <v>0</v>
      </c>
    </row>
    <row r="133" spans="1:19" x14ac:dyDescent="0.25">
      <c r="A133" s="2">
        <v>545556</v>
      </c>
      <c r="B133" s="2" t="s">
        <v>337</v>
      </c>
      <c r="C133" s="2" t="s">
        <v>45</v>
      </c>
      <c r="D133" s="2" t="s">
        <v>115</v>
      </c>
      <c r="E133" s="2">
        <v>6</v>
      </c>
      <c r="F133" s="200" t="s">
        <v>421</v>
      </c>
      <c r="G133" s="2">
        <v>4</v>
      </c>
      <c r="H133" s="2">
        <v>0</v>
      </c>
      <c r="I133" s="2">
        <v>0</v>
      </c>
      <c r="J133" s="2">
        <v>4</v>
      </c>
      <c r="K133" s="2">
        <v>0</v>
      </c>
      <c r="L133" s="2">
        <v>4</v>
      </c>
      <c r="M133" s="2"/>
      <c r="N133" s="2">
        <v>0</v>
      </c>
      <c r="O133" s="2">
        <v>0</v>
      </c>
      <c r="P133" s="2">
        <v>0</v>
      </c>
      <c r="R133" s="230">
        <v>0</v>
      </c>
      <c r="S133" s="230">
        <v>4</v>
      </c>
    </row>
    <row r="134" spans="1:19" x14ac:dyDescent="0.25">
      <c r="A134" s="2">
        <v>540106</v>
      </c>
      <c r="B134" s="2" t="s">
        <v>195</v>
      </c>
      <c r="C134" s="2" t="s">
        <v>45</v>
      </c>
      <c r="D134" s="2" t="s">
        <v>115</v>
      </c>
      <c r="E134" s="2">
        <v>6</v>
      </c>
      <c r="F134" s="200" t="s">
        <v>421</v>
      </c>
      <c r="G134" s="2">
        <v>28</v>
      </c>
      <c r="H134" s="2">
        <v>0</v>
      </c>
      <c r="I134" s="2">
        <v>0</v>
      </c>
      <c r="J134" s="2">
        <v>19</v>
      </c>
      <c r="K134" s="2">
        <v>0</v>
      </c>
      <c r="L134" s="2">
        <v>19</v>
      </c>
      <c r="M134" s="2"/>
      <c r="N134" s="2">
        <v>9</v>
      </c>
      <c r="O134" s="2">
        <v>0</v>
      </c>
      <c r="P134" s="2">
        <v>9</v>
      </c>
      <c r="R134" s="230">
        <v>0</v>
      </c>
      <c r="S134" s="230">
        <v>0</v>
      </c>
    </row>
    <row r="135" spans="1:19" x14ac:dyDescent="0.25">
      <c r="A135" s="1">
        <v>540107</v>
      </c>
      <c r="B135" s="1" t="s">
        <v>46</v>
      </c>
      <c r="C135" s="1" t="s">
        <v>47</v>
      </c>
      <c r="D135" s="1" t="s">
        <v>5</v>
      </c>
      <c r="E135" s="1">
        <v>10</v>
      </c>
      <c r="F135" s="24" t="s">
        <v>422</v>
      </c>
      <c r="G135" s="1">
        <v>590</v>
      </c>
      <c r="H135" s="1">
        <v>0</v>
      </c>
      <c r="I135" s="1">
        <v>0</v>
      </c>
      <c r="J135" s="1">
        <v>258</v>
      </c>
      <c r="K135" s="1">
        <v>0</v>
      </c>
      <c r="L135" s="1">
        <v>258</v>
      </c>
      <c r="M135" s="1"/>
      <c r="N135" s="1">
        <v>332</v>
      </c>
      <c r="O135" s="1">
        <v>199</v>
      </c>
      <c r="P135" s="1">
        <v>133</v>
      </c>
      <c r="R135" s="230">
        <v>0</v>
      </c>
      <c r="S135" s="230">
        <v>0</v>
      </c>
    </row>
    <row r="136" spans="1:19" x14ac:dyDescent="0.25">
      <c r="A136" s="2">
        <v>540108</v>
      </c>
      <c r="B136" s="2" t="s">
        <v>196</v>
      </c>
      <c r="C136" s="2" t="s">
        <v>47</v>
      </c>
      <c r="D136" s="2" t="s">
        <v>115</v>
      </c>
      <c r="E136" s="2">
        <v>10</v>
      </c>
      <c r="F136" s="200" t="s">
        <v>422</v>
      </c>
      <c r="G136" s="2">
        <v>340</v>
      </c>
      <c r="H136" s="2">
        <v>0</v>
      </c>
      <c r="I136" s="2">
        <v>0</v>
      </c>
      <c r="J136" s="2">
        <v>0</v>
      </c>
      <c r="K136" s="2">
        <v>0</v>
      </c>
      <c r="L136" s="2">
        <v>0</v>
      </c>
      <c r="M136" s="2"/>
      <c r="N136" s="2">
        <v>340</v>
      </c>
      <c r="O136" s="2">
        <v>35</v>
      </c>
      <c r="P136" s="2">
        <v>305</v>
      </c>
      <c r="R136" s="230">
        <v>0</v>
      </c>
      <c r="S136" s="230">
        <v>0</v>
      </c>
    </row>
    <row r="137" spans="1:19" x14ac:dyDescent="0.25">
      <c r="A137" s="2">
        <v>540287</v>
      </c>
      <c r="B137" s="2" t="s">
        <v>326</v>
      </c>
      <c r="C137" s="2" t="s">
        <v>47</v>
      </c>
      <c r="D137" s="2" t="s">
        <v>115</v>
      </c>
      <c r="E137" s="2">
        <v>10</v>
      </c>
      <c r="F137" s="200" t="s">
        <v>422</v>
      </c>
      <c r="G137" s="2">
        <v>57</v>
      </c>
      <c r="H137" s="2">
        <v>0</v>
      </c>
      <c r="I137" s="2">
        <v>0</v>
      </c>
      <c r="J137" s="2">
        <v>0</v>
      </c>
      <c r="K137" s="2">
        <v>0</v>
      </c>
      <c r="L137" s="2">
        <v>0</v>
      </c>
      <c r="M137" s="2"/>
      <c r="N137" s="2">
        <v>57</v>
      </c>
      <c r="O137" s="2">
        <v>0</v>
      </c>
      <c r="P137" s="2">
        <v>57</v>
      </c>
      <c r="R137" s="230">
        <v>0</v>
      </c>
      <c r="S137" s="230">
        <v>0</v>
      </c>
    </row>
    <row r="138" spans="1:19" x14ac:dyDescent="0.25">
      <c r="A138" s="2">
        <v>540109</v>
      </c>
      <c r="B138" s="2" t="s">
        <v>197</v>
      </c>
      <c r="C138" s="2" t="s">
        <v>47</v>
      </c>
      <c r="D138" s="2" t="s">
        <v>115</v>
      </c>
      <c r="E138" s="2">
        <v>10</v>
      </c>
      <c r="F138" s="200" t="s">
        <v>422</v>
      </c>
      <c r="G138" s="2">
        <v>29</v>
      </c>
      <c r="H138" s="2">
        <v>0</v>
      </c>
      <c r="I138" s="2">
        <v>0</v>
      </c>
      <c r="J138" s="2">
        <v>19</v>
      </c>
      <c r="K138" s="2">
        <v>0</v>
      </c>
      <c r="L138" s="2">
        <v>19</v>
      </c>
      <c r="M138" s="2"/>
      <c r="N138" s="2">
        <v>10</v>
      </c>
      <c r="O138" s="2">
        <v>0</v>
      </c>
      <c r="P138" s="2">
        <v>10</v>
      </c>
      <c r="R138" s="230">
        <v>0</v>
      </c>
      <c r="S138" s="230">
        <v>0</v>
      </c>
    </row>
    <row r="139" spans="1:19" x14ac:dyDescent="0.25">
      <c r="A139" s="2">
        <v>540110</v>
      </c>
      <c r="B139" s="2" t="s">
        <v>198</v>
      </c>
      <c r="C139" s="2" t="s">
        <v>47</v>
      </c>
      <c r="D139" s="2" t="s">
        <v>115</v>
      </c>
      <c r="E139" s="2">
        <v>10</v>
      </c>
      <c r="F139" s="200" t="s">
        <v>422</v>
      </c>
      <c r="G139" s="2">
        <v>124</v>
      </c>
      <c r="H139" s="2">
        <v>0</v>
      </c>
      <c r="I139" s="2">
        <v>0</v>
      </c>
      <c r="J139" s="2">
        <v>0</v>
      </c>
      <c r="K139" s="2">
        <v>0</v>
      </c>
      <c r="L139" s="2">
        <v>0</v>
      </c>
      <c r="M139" s="2"/>
      <c r="N139" s="2">
        <v>124</v>
      </c>
      <c r="O139" s="2">
        <v>78</v>
      </c>
      <c r="P139" s="2">
        <v>46</v>
      </c>
      <c r="R139" s="230">
        <v>0</v>
      </c>
      <c r="S139" s="230">
        <v>0</v>
      </c>
    </row>
    <row r="140" spans="1:19" x14ac:dyDescent="0.25">
      <c r="A140" s="2">
        <v>540111</v>
      </c>
      <c r="B140" s="2" t="s">
        <v>199</v>
      </c>
      <c r="C140" s="2" t="s">
        <v>47</v>
      </c>
      <c r="D140" s="2" t="s">
        <v>115</v>
      </c>
      <c r="E140" s="2">
        <v>10</v>
      </c>
      <c r="F140" s="200" t="s">
        <v>422</v>
      </c>
      <c r="G140" s="2">
        <v>300</v>
      </c>
      <c r="H140" s="2">
        <v>0</v>
      </c>
      <c r="I140" s="2">
        <v>0</v>
      </c>
      <c r="J140" s="2">
        <v>6</v>
      </c>
      <c r="K140" s="2">
        <v>0</v>
      </c>
      <c r="L140" s="2">
        <v>6</v>
      </c>
      <c r="M140" s="2"/>
      <c r="N140" s="2">
        <v>294</v>
      </c>
      <c r="O140" s="2">
        <v>10</v>
      </c>
      <c r="P140" s="2">
        <v>284</v>
      </c>
      <c r="R140" s="230">
        <v>0</v>
      </c>
      <c r="S140" s="230">
        <v>0</v>
      </c>
    </row>
    <row r="141" spans="1:19" x14ac:dyDescent="0.25">
      <c r="A141" s="2">
        <v>540152</v>
      </c>
      <c r="B141" s="2" t="s">
        <v>229</v>
      </c>
      <c r="C141" s="2" t="s">
        <v>47</v>
      </c>
      <c r="D141" s="2" t="s">
        <v>115</v>
      </c>
      <c r="E141" s="2">
        <v>10</v>
      </c>
      <c r="F141" s="200" t="s">
        <v>422</v>
      </c>
      <c r="G141" s="2">
        <v>6</v>
      </c>
      <c r="H141" s="2">
        <v>0</v>
      </c>
      <c r="I141" s="2">
        <v>0</v>
      </c>
      <c r="J141" s="2">
        <v>0</v>
      </c>
      <c r="K141" s="2">
        <v>0</v>
      </c>
      <c r="L141" s="2">
        <v>0</v>
      </c>
      <c r="M141" s="2"/>
      <c r="N141" s="2">
        <v>6</v>
      </c>
      <c r="O141" s="2">
        <v>0</v>
      </c>
      <c r="P141" s="2">
        <v>6</v>
      </c>
      <c r="R141" s="230">
        <v>0</v>
      </c>
      <c r="S141" s="230">
        <v>0</v>
      </c>
    </row>
    <row r="142" spans="1:19" x14ac:dyDescent="0.25">
      <c r="A142" s="1">
        <v>540112</v>
      </c>
      <c r="B142" s="1" t="s">
        <v>48</v>
      </c>
      <c r="C142" s="1" t="s">
        <v>49</v>
      </c>
      <c r="D142" s="1" t="s">
        <v>5</v>
      </c>
      <c r="E142" s="1">
        <v>2</v>
      </c>
      <c r="F142" s="24" t="s">
        <v>422</v>
      </c>
      <c r="G142" s="1">
        <v>1182</v>
      </c>
      <c r="H142" s="1">
        <v>0</v>
      </c>
      <c r="I142" s="1">
        <v>0</v>
      </c>
      <c r="J142" s="1">
        <v>335</v>
      </c>
      <c r="K142" s="1">
        <v>0</v>
      </c>
      <c r="L142" s="1">
        <v>335</v>
      </c>
      <c r="M142" s="1"/>
      <c r="N142" s="1">
        <v>847</v>
      </c>
      <c r="O142" s="1">
        <v>194</v>
      </c>
      <c r="P142" s="1">
        <v>653</v>
      </c>
      <c r="R142" s="230">
        <v>0</v>
      </c>
      <c r="S142" s="230">
        <v>0</v>
      </c>
    </row>
    <row r="143" spans="1:19" x14ac:dyDescent="0.25">
      <c r="A143" s="2">
        <v>540247</v>
      </c>
      <c r="B143" s="2" t="s">
        <v>293</v>
      </c>
      <c r="C143" s="2" t="s">
        <v>49</v>
      </c>
      <c r="D143" s="2" t="s">
        <v>115</v>
      </c>
      <c r="E143" s="2">
        <v>2</v>
      </c>
      <c r="F143" s="200" t="s">
        <v>422</v>
      </c>
      <c r="G143" s="2">
        <v>272</v>
      </c>
      <c r="H143" s="2">
        <v>0</v>
      </c>
      <c r="I143" s="2">
        <v>0</v>
      </c>
      <c r="J143" s="2">
        <v>0</v>
      </c>
      <c r="K143" s="2">
        <v>0</v>
      </c>
      <c r="L143" s="2">
        <v>0</v>
      </c>
      <c r="M143" s="2"/>
      <c r="N143" s="2">
        <v>272</v>
      </c>
      <c r="O143" s="2">
        <v>0</v>
      </c>
      <c r="P143" s="2">
        <v>272</v>
      </c>
      <c r="R143" s="230">
        <v>0</v>
      </c>
      <c r="S143" s="230">
        <v>0</v>
      </c>
    </row>
    <row r="144" spans="1:19" x14ac:dyDescent="0.25">
      <c r="A144" s="2">
        <v>540251</v>
      </c>
      <c r="B144" s="2" t="s">
        <v>297</v>
      </c>
      <c r="C144" s="2" t="s">
        <v>49</v>
      </c>
      <c r="D144" s="2" t="s">
        <v>115</v>
      </c>
      <c r="E144" s="2">
        <v>2</v>
      </c>
      <c r="F144" s="200" t="s">
        <v>422</v>
      </c>
      <c r="G144" s="2">
        <v>166</v>
      </c>
      <c r="H144" s="2">
        <v>0</v>
      </c>
      <c r="I144" s="2">
        <v>0</v>
      </c>
      <c r="J144" s="2">
        <v>166</v>
      </c>
      <c r="K144" s="2">
        <v>0</v>
      </c>
      <c r="L144" s="2">
        <v>166</v>
      </c>
      <c r="M144" s="2"/>
      <c r="N144" s="2">
        <v>0</v>
      </c>
      <c r="O144" s="2">
        <v>0</v>
      </c>
      <c r="P144" s="2">
        <v>0</v>
      </c>
      <c r="R144" s="230">
        <v>0</v>
      </c>
      <c r="S144" s="230">
        <v>0</v>
      </c>
    </row>
    <row r="145" spans="1:19" x14ac:dyDescent="0.25">
      <c r="A145" s="2">
        <v>540113</v>
      </c>
      <c r="B145" s="2" t="s">
        <v>200</v>
      </c>
      <c r="C145" s="2" t="s">
        <v>49</v>
      </c>
      <c r="D145" s="2" t="s">
        <v>115</v>
      </c>
      <c r="E145" s="2">
        <v>2</v>
      </c>
      <c r="F145" s="200" t="s">
        <v>422</v>
      </c>
      <c r="G145" s="2">
        <v>34</v>
      </c>
      <c r="H145" s="2">
        <v>0</v>
      </c>
      <c r="I145" s="2">
        <v>0</v>
      </c>
      <c r="J145" s="2">
        <v>26</v>
      </c>
      <c r="K145" s="2">
        <v>0</v>
      </c>
      <c r="L145" s="2">
        <v>26</v>
      </c>
      <c r="M145" s="2"/>
      <c r="N145" s="2">
        <v>8</v>
      </c>
      <c r="O145" s="2">
        <v>0</v>
      </c>
      <c r="P145" s="2">
        <v>8</v>
      </c>
      <c r="R145" s="230">
        <v>0</v>
      </c>
      <c r="S145" s="230">
        <v>0</v>
      </c>
    </row>
    <row r="146" spans="1:19" x14ac:dyDescent="0.25">
      <c r="A146" s="2">
        <v>540248</v>
      </c>
      <c r="B146" s="2" t="s">
        <v>294</v>
      </c>
      <c r="C146" s="2" t="s">
        <v>49</v>
      </c>
      <c r="D146" s="2" t="s">
        <v>115</v>
      </c>
      <c r="E146" s="2">
        <v>2</v>
      </c>
      <c r="F146" s="200" t="s">
        <v>422</v>
      </c>
      <c r="G146" s="2">
        <v>124</v>
      </c>
      <c r="H146" s="2">
        <v>0</v>
      </c>
      <c r="I146" s="2">
        <v>0</v>
      </c>
      <c r="J146" s="2">
        <v>0</v>
      </c>
      <c r="K146" s="2">
        <v>0</v>
      </c>
      <c r="L146" s="2">
        <v>0</v>
      </c>
      <c r="M146" s="2"/>
      <c r="N146" s="2">
        <v>124</v>
      </c>
      <c r="O146" s="2">
        <v>0</v>
      </c>
      <c r="P146" s="2">
        <v>124</v>
      </c>
      <c r="R146" s="230">
        <v>0</v>
      </c>
      <c r="S146" s="230">
        <v>0</v>
      </c>
    </row>
    <row r="147" spans="1:19" x14ac:dyDescent="0.25">
      <c r="A147" s="2">
        <v>540249</v>
      </c>
      <c r="B147" s="2" t="s">
        <v>295</v>
      </c>
      <c r="C147" s="2" t="s">
        <v>49</v>
      </c>
      <c r="D147" s="2" t="s">
        <v>115</v>
      </c>
      <c r="E147" s="2">
        <v>2</v>
      </c>
      <c r="F147" s="200" t="s">
        <v>422</v>
      </c>
      <c r="G147" s="2">
        <v>59</v>
      </c>
      <c r="H147" s="2">
        <v>0</v>
      </c>
      <c r="I147" s="2">
        <v>0</v>
      </c>
      <c r="J147" s="2">
        <v>0</v>
      </c>
      <c r="K147" s="2">
        <v>0</v>
      </c>
      <c r="L147" s="2">
        <v>0</v>
      </c>
      <c r="M147" s="2"/>
      <c r="N147" s="2">
        <v>59</v>
      </c>
      <c r="O147" s="2">
        <v>0</v>
      </c>
      <c r="P147" s="2">
        <v>59</v>
      </c>
      <c r="R147" s="230">
        <v>0</v>
      </c>
      <c r="S147" s="230">
        <v>0</v>
      </c>
    </row>
    <row r="148" spans="1:19" x14ac:dyDescent="0.25">
      <c r="A148" s="2">
        <v>540250</v>
      </c>
      <c r="B148" s="2" t="s">
        <v>296</v>
      </c>
      <c r="C148" s="2" t="s">
        <v>49</v>
      </c>
      <c r="D148" s="2" t="s">
        <v>115</v>
      </c>
      <c r="E148" s="2">
        <v>2</v>
      </c>
      <c r="F148" s="200" t="s">
        <v>422</v>
      </c>
      <c r="G148" s="2">
        <v>75</v>
      </c>
      <c r="H148" s="2">
        <v>0</v>
      </c>
      <c r="I148" s="2">
        <v>0</v>
      </c>
      <c r="J148" s="2">
        <v>64</v>
      </c>
      <c r="K148" s="2">
        <v>0</v>
      </c>
      <c r="L148" s="2">
        <v>64</v>
      </c>
      <c r="M148" s="2"/>
      <c r="N148" s="2">
        <v>11</v>
      </c>
      <c r="O148" s="2">
        <v>0</v>
      </c>
      <c r="P148" s="2">
        <v>11</v>
      </c>
      <c r="R148" s="230">
        <v>0</v>
      </c>
      <c r="S148" s="230">
        <v>0</v>
      </c>
    </row>
    <row r="149" spans="1:19" x14ac:dyDescent="0.25">
      <c r="A149" s="1">
        <v>540114</v>
      </c>
      <c r="B149" s="1" t="s">
        <v>50</v>
      </c>
      <c r="C149" s="1" t="s">
        <v>51</v>
      </c>
      <c r="D149" s="1" t="s">
        <v>5</v>
      </c>
      <c r="E149" s="1">
        <v>1</v>
      </c>
      <c r="F149" s="24" t="s">
        <v>421</v>
      </c>
      <c r="G149" s="1">
        <v>2375</v>
      </c>
      <c r="H149" s="1">
        <v>0</v>
      </c>
      <c r="I149" s="1">
        <v>0</v>
      </c>
      <c r="J149" s="1">
        <v>1617</v>
      </c>
      <c r="K149" s="1">
        <v>0</v>
      </c>
      <c r="L149" s="1">
        <v>1617</v>
      </c>
      <c r="M149" s="1"/>
      <c r="N149" s="1">
        <v>758</v>
      </c>
      <c r="O149" s="1">
        <v>484</v>
      </c>
      <c r="P149" s="1">
        <v>274</v>
      </c>
      <c r="R149" s="230">
        <v>0</v>
      </c>
      <c r="S149" s="230">
        <v>776</v>
      </c>
    </row>
    <row r="150" spans="1:19" x14ac:dyDescent="0.25">
      <c r="A150" s="2">
        <v>540115</v>
      </c>
      <c r="B150" s="2" t="s">
        <v>201</v>
      </c>
      <c r="C150" s="2" t="s">
        <v>51</v>
      </c>
      <c r="D150" s="2" t="s">
        <v>115</v>
      </c>
      <c r="E150" s="2">
        <v>1</v>
      </c>
      <c r="F150" s="200" t="s">
        <v>421</v>
      </c>
      <c r="G150" s="2">
        <v>65</v>
      </c>
      <c r="H150" s="2">
        <v>0</v>
      </c>
      <c r="I150" s="2">
        <v>0</v>
      </c>
      <c r="J150" s="2">
        <v>59</v>
      </c>
      <c r="K150" s="2">
        <v>0</v>
      </c>
      <c r="L150" s="2">
        <v>59</v>
      </c>
      <c r="M150" s="2"/>
      <c r="N150" s="2">
        <v>6</v>
      </c>
      <c r="O150" s="2">
        <v>0</v>
      </c>
      <c r="P150" s="2">
        <v>6</v>
      </c>
      <c r="R150" s="230">
        <v>0</v>
      </c>
      <c r="S150" s="230">
        <v>0</v>
      </c>
    </row>
    <row r="151" spans="1:19" x14ac:dyDescent="0.25">
      <c r="A151" s="2">
        <v>540291</v>
      </c>
      <c r="B151" s="2" t="s">
        <v>328</v>
      </c>
      <c r="C151" s="2" t="s">
        <v>51</v>
      </c>
      <c r="D151" s="2" t="s">
        <v>115</v>
      </c>
      <c r="E151" s="2">
        <v>1</v>
      </c>
      <c r="F151" s="200" t="s">
        <v>421</v>
      </c>
      <c r="G151" s="2">
        <v>18</v>
      </c>
      <c r="H151" s="2">
        <v>0</v>
      </c>
      <c r="I151" s="2">
        <v>0</v>
      </c>
      <c r="J151" s="2">
        <v>18</v>
      </c>
      <c r="K151" s="2">
        <v>0</v>
      </c>
      <c r="L151" s="2">
        <v>18</v>
      </c>
      <c r="M151" s="2"/>
      <c r="N151" s="2">
        <v>0</v>
      </c>
      <c r="O151" s="2">
        <v>0</v>
      </c>
      <c r="P151" s="2">
        <v>0</v>
      </c>
      <c r="R151" s="230">
        <v>0</v>
      </c>
      <c r="S151" s="230">
        <v>0</v>
      </c>
    </row>
    <row r="152" spans="1:19" x14ac:dyDescent="0.25">
      <c r="A152" s="2">
        <v>540116</v>
      </c>
      <c r="B152" s="2" t="s">
        <v>202</v>
      </c>
      <c r="C152" s="2" t="s">
        <v>51</v>
      </c>
      <c r="D152" s="2" t="s">
        <v>115</v>
      </c>
      <c r="E152" s="2">
        <v>1</v>
      </c>
      <c r="F152" s="200" t="s">
        <v>421</v>
      </c>
      <c r="G152" s="2">
        <v>102</v>
      </c>
      <c r="H152" s="2">
        <v>0</v>
      </c>
      <c r="I152" s="2">
        <v>0</v>
      </c>
      <c r="J152" s="2">
        <v>63</v>
      </c>
      <c r="K152" s="2">
        <v>0</v>
      </c>
      <c r="L152" s="2">
        <v>63</v>
      </c>
      <c r="M152" s="2"/>
      <c r="N152" s="2">
        <v>39</v>
      </c>
      <c r="O152" s="2">
        <v>0</v>
      </c>
      <c r="P152" s="2">
        <v>39</v>
      </c>
      <c r="R152" s="230">
        <v>0</v>
      </c>
      <c r="S152" s="230">
        <v>0</v>
      </c>
    </row>
    <row r="153" spans="1:19" x14ac:dyDescent="0.25">
      <c r="A153" s="2">
        <v>540117</v>
      </c>
      <c r="B153" s="2" t="s">
        <v>203</v>
      </c>
      <c r="C153" s="2" t="s">
        <v>51</v>
      </c>
      <c r="D153" s="2" t="s">
        <v>115</v>
      </c>
      <c r="E153" s="2">
        <v>1</v>
      </c>
      <c r="F153" s="200" t="s">
        <v>421</v>
      </c>
      <c r="G153" s="2">
        <v>412</v>
      </c>
      <c r="H153" s="2">
        <v>0</v>
      </c>
      <c r="I153" s="2">
        <v>0</v>
      </c>
      <c r="J153" s="2">
        <v>211</v>
      </c>
      <c r="K153" s="2">
        <v>0</v>
      </c>
      <c r="L153" s="2">
        <v>211</v>
      </c>
      <c r="M153" s="2"/>
      <c r="N153" s="2">
        <v>201</v>
      </c>
      <c r="O153" s="2">
        <v>145</v>
      </c>
      <c r="P153" s="2">
        <v>56</v>
      </c>
      <c r="R153" s="230">
        <v>0</v>
      </c>
      <c r="S153" s="230">
        <v>37</v>
      </c>
    </row>
    <row r="154" spans="1:19" x14ac:dyDescent="0.25">
      <c r="A154" s="2">
        <v>540118</v>
      </c>
      <c r="B154" s="2" t="s">
        <v>204</v>
      </c>
      <c r="C154" s="2" t="s">
        <v>51</v>
      </c>
      <c r="D154" s="2" t="s">
        <v>115</v>
      </c>
      <c r="E154" s="2">
        <v>1</v>
      </c>
      <c r="F154" s="200" t="s">
        <v>421</v>
      </c>
      <c r="G154" s="2">
        <v>44</v>
      </c>
      <c r="H154" s="2">
        <v>0</v>
      </c>
      <c r="I154" s="2">
        <v>0</v>
      </c>
      <c r="J154" s="2">
        <v>41</v>
      </c>
      <c r="K154" s="2">
        <v>0</v>
      </c>
      <c r="L154" s="2">
        <v>41</v>
      </c>
      <c r="M154" s="2"/>
      <c r="N154" s="2">
        <v>3</v>
      </c>
      <c r="O154" s="2">
        <v>0</v>
      </c>
      <c r="P154" s="2">
        <v>3</v>
      </c>
      <c r="R154" s="230">
        <v>0</v>
      </c>
      <c r="S154" s="230">
        <v>0</v>
      </c>
    </row>
    <row r="155" spans="1:19" x14ac:dyDescent="0.25">
      <c r="A155" s="2">
        <v>540119</v>
      </c>
      <c r="B155" s="2" t="s">
        <v>205</v>
      </c>
      <c r="C155" s="2" t="s">
        <v>51</v>
      </c>
      <c r="D155" s="2" t="s">
        <v>115</v>
      </c>
      <c r="E155" s="2">
        <v>1</v>
      </c>
      <c r="F155" s="200" t="s">
        <v>421</v>
      </c>
      <c r="G155" s="2">
        <v>138</v>
      </c>
      <c r="H155" s="2">
        <v>0</v>
      </c>
      <c r="I155" s="2">
        <v>0</v>
      </c>
      <c r="J155" s="2">
        <v>109</v>
      </c>
      <c r="K155" s="2">
        <v>0</v>
      </c>
      <c r="L155" s="2">
        <v>109</v>
      </c>
      <c r="M155" s="2"/>
      <c r="N155" s="2">
        <v>29</v>
      </c>
      <c r="O155" s="2">
        <v>0</v>
      </c>
      <c r="P155" s="2">
        <v>29</v>
      </c>
      <c r="R155" s="230">
        <v>0</v>
      </c>
      <c r="S155" s="230">
        <v>0</v>
      </c>
    </row>
    <row r="156" spans="1:19" x14ac:dyDescent="0.25">
      <c r="A156" s="2">
        <v>540120</v>
      </c>
      <c r="B156" s="2" t="s">
        <v>206</v>
      </c>
      <c r="C156" s="2" t="s">
        <v>51</v>
      </c>
      <c r="D156" s="2" t="s">
        <v>115</v>
      </c>
      <c r="E156" s="2">
        <v>1</v>
      </c>
      <c r="F156" s="200" t="s">
        <v>421</v>
      </c>
      <c r="G156" s="2">
        <v>77</v>
      </c>
      <c r="H156" s="2">
        <v>0</v>
      </c>
      <c r="I156" s="2">
        <v>0</v>
      </c>
      <c r="J156" s="2">
        <v>66</v>
      </c>
      <c r="K156" s="2">
        <v>0</v>
      </c>
      <c r="L156" s="2">
        <v>66</v>
      </c>
      <c r="M156" s="2"/>
      <c r="N156" s="2">
        <v>11</v>
      </c>
      <c r="O156" s="2">
        <v>0</v>
      </c>
      <c r="P156" s="2">
        <v>11</v>
      </c>
      <c r="R156" s="230">
        <v>0</v>
      </c>
      <c r="S156" s="230">
        <v>0</v>
      </c>
    </row>
    <row r="157" spans="1:19" x14ac:dyDescent="0.25">
      <c r="A157" s="2">
        <v>540121</v>
      </c>
      <c r="B157" s="2" t="s">
        <v>207</v>
      </c>
      <c r="C157" s="2" t="s">
        <v>51</v>
      </c>
      <c r="D157" s="2" t="s">
        <v>115</v>
      </c>
      <c r="E157" s="2">
        <v>1</v>
      </c>
      <c r="F157" s="200" t="s">
        <v>421</v>
      </c>
      <c r="G157" s="2">
        <v>165</v>
      </c>
      <c r="H157" s="2">
        <v>0</v>
      </c>
      <c r="I157" s="2">
        <v>0</v>
      </c>
      <c r="J157" s="2">
        <v>153</v>
      </c>
      <c r="K157" s="2">
        <v>0</v>
      </c>
      <c r="L157" s="2">
        <v>153</v>
      </c>
      <c r="M157" s="2"/>
      <c r="N157" s="2">
        <v>12</v>
      </c>
      <c r="O157" s="2">
        <v>6</v>
      </c>
      <c r="P157" s="2">
        <v>6</v>
      </c>
      <c r="R157" s="230">
        <v>0</v>
      </c>
      <c r="S157" s="230">
        <v>38</v>
      </c>
    </row>
    <row r="158" spans="1:19" x14ac:dyDescent="0.25">
      <c r="A158" s="2">
        <v>540122</v>
      </c>
      <c r="B158" s="2" t="s">
        <v>208</v>
      </c>
      <c r="C158" s="2" t="s">
        <v>51</v>
      </c>
      <c r="D158" s="2" t="s">
        <v>115</v>
      </c>
      <c r="E158" s="2">
        <v>1</v>
      </c>
      <c r="F158" s="200" t="s">
        <v>421</v>
      </c>
      <c r="G158" s="2">
        <v>82</v>
      </c>
      <c r="H158" s="2">
        <v>0</v>
      </c>
      <c r="I158" s="2">
        <v>0</v>
      </c>
      <c r="J158" s="2">
        <v>50</v>
      </c>
      <c r="K158" s="2">
        <v>0</v>
      </c>
      <c r="L158" s="2">
        <v>50</v>
      </c>
      <c r="M158" s="2"/>
      <c r="N158" s="2">
        <v>32</v>
      </c>
      <c r="O158" s="2">
        <v>7</v>
      </c>
      <c r="P158" s="2">
        <v>25</v>
      </c>
      <c r="R158" s="230">
        <v>0</v>
      </c>
      <c r="S158" s="230">
        <v>6</v>
      </c>
    </row>
    <row r="159" spans="1:19" x14ac:dyDescent="0.25">
      <c r="A159" s="2">
        <v>540123</v>
      </c>
      <c r="B159" s="2" t="s">
        <v>209</v>
      </c>
      <c r="C159" s="2" t="s">
        <v>51</v>
      </c>
      <c r="D159" s="2" t="s">
        <v>115</v>
      </c>
      <c r="E159" s="2">
        <v>1</v>
      </c>
      <c r="F159" s="200" t="s">
        <v>421</v>
      </c>
      <c r="G159" s="2">
        <v>379</v>
      </c>
      <c r="H159" s="2">
        <v>0</v>
      </c>
      <c r="I159" s="2">
        <v>0</v>
      </c>
      <c r="J159" s="2">
        <v>161</v>
      </c>
      <c r="K159" s="2">
        <v>0</v>
      </c>
      <c r="L159" s="2">
        <v>161</v>
      </c>
      <c r="M159" s="2"/>
      <c r="N159" s="2">
        <v>218</v>
      </c>
      <c r="O159" s="2">
        <v>0</v>
      </c>
      <c r="P159" s="2">
        <v>218</v>
      </c>
      <c r="R159" s="230">
        <v>0</v>
      </c>
      <c r="S159" s="230">
        <v>0</v>
      </c>
    </row>
    <row r="160" spans="1:19" x14ac:dyDescent="0.25">
      <c r="A160" s="1">
        <v>540124</v>
      </c>
      <c r="B160" s="1" t="s">
        <v>52</v>
      </c>
      <c r="C160" s="1" t="s">
        <v>53</v>
      </c>
      <c r="D160" s="1" t="s">
        <v>5</v>
      </c>
      <c r="E160" s="1">
        <v>1</v>
      </c>
      <c r="F160" s="24" t="s">
        <v>421</v>
      </c>
      <c r="G160" s="1">
        <v>1913</v>
      </c>
      <c r="H160" s="1">
        <v>0</v>
      </c>
      <c r="I160" s="1">
        <v>0</v>
      </c>
      <c r="J160" s="1">
        <v>454</v>
      </c>
      <c r="K160" s="1">
        <v>0</v>
      </c>
      <c r="L160" s="1">
        <v>454</v>
      </c>
      <c r="M160" s="1"/>
      <c r="N160" s="1">
        <v>1459</v>
      </c>
      <c r="O160" s="1">
        <v>756</v>
      </c>
      <c r="P160" s="1">
        <v>703</v>
      </c>
      <c r="R160" s="230">
        <v>0</v>
      </c>
      <c r="S160" s="230">
        <v>119</v>
      </c>
    </row>
    <row r="161" spans="1:19" x14ac:dyDescent="0.25">
      <c r="A161" s="2">
        <v>540172</v>
      </c>
      <c r="B161" s="2" t="s">
        <v>244</v>
      </c>
      <c r="C161" s="2" t="s">
        <v>53</v>
      </c>
      <c r="D161" s="2" t="s">
        <v>115</v>
      </c>
      <c r="E161" s="2">
        <v>1</v>
      </c>
      <c r="F161" s="200" t="s">
        <v>421</v>
      </c>
      <c r="G161" s="2">
        <v>0</v>
      </c>
      <c r="H161" s="2">
        <v>0</v>
      </c>
      <c r="I161" s="2">
        <v>0</v>
      </c>
      <c r="J161" s="2">
        <v>0</v>
      </c>
      <c r="K161" s="2">
        <v>0</v>
      </c>
      <c r="L161" s="2">
        <v>0</v>
      </c>
      <c r="M161" s="2"/>
      <c r="N161" s="2">
        <v>0</v>
      </c>
      <c r="O161" s="2">
        <v>0</v>
      </c>
      <c r="P161" s="2">
        <v>0</v>
      </c>
      <c r="R161" s="230">
        <v>0</v>
      </c>
      <c r="S161" s="230">
        <v>0</v>
      </c>
    </row>
    <row r="162" spans="1:19" x14ac:dyDescent="0.25">
      <c r="A162" s="2">
        <v>540285</v>
      </c>
      <c r="B162" s="2" t="s">
        <v>324</v>
      </c>
      <c r="C162" s="2" t="s">
        <v>53</v>
      </c>
      <c r="D162" s="2" t="s">
        <v>115</v>
      </c>
      <c r="E162" s="2">
        <v>1</v>
      </c>
      <c r="F162" s="200" t="s">
        <v>421</v>
      </c>
      <c r="G162" s="2">
        <v>2</v>
      </c>
      <c r="H162" s="2">
        <v>0</v>
      </c>
      <c r="I162" s="2">
        <v>0</v>
      </c>
      <c r="J162" s="2">
        <v>0</v>
      </c>
      <c r="K162" s="2">
        <v>0</v>
      </c>
      <c r="L162" s="2">
        <v>0</v>
      </c>
      <c r="M162" s="2"/>
      <c r="N162" s="2">
        <v>2</v>
      </c>
      <c r="O162" s="2">
        <v>2</v>
      </c>
      <c r="P162" s="2">
        <v>0</v>
      </c>
      <c r="R162" s="230">
        <v>0</v>
      </c>
      <c r="S162" s="230">
        <v>0</v>
      </c>
    </row>
    <row r="163" spans="1:19" x14ac:dyDescent="0.25">
      <c r="A163" s="2">
        <v>540125</v>
      </c>
      <c r="B163" s="2" t="s">
        <v>210</v>
      </c>
      <c r="C163" s="2" t="s">
        <v>53</v>
      </c>
      <c r="D163" s="2" t="s">
        <v>115</v>
      </c>
      <c r="E163" s="2">
        <v>1</v>
      </c>
      <c r="F163" s="200" t="s">
        <v>421</v>
      </c>
      <c r="G163" s="2">
        <v>18</v>
      </c>
      <c r="H163" s="2">
        <v>0</v>
      </c>
      <c r="I163" s="2">
        <v>0</v>
      </c>
      <c r="J163" s="2">
        <v>18</v>
      </c>
      <c r="K163" s="2">
        <v>0</v>
      </c>
      <c r="L163" s="2">
        <v>18</v>
      </c>
      <c r="M163" s="2"/>
      <c r="N163" s="2">
        <v>0</v>
      </c>
      <c r="O163" s="2">
        <v>0</v>
      </c>
      <c r="P163" s="2">
        <v>0</v>
      </c>
      <c r="R163" s="230">
        <v>0</v>
      </c>
      <c r="S163" s="230">
        <v>0</v>
      </c>
    </row>
    <row r="164" spans="1:19" x14ac:dyDescent="0.25">
      <c r="A164" s="2">
        <v>540126</v>
      </c>
      <c r="B164" s="2" t="s">
        <v>211</v>
      </c>
      <c r="C164" s="2" t="s">
        <v>53</v>
      </c>
      <c r="D164" s="2" t="s">
        <v>115</v>
      </c>
      <c r="E164" s="2">
        <v>1</v>
      </c>
      <c r="F164" s="200" t="s">
        <v>421</v>
      </c>
      <c r="G164" s="2">
        <v>74</v>
      </c>
      <c r="H164" s="2">
        <v>0</v>
      </c>
      <c r="I164" s="2">
        <v>0</v>
      </c>
      <c r="J164" s="2">
        <v>65</v>
      </c>
      <c r="K164" s="2">
        <v>0</v>
      </c>
      <c r="L164" s="2">
        <v>65</v>
      </c>
      <c r="M164" s="2"/>
      <c r="N164" s="2">
        <v>9</v>
      </c>
      <c r="O164" s="2">
        <v>0</v>
      </c>
      <c r="P164" s="2">
        <v>9</v>
      </c>
      <c r="R164" s="230">
        <v>0</v>
      </c>
      <c r="S164" s="230">
        <v>0</v>
      </c>
    </row>
    <row r="165" spans="1:19" x14ac:dyDescent="0.25">
      <c r="A165" s="2">
        <v>540127</v>
      </c>
      <c r="B165" s="2" t="s">
        <v>212</v>
      </c>
      <c r="C165" s="2" t="s">
        <v>53</v>
      </c>
      <c r="D165" s="2" t="s">
        <v>115</v>
      </c>
      <c r="E165" s="2">
        <v>1</v>
      </c>
      <c r="F165" s="200" t="s">
        <v>421</v>
      </c>
      <c r="G165" s="2">
        <v>20</v>
      </c>
      <c r="H165" s="2">
        <v>0</v>
      </c>
      <c r="I165" s="2">
        <v>0</v>
      </c>
      <c r="J165" s="2">
        <v>0</v>
      </c>
      <c r="K165" s="2">
        <v>0</v>
      </c>
      <c r="L165" s="2">
        <v>0</v>
      </c>
      <c r="M165" s="2"/>
      <c r="N165" s="2">
        <v>20</v>
      </c>
      <c r="O165" s="2">
        <v>0</v>
      </c>
      <c r="P165" s="2">
        <v>20</v>
      </c>
      <c r="R165" s="230">
        <v>0</v>
      </c>
      <c r="S165" s="230">
        <v>0</v>
      </c>
    </row>
    <row r="166" spans="1:19" x14ac:dyDescent="0.25">
      <c r="A166" s="2">
        <v>540128</v>
      </c>
      <c r="B166" s="2" t="s">
        <v>213</v>
      </c>
      <c r="C166" s="2" t="s">
        <v>53</v>
      </c>
      <c r="D166" s="2" t="s">
        <v>115</v>
      </c>
      <c r="E166" s="2">
        <v>1</v>
      </c>
      <c r="F166" s="200" t="s">
        <v>421</v>
      </c>
      <c r="G166" s="2">
        <v>252</v>
      </c>
      <c r="H166" s="2">
        <v>0</v>
      </c>
      <c r="I166" s="2">
        <v>0</v>
      </c>
      <c r="J166" s="2">
        <v>108</v>
      </c>
      <c r="K166" s="2">
        <v>0</v>
      </c>
      <c r="L166" s="2">
        <v>108</v>
      </c>
      <c r="M166" s="2"/>
      <c r="N166" s="2">
        <v>144</v>
      </c>
      <c r="O166" s="2">
        <v>5</v>
      </c>
      <c r="P166" s="2">
        <v>139</v>
      </c>
      <c r="R166" s="230">
        <v>0</v>
      </c>
      <c r="S166" s="230">
        <v>0</v>
      </c>
    </row>
    <row r="167" spans="1:19" x14ac:dyDescent="0.25">
      <c r="A167" s="1">
        <v>540129</v>
      </c>
      <c r="B167" s="1" t="s">
        <v>54</v>
      </c>
      <c r="C167" s="1" t="s">
        <v>55</v>
      </c>
      <c r="D167" s="1" t="s">
        <v>5</v>
      </c>
      <c r="E167" s="1">
        <v>8</v>
      </c>
      <c r="F167" s="24" t="s">
        <v>421</v>
      </c>
      <c r="G167" s="1">
        <v>706</v>
      </c>
      <c r="H167" s="1">
        <v>0</v>
      </c>
      <c r="I167" s="1">
        <v>0</v>
      </c>
      <c r="J167" s="1">
        <v>492</v>
      </c>
      <c r="K167" s="1">
        <v>0</v>
      </c>
      <c r="L167" s="1">
        <v>492</v>
      </c>
      <c r="M167" s="1"/>
      <c r="N167" s="1">
        <v>214</v>
      </c>
      <c r="O167" s="1">
        <v>67</v>
      </c>
      <c r="P167" s="1">
        <v>147</v>
      </c>
      <c r="R167" s="230">
        <v>0</v>
      </c>
      <c r="S167" s="230">
        <v>130</v>
      </c>
    </row>
    <row r="168" spans="1:19" x14ac:dyDescent="0.25">
      <c r="A168" s="2">
        <v>545555</v>
      </c>
      <c r="B168" s="2" t="s">
        <v>336</v>
      </c>
      <c r="C168" s="2" t="s">
        <v>55</v>
      </c>
      <c r="D168" s="2" t="s">
        <v>115</v>
      </c>
      <c r="E168" s="2">
        <v>8</v>
      </c>
      <c r="F168" s="200" t="s">
        <v>421</v>
      </c>
      <c r="G168" s="2">
        <v>0</v>
      </c>
      <c r="H168" s="2">
        <v>0</v>
      </c>
      <c r="I168" s="2">
        <v>0</v>
      </c>
      <c r="J168" s="2">
        <v>0</v>
      </c>
      <c r="K168" s="2">
        <v>0</v>
      </c>
      <c r="L168" s="2">
        <v>0</v>
      </c>
      <c r="M168" s="2"/>
      <c r="N168" s="2">
        <v>0</v>
      </c>
      <c r="O168" s="2">
        <v>0</v>
      </c>
      <c r="P168" s="2">
        <v>0</v>
      </c>
      <c r="R168" s="230">
        <v>0</v>
      </c>
      <c r="S168" s="230">
        <v>0</v>
      </c>
    </row>
    <row r="169" spans="1:19" x14ac:dyDescent="0.25">
      <c r="A169" s="2">
        <v>540091</v>
      </c>
      <c r="B169" s="2" t="s">
        <v>338</v>
      </c>
      <c r="C169" s="2" t="s">
        <v>55</v>
      </c>
      <c r="D169" s="2" t="s">
        <v>115</v>
      </c>
      <c r="E169" s="2">
        <v>8</v>
      </c>
      <c r="F169" s="200" t="s">
        <v>421</v>
      </c>
      <c r="G169" s="2">
        <v>0</v>
      </c>
      <c r="H169" s="2">
        <v>0</v>
      </c>
      <c r="I169" s="2">
        <v>0</v>
      </c>
      <c r="J169" s="2">
        <v>0</v>
      </c>
      <c r="K169" s="2">
        <v>0</v>
      </c>
      <c r="L169" s="2">
        <v>0</v>
      </c>
      <c r="M169" s="2"/>
      <c r="N169" s="2">
        <v>0</v>
      </c>
      <c r="O169" s="2">
        <v>0</v>
      </c>
      <c r="P169" s="2">
        <v>0</v>
      </c>
      <c r="R169" s="230">
        <v>0</v>
      </c>
      <c r="S169" s="230">
        <v>0</v>
      </c>
    </row>
    <row r="170" spans="1:19" x14ac:dyDescent="0.25">
      <c r="A170" s="2">
        <v>540130</v>
      </c>
      <c r="B170" s="2" t="s">
        <v>214</v>
      </c>
      <c r="C170" s="2" t="s">
        <v>55</v>
      </c>
      <c r="D170" s="2" t="s">
        <v>115</v>
      </c>
      <c r="E170" s="2">
        <v>8</v>
      </c>
      <c r="F170" s="200" t="s">
        <v>421</v>
      </c>
      <c r="G170" s="2">
        <v>290</v>
      </c>
      <c r="H170" s="2">
        <v>0</v>
      </c>
      <c r="I170" s="2">
        <v>0</v>
      </c>
      <c r="J170" s="2">
        <v>246</v>
      </c>
      <c r="K170" s="2">
        <v>0</v>
      </c>
      <c r="L170" s="2">
        <v>246</v>
      </c>
      <c r="M170" s="2"/>
      <c r="N170" s="2">
        <v>44</v>
      </c>
      <c r="O170" s="2">
        <v>0</v>
      </c>
      <c r="P170" s="2">
        <v>44</v>
      </c>
      <c r="R170" s="230">
        <v>0</v>
      </c>
      <c r="S170" s="230">
        <v>0</v>
      </c>
    </row>
    <row r="171" spans="1:19" x14ac:dyDescent="0.25">
      <c r="A171" s="2">
        <v>540131</v>
      </c>
      <c r="B171" s="2" t="s">
        <v>215</v>
      </c>
      <c r="C171" s="2" t="s">
        <v>55</v>
      </c>
      <c r="D171" s="2" t="s">
        <v>115</v>
      </c>
      <c r="E171" s="2">
        <v>8</v>
      </c>
      <c r="F171" s="200" t="s">
        <v>421</v>
      </c>
      <c r="G171" s="2">
        <v>106</v>
      </c>
      <c r="H171" s="2">
        <v>0</v>
      </c>
      <c r="I171" s="2">
        <v>0</v>
      </c>
      <c r="J171" s="2">
        <v>106</v>
      </c>
      <c r="K171" s="2">
        <v>0</v>
      </c>
      <c r="L171" s="2">
        <v>106</v>
      </c>
      <c r="M171" s="2"/>
      <c r="N171" s="2">
        <v>0</v>
      </c>
      <c r="O171" s="2">
        <v>0</v>
      </c>
      <c r="P171" s="2">
        <v>0</v>
      </c>
      <c r="R171" s="230">
        <v>0</v>
      </c>
      <c r="S171" s="230">
        <v>4</v>
      </c>
    </row>
    <row r="172" spans="1:19" x14ac:dyDescent="0.25">
      <c r="A172" s="2">
        <v>540155</v>
      </c>
      <c r="B172" s="2" t="s">
        <v>231</v>
      </c>
      <c r="C172" s="2" t="s">
        <v>55</v>
      </c>
      <c r="D172" s="2" t="s">
        <v>115</v>
      </c>
      <c r="E172" s="2">
        <v>8</v>
      </c>
      <c r="F172" s="200" t="s">
        <v>421</v>
      </c>
      <c r="G172" s="2">
        <v>6</v>
      </c>
      <c r="H172" s="2">
        <v>0</v>
      </c>
      <c r="I172" s="2">
        <v>0</v>
      </c>
      <c r="J172" s="2">
        <v>0</v>
      </c>
      <c r="K172" s="2">
        <v>0</v>
      </c>
      <c r="L172" s="2">
        <v>0</v>
      </c>
      <c r="M172" s="2"/>
      <c r="N172" s="2">
        <v>6</v>
      </c>
      <c r="O172" s="2">
        <v>0</v>
      </c>
      <c r="P172" s="2">
        <v>6</v>
      </c>
      <c r="R172" s="230">
        <v>0</v>
      </c>
      <c r="S172" s="230">
        <v>0</v>
      </c>
    </row>
    <row r="173" spans="1:19" x14ac:dyDescent="0.25">
      <c r="A173" s="1">
        <v>540133</v>
      </c>
      <c r="B173" s="1" t="s">
        <v>56</v>
      </c>
      <c r="C173" s="1" t="s">
        <v>57</v>
      </c>
      <c r="D173" s="1" t="s">
        <v>5</v>
      </c>
      <c r="E173" s="1">
        <v>2</v>
      </c>
      <c r="F173" s="24"/>
      <c r="G173" s="1">
        <v>3295</v>
      </c>
      <c r="H173" s="1">
        <v>0</v>
      </c>
      <c r="I173" s="1">
        <v>0</v>
      </c>
      <c r="J173" s="1">
        <v>1664</v>
      </c>
      <c r="K173" s="1">
        <v>0</v>
      </c>
      <c r="L173" s="1">
        <v>1664</v>
      </c>
      <c r="M173" s="1"/>
      <c r="N173" s="1">
        <v>1631</v>
      </c>
      <c r="O173" s="1">
        <v>536</v>
      </c>
      <c r="P173" s="1">
        <v>1095</v>
      </c>
      <c r="R173" s="230">
        <v>0</v>
      </c>
      <c r="S173" s="230">
        <v>883</v>
      </c>
    </row>
    <row r="174" spans="1:19" x14ac:dyDescent="0.25">
      <c r="A174" s="2">
        <v>540134</v>
      </c>
      <c r="B174" s="2" t="s">
        <v>217</v>
      </c>
      <c r="C174" s="2" t="s">
        <v>57</v>
      </c>
      <c r="D174" s="2" t="s">
        <v>115</v>
      </c>
      <c r="E174" s="2">
        <v>2</v>
      </c>
      <c r="F174" s="200" t="s">
        <v>421</v>
      </c>
      <c r="G174" s="2">
        <v>176</v>
      </c>
      <c r="H174" s="2">
        <v>0</v>
      </c>
      <c r="I174" s="2">
        <v>0</v>
      </c>
      <c r="J174" s="2">
        <v>166</v>
      </c>
      <c r="K174" s="2">
        <v>0</v>
      </c>
      <c r="L174" s="2">
        <v>166</v>
      </c>
      <c r="M174" s="2"/>
      <c r="N174" s="2">
        <v>10</v>
      </c>
      <c r="O174" s="2">
        <v>0</v>
      </c>
      <c r="P174" s="2">
        <v>10</v>
      </c>
      <c r="R174" s="230">
        <v>0</v>
      </c>
      <c r="S174" s="230">
        <v>0</v>
      </c>
    </row>
    <row r="175" spans="1:19" x14ac:dyDescent="0.25">
      <c r="A175" s="2">
        <v>540135</v>
      </c>
      <c r="B175" s="2" t="s">
        <v>218</v>
      </c>
      <c r="C175" s="2" t="s">
        <v>57</v>
      </c>
      <c r="D175" s="2" t="s">
        <v>115</v>
      </c>
      <c r="E175" s="2">
        <v>2</v>
      </c>
      <c r="F175" s="200" t="s">
        <v>421</v>
      </c>
      <c r="G175" s="2">
        <v>81</v>
      </c>
      <c r="H175" s="2">
        <v>0</v>
      </c>
      <c r="I175" s="2">
        <v>0</v>
      </c>
      <c r="J175" s="2">
        <v>74</v>
      </c>
      <c r="K175" s="2">
        <v>0</v>
      </c>
      <c r="L175" s="2">
        <v>74</v>
      </c>
      <c r="M175" s="2"/>
      <c r="N175" s="2">
        <v>7</v>
      </c>
      <c r="O175" s="2">
        <v>0</v>
      </c>
      <c r="P175" s="2">
        <v>7</v>
      </c>
      <c r="R175" s="230">
        <v>0</v>
      </c>
      <c r="S175" s="230">
        <v>0</v>
      </c>
    </row>
    <row r="176" spans="1:19" x14ac:dyDescent="0.25">
      <c r="A176" s="2">
        <v>540136</v>
      </c>
      <c r="B176" s="2" t="s">
        <v>219</v>
      </c>
      <c r="C176" s="2" t="s">
        <v>57</v>
      </c>
      <c r="D176" s="2" t="s">
        <v>115</v>
      </c>
      <c r="E176" s="2">
        <v>2</v>
      </c>
      <c r="F176" s="200" t="s">
        <v>421</v>
      </c>
      <c r="G176" s="2">
        <v>117</v>
      </c>
      <c r="H176" s="2">
        <v>0</v>
      </c>
      <c r="I176" s="2">
        <v>0</v>
      </c>
      <c r="J176" s="2">
        <v>25</v>
      </c>
      <c r="K176" s="2">
        <v>0</v>
      </c>
      <c r="L176" s="2">
        <v>25</v>
      </c>
      <c r="M176" s="2"/>
      <c r="N176" s="2">
        <v>92</v>
      </c>
      <c r="O176" s="2">
        <v>0</v>
      </c>
      <c r="P176" s="2">
        <v>92</v>
      </c>
      <c r="R176" s="230">
        <v>0</v>
      </c>
      <c r="S176" s="230">
        <v>0</v>
      </c>
    </row>
    <row r="177" spans="1:19" x14ac:dyDescent="0.25">
      <c r="A177" s="2">
        <v>545538</v>
      </c>
      <c r="B177" s="2" t="s">
        <v>334</v>
      </c>
      <c r="C177" s="2" t="s">
        <v>57</v>
      </c>
      <c r="D177" s="2" t="s">
        <v>115</v>
      </c>
      <c r="E177" s="2">
        <v>2</v>
      </c>
      <c r="F177" s="200" t="s">
        <v>421</v>
      </c>
      <c r="G177" s="2">
        <v>56</v>
      </c>
      <c r="H177" s="2">
        <v>0</v>
      </c>
      <c r="I177" s="2">
        <v>0</v>
      </c>
      <c r="J177" s="2">
        <v>4</v>
      </c>
      <c r="K177" s="2">
        <v>0</v>
      </c>
      <c r="L177" s="2">
        <v>4</v>
      </c>
      <c r="M177" s="2"/>
      <c r="N177" s="2">
        <v>52</v>
      </c>
      <c r="O177" s="2">
        <v>0</v>
      </c>
      <c r="P177" s="2">
        <v>52</v>
      </c>
      <c r="R177" s="230">
        <v>0</v>
      </c>
      <c r="S177" s="230">
        <v>0</v>
      </c>
    </row>
    <row r="178" spans="1:19" x14ac:dyDescent="0.25">
      <c r="A178" s="2">
        <v>540138</v>
      </c>
      <c r="B178" s="2" t="s">
        <v>221</v>
      </c>
      <c r="C178" s="2" t="s">
        <v>57</v>
      </c>
      <c r="D178" s="2" t="s">
        <v>115</v>
      </c>
      <c r="E178" s="2">
        <v>2</v>
      </c>
      <c r="F178" s="200" t="s">
        <v>421</v>
      </c>
      <c r="G178" s="2">
        <v>46</v>
      </c>
      <c r="H178" s="2">
        <v>0</v>
      </c>
      <c r="I178" s="2">
        <v>0</v>
      </c>
      <c r="J178" s="2">
        <v>5</v>
      </c>
      <c r="K178" s="2">
        <v>0</v>
      </c>
      <c r="L178" s="2">
        <v>5</v>
      </c>
      <c r="M178" s="2"/>
      <c r="N178" s="2">
        <v>41</v>
      </c>
      <c r="O178" s="2">
        <v>0</v>
      </c>
      <c r="P178" s="2">
        <v>41</v>
      </c>
      <c r="R178" s="230">
        <v>0</v>
      </c>
      <c r="S178" s="230">
        <v>0</v>
      </c>
    </row>
    <row r="179" spans="1:19" x14ac:dyDescent="0.25">
      <c r="A179" s="1">
        <v>540139</v>
      </c>
      <c r="B179" s="1" t="s">
        <v>58</v>
      </c>
      <c r="C179" s="1" t="s">
        <v>59</v>
      </c>
      <c r="D179" s="1" t="s">
        <v>5</v>
      </c>
      <c r="E179" s="1">
        <v>6</v>
      </c>
      <c r="F179" s="24" t="s">
        <v>421</v>
      </c>
      <c r="G179" s="1">
        <v>719</v>
      </c>
      <c r="H179" s="1">
        <v>0</v>
      </c>
      <c r="I179" s="1">
        <v>0</v>
      </c>
      <c r="J179" s="1">
        <v>198</v>
      </c>
      <c r="K179" s="1">
        <v>0</v>
      </c>
      <c r="L179" s="1">
        <v>198</v>
      </c>
      <c r="M179" s="1"/>
      <c r="N179" s="1">
        <v>521</v>
      </c>
      <c r="O179" s="1">
        <v>484</v>
      </c>
      <c r="P179" s="1">
        <v>37</v>
      </c>
      <c r="R179" s="230">
        <v>78</v>
      </c>
      <c r="S179" s="230">
        <v>237</v>
      </c>
    </row>
    <row r="180" spans="1:19" x14ac:dyDescent="0.25">
      <c r="A180" s="2">
        <v>540140</v>
      </c>
      <c r="B180" s="2" t="s">
        <v>222</v>
      </c>
      <c r="C180" s="2" t="s">
        <v>59</v>
      </c>
      <c r="D180" s="2" t="s">
        <v>115</v>
      </c>
      <c r="E180" s="2">
        <v>6</v>
      </c>
      <c r="F180" s="200" t="s">
        <v>421</v>
      </c>
      <c r="G180" s="2">
        <v>0</v>
      </c>
      <c r="H180" s="2">
        <v>0</v>
      </c>
      <c r="I180" s="2">
        <v>0</v>
      </c>
      <c r="J180" s="2">
        <v>0</v>
      </c>
      <c r="K180" s="2">
        <v>0</v>
      </c>
      <c r="L180" s="2">
        <v>0</v>
      </c>
      <c r="M180" s="2"/>
      <c r="N180" s="2">
        <v>0</v>
      </c>
      <c r="O180" s="2">
        <v>0</v>
      </c>
      <c r="P180" s="2">
        <v>0</v>
      </c>
      <c r="R180" s="230">
        <v>0</v>
      </c>
      <c r="S180" s="230">
        <v>0</v>
      </c>
    </row>
    <row r="181" spans="1:19" x14ac:dyDescent="0.25">
      <c r="A181" s="2">
        <v>540272</v>
      </c>
      <c r="B181" s="2" t="s">
        <v>315</v>
      </c>
      <c r="C181" s="2" t="s">
        <v>59</v>
      </c>
      <c r="D181" s="2" t="s">
        <v>115</v>
      </c>
      <c r="E181" s="2">
        <v>6</v>
      </c>
      <c r="F181" s="200" t="s">
        <v>421</v>
      </c>
      <c r="G181" s="2">
        <v>27</v>
      </c>
      <c r="H181" s="2">
        <v>0</v>
      </c>
      <c r="I181" s="2">
        <v>0</v>
      </c>
      <c r="J181" s="2">
        <v>6</v>
      </c>
      <c r="K181" s="2">
        <v>0</v>
      </c>
      <c r="L181" s="2">
        <v>6</v>
      </c>
      <c r="M181" s="2"/>
      <c r="N181" s="2">
        <v>21</v>
      </c>
      <c r="O181" s="2">
        <v>0</v>
      </c>
      <c r="P181" s="2">
        <v>21</v>
      </c>
      <c r="R181" s="230">
        <v>7</v>
      </c>
      <c r="S181" s="230">
        <v>0</v>
      </c>
    </row>
    <row r="182" spans="1:19" x14ac:dyDescent="0.25">
      <c r="A182" s="2">
        <v>540141</v>
      </c>
      <c r="B182" s="2" t="s">
        <v>223</v>
      </c>
      <c r="C182" s="2" t="s">
        <v>59</v>
      </c>
      <c r="D182" s="2" t="s">
        <v>115</v>
      </c>
      <c r="E182" s="2">
        <v>6</v>
      </c>
      <c r="F182" s="200" t="s">
        <v>421</v>
      </c>
      <c r="G182" s="2">
        <v>172</v>
      </c>
      <c r="H182" s="2">
        <v>0</v>
      </c>
      <c r="I182" s="2">
        <v>0</v>
      </c>
      <c r="J182" s="2">
        <v>85</v>
      </c>
      <c r="K182" s="2">
        <v>0</v>
      </c>
      <c r="L182" s="2">
        <v>85</v>
      </c>
      <c r="M182" s="2"/>
      <c r="N182" s="2">
        <v>87</v>
      </c>
      <c r="O182" s="2">
        <v>4</v>
      </c>
      <c r="P182" s="2">
        <v>83</v>
      </c>
      <c r="R182" s="230">
        <v>124</v>
      </c>
      <c r="S182" s="230">
        <v>0</v>
      </c>
    </row>
    <row r="183" spans="1:19" x14ac:dyDescent="0.25">
      <c r="A183" s="2">
        <v>540273</v>
      </c>
      <c r="B183" s="2" t="s">
        <v>316</v>
      </c>
      <c r="C183" s="2" t="s">
        <v>59</v>
      </c>
      <c r="D183" s="2" t="s">
        <v>115</v>
      </c>
      <c r="E183" s="2">
        <v>6</v>
      </c>
      <c r="F183" s="200" t="s">
        <v>421</v>
      </c>
      <c r="G183" s="2">
        <v>1</v>
      </c>
      <c r="H183" s="2">
        <v>0</v>
      </c>
      <c r="I183" s="2">
        <v>0</v>
      </c>
      <c r="J183" s="2">
        <v>0</v>
      </c>
      <c r="K183" s="2">
        <v>0</v>
      </c>
      <c r="L183" s="2">
        <v>0</v>
      </c>
      <c r="M183" s="2"/>
      <c r="N183" s="2">
        <v>1</v>
      </c>
      <c r="O183" s="2">
        <v>0</v>
      </c>
      <c r="P183" s="2">
        <v>1</v>
      </c>
      <c r="R183" s="230">
        <v>0</v>
      </c>
      <c r="S183" s="230">
        <v>0</v>
      </c>
    </row>
    <row r="184" spans="1:19" x14ac:dyDescent="0.25">
      <c r="A184" s="2">
        <v>540274</v>
      </c>
      <c r="B184" s="2" t="s">
        <v>317</v>
      </c>
      <c r="C184" s="2" t="s">
        <v>59</v>
      </c>
      <c r="D184" s="2" t="s">
        <v>115</v>
      </c>
      <c r="E184" s="2">
        <v>6</v>
      </c>
      <c r="F184" s="200" t="s">
        <v>421</v>
      </c>
      <c r="G184" s="2">
        <v>26</v>
      </c>
      <c r="H184" s="2">
        <v>0</v>
      </c>
      <c r="I184" s="2">
        <v>0</v>
      </c>
      <c r="J184" s="2">
        <v>13</v>
      </c>
      <c r="K184" s="2">
        <v>0</v>
      </c>
      <c r="L184" s="2">
        <v>13</v>
      </c>
      <c r="M184" s="2"/>
      <c r="N184" s="2">
        <v>13</v>
      </c>
      <c r="O184" s="2">
        <v>0</v>
      </c>
      <c r="P184" s="2">
        <v>13</v>
      </c>
      <c r="R184" s="230">
        <v>20</v>
      </c>
      <c r="S184" s="230">
        <v>0</v>
      </c>
    </row>
    <row r="185" spans="1:19" x14ac:dyDescent="0.25">
      <c r="A185" s="1">
        <v>540278</v>
      </c>
      <c r="B185" s="1" t="s">
        <v>104</v>
      </c>
      <c r="C185" s="1" t="s">
        <v>105</v>
      </c>
      <c r="D185" s="1" t="s">
        <v>5</v>
      </c>
      <c r="E185" s="1">
        <v>1</v>
      </c>
      <c r="F185" s="24" t="s">
        <v>421</v>
      </c>
      <c r="G185" s="1">
        <v>303</v>
      </c>
      <c r="H185" s="1">
        <v>0</v>
      </c>
      <c r="I185" s="1">
        <v>0</v>
      </c>
      <c r="J185" s="1">
        <v>153</v>
      </c>
      <c r="K185" s="1">
        <v>0</v>
      </c>
      <c r="L185" s="1">
        <v>153</v>
      </c>
      <c r="M185" s="1"/>
      <c r="N185" s="1">
        <v>150</v>
      </c>
      <c r="O185" s="1">
        <v>148</v>
      </c>
      <c r="P185" s="1">
        <v>2</v>
      </c>
      <c r="R185" s="230">
        <v>0</v>
      </c>
      <c r="S185" s="230">
        <v>86</v>
      </c>
    </row>
    <row r="186" spans="1:19" x14ac:dyDescent="0.25">
      <c r="A186" s="2">
        <v>540041</v>
      </c>
      <c r="B186" s="2" t="s">
        <v>142</v>
      </c>
      <c r="C186" s="2" t="s">
        <v>105</v>
      </c>
      <c r="D186" s="2" t="s">
        <v>115</v>
      </c>
      <c r="E186" s="2">
        <v>1</v>
      </c>
      <c r="F186" s="200" t="s">
        <v>421</v>
      </c>
      <c r="G186" s="2">
        <v>79</v>
      </c>
      <c r="H186" s="2">
        <v>0</v>
      </c>
      <c r="I186" s="2">
        <v>0</v>
      </c>
      <c r="J186" s="2">
        <v>79</v>
      </c>
      <c r="K186" s="2">
        <v>0</v>
      </c>
      <c r="L186" s="2">
        <v>79</v>
      </c>
      <c r="M186" s="2"/>
      <c r="N186" s="2">
        <v>0</v>
      </c>
      <c r="O186" s="2">
        <v>0</v>
      </c>
      <c r="P186" s="2">
        <v>0</v>
      </c>
      <c r="R186" s="230">
        <v>0</v>
      </c>
      <c r="S186" s="230">
        <v>0</v>
      </c>
    </row>
    <row r="187" spans="1:19" x14ac:dyDescent="0.25">
      <c r="A187" s="2">
        <v>540143</v>
      </c>
      <c r="B187" s="2" t="s">
        <v>224</v>
      </c>
      <c r="C187" s="2" t="s">
        <v>105</v>
      </c>
      <c r="D187" s="2" t="s">
        <v>115</v>
      </c>
      <c r="E187" s="2">
        <v>1</v>
      </c>
      <c r="F187" s="200" t="s">
        <v>421</v>
      </c>
      <c r="G187" s="2">
        <v>24</v>
      </c>
      <c r="H187" s="2">
        <v>0</v>
      </c>
      <c r="I187" s="2">
        <v>0</v>
      </c>
      <c r="J187" s="2">
        <v>13</v>
      </c>
      <c r="K187" s="2">
        <v>0</v>
      </c>
      <c r="L187" s="2">
        <v>13</v>
      </c>
      <c r="M187" s="2"/>
      <c r="N187" s="2">
        <v>11</v>
      </c>
      <c r="O187" s="2">
        <v>0</v>
      </c>
      <c r="P187" s="2">
        <v>11</v>
      </c>
      <c r="R187" s="230">
        <v>0</v>
      </c>
      <c r="S187" s="230">
        <v>0</v>
      </c>
    </row>
    <row r="188" spans="1:19" x14ac:dyDescent="0.25">
      <c r="A188" s="2">
        <v>540290</v>
      </c>
      <c r="B188" s="2" t="s">
        <v>327</v>
      </c>
      <c r="C188" s="2" t="s">
        <v>105</v>
      </c>
      <c r="D188" s="2" t="s">
        <v>115</v>
      </c>
      <c r="E188" s="2">
        <v>1</v>
      </c>
      <c r="F188" s="200" t="s">
        <v>421</v>
      </c>
      <c r="G188" s="2">
        <v>0</v>
      </c>
      <c r="H188" s="2">
        <v>0</v>
      </c>
      <c r="I188" s="2">
        <v>0</v>
      </c>
      <c r="J188" s="2">
        <v>0</v>
      </c>
      <c r="K188" s="2">
        <v>0</v>
      </c>
      <c r="L188" s="2">
        <v>0</v>
      </c>
      <c r="M188" s="2"/>
      <c r="N188" s="2">
        <v>0</v>
      </c>
      <c r="O188" s="2">
        <v>0</v>
      </c>
      <c r="P188" s="2">
        <v>0</v>
      </c>
      <c r="R188" s="230">
        <v>0</v>
      </c>
      <c r="S188" s="230">
        <v>0</v>
      </c>
    </row>
    <row r="189" spans="1:19" x14ac:dyDescent="0.25">
      <c r="A189" s="1">
        <v>540144</v>
      </c>
      <c r="B189" s="1" t="s">
        <v>60</v>
      </c>
      <c r="C189" s="1" t="s">
        <v>61</v>
      </c>
      <c r="D189" s="1" t="s">
        <v>5</v>
      </c>
      <c r="E189" s="1">
        <v>9</v>
      </c>
      <c r="F189" s="24" t="s">
        <v>593</v>
      </c>
      <c r="G189" s="1">
        <v>767</v>
      </c>
      <c r="H189" s="1">
        <v>0</v>
      </c>
      <c r="I189" s="1">
        <v>0</v>
      </c>
      <c r="J189" s="1">
        <v>117</v>
      </c>
      <c r="K189" s="1">
        <v>731</v>
      </c>
      <c r="L189" s="1">
        <v>732</v>
      </c>
      <c r="M189" s="1"/>
      <c r="N189" s="1">
        <v>35</v>
      </c>
      <c r="O189" s="1">
        <v>19</v>
      </c>
      <c r="P189" s="1">
        <v>16</v>
      </c>
      <c r="R189" s="230">
        <v>0</v>
      </c>
      <c r="S189" s="230">
        <v>49</v>
      </c>
    </row>
    <row r="190" spans="1:19" x14ac:dyDescent="0.25">
      <c r="A190" s="2">
        <v>540005</v>
      </c>
      <c r="B190" s="2" t="s">
        <v>118</v>
      </c>
      <c r="C190" s="2" t="s">
        <v>61</v>
      </c>
      <c r="D190" s="2" t="s">
        <v>115</v>
      </c>
      <c r="E190" s="2">
        <v>9</v>
      </c>
      <c r="F190" s="200" t="s">
        <v>421</v>
      </c>
      <c r="G190" s="2">
        <v>91</v>
      </c>
      <c r="H190" s="2">
        <v>0</v>
      </c>
      <c r="I190" s="2">
        <v>0</v>
      </c>
      <c r="J190" s="2">
        <v>0</v>
      </c>
      <c r="K190" s="2">
        <v>87</v>
      </c>
      <c r="L190" s="2">
        <v>87</v>
      </c>
      <c r="M190" s="2"/>
      <c r="N190" s="2">
        <v>4</v>
      </c>
      <c r="O190" s="2">
        <v>0</v>
      </c>
      <c r="P190" s="2">
        <v>4</v>
      </c>
      <c r="R190" s="230">
        <v>0</v>
      </c>
      <c r="S190" s="230">
        <v>0</v>
      </c>
    </row>
    <row r="191" spans="1:19" x14ac:dyDescent="0.25">
      <c r="A191" s="2">
        <v>540252</v>
      </c>
      <c r="B191" s="2" t="s">
        <v>298</v>
      </c>
      <c r="C191" s="2" t="s">
        <v>61</v>
      </c>
      <c r="D191" s="2" t="s">
        <v>115</v>
      </c>
      <c r="E191" s="2">
        <v>9</v>
      </c>
      <c r="F191" s="200" t="s">
        <v>421</v>
      </c>
      <c r="G191" s="2">
        <v>55</v>
      </c>
      <c r="H191" s="2">
        <v>0</v>
      </c>
      <c r="I191" s="2">
        <v>0</v>
      </c>
      <c r="J191" s="2">
        <v>0</v>
      </c>
      <c r="K191" s="2">
        <v>54</v>
      </c>
      <c r="L191" s="2">
        <v>54</v>
      </c>
      <c r="M191" s="2"/>
      <c r="N191" s="2">
        <v>1</v>
      </c>
      <c r="O191" s="2">
        <v>0</v>
      </c>
      <c r="P191" s="2">
        <v>1</v>
      </c>
      <c r="R191" s="230">
        <v>0</v>
      </c>
      <c r="S191" s="230">
        <v>0</v>
      </c>
    </row>
    <row r="192" spans="1:19" x14ac:dyDescent="0.25">
      <c r="A192" s="1">
        <v>540146</v>
      </c>
      <c r="B192" s="1" t="s">
        <v>62</v>
      </c>
      <c r="C192" s="1" t="s">
        <v>63</v>
      </c>
      <c r="D192" s="1" t="s">
        <v>5</v>
      </c>
      <c r="E192" s="1">
        <v>4</v>
      </c>
      <c r="F192" s="24" t="s">
        <v>422</v>
      </c>
      <c r="G192" s="1">
        <v>733</v>
      </c>
      <c r="H192" s="1">
        <v>0</v>
      </c>
      <c r="I192" s="1">
        <v>0</v>
      </c>
      <c r="J192" s="1">
        <v>237</v>
      </c>
      <c r="K192" s="1">
        <v>0</v>
      </c>
      <c r="L192" s="1">
        <v>238</v>
      </c>
      <c r="M192" s="1"/>
      <c r="N192" s="1">
        <v>495</v>
      </c>
      <c r="O192" s="1">
        <v>435</v>
      </c>
      <c r="P192" s="1">
        <v>60</v>
      </c>
      <c r="R192" s="230">
        <v>0</v>
      </c>
      <c r="S192" s="230">
        <v>0</v>
      </c>
    </row>
    <row r="193" spans="1:19" x14ac:dyDescent="0.25">
      <c r="A193" s="2">
        <v>540147</v>
      </c>
      <c r="B193" s="2" t="s">
        <v>225</v>
      </c>
      <c r="C193" s="2" t="s">
        <v>63</v>
      </c>
      <c r="D193" s="2" t="s">
        <v>115</v>
      </c>
      <c r="E193" s="2">
        <v>4</v>
      </c>
      <c r="F193" s="200" t="s">
        <v>422</v>
      </c>
      <c r="G193" s="2">
        <v>366</v>
      </c>
      <c r="H193" s="2">
        <v>0</v>
      </c>
      <c r="I193" s="2">
        <v>0</v>
      </c>
      <c r="J193" s="2">
        <v>256</v>
      </c>
      <c r="K193" s="2">
        <v>0</v>
      </c>
      <c r="L193" s="2">
        <v>296</v>
      </c>
      <c r="M193" s="2"/>
      <c r="N193" s="2">
        <v>70</v>
      </c>
      <c r="O193" s="2">
        <v>0</v>
      </c>
      <c r="P193" s="2">
        <v>70</v>
      </c>
      <c r="R193" s="230">
        <v>0</v>
      </c>
      <c r="S193" s="230">
        <v>0</v>
      </c>
    </row>
    <row r="194" spans="1:19" x14ac:dyDescent="0.25">
      <c r="A194" s="2">
        <v>540148</v>
      </c>
      <c r="B194" s="2" t="s">
        <v>226</v>
      </c>
      <c r="C194" s="2" t="s">
        <v>63</v>
      </c>
      <c r="D194" s="2" t="s">
        <v>115</v>
      </c>
      <c r="E194" s="2">
        <v>4</v>
      </c>
      <c r="F194" s="200" t="s">
        <v>422</v>
      </c>
      <c r="G194" s="2">
        <v>52</v>
      </c>
      <c r="H194" s="2">
        <v>0</v>
      </c>
      <c r="I194" s="2">
        <v>0</v>
      </c>
      <c r="J194" s="2">
        <v>7</v>
      </c>
      <c r="K194" s="2">
        <v>0</v>
      </c>
      <c r="L194" s="2">
        <v>7</v>
      </c>
      <c r="M194" s="2"/>
      <c r="N194" s="2">
        <v>45</v>
      </c>
      <c r="O194" s="2">
        <v>45</v>
      </c>
      <c r="P194" s="2">
        <v>0</v>
      </c>
      <c r="R194" s="230">
        <v>0</v>
      </c>
      <c r="S194" s="230">
        <v>0</v>
      </c>
    </row>
    <row r="195" spans="1:19" x14ac:dyDescent="0.25">
      <c r="A195" s="1">
        <v>540149</v>
      </c>
      <c r="B195" s="1" t="s">
        <v>64</v>
      </c>
      <c r="C195" s="1" t="s">
        <v>65</v>
      </c>
      <c r="D195" s="1" t="s">
        <v>5</v>
      </c>
      <c r="E195" s="1">
        <v>10</v>
      </c>
      <c r="F195" s="24" t="s">
        <v>421</v>
      </c>
      <c r="G195" s="1">
        <v>305</v>
      </c>
      <c r="H195" s="1">
        <v>0</v>
      </c>
      <c r="I195" s="1">
        <v>0</v>
      </c>
      <c r="J195" s="1">
        <v>92</v>
      </c>
      <c r="K195" s="1">
        <v>0</v>
      </c>
      <c r="L195" s="1">
        <v>92</v>
      </c>
      <c r="M195" s="1"/>
      <c r="N195" s="1">
        <v>213</v>
      </c>
      <c r="O195" s="1">
        <v>208</v>
      </c>
      <c r="P195" s="1">
        <v>5</v>
      </c>
      <c r="R195" s="230">
        <v>0</v>
      </c>
      <c r="S195" s="230">
        <v>80</v>
      </c>
    </row>
    <row r="196" spans="1:19" x14ac:dyDescent="0.25">
      <c r="A196" s="2">
        <v>540275</v>
      </c>
      <c r="B196" s="2" t="s">
        <v>318</v>
      </c>
      <c r="C196" s="2" t="s">
        <v>65</v>
      </c>
      <c r="D196" s="2" t="s">
        <v>115</v>
      </c>
      <c r="E196" s="2">
        <v>10</v>
      </c>
      <c r="F196" s="200" t="s">
        <v>421</v>
      </c>
      <c r="G196" s="2">
        <v>0</v>
      </c>
      <c r="H196" s="2">
        <v>0</v>
      </c>
      <c r="I196" s="2">
        <v>0</v>
      </c>
      <c r="J196" s="2">
        <v>0</v>
      </c>
      <c r="K196" s="2">
        <v>0</v>
      </c>
      <c r="L196" s="2">
        <v>0</v>
      </c>
      <c r="M196" s="2"/>
      <c r="N196" s="2">
        <v>0</v>
      </c>
      <c r="O196" s="2">
        <v>0</v>
      </c>
      <c r="P196" s="2">
        <v>0</v>
      </c>
      <c r="R196" s="230">
        <v>0</v>
      </c>
      <c r="S196" s="230">
        <v>0</v>
      </c>
    </row>
    <row r="197" spans="1:19" x14ac:dyDescent="0.25">
      <c r="A197" s="2">
        <v>540080</v>
      </c>
      <c r="B197" s="2" t="s">
        <v>175</v>
      </c>
      <c r="C197" s="2" t="s">
        <v>65</v>
      </c>
      <c r="D197" s="2" t="s">
        <v>115</v>
      </c>
      <c r="E197" s="2">
        <v>10</v>
      </c>
      <c r="F197" s="200" t="s">
        <v>421</v>
      </c>
      <c r="G197" s="2">
        <v>0</v>
      </c>
      <c r="H197" s="2">
        <v>0</v>
      </c>
      <c r="I197" s="2">
        <v>0</v>
      </c>
      <c r="J197" s="2">
        <v>0</v>
      </c>
      <c r="K197" s="2">
        <v>0</v>
      </c>
      <c r="L197" s="2">
        <v>0</v>
      </c>
      <c r="M197" s="2"/>
      <c r="N197" s="2">
        <v>0</v>
      </c>
      <c r="O197" s="2">
        <v>0</v>
      </c>
      <c r="P197" s="2">
        <v>0</v>
      </c>
      <c r="R197" s="230">
        <v>0</v>
      </c>
      <c r="S197" s="230">
        <v>0</v>
      </c>
    </row>
    <row r="198" spans="1:19" x14ac:dyDescent="0.25">
      <c r="A198" s="2">
        <v>540150</v>
      </c>
      <c r="B198" s="2" t="s">
        <v>227</v>
      </c>
      <c r="C198" s="2" t="s">
        <v>65</v>
      </c>
      <c r="D198" s="2" t="s">
        <v>115</v>
      </c>
      <c r="E198" s="2">
        <v>10</v>
      </c>
      <c r="F198" s="200" t="s">
        <v>421</v>
      </c>
      <c r="G198" s="2">
        <v>97</v>
      </c>
      <c r="H198" s="2">
        <v>0</v>
      </c>
      <c r="I198" s="2">
        <v>0</v>
      </c>
      <c r="J198" s="2">
        <v>82</v>
      </c>
      <c r="K198" s="2">
        <v>0</v>
      </c>
      <c r="L198" s="2">
        <v>82</v>
      </c>
      <c r="M198" s="2"/>
      <c r="N198" s="2">
        <v>15</v>
      </c>
      <c r="O198" s="2">
        <v>0</v>
      </c>
      <c r="P198" s="2">
        <v>15</v>
      </c>
      <c r="R198" s="230">
        <v>0</v>
      </c>
      <c r="S198" s="230">
        <v>0</v>
      </c>
    </row>
    <row r="199" spans="1:19" x14ac:dyDescent="0.25">
      <c r="A199" s="2">
        <v>540151</v>
      </c>
      <c r="B199" s="2" t="s">
        <v>228</v>
      </c>
      <c r="C199" s="2" t="s">
        <v>65</v>
      </c>
      <c r="D199" s="2" t="s">
        <v>115</v>
      </c>
      <c r="E199" s="2">
        <v>10</v>
      </c>
      <c r="F199" s="200" t="s">
        <v>421</v>
      </c>
      <c r="G199" s="2">
        <v>53</v>
      </c>
      <c r="H199" s="2">
        <v>0</v>
      </c>
      <c r="I199" s="2">
        <v>0</v>
      </c>
      <c r="J199" s="2">
        <v>0</v>
      </c>
      <c r="K199" s="2">
        <v>0</v>
      </c>
      <c r="L199" s="2">
        <v>0</v>
      </c>
      <c r="M199" s="2"/>
      <c r="N199" s="2">
        <v>53</v>
      </c>
      <c r="O199" s="2">
        <v>53</v>
      </c>
      <c r="P199" s="2">
        <v>0</v>
      </c>
      <c r="R199" s="230">
        <v>0</v>
      </c>
      <c r="S199" s="230">
        <v>12</v>
      </c>
    </row>
    <row r="200" spans="1:19" x14ac:dyDescent="0.25">
      <c r="A200" s="2">
        <v>540094</v>
      </c>
      <c r="B200" s="2" t="s">
        <v>185</v>
      </c>
      <c r="C200" s="2" t="s">
        <v>65</v>
      </c>
      <c r="D200" s="2" t="s">
        <v>115</v>
      </c>
      <c r="E200" s="2">
        <v>10</v>
      </c>
      <c r="F200" s="200" t="s">
        <v>421</v>
      </c>
      <c r="G200" s="2">
        <v>11</v>
      </c>
      <c r="H200" s="2">
        <v>0</v>
      </c>
      <c r="I200" s="2">
        <v>0</v>
      </c>
      <c r="J200" s="2">
        <v>0</v>
      </c>
      <c r="K200" s="2">
        <v>0</v>
      </c>
      <c r="L200" s="2">
        <v>0</v>
      </c>
      <c r="M200" s="2"/>
      <c r="N200" s="2">
        <v>11</v>
      </c>
      <c r="O200" s="2">
        <v>11</v>
      </c>
      <c r="P200" s="2">
        <v>0</v>
      </c>
      <c r="R200" s="230">
        <v>0</v>
      </c>
      <c r="S200" s="230">
        <v>0</v>
      </c>
    </row>
    <row r="201" spans="1:19" x14ac:dyDescent="0.25">
      <c r="A201" s="2">
        <v>540152</v>
      </c>
      <c r="B201" s="2" t="s">
        <v>229</v>
      </c>
      <c r="C201" s="2" t="s">
        <v>65</v>
      </c>
      <c r="D201" s="2" t="s">
        <v>115</v>
      </c>
      <c r="E201" s="2">
        <v>10</v>
      </c>
      <c r="F201" s="200" t="s">
        <v>421</v>
      </c>
      <c r="G201" s="2">
        <v>2658</v>
      </c>
      <c r="H201" s="2">
        <v>0</v>
      </c>
      <c r="I201" s="2">
        <v>0</v>
      </c>
      <c r="J201" s="2">
        <v>844</v>
      </c>
      <c r="K201" s="2">
        <v>0</v>
      </c>
      <c r="L201" s="2">
        <v>844</v>
      </c>
      <c r="M201" s="2"/>
      <c r="N201" s="2">
        <v>1814</v>
      </c>
      <c r="O201" s="2">
        <v>9</v>
      </c>
      <c r="P201" s="2">
        <v>1805</v>
      </c>
      <c r="R201" s="230">
        <v>0</v>
      </c>
      <c r="S201" s="230">
        <v>0</v>
      </c>
    </row>
    <row r="202" spans="1:19" x14ac:dyDescent="0.25">
      <c r="A202" s="1">
        <v>540153</v>
      </c>
      <c r="B202" s="1" t="s">
        <v>66</v>
      </c>
      <c r="C202" s="1" t="s">
        <v>67</v>
      </c>
      <c r="D202" s="1" t="s">
        <v>5</v>
      </c>
      <c r="E202" s="1">
        <v>8</v>
      </c>
      <c r="F202" s="24" t="s">
        <v>422</v>
      </c>
      <c r="G202" s="1">
        <v>639</v>
      </c>
      <c r="H202" s="1">
        <v>0</v>
      </c>
      <c r="I202" s="1">
        <v>0</v>
      </c>
      <c r="J202" s="1">
        <v>176</v>
      </c>
      <c r="K202" s="1">
        <v>0</v>
      </c>
      <c r="L202" s="1">
        <v>176</v>
      </c>
      <c r="M202" s="1"/>
      <c r="N202" s="1">
        <v>463</v>
      </c>
      <c r="O202" s="1">
        <v>462</v>
      </c>
      <c r="P202" s="1">
        <v>1</v>
      </c>
      <c r="R202" s="230">
        <v>0</v>
      </c>
      <c r="S202" s="230">
        <v>0</v>
      </c>
    </row>
    <row r="203" spans="1:19" x14ac:dyDescent="0.25">
      <c r="A203" s="2">
        <v>540154</v>
      </c>
      <c r="B203" s="2" t="s">
        <v>230</v>
      </c>
      <c r="C203" s="2" t="s">
        <v>67</v>
      </c>
      <c r="D203" s="2" t="s">
        <v>115</v>
      </c>
      <c r="E203" s="2">
        <v>8</v>
      </c>
      <c r="F203" s="200" t="s">
        <v>422</v>
      </c>
      <c r="G203" s="2">
        <v>20</v>
      </c>
      <c r="H203" s="2">
        <v>0</v>
      </c>
      <c r="I203" s="2">
        <v>0</v>
      </c>
      <c r="J203" s="2">
        <v>20</v>
      </c>
      <c r="K203" s="2">
        <v>0</v>
      </c>
      <c r="L203" s="2">
        <v>20</v>
      </c>
      <c r="M203" s="2"/>
      <c r="N203" s="2">
        <v>0</v>
      </c>
      <c r="O203" s="2">
        <v>0</v>
      </c>
      <c r="P203" s="2">
        <v>0</v>
      </c>
      <c r="R203" s="230">
        <v>0</v>
      </c>
      <c r="S203" s="230">
        <v>0</v>
      </c>
    </row>
    <row r="204" spans="1:19" x14ac:dyDescent="0.25">
      <c r="A204" s="1">
        <v>540225</v>
      </c>
      <c r="B204" s="1" t="s">
        <v>98</v>
      </c>
      <c r="C204" s="1" t="s">
        <v>99</v>
      </c>
      <c r="D204" s="1" t="s">
        <v>5</v>
      </c>
      <c r="E204" s="1">
        <v>5</v>
      </c>
      <c r="F204" s="24" t="s">
        <v>421</v>
      </c>
      <c r="G204" s="1">
        <v>482</v>
      </c>
      <c r="H204" s="1">
        <v>0</v>
      </c>
      <c r="I204" s="1">
        <v>0</v>
      </c>
      <c r="J204" s="1">
        <v>358</v>
      </c>
      <c r="K204" s="1">
        <v>0</v>
      </c>
      <c r="L204" s="1">
        <v>358</v>
      </c>
      <c r="M204" s="1"/>
      <c r="N204" s="1">
        <v>124</v>
      </c>
      <c r="O204" s="1">
        <v>64</v>
      </c>
      <c r="P204" s="1">
        <v>60</v>
      </c>
      <c r="R204" s="230">
        <v>0</v>
      </c>
      <c r="S204" s="230">
        <v>20</v>
      </c>
    </row>
    <row r="205" spans="1:19" x14ac:dyDescent="0.25">
      <c r="A205" s="2">
        <v>540253</v>
      </c>
      <c r="B205" s="2" t="s">
        <v>299</v>
      </c>
      <c r="C205" s="2" t="s">
        <v>99</v>
      </c>
      <c r="D205" s="2" t="s">
        <v>115</v>
      </c>
      <c r="E205" s="2">
        <v>5</v>
      </c>
      <c r="F205" s="200" t="s">
        <v>421</v>
      </c>
      <c r="G205" s="2">
        <v>16</v>
      </c>
      <c r="H205" s="2">
        <v>0</v>
      </c>
      <c r="I205" s="2">
        <v>0</v>
      </c>
      <c r="J205" s="2">
        <v>16</v>
      </c>
      <c r="K205" s="2">
        <v>0</v>
      </c>
      <c r="L205" s="2">
        <v>16</v>
      </c>
      <c r="M205" s="2"/>
      <c r="N205" s="2">
        <v>0</v>
      </c>
      <c r="O205" s="2">
        <v>0</v>
      </c>
      <c r="P205" s="2">
        <v>0</v>
      </c>
      <c r="R205" s="230">
        <v>0</v>
      </c>
      <c r="S205" s="230">
        <v>0</v>
      </c>
    </row>
    <row r="206" spans="1:19" x14ac:dyDescent="0.25">
      <c r="A206" s="2">
        <v>540156</v>
      </c>
      <c r="B206" s="2" t="s">
        <v>232</v>
      </c>
      <c r="C206" s="2" t="s">
        <v>99</v>
      </c>
      <c r="D206" s="2" t="s">
        <v>115</v>
      </c>
      <c r="E206" s="2">
        <v>5</v>
      </c>
      <c r="F206" s="200" t="s">
        <v>421</v>
      </c>
      <c r="G206" s="2">
        <v>149</v>
      </c>
      <c r="H206" s="2">
        <v>0</v>
      </c>
      <c r="I206" s="2">
        <v>0</v>
      </c>
      <c r="J206" s="2">
        <v>147</v>
      </c>
      <c r="K206" s="2">
        <v>0</v>
      </c>
      <c r="L206" s="2">
        <v>147</v>
      </c>
      <c r="M206" s="2"/>
      <c r="N206" s="2">
        <v>2</v>
      </c>
      <c r="O206" s="2">
        <v>0</v>
      </c>
      <c r="P206" s="2">
        <v>2</v>
      </c>
      <c r="R206" s="230">
        <v>0</v>
      </c>
      <c r="S206" s="230">
        <v>0</v>
      </c>
    </row>
    <row r="207" spans="1:19" x14ac:dyDescent="0.25">
      <c r="A207" s="1">
        <v>540283</v>
      </c>
      <c r="B207" s="1" t="s">
        <v>108</v>
      </c>
      <c r="C207" s="1" t="s">
        <v>109</v>
      </c>
      <c r="D207" s="1" t="s">
        <v>5</v>
      </c>
      <c r="E207" s="1">
        <v>4</v>
      </c>
      <c r="F207" s="24" t="s">
        <v>422</v>
      </c>
      <c r="G207" s="1">
        <v>354</v>
      </c>
      <c r="H207" s="1">
        <v>0</v>
      </c>
      <c r="I207" s="1">
        <v>0</v>
      </c>
      <c r="J207" s="1">
        <v>159</v>
      </c>
      <c r="K207" s="1">
        <v>0</v>
      </c>
      <c r="L207" s="1">
        <v>159</v>
      </c>
      <c r="M207" s="1"/>
      <c r="N207" s="1">
        <v>195</v>
      </c>
      <c r="O207" s="1">
        <v>151</v>
      </c>
      <c r="P207" s="1">
        <v>44</v>
      </c>
      <c r="R207" s="230">
        <v>0</v>
      </c>
      <c r="S207" s="230">
        <v>0</v>
      </c>
    </row>
    <row r="208" spans="1:19" x14ac:dyDescent="0.25">
      <c r="A208" s="2">
        <v>540158</v>
      </c>
      <c r="B208" s="2" t="s">
        <v>233</v>
      </c>
      <c r="C208" s="2" t="s">
        <v>109</v>
      </c>
      <c r="D208" s="2" t="s">
        <v>115</v>
      </c>
      <c r="E208" s="2">
        <v>4</v>
      </c>
      <c r="F208" s="200" t="s">
        <v>422</v>
      </c>
      <c r="G208" s="2">
        <v>4</v>
      </c>
      <c r="H208" s="2">
        <v>0</v>
      </c>
      <c r="I208" s="2">
        <v>0</v>
      </c>
      <c r="J208" s="2">
        <v>3</v>
      </c>
      <c r="K208" s="2">
        <v>0</v>
      </c>
      <c r="L208" s="2">
        <v>3</v>
      </c>
      <c r="M208" s="2"/>
      <c r="N208" s="2">
        <v>1</v>
      </c>
      <c r="O208" s="2">
        <v>0</v>
      </c>
      <c r="P208" s="2">
        <v>1</v>
      </c>
      <c r="R208" s="230">
        <v>0</v>
      </c>
      <c r="S208" s="230">
        <v>0</v>
      </c>
    </row>
    <row r="209" spans="1:19" x14ac:dyDescent="0.25">
      <c r="A209" s="2">
        <v>540288</v>
      </c>
      <c r="B209" s="2" t="s">
        <v>340</v>
      </c>
      <c r="C209" s="2" t="s">
        <v>109</v>
      </c>
      <c r="D209" s="2" t="s">
        <v>115</v>
      </c>
      <c r="E209" s="2">
        <v>4</v>
      </c>
      <c r="F209" s="200" t="s">
        <v>422</v>
      </c>
      <c r="G209" s="2">
        <v>0</v>
      </c>
      <c r="H209" s="2">
        <v>0</v>
      </c>
      <c r="I209" s="2">
        <v>0</v>
      </c>
      <c r="J209" s="2">
        <v>0</v>
      </c>
      <c r="K209" s="2">
        <v>0</v>
      </c>
      <c r="L209" s="2">
        <v>0</v>
      </c>
      <c r="M209" s="2"/>
      <c r="N209" s="2">
        <v>0</v>
      </c>
      <c r="O209" s="2">
        <v>0</v>
      </c>
      <c r="P209" s="2">
        <v>0</v>
      </c>
      <c r="R209" s="230">
        <v>0</v>
      </c>
      <c r="S209" s="230">
        <v>0</v>
      </c>
    </row>
    <row r="210" spans="1:19" x14ac:dyDescent="0.25">
      <c r="A210" s="2">
        <v>540159</v>
      </c>
      <c r="B210" s="2" t="s">
        <v>234</v>
      </c>
      <c r="C210" s="2" t="s">
        <v>109</v>
      </c>
      <c r="D210" s="2" t="s">
        <v>115</v>
      </c>
      <c r="E210" s="2">
        <v>4</v>
      </c>
      <c r="F210" s="200" t="s">
        <v>422</v>
      </c>
      <c r="G210" s="2">
        <v>443</v>
      </c>
      <c r="H210" s="2">
        <v>0</v>
      </c>
      <c r="I210" s="2">
        <v>0</v>
      </c>
      <c r="J210" s="2">
        <v>417</v>
      </c>
      <c r="K210" s="2">
        <v>0</v>
      </c>
      <c r="L210" s="2">
        <v>417</v>
      </c>
      <c r="M210" s="2"/>
      <c r="N210" s="2">
        <v>26</v>
      </c>
      <c r="O210" s="2">
        <v>19</v>
      </c>
      <c r="P210" s="2">
        <v>7</v>
      </c>
      <c r="R210" s="230">
        <v>0</v>
      </c>
      <c r="S210" s="230">
        <v>0</v>
      </c>
    </row>
    <row r="211" spans="1:19" x14ac:dyDescent="0.25">
      <c r="A211" s="1">
        <v>540160</v>
      </c>
      <c r="B211" s="1" t="s">
        <v>68</v>
      </c>
      <c r="C211" s="1" t="s">
        <v>69</v>
      </c>
      <c r="D211" s="1" t="s">
        <v>5</v>
      </c>
      <c r="E211" s="1">
        <v>6</v>
      </c>
      <c r="F211" s="24" t="s">
        <v>421</v>
      </c>
      <c r="G211" s="1">
        <v>410</v>
      </c>
      <c r="H211" s="1">
        <v>0</v>
      </c>
      <c r="I211" s="1">
        <v>0</v>
      </c>
      <c r="J211" s="1">
        <v>152</v>
      </c>
      <c r="K211" s="1">
        <v>0</v>
      </c>
      <c r="L211" s="1">
        <v>152</v>
      </c>
      <c r="M211" s="1"/>
      <c r="N211" s="1">
        <v>258</v>
      </c>
      <c r="O211" s="1">
        <v>73</v>
      </c>
      <c r="P211" s="1">
        <v>185</v>
      </c>
      <c r="R211" s="230">
        <v>0</v>
      </c>
      <c r="S211" s="230">
        <v>124</v>
      </c>
    </row>
    <row r="212" spans="1:19" x14ac:dyDescent="0.25">
      <c r="A212" s="2">
        <v>540161</v>
      </c>
      <c r="B212" s="2" t="s">
        <v>235</v>
      </c>
      <c r="C212" s="2" t="s">
        <v>69</v>
      </c>
      <c r="D212" s="2" t="s">
        <v>115</v>
      </c>
      <c r="E212" s="2">
        <v>6</v>
      </c>
      <c r="F212" s="200" t="s">
        <v>421</v>
      </c>
      <c r="G212" s="2">
        <v>50</v>
      </c>
      <c r="H212" s="2">
        <v>0</v>
      </c>
      <c r="I212" s="2">
        <v>0</v>
      </c>
      <c r="J212" s="2">
        <v>6</v>
      </c>
      <c r="K212" s="2">
        <v>0</v>
      </c>
      <c r="L212" s="2">
        <v>6</v>
      </c>
      <c r="M212" s="2"/>
      <c r="N212" s="2">
        <v>44</v>
      </c>
      <c r="O212" s="2">
        <v>0</v>
      </c>
      <c r="P212" s="2">
        <v>44</v>
      </c>
      <c r="R212" s="230">
        <v>0</v>
      </c>
      <c r="S212" s="230">
        <v>0</v>
      </c>
    </row>
    <row r="213" spans="1:19" x14ac:dyDescent="0.25">
      <c r="A213" s="2">
        <v>540284</v>
      </c>
      <c r="B213" s="2" t="s">
        <v>323</v>
      </c>
      <c r="C213" s="2" t="s">
        <v>69</v>
      </c>
      <c r="D213" s="2" t="s">
        <v>115</v>
      </c>
      <c r="E213" s="2">
        <v>6</v>
      </c>
      <c r="F213" s="200" t="s">
        <v>421</v>
      </c>
      <c r="G213" s="2">
        <v>0</v>
      </c>
      <c r="H213" s="2">
        <v>0</v>
      </c>
      <c r="I213" s="2">
        <v>0</v>
      </c>
      <c r="J213" s="2">
        <v>0</v>
      </c>
      <c r="K213" s="2">
        <v>0</v>
      </c>
      <c r="L213" s="2">
        <v>0</v>
      </c>
      <c r="M213" s="2"/>
      <c r="N213" s="2">
        <v>0</v>
      </c>
      <c r="O213" s="2">
        <v>0</v>
      </c>
      <c r="P213" s="2">
        <v>0</v>
      </c>
      <c r="R213" s="230">
        <v>0</v>
      </c>
      <c r="S213" s="230">
        <v>0</v>
      </c>
    </row>
    <row r="214" spans="1:19" x14ac:dyDescent="0.25">
      <c r="A214" s="2">
        <v>540162</v>
      </c>
      <c r="B214" s="2" t="s">
        <v>236</v>
      </c>
      <c r="C214" s="2" t="s">
        <v>69</v>
      </c>
      <c r="D214" s="2" t="s">
        <v>115</v>
      </c>
      <c r="E214" s="2">
        <v>6</v>
      </c>
      <c r="F214" s="200" t="s">
        <v>421</v>
      </c>
      <c r="G214" s="2">
        <v>35</v>
      </c>
      <c r="H214" s="2">
        <v>0</v>
      </c>
      <c r="I214" s="2">
        <v>0</v>
      </c>
      <c r="J214" s="2">
        <v>35</v>
      </c>
      <c r="K214" s="2">
        <v>0</v>
      </c>
      <c r="L214" s="2">
        <v>35</v>
      </c>
      <c r="M214" s="2"/>
      <c r="N214" s="2">
        <v>0</v>
      </c>
      <c r="O214" s="2">
        <v>0</v>
      </c>
      <c r="P214" s="2">
        <v>0</v>
      </c>
      <c r="R214" s="230">
        <v>0</v>
      </c>
      <c r="S214" s="230">
        <v>0</v>
      </c>
    </row>
    <row r="215" spans="1:19" x14ac:dyDescent="0.25">
      <c r="A215" s="2">
        <v>540254</v>
      </c>
      <c r="B215" s="2" t="s">
        <v>300</v>
      </c>
      <c r="C215" s="2" t="s">
        <v>69</v>
      </c>
      <c r="D215" s="2" t="s">
        <v>115</v>
      </c>
      <c r="E215" s="2">
        <v>6</v>
      </c>
      <c r="F215" s="200" t="s">
        <v>421</v>
      </c>
      <c r="G215" s="2">
        <v>0</v>
      </c>
      <c r="H215" s="2">
        <v>0</v>
      </c>
      <c r="I215" s="2">
        <v>0</v>
      </c>
      <c r="J215" s="2">
        <v>0</v>
      </c>
      <c r="K215" s="2">
        <v>0</v>
      </c>
      <c r="L215" s="2">
        <v>0</v>
      </c>
      <c r="M215" s="2"/>
      <c r="N215" s="2">
        <v>0</v>
      </c>
      <c r="O215" s="2">
        <v>0</v>
      </c>
      <c r="P215" s="2">
        <v>0</v>
      </c>
      <c r="R215" s="230">
        <v>0</v>
      </c>
      <c r="S215" s="230">
        <v>0</v>
      </c>
    </row>
    <row r="216" spans="1:19" x14ac:dyDescent="0.25">
      <c r="A216" s="2">
        <v>540270</v>
      </c>
      <c r="B216" s="2" t="s">
        <v>313</v>
      </c>
      <c r="C216" s="2" t="s">
        <v>69</v>
      </c>
      <c r="D216" s="2" t="s">
        <v>115</v>
      </c>
      <c r="E216" s="2">
        <v>6</v>
      </c>
      <c r="F216" s="200" t="s">
        <v>421</v>
      </c>
      <c r="G216" s="2">
        <v>0</v>
      </c>
      <c r="H216" s="2">
        <v>0</v>
      </c>
      <c r="I216" s="2">
        <v>0</v>
      </c>
      <c r="J216" s="2">
        <v>0</v>
      </c>
      <c r="K216" s="2">
        <v>0</v>
      </c>
      <c r="L216" s="2">
        <v>0</v>
      </c>
      <c r="M216" s="2"/>
      <c r="N216" s="2">
        <v>0</v>
      </c>
      <c r="O216" s="2">
        <v>0</v>
      </c>
      <c r="P216" s="2">
        <v>0</v>
      </c>
      <c r="R216" s="230">
        <v>0</v>
      </c>
      <c r="S216" s="230">
        <v>0</v>
      </c>
    </row>
    <row r="217" spans="1:19" x14ac:dyDescent="0.25">
      <c r="A217" s="2">
        <v>540268</v>
      </c>
      <c r="B217" s="2" t="s">
        <v>311</v>
      </c>
      <c r="C217" s="2" t="s">
        <v>69</v>
      </c>
      <c r="D217" s="2" t="s">
        <v>115</v>
      </c>
      <c r="E217" s="2">
        <v>6</v>
      </c>
      <c r="F217" s="200" t="s">
        <v>421</v>
      </c>
      <c r="G217" s="2">
        <v>15</v>
      </c>
      <c r="H217" s="2">
        <v>0</v>
      </c>
      <c r="I217" s="2">
        <v>0</v>
      </c>
      <c r="J217" s="2">
        <v>15</v>
      </c>
      <c r="K217" s="2">
        <v>0</v>
      </c>
      <c r="L217" s="2">
        <v>15</v>
      </c>
      <c r="M217" s="2"/>
      <c r="N217" s="2">
        <v>0</v>
      </c>
      <c r="O217" s="2">
        <v>0</v>
      </c>
      <c r="P217" s="2">
        <v>0</v>
      </c>
      <c r="R217" s="230">
        <v>0</v>
      </c>
      <c r="S217" s="230">
        <v>15</v>
      </c>
    </row>
    <row r="218" spans="1:19" x14ac:dyDescent="0.25">
      <c r="A218" s="2">
        <v>540269</v>
      </c>
      <c r="B218" s="2" t="s">
        <v>312</v>
      </c>
      <c r="C218" s="2" t="s">
        <v>69</v>
      </c>
      <c r="D218" s="2" t="s">
        <v>115</v>
      </c>
      <c r="E218" s="2">
        <v>6</v>
      </c>
      <c r="F218" s="200" t="s">
        <v>421</v>
      </c>
      <c r="G218" s="2">
        <v>0</v>
      </c>
      <c r="H218" s="2">
        <v>0</v>
      </c>
      <c r="I218" s="2">
        <v>0</v>
      </c>
      <c r="J218" s="2">
        <v>0</v>
      </c>
      <c r="K218" s="2">
        <v>0</v>
      </c>
      <c r="L218" s="2">
        <v>0</v>
      </c>
      <c r="M218" s="2"/>
      <c r="N218" s="2">
        <v>0</v>
      </c>
      <c r="O218" s="2">
        <v>0</v>
      </c>
      <c r="P218" s="2">
        <v>0</v>
      </c>
      <c r="R218" s="230">
        <v>0</v>
      </c>
      <c r="S218" s="230">
        <v>0</v>
      </c>
    </row>
    <row r="219" spans="1:19" x14ac:dyDescent="0.25">
      <c r="A219" s="2">
        <v>540163</v>
      </c>
      <c r="B219" s="2" t="s">
        <v>237</v>
      </c>
      <c r="C219" s="2" t="s">
        <v>69</v>
      </c>
      <c r="D219" s="2" t="s">
        <v>115</v>
      </c>
      <c r="E219" s="2">
        <v>6</v>
      </c>
      <c r="F219" s="200" t="s">
        <v>421</v>
      </c>
      <c r="G219" s="2">
        <v>144</v>
      </c>
      <c r="H219" s="2">
        <v>0</v>
      </c>
      <c r="I219" s="2">
        <v>0</v>
      </c>
      <c r="J219" s="2">
        <v>59</v>
      </c>
      <c r="K219" s="2">
        <v>0</v>
      </c>
      <c r="L219" s="2">
        <v>59</v>
      </c>
      <c r="M219" s="2"/>
      <c r="N219" s="2">
        <v>85</v>
      </c>
      <c r="O219" s="2">
        <v>0</v>
      </c>
      <c r="P219" s="2">
        <v>85</v>
      </c>
      <c r="R219" s="230">
        <v>0</v>
      </c>
      <c r="S219" s="230">
        <v>0</v>
      </c>
    </row>
    <row r="220" spans="1:19" x14ac:dyDescent="0.25">
      <c r="A220" s="2">
        <v>540257</v>
      </c>
      <c r="B220" s="2" t="s">
        <v>302</v>
      </c>
      <c r="C220" s="2" t="s">
        <v>69</v>
      </c>
      <c r="D220" s="2" t="s">
        <v>115</v>
      </c>
      <c r="E220" s="2">
        <v>6</v>
      </c>
      <c r="F220" s="200" t="s">
        <v>421</v>
      </c>
      <c r="G220" s="2">
        <v>23</v>
      </c>
      <c r="H220" s="2">
        <v>0</v>
      </c>
      <c r="I220" s="2">
        <v>0</v>
      </c>
      <c r="J220" s="2">
        <v>0</v>
      </c>
      <c r="K220" s="2">
        <v>0</v>
      </c>
      <c r="L220" s="2">
        <v>0</v>
      </c>
      <c r="M220" s="2"/>
      <c r="N220" s="2">
        <v>23</v>
      </c>
      <c r="O220" s="2">
        <v>23</v>
      </c>
      <c r="P220" s="2">
        <v>0</v>
      </c>
      <c r="R220" s="230">
        <v>0</v>
      </c>
      <c r="S220" s="230">
        <v>21</v>
      </c>
    </row>
    <row r="221" spans="1:19" x14ac:dyDescent="0.25">
      <c r="A221" s="2">
        <v>540137</v>
      </c>
      <c r="B221" s="2" t="s">
        <v>220</v>
      </c>
      <c r="C221" s="2" t="s">
        <v>69</v>
      </c>
      <c r="D221" s="2" t="s">
        <v>115</v>
      </c>
      <c r="E221" s="2">
        <v>6</v>
      </c>
      <c r="F221" s="200" t="s">
        <v>421</v>
      </c>
      <c r="G221" s="2">
        <v>0</v>
      </c>
      <c r="H221" s="2">
        <v>0</v>
      </c>
      <c r="I221" s="2">
        <v>0</v>
      </c>
      <c r="J221" s="2">
        <v>0</v>
      </c>
      <c r="K221" s="2">
        <v>0</v>
      </c>
      <c r="L221" s="2">
        <v>0</v>
      </c>
      <c r="M221" s="2"/>
      <c r="N221" s="2">
        <v>0</v>
      </c>
      <c r="O221" s="2">
        <v>0</v>
      </c>
      <c r="P221" s="2">
        <v>0</v>
      </c>
      <c r="R221" s="230">
        <v>0</v>
      </c>
      <c r="S221" s="230">
        <v>0</v>
      </c>
    </row>
    <row r="222" spans="1:19" x14ac:dyDescent="0.25">
      <c r="A222" s="1">
        <v>540164</v>
      </c>
      <c r="B222" s="1" t="s">
        <v>70</v>
      </c>
      <c r="C222" s="1" t="s">
        <v>71</v>
      </c>
      <c r="D222" s="1" t="s">
        <v>5</v>
      </c>
      <c r="E222" s="1">
        <v>3</v>
      </c>
      <c r="F222" s="24" t="s">
        <v>421</v>
      </c>
      <c r="G222" s="1">
        <v>1761</v>
      </c>
      <c r="H222" s="1">
        <v>0</v>
      </c>
      <c r="I222" s="1">
        <v>0</v>
      </c>
      <c r="J222" s="1">
        <v>938</v>
      </c>
      <c r="K222" s="1">
        <v>0</v>
      </c>
      <c r="L222" s="1">
        <v>938</v>
      </c>
      <c r="M222" s="1"/>
      <c r="N222" s="1">
        <v>823</v>
      </c>
      <c r="O222" s="1">
        <v>447</v>
      </c>
      <c r="P222" s="1">
        <v>376</v>
      </c>
      <c r="R222" s="230">
        <v>0</v>
      </c>
      <c r="S222" s="230">
        <v>109</v>
      </c>
    </row>
    <row r="223" spans="1:19" x14ac:dyDescent="0.25">
      <c r="A223" s="2">
        <v>540165</v>
      </c>
      <c r="B223" s="2" t="s">
        <v>238</v>
      </c>
      <c r="C223" s="2" t="s">
        <v>71</v>
      </c>
      <c r="D223" s="2" t="s">
        <v>115</v>
      </c>
      <c r="E223" s="2">
        <v>3</v>
      </c>
      <c r="F223" s="200" t="s">
        <v>421</v>
      </c>
      <c r="G223" s="2">
        <v>72</v>
      </c>
      <c r="H223" s="2">
        <v>0</v>
      </c>
      <c r="I223" s="2">
        <v>0</v>
      </c>
      <c r="J223" s="2">
        <v>72</v>
      </c>
      <c r="K223" s="2">
        <v>0</v>
      </c>
      <c r="L223" s="2">
        <v>72</v>
      </c>
      <c r="M223" s="2"/>
      <c r="N223" s="2">
        <v>0</v>
      </c>
      <c r="O223" s="2">
        <v>0</v>
      </c>
      <c r="P223" s="2">
        <v>0</v>
      </c>
      <c r="R223" s="230">
        <v>0</v>
      </c>
      <c r="S223" s="230">
        <v>0</v>
      </c>
    </row>
    <row r="224" spans="1:19" x14ac:dyDescent="0.25">
      <c r="A224" s="2">
        <v>540166</v>
      </c>
      <c r="B224" s="2" t="s">
        <v>239</v>
      </c>
      <c r="C224" s="2" t="s">
        <v>71</v>
      </c>
      <c r="D224" s="2" t="s">
        <v>115</v>
      </c>
      <c r="E224" s="2">
        <v>3</v>
      </c>
      <c r="F224" s="200" t="s">
        <v>421</v>
      </c>
      <c r="G224" s="2">
        <v>369</v>
      </c>
      <c r="H224" s="2">
        <v>0</v>
      </c>
      <c r="I224" s="2">
        <v>0</v>
      </c>
      <c r="J224" s="2">
        <v>367</v>
      </c>
      <c r="K224" s="2">
        <v>0</v>
      </c>
      <c r="L224" s="2">
        <v>367</v>
      </c>
      <c r="M224" s="2"/>
      <c r="N224" s="2">
        <v>2</v>
      </c>
      <c r="O224" s="2">
        <v>0</v>
      </c>
      <c r="P224" s="2">
        <v>2</v>
      </c>
      <c r="R224" s="230">
        <v>0</v>
      </c>
      <c r="S224" s="230">
        <v>0</v>
      </c>
    </row>
    <row r="225" spans="1:19" x14ac:dyDescent="0.25">
      <c r="A225" s="2">
        <v>540222</v>
      </c>
      <c r="B225" s="2" t="s">
        <v>276</v>
      </c>
      <c r="C225" s="2" t="s">
        <v>71</v>
      </c>
      <c r="D225" s="2" t="s">
        <v>115</v>
      </c>
      <c r="E225" s="2">
        <v>3</v>
      </c>
      <c r="F225" s="200" t="s">
        <v>421</v>
      </c>
      <c r="G225" s="2">
        <v>14</v>
      </c>
      <c r="H225" s="2">
        <v>0</v>
      </c>
      <c r="I225" s="2">
        <v>0</v>
      </c>
      <c r="J225" s="2">
        <v>13</v>
      </c>
      <c r="K225" s="2">
        <v>0</v>
      </c>
      <c r="L225" s="2">
        <v>13</v>
      </c>
      <c r="M225" s="2"/>
      <c r="N225" s="2">
        <v>1</v>
      </c>
      <c r="O225" s="2">
        <v>0</v>
      </c>
      <c r="P225" s="2">
        <v>1</v>
      </c>
      <c r="R225" s="230">
        <v>0</v>
      </c>
      <c r="S225" s="230">
        <v>0</v>
      </c>
    </row>
    <row r="226" spans="1:19" x14ac:dyDescent="0.25">
      <c r="A226" s="2">
        <v>540167</v>
      </c>
      <c r="B226" s="2" t="s">
        <v>240</v>
      </c>
      <c r="C226" s="2" t="s">
        <v>71</v>
      </c>
      <c r="D226" s="2" t="s">
        <v>115</v>
      </c>
      <c r="E226" s="2">
        <v>3</v>
      </c>
      <c r="F226" s="200" t="s">
        <v>421</v>
      </c>
      <c r="G226" s="2">
        <v>19</v>
      </c>
      <c r="H226" s="2">
        <v>0</v>
      </c>
      <c r="I226" s="2">
        <v>0</v>
      </c>
      <c r="J226" s="2">
        <v>11</v>
      </c>
      <c r="K226" s="2">
        <v>0</v>
      </c>
      <c r="L226" s="2">
        <v>11</v>
      </c>
      <c r="M226" s="2"/>
      <c r="N226" s="2">
        <v>8</v>
      </c>
      <c r="O226" s="2">
        <v>0</v>
      </c>
      <c r="P226" s="2">
        <v>8</v>
      </c>
      <c r="R226" s="230">
        <v>0</v>
      </c>
      <c r="S226" s="230">
        <v>0</v>
      </c>
    </row>
    <row r="227" spans="1:19" x14ac:dyDescent="0.25">
      <c r="A227" s="2">
        <v>540081</v>
      </c>
      <c r="B227" s="2" t="s">
        <v>176</v>
      </c>
      <c r="C227" s="2" t="s">
        <v>71</v>
      </c>
      <c r="D227" s="2" t="s">
        <v>115</v>
      </c>
      <c r="E227" s="2">
        <v>3</v>
      </c>
      <c r="F227" s="200" t="s">
        <v>421</v>
      </c>
      <c r="G227" s="2">
        <v>124</v>
      </c>
      <c r="H227" s="2">
        <v>0</v>
      </c>
      <c r="I227" s="2">
        <v>0</v>
      </c>
      <c r="J227" s="2">
        <v>124</v>
      </c>
      <c r="K227" s="2">
        <v>0</v>
      </c>
      <c r="L227" s="2">
        <v>124</v>
      </c>
      <c r="M227" s="2"/>
      <c r="N227" s="2">
        <v>0</v>
      </c>
      <c r="O227" s="2">
        <v>0</v>
      </c>
      <c r="P227" s="2">
        <v>0</v>
      </c>
      <c r="R227" s="230">
        <v>0</v>
      </c>
      <c r="S227" s="230">
        <v>91</v>
      </c>
    </row>
    <row r="228" spans="1:19" x14ac:dyDescent="0.25">
      <c r="A228" s="2">
        <v>540168</v>
      </c>
      <c r="B228" s="2" t="s">
        <v>241</v>
      </c>
      <c r="C228" s="2" t="s">
        <v>71</v>
      </c>
      <c r="D228" s="2" t="s">
        <v>115</v>
      </c>
      <c r="E228" s="2">
        <v>3</v>
      </c>
      <c r="F228" s="200" t="s">
        <v>421</v>
      </c>
      <c r="G228" s="2">
        <v>34</v>
      </c>
      <c r="H228" s="2">
        <v>0</v>
      </c>
      <c r="I228" s="2">
        <v>0</v>
      </c>
      <c r="J228" s="2">
        <v>33</v>
      </c>
      <c r="K228" s="2">
        <v>0</v>
      </c>
      <c r="L228" s="2">
        <v>33</v>
      </c>
      <c r="M228" s="2"/>
      <c r="N228" s="2">
        <v>1</v>
      </c>
      <c r="O228" s="2">
        <v>0</v>
      </c>
      <c r="P228" s="2">
        <v>1</v>
      </c>
      <c r="R228" s="230">
        <v>0</v>
      </c>
      <c r="S228" s="230">
        <v>0</v>
      </c>
    </row>
    <row r="229" spans="1:19" x14ac:dyDescent="0.25">
      <c r="A229" s="2">
        <v>540271</v>
      </c>
      <c r="B229" s="2" t="s">
        <v>314</v>
      </c>
      <c r="C229" s="2" t="s">
        <v>71</v>
      </c>
      <c r="D229" s="2" t="s">
        <v>115</v>
      </c>
      <c r="E229" s="2">
        <v>3</v>
      </c>
      <c r="F229" s="200" t="s">
        <v>421</v>
      </c>
      <c r="G229" s="2">
        <v>99</v>
      </c>
      <c r="H229" s="2">
        <v>0</v>
      </c>
      <c r="I229" s="2">
        <v>0</v>
      </c>
      <c r="J229" s="2">
        <v>75</v>
      </c>
      <c r="K229" s="2">
        <v>0</v>
      </c>
      <c r="L229" s="2">
        <v>75</v>
      </c>
      <c r="M229" s="2"/>
      <c r="N229" s="2">
        <v>24</v>
      </c>
      <c r="O229" s="2">
        <v>0</v>
      </c>
      <c r="P229" s="2">
        <v>24</v>
      </c>
      <c r="R229" s="230">
        <v>0</v>
      </c>
      <c r="S229" s="230">
        <v>0</v>
      </c>
    </row>
    <row r="230" spans="1:19" x14ac:dyDescent="0.25">
      <c r="A230" s="1">
        <v>540169</v>
      </c>
      <c r="B230" s="1" t="s">
        <v>72</v>
      </c>
      <c r="C230" s="1" t="s">
        <v>73</v>
      </c>
      <c r="D230" s="1" t="s">
        <v>5</v>
      </c>
      <c r="E230" s="1">
        <v>1</v>
      </c>
      <c r="F230" s="24" t="s">
        <v>421</v>
      </c>
      <c r="G230" s="1">
        <v>2150</v>
      </c>
      <c r="H230" s="1">
        <v>0</v>
      </c>
      <c r="I230" s="1">
        <v>0</v>
      </c>
      <c r="J230" s="1">
        <v>1097</v>
      </c>
      <c r="K230" s="1">
        <v>0</v>
      </c>
      <c r="L230" s="1">
        <v>1097</v>
      </c>
      <c r="M230" s="1"/>
      <c r="N230" s="1">
        <v>1053</v>
      </c>
      <c r="O230" s="1">
        <v>574</v>
      </c>
      <c r="P230" s="1">
        <v>479</v>
      </c>
      <c r="R230" s="230">
        <v>0</v>
      </c>
      <c r="S230" s="230">
        <v>777</v>
      </c>
    </row>
    <row r="231" spans="1:19" x14ac:dyDescent="0.25">
      <c r="A231" s="2">
        <v>540170</v>
      </c>
      <c r="B231" s="2" t="s">
        <v>242</v>
      </c>
      <c r="C231" s="2" t="s">
        <v>73</v>
      </c>
      <c r="D231" s="2" t="s">
        <v>115</v>
      </c>
      <c r="E231" s="2">
        <v>1</v>
      </c>
      <c r="F231" s="200" t="s">
        <v>421</v>
      </c>
      <c r="G231" s="2">
        <v>19</v>
      </c>
      <c r="H231" s="2">
        <v>0</v>
      </c>
      <c r="I231" s="2">
        <v>0</v>
      </c>
      <c r="J231" s="2">
        <v>0</v>
      </c>
      <c r="K231" s="2">
        <v>0</v>
      </c>
      <c r="L231" s="2">
        <v>0</v>
      </c>
      <c r="M231" s="2"/>
      <c r="N231" s="2">
        <v>19</v>
      </c>
      <c r="O231" s="2">
        <v>2</v>
      </c>
      <c r="P231" s="2">
        <v>17</v>
      </c>
      <c r="R231" s="230">
        <v>0</v>
      </c>
      <c r="S231" s="230">
        <v>0</v>
      </c>
    </row>
    <row r="232" spans="1:19" x14ac:dyDescent="0.25">
      <c r="A232" s="2">
        <v>540171</v>
      </c>
      <c r="B232" s="2" t="s">
        <v>243</v>
      </c>
      <c r="C232" s="2" t="s">
        <v>73</v>
      </c>
      <c r="D232" s="2" t="s">
        <v>115</v>
      </c>
      <c r="E232" s="2">
        <v>1</v>
      </c>
      <c r="F232" s="200" t="s">
        <v>421</v>
      </c>
      <c r="G232" s="2">
        <v>22</v>
      </c>
      <c r="H232" s="2">
        <v>0</v>
      </c>
      <c r="I232" s="2">
        <v>0</v>
      </c>
      <c r="J232" s="2">
        <v>0</v>
      </c>
      <c r="K232" s="2">
        <v>0</v>
      </c>
      <c r="L232" s="2">
        <v>0</v>
      </c>
      <c r="M232" s="2"/>
      <c r="N232" s="2">
        <v>22</v>
      </c>
      <c r="O232" s="2">
        <v>22</v>
      </c>
      <c r="P232" s="2">
        <v>0</v>
      </c>
      <c r="R232" s="230">
        <v>0</v>
      </c>
      <c r="S232" s="230">
        <v>6</v>
      </c>
    </row>
    <row r="233" spans="1:19" x14ac:dyDescent="0.25">
      <c r="A233" s="2">
        <v>540286</v>
      </c>
      <c r="B233" s="2" t="s">
        <v>325</v>
      </c>
      <c r="C233" s="2" t="s">
        <v>73</v>
      </c>
      <c r="D233" s="2" t="s">
        <v>115</v>
      </c>
      <c r="E233" s="2">
        <v>1</v>
      </c>
      <c r="F233" s="200" t="s">
        <v>421</v>
      </c>
      <c r="G233" s="2">
        <v>58</v>
      </c>
      <c r="H233" s="2">
        <v>0</v>
      </c>
      <c r="I233" s="2">
        <v>0</v>
      </c>
      <c r="J233" s="2">
        <v>0</v>
      </c>
      <c r="K233" s="2">
        <v>0</v>
      </c>
      <c r="L233" s="2">
        <v>0</v>
      </c>
      <c r="M233" s="2"/>
      <c r="N233" s="2">
        <v>58</v>
      </c>
      <c r="O233" s="2">
        <v>0</v>
      </c>
      <c r="P233" s="2">
        <v>58</v>
      </c>
      <c r="R233" s="230">
        <v>0</v>
      </c>
      <c r="S233" s="230">
        <v>0</v>
      </c>
    </row>
    <row r="234" spans="1:19" x14ac:dyDescent="0.25">
      <c r="A234" s="2">
        <v>540173</v>
      </c>
      <c r="B234" s="2" t="s">
        <v>245</v>
      </c>
      <c r="C234" s="2" t="s">
        <v>73</v>
      </c>
      <c r="D234" s="2" t="s">
        <v>115</v>
      </c>
      <c r="E234" s="2">
        <v>1</v>
      </c>
      <c r="F234" s="200" t="s">
        <v>421</v>
      </c>
      <c r="G234" s="2">
        <v>114</v>
      </c>
      <c r="H234" s="2">
        <v>0</v>
      </c>
      <c r="I234" s="2">
        <v>0</v>
      </c>
      <c r="J234" s="2">
        <v>59</v>
      </c>
      <c r="K234" s="2">
        <v>0</v>
      </c>
      <c r="L234" s="2">
        <v>59</v>
      </c>
      <c r="M234" s="2"/>
      <c r="N234" s="2">
        <v>55</v>
      </c>
      <c r="O234" s="2">
        <v>55</v>
      </c>
      <c r="P234" s="2">
        <v>0</v>
      </c>
      <c r="R234" s="230">
        <v>0</v>
      </c>
      <c r="S234" s="230">
        <v>65</v>
      </c>
    </row>
    <row r="235" spans="1:19" x14ac:dyDescent="0.25">
      <c r="A235" s="2">
        <v>540174</v>
      </c>
      <c r="B235" s="2" t="s">
        <v>246</v>
      </c>
      <c r="C235" s="2" t="s">
        <v>73</v>
      </c>
      <c r="D235" s="2" t="s">
        <v>115</v>
      </c>
      <c r="E235" s="2">
        <v>1</v>
      </c>
      <c r="F235" s="200" t="s">
        <v>421</v>
      </c>
      <c r="G235" s="2">
        <v>12</v>
      </c>
      <c r="H235" s="2">
        <v>0</v>
      </c>
      <c r="I235" s="2">
        <v>0</v>
      </c>
      <c r="J235" s="2">
        <v>0</v>
      </c>
      <c r="K235" s="2">
        <v>0</v>
      </c>
      <c r="L235" s="2">
        <v>0</v>
      </c>
      <c r="M235" s="2"/>
      <c r="N235" s="2">
        <v>12</v>
      </c>
      <c r="O235" s="2">
        <v>11</v>
      </c>
      <c r="P235" s="2">
        <v>1</v>
      </c>
      <c r="R235" s="230">
        <v>0</v>
      </c>
      <c r="S235" s="230">
        <v>0</v>
      </c>
    </row>
    <row r="236" spans="1:19" x14ac:dyDescent="0.25">
      <c r="A236" s="1">
        <v>540175</v>
      </c>
      <c r="B236" s="1" t="s">
        <v>74</v>
      </c>
      <c r="C236" s="1" t="s">
        <v>75</v>
      </c>
      <c r="D236" s="1" t="s">
        <v>5</v>
      </c>
      <c r="E236" s="1">
        <v>7</v>
      </c>
      <c r="F236" s="24" t="s">
        <v>422</v>
      </c>
      <c r="G236" s="1">
        <v>1331</v>
      </c>
      <c r="H236" s="1">
        <v>0</v>
      </c>
      <c r="I236" s="1">
        <v>0</v>
      </c>
      <c r="J236" s="1">
        <v>509</v>
      </c>
      <c r="K236" s="1">
        <v>0</v>
      </c>
      <c r="L236" s="1">
        <v>509</v>
      </c>
      <c r="M236" s="1"/>
      <c r="N236" s="1">
        <v>822</v>
      </c>
      <c r="O236" s="1">
        <v>679</v>
      </c>
      <c r="P236" s="1">
        <v>143</v>
      </c>
      <c r="R236" s="230">
        <v>0</v>
      </c>
      <c r="S236" s="230">
        <v>2</v>
      </c>
    </row>
    <row r="237" spans="1:19" x14ac:dyDescent="0.25">
      <c r="A237" s="2">
        <v>540267</v>
      </c>
      <c r="B237" s="2" t="s">
        <v>310</v>
      </c>
      <c r="C237" s="2" t="s">
        <v>75</v>
      </c>
      <c r="D237" s="2" t="s">
        <v>115</v>
      </c>
      <c r="E237" s="2">
        <v>7</v>
      </c>
      <c r="F237" s="200" t="s">
        <v>422</v>
      </c>
      <c r="G237" s="2">
        <v>28</v>
      </c>
      <c r="H237" s="2">
        <v>0</v>
      </c>
      <c r="I237" s="2">
        <v>0</v>
      </c>
      <c r="J237" s="2">
        <v>2</v>
      </c>
      <c r="K237" s="2">
        <v>0</v>
      </c>
      <c r="L237" s="2">
        <v>2</v>
      </c>
      <c r="M237" s="2"/>
      <c r="N237" s="2">
        <v>26</v>
      </c>
      <c r="O237" s="2">
        <v>19</v>
      </c>
      <c r="P237" s="2">
        <v>7</v>
      </c>
      <c r="R237" s="230">
        <v>0</v>
      </c>
      <c r="S237" s="230">
        <v>0</v>
      </c>
    </row>
    <row r="238" spans="1:19" x14ac:dyDescent="0.25">
      <c r="A238" s="2">
        <v>540177</v>
      </c>
      <c r="B238" s="2" t="s">
        <v>248</v>
      </c>
      <c r="C238" s="2" t="s">
        <v>75</v>
      </c>
      <c r="D238" s="2" t="s">
        <v>115</v>
      </c>
      <c r="E238" s="2">
        <v>7</v>
      </c>
      <c r="F238" s="200" t="s">
        <v>422</v>
      </c>
      <c r="G238" s="2">
        <v>216</v>
      </c>
      <c r="H238" s="2">
        <v>0</v>
      </c>
      <c r="I238" s="2">
        <v>0</v>
      </c>
      <c r="J238" s="2">
        <v>14</v>
      </c>
      <c r="K238" s="2">
        <v>0</v>
      </c>
      <c r="L238" s="2">
        <v>14</v>
      </c>
      <c r="M238" s="2"/>
      <c r="N238" s="2">
        <v>202</v>
      </c>
      <c r="O238" s="2">
        <v>133</v>
      </c>
      <c r="P238" s="2">
        <v>69</v>
      </c>
      <c r="R238" s="230">
        <v>0</v>
      </c>
      <c r="S238" s="230">
        <v>0</v>
      </c>
    </row>
    <row r="239" spans="1:19" x14ac:dyDescent="0.25">
      <c r="A239" s="2">
        <v>540178</v>
      </c>
      <c r="B239" s="2" t="s">
        <v>249</v>
      </c>
      <c r="C239" s="2" t="s">
        <v>75</v>
      </c>
      <c r="D239" s="2" t="s">
        <v>115</v>
      </c>
      <c r="E239" s="2">
        <v>7</v>
      </c>
      <c r="F239" s="200" t="s">
        <v>422</v>
      </c>
      <c r="G239" s="2">
        <v>37</v>
      </c>
      <c r="H239" s="2">
        <v>0</v>
      </c>
      <c r="I239" s="2">
        <v>0</v>
      </c>
      <c r="J239" s="2">
        <v>18</v>
      </c>
      <c r="K239" s="2">
        <v>0</v>
      </c>
      <c r="L239" s="2">
        <v>18</v>
      </c>
      <c r="M239" s="2"/>
      <c r="N239" s="2">
        <v>19</v>
      </c>
      <c r="O239" s="2">
        <v>19</v>
      </c>
      <c r="P239" s="2">
        <v>0</v>
      </c>
      <c r="R239" s="230">
        <v>0</v>
      </c>
      <c r="S239" s="230">
        <v>0</v>
      </c>
    </row>
    <row r="240" spans="1:19" x14ac:dyDescent="0.25">
      <c r="A240" s="2">
        <v>540264</v>
      </c>
      <c r="B240" s="2" t="s">
        <v>307</v>
      </c>
      <c r="C240" s="2" t="s">
        <v>75</v>
      </c>
      <c r="D240" s="2" t="s">
        <v>115</v>
      </c>
      <c r="E240" s="2">
        <v>7</v>
      </c>
      <c r="F240" s="200" t="s">
        <v>422</v>
      </c>
      <c r="G240" s="2">
        <v>1</v>
      </c>
      <c r="H240" s="2">
        <v>0</v>
      </c>
      <c r="I240" s="2">
        <v>0</v>
      </c>
      <c r="J240" s="2">
        <v>1</v>
      </c>
      <c r="K240" s="2">
        <v>0</v>
      </c>
      <c r="L240" s="2">
        <v>1</v>
      </c>
      <c r="M240" s="2"/>
      <c r="N240" s="2">
        <v>0</v>
      </c>
      <c r="O240" s="2">
        <v>0</v>
      </c>
      <c r="P240" s="2">
        <v>0</v>
      </c>
      <c r="R240" s="230">
        <v>0</v>
      </c>
      <c r="S240" s="230">
        <v>0</v>
      </c>
    </row>
    <row r="241" spans="1:19" x14ac:dyDescent="0.25">
      <c r="A241" s="2">
        <v>540266</v>
      </c>
      <c r="B241" s="2" t="s">
        <v>309</v>
      </c>
      <c r="C241" s="2" t="s">
        <v>75</v>
      </c>
      <c r="D241" s="2" t="s">
        <v>115</v>
      </c>
      <c r="E241" s="2">
        <v>7</v>
      </c>
      <c r="F241" s="200" t="s">
        <v>422</v>
      </c>
      <c r="G241" s="2">
        <v>13</v>
      </c>
      <c r="H241" s="2">
        <v>0</v>
      </c>
      <c r="I241" s="2">
        <v>0</v>
      </c>
      <c r="J241" s="2">
        <v>9</v>
      </c>
      <c r="K241" s="2">
        <v>0</v>
      </c>
      <c r="L241" s="2">
        <v>9</v>
      </c>
      <c r="M241" s="2"/>
      <c r="N241" s="2">
        <v>4</v>
      </c>
      <c r="O241" s="2">
        <v>4</v>
      </c>
      <c r="P241" s="2">
        <v>0</v>
      </c>
      <c r="R241" s="230">
        <v>0</v>
      </c>
      <c r="S241" s="230">
        <v>0</v>
      </c>
    </row>
    <row r="242" spans="1:19" x14ac:dyDescent="0.25">
      <c r="A242" s="2">
        <v>540265</v>
      </c>
      <c r="B242" s="2" t="s">
        <v>308</v>
      </c>
      <c r="C242" s="2" t="s">
        <v>75</v>
      </c>
      <c r="D242" s="2" t="s">
        <v>115</v>
      </c>
      <c r="E242" s="2">
        <v>7</v>
      </c>
      <c r="F242" s="200" t="s">
        <v>422</v>
      </c>
      <c r="G242" s="2">
        <v>22</v>
      </c>
      <c r="H242" s="2">
        <v>0</v>
      </c>
      <c r="I242" s="2">
        <v>0</v>
      </c>
      <c r="J242" s="2">
        <v>0</v>
      </c>
      <c r="K242" s="2">
        <v>0</v>
      </c>
      <c r="L242" s="2">
        <v>0</v>
      </c>
      <c r="M242" s="2"/>
      <c r="N242" s="2">
        <v>22</v>
      </c>
      <c r="O242" s="2">
        <v>22</v>
      </c>
      <c r="P242" s="2">
        <v>0</v>
      </c>
      <c r="R242" s="230">
        <v>0</v>
      </c>
      <c r="S242" s="230">
        <v>0</v>
      </c>
    </row>
    <row r="243" spans="1:19" x14ac:dyDescent="0.25">
      <c r="A243" s="2">
        <v>540176</v>
      </c>
      <c r="B243" s="2" t="s">
        <v>247</v>
      </c>
      <c r="C243" s="2" t="s">
        <v>75</v>
      </c>
      <c r="D243" s="2" t="s">
        <v>115</v>
      </c>
      <c r="E243" s="2">
        <v>7</v>
      </c>
      <c r="F243" s="200" t="s">
        <v>422</v>
      </c>
      <c r="G243" s="2">
        <v>46</v>
      </c>
      <c r="H243" s="2">
        <v>0</v>
      </c>
      <c r="I243" s="2">
        <v>0</v>
      </c>
      <c r="J243" s="2">
        <v>35</v>
      </c>
      <c r="K243" s="2">
        <v>0</v>
      </c>
      <c r="L243" s="2">
        <v>35</v>
      </c>
      <c r="M243" s="2"/>
      <c r="N243" s="2">
        <v>11</v>
      </c>
      <c r="O243" s="2">
        <v>11</v>
      </c>
      <c r="P243" s="2">
        <v>0</v>
      </c>
      <c r="R243" s="230">
        <v>0</v>
      </c>
      <c r="S243" s="230">
        <v>0</v>
      </c>
    </row>
    <row r="244" spans="1:19" x14ac:dyDescent="0.25">
      <c r="A244" s="1">
        <v>540224</v>
      </c>
      <c r="B244" s="1" t="s">
        <v>96</v>
      </c>
      <c r="C244" s="1" t="s">
        <v>97</v>
      </c>
      <c r="D244" s="1" t="s">
        <v>5</v>
      </c>
      <c r="E244" s="1">
        <v>5</v>
      </c>
      <c r="F244" s="24" t="s">
        <v>421</v>
      </c>
      <c r="G244" s="1">
        <v>566</v>
      </c>
      <c r="H244" s="1">
        <v>0</v>
      </c>
      <c r="I244" s="1">
        <v>0</v>
      </c>
      <c r="J244" s="1">
        <v>255</v>
      </c>
      <c r="K244" s="1">
        <v>0</v>
      </c>
      <c r="L244" s="1">
        <v>255</v>
      </c>
      <c r="M244" s="1"/>
      <c r="N244" s="1">
        <v>311</v>
      </c>
      <c r="O244" s="1">
        <v>311</v>
      </c>
      <c r="P244" s="1">
        <v>0</v>
      </c>
      <c r="R244" s="230">
        <v>0</v>
      </c>
      <c r="S244" s="230">
        <v>306</v>
      </c>
    </row>
    <row r="245" spans="1:19" x14ac:dyDescent="0.25">
      <c r="A245" s="2">
        <v>540262</v>
      </c>
      <c r="B245" s="2" t="s">
        <v>305</v>
      </c>
      <c r="C245" s="2" t="s">
        <v>97</v>
      </c>
      <c r="D245" s="2" t="s">
        <v>115</v>
      </c>
      <c r="E245" s="2">
        <v>5</v>
      </c>
      <c r="F245" s="200" t="s">
        <v>421</v>
      </c>
      <c r="G245" s="2">
        <v>21</v>
      </c>
      <c r="H245" s="2">
        <v>0</v>
      </c>
      <c r="I245" s="2">
        <v>0</v>
      </c>
      <c r="J245" s="2">
        <v>0</v>
      </c>
      <c r="K245" s="2">
        <v>0</v>
      </c>
      <c r="L245" s="2">
        <v>0</v>
      </c>
      <c r="M245" s="2"/>
      <c r="N245" s="2">
        <v>21</v>
      </c>
      <c r="O245" s="2">
        <v>21</v>
      </c>
      <c r="P245" s="2">
        <v>0</v>
      </c>
      <c r="R245" s="230">
        <v>0</v>
      </c>
      <c r="S245" s="230">
        <v>14</v>
      </c>
    </row>
    <row r="246" spans="1:19" x14ac:dyDescent="0.25">
      <c r="A246" s="2">
        <v>540179</v>
      </c>
      <c r="B246" s="2" t="s">
        <v>250</v>
      </c>
      <c r="C246" s="2" t="s">
        <v>97</v>
      </c>
      <c r="D246" s="2" t="s">
        <v>115</v>
      </c>
      <c r="E246" s="2">
        <v>5</v>
      </c>
      <c r="F246" s="200" t="s">
        <v>421</v>
      </c>
      <c r="G246" s="2">
        <v>25</v>
      </c>
      <c r="H246" s="2">
        <v>0</v>
      </c>
      <c r="I246" s="2">
        <v>0</v>
      </c>
      <c r="J246" s="2">
        <v>24</v>
      </c>
      <c r="K246" s="2">
        <v>0</v>
      </c>
      <c r="L246" s="2">
        <v>24</v>
      </c>
      <c r="M246" s="2"/>
      <c r="N246" s="2">
        <v>1</v>
      </c>
      <c r="O246" s="2">
        <v>0</v>
      </c>
      <c r="P246" s="2">
        <v>1</v>
      </c>
      <c r="R246" s="230">
        <v>0</v>
      </c>
      <c r="S246" s="230">
        <v>0</v>
      </c>
    </row>
    <row r="247" spans="1:19" x14ac:dyDescent="0.25">
      <c r="A247" s="2">
        <v>540180</v>
      </c>
      <c r="B247" s="2" t="s">
        <v>251</v>
      </c>
      <c r="C247" s="2" t="s">
        <v>97</v>
      </c>
      <c r="D247" s="2" t="s">
        <v>115</v>
      </c>
      <c r="E247" s="2">
        <v>5</v>
      </c>
      <c r="F247" s="200" t="s">
        <v>421</v>
      </c>
      <c r="G247" s="2">
        <v>19</v>
      </c>
      <c r="H247" s="2">
        <v>0</v>
      </c>
      <c r="I247" s="2">
        <v>0</v>
      </c>
      <c r="J247" s="2">
        <v>0</v>
      </c>
      <c r="K247" s="2">
        <v>0</v>
      </c>
      <c r="L247" s="2">
        <v>0</v>
      </c>
      <c r="M247" s="2"/>
      <c r="N247" s="2">
        <v>19</v>
      </c>
      <c r="O247" s="2">
        <v>19</v>
      </c>
      <c r="P247" s="2">
        <v>0</v>
      </c>
      <c r="R247" s="230">
        <v>0</v>
      </c>
      <c r="S247" s="230">
        <v>9</v>
      </c>
    </row>
    <row r="248" spans="1:19" x14ac:dyDescent="0.25">
      <c r="A248" s="2">
        <v>540132</v>
      </c>
      <c r="B248" s="2" t="s">
        <v>216</v>
      </c>
      <c r="C248" s="2" t="s">
        <v>97</v>
      </c>
      <c r="D248" s="2" t="s">
        <v>115</v>
      </c>
      <c r="E248" s="2">
        <v>5</v>
      </c>
      <c r="F248" s="200" t="s">
        <v>421</v>
      </c>
      <c r="G248" s="2">
        <v>0</v>
      </c>
      <c r="H248" s="2">
        <v>0</v>
      </c>
      <c r="I248" s="2">
        <v>0</v>
      </c>
      <c r="J248" s="2">
        <v>0</v>
      </c>
      <c r="K248" s="2">
        <v>0</v>
      </c>
      <c r="L248" s="2">
        <v>0</v>
      </c>
      <c r="M248" s="2"/>
      <c r="N248" s="2">
        <v>0</v>
      </c>
      <c r="O248" s="2">
        <v>0</v>
      </c>
      <c r="P248" s="2">
        <v>0</v>
      </c>
      <c r="R248" s="230">
        <v>0</v>
      </c>
      <c r="S248" s="230">
        <v>0</v>
      </c>
    </row>
    <row r="249" spans="1:19" x14ac:dyDescent="0.25">
      <c r="A249" s="2">
        <v>540182</v>
      </c>
      <c r="B249" s="2" t="s">
        <v>252</v>
      </c>
      <c r="C249" s="2" t="s">
        <v>97</v>
      </c>
      <c r="D249" s="2" t="s">
        <v>115</v>
      </c>
      <c r="E249" s="2">
        <v>5</v>
      </c>
      <c r="F249" s="200" t="s">
        <v>421</v>
      </c>
      <c r="G249" s="2">
        <v>38</v>
      </c>
      <c r="H249" s="2">
        <v>0</v>
      </c>
      <c r="I249" s="2">
        <v>0</v>
      </c>
      <c r="J249" s="2">
        <v>0</v>
      </c>
      <c r="K249" s="2">
        <v>0</v>
      </c>
      <c r="L249" s="2">
        <v>0</v>
      </c>
      <c r="M249" s="2"/>
      <c r="N249" s="2">
        <v>38</v>
      </c>
      <c r="O249" s="2">
        <v>38</v>
      </c>
      <c r="P249" s="2">
        <v>0</v>
      </c>
      <c r="R249" s="230">
        <v>0</v>
      </c>
      <c r="S249" s="230">
        <v>17</v>
      </c>
    </row>
    <row r="250" spans="1:19" x14ac:dyDescent="0.25">
      <c r="A250" s="2">
        <v>540263</v>
      </c>
      <c r="B250" s="2" t="s">
        <v>306</v>
      </c>
      <c r="C250" s="2" t="s">
        <v>97</v>
      </c>
      <c r="D250" s="2" t="s">
        <v>115</v>
      </c>
      <c r="E250" s="2">
        <v>5</v>
      </c>
      <c r="F250" s="200" t="s">
        <v>421</v>
      </c>
      <c r="G250" s="2">
        <v>17</v>
      </c>
      <c r="H250" s="2">
        <v>0</v>
      </c>
      <c r="I250" s="2">
        <v>0</v>
      </c>
      <c r="J250" s="2">
        <v>0</v>
      </c>
      <c r="K250" s="2">
        <v>0</v>
      </c>
      <c r="L250" s="2">
        <v>0</v>
      </c>
      <c r="M250" s="2"/>
      <c r="N250" s="2">
        <v>17</v>
      </c>
      <c r="O250" s="2">
        <v>17</v>
      </c>
      <c r="P250" s="2">
        <v>0</v>
      </c>
      <c r="R250" s="230">
        <v>0</v>
      </c>
      <c r="S250" s="230">
        <v>1</v>
      </c>
    </row>
    <row r="251" spans="1:19" x14ac:dyDescent="0.25">
      <c r="A251" s="1">
        <v>540183</v>
      </c>
      <c r="B251" s="1" t="s">
        <v>76</v>
      </c>
      <c r="C251" s="1" t="s">
        <v>77</v>
      </c>
      <c r="D251" s="1" t="s">
        <v>5</v>
      </c>
      <c r="E251" s="1">
        <v>5</v>
      </c>
      <c r="F251" s="24" t="s">
        <v>421</v>
      </c>
      <c r="G251" s="1">
        <v>1272</v>
      </c>
      <c r="H251" s="1">
        <v>0</v>
      </c>
      <c r="I251" s="1">
        <v>0</v>
      </c>
      <c r="J251" s="1">
        <v>374</v>
      </c>
      <c r="K251" s="1">
        <v>0</v>
      </c>
      <c r="L251" s="1">
        <v>374</v>
      </c>
      <c r="M251" s="1"/>
      <c r="N251" s="1">
        <v>898</v>
      </c>
      <c r="O251" s="1">
        <v>893</v>
      </c>
      <c r="P251" s="1">
        <v>5</v>
      </c>
      <c r="R251" s="230">
        <v>0</v>
      </c>
      <c r="S251" s="230">
        <v>514</v>
      </c>
    </row>
    <row r="252" spans="1:19" x14ac:dyDescent="0.25">
      <c r="A252" s="2">
        <v>540184</v>
      </c>
      <c r="B252" s="2" t="s">
        <v>253</v>
      </c>
      <c r="C252" s="2" t="s">
        <v>77</v>
      </c>
      <c r="D252" s="2" t="s">
        <v>115</v>
      </c>
      <c r="E252" s="2">
        <v>5</v>
      </c>
      <c r="F252" s="200" t="s">
        <v>421</v>
      </c>
      <c r="G252" s="2">
        <v>52</v>
      </c>
      <c r="H252" s="2">
        <v>0</v>
      </c>
      <c r="I252" s="2">
        <v>0</v>
      </c>
      <c r="J252" s="2">
        <v>22</v>
      </c>
      <c r="K252" s="2">
        <v>0</v>
      </c>
      <c r="L252" s="2">
        <v>22</v>
      </c>
      <c r="M252" s="2"/>
      <c r="N252" s="2">
        <v>30</v>
      </c>
      <c r="O252" s="2">
        <v>0</v>
      </c>
      <c r="P252" s="2">
        <v>30</v>
      </c>
      <c r="R252" s="230">
        <v>0</v>
      </c>
      <c r="S252" s="230">
        <v>0</v>
      </c>
    </row>
    <row r="253" spans="1:19" x14ac:dyDescent="0.25">
      <c r="A253" s="2">
        <v>540185</v>
      </c>
      <c r="B253" s="2" t="s">
        <v>254</v>
      </c>
      <c r="C253" s="2" t="s">
        <v>77</v>
      </c>
      <c r="D253" s="2" t="s">
        <v>115</v>
      </c>
      <c r="E253" s="2">
        <v>5</v>
      </c>
      <c r="F253" s="200" t="s">
        <v>421</v>
      </c>
      <c r="G253" s="2">
        <v>237</v>
      </c>
      <c r="H253" s="2">
        <v>0</v>
      </c>
      <c r="I253" s="2">
        <v>0</v>
      </c>
      <c r="J253" s="2">
        <v>139</v>
      </c>
      <c r="K253" s="2">
        <v>0</v>
      </c>
      <c r="L253" s="2">
        <v>139</v>
      </c>
      <c r="M253" s="2"/>
      <c r="N253" s="2">
        <v>98</v>
      </c>
      <c r="O253" s="2">
        <v>2</v>
      </c>
      <c r="P253" s="2">
        <v>96</v>
      </c>
      <c r="R253" s="230">
        <v>0</v>
      </c>
      <c r="S253" s="230">
        <v>0</v>
      </c>
    </row>
    <row r="254" spans="1:19" x14ac:dyDescent="0.25">
      <c r="A254" s="1">
        <v>540186</v>
      </c>
      <c r="B254" s="1" t="s">
        <v>78</v>
      </c>
      <c r="C254" s="1" t="s">
        <v>79</v>
      </c>
      <c r="D254" s="1" t="s">
        <v>5</v>
      </c>
      <c r="E254" s="1">
        <v>1</v>
      </c>
      <c r="F254" s="24" t="s">
        <v>421</v>
      </c>
      <c r="G254" s="1">
        <v>1168</v>
      </c>
      <c r="H254" s="1">
        <v>0</v>
      </c>
      <c r="I254" s="1">
        <v>0</v>
      </c>
      <c r="J254" s="1">
        <v>682</v>
      </c>
      <c r="K254" s="1">
        <v>0</v>
      </c>
      <c r="L254" s="1">
        <v>682</v>
      </c>
      <c r="M254" s="1"/>
      <c r="N254" s="1">
        <v>486</v>
      </c>
      <c r="O254" s="1">
        <v>72</v>
      </c>
      <c r="P254" s="1">
        <v>414</v>
      </c>
      <c r="R254" s="230">
        <v>0</v>
      </c>
      <c r="S254" s="230">
        <v>15</v>
      </c>
    </row>
    <row r="255" spans="1:19" x14ac:dyDescent="0.25">
      <c r="A255" s="2">
        <v>540187</v>
      </c>
      <c r="B255" s="2" t="s">
        <v>255</v>
      </c>
      <c r="C255" s="2" t="s">
        <v>79</v>
      </c>
      <c r="D255" s="2" t="s">
        <v>115</v>
      </c>
      <c r="E255" s="2">
        <v>1</v>
      </c>
      <c r="F255" s="200" t="s">
        <v>421</v>
      </c>
      <c r="G255" s="2">
        <v>70</v>
      </c>
      <c r="H255" s="2">
        <v>0</v>
      </c>
      <c r="I255" s="2">
        <v>0</v>
      </c>
      <c r="J255" s="2">
        <v>63</v>
      </c>
      <c r="K255" s="2">
        <v>0</v>
      </c>
      <c r="L255" s="2">
        <v>63</v>
      </c>
      <c r="M255" s="2"/>
      <c r="N255" s="2">
        <v>7</v>
      </c>
      <c r="O255" s="2">
        <v>0</v>
      </c>
      <c r="P255" s="2">
        <v>7</v>
      </c>
      <c r="R255" s="230">
        <v>0</v>
      </c>
      <c r="S255" s="230">
        <v>0</v>
      </c>
    </row>
    <row r="256" spans="1:19" x14ac:dyDescent="0.25">
      <c r="A256" s="1">
        <v>540188</v>
      </c>
      <c r="B256" s="1" t="s">
        <v>80</v>
      </c>
      <c r="C256" s="1" t="s">
        <v>81</v>
      </c>
      <c r="D256" s="1" t="s">
        <v>5</v>
      </c>
      <c r="E256" s="1">
        <v>6</v>
      </c>
      <c r="F256" s="24" t="s">
        <v>421</v>
      </c>
      <c r="G256" s="1">
        <v>130</v>
      </c>
      <c r="H256" s="1">
        <v>0</v>
      </c>
      <c r="I256" s="1">
        <v>0</v>
      </c>
      <c r="J256" s="1">
        <v>88</v>
      </c>
      <c r="K256" s="1">
        <v>0</v>
      </c>
      <c r="L256" s="1">
        <v>88</v>
      </c>
      <c r="M256" s="1"/>
      <c r="N256" s="1">
        <v>42</v>
      </c>
      <c r="O256" s="1">
        <v>36</v>
      </c>
      <c r="P256" s="1">
        <v>6</v>
      </c>
      <c r="R256" s="230">
        <v>0</v>
      </c>
      <c r="S256" s="230">
        <v>92</v>
      </c>
    </row>
    <row r="257" spans="1:19" x14ac:dyDescent="0.25">
      <c r="A257" s="2">
        <v>540189</v>
      </c>
      <c r="B257" s="2" t="s">
        <v>256</v>
      </c>
      <c r="C257" s="2" t="s">
        <v>81</v>
      </c>
      <c r="D257" s="2" t="s">
        <v>115</v>
      </c>
      <c r="E257" s="2">
        <v>6</v>
      </c>
      <c r="F257" s="200" t="s">
        <v>421</v>
      </c>
      <c r="G257" s="2">
        <v>10</v>
      </c>
      <c r="H257" s="2">
        <v>0</v>
      </c>
      <c r="I257" s="2">
        <v>0</v>
      </c>
      <c r="J257" s="2">
        <v>7</v>
      </c>
      <c r="K257" s="2">
        <v>0</v>
      </c>
      <c r="L257" s="2">
        <v>7</v>
      </c>
      <c r="M257" s="2"/>
      <c r="N257" s="2">
        <v>3</v>
      </c>
      <c r="O257" s="2">
        <v>3</v>
      </c>
      <c r="P257" s="2">
        <v>0</v>
      </c>
      <c r="R257" s="230">
        <v>0</v>
      </c>
      <c r="S257" s="230">
        <v>9</v>
      </c>
    </row>
    <row r="258" spans="1:19" x14ac:dyDescent="0.25">
      <c r="A258" s="2">
        <v>540190</v>
      </c>
      <c r="B258" s="2" t="s">
        <v>257</v>
      </c>
      <c r="C258" s="2" t="s">
        <v>81</v>
      </c>
      <c r="D258" s="2" t="s">
        <v>115</v>
      </c>
      <c r="E258" s="2">
        <v>6</v>
      </c>
      <c r="F258" s="200" t="s">
        <v>421</v>
      </c>
      <c r="G258" s="2">
        <v>61</v>
      </c>
      <c r="H258" s="2">
        <v>0</v>
      </c>
      <c r="I258" s="2">
        <v>0</v>
      </c>
      <c r="J258" s="2">
        <v>15</v>
      </c>
      <c r="K258" s="2">
        <v>0</v>
      </c>
      <c r="L258" s="2">
        <v>15</v>
      </c>
      <c r="M258" s="2"/>
      <c r="N258" s="2">
        <v>46</v>
      </c>
      <c r="O258" s="2">
        <v>46</v>
      </c>
      <c r="P258" s="2">
        <v>0</v>
      </c>
      <c r="R258" s="230">
        <v>0</v>
      </c>
      <c r="S258" s="230">
        <v>14</v>
      </c>
    </row>
    <row r="259" spans="1:19" x14ac:dyDescent="0.25">
      <c r="A259" s="1">
        <v>540191</v>
      </c>
      <c r="B259" s="1" t="s">
        <v>112</v>
      </c>
      <c r="C259" s="1" t="s">
        <v>113</v>
      </c>
      <c r="D259" s="1" t="s">
        <v>5</v>
      </c>
      <c r="E259" s="1">
        <v>7</v>
      </c>
      <c r="F259" s="24" t="s">
        <v>421</v>
      </c>
      <c r="G259" s="1">
        <v>466</v>
      </c>
      <c r="H259" s="1">
        <v>0</v>
      </c>
      <c r="I259" s="1">
        <v>0</v>
      </c>
      <c r="J259" s="1">
        <v>276</v>
      </c>
      <c r="K259" s="1">
        <v>0</v>
      </c>
      <c r="L259" s="1">
        <v>276</v>
      </c>
      <c r="M259" s="1"/>
      <c r="N259" s="1">
        <v>190</v>
      </c>
      <c r="O259" s="1">
        <v>75</v>
      </c>
      <c r="P259" s="1">
        <v>115</v>
      </c>
      <c r="R259" s="230">
        <v>0</v>
      </c>
      <c r="S259" s="230">
        <v>100</v>
      </c>
    </row>
    <row r="260" spans="1:19" x14ac:dyDescent="0.25">
      <c r="A260" s="2">
        <v>540260</v>
      </c>
      <c r="B260" s="2" t="s">
        <v>346</v>
      </c>
      <c r="C260" s="2" t="s">
        <v>113</v>
      </c>
      <c r="D260" s="2" t="s">
        <v>115</v>
      </c>
      <c r="E260" s="2">
        <v>7</v>
      </c>
      <c r="F260" s="200" t="s">
        <v>421</v>
      </c>
      <c r="G260" s="2">
        <v>1</v>
      </c>
      <c r="H260" s="2">
        <v>0</v>
      </c>
      <c r="I260" s="2">
        <v>0</v>
      </c>
      <c r="J260" s="2">
        <v>1</v>
      </c>
      <c r="K260" s="2">
        <v>0</v>
      </c>
      <c r="L260" s="2">
        <v>1</v>
      </c>
      <c r="M260" s="2"/>
      <c r="N260" s="2">
        <v>0</v>
      </c>
      <c r="O260" s="2">
        <v>0</v>
      </c>
      <c r="P260" s="2">
        <v>0</v>
      </c>
      <c r="R260" s="230">
        <v>0</v>
      </c>
      <c r="S260" s="230">
        <v>0</v>
      </c>
    </row>
    <row r="261" spans="1:19" x14ac:dyDescent="0.25">
      <c r="A261" s="2">
        <v>540192</v>
      </c>
      <c r="B261" s="2" t="s">
        <v>343</v>
      </c>
      <c r="C261" s="2" t="s">
        <v>113</v>
      </c>
      <c r="D261" s="2" t="s">
        <v>115</v>
      </c>
      <c r="E261" s="2">
        <v>7</v>
      </c>
      <c r="F261" s="200" t="s">
        <v>421</v>
      </c>
      <c r="G261" s="2">
        <v>14</v>
      </c>
      <c r="H261" s="2">
        <v>0</v>
      </c>
      <c r="I261" s="2">
        <v>0</v>
      </c>
      <c r="J261" s="2">
        <v>13</v>
      </c>
      <c r="K261" s="2">
        <v>0</v>
      </c>
      <c r="L261" s="2">
        <v>13</v>
      </c>
      <c r="M261" s="2"/>
      <c r="N261" s="2">
        <v>1</v>
      </c>
      <c r="O261" s="2">
        <v>0</v>
      </c>
      <c r="P261" s="2">
        <v>1</v>
      </c>
      <c r="R261" s="230">
        <v>0</v>
      </c>
      <c r="S261" s="230">
        <v>0</v>
      </c>
    </row>
    <row r="262" spans="1:19" x14ac:dyDescent="0.25">
      <c r="A262" s="2">
        <v>540193</v>
      </c>
      <c r="B262" s="2" t="s">
        <v>342</v>
      </c>
      <c r="C262" s="2" t="s">
        <v>113</v>
      </c>
      <c r="D262" s="2" t="s">
        <v>115</v>
      </c>
      <c r="E262" s="2">
        <v>7</v>
      </c>
      <c r="F262" s="200" t="s">
        <v>421</v>
      </c>
      <c r="G262" s="2">
        <v>17</v>
      </c>
      <c r="H262" s="2">
        <v>0</v>
      </c>
      <c r="I262" s="2">
        <v>0</v>
      </c>
      <c r="J262" s="2">
        <v>17</v>
      </c>
      <c r="K262" s="2">
        <v>0</v>
      </c>
      <c r="L262" s="2">
        <v>17</v>
      </c>
      <c r="M262" s="2"/>
      <c r="N262" s="2">
        <v>0</v>
      </c>
      <c r="O262" s="2">
        <v>0</v>
      </c>
      <c r="P262" s="2">
        <v>0</v>
      </c>
      <c r="R262" s="230">
        <v>0</v>
      </c>
      <c r="S262" s="230">
        <v>0</v>
      </c>
    </row>
    <row r="263" spans="1:19" x14ac:dyDescent="0.25">
      <c r="A263" s="2">
        <v>540194</v>
      </c>
      <c r="B263" s="2" t="s">
        <v>344</v>
      </c>
      <c r="C263" s="2" t="s">
        <v>113</v>
      </c>
      <c r="D263" s="2" t="s">
        <v>115</v>
      </c>
      <c r="E263" s="2">
        <v>7</v>
      </c>
      <c r="F263" s="200" t="s">
        <v>421</v>
      </c>
      <c r="G263" s="2">
        <v>356</v>
      </c>
      <c r="H263" s="2">
        <v>0</v>
      </c>
      <c r="I263" s="2">
        <v>0</v>
      </c>
      <c r="J263" s="2">
        <v>253</v>
      </c>
      <c r="K263" s="2">
        <v>0</v>
      </c>
      <c r="L263" s="2">
        <v>253</v>
      </c>
      <c r="M263" s="2"/>
      <c r="N263" s="2">
        <v>103</v>
      </c>
      <c r="O263" s="2">
        <v>0</v>
      </c>
      <c r="P263" s="2">
        <v>103</v>
      </c>
      <c r="R263" s="230">
        <v>0</v>
      </c>
      <c r="S263" s="230">
        <v>0</v>
      </c>
    </row>
    <row r="264" spans="1:19" x14ac:dyDescent="0.25">
      <c r="A264" s="2">
        <v>540261</v>
      </c>
      <c r="B264" s="2" t="s">
        <v>345</v>
      </c>
      <c r="C264" s="2" t="s">
        <v>113</v>
      </c>
      <c r="D264" s="2" t="s">
        <v>115</v>
      </c>
      <c r="E264" s="2">
        <v>7</v>
      </c>
      <c r="F264" s="200" t="s">
        <v>421</v>
      </c>
      <c r="G264" s="2">
        <v>0</v>
      </c>
      <c r="H264" s="2">
        <v>0</v>
      </c>
      <c r="I264" s="2">
        <v>0</v>
      </c>
      <c r="J264" s="2">
        <v>0</v>
      </c>
      <c r="K264" s="2">
        <v>0</v>
      </c>
      <c r="L264" s="2">
        <v>0</v>
      </c>
      <c r="M264" s="2"/>
      <c r="N264" s="2">
        <v>0</v>
      </c>
      <c r="O264" s="2">
        <v>0</v>
      </c>
      <c r="P264" s="2">
        <v>0</v>
      </c>
      <c r="R264" s="230">
        <v>0</v>
      </c>
      <c r="S264" s="230">
        <v>0</v>
      </c>
    </row>
    <row r="265" spans="1:19" x14ac:dyDescent="0.25">
      <c r="A265" s="1">
        <v>540277</v>
      </c>
      <c r="B265" s="1" t="s">
        <v>102</v>
      </c>
      <c r="C265" s="1" t="s">
        <v>103</v>
      </c>
      <c r="D265" s="1" t="s">
        <v>5</v>
      </c>
      <c r="E265" s="1">
        <v>5</v>
      </c>
      <c r="F265" s="24" t="s">
        <v>421</v>
      </c>
      <c r="G265" s="1">
        <v>677</v>
      </c>
      <c r="H265" s="1">
        <v>0</v>
      </c>
      <c r="I265" s="1">
        <v>0</v>
      </c>
      <c r="J265" s="1">
        <v>304</v>
      </c>
      <c r="K265" s="1">
        <v>0</v>
      </c>
      <c r="L265" s="1">
        <v>304</v>
      </c>
      <c r="M265" s="1"/>
      <c r="N265" s="1">
        <v>373</v>
      </c>
      <c r="O265" s="1">
        <v>371</v>
      </c>
      <c r="P265" s="1">
        <v>2</v>
      </c>
      <c r="R265" s="230">
        <v>0</v>
      </c>
      <c r="S265" s="230">
        <v>182</v>
      </c>
    </row>
    <row r="266" spans="1:19" x14ac:dyDescent="0.25">
      <c r="A266" s="2">
        <v>540259</v>
      </c>
      <c r="B266" s="2" t="s">
        <v>304</v>
      </c>
      <c r="C266" s="2" t="s">
        <v>103</v>
      </c>
      <c r="D266" s="2" t="s">
        <v>115</v>
      </c>
      <c r="E266" s="2">
        <v>5</v>
      </c>
      <c r="F266" s="200" t="s">
        <v>421</v>
      </c>
      <c r="G266" s="2">
        <v>67</v>
      </c>
      <c r="H266" s="2">
        <v>0</v>
      </c>
      <c r="I266" s="2">
        <v>0</v>
      </c>
      <c r="J266" s="2">
        <v>67</v>
      </c>
      <c r="K266" s="2">
        <v>0</v>
      </c>
      <c r="L266" s="2">
        <v>67</v>
      </c>
      <c r="M266" s="2"/>
      <c r="N266" s="2">
        <v>0</v>
      </c>
      <c r="O266" s="2">
        <v>0</v>
      </c>
      <c r="P266" s="2">
        <v>0</v>
      </c>
      <c r="R266" s="230">
        <v>0</v>
      </c>
      <c r="S266" s="230">
        <v>0</v>
      </c>
    </row>
    <row r="267" spans="1:19" x14ac:dyDescent="0.25">
      <c r="A267" s="2">
        <v>540195</v>
      </c>
      <c r="B267" s="2" t="s">
        <v>258</v>
      </c>
      <c r="C267" s="2" t="s">
        <v>103</v>
      </c>
      <c r="D267" s="2" t="s">
        <v>115</v>
      </c>
      <c r="E267" s="2">
        <v>5</v>
      </c>
      <c r="F267" s="200" t="s">
        <v>421</v>
      </c>
      <c r="G267" s="2">
        <v>1</v>
      </c>
      <c r="H267" s="2">
        <v>0</v>
      </c>
      <c r="I267" s="2">
        <v>0</v>
      </c>
      <c r="J267" s="2">
        <v>0</v>
      </c>
      <c r="K267" s="2">
        <v>0</v>
      </c>
      <c r="L267" s="2">
        <v>0</v>
      </c>
      <c r="M267" s="2"/>
      <c r="N267" s="2">
        <v>1</v>
      </c>
      <c r="O267" s="2">
        <v>0</v>
      </c>
      <c r="P267" s="2">
        <v>1</v>
      </c>
      <c r="R267" s="230">
        <v>0</v>
      </c>
      <c r="S267" s="230">
        <v>0</v>
      </c>
    </row>
    <row r="268" spans="1:19" x14ac:dyDescent="0.25">
      <c r="A268" s="2">
        <v>540196</v>
      </c>
      <c r="B268" s="2" t="s">
        <v>259</v>
      </c>
      <c r="C268" s="2" t="s">
        <v>103</v>
      </c>
      <c r="D268" s="2" t="s">
        <v>115</v>
      </c>
      <c r="E268" s="2">
        <v>5</v>
      </c>
      <c r="F268" s="200" t="s">
        <v>421</v>
      </c>
      <c r="G268" s="2">
        <v>1</v>
      </c>
      <c r="H268" s="2">
        <v>0</v>
      </c>
      <c r="I268" s="2">
        <v>0</v>
      </c>
      <c r="J268" s="2">
        <v>1</v>
      </c>
      <c r="K268" s="2">
        <v>0</v>
      </c>
      <c r="L268" s="2">
        <v>1</v>
      </c>
      <c r="M268" s="2"/>
      <c r="N268" s="2">
        <v>0</v>
      </c>
      <c r="O268" s="2">
        <v>0</v>
      </c>
      <c r="P268" s="2">
        <v>0</v>
      </c>
      <c r="R268" s="230">
        <v>0</v>
      </c>
      <c r="S268" s="230">
        <v>0</v>
      </c>
    </row>
    <row r="269" spans="1:19" x14ac:dyDescent="0.25">
      <c r="A269" s="2">
        <v>540197</v>
      </c>
      <c r="B269" s="2" t="s">
        <v>260</v>
      </c>
      <c r="C269" s="2" t="s">
        <v>103</v>
      </c>
      <c r="D269" s="2" t="s">
        <v>115</v>
      </c>
      <c r="E269" s="2">
        <v>5</v>
      </c>
      <c r="F269" s="200" t="s">
        <v>421</v>
      </c>
      <c r="G269" s="2">
        <v>76</v>
      </c>
      <c r="H269" s="2">
        <v>0</v>
      </c>
      <c r="I269" s="2">
        <v>0</v>
      </c>
      <c r="J269" s="2">
        <v>76</v>
      </c>
      <c r="K269" s="2">
        <v>0</v>
      </c>
      <c r="L269" s="2">
        <v>76</v>
      </c>
      <c r="M269" s="2"/>
      <c r="N269" s="2">
        <v>0</v>
      </c>
      <c r="O269" s="2">
        <v>0</v>
      </c>
      <c r="P269" s="2">
        <v>0</v>
      </c>
      <c r="R269" s="230">
        <v>0</v>
      </c>
      <c r="S269" s="230">
        <v>0</v>
      </c>
    </row>
    <row r="270" spans="1:19" x14ac:dyDescent="0.25">
      <c r="A270" s="1">
        <v>540198</v>
      </c>
      <c r="B270" s="1" t="s">
        <v>82</v>
      </c>
      <c r="C270" s="1" t="s">
        <v>83</v>
      </c>
      <c r="D270" s="1" t="s">
        <v>5</v>
      </c>
      <c r="E270" s="1">
        <v>7</v>
      </c>
      <c r="F270" s="24" t="s">
        <v>422</v>
      </c>
      <c r="G270" s="1">
        <v>671</v>
      </c>
      <c r="H270" s="1">
        <v>0</v>
      </c>
      <c r="I270" s="1">
        <v>0</v>
      </c>
      <c r="J270" s="1">
        <v>321</v>
      </c>
      <c r="K270" s="1">
        <v>0</v>
      </c>
      <c r="L270" s="1">
        <v>321</v>
      </c>
      <c r="M270" s="1"/>
      <c r="N270" s="1">
        <v>350</v>
      </c>
      <c r="O270" s="1">
        <v>340</v>
      </c>
      <c r="P270" s="1">
        <v>10</v>
      </c>
      <c r="R270" s="230">
        <v>0</v>
      </c>
      <c r="S270" s="230">
        <v>0</v>
      </c>
    </row>
    <row r="271" spans="1:19" x14ac:dyDescent="0.25">
      <c r="A271" s="2">
        <v>540199</v>
      </c>
      <c r="B271" s="2" t="s">
        <v>261</v>
      </c>
      <c r="C271" s="2" t="s">
        <v>83</v>
      </c>
      <c r="D271" s="2" t="s">
        <v>115</v>
      </c>
      <c r="E271" s="2">
        <v>7</v>
      </c>
      <c r="F271" s="200" t="s">
        <v>422</v>
      </c>
      <c r="G271" s="2">
        <v>594</v>
      </c>
      <c r="H271" s="2">
        <v>0</v>
      </c>
      <c r="I271" s="2">
        <v>0</v>
      </c>
      <c r="J271" s="2">
        <v>321</v>
      </c>
      <c r="K271" s="2">
        <v>0</v>
      </c>
      <c r="L271" s="2">
        <v>321</v>
      </c>
      <c r="M271" s="2"/>
      <c r="N271" s="2">
        <v>273</v>
      </c>
      <c r="O271" s="2">
        <v>3</v>
      </c>
      <c r="P271" s="2">
        <v>270</v>
      </c>
      <c r="R271" s="230">
        <v>0</v>
      </c>
      <c r="S271" s="230">
        <v>0</v>
      </c>
    </row>
    <row r="272" spans="1:19" x14ac:dyDescent="0.25">
      <c r="A272" s="1">
        <v>540200</v>
      </c>
      <c r="B272" s="1" t="s">
        <v>84</v>
      </c>
      <c r="C272" s="1" t="s">
        <v>85</v>
      </c>
      <c r="D272" s="1" t="s">
        <v>5</v>
      </c>
      <c r="E272" s="1">
        <v>2</v>
      </c>
      <c r="F272" s="24" t="s">
        <v>421</v>
      </c>
      <c r="G272" s="1">
        <v>3106</v>
      </c>
      <c r="H272" s="1">
        <v>0</v>
      </c>
      <c r="I272" s="1">
        <v>0</v>
      </c>
      <c r="J272" s="1">
        <v>1139</v>
      </c>
      <c r="K272" s="1">
        <v>0</v>
      </c>
      <c r="L272" s="1">
        <v>1139</v>
      </c>
      <c r="M272" s="1"/>
      <c r="N272" s="1">
        <v>1967</v>
      </c>
      <c r="O272" s="1">
        <v>819</v>
      </c>
      <c r="P272" s="1">
        <v>1148</v>
      </c>
      <c r="R272" s="230">
        <v>0</v>
      </c>
      <c r="S272" s="230">
        <v>1209</v>
      </c>
    </row>
    <row r="273" spans="1:19" x14ac:dyDescent="0.25">
      <c r="A273" s="2">
        <v>540232</v>
      </c>
      <c r="B273" s="2" t="s">
        <v>282</v>
      </c>
      <c r="C273" s="2" t="s">
        <v>85</v>
      </c>
      <c r="D273" s="2" t="s">
        <v>115</v>
      </c>
      <c r="E273" s="2">
        <v>2</v>
      </c>
      <c r="F273" s="200" t="s">
        <v>421</v>
      </c>
      <c r="G273" s="2">
        <v>79</v>
      </c>
      <c r="H273" s="2">
        <v>0</v>
      </c>
      <c r="I273" s="2">
        <v>0</v>
      </c>
      <c r="J273" s="2">
        <v>0</v>
      </c>
      <c r="K273" s="2">
        <v>0</v>
      </c>
      <c r="L273" s="2">
        <v>0</v>
      </c>
      <c r="M273" s="2"/>
      <c r="N273" s="2">
        <v>79</v>
      </c>
      <c r="O273" s="2">
        <v>0</v>
      </c>
      <c r="P273" s="2">
        <v>79</v>
      </c>
      <c r="R273" s="230">
        <v>0</v>
      </c>
      <c r="S273" s="230">
        <v>0</v>
      </c>
    </row>
    <row r="274" spans="1:19" x14ac:dyDescent="0.25">
      <c r="A274" s="2">
        <v>540202</v>
      </c>
      <c r="B274" s="2" t="s">
        <v>262</v>
      </c>
      <c r="C274" s="2" t="s">
        <v>85</v>
      </c>
      <c r="D274" s="2" t="s">
        <v>115</v>
      </c>
      <c r="E274" s="2">
        <v>2</v>
      </c>
      <c r="F274" s="200" t="s">
        <v>421</v>
      </c>
      <c r="G274" s="2">
        <v>127</v>
      </c>
      <c r="H274" s="2">
        <v>0</v>
      </c>
      <c r="I274" s="2">
        <v>0</v>
      </c>
      <c r="J274" s="2">
        <v>100</v>
      </c>
      <c r="K274" s="2">
        <v>0</v>
      </c>
      <c r="L274" s="2">
        <v>100</v>
      </c>
      <c r="M274" s="2"/>
      <c r="N274" s="2">
        <v>27</v>
      </c>
      <c r="O274" s="2">
        <v>0</v>
      </c>
      <c r="P274" s="2">
        <v>27</v>
      </c>
      <c r="R274" s="230">
        <v>0</v>
      </c>
      <c r="S274" s="230">
        <v>0</v>
      </c>
    </row>
    <row r="275" spans="1:19" x14ac:dyDescent="0.25">
      <c r="A275" s="2">
        <v>540018</v>
      </c>
      <c r="B275" s="2" t="s">
        <v>127</v>
      </c>
      <c r="C275" s="2" t="s">
        <v>85</v>
      </c>
      <c r="D275" s="2" t="s">
        <v>115</v>
      </c>
      <c r="E275" s="2">
        <v>2</v>
      </c>
      <c r="F275" s="200" t="s">
        <v>421</v>
      </c>
      <c r="G275" s="2">
        <v>202</v>
      </c>
      <c r="H275" s="2">
        <v>0</v>
      </c>
      <c r="I275" s="2">
        <v>0</v>
      </c>
      <c r="J275" s="2">
        <v>0</v>
      </c>
      <c r="K275" s="2">
        <v>0</v>
      </c>
      <c r="L275" s="2">
        <v>0</v>
      </c>
      <c r="M275" s="2"/>
      <c r="N275" s="2">
        <v>202</v>
      </c>
      <c r="O275" s="2">
        <v>0</v>
      </c>
      <c r="P275" s="2">
        <v>202</v>
      </c>
      <c r="R275" s="230">
        <v>0</v>
      </c>
      <c r="S275" s="230">
        <v>0</v>
      </c>
    </row>
    <row r="276" spans="1:19" x14ac:dyDescent="0.25">
      <c r="A276" s="2">
        <v>540221</v>
      </c>
      <c r="B276" s="2" t="s">
        <v>275</v>
      </c>
      <c r="C276" s="2" t="s">
        <v>85</v>
      </c>
      <c r="D276" s="2" t="s">
        <v>115</v>
      </c>
      <c r="E276" s="2">
        <v>2</v>
      </c>
      <c r="F276" s="200" t="s">
        <v>421</v>
      </c>
      <c r="G276" s="2">
        <v>106</v>
      </c>
      <c r="H276" s="2">
        <v>0</v>
      </c>
      <c r="I276" s="2">
        <v>0</v>
      </c>
      <c r="J276" s="2">
        <v>19</v>
      </c>
      <c r="K276" s="2">
        <v>0</v>
      </c>
      <c r="L276" s="2">
        <v>19</v>
      </c>
      <c r="M276" s="2"/>
      <c r="N276" s="2">
        <v>87</v>
      </c>
      <c r="O276" s="2">
        <v>0</v>
      </c>
      <c r="P276" s="2">
        <v>87</v>
      </c>
      <c r="R276" s="230">
        <v>0</v>
      </c>
      <c r="S276" s="230">
        <v>0</v>
      </c>
    </row>
    <row r="277" spans="1:19" x14ac:dyDescent="0.25">
      <c r="A277" s="2">
        <v>540231</v>
      </c>
      <c r="B277" s="2" t="s">
        <v>281</v>
      </c>
      <c r="C277" s="2" t="s">
        <v>85</v>
      </c>
      <c r="D277" s="2" t="s">
        <v>115</v>
      </c>
      <c r="E277" s="2">
        <v>2</v>
      </c>
      <c r="F277" s="200" t="s">
        <v>421</v>
      </c>
      <c r="G277" s="2">
        <v>227</v>
      </c>
      <c r="H277" s="2">
        <v>0</v>
      </c>
      <c r="I277" s="2">
        <v>0</v>
      </c>
      <c r="J277" s="2">
        <v>17</v>
      </c>
      <c r="K277" s="2">
        <v>0</v>
      </c>
      <c r="L277" s="2">
        <v>17</v>
      </c>
      <c r="M277" s="2"/>
      <c r="N277" s="2">
        <v>210</v>
      </c>
      <c r="O277" s="2">
        <v>0</v>
      </c>
      <c r="P277" s="2">
        <v>210</v>
      </c>
      <c r="R277" s="230">
        <v>0</v>
      </c>
      <c r="S277" s="230">
        <v>0</v>
      </c>
    </row>
    <row r="278" spans="1:19" x14ac:dyDescent="0.25">
      <c r="A278" s="1">
        <v>540203</v>
      </c>
      <c r="B278" s="1" t="s">
        <v>86</v>
      </c>
      <c r="C278" s="1" t="s">
        <v>87</v>
      </c>
      <c r="D278" s="1" t="s">
        <v>5</v>
      </c>
      <c r="E278" s="1">
        <v>4</v>
      </c>
      <c r="F278" s="24" t="s">
        <v>421</v>
      </c>
      <c r="G278" s="1">
        <v>644</v>
      </c>
      <c r="H278" s="1">
        <v>0</v>
      </c>
      <c r="I278" s="1">
        <v>0</v>
      </c>
      <c r="J278" s="1">
        <v>279</v>
      </c>
      <c r="K278" s="1">
        <v>0</v>
      </c>
      <c r="L278" s="1">
        <v>279</v>
      </c>
      <c r="M278" s="1"/>
      <c r="N278" s="1">
        <v>365</v>
      </c>
      <c r="O278" s="1">
        <v>132</v>
      </c>
      <c r="P278" s="1">
        <v>233</v>
      </c>
      <c r="R278" s="230">
        <v>0</v>
      </c>
      <c r="S278" s="230">
        <v>0</v>
      </c>
    </row>
    <row r="279" spans="1:19" x14ac:dyDescent="0.25">
      <c r="A279" s="2">
        <v>540204</v>
      </c>
      <c r="B279" s="2" t="s">
        <v>263</v>
      </c>
      <c r="C279" s="2" t="s">
        <v>87</v>
      </c>
      <c r="D279" s="2" t="s">
        <v>115</v>
      </c>
      <c r="E279" s="2">
        <v>4</v>
      </c>
      <c r="F279" s="200" t="s">
        <v>421</v>
      </c>
      <c r="G279" s="2">
        <v>116</v>
      </c>
      <c r="H279" s="2">
        <v>0</v>
      </c>
      <c r="I279" s="2">
        <v>0</v>
      </c>
      <c r="J279" s="2">
        <v>68</v>
      </c>
      <c r="K279" s="2">
        <v>0</v>
      </c>
      <c r="L279" s="2">
        <v>68</v>
      </c>
      <c r="M279" s="2"/>
      <c r="N279" s="2">
        <v>48</v>
      </c>
      <c r="O279" s="2">
        <v>0</v>
      </c>
      <c r="P279" s="2">
        <v>48</v>
      </c>
      <c r="R279" s="230">
        <v>0</v>
      </c>
      <c r="S279" s="230">
        <v>0</v>
      </c>
    </row>
    <row r="280" spans="1:19" x14ac:dyDescent="0.25">
      <c r="A280" s="2">
        <v>540205</v>
      </c>
      <c r="B280" s="2" t="s">
        <v>264</v>
      </c>
      <c r="C280" s="2" t="s">
        <v>87</v>
      </c>
      <c r="D280" s="2" t="s">
        <v>115</v>
      </c>
      <c r="E280" s="2">
        <v>4</v>
      </c>
      <c r="F280" s="200" t="s">
        <v>421</v>
      </c>
      <c r="G280" s="2">
        <v>20</v>
      </c>
      <c r="H280" s="2">
        <v>0</v>
      </c>
      <c r="I280" s="2">
        <v>0</v>
      </c>
      <c r="J280" s="2">
        <v>19</v>
      </c>
      <c r="K280" s="2">
        <v>0</v>
      </c>
      <c r="L280" s="2">
        <v>19</v>
      </c>
      <c r="M280" s="2"/>
      <c r="N280" s="2">
        <v>1</v>
      </c>
      <c r="O280" s="2">
        <v>1</v>
      </c>
      <c r="P280" s="2">
        <v>0</v>
      </c>
      <c r="R280" s="230">
        <v>0</v>
      </c>
      <c r="S280" s="230">
        <v>0</v>
      </c>
    </row>
    <row r="281" spans="1:19" x14ac:dyDescent="0.25">
      <c r="A281" s="2">
        <v>540206</v>
      </c>
      <c r="B281" s="2" t="s">
        <v>265</v>
      </c>
      <c r="C281" s="2" t="s">
        <v>87</v>
      </c>
      <c r="D281" s="2" t="s">
        <v>115</v>
      </c>
      <c r="E281" s="2">
        <v>4</v>
      </c>
      <c r="F281" s="200" t="s">
        <v>421</v>
      </c>
      <c r="G281" s="2">
        <v>39</v>
      </c>
      <c r="H281" s="2">
        <v>0</v>
      </c>
      <c r="I281" s="2">
        <v>0</v>
      </c>
      <c r="J281" s="2">
        <v>0</v>
      </c>
      <c r="K281" s="2">
        <v>0</v>
      </c>
      <c r="L281" s="2">
        <v>0</v>
      </c>
      <c r="M281" s="2"/>
      <c r="N281" s="2">
        <v>39</v>
      </c>
      <c r="O281" s="2">
        <v>39</v>
      </c>
      <c r="P281" s="2">
        <v>0</v>
      </c>
      <c r="R281" s="230">
        <v>0</v>
      </c>
      <c r="S281" s="230">
        <v>0</v>
      </c>
    </row>
    <row r="282" spans="1:19" x14ac:dyDescent="0.25">
      <c r="A282" s="1">
        <v>540207</v>
      </c>
      <c r="B282" s="1" t="s">
        <v>88</v>
      </c>
      <c r="C282" s="1" t="s">
        <v>89</v>
      </c>
      <c r="D282" s="1" t="s">
        <v>5</v>
      </c>
      <c r="E282" s="1">
        <v>10</v>
      </c>
      <c r="F282" s="24" t="s">
        <v>422</v>
      </c>
      <c r="G282" s="1">
        <v>883</v>
      </c>
      <c r="H282" s="1">
        <v>0</v>
      </c>
      <c r="I282" s="1">
        <v>0</v>
      </c>
      <c r="J282" s="1">
        <v>309</v>
      </c>
      <c r="K282" s="1">
        <v>0</v>
      </c>
      <c r="L282" s="1">
        <v>309</v>
      </c>
      <c r="M282" s="1"/>
      <c r="N282" s="1">
        <v>574</v>
      </c>
      <c r="O282" s="1">
        <v>556</v>
      </c>
      <c r="P282" s="1">
        <v>18</v>
      </c>
      <c r="R282" s="230">
        <v>0</v>
      </c>
      <c r="S282" s="230">
        <v>0</v>
      </c>
    </row>
    <row r="283" spans="1:19" x14ac:dyDescent="0.25">
      <c r="A283" s="2">
        <v>540256</v>
      </c>
      <c r="B283" s="2" t="s">
        <v>301</v>
      </c>
      <c r="C283" s="2" t="s">
        <v>89</v>
      </c>
      <c r="D283" s="2" t="s">
        <v>115</v>
      </c>
      <c r="E283" s="2">
        <v>10</v>
      </c>
      <c r="F283" s="200" t="s">
        <v>422</v>
      </c>
      <c r="G283" s="2">
        <v>96</v>
      </c>
      <c r="H283" s="2">
        <v>0</v>
      </c>
      <c r="I283" s="2">
        <v>0</v>
      </c>
      <c r="J283" s="2">
        <v>11</v>
      </c>
      <c r="K283" s="2">
        <v>0</v>
      </c>
      <c r="L283" s="2">
        <v>11</v>
      </c>
      <c r="M283" s="2"/>
      <c r="N283" s="2">
        <v>85</v>
      </c>
      <c r="O283" s="2">
        <v>85</v>
      </c>
      <c r="P283" s="2">
        <v>0</v>
      </c>
      <c r="R283" s="230">
        <v>0</v>
      </c>
      <c r="S283" s="230">
        <v>0</v>
      </c>
    </row>
    <row r="284" spans="1:19" x14ac:dyDescent="0.25">
      <c r="A284" s="2">
        <v>540208</v>
      </c>
      <c r="B284" s="2" t="s">
        <v>266</v>
      </c>
      <c r="C284" s="2" t="s">
        <v>89</v>
      </c>
      <c r="D284" s="2" t="s">
        <v>115</v>
      </c>
      <c r="E284" s="2">
        <v>10</v>
      </c>
      <c r="F284" s="200" t="s">
        <v>422</v>
      </c>
      <c r="G284" s="2">
        <v>905</v>
      </c>
      <c r="H284" s="2">
        <v>0</v>
      </c>
      <c r="I284" s="2">
        <v>0</v>
      </c>
      <c r="J284" s="2">
        <v>868</v>
      </c>
      <c r="K284" s="2">
        <v>0</v>
      </c>
      <c r="L284" s="2">
        <v>868</v>
      </c>
      <c r="M284" s="2"/>
      <c r="N284" s="2">
        <v>37</v>
      </c>
      <c r="O284" s="2">
        <v>0</v>
      </c>
      <c r="P284" s="2">
        <v>37</v>
      </c>
      <c r="R284" s="230">
        <v>0</v>
      </c>
      <c r="S284" s="230">
        <v>0</v>
      </c>
    </row>
    <row r="285" spans="1:19" x14ac:dyDescent="0.25">
      <c r="A285" s="2">
        <v>540196</v>
      </c>
      <c r="B285" s="2" t="s">
        <v>259</v>
      </c>
      <c r="C285" s="2" t="s">
        <v>89</v>
      </c>
      <c r="D285" s="2" t="s">
        <v>115</v>
      </c>
      <c r="E285" s="2">
        <v>5</v>
      </c>
      <c r="F285" s="200" t="s">
        <v>422</v>
      </c>
      <c r="G285" s="2">
        <v>7</v>
      </c>
      <c r="H285" s="2">
        <v>0</v>
      </c>
      <c r="I285" s="2">
        <v>0</v>
      </c>
      <c r="J285" s="2">
        <v>7</v>
      </c>
      <c r="K285" s="2">
        <v>0</v>
      </c>
      <c r="L285" s="2">
        <v>7</v>
      </c>
      <c r="M285" s="2"/>
      <c r="N285" s="2">
        <v>0</v>
      </c>
      <c r="O285" s="2">
        <v>0</v>
      </c>
      <c r="P285" s="2">
        <v>0</v>
      </c>
      <c r="R285" s="230">
        <v>0</v>
      </c>
      <c r="S285" s="230">
        <v>0</v>
      </c>
    </row>
    <row r="286" spans="1:19" x14ac:dyDescent="0.25">
      <c r="A286" s="2">
        <v>540210</v>
      </c>
      <c r="B286" s="2" t="s">
        <v>267</v>
      </c>
      <c r="C286" s="2" t="s">
        <v>89</v>
      </c>
      <c r="D286" s="2" t="s">
        <v>115</v>
      </c>
      <c r="E286" s="2">
        <v>10</v>
      </c>
      <c r="F286" s="200" t="s">
        <v>422</v>
      </c>
      <c r="G286" s="2">
        <v>90</v>
      </c>
      <c r="H286" s="2">
        <v>0</v>
      </c>
      <c r="I286" s="2">
        <v>0</v>
      </c>
      <c r="J286" s="2">
        <v>48</v>
      </c>
      <c r="K286" s="2">
        <v>0</v>
      </c>
      <c r="L286" s="2">
        <v>48</v>
      </c>
      <c r="M286" s="2"/>
      <c r="N286" s="2">
        <v>42</v>
      </c>
      <c r="O286" s="2">
        <v>42</v>
      </c>
      <c r="P286" s="2">
        <v>0</v>
      </c>
      <c r="R286" s="230">
        <v>0</v>
      </c>
      <c r="S286" s="230">
        <v>0</v>
      </c>
    </row>
    <row r="287" spans="1:19" x14ac:dyDescent="0.25">
      <c r="A287" s="2">
        <v>540258</v>
      </c>
      <c r="B287" s="2" t="s">
        <v>303</v>
      </c>
      <c r="C287" s="2" t="s">
        <v>89</v>
      </c>
      <c r="D287" s="2" t="s">
        <v>115</v>
      </c>
      <c r="E287" s="2">
        <v>10</v>
      </c>
      <c r="F287" s="200" t="s">
        <v>422</v>
      </c>
      <c r="G287" s="2">
        <v>29</v>
      </c>
      <c r="H287" s="2">
        <v>0</v>
      </c>
      <c r="I287" s="2">
        <v>0</v>
      </c>
      <c r="J287" s="2">
        <v>24</v>
      </c>
      <c r="K287" s="2">
        <v>0</v>
      </c>
      <c r="L287" s="2">
        <v>24</v>
      </c>
      <c r="M287" s="2"/>
      <c r="N287" s="2">
        <v>5</v>
      </c>
      <c r="O287" s="2">
        <v>5</v>
      </c>
      <c r="P287" s="2">
        <v>0</v>
      </c>
      <c r="R287" s="230">
        <v>0</v>
      </c>
      <c r="S287" s="230">
        <v>0</v>
      </c>
    </row>
    <row r="288" spans="1:19" x14ac:dyDescent="0.25">
      <c r="A288" s="1">
        <v>540211</v>
      </c>
      <c r="B288" s="1" t="s">
        <v>90</v>
      </c>
      <c r="C288" s="1" t="s">
        <v>91</v>
      </c>
      <c r="D288" s="1" t="s">
        <v>5</v>
      </c>
      <c r="E288" s="1">
        <v>5</v>
      </c>
      <c r="F288" s="24" t="s">
        <v>422</v>
      </c>
      <c r="G288" s="1">
        <v>797</v>
      </c>
      <c r="H288" s="1">
        <v>0</v>
      </c>
      <c r="I288" s="1">
        <v>0</v>
      </c>
      <c r="J288" s="1">
        <v>178</v>
      </c>
      <c r="K288" s="1">
        <v>0</v>
      </c>
      <c r="L288" s="1">
        <v>178</v>
      </c>
      <c r="M288" s="1"/>
      <c r="N288" s="1">
        <v>619</v>
      </c>
      <c r="O288" s="1">
        <v>601</v>
      </c>
      <c r="P288" s="1">
        <v>18</v>
      </c>
      <c r="R288" s="230">
        <v>0</v>
      </c>
      <c r="S288" s="230">
        <v>0</v>
      </c>
    </row>
    <row r="289" spans="1:19" x14ac:dyDescent="0.25">
      <c r="A289" s="2">
        <v>540212</v>
      </c>
      <c r="B289" s="2" t="s">
        <v>268</v>
      </c>
      <c r="C289" s="2" t="s">
        <v>91</v>
      </c>
      <c r="D289" s="2" t="s">
        <v>115</v>
      </c>
      <c r="E289" s="2">
        <v>5</v>
      </c>
      <c r="F289" s="200" t="s">
        <v>422</v>
      </c>
      <c r="G289" s="2">
        <v>87</v>
      </c>
      <c r="H289" s="2">
        <v>0</v>
      </c>
      <c r="I289" s="2">
        <v>0</v>
      </c>
      <c r="J289" s="2">
        <v>4</v>
      </c>
      <c r="K289" s="2">
        <v>0</v>
      </c>
      <c r="L289" s="2">
        <v>4</v>
      </c>
      <c r="M289" s="2"/>
      <c r="N289" s="2">
        <v>83</v>
      </c>
      <c r="O289" s="2">
        <v>0</v>
      </c>
      <c r="P289" s="2">
        <v>83</v>
      </c>
      <c r="R289" s="230">
        <v>0</v>
      </c>
      <c r="S289" s="230">
        <v>0</v>
      </c>
    </row>
    <row r="290" spans="1:19" x14ac:dyDescent="0.25">
      <c r="A290" s="1">
        <v>540213</v>
      </c>
      <c r="B290" s="1" t="s">
        <v>92</v>
      </c>
      <c r="C290" s="1" t="s">
        <v>93</v>
      </c>
      <c r="D290" s="1" t="s">
        <v>5</v>
      </c>
      <c r="E290" s="1">
        <v>5</v>
      </c>
      <c r="F290" s="24" t="s">
        <v>422</v>
      </c>
      <c r="G290" s="1">
        <v>1685</v>
      </c>
      <c r="H290" s="1">
        <v>0</v>
      </c>
      <c r="I290" s="1">
        <v>0</v>
      </c>
      <c r="J290" s="1">
        <v>594</v>
      </c>
      <c r="K290" s="1">
        <v>0</v>
      </c>
      <c r="L290" s="1">
        <v>594</v>
      </c>
      <c r="M290" s="1"/>
      <c r="N290" s="1">
        <v>1091</v>
      </c>
      <c r="O290" s="1">
        <v>657</v>
      </c>
      <c r="P290" s="1">
        <v>434</v>
      </c>
      <c r="R290" s="230">
        <v>0</v>
      </c>
      <c r="S290" s="230">
        <v>0</v>
      </c>
    </row>
    <row r="291" spans="1:19" x14ac:dyDescent="0.25">
      <c r="A291" s="2">
        <v>540042</v>
      </c>
      <c r="B291" s="2" t="s">
        <v>143</v>
      </c>
      <c r="C291" s="2" t="s">
        <v>93</v>
      </c>
      <c r="D291" s="2" t="s">
        <v>115</v>
      </c>
      <c r="E291" s="2">
        <v>5</v>
      </c>
      <c r="F291" s="200" t="s">
        <v>422</v>
      </c>
      <c r="G291" s="2">
        <v>0</v>
      </c>
      <c r="H291" s="2">
        <v>0</v>
      </c>
      <c r="I291" s="2">
        <v>0</v>
      </c>
      <c r="J291" s="2">
        <v>0</v>
      </c>
      <c r="K291" s="2">
        <v>0</v>
      </c>
      <c r="L291" s="2">
        <v>0</v>
      </c>
      <c r="M291" s="2"/>
      <c r="N291" s="2">
        <v>0</v>
      </c>
      <c r="O291" s="2">
        <v>0</v>
      </c>
      <c r="P291" s="2">
        <v>0</v>
      </c>
      <c r="R291" s="230">
        <v>0</v>
      </c>
      <c r="S291" s="230">
        <v>0</v>
      </c>
    </row>
    <row r="292" spans="1:19" x14ac:dyDescent="0.25">
      <c r="A292" s="2">
        <v>540214</v>
      </c>
      <c r="B292" s="2" t="s">
        <v>269</v>
      </c>
      <c r="C292" s="2" t="s">
        <v>93</v>
      </c>
      <c r="D292" s="2" t="s">
        <v>115</v>
      </c>
      <c r="E292" s="2">
        <v>5</v>
      </c>
      <c r="F292" s="200" t="s">
        <v>422</v>
      </c>
      <c r="G292" s="2">
        <v>226</v>
      </c>
      <c r="H292" s="2">
        <v>0</v>
      </c>
      <c r="I292" s="2">
        <v>0</v>
      </c>
      <c r="J292" s="2">
        <v>121</v>
      </c>
      <c r="K292" s="2">
        <v>0</v>
      </c>
      <c r="L292" s="2">
        <v>121</v>
      </c>
      <c r="M292" s="2"/>
      <c r="N292" s="2">
        <v>105</v>
      </c>
      <c r="O292" s="2">
        <v>8</v>
      </c>
      <c r="P292" s="2">
        <v>97</v>
      </c>
      <c r="R292" s="230">
        <v>0</v>
      </c>
      <c r="S292" s="230">
        <v>0</v>
      </c>
    </row>
    <row r="293" spans="1:19" x14ac:dyDescent="0.25">
      <c r="A293" s="2">
        <v>540215</v>
      </c>
      <c r="B293" s="2" t="s">
        <v>270</v>
      </c>
      <c r="C293" s="2" t="s">
        <v>93</v>
      </c>
      <c r="D293" s="2" t="s">
        <v>115</v>
      </c>
      <c r="E293" s="2">
        <v>5</v>
      </c>
      <c r="F293" s="200" t="s">
        <v>422</v>
      </c>
      <c r="G293" s="2">
        <v>324</v>
      </c>
      <c r="H293" s="2">
        <v>0</v>
      </c>
      <c r="I293" s="2">
        <v>0</v>
      </c>
      <c r="J293" s="2">
        <v>277</v>
      </c>
      <c r="K293" s="2">
        <v>0</v>
      </c>
      <c r="L293" s="2">
        <v>277</v>
      </c>
      <c r="M293" s="2"/>
      <c r="N293" s="2">
        <v>47</v>
      </c>
      <c r="O293" s="2">
        <v>1</v>
      </c>
      <c r="P293" s="2">
        <v>46</v>
      </c>
      <c r="R293" s="230">
        <v>0</v>
      </c>
      <c r="S293" s="230">
        <v>0</v>
      </c>
    </row>
    <row r="294" spans="1:19" x14ac:dyDescent="0.25">
      <c r="A294" s="2">
        <v>540216</v>
      </c>
      <c r="B294" s="2" t="s">
        <v>271</v>
      </c>
      <c r="C294" s="2" t="s">
        <v>93</v>
      </c>
      <c r="D294" s="2" t="s">
        <v>115</v>
      </c>
      <c r="E294" s="2">
        <v>5</v>
      </c>
      <c r="F294" s="200" t="s">
        <v>422</v>
      </c>
      <c r="G294" s="2">
        <v>96</v>
      </c>
      <c r="H294" s="2">
        <v>0</v>
      </c>
      <c r="I294" s="2">
        <v>0</v>
      </c>
      <c r="J294" s="2">
        <v>2</v>
      </c>
      <c r="K294" s="2">
        <v>0</v>
      </c>
      <c r="L294" s="2">
        <v>2</v>
      </c>
      <c r="M294" s="2"/>
      <c r="N294" s="2">
        <v>94</v>
      </c>
      <c r="O294" s="2">
        <v>0</v>
      </c>
      <c r="P294" s="2">
        <v>94</v>
      </c>
      <c r="R294" s="230">
        <v>0</v>
      </c>
      <c r="S294" s="230">
        <v>0</v>
      </c>
    </row>
    <row r="295" spans="1:19" x14ac:dyDescent="0.25">
      <c r="A295" s="3">
        <v>540217</v>
      </c>
      <c r="B295" s="3" t="s">
        <v>94</v>
      </c>
      <c r="C295" s="3" t="s">
        <v>95</v>
      </c>
      <c r="D295" s="3" t="s">
        <v>5</v>
      </c>
      <c r="E295" s="3">
        <v>1</v>
      </c>
      <c r="F295" s="24" t="s">
        <v>421</v>
      </c>
      <c r="G295" s="3">
        <v>2421</v>
      </c>
      <c r="H295" s="3">
        <v>0</v>
      </c>
      <c r="I295" s="3">
        <v>0</v>
      </c>
      <c r="J295" s="3">
        <v>1847</v>
      </c>
      <c r="K295" s="3">
        <v>0</v>
      </c>
      <c r="L295" s="3">
        <v>1847</v>
      </c>
      <c r="M295" s="3"/>
      <c r="N295" s="3">
        <v>574</v>
      </c>
      <c r="O295" s="3">
        <v>361</v>
      </c>
      <c r="P295" s="3">
        <v>213</v>
      </c>
      <c r="R295" s="230">
        <v>0</v>
      </c>
      <c r="S295" s="230">
        <v>638</v>
      </c>
    </row>
    <row r="296" spans="1:19" x14ac:dyDescent="0.25">
      <c r="A296" s="2">
        <v>540218</v>
      </c>
      <c r="B296" s="2" t="s">
        <v>272</v>
      </c>
      <c r="C296" s="2" t="s">
        <v>95</v>
      </c>
      <c r="D296" s="2" t="s">
        <v>115</v>
      </c>
      <c r="E296" s="2">
        <v>1</v>
      </c>
      <c r="F296" s="200" t="s">
        <v>421</v>
      </c>
      <c r="G296" s="2">
        <v>97</v>
      </c>
      <c r="H296" s="2">
        <v>0</v>
      </c>
      <c r="I296" s="2">
        <v>0</v>
      </c>
      <c r="J296" s="2">
        <v>94</v>
      </c>
      <c r="K296" s="2">
        <v>0</v>
      </c>
      <c r="L296" s="2">
        <v>94</v>
      </c>
      <c r="M296" s="2"/>
      <c r="N296" s="2">
        <v>3</v>
      </c>
      <c r="O296" s="2">
        <v>0</v>
      </c>
      <c r="P296" s="2">
        <v>3</v>
      </c>
      <c r="R296" s="230">
        <v>0</v>
      </c>
      <c r="S296" s="230">
        <v>0</v>
      </c>
    </row>
    <row r="297" spans="1:19" x14ac:dyDescent="0.25">
      <c r="A297" s="2">
        <v>540219</v>
      </c>
      <c r="B297" s="2" t="s">
        <v>273</v>
      </c>
      <c r="C297" s="2" t="s">
        <v>95</v>
      </c>
      <c r="D297" s="2" t="s">
        <v>115</v>
      </c>
      <c r="E297" s="2">
        <v>1</v>
      </c>
      <c r="F297" s="200" t="s">
        <v>421</v>
      </c>
      <c r="G297" s="2">
        <v>275</v>
      </c>
      <c r="H297" s="2">
        <v>0</v>
      </c>
      <c r="I297" s="2">
        <v>0</v>
      </c>
      <c r="J297" s="2">
        <v>249</v>
      </c>
      <c r="K297" s="2">
        <v>0</v>
      </c>
      <c r="L297" s="2">
        <v>249</v>
      </c>
      <c r="M297" s="2"/>
      <c r="N297" s="2">
        <v>26</v>
      </c>
      <c r="O297" s="2">
        <v>14</v>
      </c>
      <c r="P297" s="2">
        <v>12</v>
      </c>
      <c r="R297" s="230">
        <v>0</v>
      </c>
      <c r="S297" s="230">
        <v>8</v>
      </c>
    </row>
    <row r="298" spans="1:19" x14ac:dyDescent="0.25">
      <c r="A298" s="2">
        <v>540220</v>
      </c>
      <c r="B298" s="2" t="s">
        <v>274</v>
      </c>
      <c r="C298" s="2" t="s">
        <v>95</v>
      </c>
      <c r="D298" s="2" t="s">
        <v>115</v>
      </c>
      <c r="E298" s="2">
        <v>1</v>
      </c>
      <c r="F298" s="200" t="s">
        <v>421</v>
      </c>
      <c r="G298" s="2">
        <v>125</v>
      </c>
      <c r="H298" s="2">
        <v>0</v>
      </c>
      <c r="I298" s="2">
        <v>0</v>
      </c>
      <c r="J298" s="2">
        <v>110</v>
      </c>
      <c r="K298" s="2">
        <v>0</v>
      </c>
      <c r="L298" s="2">
        <v>110</v>
      </c>
      <c r="M298" s="2"/>
      <c r="N298" s="2">
        <v>15</v>
      </c>
      <c r="O298" s="2">
        <v>4</v>
      </c>
      <c r="P298" s="2">
        <v>11</v>
      </c>
      <c r="R298" s="230">
        <v>0</v>
      </c>
      <c r="S298" s="230">
        <v>45</v>
      </c>
    </row>
    <row r="300" spans="1:19" x14ac:dyDescent="0.25">
      <c r="D300" t="s">
        <v>348</v>
      </c>
      <c r="G300">
        <f>SUM(G4:G298)</f>
        <v>99470</v>
      </c>
      <c r="I300">
        <f t="shared" ref="I300:L300" si="0">SUM(I4:I298)</f>
        <v>0</v>
      </c>
      <c r="J300">
        <f t="shared" si="0"/>
        <v>46054</v>
      </c>
      <c r="K300">
        <f t="shared" si="0"/>
        <v>1516</v>
      </c>
      <c r="L300">
        <f t="shared" si="0"/>
        <v>48161</v>
      </c>
      <c r="N300">
        <f t="shared" ref="N300:S300" si="1">SUM(N4:N298)</f>
        <v>51309</v>
      </c>
      <c r="O300">
        <f t="shared" si="1"/>
        <v>24878</v>
      </c>
      <c r="P300">
        <f t="shared" si="1"/>
        <v>26431</v>
      </c>
      <c r="R300">
        <f t="shared" si="1"/>
        <v>253</v>
      </c>
      <c r="S300">
        <f t="shared" si="1"/>
        <v>12303</v>
      </c>
    </row>
    <row r="301" spans="1:19" x14ac:dyDescent="0.25">
      <c r="D301" t="s">
        <v>423</v>
      </c>
      <c r="E301" s="56">
        <f>N300/G300</f>
        <v>0.51582386649240974</v>
      </c>
      <c r="F301" s="26"/>
    </row>
  </sheetData>
  <mergeCells count="1">
    <mergeCell ref="A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51"/>
  <sheetViews>
    <sheetView topLeftCell="U1" zoomScale="80" zoomScaleNormal="80" workbookViewId="0">
      <pane ySplit="1" topLeftCell="A2180" activePane="bottomLeft" state="frozen"/>
      <selection pane="bottomLeft" activeCell="W2184" sqref="W2184:W2190"/>
    </sheetView>
  </sheetViews>
  <sheetFormatPr defaultRowHeight="15" x14ac:dyDescent="0.25"/>
  <cols>
    <col min="1" max="1" width="25.42578125" bestFit="1" customWidth="1"/>
    <col min="2" max="2" width="14.85546875" style="114" customWidth="1"/>
    <col min="3" max="3" width="28.5703125" bestFit="1" customWidth="1"/>
    <col min="4" max="4" width="19.42578125" bestFit="1" customWidth="1"/>
    <col min="5" max="5" width="24.42578125" bestFit="1" customWidth="1"/>
    <col min="6" max="6" width="14.140625" bestFit="1" customWidth="1"/>
    <col min="7" max="7" width="12.42578125" style="114" bestFit="1" customWidth="1"/>
    <col min="8" max="8" width="9.85546875" style="114" bestFit="1" customWidth="1"/>
    <col min="9" max="9" width="19" style="114" bestFit="1" customWidth="1"/>
    <col min="10" max="11" width="10.140625" style="114" bestFit="1" customWidth="1"/>
    <col min="12" max="12" width="16.85546875" style="114" bestFit="1" customWidth="1"/>
    <col min="13" max="13" width="16.5703125" style="114" bestFit="1" customWidth="1"/>
    <col min="14" max="14" width="9" style="114"/>
    <col min="15" max="15" width="18.28515625" style="114" bestFit="1" customWidth="1"/>
    <col min="16" max="17" width="13.28515625" bestFit="1" customWidth="1"/>
    <col min="18" max="18" width="14.140625" bestFit="1" customWidth="1"/>
    <col min="19" max="19" width="17.7109375" bestFit="1" customWidth="1"/>
    <col min="20" max="20" width="40.85546875" bestFit="1" customWidth="1"/>
    <col min="21" max="21" width="46.28515625" bestFit="1" customWidth="1"/>
    <col min="22" max="22" width="55.28515625" bestFit="1" customWidth="1"/>
    <col min="23" max="23" width="14.42578125" bestFit="1" customWidth="1"/>
    <col min="24" max="24" width="10" bestFit="1" customWidth="1"/>
    <col min="25" max="25" width="129.5703125" bestFit="1" customWidth="1"/>
  </cols>
  <sheetData>
    <row r="1" spans="1:25" s="119" customFormat="1" x14ac:dyDescent="0.25">
      <c r="A1" s="251" t="s">
        <v>625</v>
      </c>
      <c r="B1" s="251" t="s">
        <v>511</v>
      </c>
      <c r="C1" s="251" t="s">
        <v>0</v>
      </c>
      <c r="D1" s="251" t="s">
        <v>1</v>
      </c>
      <c r="E1" s="251" t="s">
        <v>2</v>
      </c>
      <c r="F1" s="251" t="s">
        <v>512</v>
      </c>
      <c r="G1" s="251" t="s">
        <v>403</v>
      </c>
      <c r="H1" s="251" t="s">
        <v>404</v>
      </c>
      <c r="I1" s="251" t="s">
        <v>405</v>
      </c>
      <c r="J1" s="251" t="s">
        <v>406</v>
      </c>
      <c r="K1" s="251" t="s">
        <v>407</v>
      </c>
      <c r="L1" s="251" t="s">
        <v>408</v>
      </c>
      <c r="M1" s="251" t="s">
        <v>409</v>
      </c>
      <c r="N1" s="251" t="s">
        <v>410</v>
      </c>
      <c r="O1" s="251" t="s">
        <v>387</v>
      </c>
      <c r="P1" s="251" t="s">
        <v>388</v>
      </c>
      <c r="Q1" s="251" t="s">
        <v>391</v>
      </c>
      <c r="R1" s="251" t="s">
        <v>390</v>
      </c>
      <c r="S1" s="251" t="s">
        <v>392</v>
      </c>
      <c r="T1" s="251" t="s">
        <v>393</v>
      </c>
      <c r="U1" s="251" t="s">
        <v>395</v>
      </c>
      <c r="V1" s="251" t="s">
        <v>396</v>
      </c>
      <c r="W1" s="119" t="s">
        <v>5652</v>
      </c>
    </row>
    <row r="2" spans="1:25" x14ac:dyDescent="0.25">
      <c r="A2" s="2" t="s">
        <v>628</v>
      </c>
      <c r="B2" s="2" t="s">
        <v>626</v>
      </c>
      <c r="C2" s="2">
        <v>540001</v>
      </c>
      <c r="D2" s="2" t="s">
        <v>627</v>
      </c>
      <c r="E2" s="2" t="s">
        <v>4</v>
      </c>
      <c r="F2" s="2" t="s">
        <v>5</v>
      </c>
      <c r="G2" s="2">
        <v>7</v>
      </c>
      <c r="H2" s="2">
        <v>0</v>
      </c>
      <c r="I2" s="2">
        <v>0</v>
      </c>
      <c r="J2" s="2">
        <v>0</v>
      </c>
      <c r="K2" s="2">
        <v>0</v>
      </c>
      <c r="L2" s="2">
        <v>0</v>
      </c>
      <c r="M2" s="2">
        <v>0</v>
      </c>
      <c r="N2" s="2">
        <v>0</v>
      </c>
      <c r="O2" s="2">
        <v>0</v>
      </c>
      <c r="P2" s="2">
        <v>0</v>
      </c>
      <c r="Q2" s="2">
        <v>0</v>
      </c>
      <c r="R2" s="2">
        <v>0</v>
      </c>
      <c r="S2" s="2" t="s">
        <v>488</v>
      </c>
      <c r="T2" s="2" t="s">
        <v>488</v>
      </c>
      <c r="U2" s="2">
        <v>0</v>
      </c>
      <c r="V2" s="2">
        <v>0</v>
      </c>
      <c r="W2">
        <f>SUM(N2,P2,R2,T2,U2,V2)</f>
        <v>0</v>
      </c>
      <c r="X2" s="206" t="s">
        <v>1325</v>
      </c>
      <c r="Y2" s="61" t="s">
        <v>1382</v>
      </c>
    </row>
    <row r="3" spans="1:25" x14ac:dyDescent="0.25">
      <c r="A3" s="2" t="s">
        <v>628</v>
      </c>
      <c r="B3" s="2" t="s">
        <v>626</v>
      </c>
      <c r="C3" s="2">
        <v>540002</v>
      </c>
      <c r="D3" s="2" t="s">
        <v>629</v>
      </c>
      <c r="E3" s="2" t="s">
        <v>4</v>
      </c>
      <c r="F3" s="2" t="s">
        <v>115</v>
      </c>
      <c r="G3" s="2">
        <v>7</v>
      </c>
      <c r="H3" s="2">
        <v>0</v>
      </c>
      <c r="I3" s="2">
        <v>0</v>
      </c>
      <c r="J3" s="2">
        <v>0</v>
      </c>
      <c r="K3" s="2">
        <v>0</v>
      </c>
      <c r="L3" s="2">
        <v>0</v>
      </c>
      <c r="M3" s="2">
        <v>0</v>
      </c>
      <c r="N3" s="2">
        <v>0</v>
      </c>
      <c r="O3" s="2">
        <v>0</v>
      </c>
      <c r="P3" s="2">
        <v>0</v>
      </c>
      <c r="Q3" s="2">
        <v>0</v>
      </c>
      <c r="R3" s="2">
        <v>0</v>
      </c>
      <c r="S3" s="2" t="s">
        <v>488</v>
      </c>
      <c r="T3" s="2" t="s">
        <v>488</v>
      </c>
      <c r="U3" s="2">
        <v>0</v>
      </c>
      <c r="V3" s="2">
        <v>0</v>
      </c>
      <c r="W3">
        <f t="shared" ref="W3:W66" si="0">SUM(N3,P3,R3,T3,U3,V3)</f>
        <v>0</v>
      </c>
      <c r="X3" s="206" t="s">
        <v>1326</v>
      </c>
      <c r="Y3" s="391" t="s">
        <v>1381</v>
      </c>
    </row>
    <row r="4" spans="1:25" x14ac:dyDescent="0.25">
      <c r="A4" s="2" t="s">
        <v>628</v>
      </c>
      <c r="B4" s="2" t="s">
        <v>626</v>
      </c>
      <c r="C4" s="2">
        <v>540003</v>
      </c>
      <c r="D4" s="2" t="s">
        <v>630</v>
      </c>
      <c r="E4" s="2" t="s">
        <v>4</v>
      </c>
      <c r="F4" s="2" t="s">
        <v>115</v>
      </c>
      <c r="G4" s="2">
        <v>7</v>
      </c>
      <c r="H4" s="2">
        <v>0</v>
      </c>
      <c r="I4" s="2">
        <v>0</v>
      </c>
      <c r="J4" s="2">
        <v>0</v>
      </c>
      <c r="K4" s="2">
        <v>0</v>
      </c>
      <c r="L4" s="2">
        <v>0</v>
      </c>
      <c r="M4" s="2">
        <v>0</v>
      </c>
      <c r="N4" s="2">
        <v>0</v>
      </c>
      <c r="O4" s="2">
        <v>0</v>
      </c>
      <c r="P4" s="2">
        <v>0</v>
      </c>
      <c r="Q4" s="2">
        <v>0</v>
      </c>
      <c r="R4" s="2">
        <v>0</v>
      </c>
      <c r="S4" s="2" t="s">
        <v>488</v>
      </c>
      <c r="T4" s="2" t="s">
        <v>488</v>
      </c>
      <c r="U4" s="2">
        <v>0</v>
      </c>
      <c r="V4" s="2">
        <v>0</v>
      </c>
      <c r="W4">
        <f t="shared" si="0"/>
        <v>0</v>
      </c>
    </row>
    <row r="5" spans="1:25" x14ac:dyDescent="0.25">
      <c r="A5" s="2" t="s">
        <v>628</v>
      </c>
      <c r="B5" s="2" t="s">
        <v>626</v>
      </c>
      <c r="C5" s="2">
        <v>540004</v>
      </c>
      <c r="D5" s="2" t="s">
        <v>631</v>
      </c>
      <c r="E5" s="2" t="s">
        <v>4</v>
      </c>
      <c r="F5" s="2" t="s">
        <v>115</v>
      </c>
      <c r="G5" s="2">
        <v>7</v>
      </c>
      <c r="H5" s="2">
        <v>0</v>
      </c>
      <c r="I5" s="2">
        <v>0</v>
      </c>
      <c r="J5" s="2">
        <v>0</v>
      </c>
      <c r="K5" s="2">
        <v>0</v>
      </c>
      <c r="L5" s="2">
        <v>0</v>
      </c>
      <c r="M5" s="2">
        <v>0</v>
      </c>
      <c r="N5" s="2">
        <v>0</v>
      </c>
      <c r="O5" s="2">
        <v>0</v>
      </c>
      <c r="P5" s="2">
        <v>0</v>
      </c>
      <c r="Q5" s="2">
        <v>0</v>
      </c>
      <c r="R5" s="2">
        <v>0</v>
      </c>
      <c r="S5" s="2" t="s">
        <v>488</v>
      </c>
      <c r="T5" s="2" t="s">
        <v>488</v>
      </c>
      <c r="U5" s="2">
        <v>0</v>
      </c>
      <c r="V5" s="2">
        <v>0</v>
      </c>
      <c r="W5">
        <f t="shared" si="0"/>
        <v>0</v>
      </c>
    </row>
    <row r="6" spans="1:25" x14ac:dyDescent="0.25">
      <c r="A6" s="255" t="s">
        <v>628</v>
      </c>
      <c r="B6" s="255" t="s">
        <v>626</v>
      </c>
      <c r="C6" s="255"/>
      <c r="D6" s="255"/>
      <c r="E6" s="255" t="s">
        <v>4</v>
      </c>
      <c r="F6" s="255"/>
      <c r="G6" s="255"/>
      <c r="H6" s="255">
        <v>0</v>
      </c>
      <c r="I6" s="255">
        <v>0</v>
      </c>
      <c r="J6" s="255">
        <v>0</v>
      </c>
      <c r="K6" s="255">
        <v>0</v>
      </c>
      <c r="L6" s="255">
        <v>0</v>
      </c>
      <c r="M6" s="255">
        <v>0</v>
      </c>
      <c r="N6" s="255">
        <v>0</v>
      </c>
      <c r="O6" s="255">
        <v>0</v>
      </c>
      <c r="P6" s="255">
        <v>0</v>
      </c>
      <c r="Q6" s="255">
        <v>0</v>
      </c>
      <c r="R6" s="255">
        <v>0</v>
      </c>
      <c r="S6" s="255" t="s">
        <v>488</v>
      </c>
      <c r="T6" s="255" t="s">
        <v>488</v>
      </c>
      <c r="U6" s="255">
        <v>0</v>
      </c>
      <c r="V6" s="255">
        <v>0</v>
      </c>
      <c r="W6">
        <f t="shared" si="0"/>
        <v>0</v>
      </c>
    </row>
    <row r="7" spans="1:25" x14ac:dyDescent="0.25">
      <c r="A7" s="2" t="s">
        <v>628</v>
      </c>
      <c r="B7" s="2" t="s">
        <v>626</v>
      </c>
      <c r="C7" s="2">
        <v>540007</v>
      </c>
      <c r="D7" s="2" t="s">
        <v>632</v>
      </c>
      <c r="E7" s="2" t="s">
        <v>7</v>
      </c>
      <c r="F7" s="2" t="s">
        <v>5</v>
      </c>
      <c r="G7" s="2">
        <v>3</v>
      </c>
      <c r="H7" s="2">
        <v>0</v>
      </c>
      <c r="I7" s="2">
        <v>0</v>
      </c>
      <c r="J7" s="2">
        <v>0</v>
      </c>
      <c r="K7" s="2">
        <v>0</v>
      </c>
      <c r="L7" s="2">
        <v>0</v>
      </c>
      <c r="M7" s="2">
        <v>0</v>
      </c>
      <c r="N7" s="2">
        <v>0</v>
      </c>
      <c r="O7" s="2">
        <v>0</v>
      </c>
      <c r="P7" s="2">
        <v>0</v>
      </c>
      <c r="Q7" s="2">
        <v>0</v>
      </c>
      <c r="R7" s="2">
        <v>0</v>
      </c>
      <c r="S7" s="2" t="s">
        <v>488</v>
      </c>
      <c r="T7" s="2" t="s">
        <v>488</v>
      </c>
      <c r="U7" s="2">
        <v>0</v>
      </c>
      <c r="V7" s="2">
        <v>0</v>
      </c>
      <c r="W7">
        <f t="shared" si="0"/>
        <v>0</v>
      </c>
    </row>
    <row r="8" spans="1:25" x14ac:dyDescent="0.25">
      <c r="A8" s="2" t="s">
        <v>628</v>
      </c>
      <c r="B8" s="2" t="s">
        <v>626</v>
      </c>
      <c r="C8" s="2">
        <v>540008</v>
      </c>
      <c r="D8" s="2" t="s">
        <v>633</v>
      </c>
      <c r="E8" s="2" t="s">
        <v>7</v>
      </c>
      <c r="F8" s="2" t="s">
        <v>115</v>
      </c>
      <c r="G8" s="2">
        <v>3</v>
      </c>
      <c r="H8" s="2">
        <v>0</v>
      </c>
      <c r="I8" s="2">
        <v>0</v>
      </c>
      <c r="J8" s="2">
        <v>0</v>
      </c>
      <c r="K8" s="2">
        <v>0</v>
      </c>
      <c r="L8" s="2">
        <v>0</v>
      </c>
      <c r="M8" s="2">
        <v>0</v>
      </c>
      <c r="N8" s="2">
        <v>0</v>
      </c>
      <c r="O8" s="2">
        <v>0</v>
      </c>
      <c r="P8" s="2">
        <v>0</v>
      </c>
      <c r="Q8" s="2">
        <v>0</v>
      </c>
      <c r="R8" s="2">
        <v>0</v>
      </c>
      <c r="S8" s="2" t="s">
        <v>488</v>
      </c>
      <c r="T8" s="2" t="s">
        <v>488</v>
      </c>
      <c r="U8" s="2">
        <v>0</v>
      </c>
      <c r="V8" s="2">
        <v>0</v>
      </c>
      <c r="W8">
        <f t="shared" si="0"/>
        <v>0</v>
      </c>
    </row>
    <row r="9" spans="1:25" x14ac:dyDescent="0.25">
      <c r="A9" s="2" t="s">
        <v>628</v>
      </c>
      <c r="B9" s="2" t="s">
        <v>626</v>
      </c>
      <c r="C9" s="2">
        <v>540229</v>
      </c>
      <c r="D9" s="2" t="s">
        <v>634</v>
      </c>
      <c r="E9" s="2" t="s">
        <v>7</v>
      </c>
      <c r="F9" s="2" t="s">
        <v>115</v>
      </c>
      <c r="G9" s="2">
        <v>3</v>
      </c>
      <c r="H9" s="2">
        <v>0</v>
      </c>
      <c r="I9" s="2">
        <v>0</v>
      </c>
      <c r="J9" s="2">
        <v>0</v>
      </c>
      <c r="K9" s="2">
        <v>0</v>
      </c>
      <c r="L9" s="2">
        <v>0</v>
      </c>
      <c r="M9" s="2">
        <v>0</v>
      </c>
      <c r="N9" s="2">
        <v>0</v>
      </c>
      <c r="O9" s="2">
        <v>0</v>
      </c>
      <c r="P9" s="2">
        <v>0</v>
      </c>
      <c r="Q9" s="2">
        <v>0</v>
      </c>
      <c r="R9" s="2">
        <v>0</v>
      </c>
      <c r="S9" s="2" t="s">
        <v>488</v>
      </c>
      <c r="T9" s="2" t="s">
        <v>488</v>
      </c>
      <c r="U9" s="2">
        <v>0</v>
      </c>
      <c r="V9" s="2">
        <v>0</v>
      </c>
      <c r="W9">
        <f t="shared" si="0"/>
        <v>0</v>
      </c>
    </row>
    <row r="10" spans="1:25" x14ac:dyDescent="0.25">
      <c r="A10" s="2" t="s">
        <v>628</v>
      </c>
      <c r="B10" s="2" t="s">
        <v>626</v>
      </c>
      <c r="C10" s="2">
        <v>540230</v>
      </c>
      <c r="D10" s="2" t="s">
        <v>635</v>
      </c>
      <c r="E10" s="2" t="s">
        <v>7</v>
      </c>
      <c r="F10" s="2" t="s">
        <v>115</v>
      </c>
      <c r="G10" s="2">
        <v>3</v>
      </c>
      <c r="H10" s="2">
        <v>0</v>
      </c>
      <c r="I10" s="2">
        <v>0</v>
      </c>
      <c r="J10" s="2">
        <v>0</v>
      </c>
      <c r="K10" s="2">
        <v>0</v>
      </c>
      <c r="L10" s="2">
        <v>0</v>
      </c>
      <c r="M10" s="2">
        <v>0</v>
      </c>
      <c r="N10" s="2">
        <v>0</v>
      </c>
      <c r="O10" s="2">
        <v>0</v>
      </c>
      <c r="P10" s="2">
        <v>0</v>
      </c>
      <c r="Q10" s="2">
        <v>0</v>
      </c>
      <c r="R10" s="2">
        <v>0</v>
      </c>
      <c r="S10" s="2" t="s">
        <v>488</v>
      </c>
      <c r="T10" s="2" t="s">
        <v>488</v>
      </c>
      <c r="U10" s="2">
        <v>0</v>
      </c>
      <c r="V10" s="2">
        <v>0</v>
      </c>
      <c r="W10">
        <f t="shared" si="0"/>
        <v>0</v>
      </c>
    </row>
    <row r="11" spans="1:25" x14ac:dyDescent="0.25">
      <c r="A11" s="2" t="s">
        <v>628</v>
      </c>
      <c r="B11" s="2" t="s">
        <v>626</v>
      </c>
      <c r="C11" s="2">
        <v>540238</v>
      </c>
      <c r="D11" s="2" t="s">
        <v>636</v>
      </c>
      <c r="E11" s="2" t="s">
        <v>7</v>
      </c>
      <c r="F11" s="2" t="s">
        <v>115</v>
      </c>
      <c r="G11" s="2">
        <v>3</v>
      </c>
      <c r="H11" s="2">
        <v>0</v>
      </c>
      <c r="I11" s="2">
        <v>0</v>
      </c>
      <c r="J11" s="2">
        <v>0</v>
      </c>
      <c r="K11" s="2">
        <v>0</v>
      </c>
      <c r="L11" s="2">
        <v>0</v>
      </c>
      <c r="M11" s="2">
        <v>0</v>
      </c>
      <c r="N11" s="2">
        <v>0</v>
      </c>
      <c r="O11" s="2">
        <v>0</v>
      </c>
      <c r="P11" s="2">
        <v>0</v>
      </c>
      <c r="Q11" s="2">
        <v>0</v>
      </c>
      <c r="R11" s="2">
        <v>0</v>
      </c>
      <c r="S11" s="2" t="s">
        <v>488</v>
      </c>
      <c r="T11" s="2" t="s">
        <v>488</v>
      </c>
      <c r="U11" s="2">
        <v>0</v>
      </c>
      <c r="V11" s="2">
        <v>0</v>
      </c>
      <c r="W11">
        <f t="shared" si="0"/>
        <v>0</v>
      </c>
    </row>
    <row r="12" spans="1:25" x14ac:dyDescent="0.25">
      <c r="A12" s="255" t="s">
        <v>628</v>
      </c>
      <c r="B12" s="255" t="s">
        <v>626</v>
      </c>
      <c r="C12" s="255"/>
      <c r="D12" s="255"/>
      <c r="E12" s="255" t="s">
        <v>7</v>
      </c>
      <c r="F12" s="255"/>
      <c r="G12" s="255"/>
      <c r="H12" s="255">
        <v>0</v>
      </c>
      <c r="I12" s="255">
        <v>0</v>
      </c>
      <c r="J12" s="255">
        <v>0</v>
      </c>
      <c r="K12" s="255">
        <v>0</v>
      </c>
      <c r="L12" s="255">
        <v>0</v>
      </c>
      <c r="M12" s="255">
        <v>0</v>
      </c>
      <c r="N12" s="255">
        <v>0</v>
      </c>
      <c r="O12" s="255">
        <v>0</v>
      </c>
      <c r="P12" s="255">
        <v>0</v>
      </c>
      <c r="Q12" s="255">
        <v>0</v>
      </c>
      <c r="R12" s="255">
        <v>0</v>
      </c>
      <c r="S12" s="255" t="s">
        <v>488</v>
      </c>
      <c r="T12" s="255" t="s">
        <v>488</v>
      </c>
      <c r="U12" s="255">
        <v>0</v>
      </c>
      <c r="V12" s="255">
        <v>0</v>
      </c>
      <c r="W12">
        <f t="shared" si="0"/>
        <v>0</v>
      </c>
    </row>
    <row r="13" spans="1:25" x14ac:dyDescent="0.25">
      <c r="A13" s="2" t="s">
        <v>628</v>
      </c>
      <c r="B13" s="2" t="s">
        <v>626</v>
      </c>
      <c r="C13" s="2">
        <v>540009</v>
      </c>
      <c r="D13" s="2" t="s">
        <v>637</v>
      </c>
      <c r="E13" s="2" t="s">
        <v>9</v>
      </c>
      <c r="F13" s="2" t="s">
        <v>5</v>
      </c>
      <c r="G13" s="2">
        <v>7</v>
      </c>
      <c r="H13" s="2">
        <v>0</v>
      </c>
      <c r="I13" s="2">
        <v>0</v>
      </c>
      <c r="J13" s="2">
        <v>0</v>
      </c>
      <c r="K13" s="2">
        <v>0</v>
      </c>
      <c r="L13" s="2">
        <v>0</v>
      </c>
      <c r="M13" s="2">
        <v>0</v>
      </c>
      <c r="N13" s="2">
        <v>0</v>
      </c>
      <c r="O13" s="2">
        <v>0</v>
      </c>
      <c r="P13" s="2">
        <v>0</v>
      </c>
      <c r="Q13" s="2" t="s">
        <v>488</v>
      </c>
      <c r="R13" s="2" t="s">
        <v>488</v>
      </c>
      <c r="S13" s="2" t="s">
        <v>488</v>
      </c>
      <c r="T13" s="2" t="s">
        <v>488</v>
      </c>
      <c r="U13" s="2">
        <v>0</v>
      </c>
      <c r="V13" s="2">
        <v>0</v>
      </c>
      <c r="W13">
        <f t="shared" si="0"/>
        <v>0</v>
      </c>
    </row>
    <row r="14" spans="1:25" x14ac:dyDescent="0.25">
      <c r="A14" s="2" t="s">
        <v>628</v>
      </c>
      <c r="B14" s="2" t="s">
        <v>626</v>
      </c>
      <c r="C14" s="2">
        <v>540010</v>
      </c>
      <c r="D14" s="2" t="s">
        <v>638</v>
      </c>
      <c r="E14" s="2" t="s">
        <v>9</v>
      </c>
      <c r="F14" s="2" t="s">
        <v>115</v>
      </c>
      <c r="G14" s="2">
        <v>7</v>
      </c>
      <c r="H14" s="2">
        <v>0</v>
      </c>
      <c r="I14" s="2">
        <v>0</v>
      </c>
      <c r="J14" s="2">
        <v>0</v>
      </c>
      <c r="K14" s="2">
        <v>0</v>
      </c>
      <c r="L14" s="2">
        <v>0</v>
      </c>
      <c r="M14" s="2">
        <v>0</v>
      </c>
      <c r="N14" s="2">
        <v>0</v>
      </c>
      <c r="O14" s="2">
        <v>0</v>
      </c>
      <c r="P14" s="2">
        <v>0</v>
      </c>
      <c r="Q14" s="2" t="s">
        <v>488</v>
      </c>
      <c r="R14" s="2" t="s">
        <v>488</v>
      </c>
      <c r="S14" s="2" t="s">
        <v>488</v>
      </c>
      <c r="T14" s="2" t="s">
        <v>488</v>
      </c>
      <c r="U14" s="2">
        <v>0</v>
      </c>
      <c r="V14" s="2">
        <v>0</v>
      </c>
      <c r="W14">
        <f t="shared" si="0"/>
        <v>0</v>
      </c>
    </row>
    <row r="15" spans="1:25" x14ac:dyDescent="0.25">
      <c r="A15" s="2" t="s">
        <v>628</v>
      </c>
      <c r="B15" s="2" t="s">
        <v>626</v>
      </c>
      <c r="C15" s="2">
        <v>540235</v>
      </c>
      <c r="D15" s="2" t="s">
        <v>639</v>
      </c>
      <c r="E15" s="2" t="s">
        <v>9</v>
      </c>
      <c r="F15" s="2" t="s">
        <v>115</v>
      </c>
      <c r="G15" s="2">
        <v>7</v>
      </c>
      <c r="H15" s="2">
        <v>0</v>
      </c>
      <c r="I15" s="2">
        <v>0</v>
      </c>
      <c r="J15" s="2">
        <v>0</v>
      </c>
      <c r="K15" s="2">
        <v>0</v>
      </c>
      <c r="L15" s="2">
        <v>0</v>
      </c>
      <c r="M15" s="2">
        <v>0</v>
      </c>
      <c r="N15" s="2">
        <v>0</v>
      </c>
      <c r="O15" s="2">
        <v>0</v>
      </c>
      <c r="P15" s="2">
        <v>0</v>
      </c>
      <c r="Q15" s="2" t="s">
        <v>488</v>
      </c>
      <c r="R15" s="2" t="s">
        <v>488</v>
      </c>
      <c r="S15" s="2" t="s">
        <v>488</v>
      </c>
      <c r="T15" s="2" t="s">
        <v>488</v>
      </c>
      <c r="U15" s="2">
        <v>0</v>
      </c>
      <c r="V15" s="2">
        <v>0</v>
      </c>
      <c r="W15">
        <f t="shared" si="0"/>
        <v>0</v>
      </c>
    </row>
    <row r="16" spans="1:25" x14ac:dyDescent="0.25">
      <c r="A16" s="2" t="s">
        <v>628</v>
      </c>
      <c r="B16" s="2" t="s">
        <v>626</v>
      </c>
      <c r="C16" s="2">
        <v>540236</v>
      </c>
      <c r="D16" s="2" t="s">
        <v>640</v>
      </c>
      <c r="E16" s="2" t="s">
        <v>9</v>
      </c>
      <c r="F16" s="2" t="s">
        <v>115</v>
      </c>
      <c r="G16" s="2">
        <v>7</v>
      </c>
      <c r="H16" s="2">
        <v>0</v>
      </c>
      <c r="I16" s="2">
        <v>0</v>
      </c>
      <c r="J16" s="2">
        <v>0</v>
      </c>
      <c r="K16" s="2">
        <v>0</v>
      </c>
      <c r="L16" s="2">
        <v>0</v>
      </c>
      <c r="M16" s="2">
        <v>0</v>
      </c>
      <c r="N16" s="2">
        <v>0</v>
      </c>
      <c r="O16" s="2">
        <v>0</v>
      </c>
      <c r="P16" s="2">
        <v>0</v>
      </c>
      <c r="Q16" s="2" t="s">
        <v>488</v>
      </c>
      <c r="R16" s="2" t="s">
        <v>488</v>
      </c>
      <c r="S16" s="2" t="s">
        <v>488</v>
      </c>
      <c r="T16" s="2" t="s">
        <v>488</v>
      </c>
      <c r="U16" s="2">
        <v>0</v>
      </c>
      <c r="V16" s="2">
        <v>0</v>
      </c>
      <c r="W16">
        <f t="shared" si="0"/>
        <v>0</v>
      </c>
    </row>
    <row r="17" spans="1:23" x14ac:dyDescent="0.25">
      <c r="A17" s="2" t="s">
        <v>628</v>
      </c>
      <c r="B17" s="2" t="s">
        <v>626</v>
      </c>
      <c r="C17" s="2">
        <v>540237</v>
      </c>
      <c r="D17" s="2" t="s">
        <v>641</v>
      </c>
      <c r="E17" s="2" t="s">
        <v>9</v>
      </c>
      <c r="F17" s="2" t="s">
        <v>115</v>
      </c>
      <c r="G17" s="2">
        <v>7</v>
      </c>
      <c r="H17" s="2">
        <v>0</v>
      </c>
      <c r="I17" s="2">
        <v>0</v>
      </c>
      <c r="J17" s="2">
        <v>0</v>
      </c>
      <c r="K17" s="2">
        <v>0</v>
      </c>
      <c r="L17" s="2">
        <v>0</v>
      </c>
      <c r="M17" s="2">
        <v>0</v>
      </c>
      <c r="N17" s="2">
        <v>0</v>
      </c>
      <c r="O17" s="2">
        <v>0</v>
      </c>
      <c r="P17" s="2">
        <v>0</v>
      </c>
      <c r="Q17" s="2" t="s">
        <v>488</v>
      </c>
      <c r="R17" s="2" t="s">
        <v>488</v>
      </c>
      <c r="S17" s="2" t="s">
        <v>488</v>
      </c>
      <c r="T17" s="2" t="s">
        <v>488</v>
      </c>
      <c r="U17" s="2">
        <v>0</v>
      </c>
      <c r="V17" s="2">
        <v>0</v>
      </c>
      <c r="W17">
        <f t="shared" si="0"/>
        <v>0</v>
      </c>
    </row>
    <row r="18" spans="1:23" x14ac:dyDescent="0.25">
      <c r="A18" s="255" t="s">
        <v>628</v>
      </c>
      <c r="B18" s="255" t="s">
        <v>626</v>
      </c>
      <c r="C18" s="255"/>
      <c r="D18" s="255"/>
      <c r="E18" s="255" t="s">
        <v>9</v>
      </c>
      <c r="F18" s="255"/>
      <c r="G18" s="255"/>
      <c r="H18" s="255">
        <v>0</v>
      </c>
      <c r="I18" s="255">
        <v>0</v>
      </c>
      <c r="J18" s="255">
        <v>0</v>
      </c>
      <c r="K18" s="255">
        <v>0</v>
      </c>
      <c r="L18" s="255">
        <v>0</v>
      </c>
      <c r="M18" s="255">
        <v>0</v>
      </c>
      <c r="N18" s="255">
        <v>0</v>
      </c>
      <c r="O18" s="255">
        <v>0</v>
      </c>
      <c r="P18" s="255">
        <v>0</v>
      </c>
      <c r="Q18" s="255" t="s">
        <v>488</v>
      </c>
      <c r="R18" s="255" t="s">
        <v>488</v>
      </c>
      <c r="S18" s="255" t="s">
        <v>488</v>
      </c>
      <c r="T18" s="255" t="s">
        <v>488</v>
      </c>
      <c r="U18" s="255">
        <v>0</v>
      </c>
      <c r="V18" s="255">
        <v>0</v>
      </c>
      <c r="W18">
        <f t="shared" si="0"/>
        <v>0</v>
      </c>
    </row>
    <row r="19" spans="1:23" x14ac:dyDescent="0.25">
      <c r="A19" s="2" t="s">
        <v>628</v>
      </c>
      <c r="B19" s="2" t="s">
        <v>626</v>
      </c>
      <c r="C19" s="2">
        <v>540011</v>
      </c>
      <c r="D19" s="2" t="s">
        <v>642</v>
      </c>
      <c r="E19" s="2" t="s">
        <v>11</v>
      </c>
      <c r="F19" s="2" t="s">
        <v>5</v>
      </c>
      <c r="G19" s="2">
        <v>11</v>
      </c>
      <c r="H19" s="2">
        <v>0</v>
      </c>
      <c r="I19" s="2">
        <v>0</v>
      </c>
      <c r="J19" s="2">
        <v>0</v>
      </c>
      <c r="K19" s="2">
        <v>0</v>
      </c>
      <c r="L19" s="2">
        <v>0</v>
      </c>
      <c r="M19" s="2">
        <v>0</v>
      </c>
      <c r="N19" s="2">
        <v>0</v>
      </c>
      <c r="O19" s="2">
        <v>0</v>
      </c>
      <c r="P19" s="2">
        <v>0</v>
      </c>
      <c r="Q19" s="2">
        <v>0</v>
      </c>
      <c r="R19" s="2">
        <v>0</v>
      </c>
      <c r="S19" s="2" t="s">
        <v>488</v>
      </c>
      <c r="T19" s="2" t="s">
        <v>488</v>
      </c>
      <c r="U19" s="2">
        <v>0</v>
      </c>
      <c r="V19" s="2">
        <v>0</v>
      </c>
      <c r="W19">
        <f t="shared" si="0"/>
        <v>0</v>
      </c>
    </row>
    <row r="20" spans="1:23" s="61" customFormat="1" x14ac:dyDescent="0.25">
      <c r="A20" s="2" t="s">
        <v>628</v>
      </c>
      <c r="B20" s="2" t="s">
        <v>626</v>
      </c>
      <c r="C20" s="2">
        <v>540012</v>
      </c>
      <c r="D20" s="2" t="s">
        <v>643</v>
      </c>
      <c r="E20" s="2" t="s">
        <v>11</v>
      </c>
      <c r="F20" s="2" t="s">
        <v>115</v>
      </c>
      <c r="G20" s="2">
        <v>11</v>
      </c>
      <c r="H20" s="2">
        <v>0</v>
      </c>
      <c r="I20" s="2">
        <v>0</v>
      </c>
      <c r="J20" s="2">
        <v>0</v>
      </c>
      <c r="K20" s="2">
        <v>0</v>
      </c>
      <c r="L20" s="2">
        <v>0</v>
      </c>
      <c r="M20" s="2">
        <v>0</v>
      </c>
      <c r="N20" s="2">
        <v>0</v>
      </c>
      <c r="O20" s="2">
        <v>0</v>
      </c>
      <c r="P20" s="2">
        <v>0</v>
      </c>
      <c r="Q20" s="2">
        <v>0</v>
      </c>
      <c r="R20" s="2">
        <v>0</v>
      </c>
      <c r="S20" s="2" t="s">
        <v>488</v>
      </c>
      <c r="T20" s="2" t="s">
        <v>488</v>
      </c>
      <c r="U20" s="2">
        <v>0</v>
      </c>
      <c r="V20" s="2">
        <v>0</v>
      </c>
      <c r="W20">
        <f t="shared" si="0"/>
        <v>0</v>
      </c>
    </row>
    <row r="21" spans="1:23" x14ac:dyDescent="0.25">
      <c r="A21" s="2" t="s">
        <v>628</v>
      </c>
      <c r="B21" s="2" t="s">
        <v>626</v>
      </c>
      <c r="C21" s="2">
        <v>540013</v>
      </c>
      <c r="D21" s="2" t="s">
        <v>644</v>
      </c>
      <c r="E21" s="2" t="s">
        <v>11</v>
      </c>
      <c r="F21" s="2" t="s">
        <v>115</v>
      </c>
      <c r="G21" s="2">
        <v>11</v>
      </c>
      <c r="H21" s="2">
        <v>0</v>
      </c>
      <c r="I21" s="2">
        <v>0</v>
      </c>
      <c r="J21" s="2">
        <v>0</v>
      </c>
      <c r="K21" s="2">
        <v>0</v>
      </c>
      <c r="L21" s="2">
        <v>0</v>
      </c>
      <c r="M21" s="2">
        <v>0</v>
      </c>
      <c r="N21" s="2">
        <v>0</v>
      </c>
      <c r="O21" s="2">
        <v>0</v>
      </c>
      <c r="P21" s="2">
        <v>0</v>
      </c>
      <c r="Q21" s="2">
        <v>0</v>
      </c>
      <c r="R21" s="2">
        <v>0</v>
      </c>
      <c r="S21" s="2" t="s">
        <v>488</v>
      </c>
      <c r="T21" s="2" t="s">
        <v>488</v>
      </c>
      <c r="U21" s="2">
        <v>0</v>
      </c>
      <c r="V21" s="2">
        <v>0</v>
      </c>
      <c r="W21">
        <f t="shared" si="0"/>
        <v>0</v>
      </c>
    </row>
    <row r="22" spans="1:23" x14ac:dyDescent="0.25">
      <c r="A22" s="2" t="s">
        <v>628</v>
      </c>
      <c r="B22" s="2" t="s">
        <v>626</v>
      </c>
      <c r="C22" s="2">
        <v>540014</v>
      </c>
      <c r="D22" s="2" t="s">
        <v>645</v>
      </c>
      <c r="E22" s="2" t="s">
        <v>11</v>
      </c>
      <c r="F22" s="2" t="s">
        <v>115</v>
      </c>
      <c r="G22" s="2">
        <v>11</v>
      </c>
      <c r="H22" s="2">
        <v>0</v>
      </c>
      <c r="I22" s="2">
        <v>0</v>
      </c>
      <c r="J22" s="2">
        <v>0</v>
      </c>
      <c r="K22" s="2">
        <v>0</v>
      </c>
      <c r="L22" s="2">
        <v>0</v>
      </c>
      <c r="M22" s="2">
        <v>0</v>
      </c>
      <c r="N22" s="2">
        <v>0</v>
      </c>
      <c r="O22" s="2">
        <v>0</v>
      </c>
      <c r="P22" s="2">
        <v>0</v>
      </c>
      <c r="Q22" s="2">
        <v>0</v>
      </c>
      <c r="R22" s="2">
        <v>0</v>
      </c>
      <c r="S22" s="2" t="s">
        <v>488</v>
      </c>
      <c r="T22" s="2" t="s">
        <v>488</v>
      </c>
      <c r="U22" s="2">
        <v>0</v>
      </c>
      <c r="V22" s="2">
        <v>0</v>
      </c>
      <c r="W22">
        <f t="shared" si="0"/>
        <v>0</v>
      </c>
    </row>
    <row r="23" spans="1:23" x14ac:dyDescent="0.25">
      <c r="A23" s="2" t="s">
        <v>628</v>
      </c>
      <c r="B23" s="2" t="s">
        <v>626</v>
      </c>
      <c r="C23" s="2">
        <v>540015</v>
      </c>
      <c r="D23" s="2" t="s">
        <v>646</v>
      </c>
      <c r="E23" s="2" t="s">
        <v>11</v>
      </c>
      <c r="F23" s="2" t="s">
        <v>115</v>
      </c>
      <c r="G23" s="2">
        <v>11</v>
      </c>
      <c r="H23" s="2">
        <v>0</v>
      </c>
      <c r="I23" s="2">
        <v>1</v>
      </c>
      <c r="J23" s="2">
        <v>0</v>
      </c>
      <c r="K23" s="2">
        <v>0</v>
      </c>
      <c r="L23" s="2">
        <v>0</v>
      </c>
      <c r="M23" s="2">
        <v>1</v>
      </c>
      <c r="N23" s="2">
        <v>1</v>
      </c>
      <c r="O23" s="2">
        <v>0</v>
      </c>
      <c r="P23" s="2">
        <v>0</v>
      </c>
      <c r="Q23" s="2">
        <v>0</v>
      </c>
      <c r="R23" s="2">
        <v>0</v>
      </c>
      <c r="S23" s="2" t="s">
        <v>488</v>
      </c>
      <c r="T23" s="2" t="s">
        <v>488</v>
      </c>
      <c r="U23" s="2">
        <v>0</v>
      </c>
      <c r="V23" s="2">
        <v>0</v>
      </c>
      <c r="W23">
        <f t="shared" si="0"/>
        <v>1</v>
      </c>
    </row>
    <row r="24" spans="1:23" x14ac:dyDescent="0.25">
      <c r="A24" s="2" t="s">
        <v>628</v>
      </c>
      <c r="B24" s="2" t="s">
        <v>626</v>
      </c>
      <c r="C24" s="2">
        <v>540093</v>
      </c>
      <c r="D24" s="2" t="s">
        <v>647</v>
      </c>
      <c r="E24" s="2" t="s">
        <v>11</v>
      </c>
      <c r="F24" s="2" t="s">
        <v>115</v>
      </c>
      <c r="G24" s="2">
        <v>11</v>
      </c>
      <c r="H24" s="2">
        <v>0</v>
      </c>
      <c r="I24" s="2">
        <v>0</v>
      </c>
      <c r="J24" s="2">
        <v>0</v>
      </c>
      <c r="K24" s="2">
        <v>0</v>
      </c>
      <c r="L24" s="2">
        <v>0</v>
      </c>
      <c r="M24" s="2">
        <v>0</v>
      </c>
      <c r="N24" s="2">
        <v>0</v>
      </c>
      <c r="O24" s="2">
        <v>0</v>
      </c>
      <c r="P24" s="2">
        <v>0</v>
      </c>
      <c r="Q24" s="2">
        <v>0</v>
      </c>
      <c r="R24" s="2">
        <v>0</v>
      </c>
      <c r="S24" s="2" t="s">
        <v>488</v>
      </c>
      <c r="T24" s="2" t="s">
        <v>488</v>
      </c>
      <c r="U24" s="2">
        <v>0</v>
      </c>
      <c r="V24" s="2">
        <v>0</v>
      </c>
      <c r="W24">
        <f t="shared" si="0"/>
        <v>0</v>
      </c>
    </row>
    <row r="25" spans="1:23" x14ac:dyDescent="0.25">
      <c r="A25" s="2" t="s">
        <v>628</v>
      </c>
      <c r="B25" s="2" t="s">
        <v>626</v>
      </c>
      <c r="C25" s="2">
        <v>540084</v>
      </c>
      <c r="D25" s="2" t="s">
        <v>648</v>
      </c>
      <c r="E25" s="2" t="s">
        <v>11</v>
      </c>
      <c r="F25" s="2" t="s">
        <v>115</v>
      </c>
      <c r="G25" s="2">
        <v>11</v>
      </c>
      <c r="H25" s="2">
        <v>0</v>
      </c>
      <c r="I25" s="2">
        <v>0</v>
      </c>
      <c r="J25" s="2">
        <v>0</v>
      </c>
      <c r="K25" s="2">
        <v>0</v>
      </c>
      <c r="L25" s="2">
        <v>0</v>
      </c>
      <c r="M25" s="2">
        <v>0</v>
      </c>
      <c r="N25" s="2">
        <v>0</v>
      </c>
      <c r="O25" s="2">
        <v>0</v>
      </c>
      <c r="P25" s="2">
        <v>0</v>
      </c>
      <c r="Q25" s="2">
        <v>0</v>
      </c>
      <c r="R25" s="2">
        <v>0</v>
      </c>
      <c r="S25" s="2" t="s">
        <v>488</v>
      </c>
      <c r="T25" s="2" t="s">
        <v>488</v>
      </c>
      <c r="U25" s="2">
        <v>0</v>
      </c>
      <c r="V25" s="2">
        <v>0</v>
      </c>
      <c r="W25">
        <f t="shared" si="0"/>
        <v>0</v>
      </c>
    </row>
    <row r="26" spans="1:23" x14ac:dyDescent="0.25">
      <c r="A26" s="255" t="s">
        <v>628</v>
      </c>
      <c r="B26" s="255" t="s">
        <v>626</v>
      </c>
      <c r="C26" s="255"/>
      <c r="D26" s="255"/>
      <c r="E26" s="255" t="s">
        <v>11</v>
      </c>
      <c r="F26" s="255"/>
      <c r="G26" s="255"/>
      <c r="H26" s="255">
        <v>0</v>
      </c>
      <c r="I26" s="255">
        <v>1</v>
      </c>
      <c r="J26" s="255">
        <v>0</v>
      </c>
      <c r="K26" s="255">
        <v>0</v>
      </c>
      <c r="L26" s="255">
        <v>0</v>
      </c>
      <c r="M26" s="255">
        <v>1</v>
      </c>
      <c r="N26" s="255">
        <v>1</v>
      </c>
      <c r="O26" s="255">
        <v>0</v>
      </c>
      <c r="P26" s="255">
        <v>0</v>
      </c>
      <c r="Q26" s="255">
        <v>0</v>
      </c>
      <c r="R26" s="255">
        <v>0</v>
      </c>
      <c r="S26" s="255" t="s">
        <v>488</v>
      </c>
      <c r="T26" s="255" t="s">
        <v>488</v>
      </c>
      <c r="U26" s="255">
        <v>0</v>
      </c>
      <c r="V26" s="255">
        <v>0</v>
      </c>
      <c r="W26">
        <f t="shared" si="0"/>
        <v>1</v>
      </c>
    </row>
    <row r="27" spans="1:23" x14ac:dyDescent="0.25">
      <c r="A27" s="2" t="s">
        <v>628</v>
      </c>
      <c r="B27" s="2" t="s">
        <v>626</v>
      </c>
      <c r="C27" s="2">
        <v>540016</v>
      </c>
      <c r="D27" s="2" t="s">
        <v>649</v>
      </c>
      <c r="E27" s="2" t="s">
        <v>13</v>
      </c>
      <c r="F27" s="2" t="s">
        <v>5</v>
      </c>
      <c r="G27" s="2">
        <v>2</v>
      </c>
      <c r="H27" s="2">
        <v>0</v>
      </c>
      <c r="I27" s="2">
        <v>0</v>
      </c>
      <c r="J27" s="2">
        <v>0</v>
      </c>
      <c r="K27" s="2">
        <v>0</v>
      </c>
      <c r="L27" s="2">
        <v>0</v>
      </c>
      <c r="M27" s="2">
        <v>0</v>
      </c>
      <c r="N27" s="2">
        <v>0</v>
      </c>
      <c r="O27" s="2">
        <v>0</v>
      </c>
      <c r="P27" s="2">
        <v>0</v>
      </c>
      <c r="Q27" s="2">
        <v>0</v>
      </c>
      <c r="R27" s="2">
        <v>0</v>
      </c>
      <c r="S27" s="2" t="s">
        <v>488</v>
      </c>
      <c r="T27" s="2" t="s">
        <v>488</v>
      </c>
      <c r="U27" s="2">
        <v>0</v>
      </c>
      <c r="V27" s="2">
        <v>0</v>
      </c>
      <c r="W27">
        <f t="shared" si="0"/>
        <v>0</v>
      </c>
    </row>
    <row r="28" spans="1:23" x14ac:dyDescent="0.25">
      <c r="A28" s="2" t="s">
        <v>628</v>
      </c>
      <c r="B28" s="2" t="s">
        <v>626</v>
      </c>
      <c r="C28" s="2">
        <v>540017</v>
      </c>
      <c r="D28" s="2" t="s">
        <v>650</v>
      </c>
      <c r="E28" s="2" t="s">
        <v>13</v>
      </c>
      <c r="F28" s="2" t="s">
        <v>115</v>
      </c>
      <c r="G28" s="2">
        <v>2</v>
      </c>
      <c r="H28" s="2">
        <v>0</v>
      </c>
      <c r="I28" s="2">
        <v>0</v>
      </c>
      <c r="J28" s="2">
        <v>0</v>
      </c>
      <c r="K28" s="2">
        <v>0</v>
      </c>
      <c r="L28" s="2">
        <v>0</v>
      </c>
      <c r="M28" s="2">
        <v>0</v>
      </c>
      <c r="N28" s="2">
        <v>0</v>
      </c>
      <c r="O28" s="2">
        <v>0</v>
      </c>
      <c r="P28" s="2">
        <v>0</v>
      </c>
      <c r="Q28" s="2">
        <v>0</v>
      </c>
      <c r="R28" s="2">
        <v>0</v>
      </c>
      <c r="S28" s="2" t="s">
        <v>488</v>
      </c>
      <c r="T28" s="2" t="s">
        <v>488</v>
      </c>
      <c r="U28" s="2">
        <v>0</v>
      </c>
      <c r="V28" s="2">
        <v>0</v>
      </c>
      <c r="W28">
        <f t="shared" si="0"/>
        <v>0</v>
      </c>
    </row>
    <row r="29" spans="1:23" x14ac:dyDescent="0.25">
      <c r="A29" s="2" t="s">
        <v>628</v>
      </c>
      <c r="B29" s="2" t="s">
        <v>626</v>
      </c>
      <c r="C29" s="2">
        <v>540018</v>
      </c>
      <c r="D29" s="2" t="s">
        <v>651</v>
      </c>
      <c r="E29" s="2" t="s">
        <v>13</v>
      </c>
      <c r="F29" s="2" t="s">
        <v>115</v>
      </c>
      <c r="G29" s="2">
        <v>2</v>
      </c>
      <c r="H29" s="2">
        <v>0</v>
      </c>
      <c r="I29" s="2">
        <v>0</v>
      </c>
      <c r="J29" s="2">
        <v>0</v>
      </c>
      <c r="K29" s="2">
        <v>0</v>
      </c>
      <c r="L29" s="2">
        <v>0</v>
      </c>
      <c r="M29" s="2">
        <v>0</v>
      </c>
      <c r="N29" s="2">
        <v>0</v>
      </c>
      <c r="O29" s="2">
        <v>0</v>
      </c>
      <c r="P29" s="2">
        <v>0</v>
      </c>
      <c r="Q29" s="2">
        <v>0</v>
      </c>
      <c r="R29" s="2">
        <v>0</v>
      </c>
      <c r="S29" s="2" t="s">
        <v>488</v>
      </c>
      <c r="T29" s="2" t="s">
        <v>488</v>
      </c>
      <c r="U29" s="2">
        <v>0</v>
      </c>
      <c r="V29" s="2">
        <v>0</v>
      </c>
      <c r="W29">
        <f t="shared" si="0"/>
        <v>0</v>
      </c>
    </row>
    <row r="30" spans="1:23" x14ac:dyDescent="0.25">
      <c r="A30" s="2" t="s">
        <v>628</v>
      </c>
      <c r="B30" s="2" t="s">
        <v>626</v>
      </c>
      <c r="C30" s="2">
        <v>540019</v>
      </c>
      <c r="D30" s="2" t="s">
        <v>652</v>
      </c>
      <c r="E30" s="2" t="s">
        <v>13</v>
      </c>
      <c r="F30" s="2" t="s">
        <v>115</v>
      </c>
      <c r="G30" s="2">
        <v>2</v>
      </c>
      <c r="H30" s="2">
        <v>0</v>
      </c>
      <c r="I30" s="2">
        <v>0</v>
      </c>
      <c r="J30" s="2">
        <v>0</v>
      </c>
      <c r="K30" s="2">
        <v>0</v>
      </c>
      <c r="L30" s="2">
        <v>0</v>
      </c>
      <c r="M30" s="2">
        <v>0</v>
      </c>
      <c r="N30" s="2">
        <v>0</v>
      </c>
      <c r="O30" s="2">
        <v>0</v>
      </c>
      <c r="P30" s="2">
        <v>0</v>
      </c>
      <c r="Q30" s="2">
        <v>0</v>
      </c>
      <c r="R30" s="2">
        <v>0</v>
      </c>
      <c r="S30" s="2" t="s">
        <v>488</v>
      </c>
      <c r="T30" s="2" t="s">
        <v>488</v>
      </c>
      <c r="U30" s="2">
        <v>0</v>
      </c>
      <c r="V30" s="2">
        <v>0</v>
      </c>
      <c r="W30">
        <f t="shared" si="0"/>
        <v>0</v>
      </c>
    </row>
    <row r="31" spans="1:23" x14ac:dyDescent="0.25">
      <c r="A31" s="255" t="s">
        <v>628</v>
      </c>
      <c r="B31" s="255" t="s">
        <v>626</v>
      </c>
      <c r="C31" s="255"/>
      <c r="D31" s="255"/>
      <c r="E31" s="255" t="s">
        <v>13</v>
      </c>
      <c r="F31" s="255"/>
      <c r="G31" s="255"/>
      <c r="H31" s="255">
        <v>0</v>
      </c>
      <c r="I31" s="255">
        <v>0</v>
      </c>
      <c r="J31" s="255">
        <v>0</v>
      </c>
      <c r="K31" s="255">
        <v>0</v>
      </c>
      <c r="L31" s="255">
        <v>0</v>
      </c>
      <c r="M31" s="255">
        <v>0</v>
      </c>
      <c r="N31" s="255">
        <v>0</v>
      </c>
      <c r="O31" s="255">
        <v>0</v>
      </c>
      <c r="P31" s="255">
        <v>0</v>
      </c>
      <c r="Q31" s="255">
        <v>0</v>
      </c>
      <c r="R31" s="255">
        <v>0</v>
      </c>
      <c r="S31" s="255" t="s">
        <v>488</v>
      </c>
      <c r="T31" s="255" t="s">
        <v>488</v>
      </c>
      <c r="U31" s="255">
        <v>0</v>
      </c>
      <c r="V31" s="255">
        <v>0</v>
      </c>
      <c r="W31">
        <f t="shared" si="0"/>
        <v>0</v>
      </c>
    </row>
    <row r="32" spans="1:23" x14ac:dyDescent="0.25">
      <c r="A32" s="2" t="s">
        <v>628</v>
      </c>
      <c r="B32" s="2" t="s">
        <v>626</v>
      </c>
      <c r="C32" s="2">
        <v>540020</v>
      </c>
      <c r="D32" s="2" t="s">
        <v>653</v>
      </c>
      <c r="E32" s="2" t="s">
        <v>15</v>
      </c>
      <c r="F32" s="2" t="s">
        <v>5</v>
      </c>
      <c r="G32" s="2">
        <v>5</v>
      </c>
      <c r="H32" s="2">
        <v>0</v>
      </c>
      <c r="I32" s="2">
        <v>0</v>
      </c>
      <c r="J32" s="2">
        <v>0</v>
      </c>
      <c r="K32" s="2">
        <v>0</v>
      </c>
      <c r="L32" s="2">
        <v>0</v>
      </c>
      <c r="M32" s="2">
        <v>0</v>
      </c>
      <c r="N32" s="2">
        <v>0</v>
      </c>
      <c r="O32" s="2">
        <v>0</v>
      </c>
      <c r="P32" s="2">
        <v>0</v>
      </c>
      <c r="Q32" s="2" t="s">
        <v>488</v>
      </c>
      <c r="R32" s="2" t="s">
        <v>488</v>
      </c>
      <c r="S32" s="2" t="s">
        <v>488</v>
      </c>
      <c r="T32" s="2" t="s">
        <v>488</v>
      </c>
      <c r="U32" s="2">
        <v>0</v>
      </c>
      <c r="V32" s="2">
        <v>0</v>
      </c>
      <c r="W32">
        <f t="shared" si="0"/>
        <v>0</v>
      </c>
    </row>
    <row r="33" spans="1:23" x14ac:dyDescent="0.25">
      <c r="A33" s="2" t="s">
        <v>628</v>
      </c>
      <c r="B33" s="2" t="s">
        <v>626</v>
      </c>
      <c r="C33" s="2">
        <v>540021</v>
      </c>
      <c r="D33" s="2" t="s">
        <v>654</v>
      </c>
      <c r="E33" s="2" t="s">
        <v>15</v>
      </c>
      <c r="F33" s="2" t="s">
        <v>115</v>
      </c>
      <c r="G33" s="2">
        <v>5</v>
      </c>
      <c r="H33" s="2">
        <v>0</v>
      </c>
      <c r="I33" s="2">
        <v>0</v>
      </c>
      <c r="J33" s="2">
        <v>0</v>
      </c>
      <c r="K33" s="2">
        <v>0</v>
      </c>
      <c r="L33" s="2">
        <v>0</v>
      </c>
      <c r="M33" s="2">
        <v>0</v>
      </c>
      <c r="N33" s="2">
        <v>0</v>
      </c>
      <c r="O33" s="2">
        <v>0</v>
      </c>
      <c r="P33" s="2">
        <v>0</v>
      </c>
      <c r="Q33" s="2" t="s">
        <v>488</v>
      </c>
      <c r="R33" s="2" t="s">
        <v>488</v>
      </c>
      <c r="S33" s="2" t="s">
        <v>488</v>
      </c>
      <c r="T33" s="2" t="s">
        <v>488</v>
      </c>
      <c r="U33" s="2">
        <v>0</v>
      </c>
      <c r="V33" s="2">
        <v>0</v>
      </c>
      <c r="W33">
        <f t="shared" si="0"/>
        <v>0</v>
      </c>
    </row>
    <row r="34" spans="1:23" x14ac:dyDescent="0.25">
      <c r="A34" s="255" t="s">
        <v>628</v>
      </c>
      <c r="B34" s="255" t="s">
        <v>626</v>
      </c>
      <c r="C34" s="255"/>
      <c r="D34" s="255"/>
      <c r="E34" s="255" t="s">
        <v>15</v>
      </c>
      <c r="F34" s="255"/>
      <c r="G34" s="255"/>
      <c r="H34" s="255">
        <v>0</v>
      </c>
      <c r="I34" s="255">
        <v>0</v>
      </c>
      <c r="J34" s="255">
        <v>0</v>
      </c>
      <c r="K34" s="255">
        <v>0</v>
      </c>
      <c r="L34" s="255">
        <v>0</v>
      </c>
      <c r="M34" s="255">
        <v>0</v>
      </c>
      <c r="N34" s="255">
        <v>0</v>
      </c>
      <c r="O34" s="255">
        <v>0</v>
      </c>
      <c r="P34" s="255">
        <v>0</v>
      </c>
      <c r="Q34" s="255" t="s">
        <v>488</v>
      </c>
      <c r="R34" s="255" t="s">
        <v>488</v>
      </c>
      <c r="S34" s="255" t="s">
        <v>488</v>
      </c>
      <c r="T34" s="255" t="s">
        <v>488</v>
      </c>
      <c r="U34" s="255">
        <v>0</v>
      </c>
      <c r="V34" s="255">
        <v>0</v>
      </c>
      <c r="W34">
        <f t="shared" si="0"/>
        <v>0</v>
      </c>
    </row>
    <row r="35" spans="1:23" x14ac:dyDescent="0.25">
      <c r="A35" s="2" t="s">
        <v>628</v>
      </c>
      <c r="B35" s="2" t="s">
        <v>626</v>
      </c>
      <c r="C35" s="2">
        <v>540022</v>
      </c>
      <c r="D35" s="2" t="s">
        <v>655</v>
      </c>
      <c r="E35" s="2" t="s">
        <v>17</v>
      </c>
      <c r="F35" s="2" t="s">
        <v>5</v>
      </c>
      <c r="G35" s="2">
        <v>3</v>
      </c>
      <c r="H35" s="2">
        <v>0</v>
      </c>
      <c r="I35" s="2">
        <v>0</v>
      </c>
      <c r="J35" s="2">
        <v>0</v>
      </c>
      <c r="K35" s="2">
        <v>0</v>
      </c>
      <c r="L35" s="2">
        <v>0</v>
      </c>
      <c r="M35" s="2">
        <v>0</v>
      </c>
      <c r="N35" s="2">
        <v>0</v>
      </c>
      <c r="O35" s="2">
        <v>0</v>
      </c>
      <c r="P35" s="2">
        <v>0</v>
      </c>
      <c r="Q35" s="2" t="s">
        <v>488</v>
      </c>
      <c r="R35" s="2" t="s">
        <v>488</v>
      </c>
      <c r="S35" s="2" t="s">
        <v>488</v>
      </c>
      <c r="T35" s="2" t="s">
        <v>488</v>
      </c>
      <c r="U35" s="2">
        <v>0</v>
      </c>
      <c r="V35" s="2">
        <v>0</v>
      </c>
      <c r="W35">
        <f t="shared" si="0"/>
        <v>0</v>
      </c>
    </row>
    <row r="36" spans="1:23" x14ac:dyDescent="0.25">
      <c r="A36" s="2" t="s">
        <v>628</v>
      </c>
      <c r="B36" s="2" t="s">
        <v>626</v>
      </c>
      <c r="C36" s="2">
        <v>540023</v>
      </c>
      <c r="D36" s="2" t="s">
        <v>656</v>
      </c>
      <c r="E36" s="2" t="s">
        <v>17</v>
      </c>
      <c r="F36" s="2" t="s">
        <v>115</v>
      </c>
      <c r="G36" s="2">
        <v>3</v>
      </c>
      <c r="H36" s="2">
        <v>0</v>
      </c>
      <c r="I36" s="2">
        <v>0</v>
      </c>
      <c r="J36" s="2">
        <v>0</v>
      </c>
      <c r="K36" s="2">
        <v>0</v>
      </c>
      <c r="L36" s="2">
        <v>0</v>
      </c>
      <c r="M36" s="2">
        <v>0</v>
      </c>
      <c r="N36" s="2">
        <v>0</v>
      </c>
      <c r="O36" s="2">
        <v>0</v>
      </c>
      <c r="P36" s="2">
        <v>0</v>
      </c>
      <c r="Q36" s="2" t="s">
        <v>488</v>
      </c>
      <c r="R36" s="2" t="s">
        <v>488</v>
      </c>
      <c r="S36" s="2" t="s">
        <v>488</v>
      </c>
      <c r="T36" s="2" t="s">
        <v>488</v>
      </c>
      <c r="U36" s="2">
        <v>0</v>
      </c>
      <c r="V36" s="2">
        <v>0</v>
      </c>
      <c r="W36">
        <f t="shared" si="0"/>
        <v>0</v>
      </c>
    </row>
    <row r="37" spans="1:23" x14ac:dyDescent="0.25">
      <c r="A37" s="255" t="s">
        <v>628</v>
      </c>
      <c r="B37" s="255" t="s">
        <v>626</v>
      </c>
      <c r="C37" s="255"/>
      <c r="D37" s="255"/>
      <c r="E37" s="255" t="s">
        <v>17</v>
      </c>
      <c r="F37" s="255"/>
      <c r="G37" s="255"/>
      <c r="H37" s="255">
        <v>0</v>
      </c>
      <c r="I37" s="255">
        <v>0</v>
      </c>
      <c r="J37" s="255">
        <v>0</v>
      </c>
      <c r="K37" s="255">
        <v>0</v>
      </c>
      <c r="L37" s="255">
        <v>0</v>
      </c>
      <c r="M37" s="255">
        <v>0</v>
      </c>
      <c r="N37" s="255">
        <v>0</v>
      </c>
      <c r="O37" s="255">
        <v>0</v>
      </c>
      <c r="P37" s="255">
        <v>0</v>
      </c>
      <c r="Q37" s="255" t="s">
        <v>488</v>
      </c>
      <c r="R37" s="255" t="s">
        <v>488</v>
      </c>
      <c r="S37" s="255" t="s">
        <v>488</v>
      </c>
      <c r="T37" s="255" t="s">
        <v>488</v>
      </c>
      <c r="U37" s="255">
        <v>0</v>
      </c>
      <c r="V37" s="255">
        <v>0</v>
      </c>
      <c r="W37">
        <f t="shared" si="0"/>
        <v>0</v>
      </c>
    </row>
    <row r="38" spans="1:23" x14ac:dyDescent="0.25">
      <c r="A38" s="2" t="s">
        <v>628</v>
      </c>
      <c r="B38" s="2" t="s">
        <v>626</v>
      </c>
      <c r="C38" s="2">
        <v>540024</v>
      </c>
      <c r="D38" s="2" t="s">
        <v>657</v>
      </c>
      <c r="E38" s="2" t="s">
        <v>19</v>
      </c>
      <c r="F38" s="2" t="s">
        <v>5</v>
      </c>
      <c r="G38" s="2">
        <v>6</v>
      </c>
      <c r="H38" s="2">
        <v>0</v>
      </c>
      <c r="I38" s="2">
        <v>0</v>
      </c>
      <c r="J38" s="2">
        <v>0</v>
      </c>
      <c r="K38" s="2">
        <v>0</v>
      </c>
      <c r="L38" s="2">
        <v>0</v>
      </c>
      <c r="M38" s="2">
        <v>0</v>
      </c>
      <c r="N38" s="2">
        <v>0</v>
      </c>
      <c r="O38" s="2">
        <v>0</v>
      </c>
      <c r="P38" s="2">
        <v>0</v>
      </c>
      <c r="Q38" s="2">
        <v>0</v>
      </c>
      <c r="R38" s="2">
        <v>0</v>
      </c>
      <c r="S38" s="2" t="s">
        <v>488</v>
      </c>
      <c r="T38" s="2" t="s">
        <v>488</v>
      </c>
      <c r="U38" s="2">
        <v>0</v>
      </c>
      <c r="V38" s="2">
        <v>0</v>
      </c>
      <c r="W38">
        <f t="shared" si="0"/>
        <v>0</v>
      </c>
    </row>
    <row r="39" spans="1:23" x14ac:dyDescent="0.25">
      <c r="A39" s="2" t="s">
        <v>628</v>
      </c>
      <c r="B39" s="2" t="s">
        <v>626</v>
      </c>
      <c r="C39" s="2">
        <v>540025</v>
      </c>
      <c r="D39" s="2" t="s">
        <v>658</v>
      </c>
      <c r="E39" s="2" t="s">
        <v>19</v>
      </c>
      <c r="F39" s="2" t="s">
        <v>115</v>
      </c>
      <c r="G39" s="2">
        <v>6</v>
      </c>
      <c r="H39" s="2">
        <v>0</v>
      </c>
      <c r="I39" s="2">
        <v>0</v>
      </c>
      <c r="J39" s="2">
        <v>0</v>
      </c>
      <c r="K39" s="2">
        <v>0</v>
      </c>
      <c r="L39" s="2">
        <v>0</v>
      </c>
      <c r="M39" s="2">
        <v>0</v>
      </c>
      <c r="N39" s="2">
        <v>0</v>
      </c>
      <c r="O39" s="2">
        <v>0</v>
      </c>
      <c r="P39" s="2">
        <v>0</v>
      </c>
      <c r="Q39" s="2">
        <v>0</v>
      </c>
      <c r="R39" s="2">
        <v>0</v>
      </c>
      <c r="S39" s="2" t="s">
        <v>488</v>
      </c>
      <c r="T39" s="2" t="s">
        <v>488</v>
      </c>
      <c r="U39" s="2">
        <v>0</v>
      </c>
      <c r="V39" s="2">
        <v>0</v>
      </c>
      <c r="W39">
        <f t="shared" si="0"/>
        <v>0</v>
      </c>
    </row>
    <row r="40" spans="1:23" x14ac:dyDescent="0.25">
      <c r="A40" s="255" t="s">
        <v>628</v>
      </c>
      <c r="B40" s="255" t="s">
        <v>626</v>
      </c>
      <c r="C40" s="255"/>
      <c r="D40" s="255"/>
      <c r="E40" s="255" t="s">
        <v>19</v>
      </c>
      <c r="F40" s="255"/>
      <c r="G40" s="255"/>
      <c r="H40" s="255">
        <v>0</v>
      </c>
      <c r="I40" s="255">
        <v>0</v>
      </c>
      <c r="J40" s="255">
        <v>0</v>
      </c>
      <c r="K40" s="255">
        <v>0</v>
      </c>
      <c r="L40" s="255">
        <v>0</v>
      </c>
      <c r="M40" s="255">
        <v>0</v>
      </c>
      <c r="N40" s="255">
        <v>0</v>
      </c>
      <c r="O40" s="255">
        <v>0</v>
      </c>
      <c r="P40" s="255">
        <v>0</v>
      </c>
      <c r="Q40" s="255">
        <v>0</v>
      </c>
      <c r="R40" s="255">
        <v>0</v>
      </c>
      <c r="S40" s="255" t="s">
        <v>488</v>
      </c>
      <c r="T40" s="255" t="s">
        <v>488</v>
      </c>
      <c r="U40" s="255">
        <v>0</v>
      </c>
      <c r="V40" s="255">
        <v>0</v>
      </c>
      <c r="W40">
        <f t="shared" si="0"/>
        <v>0</v>
      </c>
    </row>
    <row r="41" spans="1:23" x14ac:dyDescent="0.25">
      <c r="A41" s="2" t="s">
        <v>628</v>
      </c>
      <c r="B41" s="2" t="s">
        <v>626</v>
      </c>
      <c r="C41" s="2">
        <v>540035</v>
      </c>
      <c r="D41" s="2" t="s">
        <v>659</v>
      </c>
      <c r="E41" s="2" t="s">
        <v>23</v>
      </c>
      <c r="F41" s="2" t="s">
        <v>5</v>
      </c>
      <c r="G41" s="2">
        <v>7</v>
      </c>
      <c r="H41" s="2">
        <v>0</v>
      </c>
      <c r="I41" s="2">
        <v>0</v>
      </c>
      <c r="J41" s="2">
        <v>0</v>
      </c>
      <c r="K41" s="2">
        <v>0</v>
      </c>
      <c r="L41" s="2">
        <v>0</v>
      </c>
      <c r="M41" s="2">
        <v>0</v>
      </c>
      <c r="N41" s="2">
        <v>0</v>
      </c>
      <c r="O41" s="2">
        <v>0</v>
      </c>
      <c r="P41" s="2">
        <v>0</v>
      </c>
      <c r="Q41" s="2" t="s">
        <v>488</v>
      </c>
      <c r="R41" s="2" t="s">
        <v>488</v>
      </c>
      <c r="S41" s="2" t="s">
        <v>488</v>
      </c>
      <c r="T41" s="2" t="s">
        <v>488</v>
      </c>
      <c r="U41" s="2">
        <v>0</v>
      </c>
      <c r="V41" s="2">
        <v>0</v>
      </c>
      <c r="W41">
        <f t="shared" si="0"/>
        <v>0</v>
      </c>
    </row>
    <row r="42" spans="1:23" x14ac:dyDescent="0.25">
      <c r="A42" s="2" t="s">
        <v>628</v>
      </c>
      <c r="B42" s="2" t="s">
        <v>626</v>
      </c>
      <c r="C42" s="2">
        <v>540036</v>
      </c>
      <c r="D42" s="2" t="s">
        <v>660</v>
      </c>
      <c r="E42" s="2" t="s">
        <v>23</v>
      </c>
      <c r="F42" s="2" t="s">
        <v>115</v>
      </c>
      <c r="G42" s="2">
        <v>7</v>
      </c>
      <c r="H42" s="2">
        <v>0</v>
      </c>
      <c r="I42" s="2">
        <v>0</v>
      </c>
      <c r="J42" s="2">
        <v>0</v>
      </c>
      <c r="K42" s="2">
        <v>0</v>
      </c>
      <c r="L42" s="2">
        <v>0</v>
      </c>
      <c r="M42" s="2">
        <v>0</v>
      </c>
      <c r="N42" s="2">
        <v>0</v>
      </c>
      <c r="O42" s="2">
        <v>0</v>
      </c>
      <c r="P42" s="2">
        <v>0</v>
      </c>
      <c r="Q42" s="2" t="s">
        <v>488</v>
      </c>
      <c r="R42" s="2" t="s">
        <v>488</v>
      </c>
      <c r="S42" s="2" t="s">
        <v>488</v>
      </c>
      <c r="T42" s="2" t="s">
        <v>488</v>
      </c>
      <c r="U42" s="2">
        <v>0</v>
      </c>
      <c r="V42" s="2">
        <v>0</v>
      </c>
      <c r="W42">
        <f t="shared" si="0"/>
        <v>0</v>
      </c>
    </row>
    <row r="43" spans="1:23" x14ac:dyDescent="0.25">
      <c r="A43" s="2" t="s">
        <v>628</v>
      </c>
      <c r="B43" s="2" t="s">
        <v>626</v>
      </c>
      <c r="C43" s="2">
        <v>540037</v>
      </c>
      <c r="D43" s="2" t="s">
        <v>661</v>
      </c>
      <c r="E43" s="2" t="s">
        <v>23</v>
      </c>
      <c r="F43" s="2" t="s">
        <v>115</v>
      </c>
      <c r="G43" s="2">
        <v>7</v>
      </c>
      <c r="H43" s="2">
        <v>0</v>
      </c>
      <c r="I43" s="2">
        <v>0</v>
      </c>
      <c r="J43" s="2">
        <v>0</v>
      </c>
      <c r="K43" s="2">
        <v>0</v>
      </c>
      <c r="L43" s="2">
        <v>0</v>
      </c>
      <c r="M43" s="2">
        <v>0</v>
      </c>
      <c r="N43" s="2">
        <v>0</v>
      </c>
      <c r="O43" s="2">
        <v>0</v>
      </c>
      <c r="P43" s="2">
        <v>0</v>
      </c>
      <c r="Q43" s="2" t="s">
        <v>488</v>
      </c>
      <c r="R43" s="2" t="s">
        <v>488</v>
      </c>
      <c r="S43" s="2" t="s">
        <v>488</v>
      </c>
      <c r="T43" s="2" t="s">
        <v>488</v>
      </c>
      <c r="U43" s="2">
        <v>0</v>
      </c>
      <c r="V43" s="2">
        <v>0</v>
      </c>
      <c r="W43">
        <f t="shared" si="0"/>
        <v>0</v>
      </c>
    </row>
    <row r="44" spans="1:23" x14ac:dyDescent="0.25">
      <c r="A44" s="255" t="s">
        <v>628</v>
      </c>
      <c r="B44" s="255" t="s">
        <v>626</v>
      </c>
      <c r="C44" s="255"/>
      <c r="D44" s="255"/>
      <c r="E44" s="255" t="s">
        <v>23</v>
      </c>
      <c r="F44" s="255"/>
      <c r="G44" s="255"/>
      <c r="H44" s="255">
        <v>0</v>
      </c>
      <c r="I44" s="255">
        <v>0</v>
      </c>
      <c r="J44" s="255">
        <v>0</v>
      </c>
      <c r="K44" s="255">
        <v>0</v>
      </c>
      <c r="L44" s="255">
        <v>0</v>
      </c>
      <c r="M44" s="255">
        <v>0</v>
      </c>
      <c r="N44" s="255">
        <v>0</v>
      </c>
      <c r="O44" s="255">
        <v>0</v>
      </c>
      <c r="P44" s="255">
        <v>0</v>
      </c>
      <c r="Q44" s="255" t="s">
        <v>488</v>
      </c>
      <c r="R44" s="255" t="s">
        <v>488</v>
      </c>
      <c r="S44" s="255" t="s">
        <v>488</v>
      </c>
      <c r="T44" s="255" t="s">
        <v>488</v>
      </c>
      <c r="U44" s="255">
        <v>0</v>
      </c>
      <c r="V44" s="255">
        <v>0</v>
      </c>
      <c r="W44">
        <f t="shared" si="0"/>
        <v>0</v>
      </c>
    </row>
    <row r="45" spans="1:23" x14ac:dyDescent="0.25">
      <c r="A45" s="2" t="s">
        <v>628</v>
      </c>
      <c r="B45" s="2" t="s">
        <v>626</v>
      </c>
      <c r="C45" s="2">
        <v>540038</v>
      </c>
      <c r="D45" s="2" t="s">
        <v>662</v>
      </c>
      <c r="E45" s="2" t="s">
        <v>25</v>
      </c>
      <c r="F45" s="2" t="s">
        <v>5</v>
      </c>
      <c r="G45" s="2">
        <v>8</v>
      </c>
      <c r="H45" s="2">
        <v>0</v>
      </c>
      <c r="I45" s="2">
        <v>0</v>
      </c>
      <c r="J45" s="2">
        <v>0</v>
      </c>
      <c r="K45" s="2">
        <v>0</v>
      </c>
      <c r="L45" s="2">
        <v>0</v>
      </c>
      <c r="M45" s="2">
        <v>0</v>
      </c>
      <c r="N45" s="2">
        <v>0</v>
      </c>
      <c r="O45" s="2">
        <v>0</v>
      </c>
      <c r="P45" s="2">
        <v>0</v>
      </c>
      <c r="Q45" s="2" t="s">
        <v>488</v>
      </c>
      <c r="R45" s="2" t="s">
        <v>488</v>
      </c>
      <c r="S45" s="2" t="s">
        <v>488</v>
      </c>
      <c r="T45" s="2" t="s">
        <v>488</v>
      </c>
      <c r="U45" s="2">
        <v>0</v>
      </c>
      <c r="V45" s="2">
        <v>0</v>
      </c>
      <c r="W45">
        <f t="shared" si="0"/>
        <v>0</v>
      </c>
    </row>
    <row r="46" spans="1:23" x14ac:dyDescent="0.25">
      <c r="A46" s="2" t="s">
        <v>628</v>
      </c>
      <c r="B46" s="2" t="s">
        <v>626</v>
      </c>
      <c r="C46" s="2">
        <v>540039</v>
      </c>
      <c r="D46" s="2" t="s">
        <v>663</v>
      </c>
      <c r="E46" s="2" t="s">
        <v>25</v>
      </c>
      <c r="F46" s="2" t="s">
        <v>115</v>
      </c>
      <c r="G46" s="2">
        <v>8</v>
      </c>
      <c r="H46" s="2">
        <v>0</v>
      </c>
      <c r="I46" s="2">
        <v>0</v>
      </c>
      <c r="J46" s="2">
        <v>0</v>
      </c>
      <c r="K46" s="2">
        <v>0</v>
      </c>
      <c r="L46" s="2">
        <v>0</v>
      </c>
      <c r="M46" s="2">
        <v>0</v>
      </c>
      <c r="N46" s="2">
        <v>0</v>
      </c>
      <c r="O46" s="2">
        <v>0</v>
      </c>
      <c r="P46" s="2">
        <v>0</v>
      </c>
      <c r="Q46" s="2" t="s">
        <v>488</v>
      </c>
      <c r="R46" s="2" t="s">
        <v>488</v>
      </c>
      <c r="S46" s="2" t="s">
        <v>488</v>
      </c>
      <c r="T46" s="2" t="s">
        <v>488</v>
      </c>
      <c r="U46" s="2">
        <v>0</v>
      </c>
      <c r="V46" s="2">
        <v>0</v>
      </c>
      <c r="W46">
        <f t="shared" si="0"/>
        <v>0</v>
      </c>
    </row>
    <row r="47" spans="1:23" x14ac:dyDescent="0.25">
      <c r="A47" s="2" t="s">
        <v>628</v>
      </c>
      <c r="B47" s="2" t="s">
        <v>626</v>
      </c>
      <c r="C47" s="2">
        <v>540240</v>
      </c>
      <c r="D47" s="2" t="s">
        <v>664</v>
      </c>
      <c r="E47" s="2" t="s">
        <v>25</v>
      </c>
      <c r="F47" s="2" t="s">
        <v>115</v>
      </c>
      <c r="G47" s="2">
        <v>8</v>
      </c>
      <c r="H47" s="2">
        <v>0</v>
      </c>
      <c r="I47" s="2">
        <v>0</v>
      </c>
      <c r="J47" s="2">
        <v>0</v>
      </c>
      <c r="K47" s="2">
        <v>0</v>
      </c>
      <c r="L47" s="2">
        <v>0</v>
      </c>
      <c r="M47" s="2">
        <v>0</v>
      </c>
      <c r="N47" s="2">
        <v>0</v>
      </c>
      <c r="O47" s="2">
        <v>0</v>
      </c>
      <c r="P47" s="2">
        <v>0</v>
      </c>
      <c r="Q47" s="2" t="s">
        <v>488</v>
      </c>
      <c r="R47" s="2" t="s">
        <v>488</v>
      </c>
      <c r="S47" s="2" t="s">
        <v>488</v>
      </c>
      <c r="T47" s="2" t="s">
        <v>488</v>
      </c>
      <c r="U47" s="2">
        <v>0</v>
      </c>
      <c r="V47" s="2">
        <v>0</v>
      </c>
      <c r="W47">
        <f t="shared" si="0"/>
        <v>0</v>
      </c>
    </row>
    <row r="48" spans="1:23" x14ac:dyDescent="0.25">
      <c r="A48" s="255" t="s">
        <v>628</v>
      </c>
      <c r="B48" s="255" t="s">
        <v>626</v>
      </c>
      <c r="C48" s="255"/>
      <c r="D48" s="255"/>
      <c r="E48" s="255" t="s">
        <v>25</v>
      </c>
      <c r="F48" s="255"/>
      <c r="G48" s="255"/>
      <c r="H48" s="255">
        <v>0</v>
      </c>
      <c r="I48" s="255">
        <v>0</v>
      </c>
      <c r="J48" s="255">
        <v>0</v>
      </c>
      <c r="K48" s="255">
        <v>0</v>
      </c>
      <c r="L48" s="255">
        <v>0</v>
      </c>
      <c r="M48" s="255">
        <v>0</v>
      </c>
      <c r="N48" s="255">
        <v>0</v>
      </c>
      <c r="O48" s="255">
        <v>0</v>
      </c>
      <c r="P48" s="255">
        <v>0</v>
      </c>
      <c r="Q48" s="255" t="s">
        <v>488</v>
      </c>
      <c r="R48" s="255" t="s">
        <v>488</v>
      </c>
      <c r="S48" s="255" t="s">
        <v>488</v>
      </c>
      <c r="T48" s="255" t="s">
        <v>488</v>
      </c>
      <c r="U48" s="255">
        <v>0</v>
      </c>
      <c r="V48" s="255">
        <v>0</v>
      </c>
      <c r="W48">
        <f t="shared" si="0"/>
        <v>0</v>
      </c>
    </row>
    <row r="49" spans="1:23" x14ac:dyDescent="0.25">
      <c r="A49" s="2" t="s">
        <v>628</v>
      </c>
      <c r="B49" s="2" t="s">
        <v>626</v>
      </c>
      <c r="C49" s="2">
        <v>540040</v>
      </c>
      <c r="D49" s="2" t="s">
        <v>665</v>
      </c>
      <c r="E49" s="2" t="s">
        <v>27</v>
      </c>
      <c r="F49" s="2" t="s">
        <v>5</v>
      </c>
      <c r="G49" s="2">
        <v>4</v>
      </c>
      <c r="H49" s="2">
        <v>0</v>
      </c>
      <c r="I49" s="2">
        <v>0</v>
      </c>
      <c r="J49" s="2">
        <v>0</v>
      </c>
      <c r="K49" s="2">
        <v>0</v>
      </c>
      <c r="L49" s="2">
        <v>0</v>
      </c>
      <c r="M49" s="2">
        <v>0</v>
      </c>
      <c r="N49" s="2">
        <v>0</v>
      </c>
      <c r="O49" s="2">
        <v>0</v>
      </c>
      <c r="P49" s="2">
        <v>0</v>
      </c>
      <c r="Q49" s="2">
        <v>0</v>
      </c>
      <c r="R49" s="2">
        <v>0</v>
      </c>
      <c r="S49" s="2" t="s">
        <v>488</v>
      </c>
      <c r="T49" s="2" t="s">
        <v>488</v>
      </c>
      <c r="U49" s="2">
        <v>0</v>
      </c>
      <c r="V49" s="2">
        <v>0</v>
      </c>
      <c r="W49">
        <f t="shared" si="0"/>
        <v>0</v>
      </c>
    </row>
    <row r="50" spans="1:23" x14ac:dyDescent="0.25">
      <c r="A50" s="2" t="s">
        <v>628</v>
      </c>
      <c r="B50" s="2" t="s">
        <v>626</v>
      </c>
      <c r="C50" s="2">
        <v>540041</v>
      </c>
      <c r="D50" s="2" t="s">
        <v>666</v>
      </c>
      <c r="E50" s="2" t="s">
        <v>27</v>
      </c>
      <c r="F50" s="2" t="s">
        <v>115</v>
      </c>
      <c r="G50" s="2">
        <v>4</v>
      </c>
      <c r="H50" s="2">
        <v>0</v>
      </c>
      <c r="I50" s="2">
        <v>0</v>
      </c>
      <c r="J50" s="2">
        <v>0</v>
      </c>
      <c r="K50" s="2">
        <v>0</v>
      </c>
      <c r="L50" s="2">
        <v>0</v>
      </c>
      <c r="M50" s="2">
        <v>0</v>
      </c>
      <c r="N50" s="2">
        <v>0</v>
      </c>
      <c r="O50" s="2">
        <v>0</v>
      </c>
      <c r="P50" s="2">
        <v>0</v>
      </c>
      <c r="Q50" s="2">
        <v>0</v>
      </c>
      <c r="R50" s="2">
        <v>0</v>
      </c>
      <c r="S50" s="2" t="s">
        <v>488</v>
      </c>
      <c r="T50" s="2" t="s">
        <v>488</v>
      </c>
      <c r="U50" s="2">
        <v>0</v>
      </c>
      <c r="V50" s="2">
        <v>0</v>
      </c>
      <c r="W50">
        <f t="shared" si="0"/>
        <v>0</v>
      </c>
    </row>
    <row r="51" spans="1:23" x14ac:dyDescent="0.25">
      <c r="A51" s="2" t="s">
        <v>628</v>
      </c>
      <c r="B51" s="2" t="s">
        <v>626</v>
      </c>
      <c r="C51" s="2">
        <v>540043</v>
      </c>
      <c r="D51" s="2" t="s">
        <v>667</v>
      </c>
      <c r="E51" s="2" t="s">
        <v>27</v>
      </c>
      <c r="F51" s="2" t="s">
        <v>115</v>
      </c>
      <c r="G51" s="2">
        <v>4</v>
      </c>
      <c r="H51" s="2">
        <v>0</v>
      </c>
      <c r="I51" s="2">
        <v>0</v>
      </c>
      <c r="J51" s="2">
        <v>0</v>
      </c>
      <c r="K51" s="2">
        <v>0</v>
      </c>
      <c r="L51" s="2">
        <v>0</v>
      </c>
      <c r="M51" s="2">
        <v>0</v>
      </c>
      <c r="N51" s="2">
        <v>0</v>
      </c>
      <c r="O51" s="2">
        <v>0</v>
      </c>
      <c r="P51" s="2">
        <v>0</v>
      </c>
      <c r="Q51" s="2">
        <v>0</v>
      </c>
      <c r="R51" s="2">
        <v>0</v>
      </c>
      <c r="S51" s="2" t="s">
        <v>488</v>
      </c>
      <c r="T51" s="2" t="s">
        <v>488</v>
      </c>
      <c r="U51" s="2">
        <v>0</v>
      </c>
      <c r="V51" s="2">
        <v>0</v>
      </c>
      <c r="W51">
        <f t="shared" si="0"/>
        <v>0</v>
      </c>
    </row>
    <row r="52" spans="1:23" x14ac:dyDescent="0.25">
      <c r="A52" s="2" t="s">
        <v>628</v>
      </c>
      <c r="B52" s="2" t="s">
        <v>626</v>
      </c>
      <c r="C52" s="2">
        <v>540044</v>
      </c>
      <c r="D52" s="2" t="s">
        <v>668</v>
      </c>
      <c r="E52" s="2" t="s">
        <v>27</v>
      </c>
      <c r="F52" s="2" t="s">
        <v>115</v>
      </c>
      <c r="G52" s="2">
        <v>4</v>
      </c>
      <c r="H52" s="2">
        <v>0</v>
      </c>
      <c r="I52" s="2">
        <v>0</v>
      </c>
      <c r="J52" s="2">
        <v>0</v>
      </c>
      <c r="K52" s="2">
        <v>0</v>
      </c>
      <c r="L52" s="2">
        <v>0</v>
      </c>
      <c r="M52" s="2">
        <v>0</v>
      </c>
      <c r="N52" s="2">
        <v>0</v>
      </c>
      <c r="O52" s="2">
        <v>0</v>
      </c>
      <c r="P52" s="2">
        <v>0</v>
      </c>
      <c r="Q52" s="2">
        <v>0</v>
      </c>
      <c r="R52" s="2">
        <v>0</v>
      </c>
      <c r="S52" s="2" t="s">
        <v>488</v>
      </c>
      <c r="T52" s="2" t="s">
        <v>488</v>
      </c>
      <c r="U52" s="2">
        <v>0</v>
      </c>
      <c r="V52" s="2">
        <v>0</v>
      </c>
      <c r="W52">
        <f t="shared" si="0"/>
        <v>0</v>
      </c>
    </row>
    <row r="53" spans="1:23" x14ac:dyDescent="0.25">
      <c r="A53" s="2" t="s">
        <v>628</v>
      </c>
      <c r="B53" s="2" t="s">
        <v>626</v>
      </c>
      <c r="C53" s="2">
        <v>540045</v>
      </c>
      <c r="D53" s="2" t="s">
        <v>669</v>
      </c>
      <c r="E53" s="2" t="s">
        <v>27</v>
      </c>
      <c r="F53" s="2" t="s">
        <v>115</v>
      </c>
      <c r="G53" s="2">
        <v>4</v>
      </c>
      <c r="H53" s="2">
        <v>0</v>
      </c>
      <c r="I53" s="2">
        <v>0</v>
      </c>
      <c r="J53" s="2">
        <v>0</v>
      </c>
      <c r="K53" s="2">
        <v>0</v>
      </c>
      <c r="L53" s="2">
        <v>0</v>
      </c>
      <c r="M53" s="2">
        <v>0</v>
      </c>
      <c r="N53" s="2">
        <v>0</v>
      </c>
      <c r="O53" s="2">
        <v>0</v>
      </c>
      <c r="P53" s="2">
        <v>0</v>
      </c>
      <c r="Q53" s="2">
        <v>0</v>
      </c>
      <c r="R53" s="2">
        <v>0</v>
      </c>
      <c r="S53" s="2" t="s">
        <v>488</v>
      </c>
      <c r="T53" s="2" t="s">
        <v>488</v>
      </c>
      <c r="U53" s="2">
        <v>0</v>
      </c>
      <c r="V53" s="2">
        <v>0</v>
      </c>
      <c r="W53">
        <f t="shared" si="0"/>
        <v>0</v>
      </c>
    </row>
    <row r="54" spans="1:23" x14ac:dyDescent="0.25">
      <c r="A54" s="2" t="s">
        <v>628</v>
      </c>
      <c r="B54" s="2" t="s">
        <v>626</v>
      </c>
      <c r="C54" s="2">
        <v>540228</v>
      </c>
      <c r="D54" s="2" t="s">
        <v>670</v>
      </c>
      <c r="E54" s="2" t="s">
        <v>27</v>
      </c>
      <c r="F54" s="2" t="s">
        <v>115</v>
      </c>
      <c r="G54" s="2">
        <v>4</v>
      </c>
      <c r="H54" s="2">
        <v>0</v>
      </c>
      <c r="I54" s="2">
        <v>0</v>
      </c>
      <c r="J54" s="2">
        <v>0</v>
      </c>
      <c r="K54" s="2">
        <v>0</v>
      </c>
      <c r="L54" s="2">
        <v>0</v>
      </c>
      <c r="M54" s="2">
        <v>0</v>
      </c>
      <c r="N54" s="2">
        <v>0</v>
      </c>
      <c r="O54" s="2">
        <v>0</v>
      </c>
      <c r="P54" s="2">
        <v>0</v>
      </c>
      <c r="Q54" s="2">
        <v>0</v>
      </c>
      <c r="R54" s="2">
        <v>0</v>
      </c>
      <c r="S54" s="2" t="s">
        <v>488</v>
      </c>
      <c r="T54" s="2" t="s">
        <v>488</v>
      </c>
      <c r="U54" s="2">
        <v>0</v>
      </c>
      <c r="V54" s="2">
        <v>0</v>
      </c>
      <c r="W54">
        <f t="shared" si="0"/>
        <v>0</v>
      </c>
    </row>
    <row r="55" spans="1:23" x14ac:dyDescent="0.25">
      <c r="A55" s="2" t="s">
        <v>628</v>
      </c>
      <c r="B55" s="2" t="s">
        <v>626</v>
      </c>
      <c r="C55" s="2">
        <v>540243</v>
      </c>
      <c r="D55" s="2" t="s">
        <v>671</v>
      </c>
      <c r="E55" s="2" t="s">
        <v>27</v>
      </c>
      <c r="F55" s="2" t="s">
        <v>115</v>
      </c>
      <c r="G55" s="2">
        <v>4</v>
      </c>
      <c r="H55" s="2">
        <v>0</v>
      </c>
      <c r="I55" s="2">
        <v>0</v>
      </c>
      <c r="J55" s="2">
        <v>0</v>
      </c>
      <c r="K55" s="2">
        <v>0</v>
      </c>
      <c r="L55" s="2">
        <v>0</v>
      </c>
      <c r="M55" s="2">
        <v>0</v>
      </c>
      <c r="N55" s="2">
        <v>0</v>
      </c>
      <c r="O55" s="2">
        <v>0</v>
      </c>
      <c r="P55" s="2">
        <v>0</v>
      </c>
      <c r="Q55" s="2">
        <v>0</v>
      </c>
      <c r="R55" s="2">
        <v>0</v>
      </c>
      <c r="S55" s="2" t="s">
        <v>488</v>
      </c>
      <c r="T55" s="2" t="s">
        <v>488</v>
      </c>
      <c r="U55" s="2">
        <v>0</v>
      </c>
      <c r="V55" s="2">
        <v>0</v>
      </c>
      <c r="W55">
        <f t="shared" si="0"/>
        <v>0</v>
      </c>
    </row>
    <row r="56" spans="1:23" x14ac:dyDescent="0.25">
      <c r="A56" s="2" t="s">
        <v>628</v>
      </c>
      <c r="B56" s="2" t="s">
        <v>626</v>
      </c>
      <c r="C56" s="2">
        <v>540244</v>
      </c>
      <c r="D56" s="2" t="s">
        <v>672</v>
      </c>
      <c r="E56" s="2" t="s">
        <v>27</v>
      </c>
      <c r="F56" s="2" t="s">
        <v>115</v>
      </c>
      <c r="G56" s="2">
        <v>4</v>
      </c>
      <c r="H56" s="2">
        <v>0</v>
      </c>
      <c r="I56" s="2">
        <v>0</v>
      </c>
      <c r="J56" s="2">
        <v>0</v>
      </c>
      <c r="K56" s="2">
        <v>0</v>
      </c>
      <c r="L56" s="2">
        <v>0</v>
      </c>
      <c r="M56" s="2">
        <v>0</v>
      </c>
      <c r="N56" s="2">
        <v>0</v>
      </c>
      <c r="O56" s="2">
        <v>0</v>
      </c>
      <c r="P56" s="2">
        <v>0</v>
      </c>
      <c r="Q56" s="2">
        <v>0</v>
      </c>
      <c r="R56" s="2">
        <v>0</v>
      </c>
      <c r="S56" s="2" t="s">
        <v>488</v>
      </c>
      <c r="T56" s="2" t="s">
        <v>488</v>
      </c>
      <c r="U56" s="2">
        <v>0</v>
      </c>
      <c r="V56" s="2">
        <v>0</v>
      </c>
      <c r="W56">
        <f t="shared" si="0"/>
        <v>0</v>
      </c>
    </row>
    <row r="57" spans="1:23" x14ac:dyDescent="0.25">
      <c r="A57" s="2" t="s">
        <v>628</v>
      </c>
      <c r="B57" s="2" t="s">
        <v>626</v>
      </c>
      <c r="C57" s="2">
        <v>540281</v>
      </c>
      <c r="D57" s="2" t="s">
        <v>673</v>
      </c>
      <c r="E57" s="2" t="s">
        <v>27</v>
      </c>
      <c r="F57" s="2" t="s">
        <v>115</v>
      </c>
      <c r="G57" s="2">
        <v>4</v>
      </c>
      <c r="H57" s="2">
        <v>0</v>
      </c>
      <c r="I57" s="2">
        <v>0</v>
      </c>
      <c r="J57" s="2">
        <v>0</v>
      </c>
      <c r="K57" s="2">
        <v>0</v>
      </c>
      <c r="L57" s="2">
        <v>0</v>
      </c>
      <c r="M57" s="2">
        <v>0</v>
      </c>
      <c r="N57" s="2">
        <v>0</v>
      </c>
      <c r="O57" s="2">
        <v>0</v>
      </c>
      <c r="P57" s="2">
        <v>0</v>
      </c>
      <c r="Q57" s="2">
        <v>0</v>
      </c>
      <c r="R57" s="2">
        <v>0</v>
      </c>
      <c r="S57" s="2" t="s">
        <v>488</v>
      </c>
      <c r="T57" s="2" t="s">
        <v>488</v>
      </c>
      <c r="U57" s="2">
        <v>0</v>
      </c>
      <c r="V57" s="2">
        <v>0</v>
      </c>
      <c r="W57">
        <f t="shared" si="0"/>
        <v>0</v>
      </c>
    </row>
    <row r="58" spans="1:23" x14ac:dyDescent="0.25">
      <c r="A58" s="255" t="s">
        <v>628</v>
      </c>
      <c r="B58" s="255" t="s">
        <v>626</v>
      </c>
      <c r="C58" s="255"/>
      <c r="D58" s="255"/>
      <c r="E58" s="255" t="s">
        <v>27</v>
      </c>
      <c r="F58" s="255"/>
      <c r="G58" s="255"/>
      <c r="H58" s="255">
        <v>0</v>
      </c>
      <c r="I58" s="255">
        <v>0</v>
      </c>
      <c r="J58" s="255">
        <v>0</v>
      </c>
      <c r="K58" s="255">
        <v>0</v>
      </c>
      <c r="L58" s="255">
        <v>0</v>
      </c>
      <c r="M58" s="255">
        <v>0</v>
      </c>
      <c r="N58" s="255">
        <v>0</v>
      </c>
      <c r="O58" s="255">
        <v>0</v>
      </c>
      <c r="P58" s="255">
        <v>0</v>
      </c>
      <c r="Q58" s="255">
        <v>0</v>
      </c>
      <c r="R58" s="255">
        <v>0</v>
      </c>
      <c r="S58" s="255" t="s">
        <v>488</v>
      </c>
      <c r="T58" s="255" t="s">
        <v>488</v>
      </c>
      <c r="U58" s="255">
        <v>0</v>
      </c>
      <c r="V58" s="255">
        <v>0</v>
      </c>
      <c r="W58">
        <f t="shared" si="0"/>
        <v>0</v>
      </c>
    </row>
    <row r="59" spans="1:23" x14ac:dyDescent="0.25">
      <c r="A59" s="2" t="s">
        <v>628</v>
      </c>
      <c r="B59" s="2" t="s">
        <v>626</v>
      </c>
      <c r="C59" s="2">
        <v>540047</v>
      </c>
      <c r="D59" s="2" t="s">
        <v>674</v>
      </c>
      <c r="E59" s="2" t="s">
        <v>29</v>
      </c>
      <c r="F59" s="2" t="s">
        <v>5</v>
      </c>
      <c r="G59" s="2">
        <v>11</v>
      </c>
      <c r="H59" s="2">
        <v>0</v>
      </c>
      <c r="I59" s="2">
        <v>0</v>
      </c>
      <c r="J59" s="2">
        <v>0</v>
      </c>
      <c r="K59" s="2">
        <v>0</v>
      </c>
      <c r="L59" s="2">
        <v>0</v>
      </c>
      <c r="M59" s="2">
        <v>0</v>
      </c>
      <c r="N59" s="2">
        <v>0</v>
      </c>
      <c r="O59" s="2">
        <v>0</v>
      </c>
      <c r="P59" s="2">
        <v>0</v>
      </c>
      <c r="Q59" s="2">
        <v>0</v>
      </c>
      <c r="R59" s="2">
        <v>0</v>
      </c>
      <c r="S59" s="2" t="s">
        <v>488</v>
      </c>
      <c r="T59" s="2" t="s">
        <v>488</v>
      </c>
      <c r="U59" s="2">
        <v>0</v>
      </c>
      <c r="V59" s="2">
        <v>0</v>
      </c>
      <c r="W59">
        <f t="shared" si="0"/>
        <v>0</v>
      </c>
    </row>
    <row r="60" spans="1:23" x14ac:dyDescent="0.25">
      <c r="A60" s="2" t="s">
        <v>628</v>
      </c>
      <c r="B60" s="2" t="s">
        <v>626</v>
      </c>
      <c r="C60" s="2">
        <v>540014</v>
      </c>
      <c r="D60" s="2" t="s">
        <v>645</v>
      </c>
      <c r="E60" s="2" t="s">
        <v>29</v>
      </c>
      <c r="F60" s="2" t="s">
        <v>115</v>
      </c>
      <c r="G60" s="2">
        <v>11</v>
      </c>
      <c r="H60" s="2">
        <v>0</v>
      </c>
      <c r="I60" s="2">
        <v>0</v>
      </c>
      <c r="J60" s="2">
        <v>0</v>
      </c>
      <c r="K60" s="2">
        <v>0</v>
      </c>
      <c r="L60" s="2">
        <v>0</v>
      </c>
      <c r="M60" s="2">
        <v>0</v>
      </c>
      <c r="N60" s="2">
        <v>0</v>
      </c>
      <c r="O60" s="2">
        <v>0</v>
      </c>
      <c r="P60" s="2">
        <v>0</v>
      </c>
      <c r="Q60" s="2">
        <v>0</v>
      </c>
      <c r="R60" s="2">
        <v>0</v>
      </c>
      <c r="S60" s="2" t="s">
        <v>488</v>
      </c>
      <c r="T60" s="2" t="s">
        <v>488</v>
      </c>
      <c r="U60" s="2">
        <v>0</v>
      </c>
      <c r="V60" s="2">
        <v>0</v>
      </c>
      <c r="W60">
        <f t="shared" si="0"/>
        <v>0</v>
      </c>
    </row>
    <row r="61" spans="1:23" x14ac:dyDescent="0.25">
      <c r="A61" s="2" t="s">
        <v>628</v>
      </c>
      <c r="B61" s="2" t="s">
        <v>626</v>
      </c>
      <c r="C61" s="2">
        <v>540048</v>
      </c>
      <c r="D61" s="2" t="s">
        <v>675</v>
      </c>
      <c r="E61" s="2" t="s">
        <v>29</v>
      </c>
      <c r="F61" s="2" t="s">
        <v>115</v>
      </c>
      <c r="G61" s="2">
        <v>11</v>
      </c>
      <c r="H61" s="2">
        <v>0</v>
      </c>
      <c r="I61" s="2">
        <v>0</v>
      </c>
      <c r="J61" s="2">
        <v>0</v>
      </c>
      <c r="K61" s="2">
        <v>0</v>
      </c>
      <c r="L61" s="2">
        <v>0</v>
      </c>
      <c r="M61" s="2">
        <v>0</v>
      </c>
      <c r="N61" s="2">
        <v>0</v>
      </c>
      <c r="O61" s="2">
        <v>0</v>
      </c>
      <c r="P61" s="2">
        <v>0</v>
      </c>
      <c r="Q61" s="2">
        <v>0</v>
      </c>
      <c r="R61" s="2">
        <v>0</v>
      </c>
      <c r="S61" s="2" t="s">
        <v>488</v>
      </c>
      <c r="T61" s="2" t="s">
        <v>488</v>
      </c>
      <c r="U61" s="2">
        <v>0</v>
      </c>
      <c r="V61" s="2">
        <v>0</v>
      </c>
      <c r="W61">
        <f t="shared" si="0"/>
        <v>0</v>
      </c>
    </row>
    <row r="62" spans="1:23" x14ac:dyDescent="0.25">
      <c r="A62" s="2" t="s">
        <v>628</v>
      </c>
      <c r="B62" s="2" t="s">
        <v>626</v>
      </c>
      <c r="C62" s="2">
        <v>540049</v>
      </c>
      <c r="D62" s="2" t="s">
        <v>676</v>
      </c>
      <c r="E62" s="2" t="s">
        <v>29</v>
      </c>
      <c r="F62" s="2" t="s">
        <v>115</v>
      </c>
      <c r="G62" s="2">
        <v>11</v>
      </c>
      <c r="H62" s="2">
        <v>0</v>
      </c>
      <c r="I62" s="2">
        <v>0</v>
      </c>
      <c r="J62" s="2">
        <v>0</v>
      </c>
      <c r="K62" s="2">
        <v>0</v>
      </c>
      <c r="L62" s="2">
        <v>0</v>
      </c>
      <c r="M62" s="2">
        <v>0</v>
      </c>
      <c r="N62" s="2">
        <v>0</v>
      </c>
      <c r="O62" s="2">
        <v>0</v>
      </c>
      <c r="P62" s="2">
        <v>0</v>
      </c>
      <c r="Q62" s="2">
        <v>0</v>
      </c>
      <c r="R62" s="2">
        <v>0</v>
      </c>
      <c r="S62" s="2" t="s">
        <v>488</v>
      </c>
      <c r="T62" s="2" t="s">
        <v>488</v>
      </c>
      <c r="U62" s="2">
        <v>0</v>
      </c>
      <c r="V62" s="2">
        <v>0</v>
      </c>
      <c r="W62">
        <f t="shared" si="0"/>
        <v>0</v>
      </c>
    </row>
    <row r="63" spans="1:23" x14ac:dyDescent="0.25">
      <c r="A63" s="255" t="s">
        <v>628</v>
      </c>
      <c r="B63" s="255" t="s">
        <v>626</v>
      </c>
      <c r="C63" s="255"/>
      <c r="D63" s="255"/>
      <c r="E63" s="255" t="s">
        <v>29</v>
      </c>
      <c r="F63" s="255"/>
      <c r="G63" s="255"/>
      <c r="H63" s="255">
        <v>0</v>
      </c>
      <c r="I63" s="255">
        <v>0</v>
      </c>
      <c r="J63" s="255">
        <v>0</v>
      </c>
      <c r="K63" s="255">
        <v>0</v>
      </c>
      <c r="L63" s="255">
        <v>0</v>
      </c>
      <c r="M63" s="255">
        <v>0</v>
      </c>
      <c r="N63" s="255">
        <v>0</v>
      </c>
      <c r="O63" s="255">
        <v>0</v>
      </c>
      <c r="P63" s="255">
        <v>0</v>
      </c>
      <c r="Q63" s="255">
        <v>0</v>
      </c>
      <c r="R63" s="255">
        <v>0</v>
      </c>
      <c r="S63" s="255" t="s">
        <v>488</v>
      </c>
      <c r="T63" s="255" t="s">
        <v>488</v>
      </c>
      <c r="U63" s="255">
        <v>0</v>
      </c>
      <c r="V63" s="255">
        <v>0</v>
      </c>
      <c r="W63">
        <f t="shared" si="0"/>
        <v>0</v>
      </c>
    </row>
    <row r="64" spans="1:23" x14ac:dyDescent="0.25">
      <c r="A64" s="2" t="s">
        <v>628</v>
      </c>
      <c r="B64" s="2" t="s">
        <v>626</v>
      </c>
      <c r="C64" s="2">
        <v>540051</v>
      </c>
      <c r="D64" s="2" t="s">
        <v>677</v>
      </c>
      <c r="E64" s="2" t="s">
        <v>31</v>
      </c>
      <c r="F64" s="2" t="s">
        <v>5</v>
      </c>
      <c r="G64" s="2">
        <v>8</v>
      </c>
      <c r="H64" s="2">
        <v>0</v>
      </c>
      <c r="I64" s="2">
        <v>0</v>
      </c>
      <c r="J64" s="2">
        <v>0</v>
      </c>
      <c r="K64" s="2">
        <v>0</v>
      </c>
      <c r="L64" s="2">
        <v>0</v>
      </c>
      <c r="M64" s="2">
        <v>0</v>
      </c>
      <c r="N64" s="2">
        <v>0</v>
      </c>
      <c r="O64" s="2">
        <v>0</v>
      </c>
      <c r="P64" s="2">
        <v>0</v>
      </c>
      <c r="Q64" s="2" t="s">
        <v>488</v>
      </c>
      <c r="R64" s="2" t="s">
        <v>488</v>
      </c>
      <c r="S64" s="2" t="s">
        <v>488</v>
      </c>
      <c r="T64" s="2" t="s">
        <v>488</v>
      </c>
      <c r="U64" s="2">
        <v>0</v>
      </c>
      <c r="V64" s="2">
        <v>0</v>
      </c>
      <c r="W64">
        <f t="shared" si="0"/>
        <v>0</v>
      </c>
    </row>
    <row r="65" spans="1:23" x14ac:dyDescent="0.25">
      <c r="A65" s="2" t="s">
        <v>628</v>
      </c>
      <c r="B65" s="2" t="s">
        <v>626</v>
      </c>
      <c r="C65" s="2">
        <v>540052</v>
      </c>
      <c r="D65" s="2" t="s">
        <v>678</v>
      </c>
      <c r="E65" s="2" t="s">
        <v>31</v>
      </c>
      <c r="F65" s="2" t="s">
        <v>115</v>
      </c>
      <c r="G65" s="2">
        <v>8</v>
      </c>
      <c r="H65" s="2">
        <v>0</v>
      </c>
      <c r="I65" s="2">
        <v>0</v>
      </c>
      <c r="J65" s="2">
        <v>0</v>
      </c>
      <c r="K65" s="2">
        <v>0</v>
      </c>
      <c r="L65" s="2">
        <v>0</v>
      </c>
      <c r="M65" s="2">
        <v>0</v>
      </c>
      <c r="N65" s="2">
        <v>0</v>
      </c>
      <c r="O65" s="2">
        <v>0</v>
      </c>
      <c r="P65" s="2">
        <v>0</v>
      </c>
      <c r="Q65" s="2" t="s">
        <v>488</v>
      </c>
      <c r="R65" s="2" t="s">
        <v>488</v>
      </c>
      <c r="S65" s="2" t="s">
        <v>488</v>
      </c>
      <c r="T65" s="2" t="s">
        <v>488</v>
      </c>
      <c r="U65" s="2">
        <v>0</v>
      </c>
      <c r="V65" s="2">
        <v>0</v>
      </c>
      <c r="W65">
        <f t="shared" si="0"/>
        <v>0</v>
      </c>
    </row>
    <row r="66" spans="1:23" x14ac:dyDescent="0.25">
      <c r="A66" s="2" t="s">
        <v>628</v>
      </c>
      <c r="B66" s="2" t="s">
        <v>626</v>
      </c>
      <c r="C66" s="2">
        <v>540245</v>
      </c>
      <c r="D66" s="2" t="s">
        <v>679</v>
      </c>
      <c r="E66" s="2" t="s">
        <v>31</v>
      </c>
      <c r="F66" s="2" t="s">
        <v>115</v>
      </c>
      <c r="G66" s="2">
        <v>8</v>
      </c>
      <c r="H66" s="2">
        <v>0</v>
      </c>
      <c r="I66" s="2">
        <v>0</v>
      </c>
      <c r="J66" s="2">
        <v>0</v>
      </c>
      <c r="K66" s="2">
        <v>0</v>
      </c>
      <c r="L66" s="2">
        <v>0</v>
      </c>
      <c r="M66" s="2">
        <v>0</v>
      </c>
      <c r="N66" s="2">
        <v>0</v>
      </c>
      <c r="O66" s="2">
        <v>0</v>
      </c>
      <c r="P66" s="2">
        <v>0</v>
      </c>
      <c r="Q66" s="2" t="s">
        <v>488</v>
      </c>
      <c r="R66" s="2" t="s">
        <v>488</v>
      </c>
      <c r="S66" s="2" t="s">
        <v>488</v>
      </c>
      <c r="T66" s="2" t="s">
        <v>488</v>
      </c>
      <c r="U66" s="2">
        <v>0</v>
      </c>
      <c r="V66" s="2">
        <v>0</v>
      </c>
      <c r="W66">
        <f t="shared" si="0"/>
        <v>0</v>
      </c>
    </row>
    <row r="67" spans="1:23" x14ac:dyDescent="0.25">
      <c r="A67" s="255" t="s">
        <v>628</v>
      </c>
      <c r="B67" s="255" t="s">
        <v>626</v>
      </c>
      <c r="C67" s="255"/>
      <c r="D67" s="255"/>
      <c r="E67" s="255" t="s">
        <v>31</v>
      </c>
      <c r="F67" s="255"/>
      <c r="G67" s="255"/>
      <c r="H67" s="255">
        <v>0</v>
      </c>
      <c r="I67" s="255">
        <v>0</v>
      </c>
      <c r="J67" s="255">
        <v>0</v>
      </c>
      <c r="K67" s="255">
        <v>0</v>
      </c>
      <c r="L67" s="255">
        <v>0</v>
      </c>
      <c r="M67" s="255">
        <v>0</v>
      </c>
      <c r="N67" s="255">
        <v>0</v>
      </c>
      <c r="O67" s="255">
        <v>0</v>
      </c>
      <c r="P67" s="255">
        <v>0</v>
      </c>
      <c r="Q67" s="255" t="s">
        <v>488</v>
      </c>
      <c r="R67" s="255" t="s">
        <v>488</v>
      </c>
      <c r="S67" s="255" t="s">
        <v>488</v>
      </c>
      <c r="T67" s="255" t="s">
        <v>488</v>
      </c>
      <c r="U67" s="255">
        <v>0</v>
      </c>
      <c r="V67" s="255">
        <v>0</v>
      </c>
      <c r="W67">
        <f t="shared" ref="W67:W130" si="1">SUM(N67,P67,R67,T67,U67,V67)</f>
        <v>0</v>
      </c>
    </row>
    <row r="68" spans="1:23" x14ac:dyDescent="0.25">
      <c r="A68" s="2" t="s">
        <v>628</v>
      </c>
      <c r="B68" s="2" t="s">
        <v>626</v>
      </c>
      <c r="C68" s="2">
        <v>540053</v>
      </c>
      <c r="D68" s="2" t="s">
        <v>680</v>
      </c>
      <c r="E68" s="2" t="s">
        <v>33</v>
      </c>
      <c r="F68" s="2" t="s">
        <v>5</v>
      </c>
      <c r="G68" s="2">
        <v>6</v>
      </c>
      <c r="H68" s="2">
        <v>0</v>
      </c>
      <c r="I68" s="2">
        <v>0</v>
      </c>
      <c r="J68" s="2">
        <v>0</v>
      </c>
      <c r="K68" s="2">
        <v>0</v>
      </c>
      <c r="L68" s="2">
        <v>0</v>
      </c>
      <c r="M68" s="2">
        <v>0</v>
      </c>
      <c r="N68" s="2">
        <v>0</v>
      </c>
      <c r="O68" s="2">
        <v>0</v>
      </c>
      <c r="P68" s="2">
        <v>0</v>
      </c>
      <c r="Q68" s="2">
        <v>0</v>
      </c>
      <c r="R68" s="2">
        <v>0</v>
      </c>
      <c r="S68" s="2" t="s">
        <v>488</v>
      </c>
      <c r="T68" s="2" t="s">
        <v>488</v>
      </c>
      <c r="U68" s="2">
        <v>0</v>
      </c>
      <c r="V68" s="2">
        <v>0</v>
      </c>
      <c r="W68">
        <f t="shared" si="1"/>
        <v>0</v>
      </c>
    </row>
    <row r="69" spans="1:23" x14ac:dyDescent="0.25">
      <c r="A69" s="2" t="s">
        <v>628</v>
      </c>
      <c r="B69" s="2" t="s">
        <v>626</v>
      </c>
      <c r="C69" s="2">
        <v>540054</v>
      </c>
      <c r="D69" s="2" t="s">
        <v>681</v>
      </c>
      <c r="E69" s="2" t="s">
        <v>33</v>
      </c>
      <c r="F69" s="2" t="s">
        <v>115</v>
      </c>
      <c r="G69" s="2">
        <v>6</v>
      </c>
      <c r="H69" s="2">
        <v>0</v>
      </c>
      <c r="I69" s="2">
        <v>0</v>
      </c>
      <c r="J69" s="2">
        <v>0</v>
      </c>
      <c r="K69" s="2">
        <v>0</v>
      </c>
      <c r="L69" s="2">
        <v>0</v>
      </c>
      <c r="M69" s="2">
        <v>0</v>
      </c>
      <c r="N69" s="2">
        <v>0</v>
      </c>
      <c r="O69" s="2">
        <v>0</v>
      </c>
      <c r="P69" s="2">
        <v>0</v>
      </c>
      <c r="Q69" s="2">
        <v>0</v>
      </c>
      <c r="R69" s="2">
        <v>0</v>
      </c>
      <c r="S69" s="2" t="s">
        <v>488</v>
      </c>
      <c r="T69" s="2" t="s">
        <v>488</v>
      </c>
      <c r="U69" s="2">
        <v>0</v>
      </c>
      <c r="V69" s="2">
        <v>0</v>
      </c>
      <c r="W69">
        <f t="shared" si="1"/>
        <v>0</v>
      </c>
    </row>
    <row r="70" spans="1:23" x14ac:dyDescent="0.25">
      <c r="A70" s="2" t="s">
        <v>628</v>
      </c>
      <c r="B70" s="2" t="s">
        <v>626</v>
      </c>
      <c r="C70" s="2">
        <v>540055</v>
      </c>
      <c r="D70" s="2" t="s">
        <v>682</v>
      </c>
      <c r="E70" s="2" t="s">
        <v>33</v>
      </c>
      <c r="F70" s="2" t="s">
        <v>115</v>
      </c>
      <c r="G70" s="2">
        <v>6</v>
      </c>
      <c r="H70" s="2">
        <v>0</v>
      </c>
      <c r="I70" s="2">
        <v>0</v>
      </c>
      <c r="J70" s="2">
        <v>0</v>
      </c>
      <c r="K70" s="2">
        <v>0</v>
      </c>
      <c r="L70" s="2">
        <v>0</v>
      </c>
      <c r="M70" s="2">
        <v>0</v>
      </c>
      <c r="N70" s="2">
        <v>0</v>
      </c>
      <c r="O70" s="2">
        <v>0</v>
      </c>
      <c r="P70" s="2">
        <v>0</v>
      </c>
      <c r="Q70" s="2">
        <v>0</v>
      </c>
      <c r="R70" s="2">
        <v>0</v>
      </c>
      <c r="S70" s="2" t="s">
        <v>488</v>
      </c>
      <c r="T70" s="2" t="s">
        <v>488</v>
      </c>
      <c r="U70" s="2">
        <v>0</v>
      </c>
      <c r="V70" s="2">
        <v>0</v>
      </c>
      <c r="W70">
        <f t="shared" si="1"/>
        <v>0</v>
      </c>
    </row>
    <row r="71" spans="1:23" x14ac:dyDescent="0.25">
      <c r="A71" s="2" t="s">
        <v>628</v>
      </c>
      <c r="B71" s="2" t="s">
        <v>626</v>
      </c>
      <c r="C71" s="2">
        <v>540056</v>
      </c>
      <c r="D71" s="2" t="s">
        <v>683</v>
      </c>
      <c r="E71" s="2" t="s">
        <v>33</v>
      </c>
      <c r="F71" s="2" t="s">
        <v>115</v>
      </c>
      <c r="G71" s="2">
        <v>6</v>
      </c>
      <c r="H71" s="2">
        <v>0</v>
      </c>
      <c r="I71" s="2">
        <v>0</v>
      </c>
      <c r="J71" s="2">
        <v>0</v>
      </c>
      <c r="K71" s="2">
        <v>0</v>
      </c>
      <c r="L71" s="2">
        <v>0</v>
      </c>
      <c r="M71" s="2">
        <v>0</v>
      </c>
      <c r="N71" s="2">
        <v>0</v>
      </c>
      <c r="O71" s="2">
        <v>0</v>
      </c>
      <c r="P71" s="2">
        <v>0</v>
      </c>
      <c r="Q71" s="2">
        <v>0</v>
      </c>
      <c r="R71" s="2">
        <v>0</v>
      </c>
      <c r="S71" s="2" t="s">
        <v>488</v>
      </c>
      <c r="T71" s="2" t="s">
        <v>488</v>
      </c>
      <c r="U71" s="2">
        <v>0</v>
      </c>
      <c r="V71" s="2">
        <v>0</v>
      </c>
      <c r="W71">
        <f t="shared" si="1"/>
        <v>0</v>
      </c>
    </row>
    <row r="72" spans="1:23" x14ac:dyDescent="0.25">
      <c r="A72" s="2" t="s">
        <v>628</v>
      </c>
      <c r="B72" s="2" t="s">
        <v>626</v>
      </c>
      <c r="C72" s="2">
        <v>540057</v>
      </c>
      <c r="D72" s="2" t="s">
        <v>684</v>
      </c>
      <c r="E72" s="2" t="s">
        <v>33</v>
      </c>
      <c r="F72" s="2" t="s">
        <v>115</v>
      </c>
      <c r="G72" s="2">
        <v>6</v>
      </c>
      <c r="H72" s="2">
        <v>0</v>
      </c>
      <c r="I72" s="2">
        <v>0</v>
      </c>
      <c r="J72" s="2">
        <v>0</v>
      </c>
      <c r="K72" s="2">
        <v>0</v>
      </c>
      <c r="L72" s="2">
        <v>0</v>
      </c>
      <c r="M72" s="2">
        <v>0</v>
      </c>
      <c r="N72" s="2">
        <v>0</v>
      </c>
      <c r="O72" s="2">
        <v>0</v>
      </c>
      <c r="P72" s="2">
        <v>0</v>
      </c>
      <c r="Q72" s="2">
        <v>0</v>
      </c>
      <c r="R72" s="2">
        <v>0</v>
      </c>
      <c r="S72" s="2" t="s">
        <v>488</v>
      </c>
      <c r="T72" s="2" t="s">
        <v>488</v>
      </c>
      <c r="U72" s="2">
        <v>0</v>
      </c>
      <c r="V72" s="2">
        <v>0</v>
      </c>
      <c r="W72">
        <f t="shared" si="1"/>
        <v>0</v>
      </c>
    </row>
    <row r="73" spans="1:23" x14ac:dyDescent="0.25">
      <c r="A73" s="2" t="s">
        <v>628</v>
      </c>
      <c r="B73" s="2" t="s">
        <v>626</v>
      </c>
      <c r="C73" s="2">
        <v>540058</v>
      </c>
      <c r="D73" s="2" t="s">
        <v>685</v>
      </c>
      <c r="E73" s="2" t="s">
        <v>33</v>
      </c>
      <c r="F73" s="2" t="s">
        <v>115</v>
      </c>
      <c r="G73" s="2">
        <v>6</v>
      </c>
      <c r="H73" s="2">
        <v>0</v>
      </c>
      <c r="I73" s="2">
        <v>0</v>
      </c>
      <c r="J73" s="2">
        <v>0</v>
      </c>
      <c r="K73" s="2">
        <v>0</v>
      </c>
      <c r="L73" s="2">
        <v>0</v>
      </c>
      <c r="M73" s="2">
        <v>0</v>
      </c>
      <c r="N73" s="2">
        <v>0</v>
      </c>
      <c r="O73" s="2">
        <v>0</v>
      </c>
      <c r="P73" s="2">
        <v>0</v>
      </c>
      <c r="Q73" s="2">
        <v>0</v>
      </c>
      <c r="R73" s="2">
        <v>0</v>
      </c>
      <c r="S73" s="2" t="s">
        <v>488</v>
      </c>
      <c r="T73" s="2" t="s">
        <v>488</v>
      </c>
      <c r="U73" s="2">
        <v>0</v>
      </c>
      <c r="V73" s="2">
        <v>0</v>
      </c>
      <c r="W73">
        <f t="shared" si="1"/>
        <v>0</v>
      </c>
    </row>
    <row r="74" spans="1:23" x14ac:dyDescent="0.25">
      <c r="A74" s="2" t="s">
        <v>628</v>
      </c>
      <c r="B74" s="2" t="s">
        <v>626</v>
      </c>
      <c r="C74" s="2">
        <v>540059</v>
      </c>
      <c r="D74" s="2" t="s">
        <v>686</v>
      </c>
      <c r="E74" s="2" t="s">
        <v>33</v>
      </c>
      <c r="F74" s="2" t="s">
        <v>115</v>
      </c>
      <c r="G74" s="2">
        <v>6</v>
      </c>
      <c r="H74" s="2">
        <v>0</v>
      </c>
      <c r="I74" s="2">
        <v>0</v>
      </c>
      <c r="J74" s="2">
        <v>0</v>
      </c>
      <c r="K74" s="2">
        <v>0</v>
      </c>
      <c r="L74" s="2">
        <v>0</v>
      </c>
      <c r="M74" s="2">
        <v>0</v>
      </c>
      <c r="N74" s="2">
        <v>0</v>
      </c>
      <c r="O74" s="2">
        <v>0</v>
      </c>
      <c r="P74" s="2">
        <v>0</v>
      </c>
      <c r="Q74" s="2">
        <v>0</v>
      </c>
      <c r="R74" s="2">
        <v>0</v>
      </c>
      <c r="S74" s="2" t="s">
        <v>488</v>
      </c>
      <c r="T74" s="2" t="s">
        <v>488</v>
      </c>
      <c r="U74" s="2">
        <v>0</v>
      </c>
      <c r="V74" s="2">
        <v>0</v>
      </c>
      <c r="W74">
        <f t="shared" si="1"/>
        <v>0</v>
      </c>
    </row>
    <row r="75" spans="1:23" x14ac:dyDescent="0.25">
      <c r="A75" s="2" t="s">
        <v>628</v>
      </c>
      <c r="B75" s="2" t="s">
        <v>626</v>
      </c>
      <c r="C75" s="2">
        <v>540060</v>
      </c>
      <c r="D75" s="2" t="s">
        <v>687</v>
      </c>
      <c r="E75" s="2" t="s">
        <v>33</v>
      </c>
      <c r="F75" s="2" t="s">
        <v>115</v>
      </c>
      <c r="G75" s="2">
        <v>6</v>
      </c>
      <c r="H75" s="2">
        <v>0</v>
      </c>
      <c r="I75" s="2">
        <v>0</v>
      </c>
      <c r="J75" s="2">
        <v>0</v>
      </c>
      <c r="K75" s="2">
        <v>0</v>
      </c>
      <c r="L75" s="2">
        <v>0</v>
      </c>
      <c r="M75" s="2">
        <v>0</v>
      </c>
      <c r="N75" s="2">
        <v>0</v>
      </c>
      <c r="O75" s="2">
        <v>0</v>
      </c>
      <c r="P75" s="2">
        <v>0</v>
      </c>
      <c r="Q75" s="2">
        <v>0</v>
      </c>
      <c r="R75" s="2">
        <v>0</v>
      </c>
      <c r="S75" s="2" t="s">
        <v>488</v>
      </c>
      <c r="T75" s="2" t="s">
        <v>488</v>
      </c>
      <c r="U75" s="2">
        <v>0</v>
      </c>
      <c r="V75" s="2">
        <v>0</v>
      </c>
      <c r="W75">
        <f t="shared" si="1"/>
        <v>0</v>
      </c>
    </row>
    <row r="76" spans="1:23" x14ac:dyDescent="0.25">
      <c r="A76" s="2" t="s">
        <v>628</v>
      </c>
      <c r="B76" s="2" t="s">
        <v>626</v>
      </c>
      <c r="C76" s="2">
        <v>540061</v>
      </c>
      <c r="D76" s="2" t="s">
        <v>688</v>
      </c>
      <c r="E76" s="2" t="s">
        <v>33</v>
      </c>
      <c r="F76" s="2" t="s">
        <v>115</v>
      </c>
      <c r="G76" s="2">
        <v>6</v>
      </c>
      <c r="H76" s="2">
        <v>0</v>
      </c>
      <c r="I76" s="2">
        <v>0</v>
      </c>
      <c r="J76" s="2">
        <v>0</v>
      </c>
      <c r="K76" s="2">
        <v>0</v>
      </c>
      <c r="L76" s="2">
        <v>0</v>
      </c>
      <c r="M76" s="2">
        <v>0</v>
      </c>
      <c r="N76" s="2">
        <v>0</v>
      </c>
      <c r="O76" s="2">
        <v>0</v>
      </c>
      <c r="P76" s="2">
        <v>0</v>
      </c>
      <c r="Q76" s="2">
        <v>0</v>
      </c>
      <c r="R76" s="2">
        <v>0</v>
      </c>
      <c r="S76" s="2" t="s">
        <v>488</v>
      </c>
      <c r="T76" s="2" t="s">
        <v>488</v>
      </c>
      <c r="U76" s="2">
        <v>0</v>
      </c>
      <c r="V76" s="2">
        <v>0</v>
      </c>
      <c r="W76">
        <f t="shared" si="1"/>
        <v>0</v>
      </c>
    </row>
    <row r="77" spans="1:23" x14ac:dyDescent="0.25">
      <c r="A77" s="2" t="s">
        <v>628</v>
      </c>
      <c r="B77" s="2" t="s">
        <v>626</v>
      </c>
      <c r="C77" s="2">
        <v>540062</v>
      </c>
      <c r="D77" s="2" t="s">
        <v>689</v>
      </c>
      <c r="E77" s="2" t="s">
        <v>33</v>
      </c>
      <c r="F77" s="2" t="s">
        <v>115</v>
      </c>
      <c r="G77" s="2">
        <v>6</v>
      </c>
      <c r="H77" s="2">
        <v>0</v>
      </c>
      <c r="I77" s="2">
        <v>0</v>
      </c>
      <c r="J77" s="2">
        <v>0</v>
      </c>
      <c r="K77" s="2">
        <v>0</v>
      </c>
      <c r="L77" s="2">
        <v>0</v>
      </c>
      <c r="M77" s="2">
        <v>0</v>
      </c>
      <c r="N77" s="2">
        <v>0</v>
      </c>
      <c r="O77" s="2">
        <v>0</v>
      </c>
      <c r="P77" s="2">
        <v>0</v>
      </c>
      <c r="Q77" s="2">
        <v>0</v>
      </c>
      <c r="R77" s="2">
        <v>0</v>
      </c>
      <c r="S77" s="2" t="s">
        <v>488</v>
      </c>
      <c r="T77" s="2" t="s">
        <v>488</v>
      </c>
      <c r="U77" s="2">
        <v>0</v>
      </c>
      <c r="V77" s="2">
        <v>0</v>
      </c>
      <c r="W77">
        <f t="shared" si="1"/>
        <v>0</v>
      </c>
    </row>
    <row r="78" spans="1:23" x14ac:dyDescent="0.25">
      <c r="A78" s="2" t="s">
        <v>628</v>
      </c>
      <c r="B78" s="2" t="s">
        <v>626</v>
      </c>
      <c r="C78" s="2">
        <v>540242</v>
      </c>
      <c r="D78" s="2" t="s">
        <v>690</v>
      </c>
      <c r="E78" s="2" t="s">
        <v>33</v>
      </c>
      <c r="F78" s="2" t="s">
        <v>115</v>
      </c>
      <c r="G78" s="2">
        <v>6</v>
      </c>
      <c r="H78" s="2">
        <v>0</v>
      </c>
      <c r="I78" s="2">
        <v>0</v>
      </c>
      <c r="J78" s="2">
        <v>0</v>
      </c>
      <c r="K78" s="2">
        <v>0</v>
      </c>
      <c r="L78" s="2">
        <v>0</v>
      </c>
      <c r="M78" s="2">
        <v>0</v>
      </c>
      <c r="N78" s="2">
        <v>0</v>
      </c>
      <c r="O78" s="2">
        <v>0</v>
      </c>
      <c r="P78" s="2">
        <v>0</v>
      </c>
      <c r="Q78" s="2">
        <v>0</v>
      </c>
      <c r="R78" s="2">
        <v>0</v>
      </c>
      <c r="S78" s="2" t="s">
        <v>488</v>
      </c>
      <c r="T78" s="2" t="s">
        <v>488</v>
      </c>
      <c r="U78" s="2">
        <v>0</v>
      </c>
      <c r="V78" s="2">
        <v>0</v>
      </c>
      <c r="W78">
        <f t="shared" si="1"/>
        <v>0</v>
      </c>
    </row>
    <row r="79" spans="1:23" x14ac:dyDescent="0.25">
      <c r="A79" s="255" t="s">
        <v>628</v>
      </c>
      <c r="B79" s="255" t="s">
        <v>626</v>
      </c>
      <c r="C79" s="255"/>
      <c r="D79" s="255"/>
      <c r="E79" s="255" t="s">
        <v>33</v>
      </c>
      <c r="F79" s="255"/>
      <c r="G79" s="255"/>
      <c r="H79" s="255">
        <v>0</v>
      </c>
      <c r="I79" s="255">
        <v>0</v>
      </c>
      <c r="J79" s="255">
        <v>0</v>
      </c>
      <c r="K79" s="255">
        <v>0</v>
      </c>
      <c r="L79" s="255">
        <v>0</v>
      </c>
      <c r="M79" s="255">
        <v>0</v>
      </c>
      <c r="N79" s="255">
        <v>0</v>
      </c>
      <c r="O79" s="255">
        <v>0</v>
      </c>
      <c r="P79" s="255">
        <v>0</v>
      </c>
      <c r="Q79" s="255">
        <v>0</v>
      </c>
      <c r="R79" s="255">
        <v>0</v>
      </c>
      <c r="S79" s="255" t="s">
        <v>488</v>
      </c>
      <c r="T79" s="255" t="s">
        <v>488</v>
      </c>
      <c r="U79" s="255">
        <v>0</v>
      </c>
      <c r="V79" s="255">
        <v>0</v>
      </c>
      <c r="W79">
        <f t="shared" si="1"/>
        <v>0</v>
      </c>
    </row>
    <row r="80" spans="1:23" x14ac:dyDescent="0.25">
      <c r="A80" s="2" t="s">
        <v>628</v>
      </c>
      <c r="B80" s="2" t="s">
        <v>626</v>
      </c>
      <c r="C80" s="2">
        <v>540063</v>
      </c>
      <c r="D80" s="2" t="s">
        <v>691</v>
      </c>
      <c r="E80" s="2" t="s">
        <v>35</v>
      </c>
      <c r="F80" s="2" t="s">
        <v>5</v>
      </c>
      <c r="G80" s="2">
        <v>5</v>
      </c>
      <c r="H80" s="2">
        <v>0</v>
      </c>
      <c r="I80" s="2">
        <v>0</v>
      </c>
      <c r="J80" s="2">
        <v>0</v>
      </c>
      <c r="K80" s="2">
        <v>0</v>
      </c>
      <c r="L80" s="2">
        <v>0</v>
      </c>
      <c r="M80" s="2">
        <v>0</v>
      </c>
      <c r="N80" s="2">
        <v>0</v>
      </c>
      <c r="O80" s="2">
        <v>0</v>
      </c>
      <c r="P80" s="2">
        <v>0</v>
      </c>
      <c r="Q80" s="2" t="s">
        <v>488</v>
      </c>
      <c r="R80" s="2" t="s">
        <v>488</v>
      </c>
      <c r="S80" s="2" t="s">
        <v>488</v>
      </c>
      <c r="T80" s="2" t="s">
        <v>488</v>
      </c>
      <c r="U80" s="2">
        <v>0</v>
      </c>
      <c r="V80" s="2">
        <v>0</v>
      </c>
      <c r="W80">
        <f t="shared" si="1"/>
        <v>0</v>
      </c>
    </row>
    <row r="81" spans="1:23" x14ac:dyDescent="0.25">
      <c r="A81" s="2" t="s">
        <v>628</v>
      </c>
      <c r="B81" s="2" t="s">
        <v>626</v>
      </c>
      <c r="C81" s="2">
        <v>540064</v>
      </c>
      <c r="D81" s="2" t="s">
        <v>692</v>
      </c>
      <c r="E81" s="2" t="s">
        <v>35</v>
      </c>
      <c r="F81" s="2" t="s">
        <v>115</v>
      </c>
      <c r="G81" s="2">
        <v>5</v>
      </c>
      <c r="H81" s="2">
        <v>0</v>
      </c>
      <c r="I81" s="2">
        <v>0</v>
      </c>
      <c r="J81" s="2">
        <v>0</v>
      </c>
      <c r="K81" s="2">
        <v>0</v>
      </c>
      <c r="L81" s="2">
        <v>0</v>
      </c>
      <c r="M81" s="2">
        <v>0</v>
      </c>
      <c r="N81" s="2">
        <v>0</v>
      </c>
      <c r="O81" s="2">
        <v>0</v>
      </c>
      <c r="P81" s="2">
        <v>0</v>
      </c>
      <c r="Q81" s="2" t="s">
        <v>488</v>
      </c>
      <c r="R81" s="2" t="s">
        <v>488</v>
      </c>
      <c r="S81" s="2" t="s">
        <v>488</v>
      </c>
      <c r="T81" s="2" t="s">
        <v>488</v>
      </c>
      <c r="U81" s="2">
        <v>0</v>
      </c>
      <c r="V81" s="2">
        <v>0</v>
      </c>
      <c r="W81">
        <f t="shared" si="1"/>
        <v>0</v>
      </c>
    </row>
    <row r="82" spans="1:23" x14ac:dyDescent="0.25">
      <c r="A82" s="2" t="s">
        <v>628</v>
      </c>
      <c r="B82" s="2" t="s">
        <v>626</v>
      </c>
      <c r="C82" s="2">
        <v>540241</v>
      </c>
      <c r="D82" s="2" t="s">
        <v>693</v>
      </c>
      <c r="E82" s="2" t="s">
        <v>35</v>
      </c>
      <c r="F82" s="2" t="s">
        <v>115</v>
      </c>
      <c r="G82" s="2">
        <v>5</v>
      </c>
      <c r="H82" s="2">
        <v>0</v>
      </c>
      <c r="I82" s="2">
        <v>0</v>
      </c>
      <c r="J82" s="2">
        <v>0</v>
      </c>
      <c r="K82" s="2">
        <v>0</v>
      </c>
      <c r="L82" s="2">
        <v>0</v>
      </c>
      <c r="M82" s="2">
        <v>0</v>
      </c>
      <c r="N82" s="2">
        <v>0</v>
      </c>
      <c r="O82" s="2">
        <v>0</v>
      </c>
      <c r="P82" s="2">
        <v>0</v>
      </c>
      <c r="Q82" s="2" t="s">
        <v>488</v>
      </c>
      <c r="R82" s="2" t="s">
        <v>488</v>
      </c>
      <c r="S82" s="2" t="s">
        <v>488</v>
      </c>
      <c r="T82" s="2" t="s">
        <v>488</v>
      </c>
      <c r="U82" s="2">
        <v>0</v>
      </c>
      <c r="V82" s="2">
        <v>0</v>
      </c>
      <c r="W82">
        <f t="shared" si="1"/>
        <v>0</v>
      </c>
    </row>
    <row r="83" spans="1:23" x14ac:dyDescent="0.25">
      <c r="A83" s="255" t="s">
        <v>628</v>
      </c>
      <c r="B83" s="255" t="s">
        <v>626</v>
      </c>
      <c r="C83" s="255"/>
      <c r="D83" s="255"/>
      <c r="E83" s="255" t="s">
        <v>35</v>
      </c>
      <c r="F83" s="255"/>
      <c r="G83" s="255"/>
      <c r="H83" s="255">
        <v>0</v>
      </c>
      <c r="I83" s="255">
        <v>0</v>
      </c>
      <c r="J83" s="255">
        <v>0</v>
      </c>
      <c r="K83" s="255">
        <v>0</v>
      </c>
      <c r="L83" s="255">
        <v>0</v>
      </c>
      <c r="M83" s="255">
        <v>0</v>
      </c>
      <c r="N83" s="255">
        <v>0</v>
      </c>
      <c r="O83" s="255">
        <v>0</v>
      </c>
      <c r="P83" s="255">
        <v>0</v>
      </c>
      <c r="Q83" s="255" t="s">
        <v>488</v>
      </c>
      <c r="R83" s="255" t="s">
        <v>488</v>
      </c>
      <c r="S83" s="255" t="s">
        <v>488</v>
      </c>
      <c r="T83" s="255" t="s">
        <v>488</v>
      </c>
      <c r="U83" s="255">
        <v>0</v>
      </c>
      <c r="V83" s="255">
        <v>0</v>
      </c>
      <c r="W83">
        <f t="shared" si="1"/>
        <v>0</v>
      </c>
    </row>
    <row r="84" spans="1:23" x14ac:dyDescent="0.25">
      <c r="A84" s="2" t="s">
        <v>628</v>
      </c>
      <c r="B84" s="2" t="s">
        <v>626</v>
      </c>
      <c r="C84" s="2">
        <v>540065</v>
      </c>
      <c r="D84" s="2" t="s">
        <v>694</v>
      </c>
      <c r="E84" s="2" t="s">
        <v>37</v>
      </c>
      <c r="F84" s="2" t="s">
        <v>5</v>
      </c>
      <c r="G84" s="2">
        <v>9</v>
      </c>
      <c r="H84" s="2">
        <v>0</v>
      </c>
      <c r="I84" s="2">
        <v>0</v>
      </c>
      <c r="J84" s="2">
        <v>0</v>
      </c>
      <c r="K84" s="2">
        <v>0</v>
      </c>
      <c r="L84" s="2">
        <v>0</v>
      </c>
      <c r="M84" s="2">
        <v>0</v>
      </c>
      <c r="N84" s="2">
        <v>0</v>
      </c>
      <c r="O84" s="2">
        <v>0</v>
      </c>
      <c r="P84" s="2">
        <v>0</v>
      </c>
      <c r="Q84" s="2">
        <v>0</v>
      </c>
      <c r="R84" s="2">
        <v>0</v>
      </c>
      <c r="S84" s="2">
        <v>0</v>
      </c>
      <c r="T84" s="2">
        <v>0</v>
      </c>
      <c r="U84" s="2">
        <v>0</v>
      </c>
      <c r="V84" s="2">
        <v>0</v>
      </c>
      <c r="W84">
        <f t="shared" si="1"/>
        <v>0</v>
      </c>
    </row>
    <row r="85" spans="1:23" x14ac:dyDescent="0.25">
      <c r="A85" s="2" t="s">
        <v>628</v>
      </c>
      <c r="B85" s="2" t="s">
        <v>626</v>
      </c>
      <c r="C85" s="2">
        <v>540030</v>
      </c>
      <c r="D85" s="2" t="s">
        <v>695</v>
      </c>
      <c r="E85" s="2" t="s">
        <v>37</v>
      </c>
      <c r="F85" s="2" t="s">
        <v>115</v>
      </c>
      <c r="G85" s="2">
        <v>9</v>
      </c>
      <c r="H85" s="2">
        <v>0</v>
      </c>
      <c r="I85" s="2">
        <v>0</v>
      </c>
      <c r="J85" s="2">
        <v>0</v>
      </c>
      <c r="K85" s="2">
        <v>0</v>
      </c>
      <c r="L85" s="2">
        <v>0</v>
      </c>
      <c r="M85" s="2">
        <v>0</v>
      </c>
      <c r="N85" s="2">
        <v>0</v>
      </c>
      <c r="O85" s="2">
        <v>0</v>
      </c>
      <c r="P85" s="2">
        <v>0</v>
      </c>
      <c r="Q85" s="2">
        <v>0</v>
      </c>
      <c r="R85" s="2">
        <v>0</v>
      </c>
      <c r="S85" s="2">
        <v>0</v>
      </c>
      <c r="T85" s="2">
        <v>0</v>
      </c>
      <c r="U85" s="2">
        <v>0</v>
      </c>
      <c r="V85" s="2">
        <v>0</v>
      </c>
      <c r="W85">
        <f t="shared" si="1"/>
        <v>0</v>
      </c>
    </row>
    <row r="86" spans="1:23" x14ac:dyDescent="0.25">
      <c r="A86" s="2" t="s">
        <v>628</v>
      </c>
      <c r="B86" s="2" t="s">
        <v>626</v>
      </c>
      <c r="C86" s="2">
        <v>540066</v>
      </c>
      <c r="D86" s="2" t="s">
        <v>696</v>
      </c>
      <c r="E86" s="2" t="s">
        <v>37</v>
      </c>
      <c r="F86" s="2" t="s">
        <v>115</v>
      </c>
      <c r="G86" s="2">
        <v>9</v>
      </c>
      <c r="H86" s="2">
        <v>0</v>
      </c>
      <c r="I86" s="2">
        <v>0</v>
      </c>
      <c r="J86" s="2">
        <v>0</v>
      </c>
      <c r="K86" s="2">
        <v>0</v>
      </c>
      <c r="L86" s="2">
        <v>0</v>
      </c>
      <c r="M86" s="2">
        <v>0</v>
      </c>
      <c r="N86" s="2">
        <v>0</v>
      </c>
      <c r="O86" s="2">
        <v>0</v>
      </c>
      <c r="P86" s="2">
        <v>0</v>
      </c>
      <c r="Q86" s="2">
        <v>0</v>
      </c>
      <c r="R86" s="2">
        <v>0</v>
      </c>
      <c r="S86" s="2">
        <v>0</v>
      </c>
      <c r="T86" s="2">
        <v>0</v>
      </c>
      <c r="U86" s="2">
        <v>0</v>
      </c>
      <c r="V86" s="2">
        <v>0</v>
      </c>
      <c r="W86">
        <f t="shared" si="1"/>
        <v>0</v>
      </c>
    </row>
    <row r="87" spans="1:23" x14ac:dyDescent="0.25">
      <c r="A87" s="2" t="s">
        <v>628</v>
      </c>
      <c r="B87" s="2" t="s">
        <v>626</v>
      </c>
      <c r="C87" s="2">
        <v>540067</v>
      </c>
      <c r="D87" s="2" t="s">
        <v>697</v>
      </c>
      <c r="E87" s="2" t="s">
        <v>37</v>
      </c>
      <c r="F87" s="2" t="s">
        <v>115</v>
      </c>
      <c r="G87" s="2">
        <v>9</v>
      </c>
      <c r="H87" s="2">
        <v>0</v>
      </c>
      <c r="I87" s="2">
        <v>0</v>
      </c>
      <c r="J87" s="2">
        <v>0</v>
      </c>
      <c r="K87" s="2">
        <v>0</v>
      </c>
      <c r="L87" s="2">
        <v>0</v>
      </c>
      <c r="M87" s="2">
        <v>0</v>
      </c>
      <c r="N87" s="2">
        <v>0</v>
      </c>
      <c r="O87" s="2">
        <v>0</v>
      </c>
      <c r="P87" s="2">
        <v>0</v>
      </c>
      <c r="Q87" s="2">
        <v>0</v>
      </c>
      <c r="R87" s="2">
        <v>0</v>
      </c>
      <c r="S87" s="2">
        <v>0</v>
      </c>
      <c r="T87" s="2">
        <v>0</v>
      </c>
      <c r="U87" s="2">
        <v>0</v>
      </c>
      <c r="V87" s="2">
        <v>0</v>
      </c>
      <c r="W87">
        <f t="shared" si="1"/>
        <v>0</v>
      </c>
    </row>
    <row r="88" spans="1:23" x14ac:dyDescent="0.25">
      <c r="A88" s="2" t="s">
        <v>628</v>
      </c>
      <c r="B88" s="2" t="s">
        <v>626</v>
      </c>
      <c r="C88" s="2">
        <v>540068</v>
      </c>
      <c r="D88" s="2" t="s">
        <v>698</v>
      </c>
      <c r="E88" s="2" t="s">
        <v>37</v>
      </c>
      <c r="F88" s="2" t="s">
        <v>115</v>
      </c>
      <c r="G88" s="2">
        <v>9</v>
      </c>
      <c r="H88" s="2">
        <v>0</v>
      </c>
      <c r="I88" s="2">
        <v>0</v>
      </c>
      <c r="J88" s="2">
        <v>0</v>
      </c>
      <c r="K88" s="2">
        <v>0</v>
      </c>
      <c r="L88" s="2">
        <v>0</v>
      </c>
      <c r="M88" s="2">
        <v>0</v>
      </c>
      <c r="N88" s="2">
        <v>0</v>
      </c>
      <c r="O88" s="2">
        <v>0</v>
      </c>
      <c r="P88" s="2">
        <v>0</v>
      </c>
      <c r="Q88" s="2">
        <v>0</v>
      </c>
      <c r="R88" s="2">
        <v>0</v>
      </c>
      <c r="S88" s="2">
        <v>0</v>
      </c>
      <c r="T88" s="2">
        <v>0</v>
      </c>
      <c r="U88" s="2">
        <v>0</v>
      </c>
      <c r="V88" s="2">
        <v>0</v>
      </c>
      <c r="W88">
        <f t="shared" si="1"/>
        <v>0</v>
      </c>
    </row>
    <row r="89" spans="1:23" x14ac:dyDescent="0.25">
      <c r="A89" s="2" t="s">
        <v>628</v>
      </c>
      <c r="B89" s="2" t="s">
        <v>626</v>
      </c>
      <c r="C89" s="2">
        <v>540069</v>
      </c>
      <c r="D89" s="2" t="s">
        <v>699</v>
      </c>
      <c r="E89" s="2" t="s">
        <v>37</v>
      </c>
      <c r="F89" s="2" t="s">
        <v>115</v>
      </c>
      <c r="G89" s="2">
        <v>9</v>
      </c>
      <c r="H89" s="2">
        <v>0</v>
      </c>
      <c r="I89" s="2">
        <v>0</v>
      </c>
      <c r="J89" s="2">
        <v>0</v>
      </c>
      <c r="K89" s="2">
        <v>0</v>
      </c>
      <c r="L89" s="2">
        <v>0</v>
      </c>
      <c r="M89" s="2">
        <v>0</v>
      </c>
      <c r="N89" s="2">
        <v>0</v>
      </c>
      <c r="O89" s="2">
        <v>0</v>
      </c>
      <c r="P89" s="2">
        <v>0</v>
      </c>
      <c r="Q89" s="2">
        <v>0</v>
      </c>
      <c r="R89" s="2">
        <v>0</v>
      </c>
      <c r="S89" s="2">
        <v>0</v>
      </c>
      <c r="T89" s="2">
        <v>0</v>
      </c>
      <c r="U89" s="2">
        <v>0</v>
      </c>
      <c r="V89" s="2">
        <v>0</v>
      </c>
      <c r="W89">
        <f t="shared" si="1"/>
        <v>0</v>
      </c>
    </row>
    <row r="90" spans="1:23" x14ac:dyDescent="0.25">
      <c r="A90" s="255" t="s">
        <v>628</v>
      </c>
      <c r="B90" s="255" t="s">
        <v>626</v>
      </c>
      <c r="C90" s="255"/>
      <c r="D90" s="255"/>
      <c r="E90" s="255" t="s">
        <v>37</v>
      </c>
      <c r="F90" s="255"/>
      <c r="G90" s="255"/>
      <c r="H90" s="255">
        <v>0</v>
      </c>
      <c r="I90" s="255">
        <v>0</v>
      </c>
      <c r="J90" s="255">
        <v>0</v>
      </c>
      <c r="K90" s="255">
        <v>0</v>
      </c>
      <c r="L90" s="255">
        <v>0</v>
      </c>
      <c r="M90" s="255">
        <v>0</v>
      </c>
      <c r="N90" s="255">
        <v>0</v>
      </c>
      <c r="O90" s="255">
        <v>0</v>
      </c>
      <c r="P90" s="255">
        <v>0</v>
      </c>
      <c r="Q90" s="255">
        <v>0</v>
      </c>
      <c r="R90" s="255">
        <v>0</v>
      </c>
      <c r="S90" s="255">
        <v>0</v>
      </c>
      <c r="T90" s="255">
        <v>0</v>
      </c>
      <c r="U90" s="255">
        <v>0</v>
      </c>
      <c r="V90" s="255">
        <v>0</v>
      </c>
      <c r="W90">
        <f t="shared" si="1"/>
        <v>0</v>
      </c>
    </row>
    <row r="91" spans="1:23" x14ac:dyDescent="0.25">
      <c r="A91" s="2" t="s">
        <v>628</v>
      </c>
      <c r="B91" s="2" t="s">
        <v>626</v>
      </c>
      <c r="C91" s="2">
        <v>540070</v>
      </c>
      <c r="D91" s="2" t="s">
        <v>700</v>
      </c>
      <c r="E91" s="2" t="s">
        <v>39</v>
      </c>
      <c r="F91" s="2" t="s">
        <v>5</v>
      </c>
      <c r="G91" s="2">
        <v>3</v>
      </c>
      <c r="H91" s="2">
        <v>0</v>
      </c>
      <c r="I91" s="2">
        <v>0</v>
      </c>
      <c r="J91" s="2">
        <v>0</v>
      </c>
      <c r="K91" s="2">
        <v>0</v>
      </c>
      <c r="L91" s="2">
        <v>0</v>
      </c>
      <c r="M91" s="2">
        <v>0</v>
      </c>
      <c r="N91" s="2">
        <v>0</v>
      </c>
      <c r="O91" s="2">
        <v>0</v>
      </c>
      <c r="P91" s="2">
        <v>0</v>
      </c>
      <c r="Q91" s="2">
        <v>0</v>
      </c>
      <c r="R91" s="2">
        <v>0</v>
      </c>
      <c r="S91" s="2" t="s">
        <v>488</v>
      </c>
      <c r="T91" s="2" t="s">
        <v>488</v>
      </c>
      <c r="U91" s="2">
        <v>0</v>
      </c>
      <c r="V91" s="2">
        <v>0</v>
      </c>
      <c r="W91">
        <f t="shared" si="1"/>
        <v>0</v>
      </c>
    </row>
    <row r="92" spans="1:23" x14ac:dyDescent="0.25">
      <c r="A92" s="2" t="s">
        <v>628</v>
      </c>
      <c r="B92" s="2" t="s">
        <v>626</v>
      </c>
      <c r="C92" s="2">
        <v>540029</v>
      </c>
      <c r="D92" s="2" t="s">
        <v>701</v>
      </c>
      <c r="E92" s="2" t="s">
        <v>39</v>
      </c>
      <c r="F92" s="2" t="s">
        <v>115</v>
      </c>
      <c r="G92" s="2">
        <v>3</v>
      </c>
      <c r="H92" s="2">
        <v>0</v>
      </c>
      <c r="I92" s="2">
        <v>0</v>
      </c>
      <c r="J92" s="2">
        <v>0</v>
      </c>
      <c r="K92" s="2">
        <v>0</v>
      </c>
      <c r="L92" s="2">
        <v>0</v>
      </c>
      <c r="M92" s="2">
        <v>0</v>
      </c>
      <c r="N92" s="2">
        <v>0</v>
      </c>
      <c r="O92" s="2">
        <v>0</v>
      </c>
      <c r="P92" s="2">
        <v>0</v>
      </c>
      <c r="Q92" s="2">
        <v>0</v>
      </c>
      <c r="R92" s="2">
        <v>0</v>
      </c>
      <c r="S92" s="2" t="s">
        <v>488</v>
      </c>
      <c r="T92" s="2" t="s">
        <v>488</v>
      </c>
      <c r="U92" s="2">
        <v>0</v>
      </c>
      <c r="V92" s="2">
        <v>0</v>
      </c>
      <c r="W92">
        <f t="shared" si="1"/>
        <v>0</v>
      </c>
    </row>
    <row r="93" spans="1:23" x14ac:dyDescent="0.25">
      <c r="A93" s="2" t="s">
        <v>628</v>
      </c>
      <c r="B93" s="2" t="s">
        <v>626</v>
      </c>
      <c r="C93" s="2">
        <v>540071</v>
      </c>
      <c r="D93" s="2" t="s">
        <v>702</v>
      </c>
      <c r="E93" s="2" t="s">
        <v>39</v>
      </c>
      <c r="F93" s="2" t="s">
        <v>115</v>
      </c>
      <c r="G93" s="2">
        <v>3</v>
      </c>
      <c r="H93" s="2">
        <v>0</v>
      </c>
      <c r="I93" s="2">
        <v>0</v>
      </c>
      <c r="J93" s="2">
        <v>0</v>
      </c>
      <c r="K93" s="2">
        <v>0</v>
      </c>
      <c r="L93" s="2">
        <v>0</v>
      </c>
      <c r="M93" s="2">
        <v>0</v>
      </c>
      <c r="N93" s="2">
        <v>0</v>
      </c>
      <c r="O93" s="2">
        <v>0</v>
      </c>
      <c r="P93" s="2">
        <v>0</v>
      </c>
      <c r="Q93" s="2">
        <v>0</v>
      </c>
      <c r="R93" s="2">
        <v>0</v>
      </c>
      <c r="S93" s="2" t="s">
        <v>488</v>
      </c>
      <c r="T93" s="2" t="s">
        <v>488</v>
      </c>
      <c r="U93" s="2">
        <v>0</v>
      </c>
      <c r="V93" s="2">
        <v>0</v>
      </c>
      <c r="W93">
        <f t="shared" si="1"/>
        <v>0</v>
      </c>
    </row>
    <row r="94" spans="1:23" x14ac:dyDescent="0.25">
      <c r="A94" s="2" t="s">
        <v>628</v>
      </c>
      <c r="B94" s="2" t="s">
        <v>626</v>
      </c>
      <c r="C94" s="2">
        <v>540072</v>
      </c>
      <c r="D94" s="2" t="s">
        <v>703</v>
      </c>
      <c r="E94" s="2" t="s">
        <v>39</v>
      </c>
      <c r="F94" s="2" t="s">
        <v>115</v>
      </c>
      <c r="G94" s="2">
        <v>3</v>
      </c>
      <c r="H94" s="2">
        <v>0</v>
      </c>
      <c r="I94" s="2">
        <v>0</v>
      </c>
      <c r="J94" s="2">
        <v>0</v>
      </c>
      <c r="K94" s="2">
        <v>0</v>
      </c>
      <c r="L94" s="2">
        <v>0</v>
      </c>
      <c r="M94" s="2">
        <v>0</v>
      </c>
      <c r="N94" s="2">
        <v>0</v>
      </c>
      <c r="O94" s="2">
        <v>0</v>
      </c>
      <c r="P94" s="2">
        <v>0</v>
      </c>
      <c r="Q94" s="2">
        <v>0</v>
      </c>
      <c r="R94" s="2">
        <v>0</v>
      </c>
      <c r="S94" s="2" t="s">
        <v>488</v>
      </c>
      <c r="T94" s="2" t="s">
        <v>488</v>
      </c>
      <c r="U94" s="2">
        <v>0</v>
      </c>
      <c r="V94" s="2">
        <v>0</v>
      </c>
      <c r="W94">
        <f t="shared" si="1"/>
        <v>0</v>
      </c>
    </row>
    <row r="95" spans="1:23" x14ac:dyDescent="0.25">
      <c r="A95" s="2" t="s">
        <v>628</v>
      </c>
      <c r="B95" s="2" t="s">
        <v>626</v>
      </c>
      <c r="C95" s="2">
        <v>540073</v>
      </c>
      <c r="D95" s="2" t="s">
        <v>704</v>
      </c>
      <c r="E95" s="2" t="s">
        <v>39</v>
      </c>
      <c r="F95" s="2" t="s">
        <v>115</v>
      </c>
      <c r="G95" s="2">
        <v>3</v>
      </c>
      <c r="H95" s="2">
        <v>0</v>
      </c>
      <c r="I95" s="2">
        <v>0</v>
      </c>
      <c r="J95" s="2">
        <v>0</v>
      </c>
      <c r="K95" s="2">
        <v>0</v>
      </c>
      <c r="L95" s="2">
        <v>0</v>
      </c>
      <c r="M95" s="2">
        <v>0</v>
      </c>
      <c r="N95" s="2">
        <v>0</v>
      </c>
      <c r="O95" s="2">
        <v>0</v>
      </c>
      <c r="P95" s="2">
        <v>0</v>
      </c>
      <c r="Q95" s="2">
        <v>0</v>
      </c>
      <c r="R95" s="2">
        <v>0</v>
      </c>
      <c r="S95" s="2" t="s">
        <v>488</v>
      </c>
      <c r="T95" s="2" t="s">
        <v>488</v>
      </c>
      <c r="U95" s="2">
        <v>1</v>
      </c>
      <c r="V95" s="2">
        <v>0</v>
      </c>
      <c r="W95">
        <f t="shared" si="1"/>
        <v>1</v>
      </c>
    </row>
    <row r="96" spans="1:23" x14ac:dyDescent="0.25">
      <c r="A96" s="2" t="s">
        <v>628</v>
      </c>
      <c r="B96" s="2" t="s">
        <v>626</v>
      </c>
      <c r="C96" s="2">
        <v>540074</v>
      </c>
      <c r="D96" s="2" t="s">
        <v>705</v>
      </c>
      <c r="E96" s="2" t="s">
        <v>39</v>
      </c>
      <c r="F96" s="2" t="s">
        <v>115</v>
      </c>
      <c r="G96" s="2">
        <v>3</v>
      </c>
      <c r="H96" s="2">
        <v>0</v>
      </c>
      <c r="I96" s="2">
        <v>0</v>
      </c>
      <c r="J96" s="2">
        <v>0</v>
      </c>
      <c r="K96" s="2">
        <v>0</v>
      </c>
      <c r="L96" s="2">
        <v>0</v>
      </c>
      <c r="M96" s="2">
        <v>0</v>
      </c>
      <c r="N96" s="2">
        <v>0</v>
      </c>
      <c r="O96" s="2">
        <v>0</v>
      </c>
      <c r="P96" s="2">
        <v>0</v>
      </c>
      <c r="Q96" s="2">
        <v>0</v>
      </c>
      <c r="R96" s="2">
        <v>0</v>
      </c>
      <c r="S96" s="2" t="s">
        <v>488</v>
      </c>
      <c r="T96" s="2" t="s">
        <v>488</v>
      </c>
      <c r="U96" s="2">
        <v>0</v>
      </c>
      <c r="V96" s="2">
        <v>0</v>
      </c>
      <c r="W96">
        <f t="shared" si="1"/>
        <v>0</v>
      </c>
    </row>
    <row r="97" spans="1:23" x14ac:dyDescent="0.25">
      <c r="A97" s="2" t="s">
        <v>628</v>
      </c>
      <c r="B97" s="2" t="s">
        <v>626</v>
      </c>
      <c r="C97" s="2">
        <v>540075</v>
      </c>
      <c r="D97" s="2" t="s">
        <v>706</v>
      </c>
      <c r="E97" s="2" t="s">
        <v>39</v>
      </c>
      <c r="F97" s="2" t="s">
        <v>115</v>
      </c>
      <c r="G97" s="2">
        <v>3</v>
      </c>
      <c r="H97" s="2">
        <v>0</v>
      </c>
      <c r="I97" s="2">
        <v>0</v>
      </c>
      <c r="J97" s="2">
        <v>0</v>
      </c>
      <c r="K97" s="2">
        <v>0</v>
      </c>
      <c r="L97" s="2">
        <v>0</v>
      </c>
      <c r="M97" s="2">
        <v>0</v>
      </c>
      <c r="N97" s="2">
        <v>0</v>
      </c>
      <c r="O97" s="2">
        <v>0</v>
      </c>
      <c r="P97" s="2">
        <v>0</v>
      </c>
      <c r="Q97" s="2">
        <v>0</v>
      </c>
      <c r="R97" s="2">
        <v>0</v>
      </c>
      <c r="S97" s="2" t="s">
        <v>488</v>
      </c>
      <c r="T97" s="2" t="s">
        <v>488</v>
      </c>
      <c r="U97" s="2">
        <v>0</v>
      </c>
      <c r="V97" s="2">
        <v>0</v>
      </c>
      <c r="W97">
        <f t="shared" si="1"/>
        <v>0</v>
      </c>
    </row>
    <row r="98" spans="1:23" x14ac:dyDescent="0.25">
      <c r="A98" s="2" t="s">
        <v>628</v>
      </c>
      <c r="B98" s="2" t="s">
        <v>626</v>
      </c>
      <c r="C98" s="2">
        <v>540076</v>
      </c>
      <c r="D98" s="2" t="s">
        <v>707</v>
      </c>
      <c r="E98" s="2" t="s">
        <v>39</v>
      </c>
      <c r="F98" s="2" t="s">
        <v>115</v>
      </c>
      <c r="G98" s="2">
        <v>3</v>
      </c>
      <c r="H98" s="2">
        <v>0</v>
      </c>
      <c r="I98" s="2">
        <v>0</v>
      </c>
      <c r="J98" s="2">
        <v>0</v>
      </c>
      <c r="K98" s="2">
        <v>0</v>
      </c>
      <c r="L98" s="2">
        <v>0</v>
      </c>
      <c r="M98" s="2">
        <v>0</v>
      </c>
      <c r="N98" s="2">
        <v>0</v>
      </c>
      <c r="O98" s="2">
        <v>0</v>
      </c>
      <c r="P98" s="2">
        <v>0</v>
      </c>
      <c r="Q98" s="2">
        <v>0</v>
      </c>
      <c r="R98" s="2">
        <v>0</v>
      </c>
      <c r="S98" s="2" t="s">
        <v>488</v>
      </c>
      <c r="T98" s="2" t="s">
        <v>488</v>
      </c>
      <c r="U98" s="2">
        <v>0</v>
      </c>
      <c r="V98" s="2">
        <v>0</v>
      </c>
      <c r="W98">
        <f t="shared" si="1"/>
        <v>0</v>
      </c>
    </row>
    <row r="99" spans="1:23" x14ac:dyDescent="0.25">
      <c r="A99" s="2" t="s">
        <v>628</v>
      </c>
      <c r="B99" s="2" t="s">
        <v>626</v>
      </c>
      <c r="C99" s="2">
        <v>540077</v>
      </c>
      <c r="D99" s="2" t="s">
        <v>708</v>
      </c>
      <c r="E99" s="2" t="s">
        <v>39</v>
      </c>
      <c r="F99" s="2" t="s">
        <v>115</v>
      </c>
      <c r="G99" s="2">
        <v>3</v>
      </c>
      <c r="H99" s="2">
        <v>0</v>
      </c>
      <c r="I99" s="2">
        <v>0</v>
      </c>
      <c r="J99" s="2">
        <v>0</v>
      </c>
      <c r="K99" s="2">
        <v>0</v>
      </c>
      <c r="L99" s="2">
        <v>0</v>
      </c>
      <c r="M99" s="2">
        <v>0</v>
      </c>
      <c r="N99" s="2">
        <v>0</v>
      </c>
      <c r="O99" s="2">
        <v>0</v>
      </c>
      <c r="P99" s="2">
        <v>0</v>
      </c>
      <c r="Q99" s="2">
        <v>0</v>
      </c>
      <c r="R99" s="2">
        <v>0</v>
      </c>
      <c r="S99" s="2" t="s">
        <v>488</v>
      </c>
      <c r="T99" s="2" t="s">
        <v>488</v>
      </c>
      <c r="U99" s="2">
        <v>0</v>
      </c>
      <c r="V99" s="2">
        <v>0</v>
      </c>
      <c r="W99">
        <f t="shared" si="1"/>
        <v>0</v>
      </c>
    </row>
    <row r="100" spans="1:23" x14ac:dyDescent="0.25">
      <c r="A100" s="2" t="s">
        <v>628</v>
      </c>
      <c r="B100" s="2" t="s">
        <v>626</v>
      </c>
      <c r="C100" s="2">
        <v>540078</v>
      </c>
      <c r="D100" s="2" t="s">
        <v>709</v>
      </c>
      <c r="E100" s="2" t="s">
        <v>39</v>
      </c>
      <c r="F100" s="2" t="s">
        <v>115</v>
      </c>
      <c r="G100" s="2">
        <v>3</v>
      </c>
      <c r="H100" s="2">
        <v>0</v>
      </c>
      <c r="I100" s="2">
        <v>0</v>
      </c>
      <c r="J100" s="2">
        <v>0</v>
      </c>
      <c r="K100" s="2">
        <v>0</v>
      </c>
      <c r="L100" s="2">
        <v>0</v>
      </c>
      <c r="M100" s="2">
        <v>0</v>
      </c>
      <c r="N100" s="2">
        <v>0</v>
      </c>
      <c r="O100" s="2">
        <v>0</v>
      </c>
      <c r="P100" s="2">
        <v>0</v>
      </c>
      <c r="Q100" s="2">
        <v>0</v>
      </c>
      <c r="R100" s="2">
        <v>0</v>
      </c>
      <c r="S100" s="2" t="s">
        <v>488</v>
      </c>
      <c r="T100" s="2" t="s">
        <v>488</v>
      </c>
      <c r="U100" s="2">
        <v>0</v>
      </c>
      <c r="V100" s="2">
        <v>0</v>
      </c>
      <c r="W100">
        <f t="shared" si="1"/>
        <v>0</v>
      </c>
    </row>
    <row r="101" spans="1:23" x14ac:dyDescent="0.25">
      <c r="A101" s="2" t="s">
        <v>628</v>
      </c>
      <c r="B101" s="2" t="s">
        <v>626</v>
      </c>
      <c r="C101" s="2">
        <v>540079</v>
      </c>
      <c r="D101" s="2" t="s">
        <v>710</v>
      </c>
      <c r="E101" s="2" t="s">
        <v>39</v>
      </c>
      <c r="F101" s="2" t="s">
        <v>115</v>
      </c>
      <c r="G101" s="2">
        <v>3</v>
      </c>
      <c r="H101" s="2">
        <v>0</v>
      </c>
      <c r="I101" s="2">
        <v>0</v>
      </c>
      <c r="J101" s="2">
        <v>0</v>
      </c>
      <c r="K101" s="2">
        <v>0</v>
      </c>
      <c r="L101" s="2">
        <v>0</v>
      </c>
      <c r="M101" s="2">
        <v>0</v>
      </c>
      <c r="N101" s="2">
        <v>0</v>
      </c>
      <c r="O101" s="2">
        <v>0</v>
      </c>
      <c r="P101" s="2">
        <v>0</v>
      </c>
      <c r="Q101" s="2">
        <v>0</v>
      </c>
      <c r="R101" s="2">
        <v>0</v>
      </c>
      <c r="S101" s="2" t="s">
        <v>488</v>
      </c>
      <c r="T101" s="2" t="s">
        <v>488</v>
      </c>
      <c r="U101" s="2">
        <v>0</v>
      </c>
      <c r="V101" s="2">
        <v>0</v>
      </c>
      <c r="W101">
        <f t="shared" si="1"/>
        <v>0</v>
      </c>
    </row>
    <row r="102" spans="1:23" x14ac:dyDescent="0.25">
      <c r="A102" s="2" t="s">
        <v>628</v>
      </c>
      <c r="B102" s="2" t="s">
        <v>626</v>
      </c>
      <c r="C102" s="2">
        <v>540081</v>
      </c>
      <c r="D102" s="2" t="s">
        <v>711</v>
      </c>
      <c r="E102" s="2" t="s">
        <v>39</v>
      </c>
      <c r="F102" s="2" t="s">
        <v>115</v>
      </c>
      <c r="G102" s="2">
        <v>3</v>
      </c>
      <c r="H102" s="2">
        <v>0</v>
      </c>
      <c r="I102" s="2">
        <v>0</v>
      </c>
      <c r="J102" s="2">
        <v>0</v>
      </c>
      <c r="K102" s="2">
        <v>0</v>
      </c>
      <c r="L102" s="2">
        <v>0</v>
      </c>
      <c r="M102" s="2">
        <v>0</v>
      </c>
      <c r="N102" s="2">
        <v>0</v>
      </c>
      <c r="O102" s="2">
        <v>0</v>
      </c>
      <c r="P102" s="2">
        <v>0</v>
      </c>
      <c r="Q102" s="2">
        <v>0</v>
      </c>
      <c r="R102" s="2">
        <v>0</v>
      </c>
      <c r="S102" s="2" t="s">
        <v>488</v>
      </c>
      <c r="T102" s="2" t="s">
        <v>488</v>
      </c>
      <c r="U102" s="2">
        <v>0</v>
      </c>
      <c r="V102" s="2">
        <v>0</v>
      </c>
      <c r="W102">
        <f t="shared" si="1"/>
        <v>0</v>
      </c>
    </row>
    <row r="103" spans="1:23" x14ac:dyDescent="0.25">
      <c r="A103" s="2" t="s">
        <v>628</v>
      </c>
      <c r="B103" s="2" t="s">
        <v>626</v>
      </c>
      <c r="C103" s="2">
        <v>540082</v>
      </c>
      <c r="D103" s="2" t="s">
        <v>712</v>
      </c>
      <c r="E103" s="2" t="s">
        <v>39</v>
      </c>
      <c r="F103" s="2" t="s">
        <v>115</v>
      </c>
      <c r="G103" s="2">
        <v>3</v>
      </c>
      <c r="H103" s="2">
        <v>0</v>
      </c>
      <c r="I103" s="2">
        <v>0</v>
      </c>
      <c r="J103" s="2">
        <v>0</v>
      </c>
      <c r="K103" s="2">
        <v>0</v>
      </c>
      <c r="L103" s="2">
        <v>0</v>
      </c>
      <c r="M103" s="2">
        <v>0</v>
      </c>
      <c r="N103" s="2">
        <v>0</v>
      </c>
      <c r="O103" s="2">
        <v>0</v>
      </c>
      <c r="P103" s="2">
        <v>0</v>
      </c>
      <c r="Q103" s="2">
        <v>0</v>
      </c>
      <c r="R103" s="2">
        <v>0</v>
      </c>
      <c r="S103" s="2" t="s">
        <v>488</v>
      </c>
      <c r="T103" s="2" t="s">
        <v>488</v>
      </c>
      <c r="U103" s="2">
        <v>0</v>
      </c>
      <c r="V103" s="2">
        <v>0</v>
      </c>
      <c r="W103">
        <f t="shared" si="1"/>
        <v>0</v>
      </c>
    </row>
    <row r="104" spans="1:23" x14ac:dyDescent="0.25">
      <c r="A104" s="2" t="s">
        <v>628</v>
      </c>
      <c r="B104" s="2" t="s">
        <v>626</v>
      </c>
      <c r="C104" s="2">
        <v>540083</v>
      </c>
      <c r="D104" s="2" t="s">
        <v>713</v>
      </c>
      <c r="E104" s="2" t="s">
        <v>39</v>
      </c>
      <c r="F104" s="2" t="s">
        <v>115</v>
      </c>
      <c r="G104" s="2">
        <v>3</v>
      </c>
      <c r="H104" s="2">
        <v>0</v>
      </c>
      <c r="I104" s="2">
        <v>0</v>
      </c>
      <c r="J104" s="2">
        <v>0</v>
      </c>
      <c r="K104" s="2">
        <v>0</v>
      </c>
      <c r="L104" s="2">
        <v>0</v>
      </c>
      <c r="M104" s="2">
        <v>0</v>
      </c>
      <c r="N104" s="2">
        <v>0</v>
      </c>
      <c r="O104" s="2">
        <v>0</v>
      </c>
      <c r="P104" s="2">
        <v>0</v>
      </c>
      <c r="Q104" s="2">
        <v>0</v>
      </c>
      <c r="R104" s="2">
        <v>0</v>
      </c>
      <c r="S104" s="2" t="s">
        <v>488</v>
      </c>
      <c r="T104" s="2" t="s">
        <v>488</v>
      </c>
      <c r="U104" s="2">
        <v>0</v>
      </c>
      <c r="V104" s="2">
        <v>0</v>
      </c>
      <c r="W104">
        <f t="shared" si="1"/>
        <v>0</v>
      </c>
    </row>
    <row r="105" spans="1:23" x14ac:dyDescent="0.25">
      <c r="A105" s="2" t="s">
        <v>628</v>
      </c>
      <c r="B105" s="2" t="s">
        <v>626</v>
      </c>
      <c r="C105" s="2">
        <v>540223</v>
      </c>
      <c r="D105" s="2" t="s">
        <v>714</v>
      </c>
      <c r="E105" s="2" t="s">
        <v>39</v>
      </c>
      <c r="F105" s="2" t="s">
        <v>115</v>
      </c>
      <c r="G105" s="2">
        <v>3</v>
      </c>
      <c r="H105" s="2">
        <v>0</v>
      </c>
      <c r="I105" s="2">
        <v>0</v>
      </c>
      <c r="J105" s="2">
        <v>0</v>
      </c>
      <c r="K105" s="2">
        <v>0</v>
      </c>
      <c r="L105" s="2">
        <v>0</v>
      </c>
      <c r="M105" s="2">
        <v>0</v>
      </c>
      <c r="N105" s="2">
        <v>0</v>
      </c>
      <c r="O105" s="2">
        <v>0</v>
      </c>
      <c r="P105" s="2">
        <v>0</v>
      </c>
      <c r="Q105" s="2">
        <v>0</v>
      </c>
      <c r="R105" s="2">
        <v>0</v>
      </c>
      <c r="S105" s="2" t="s">
        <v>488</v>
      </c>
      <c r="T105" s="2" t="s">
        <v>488</v>
      </c>
      <c r="U105" s="2">
        <v>0</v>
      </c>
      <c r="V105" s="2">
        <v>0</v>
      </c>
      <c r="W105">
        <f t="shared" si="1"/>
        <v>0</v>
      </c>
    </row>
    <row r="106" spans="1:23" x14ac:dyDescent="0.25">
      <c r="A106" s="2" t="s">
        <v>628</v>
      </c>
      <c r="B106" s="2" t="s">
        <v>626</v>
      </c>
      <c r="C106" s="2">
        <v>540279</v>
      </c>
      <c r="D106" s="2" t="s">
        <v>715</v>
      </c>
      <c r="E106" s="2" t="s">
        <v>39</v>
      </c>
      <c r="F106" s="2" t="s">
        <v>115</v>
      </c>
      <c r="G106" s="2">
        <v>3</v>
      </c>
      <c r="H106" s="2">
        <v>0</v>
      </c>
      <c r="I106" s="2">
        <v>0</v>
      </c>
      <c r="J106" s="2">
        <v>0</v>
      </c>
      <c r="K106" s="2">
        <v>0</v>
      </c>
      <c r="L106" s="2">
        <v>0</v>
      </c>
      <c r="M106" s="2">
        <v>0</v>
      </c>
      <c r="N106" s="2">
        <v>0</v>
      </c>
      <c r="O106" s="2">
        <v>0</v>
      </c>
      <c r="P106" s="2">
        <v>0</v>
      </c>
      <c r="Q106" s="2">
        <v>0</v>
      </c>
      <c r="R106" s="2">
        <v>0</v>
      </c>
      <c r="S106" s="2" t="s">
        <v>488</v>
      </c>
      <c r="T106" s="2" t="s">
        <v>488</v>
      </c>
      <c r="U106" s="2">
        <v>0</v>
      </c>
      <c r="V106" s="2">
        <v>0</v>
      </c>
      <c r="W106">
        <f t="shared" si="1"/>
        <v>0</v>
      </c>
    </row>
    <row r="107" spans="1:23" x14ac:dyDescent="0.25">
      <c r="A107" s="2" t="s">
        <v>628</v>
      </c>
      <c r="B107" s="2" t="s">
        <v>626</v>
      </c>
      <c r="C107" s="2">
        <v>540033</v>
      </c>
      <c r="D107" s="2" t="s">
        <v>716</v>
      </c>
      <c r="E107" s="2" t="s">
        <v>39</v>
      </c>
      <c r="F107" s="2" t="s">
        <v>115</v>
      </c>
      <c r="G107" s="2">
        <v>3</v>
      </c>
      <c r="H107" s="2">
        <v>0</v>
      </c>
      <c r="I107" s="2">
        <v>0</v>
      </c>
      <c r="J107" s="2">
        <v>0</v>
      </c>
      <c r="K107" s="2">
        <v>0</v>
      </c>
      <c r="L107" s="2">
        <v>0</v>
      </c>
      <c r="M107" s="2">
        <v>0</v>
      </c>
      <c r="N107" s="2">
        <v>0</v>
      </c>
      <c r="O107" s="2">
        <v>0</v>
      </c>
      <c r="P107" s="2">
        <v>0</v>
      </c>
      <c r="Q107" s="2">
        <v>0</v>
      </c>
      <c r="R107" s="2">
        <v>0</v>
      </c>
      <c r="S107" s="2" t="s">
        <v>488</v>
      </c>
      <c r="T107" s="2" t="s">
        <v>488</v>
      </c>
      <c r="U107" s="2">
        <v>0</v>
      </c>
      <c r="V107" s="2">
        <v>0</v>
      </c>
      <c r="W107">
        <f t="shared" si="1"/>
        <v>0</v>
      </c>
    </row>
    <row r="108" spans="1:23" x14ac:dyDescent="0.25">
      <c r="A108" s="252" t="s">
        <v>628</v>
      </c>
      <c r="B108" s="252" t="s">
        <v>626</v>
      </c>
      <c r="C108" s="252"/>
      <c r="D108" s="252"/>
      <c r="E108" s="252" t="s">
        <v>39</v>
      </c>
      <c r="F108" s="252"/>
      <c r="G108" s="252"/>
      <c r="H108" s="252">
        <v>0</v>
      </c>
      <c r="I108" s="252">
        <v>0</v>
      </c>
      <c r="J108" s="252">
        <v>0</v>
      </c>
      <c r="K108" s="252">
        <v>0</v>
      </c>
      <c r="L108" s="252">
        <v>0</v>
      </c>
      <c r="M108" s="252">
        <v>0</v>
      </c>
      <c r="N108" s="252">
        <v>0</v>
      </c>
      <c r="O108" s="252">
        <v>0</v>
      </c>
      <c r="P108" s="252">
        <v>0</v>
      </c>
      <c r="Q108" s="252">
        <v>0</v>
      </c>
      <c r="R108" s="252">
        <v>0</v>
      </c>
      <c r="S108" s="252" t="s">
        <v>488</v>
      </c>
      <c r="T108" s="252" t="s">
        <v>488</v>
      </c>
      <c r="U108" s="252">
        <v>1</v>
      </c>
      <c r="V108" s="252">
        <v>0</v>
      </c>
      <c r="W108">
        <f t="shared" si="1"/>
        <v>1</v>
      </c>
    </row>
    <row r="109" spans="1:23" x14ac:dyDescent="0.25">
      <c r="A109" s="2" t="s">
        <v>628</v>
      </c>
      <c r="B109" s="2" t="s">
        <v>626</v>
      </c>
      <c r="C109" s="2">
        <v>540085</v>
      </c>
      <c r="D109" s="2" t="s">
        <v>717</v>
      </c>
      <c r="E109" s="2" t="s">
        <v>41</v>
      </c>
      <c r="F109" s="2" t="s">
        <v>5</v>
      </c>
      <c r="G109" s="2">
        <v>7</v>
      </c>
      <c r="H109" s="2">
        <v>0</v>
      </c>
      <c r="I109" s="2">
        <v>0</v>
      </c>
      <c r="J109" s="2">
        <v>0</v>
      </c>
      <c r="K109" s="2">
        <v>0</v>
      </c>
      <c r="L109" s="2">
        <v>0</v>
      </c>
      <c r="M109" s="2">
        <v>0</v>
      </c>
      <c r="N109" s="2">
        <v>0</v>
      </c>
      <c r="O109" s="2">
        <v>0</v>
      </c>
      <c r="P109" s="2">
        <v>0</v>
      </c>
      <c r="Q109" s="2">
        <v>0</v>
      </c>
      <c r="R109" s="2">
        <v>0</v>
      </c>
      <c r="S109" s="2" t="s">
        <v>488</v>
      </c>
      <c r="T109" s="2" t="s">
        <v>488</v>
      </c>
      <c r="U109" s="2">
        <v>0</v>
      </c>
      <c r="V109" s="2">
        <v>0</v>
      </c>
      <c r="W109">
        <f t="shared" si="1"/>
        <v>0</v>
      </c>
    </row>
    <row r="110" spans="1:23" x14ac:dyDescent="0.25">
      <c r="A110" s="2" t="s">
        <v>628</v>
      </c>
      <c r="B110" s="2" t="s">
        <v>626</v>
      </c>
      <c r="C110" s="2">
        <v>540086</v>
      </c>
      <c r="D110" s="2" t="s">
        <v>718</v>
      </c>
      <c r="E110" s="2" t="s">
        <v>41</v>
      </c>
      <c r="F110" s="2" t="s">
        <v>115</v>
      </c>
      <c r="G110" s="2">
        <v>7</v>
      </c>
      <c r="H110" s="2">
        <v>0</v>
      </c>
      <c r="I110" s="2">
        <v>0</v>
      </c>
      <c r="J110" s="2">
        <v>0</v>
      </c>
      <c r="K110" s="2">
        <v>0</v>
      </c>
      <c r="L110" s="2">
        <v>0</v>
      </c>
      <c r="M110" s="2">
        <v>0</v>
      </c>
      <c r="N110" s="2">
        <v>0</v>
      </c>
      <c r="O110" s="2">
        <v>0</v>
      </c>
      <c r="P110" s="2">
        <v>0</v>
      </c>
      <c r="Q110" s="2">
        <v>0</v>
      </c>
      <c r="R110" s="2">
        <v>0</v>
      </c>
      <c r="S110" s="2" t="s">
        <v>488</v>
      </c>
      <c r="T110" s="2" t="s">
        <v>488</v>
      </c>
      <c r="U110" s="2">
        <v>0</v>
      </c>
      <c r="V110" s="2">
        <v>0</v>
      </c>
      <c r="W110">
        <f t="shared" si="1"/>
        <v>0</v>
      </c>
    </row>
    <row r="111" spans="1:23" x14ac:dyDescent="0.25">
      <c r="A111" s="2" t="s">
        <v>628</v>
      </c>
      <c r="B111" s="2" t="s">
        <v>626</v>
      </c>
      <c r="C111" s="2">
        <v>540087</v>
      </c>
      <c r="D111" s="2" t="s">
        <v>719</v>
      </c>
      <c r="E111" s="2" t="s">
        <v>41</v>
      </c>
      <c r="F111" s="2" t="s">
        <v>115</v>
      </c>
      <c r="G111" s="2">
        <v>7</v>
      </c>
      <c r="H111" s="2">
        <v>0</v>
      </c>
      <c r="I111" s="2">
        <v>0</v>
      </c>
      <c r="J111" s="2">
        <v>0</v>
      </c>
      <c r="K111" s="2">
        <v>0</v>
      </c>
      <c r="L111" s="2">
        <v>0</v>
      </c>
      <c r="M111" s="2">
        <v>0</v>
      </c>
      <c r="N111" s="2">
        <v>0</v>
      </c>
      <c r="O111" s="2">
        <v>0</v>
      </c>
      <c r="P111" s="2">
        <v>0</v>
      </c>
      <c r="Q111" s="2">
        <v>0</v>
      </c>
      <c r="R111" s="2">
        <v>0</v>
      </c>
      <c r="S111" s="2" t="s">
        <v>488</v>
      </c>
      <c r="T111" s="2" t="s">
        <v>488</v>
      </c>
      <c r="U111" s="2">
        <v>0</v>
      </c>
      <c r="V111" s="2">
        <v>0</v>
      </c>
      <c r="W111">
        <f t="shared" si="1"/>
        <v>0</v>
      </c>
    </row>
    <row r="112" spans="1:23" x14ac:dyDescent="0.25">
      <c r="A112" s="255" t="s">
        <v>628</v>
      </c>
      <c r="B112" s="255" t="s">
        <v>626</v>
      </c>
      <c r="C112" s="255"/>
      <c r="D112" s="255"/>
      <c r="E112" s="255" t="s">
        <v>41</v>
      </c>
      <c r="F112" s="255"/>
      <c r="G112" s="255"/>
      <c r="H112" s="255">
        <v>0</v>
      </c>
      <c r="I112" s="255">
        <v>0</v>
      </c>
      <c r="J112" s="255">
        <v>0</v>
      </c>
      <c r="K112" s="255">
        <v>0</v>
      </c>
      <c r="L112" s="255">
        <v>0</v>
      </c>
      <c r="M112" s="255">
        <v>0</v>
      </c>
      <c r="N112" s="255">
        <v>0</v>
      </c>
      <c r="O112" s="255">
        <v>0</v>
      </c>
      <c r="P112" s="255">
        <v>0</v>
      </c>
      <c r="Q112" s="255">
        <v>0</v>
      </c>
      <c r="R112" s="255">
        <v>0</v>
      </c>
      <c r="S112" s="255" t="s">
        <v>488</v>
      </c>
      <c r="T112" s="255" t="s">
        <v>488</v>
      </c>
      <c r="U112" s="255">
        <v>0</v>
      </c>
      <c r="V112" s="255">
        <v>0</v>
      </c>
      <c r="W112">
        <f t="shared" si="1"/>
        <v>0</v>
      </c>
    </row>
    <row r="113" spans="1:23" x14ac:dyDescent="0.25">
      <c r="A113" s="2" t="s">
        <v>628</v>
      </c>
      <c r="B113" s="2" t="s">
        <v>626</v>
      </c>
      <c r="C113" s="2">
        <v>540088</v>
      </c>
      <c r="D113" s="2" t="s">
        <v>720</v>
      </c>
      <c r="E113" s="2" t="s">
        <v>43</v>
      </c>
      <c r="F113" s="2" t="s">
        <v>5</v>
      </c>
      <c r="G113" s="2">
        <v>2</v>
      </c>
      <c r="H113" s="2">
        <v>0</v>
      </c>
      <c r="I113" s="2">
        <v>0</v>
      </c>
      <c r="J113" s="2">
        <v>0</v>
      </c>
      <c r="K113" s="2">
        <v>0</v>
      </c>
      <c r="L113" s="2">
        <v>0</v>
      </c>
      <c r="M113" s="2">
        <v>0</v>
      </c>
      <c r="N113" s="2">
        <v>0</v>
      </c>
      <c r="O113" s="2">
        <v>0</v>
      </c>
      <c r="P113" s="2">
        <v>0</v>
      </c>
      <c r="Q113" s="2" t="s">
        <v>488</v>
      </c>
      <c r="R113" s="2" t="s">
        <v>488</v>
      </c>
      <c r="S113" s="2" t="s">
        <v>488</v>
      </c>
      <c r="T113" s="2" t="s">
        <v>488</v>
      </c>
      <c r="U113" s="2">
        <v>0</v>
      </c>
      <c r="V113" s="2">
        <v>0</v>
      </c>
      <c r="W113">
        <f t="shared" si="1"/>
        <v>0</v>
      </c>
    </row>
    <row r="114" spans="1:23" x14ac:dyDescent="0.25">
      <c r="A114" s="2" t="s">
        <v>628</v>
      </c>
      <c r="B114" s="2" t="s">
        <v>626</v>
      </c>
      <c r="C114" s="2">
        <v>540089</v>
      </c>
      <c r="D114" s="2" t="s">
        <v>721</v>
      </c>
      <c r="E114" s="2" t="s">
        <v>43</v>
      </c>
      <c r="F114" s="2" t="s">
        <v>115</v>
      </c>
      <c r="G114" s="2">
        <v>2</v>
      </c>
      <c r="H114" s="2">
        <v>0</v>
      </c>
      <c r="I114" s="2">
        <v>0</v>
      </c>
      <c r="J114" s="2">
        <v>0</v>
      </c>
      <c r="K114" s="2">
        <v>0</v>
      </c>
      <c r="L114" s="2">
        <v>0</v>
      </c>
      <c r="M114" s="2">
        <v>0</v>
      </c>
      <c r="N114" s="2">
        <v>0</v>
      </c>
      <c r="O114" s="2">
        <v>0</v>
      </c>
      <c r="P114" s="2">
        <v>0</v>
      </c>
      <c r="Q114" s="2" t="s">
        <v>488</v>
      </c>
      <c r="R114" s="2" t="s">
        <v>488</v>
      </c>
      <c r="S114" s="2" t="s">
        <v>488</v>
      </c>
      <c r="T114" s="2" t="s">
        <v>488</v>
      </c>
      <c r="U114" s="2">
        <v>0</v>
      </c>
      <c r="V114" s="2">
        <v>0</v>
      </c>
      <c r="W114">
        <f t="shared" si="1"/>
        <v>0</v>
      </c>
    </row>
    <row r="115" spans="1:23" x14ac:dyDescent="0.25">
      <c r="A115" s="2" t="s">
        <v>628</v>
      </c>
      <c r="B115" s="2" t="s">
        <v>626</v>
      </c>
      <c r="C115" s="2">
        <v>540090</v>
      </c>
      <c r="D115" s="2" t="s">
        <v>722</v>
      </c>
      <c r="E115" s="2" t="s">
        <v>43</v>
      </c>
      <c r="F115" s="2" t="s">
        <v>115</v>
      </c>
      <c r="G115" s="2">
        <v>2</v>
      </c>
      <c r="H115" s="2">
        <v>0</v>
      </c>
      <c r="I115" s="2">
        <v>0</v>
      </c>
      <c r="J115" s="2">
        <v>0</v>
      </c>
      <c r="K115" s="2">
        <v>0</v>
      </c>
      <c r="L115" s="2">
        <v>0</v>
      </c>
      <c r="M115" s="2">
        <v>0</v>
      </c>
      <c r="N115" s="2">
        <v>0</v>
      </c>
      <c r="O115" s="2">
        <v>0</v>
      </c>
      <c r="P115" s="2">
        <v>0</v>
      </c>
      <c r="Q115" s="2" t="s">
        <v>488</v>
      </c>
      <c r="R115" s="2" t="s">
        <v>488</v>
      </c>
      <c r="S115" s="2" t="s">
        <v>488</v>
      </c>
      <c r="T115" s="2" t="s">
        <v>488</v>
      </c>
      <c r="U115" s="2">
        <v>0</v>
      </c>
      <c r="V115" s="2">
        <v>0</v>
      </c>
      <c r="W115">
        <f t="shared" si="1"/>
        <v>0</v>
      </c>
    </row>
    <row r="116" spans="1:23" x14ac:dyDescent="0.25">
      <c r="A116" s="255" t="s">
        <v>628</v>
      </c>
      <c r="B116" s="255" t="s">
        <v>626</v>
      </c>
      <c r="C116" s="255"/>
      <c r="D116" s="255"/>
      <c r="E116" s="255" t="s">
        <v>43</v>
      </c>
      <c r="F116" s="255"/>
      <c r="G116" s="255"/>
      <c r="H116" s="255">
        <v>0</v>
      </c>
      <c r="I116" s="255">
        <v>0</v>
      </c>
      <c r="J116" s="255">
        <v>0</v>
      </c>
      <c r="K116" s="255">
        <v>0</v>
      </c>
      <c r="L116" s="255">
        <v>0</v>
      </c>
      <c r="M116" s="255">
        <v>0</v>
      </c>
      <c r="N116" s="255">
        <v>0</v>
      </c>
      <c r="O116" s="255">
        <v>0</v>
      </c>
      <c r="P116" s="255">
        <v>0</v>
      </c>
      <c r="Q116" s="255" t="s">
        <v>488</v>
      </c>
      <c r="R116" s="255" t="s">
        <v>488</v>
      </c>
      <c r="S116" s="255" t="s">
        <v>488</v>
      </c>
      <c r="T116" s="255" t="s">
        <v>488</v>
      </c>
      <c r="U116" s="255">
        <v>0</v>
      </c>
      <c r="V116" s="255">
        <v>0</v>
      </c>
      <c r="W116">
        <f t="shared" si="1"/>
        <v>0</v>
      </c>
    </row>
    <row r="117" spans="1:23" x14ac:dyDescent="0.25">
      <c r="A117" s="2" t="s">
        <v>628</v>
      </c>
      <c r="B117" s="2" t="s">
        <v>626</v>
      </c>
      <c r="C117" s="2">
        <v>540097</v>
      </c>
      <c r="D117" s="2" t="s">
        <v>723</v>
      </c>
      <c r="E117" s="2" t="s">
        <v>45</v>
      </c>
      <c r="F117" s="2" t="s">
        <v>5</v>
      </c>
      <c r="G117" s="2">
        <v>6</v>
      </c>
      <c r="H117" s="2">
        <v>0</v>
      </c>
      <c r="I117" s="2">
        <v>0</v>
      </c>
      <c r="J117" s="2">
        <v>0</v>
      </c>
      <c r="K117" s="2">
        <v>0</v>
      </c>
      <c r="L117" s="2">
        <v>0</v>
      </c>
      <c r="M117" s="2">
        <v>0</v>
      </c>
      <c r="N117" s="2">
        <v>0</v>
      </c>
      <c r="O117" s="2">
        <v>0</v>
      </c>
      <c r="P117" s="2">
        <v>0</v>
      </c>
      <c r="Q117" s="2">
        <v>0</v>
      </c>
      <c r="R117" s="2">
        <v>0</v>
      </c>
      <c r="S117" s="2" t="s">
        <v>488</v>
      </c>
      <c r="T117" s="2" t="s">
        <v>488</v>
      </c>
      <c r="U117" s="2">
        <v>0</v>
      </c>
      <c r="V117" s="2">
        <v>0</v>
      </c>
      <c r="W117">
        <f t="shared" si="1"/>
        <v>0</v>
      </c>
    </row>
    <row r="118" spans="1:23" x14ac:dyDescent="0.25">
      <c r="A118" s="2" t="s">
        <v>628</v>
      </c>
      <c r="B118" s="2" t="s">
        <v>626</v>
      </c>
      <c r="C118" s="2">
        <v>540098</v>
      </c>
      <c r="D118" s="2" t="s">
        <v>724</v>
      </c>
      <c r="E118" s="2" t="s">
        <v>45</v>
      </c>
      <c r="F118" s="2" t="s">
        <v>115</v>
      </c>
      <c r="G118" s="2">
        <v>6</v>
      </c>
      <c r="H118" s="2">
        <v>0</v>
      </c>
      <c r="I118" s="2">
        <v>0</v>
      </c>
      <c r="J118" s="2">
        <v>0</v>
      </c>
      <c r="K118" s="2">
        <v>0</v>
      </c>
      <c r="L118" s="2">
        <v>0</v>
      </c>
      <c r="M118" s="2">
        <v>0</v>
      </c>
      <c r="N118" s="2">
        <v>0</v>
      </c>
      <c r="O118" s="2">
        <v>0</v>
      </c>
      <c r="P118" s="2">
        <v>0</v>
      </c>
      <c r="Q118" s="2">
        <v>0</v>
      </c>
      <c r="R118" s="2">
        <v>0</v>
      </c>
      <c r="S118" s="2" t="s">
        <v>488</v>
      </c>
      <c r="T118" s="2" t="s">
        <v>488</v>
      </c>
      <c r="U118" s="2">
        <v>0</v>
      </c>
      <c r="V118" s="2">
        <v>0</v>
      </c>
      <c r="W118">
        <f t="shared" si="1"/>
        <v>0</v>
      </c>
    </row>
    <row r="119" spans="1:23" x14ac:dyDescent="0.25">
      <c r="A119" s="2" t="s">
        <v>628</v>
      </c>
      <c r="B119" s="2" t="s">
        <v>626</v>
      </c>
      <c r="C119" s="2">
        <v>540099</v>
      </c>
      <c r="D119" s="2" t="s">
        <v>725</v>
      </c>
      <c r="E119" s="2" t="s">
        <v>45</v>
      </c>
      <c r="F119" s="2" t="s">
        <v>115</v>
      </c>
      <c r="G119" s="2">
        <v>6</v>
      </c>
      <c r="H119" s="2">
        <v>0</v>
      </c>
      <c r="I119" s="2">
        <v>0</v>
      </c>
      <c r="J119" s="2">
        <v>0</v>
      </c>
      <c r="K119" s="2">
        <v>0</v>
      </c>
      <c r="L119" s="2">
        <v>0</v>
      </c>
      <c r="M119" s="2">
        <v>0</v>
      </c>
      <c r="N119" s="2">
        <v>0</v>
      </c>
      <c r="O119" s="2">
        <v>0</v>
      </c>
      <c r="P119" s="2">
        <v>0</v>
      </c>
      <c r="Q119" s="2">
        <v>0</v>
      </c>
      <c r="R119" s="2">
        <v>0</v>
      </c>
      <c r="S119" s="2" t="s">
        <v>488</v>
      </c>
      <c r="T119" s="2" t="s">
        <v>488</v>
      </c>
      <c r="U119" s="2">
        <v>0</v>
      </c>
      <c r="V119" s="2">
        <v>0</v>
      </c>
      <c r="W119">
        <f t="shared" si="1"/>
        <v>0</v>
      </c>
    </row>
    <row r="120" spans="1:23" x14ac:dyDescent="0.25">
      <c r="A120" s="2" t="s">
        <v>628</v>
      </c>
      <c r="B120" s="2" t="s">
        <v>626</v>
      </c>
      <c r="C120" s="2">
        <v>540100</v>
      </c>
      <c r="D120" s="2" t="s">
        <v>726</v>
      </c>
      <c r="E120" s="2" t="s">
        <v>45</v>
      </c>
      <c r="F120" s="2" t="s">
        <v>115</v>
      </c>
      <c r="G120" s="2">
        <v>6</v>
      </c>
      <c r="H120" s="2">
        <v>0</v>
      </c>
      <c r="I120" s="2">
        <v>0</v>
      </c>
      <c r="J120" s="2">
        <v>0</v>
      </c>
      <c r="K120" s="2">
        <v>0</v>
      </c>
      <c r="L120" s="2">
        <v>0</v>
      </c>
      <c r="M120" s="2">
        <v>0</v>
      </c>
      <c r="N120" s="2">
        <v>0</v>
      </c>
      <c r="O120" s="2">
        <v>0</v>
      </c>
      <c r="P120" s="2">
        <v>0</v>
      </c>
      <c r="Q120" s="2">
        <v>0</v>
      </c>
      <c r="R120" s="2">
        <v>0</v>
      </c>
      <c r="S120" s="2" t="s">
        <v>488</v>
      </c>
      <c r="T120" s="2" t="s">
        <v>488</v>
      </c>
      <c r="U120" s="2">
        <v>0</v>
      </c>
      <c r="V120" s="2">
        <v>0</v>
      </c>
      <c r="W120">
        <f t="shared" si="1"/>
        <v>0</v>
      </c>
    </row>
    <row r="121" spans="1:23" x14ac:dyDescent="0.25">
      <c r="A121" s="2" t="s">
        <v>628</v>
      </c>
      <c r="B121" s="2" t="s">
        <v>626</v>
      </c>
      <c r="C121" s="2">
        <v>540101</v>
      </c>
      <c r="D121" s="2" t="s">
        <v>727</v>
      </c>
      <c r="E121" s="2" t="s">
        <v>45</v>
      </c>
      <c r="F121" s="2" t="s">
        <v>115</v>
      </c>
      <c r="G121" s="2">
        <v>6</v>
      </c>
      <c r="H121" s="2">
        <v>0</v>
      </c>
      <c r="I121" s="2">
        <v>0</v>
      </c>
      <c r="J121" s="2">
        <v>0</v>
      </c>
      <c r="K121" s="2">
        <v>0</v>
      </c>
      <c r="L121" s="2">
        <v>0</v>
      </c>
      <c r="M121" s="2">
        <v>0</v>
      </c>
      <c r="N121" s="2">
        <v>0</v>
      </c>
      <c r="O121" s="2">
        <v>0</v>
      </c>
      <c r="P121" s="2">
        <v>0</v>
      </c>
      <c r="Q121" s="2">
        <v>0</v>
      </c>
      <c r="R121" s="2">
        <v>0</v>
      </c>
      <c r="S121" s="2" t="s">
        <v>488</v>
      </c>
      <c r="T121" s="2" t="s">
        <v>488</v>
      </c>
      <c r="U121" s="2">
        <v>0</v>
      </c>
      <c r="V121" s="2">
        <v>0</v>
      </c>
      <c r="W121">
        <f t="shared" si="1"/>
        <v>0</v>
      </c>
    </row>
    <row r="122" spans="1:23" x14ac:dyDescent="0.25">
      <c r="A122" s="2" t="s">
        <v>628</v>
      </c>
      <c r="B122" s="2" t="s">
        <v>626</v>
      </c>
      <c r="C122" s="2">
        <v>540102</v>
      </c>
      <c r="D122" s="2" t="s">
        <v>728</v>
      </c>
      <c r="E122" s="2" t="s">
        <v>45</v>
      </c>
      <c r="F122" s="2" t="s">
        <v>115</v>
      </c>
      <c r="G122" s="2">
        <v>6</v>
      </c>
      <c r="H122" s="2">
        <v>0</v>
      </c>
      <c r="I122" s="2">
        <v>0</v>
      </c>
      <c r="J122" s="2">
        <v>0</v>
      </c>
      <c r="K122" s="2">
        <v>0</v>
      </c>
      <c r="L122" s="2">
        <v>0</v>
      </c>
      <c r="M122" s="2">
        <v>0</v>
      </c>
      <c r="N122" s="2">
        <v>0</v>
      </c>
      <c r="O122" s="2">
        <v>0</v>
      </c>
      <c r="P122" s="2">
        <v>0</v>
      </c>
      <c r="Q122" s="2">
        <v>0</v>
      </c>
      <c r="R122" s="2">
        <v>0</v>
      </c>
      <c r="S122" s="2" t="s">
        <v>488</v>
      </c>
      <c r="T122" s="2" t="s">
        <v>488</v>
      </c>
      <c r="U122" s="2">
        <v>0</v>
      </c>
      <c r="V122" s="2">
        <v>0</v>
      </c>
      <c r="W122">
        <f t="shared" si="1"/>
        <v>0</v>
      </c>
    </row>
    <row r="123" spans="1:23" x14ac:dyDescent="0.25">
      <c r="A123" s="2" t="s">
        <v>628</v>
      </c>
      <c r="B123" s="2" t="s">
        <v>626</v>
      </c>
      <c r="C123" s="2">
        <v>540103</v>
      </c>
      <c r="D123" s="2" t="s">
        <v>729</v>
      </c>
      <c r="E123" s="2" t="s">
        <v>45</v>
      </c>
      <c r="F123" s="2" t="s">
        <v>115</v>
      </c>
      <c r="G123" s="2">
        <v>6</v>
      </c>
      <c r="H123" s="2">
        <v>0</v>
      </c>
      <c r="I123" s="2">
        <v>0</v>
      </c>
      <c r="J123" s="2">
        <v>0</v>
      </c>
      <c r="K123" s="2">
        <v>0</v>
      </c>
      <c r="L123" s="2">
        <v>0</v>
      </c>
      <c r="M123" s="2">
        <v>0</v>
      </c>
      <c r="N123" s="2">
        <v>0</v>
      </c>
      <c r="O123" s="2">
        <v>0</v>
      </c>
      <c r="P123" s="2">
        <v>0</v>
      </c>
      <c r="Q123" s="2">
        <v>0</v>
      </c>
      <c r="R123" s="2">
        <v>0</v>
      </c>
      <c r="S123" s="2" t="s">
        <v>488</v>
      </c>
      <c r="T123" s="2" t="s">
        <v>488</v>
      </c>
      <c r="U123" s="2">
        <v>0</v>
      </c>
      <c r="V123" s="2">
        <v>0</v>
      </c>
      <c r="W123">
        <f t="shared" si="1"/>
        <v>0</v>
      </c>
    </row>
    <row r="124" spans="1:23" x14ac:dyDescent="0.25">
      <c r="A124" s="2" t="s">
        <v>628</v>
      </c>
      <c r="B124" s="2" t="s">
        <v>626</v>
      </c>
      <c r="C124" s="2">
        <v>540104</v>
      </c>
      <c r="D124" s="2" t="s">
        <v>730</v>
      </c>
      <c r="E124" s="2" t="s">
        <v>45</v>
      </c>
      <c r="F124" s="2" t="s">
        <v>115</v>
      </c>
      <c r="G124" s="2">
        <v>6</v>
      </c>
      <c r="H124" s="2">
        <v>0</v>
      </c>
      <c r="I124" s="2">
        <v>0</v>
      </c>
      <c r="J124" s="2">
        <v>0</v>
      </c>
      <c r="K124" s="2">
        <v>0</v>
      </c>
      <c r="L124" s="2">
        <v>0</v>
      </c>
      <c r="M124" s="2">
        <v>0</v>
      </c>
      <c r="N124" s="2">
        <v>0</v>
      </c>
      <c r="O124" s="2">
        <v>0</v>
      </c>
      <c r="P124" s="2">
        <v>0</v>
      </c>
      <c r="Q124" s="2">
        <v>0</v>
      </c>
      <c r="R124" s="2">
        <v>0</v>
      </c>
      <c r="S124" s="2" t="s">
        <v>488</v>
      </c>
      <c r="T124" s="2" t="s">
        <v>488</v>
      </c>
      <c r="U124" s="2">
        <v>0</v>
      </c>
      <c r="V124" s="2">
        <v>0</v>
      </c>
      <c r="W124">
        <f t="shared" si="1"/>
        <v>0</v>
      </c>
    </row>
    <row r="125" spans="1:23" x14ac:dyDescent="0.25">
      <c r="A125" s="2" t="s">
        <v>628</v>
      </c>
      <c r="B125" s="2" t="s">
        <v>626</v>
      </c>
      <c r="C125" s="2">
        <v>540105</v>
      </c>
      <c r="D125" s="2" t="s">
        <v>731</v>
      </c>
      <c r="E125" s="2" t="s">
        <v>45</v>
      </c>
      <c r="F125" s="2" t="s">
        <v>115</v>
      </c>
      <c r="G125" s="2">
        <v>6</v>
      </c>
      <c r="H125" s="2">
        <v>0</v>
      </c>
      <c r="I125" s="2">
        <v>0</v>
      </c>
      <c r="J125" s="2">
        <v>0</v>
      </c>
      <c r="K125" s="2">
        <v>0</v>
      </c>
      <c r="L125" s="2">
        <v>0</v>
      </c>
      <c r="M125" s="2">
        <v>0</v>
      </c>
      <c r="N125" s="2">
        <v>0</v>
      </c>
      <c r="O125" s="2">
        <v>0</v>
      </c>
      <c r="P125" s="2">
        <v>0</v>
      </c>
      <c r="Q125" s="2">
        <v>0</v>
      </c>
      <c r="R125" s="2">
        <v>0</v>
      </c>
      <c r="S125" s="2" t="s">
        <v>488</v>
      </c>
      <c r="T125" s="2" t="s">
        <v>488</v>
      </c>
      <c r="U125" s="2">
        <v>0</v>
      </c>
      <c r="V125" s="2">
        <v>0</v>
      </c>
      <c r="W125">
        <f t="shared" si="1"/>
        <v>0</v>
      </c>
    </row>
    <row r="126" spans="1:23" x14ac:dyDescent="0.25">
      <c r="A126" s="2" t="s">
        <v>628</v>
      </c>
      <c r="B126" s="2" t="s">
        <v>626</v>
      </c>
      <c r="C126" s="2">
        <v>540106</v>
      </c>
      <c r="D126" s="2" t="s">
        <v>732</v>
      </c>
      <c r="E126" s="2" t="s">
        <v>45</v>
      </c>
      <c r="F126" s="2" t="s">
        <v>115</v>
      </c>
      <c r="G126" s="2">
        <v>6</v>
      </c>
      <c r="H126" s="2">
        <v>0</v>
      </c>
      <c r="I126" s="2">
        <v>0</v>
      </c>
      <c r="J126" s="2">
        <v>0</v>
      </c>
      <c r="K126" s="2">
        <v>0</v>
      </c>
      <c r="L126" s="2">
        <v>0</v>
      </c>
      <c r="M126" s="2">
        <v>0</v>
      </c>
      <c r="N126" s="2">
        <v>0</v>
      </c>
      <c r="O126" s="2">
        <v>0</v>
      </c>
      <c r="P126" s="2">
        <v>0</v>
      </c>
      <c r="Q126" s="2">
        <v>0</v>
      </c>
      <c r="R126" s="2">
        <v>0</v>
      </c>
      <c r="S126" s="2" t="s">
        <v>488</v>
      </c>
      <c r="T126" s="2" t="s">
        <v>488</v>
      </c>
      <c r="U126" s="2">
        <v>0</v>
      </c>
      <c r="V126" s="2">
        <v>0</v>
      </c>
      <c r="W126">
        <f t="shared" si="1"/>
        <v>0</v>
      </c>
    </row>
    <row r="127" spans="1:23" x14ac:dyDescent="0.25">
      <c r="A127" s="2" t="s">
        <v>628</v>
      </c>
      <c r="B127" s="2" t="s">
        <v>626</v>
      </c>
      <c r="C127" s="2">
        <v>540292</v>
      </c>
      <c r="D127" s="2" t="s">
        <v>733</v>
      </c>
      <c r="E127" s="2" t="s">
        <v>45</v>
      </c>
      <c r="F127" s="2" t="s">
        <v>115</v>
      </c>
      <c r="G127" s="2">
        <v>6</v>
      </c>
      <c r="H127" s="2">
        <v>0</v>
      </c>
      <c r="I127" s="2">
        <v>0</v>
      </c>
      <c r="J127" s="2">
        <v>0</v>
      </c>
      <c r="K127" s="2">
        <v>0</v>
      </c>
      <c r="L127" s="2">
        <v>0</v>
      </c>
      <c r="M127" s="2">
        <v>0</v>
      </c>
      <c r="N127" s="2">
        <v>0</v>
      </c>
      <c r="O127" s="2">
        <v>0</v>
      </c>
      <c r="P127" s="2">
        <v>0</v>
      </c>
      <c r="Q127" s="2">
        <v>0</v>
      </c>
      <c r="R127" s="2">
        <v>0</v>
      </c>
      <c r="S127" s="2" t="s">
        <v>488</v>
      </c>
      <c r="T127" s="2" t="s">
        <v>488</v>
      </c>
      <c r="U127" s="2">
        <v>0</v>
      </c>
      <c r="V127" s="2">
        <v>0</v>
      </c>
      <c r="W127">
        <f t="shared" si="1"/>
        <v>0</v>
      </c>
    </row>
    <row r="128" spans="1:23" x14ac:dyDescent="0.25">
      <c r="A128" s="2" t="s">
        <v>628</v>
      </c>
      <c r="B128" s="2" t="s">
        <v>626</v>
      </c>
      <c r="C128" s="2">
        <v>545556</v>
      </c>
      <c r="D128" s="2" t="s">
        <v>734</v>
      </c>
      <c r="E128" s="2" t="s">
        <v>45</v>
      </c>
      <c r="F128" s="2" t="s">
        <v>115</v>
      </c>
      <c r="G128" s="2">
        <v>6</v>
      </c>
      <c r="H128" s="2">
        <v>0</v>
      </c>
      <c r="I128" s="2">
        <v>0</v>
      </c>
      <c r="J128" s="2">
        <v>0</v>
      </c>
      <c r="K128" s="2">
        <v>0</v>
      </c>
      <c r="L128" s="2">
        <v>0</v>
      </c>
      <c r="M128" s="2">
        <v>0</v>
      </c>
      <c r="N128" s="2">
        <v>0</v>
      </c>
      <c r="O128" s="2">
        <v>0</v>
      </c>
      <c r="P128" s="2">
        <v>0</v>
      </c>
      <c r="Q128" s="2">
        <v>0</v>
      </c>
      <c r="R128" s="2">
        <v>0</v>
      </c>
      <c r="S128" s="2" t="s">
        <v>488</v>
      </c>
      <c r="T128" s="2" t="s">
        <v>488</v>
      </c>
      <c r="U128" s="2">
        <v>0</v>
      </c>
      <c r="V128" s="2">
        <v>0</v>
      </c>
      <c r="W128">
        <f t="shared" si="1"/>
        <v>0</v>
      </c>
    </row>
    <row r="129" spans="1:23" x14ac:dyDescent="0.25">
      <c r="A129" s="255" t="s">
        <v>628</v>
      </c>
      <c r="B129" s="255" t="s">
        <v>626</v>
      </c>
      <c r="C129" s="255"/>
      <c r="D129" s="255"/>
      <c r="E129" s="255" t="s">
        <v>45</v>
      </c>
      <c r="F129" s="255"/>
      <c r="G129" s="255"/>
      <c r="H129" s="255">
        <v>0</v>
      </c>
      <c r="I129" s="255">
        <v>0</v>
      </c>
      <c r="J129" s="255">
        <v>0</v>
      </c>
      <c r="K129" s="255">
        <v>0</v>
      </c>
      <c r="L129" s="255">
        <v>0</v>
      </c>
      <c r="M129" s="255">
        <v>0</v>
      </c>
      <c r="N129" s="255">
        <v>0</v>
      </c>
      <c r="O129" s="255">
        <v>0</v>
      </c>
      <c r="P129" s="255">
        <v>0</v>
      </c>
      <c r="Q129" s="255">
        <v>0</v>
      </c>
      <c r="R129" s="255">
        <v>0</v>
      </c>
      <c r="S129" s="255" t="s">
        <v>488</v>
      </c>
      <c r="T129" s="255" t="s">
        <v>488</v>
      </c>
      <c r="U129" s="255">
        <v>0</v>
      </c>
      <c r="V129" s="255">
        <v>0</v>
      </c>
      <c r="W129">
        <f t="shared" si="1"/>
        <v>0</v>
      </c>
    </row>
    <row r="130" spans="1:23" x14ac:dyDescent="0.25">
      <c r="A130" s="2" t="s">
        <v>628</v>
      </c>
      <c r="B130" s="2" t="s">
        <v>626</v>
      </c>
      <c r="C130" s="2">
        <v>540107</v>
      </c>
      <c r="D130" s="2" t="s">
        <v>735</v>
      </c>
      <c r="E130" s="2" t="s">
        <v>47</v>
      </c>
      <c r="F130" s="2" t="s">
        <v>5</v>
      </c>
      <c r="G130" s="2">
        <v>10</v>
      </c>
      <c r="H130" s="2">
        <v>0</v>
      </c>
      <c r="I130" s="2">
        <v>0</v>
      </c>
      <c r="J130" s="2">
        <v>0</v>
      </c>
      <c r="K130" s="2">
        <v>0</v>
      </c>
      <c r="L130" s="2">
        <v>0</v>
      </c>
      <c r="M130" s="2">
        <v>0</v>
      </c>
      <c r="N130" s="2">
        <v>0</v>
      </c>
      <c r="O130" s="2">
        <v>0</v>
      </c>
      <c r="P130" s="2">
        <v>0</v>
      </c>
      <c r="Q130" s="2" t="s">
        <v>488</v>
      </c>
      <c r="R130" s="2" t="s">
        <v>488</v>
      </c>
      <c r="S130" s="2" t="s">
        <v>488</v>
      </c>
      <c r="T130" s="2" t="s">
        <v>488</v>
      </c>
      <c r="U130" s="2">
        <v>0</v>
      </c>
      <c r="V130" s="2">
        <v>0</v>
      </c>
      <c r="W130">
        <f t="shared" si="1"/>
        <v>0</v>
      </c>
    </row>
    <row r="131" spans="1:23" x14ac:dyDescent="0.25">
      <c r="A131" s="2" t="s">
        <v>628</v>
      </c>
      <c r="B131" s="2" t="s">
        <v>626</v>
      </c>
      <c r="C131" s="2">
        <v>540108</v>
      </c>
      <c r="D131" s="2" t="s">
        <v>736</v>
      </c>
      <c r="E131" s="2" t="s">
        <v>47</v>
      </c>
      <c r="F131" s="2" t="s">
        <v>115</v>
      </c>
      <c r="G131" s="2">
        <v>10</v>
      </c>
      <c r="H131" s="2">
        <v>0</v>
      </c>
      <c r="I131" s="2">
        <v>0</v>
      </c>
      <c r="J131" s="2">
        <v>0</v>
      </c>
      <c r="K131" s="2">
        <v>0</v>
      </c>
      <c r="L131" s="2">
        <v>0</v>
      </c>
      <c r="M131" s="2">
        <v>0</v>
      </c>
      <c r="N131" s="2">
        <v>0</v>
      </c>
      <c r="O131" s="2">
        <v>0</v>
      </c>
      <c r="P131" s="2">
        <v>0</v>
      </c>
      <c r="Q131" s="2" t="s">
        <v>488</v>
      </c>
      <c r="R131" s="2" t="s">
        <v>488</v>
      </c>
      <c r="S131" s="2" t="s">
        <v>488</v>
      </c>
      <c r="T131" s="2" t="s">
        <v>488</v>
      </c>
      <c r="U131" s="2">
        <v>0</v>
      </c>
      <c r="V131" s="2">
        <v>0</v>
      </c>
      <c r="W131">
        <f t="shared" ref="W131:W194" si="2">SUM(N131,P131,R131,T131,U131,V131)</f>
        <v>0</v>
      </c>
    </row>
    <row r="132" spans="1:23" x14ac:dyDescent="0.25">
      <c r="A132" s="2" t="s">
        <v>628</v>
      </c>
      <c r="B132" s="2" t="s">
        <v>626</v>
      </c>
      <c r="C132" s="2">
        <v>540109</v>
      </c>
      <c r="D132" s="2" t="s">
        <v>737</v>
      </c>
      <c r="E132" s="2" t="s">
        <v>47</v>
      </c>
      <c r="F132" s="2" t="s">
        <v>115</v>
      </c>
      <c r="G132" s="2">
        <v>10</v>
      </c>
      <c r="H132" s="2">
        <v>0</v>
      </c>
      <c r="I132" s="2">
        <v>0</v>
      </c>
      <c r="J132" s="2">
        <v>0</v>
      </c>
      <c r="K132" s="2">
        <v>0</v>
      </c>
      <c r="L132" s="2">
        <v>0</v>
      </c>
      <c r="M132" s="2">
        <v>0</v>
      </c>
      <c r="N132" s="2">
        <v>0</v>
      </c>
      <c r="O132" s="2">
        <v>0</v>
      </c>
      <c r="P132" s="2">
        <v>0</v>
      </c>
      <c r="Q132" s="2" t="s">
        <v>488</v>
      </c>
      <c r="R132" s="2" t="s">
        <v>488</v>
      </c>
      <c r="S132" s="2" t="s">
        <v>488</v>
      </c>
      <c r="T132" s="2" t="s">
        <v>488</v>
      </c>
      <c r="U132" s="2">
        <v>0</v>
      </c>
      <c r="V132" s="2">
        <v>0</v>
      </c>
      <c r="W132">
        <f t="shared" si="2"/>
        <v>0</v>
      </c>
    </row>
    <row r="133" spans="1:23" x14ac:dyDescent="0.25">
      <c r="A133" s="2" t="s">
        <v>628</v>
      </c>
      <c r="B133" s="2" t="s">
        <v>626</v>
      </c>
      <c r="C133" s="2">
        <v>540110</v>
      </c>
      <c r="D133" s="2" t="s">
        <v>738</v>
      </c>
      <c r="E133" s="2" t="s">
        <v>47</v>
      </c>
      <c r="F133" s="2" t="s">
        <v>115</v>
      </c>
      <c r="G133" s="2">
        <v>10</v>
      </c>
      <c r="H133" s="2">
        <v>0</v>
      </c>
      <c r="I133" s="2">
        <v>0</v>
      </c>
      <c r="J133" s="2">
        <v>0</v>
      </c>
      <c r="K133" s="2">
        <v>0</v>
      </c>
      <c r="L133" s="2">
        <v>0</v>
      </c>
      <c r="M133" s="2">
        <v>0</v>
      </c>
      <c r="N133" s="2">
        <v>0</v>
      </c>
      <c r="O133" s="2">
        <v>0</v>
      </c>
      <c r="P133" s="2">
        <v>0</v>
      </c>
      <c r="Q133" s="2" t="s">
        <v>488</v>
      </c>
      <c r="R133" s="2" t="s">
        <v>488</v>
      </c>
      <c r="S133" s="2" t="s">
        <v>488</v>
      </c>
      <c r="T133" s="2" t="s">
        <v>488</v>
      </c>
      <c r="U133" s="2">
        <v>0</v>
      </c>
      <c r="V133" s="2">
        <v>0</v>
      </c>
      <c r="W133">
        <f t="shared" si="2"/>
        <v>0</v>
      </c>
    </row>
    <row r="134" spans="1:23" x14ac:dyDescent="0.25">
      <c r="A134" s="2" t="s">
        <v>628</v>
      </c>
      <c r="B134" s="2" t="s">
        <v>626</v>
      </c>
      <c r="C134" s="2">
        <v>540111</v>
      </c>
      <c r="D134" s="2" t="s">
        <v>739</v>
      </c>
      <c r="E134" s="2" t="s">
        <v>47</v>
      </c>
      <c r="F134" s="2" t="s">
        <v>115</v>
      </c>
      <c r="G134" s="2">
        <v>10</v>
      </c>
      <c r="H134" s="2">
        <v>0</v>
      </c>
      <c r="I134" s="2">
        <v>0</v>
      </c>
      <c r="J134" s="2">
        <v>0</v>
      </c>
      <c r="K134" s="2">
        <v>0</v>
      </c>
      <c r="L134" s="2">
        <v>0</v>
      </c>
      <c r="M134" s="2">
        <v>0</v>
      </c>
      <c r="N134" s="2">
        <v>0</v>
      </c>
      <c r="O134" s="2">
        <v>0</v>
      </c>
      <c r="P134" s="2">
        <v>0</v>
      </c>
      <c r="Q134" s="2" t="s">
        <v>488</v>
      </c>
      <c r="R134" s="2" t="s">
        <v>488</v>
      </c>
      <c r="S134" s="2" t="s">
        <v>488</v>
      </c>
      <c r="T134" s="2" t="s">
        <v>488</v>
      </c>
      <c r="U134" s="2">
        <v>0</v>
      </c>
      <c r="V134" s="2">
        <v>0</v>
      </c>
      <c r="W134">
        <f t="shared" si="2"/>
        <v>0</v>
      </c>
    </row>
    <row r="135" spans="1:23" x14ac:dyDescent="0.25">
      <c r="A135" s="2" t="s">
        <v>628</v>
      </c>
      <c r="B135" s="2" t="s">
        <v>626</v>
      </c>
      <c r="C135" s="2">
        <v>540287</v>
      </c>
      <c r="D135" s="2" t="s">
        <v>740</v>
      </c>
      <c r="E135" s="2" t="s">
        <v>47</v>
      </c>
      <c r="F135" s="2" t="s">
        <v>115</v>
      </c>
      <c r="G135" s="2">
        <v>10</v>
      </c>
      <c r="H135" s="2">
        <v>0</v>
      </c>
      <c r="I135" s="2">
        <v>0</v>
      </c>
      <c r="J135" s="2">
        <v>0</v>
      </c>
      <c r="K135" s="2">
        <v>0</v>
      </c>
      <c r="L135" s="2">
        <v>0</v>
      </c>
      <c r="M135" s="2">
        <v>0</v>
      </c>
      <c r="N135" s="2">
        <v>0</v>
      </c>
      <c r="O135" s="2">
        <v>0</v>
      </c>
      <c r="P135" s="2">
        <v>0</v>
      </c>
      <c r="Q135" s="2" t="s">
        <v>488</v>
      </c>
      <c r="R135" s="2" t="s">
        <v>488</v>
      </c>
      <c r="S135" s="2" t="s">
        <v>488</v>
      </c>
      <c r="T135" s="2" t="s">
        <v>488</v>
      </c>
      <c r="U135" s="2">
        <v>0</v>
      </c>
      <c r="V135" s="2">
        <v>0</v>
      </c>
      <c r="W135">
        <f t="shared" si="2"/>
        <v>0</v>
      </c>
    </row>
    <row r="136" spans="1:23" x14ac:dyDescent="0.25">
      <c r="A136" s="2" t="s">
        <v>628</v>
      </c>
      <c r="B136" s="2" t="s">
        <v>626</v>
      </c>
      <c r="C136" s="2">
        <v>540152</v>
      </c>
      <c r="D136" s="2" t="s">
        <v>741</v>
      </c>
      <c r="E136" s="2" t="s">
        <v>47</v>
      </c>
      <c r="F136" s="2" t="s">
        <v>115</v>
      </c>
      <c r="G136" s="2">
        <v>10</v>
      </c>
      <c r="H136" s="2">
        <v>0</v>
      </c>
      <c r="I136" s="2">
        <v>0</v>
      </c>
      <c r="J136" s="2">
        <v>0</v>
      </c>
      <c r="K136" s="2">
        <v>0</v>
      </c>
      <c r="L136" s="2">
        <v>0</v>
      </c>
      <c r="M136" s="2">
        <v>0</v>
      </c>
      <c r="N136" s="2">
        <v>0</v>
      </c>
      <c r="O136" s="2">
        <v>0</v>
      </c>
      <c r="P136" s="2">
        <v>0</v>
      </c>
      <c r="Q136" s="2" t="s">
        <v>488</v>
      </c>
      <c r="R136" s="2" t="s">
        <v>488</v>
      </c>
      <c r="S136" s="2" t="s">
        <v>488</v>
      </c>
      <c r="T136" s="2" t="s">
        <v>488</v>
      </c>
      <c r="U136" s="2">
        <v>0</v>
      </c>
      <c r="V136" s="2">
        <v>0</v>
      </c>
      <c r="W136">
        <f t="shared" si="2"/>
        <v>0</v>
      </c>
    </row>
    <row r="137" spans="1:23" x14ac:dyDescent="0.25">
      <c r="A137" s="255" t="s">
        <v>628</v>
      </c>
      <c r="B137" s="255" t="s">
        <v>626</v>
      </c>
      <c r="C137" s="255"/>
      <c r="D137" s="255"/>
      <c r="E137" s="255" t="s">
        <v>47</v>
      </c>
      <c r="F137" s="255"/>
      <c r="G137" s="255"/>
      <c r="H137" s="255">
        <v>0</v>
      </c>
      <c r="I137" s="255">
        <v>0</v>
      </c>
      <c r="J137" s="255">
        <v>0</v>
      </c>
      <c r="K137" s="255">
        <v>0</v>
      </c>
      <c r="L137" s="255">
        <v>0</v>
      </c>
      <c r="M137" s="255">
        <v>0</v>
      </c>
      <c r="N137" s="255">
        <v>0</v>
      </c>
      <c r="O137" s="255">
        <v>0</v>
      </c>
      <c r="P137" s="255">
        <v>0</v>
      </c>
      <c r="Q137" s="255" t="s">
        <v>488</v>
      </c>
      <c r="R137" s="255" t="s">
        <v>488</v>
      </c>
      <c r="S137" s="255" t="s">
        <v>488</v>
      </c>
      <c r="T137" s="255" t="s">
        <v>488</v>
      </c>
      <c r="U137" s="255">
        <v>0</v>
      </c>
      <c r="V137" s="255">
        <v>0</v>
      </c>
      <c r="W137">
        <f t="shared" si="2"/>
        <v>0</v>
      </c>
    </row>
    <row r="138" spans="1:23" x14ac:dyDescent="0.25">
      <c r="A138" s="2" t="s">
        <v>628</v>
      </c>
      <c r="B138" s="2" t="s">
        <v>626</v>
      </c>
      <c r="C138" s="2">
        <v>540112</v>
      </c>
      <c r="D138" s="2" t="s">
        <v>742</v>
      </c>
      <c r="E138" s="2" t="s">
        <v>49</v>
      </c>
      <c r="F138" s="2" t="s">
        <v>5</v>
      </c>
      <c r="G138" s="2">
        <v>2</v>
      </c>
      <c r="H138" s="2">
        <v>0</v>
      </c>
      <c r="I138" s="2">
        <v>0</v>
      </c>
      <c r="J138" s="2">
        <v>0</v>
      </c>
      <c r="K138" s="2">
        <v>0</v>
      </c>
      <c r="L138" s="2">
        <v>0</v>
      </c>
      <c r="M138" s="2">
        <v>0</v>
      </c>
      <c r="N138" s="2">
        <v>0</v>
      </c>
      <c r="O138" s="2">
        <v>0</v>
      </c>
      <c r="P138" s="2">
        <v>0</v>
      </c>
      <c r="Q138" s="2" t="s">
        <v>488</v>
      </c>
      <c r="R138" s="2" t="s">
        <v>488</v>
      </c>
      <c r="S138" s="2" t="s">
        <v>488</v>
      </c>
      <c r="T138" s="2" t="s">
        <v>488</v>
      </c>
      <c r="U138" s="2">
        <v>0</v>
      </c>
      <c r="V138" s="2">
        <v>0</v>
      </c>
      <c r="W138">
        <f t="shared" si="2"/>
        <v>0</v>
      </c>
    </row>
    <row r="139" spans="1:23" x14ac:dyDescent="0.25">
      <c r="A139" s="2" t="s">
        <v>628</v>
      </c>
      <c r="B139" s="2" t="s">
        <v>626</v>
      </c>
      <c r="C139" s="2">
        <v>540113</v>
      </c>
      <c r="D139" s="2" t="s">
        <v>743</v>
      </c>
      <c r="E139" s="2" t="s">
        <v>49</v>
      </c>
      <c r="F139" s="2" t="s">
        <v>115</v>
      </c>
      <c r="G139" s="2">
        <v>2</v>
      </c>
      <c r="H139" s="2">
        <v>0</v>
      </c>
      <c r="I139" s="2">
        <v>0</v>
      </c>
      <c r="J139" s="2">
        <v>0</v>
      </c>
      <c r="K139" s="2">
        <v>0</v>
      </c>
      <c r="L139" s="2">
        <v>0</v>
      </c>
      <c r="M139" s="2">
        <v>0</v>
      </c>
      <c r="N139" s="2">
        <v>0</v>
      </c>
      <c r="O139" s="2">
        <v>0</v>
      </c>
      <c r="P139" s="2">
        <v>0</v>
      </c>
      <c r="Q139" s="2" t="s">
        <v>488</v>
      </c>
      <c r="R139" s="2" t="s">
        <v>488</v>
      </c>
      <c r="S139" s="2" t="s">
        <v>488</v>
      </c>
      <c r="T139" s="2" t="s">
        <v>488</v>
      </c>
      <c r="U139" s="2">
        <v>0</v>
      </c>
      <c r="V139" s="2">
        <v>0</v>
      </c>
      <c r="W139">
        <f t="shared" si="2"/>
        <v>0</v>
      </c>
    </row>
    <row r="140" spans="1:23" x14ac:dyDescent="0.25">
      <c r="A140" s="2" t="s">
        <v>628</v>
      </c>
      <c r="B140" s="2" t="s">
        <v>626</v>
      </c>
      <c r="C140" s="2">
        <v>540247</v>
      </c>
      <c r="D140" s="2" t="s">
        <v>744</v>
      </c>
      <c r="E140" s="2" t="s">
        <v>49</v>
      </c>
      <c r="F140" s="2" t="s">
        <v>115</v>
      </c>
      <c r="G140" s="2">
        <v>2</v>
      </c>
      <c r="H140" s="2">
        <v>0</v>
      </c>
      <c r="I140" s="2">
        <v>0</v>
      </c>
      <c r="J140" s="2">
        <v>0</v>
      </c>
      <c r="K140" s="2">
        <v>0</v>
      </c>
      <c r="L140" s="2">
        <v>0</v>
      </c>
      <c r="M140" s="2">
        <v>0</v>
      </c>
      <c r="N140" s="2">
        <v>0</v>
      </c>
      <c r="O140" s="2">
        <v>0</v>
      </c>
      <c r="P140" s="2">
        <v>0</v>
      </c>
      <c r="Q140" s="2" t="s">
        <v>488</v>
      </c>
      <c r="R140" s="2" t="s">
        <v>488</v>
      </c>
      <c r="S140" s="2" t="s">
        <v>488</v>
      </c>
      <c r="T140" s="2" t="s">
        <v>488</v>
      </c>
      <c r="U140" s="2">
        <v>0</v>
      </c>
      <c r="V140" s="2">
        <v>0</v>
      </c>
      <c r="W140">
        <f t="shared" si="2"/>
        <v>0</v>
      </c>
    </row>
    <row r="141" spans="1:23" x14ac:dyDescent="0.25">
      <c r="A141" s="2" t="s">
        <v>628</v>
      </c>
      <c r="B141" s="2" t="s">
        <v>626</v>
      </c>
      <c r="C141" s="2">
        <v>540248</v>
      </c>
      <c r="D141" s="2" t="s">
        <v>745</v>
      </c>
      <c r="E141" s="2" t="s">
        <v>49</v>
      </c>
      <c r="F141" s="2" t="s">
        <v>115</v>
      </c>
      <c r="G141" s="2">
        <v>2</v>
      </c>
      <c r="H141" s="2">
        <v>0</v>
      </c>
      <c r="I141" s="2">
        <v>0</v>
      </c>
      <c r="J141" s="2">
        <v>0</v>
      </c>
      <c r="K141" s="2">
        <v>0</v>
      </c>
      <c r="L141" s="2">
        <v>0</v>
      </c>
      <c r="M141" s="2">
        <v>0</v>
      </c>
      <c r="N141" s="2">
        <v>0</v>
      </c>
      <c r="O141" s="2">
        <v>0</v>
      </c>
      <c r="P141" s="2">
        <v>0</v>
      </c>
      <c r="Q141" s="2" t="s">
        <v>488</v>
      </c>
      <c r="R141" s="2" t="s">
        <v>488</v>
      </c>
      <c r="S141" s="2" t="s">
        <v>488</v>
      </c>
      <c r="T141" s="2" t="s">
        <v>488</v>
      </c>
      <c r="U141" s="2">
        <v>0</v>
      </c>
      <c r="V141" s="2">
        <v>0</v>
      </c>
      <c r="W141">
        <f t="shared" si="2"/>
        <v>0</v>
      </c>
    </row>
    <row r="142" spans="1:23" x14ac:dyDescent="0.25">
      <c r="A142" s="2" t="s">
        <v>628</v>
      </c>
      <c r="B142" s="2" t="s">
        <v>626</v>
      </c>
      <c r="C142" s="2">
        <v>540249</v>
      </c>
      <c r="D142" s="2" t="s">
        <v>746</v>
      </c>
      <c r="E142" s="2" t="s">
        <v>49</v>
      </c>
      <c r="F142" s="2" t="s">
        <v>115</v>
      </c>
      <c r="G142" s="2">
        <v>2</v>
      </c>
      <c r="H142" s="2">
        <v>0</v>
      </c>
      <c r="I142" s="2">
        <v>0</v>
      </c>
      <c r="J142" s="2">
        <v>0</v>
      </c>
      <c r="K142" s="2">
        <v>0</v>
      </c>
      <c r="L142" s="2">
        <v>0</v>
      </c>
      <c r="M142" s="2">
        <v>0</v>
      </c>
      <c r="N142" s="2">
        <v>0</v>
      </c>
      <c r="O142" s="2">
        <v>0</v>
      </c>
      <c r="P142" s="2">
        <v>0</v>
      </c>
      <c r="Q142" s="2" t="s">
        <v>488</v>
      </c>
      <c r="R142" s="2" t="s">
        <v>488</v>
      </c>
      <c r="S142" s="2" t="s">
        <v>488</v>
      </c>
      <c r="T142" s="2" t="s">
        <v>488</v>
      </c>
      <c r="U142" s="2">
        <v>0</v>
      </c>
      <c r="V142" s="2">
        <v>0</v>
      </c>
      <c r="W142">
        <f t="shared" si="2"/>
        <v>0</v>
      </c>
    </row>
    <row r="143" spans="1:23" x14ac:dyDescent="0.25">
      <c r="A143" s="2" t="s">
        <v>628</v>
      </c>
      <c r="B143" s="2" t="s">
        <v>626</v>
      </c>
      <c r="C143" s="2">
        <v>540250</v>
      </c>
      <c r="D143" s="2" t="s">
        <v>747</v>
      </c>
      <c r="E143" s="2" t="s">
        <v>49</v>
      </c>
      <c r="F143" s="2" t="s">
        <v>115</v>
      </c>
      <c r="G143" s="2">
        <v>2</v>
      </c>
      <c r="H143" s="2">
        <v>0</v>
      </c>
      <c r="I143" s="2">
        <v>0</v>
      </c>
      <c r="J143" s="2">
        <v>0</v>
      </c>
      <c r="K143" s="2">
        <v>0</v>
      </c>
      <c r="L143" s="2">
        <v>0</v>
      </c>
      <c r="M143" s="2">
        <v>0</v>
      </c>
      <c r="N143" s="2">
        <v>0</v>
      </c>
      <c r="O143" s="2">
        <v>0</v>
      </c>
      <c r="P143" s="2">
        <v>0</v>
      </c>
      <c r="Q143" s="2" t="s">
        <v>488</v>
      </c>
      <c r="R143" s="2" t="s">
        <v>488</v>
      </c>
      <c r="S143" s="2" t="s">
        <v>488</v>
      </c>
      <c r="T143" s="2" t="s">
        <v>488</v>
      </c>
      <c r="U143" s="2">
        <v>0</v>
      </c>
      <c r="V143" s="2">
        <v>0</v>
      </c>
      <c r="W143">
        <f t="shared" si="2"/>
        <v>0</v>
      </c>
    </row>
    <row r="144" spans="1:23" x14ac:dyDescent="0.25">
      <c r="A144" s="2" t="s">
        <v>628</v>
      </c>
      <c r="B144" s="2" t="s">
        <v>626</v>
      </c>
      <c r="C144" s="2">
        <v>540251</v>
      </c>
      <c r="D144" s="2" t="s">
        <v>748</v>
      </c>
      <c r="E144" s="2" t="s">
        <v>49</v>
      </c>
      <c r="F144" s="2" t="s">
        <v>115</v>
      </c>
      <c r="G144" s="2">
        <v>2</v>
      </c>
      <c r="H144" s="2">
        <v>0</v>
      </c>
      <c r="I144" s="2">
        <v>0</v>
      </c>
      <c r="J144" s="2">
        <v>0</v>
      </c>
      <c r="K144" s="2">
        <v>0</v>
      </c>
      <c r="L144" s="2">
        <v>0</v>
      </c>
      <c r="M144" s="2">
        <v>0</v>
      </c>
      <c r="N144" s="2">
        <v>0</v>
      </c>
      <c r="O144" s="2">
        <v>0</v>
      </c>
      <c r="P144" s="2">
        <v>0</v>
      </c>
      <c r="Q144" s="2" t="s">
        <v>488</v>
      </c>
      <c r="R144" s="2" t="s">
        <v>488</v>
      </c>
      <c r="S144" s="2" t="s">
        <v>488</v>
      </c>
      <c r="T144" s="2" t="s">
        <v>488</v>
      </c>
      <c r="U144" s="2">
        <v>0</v>
      </c>
      <c r="V144" s="2">
        <v>0</v>
      </c>
      <c r="W144">
        <f t="shared" si="2"/>
        <v>0</v>
      </c>
    </row>
    <row r="145" spans="1:23" x14ac:dyDescent="0.25">
      <c r="A145" s="255" t="s">
        <v>628</v>
      </c>
      <c r="B145" s="255" t="s">
        <v>626</v>
      </c>
      <c r="C145" s="255"/>
      <c r="D145" s="255"/>
      <c r="E145" s="255" t="s">
        <v>49</v>
      </c>
      <c r="F145" s="255"/>
      <c r="G145" s="255"/>
      <c r="H145" s="255">
        <v>0</v>
      </c>
      <c r="I145" s="255">
        <v>0</v>
      </c>
      <c r="J145" s="255">
        <v>0</v>
      </c>
      <c r="K145" s="255">
        <v>0</v>
      </c>
      <c r="L145" s="255">
        <v>0</v>
      </c>
      <c r="M145" s="255">
        <v>0</v>
      </c>
      <c r="N145" s="255">
        <v>0</v>
      </c>
      <c r="O145" s="255">
        <v>0</v>
      </c>
      <c r="P145" s="255">
        <v>0</v>
      </c>
      <c r="Q145" s="255" t="s">
        <v>488</v>
      </c>
      <c r="R145" s="255" t="s">
        <v>488</v>
      </c>
      <c r="S145" s="255" t="s">
        <v>488</v>
      </c>
      <c r="T145" s="255" t="s">
        <v>488</v>
      </c>
      <c r="U145" s="255">
        <v>0</v>
      </c>
      <c r="V145" s="255">
        <v>0</v>
      </c>
      <c r="W145">
        <f t="shared" si="2"/>
        <v>0</v>
      </c>
    </row>
    <row r="146" spans="1:23" x14ac:dyDescent="0.25">
      <c r="A146" s="2" t="s">
        <v>628</v>
      </c>
      <c r="B146" s="2" t="s">
        <v>626</v>
      </c>
      <c r="C146" s="2">
        <v>540114</v>
      </c>
      <c r="D146" s="2" t="s">
        <v>749</v>
      </c>
      <c r="E146" s="2" t="s">
        <v>51</v>
      </c>
      <c r="F146" s="2" t="s">
        <v>5</v>
      </c>
      <c r="G146" s="2">
        <v>1</v>
      </c>
      <c r="H146" s="2">
        <v>0</v>
      </c>
      <c r="I146" s="2">
        <v>0</v>
      </c>
      <c r="J146" s="2">
        <v>0</v>
      </c>
      <c r="K146" s="2">
        <v>0</v>
      </c>
      <c r="L146" s="2">
        <v>0</v>
      </c>
      <c r="M146" s="2">
        <v>0</v>
      </c>
      <c r="N146" s="2">
        <v>0</v>
      </c>
      <c r="O146" s="2">
        <v>0</v>
      </c>
      <c r="P146" s="2">
        <v>0</v>
      </c>
      <c r="Q146" s="2">
        <v>0</v>
      </c>
      <c r="R146" s="2">
        <v>0</v>
      </c>
      <c r="S146" s="2">
        <v>0</v>
      </c>
      <c r="T146" s="2">
        <v>0</v>
      </c>
      <c r="U146" s="2">
        <v>0</v>
      </c>
      <c r="V146" s="2">
        <v>0</v>
      </c>
      <c r="W146">
        <f t="shared" si="2"/>
        <v>0</v>
      </c>
    </row>
    <row r="147" spans="1:23" x14ac:dyDescent="0.25">
      <c r="A147" s="2" t="s">
        <v>628</v>
      </c>
      <c r="B147" s="2" t="s">
        <v>626</v>
      </c>
      <c r="C147" s="2">
        <v>540115</v>
      </c>
      <c r="D147" s="2" t="s">
        <v>750</v>
      </c>
      <c r="E147" s="2" t="s">
        <v>51</v>
      </c>
      <c r="F147" s="2" t="s">
        <v>115</v>
      </c>
      <c r="G147" s="2">
        <v>1</v>
      </c>
      <c r="H147" s="2">
        <v>0</v>
      </c>
      <c r="I147" s="2">
        <v>0</v>
      </c>
      <c r="J147" s="2">
        <v>0</v>
      </c>
      <c r="K147" s="2">
        <v>0</v>
      </c>
      <c r="L147" s="2">
        <v>0</v>
      </c>
      <c r="M147" s="2">
        <v>0</v>
      </c>
      <c r="N147" s="2">
        <v>0</v>
      </c>
      <c r="O147" s="2">
        <v>0</v>
      </c>
      <c r="P147" s="2">
        <v>0</v>
      </c>
      <c r="Q147" s="2">
        <v>0</v>
      </c>
      <c r="R147" s="2">
        <v>0</v>
      </c>
      <c r="S147" s="2">
        <v>0</v>
      </c>
      <c r="T147" s="2">
        <v>0</v>
      </c>
      <c r="U147" s="2">
        <v>0</v>
      </c>
      <c r="V147" s="2">
        <v>0</v>
      </c>
      <c r="W147">
        <f t="shared" si="2"/>
        <v>0</v>
      </c>
    </row>
    <row r="148" spans="1:23" x14ac:dyDescent="0.25">
      <c r="A148" s="2" t="s">
        <v>628</v>
      </c>
      <c r="B148" s="2" t="s">
        <v>626</v>
      </c>
      <c r="C148" s="2">
        <v>540116</v>
      </c>
      <c r="D148" s="2" t="s">
        <v>751</v>
      </c>
      <c r="E148" s="2" t="s">
        <v>51</v>
      </c>
      <c r="F148" s="2" t="s">
        <v>115</v>
      </c>
      <c r="G148" s="2">
        <v>1</v>
      </c>
      <c r="H148" s="2">
        <v>0</v>
      </c>
      <c r="I148" s="2">
        <v>0</v>
      </c>
      <c r="J148" s="2">
        <v>0</v>
      </c>
      <c r="K148" s="2">
        <v>0</v>
      </c>
      <c r="L148" s="2">
        <v>0</v>
      </c>
      <c r="M148" s="2">
        <v>0</v>
      </c>
      <c r="N148" s="2">
        <v>0</v>
      </c>
      <c r="O148" s="2">
        <v>0</v>
      </c>
      <c r="P148" s="2">
        <v>0</v>
      </c>
      <c r="Q148" s="2">
        <v>0</v>
      </c>
      <c r="R148" s="2">
        <v>0</v>
      </c>
      <c r="S148" s="2">
        <v>0</v>
      </c>
      <c r="T148" s="2">
        <v>0</v>
      </c>
      <c r="U148" s="2">
        <v>0</v>
      </c>
      <c r="V148" s="2">
        <v>0</v>
      </c>
      <c r="W148">
        <f t="shared" si="2"/>
        <v>0</v>
      </c>
    </row>
    <row r="149" spans="1:23" x14ac:dyDescent="0.25">
      <c r="A149" s="2" t="s">
        <v>628</v>
      </c>
      <c r="B149" s="2" t="s">
        <v>626</v>
      </c>
      <c r="C149" s="2">
        <v>540117</v>
      </c>
      <c r="D149" s="2" t="s">
        <v>752</v>
      </c>
      <c r="E149" s="2" t="s">
        <v>51</v>
      </c>
      <c r="F149" s="2" t="s">
        <v>115</v>
      </c>
      <c r="G149" s="2">
        <v>1</v>
      </c>
      <c r="H149" s="2">
        <v>0</v>
      </c>
      <c r="I149" s="2">
        <v>0</v>
      </c>
      <c r="J149" s="2">
        <v>0</v>
      </c>
      <c r="K149" s="2">
        <v>0</v>
      </c>
      <c r="L149" s="2">
        <v>0</v>
      </c>
      <c r="M149" s="2">
        <v>0</v>
      </c>
      <c r="N149" s="2">
        <v>0</v>
      </c>
      <c r="O149" s="2">
        <v>0</v>
      </c>
      <c r="P149" s="2">
        <v>0</v>
      </c>
      <c r="Q149" s="2">
        <v>0</v>
      </c>
      <c r="R149" s="2">
        <v>0</v>
      </c>
      <c r="S149" s="2">
        <v>0</v>
      </c>
      <c r="T149" s="2">
        <v>0</v>
      </c>
      <c r="U149" s="2">
        <v>0</v>
      </c>
      <c r="V149" s="2">
        <v>0</v>
      </c>
      <c r="W149">
        <f t="shared" si="2"/>
        <v>0</v>
      </c>
    </row>
    <row r="150" spans="1:23" x14ac:dyDescent="0.25">
      <c r="A150" s="2" t="s">
        <v>628</v>
      </c>
      <c r="B150" s="2" t="s">
        <v>626</v>
      </c>
      <c r="C150" s="2">
        <v>540118</v>
      </c>
      <c r="D150" s="2" t="s">
        <v>753</v>
      </c>
      <c r="E150" s="2" t="s">
        <v>51</v>
      </c>
      <c r="F150" s="2" t="s">
        <v>115</v>
      </c>
      <c r="G150" s="2">
        <v>1</v>
      </c>
      <c r="H150" s="2">
        <v>0</v>
      </c>
      <c r="I150" s="2">
        <v>0</v>
      </c>
      <c r="J150" s="2">
        <v>0</v>
      </c>
      <c r="K150" s="2">
        <v>0</v>
      </c>
      <c r="L150" s="2">
        <v>0</v>
      </c>
      <c r="M150" s="2">
        <v>0</v>
      </c>
      <c r="N150" s="2">
        <v>0</v>
      </c>
      <c r="O150" s="2">
        <v>0</v>
      </c>
      <c r="P150" s="2">
        <v>0</v>
      </c>
      <c r="Q150" s="2">
        <v>0</v>
      </c>
      <c r="R150" s="2">
        <v>0</v>
      </c>
      <c r="S150" s="2">
        <v>0</v>
      </c>
      <c r="T150" s="2">
        <v>0</v>
      </c>
      <c r="U150" s="2">
        <v>0</v>
      </c>
      <c r="V150" s="2">
        <v>0</v>
      </c>
      <c r="W150">
        <f t="shared" si="2"/>
        <v>0</v>
      </c>
    </row>
    <row r="151" spans="1:23" x14ac:dyDescent="0.25">
      <c r="A151" s="2" t="s">
        <v>628</v>
      </c>
      <c r="B151" s="2" t="s">
        <v>626</v>
      </c>
      <c r="C151" s="2">
        <v>540119</v>
      </c>
      <c r="D151" s="2" t="s">
        <v>754</v>
      </c>
      <c r="E151" s="2" t="s">
        <v>51</v>
      </c>
      <c r="F151" s="2" t="s">
        <v>115</v>
      </c>
      <c r="G151" s="2">
        <v>1</v>
      </c>
      <c r="H151" s="2">
        <v>0</v>
      </c>
      <c r="I151" s="2">
        <v>0</v>
      </c>
      <c r="J151" s="2">
        <v>0</v>
      </c>
      <c r="K151" s="2">
        <v>0</v>
      </c>
      <c r="L151" s="2">
        <v>0</v>
      </c>
      <c r="M151" s="2">
        <v>0</v>
      </c>
      <c r="N151" s="2">
        <v>0</v>
      </c>
      <c r="O151" s="2">
        <v>0</v>
      </c>
      <c r="P151" s="2">
        <v>0</v>
      </c>
      <c r="Q151" s="2">
        <v>0</v>
      </c>
      <c r="R151" s="2">
        <v>0</v>
      </c>
      <c r="S151" s="2">
        <v>0</v>
      </c>
      <c r="T151" s="2">
        <v>0</v>
      </c>
      <c r="U151" s="2">
        <v>0</v>
      </c>
      <c r="V151" s="2">
        <v>0</v>
      </c>
      <c r="W151">
        <f t="shared" si="2"/>
        <v>0</v>
      </c>
    </row>
    <row r="152" spans="1:23" x14ac:dyDescent="0.25">
      <c r="A152" s="2" t="s">
        <v>628</v>
      </c>
      <c r="B152" s="2" t="s">
        <v>626</v>
      </c>
      <c r="C152" s="2">
        <v>540120</v>
      </c>
      <c r="D152" s="2" t="s">
        <v>755</v>
      </c>
      <c r="E152" s="2" t="s">
        <v>51</v>
      </c>
      <c r="F152" s="2" t="s">
        <v>115</v>
      </c>
      <c r="G152" s="2">
        <v>1</v>
      </c>
      <c r="H152" s="2">
        <v>0</v>
      </c>
      <c r="I152" s="2">
        <v>0</v>
      </c>
      <c r="J152" s="2">
        <v>0</v>
      </c>
      <c r="K152" s="2">
        <v>0</v>
      </c>
      <c r="L152" s="2">
        <v>0</v>
      </c>
      <c r="M152" s="2">
        <v>0</v>
      </c>
      <c r="N152" s="2">
        <v>0</v>
      </c>
      <c r="O152" s="2">
        <v>0</v>
      </c>
      <c r="P152" s="2">
        <v>0</v>
      </c>
      <c r="Q152" s="2">
        <v>0</v>
      </c>
      <c r="R152" s="2">
        <v>0</v>
      </c>
      <c r="S152" s="2">
        <v>0</v>
      </c>
      <c r="T152" s="2">
        <v>0</v>
      </c>
      <c r="U152" s="2">
        <v>0</v>
      </c>
      <c r="V152" s="2">
        <v>0</v>
      </c>
      <c r="W152">
        <f t="shared" si="2"/>
        <v>0</v>
      </c>
    </row>
    <row r="153" spans="1:23" x14ac:dyDescent="0.25">
      <c r="A153" s="2" t="s">
        <v>628</v>
      </c>
      <c r="B153" s="2" t="s">
        <v>626</v>
      </c>
      <c r="C153" s="2">
        <v>540121</v>
      </c>
      <c r="D153" s="2" t="s">
        <v>756</v>
      </c>
      <c r="E153" s="2" t="s">
        <v>51</v>
      </c>
      <c r="F153" s="2" t="s">
        <v>115</v>
      </c>
      <c r="G153" s="2">
        <v>1</v>
      </c>
      <c r="H153" s="2">
        <v>0</v>
      </c>
      <c r="I153" s="2">
        <v>0</v>
      </c>
      <c r="J153" s="2">
        <v>0</v>
      </c>
      <c r="K153" s="2">
        <v>0</v>
      </c>
      <c r="L153" s="2">
        <v>0</v>
      </c>
      <c r="M153" s="2">
        <v>0</v>
      </c>
      <c r="N153" s="2">
        <v>0</v>
      </c>
      <c r="O153" s="2">
        <v>0</v>
      </c>
      <c r="P153" s="2">
        <v>0</v>
      </c>
      <c r="Q153" s="2">
        <v>0</v>
      </c>
      <c r="R153" s="2">
        <v>0</v>
      </c>
      <c r="S153" s="2">
        <v>0</v>
      </c>
      <c r="T153" s="2">
        <v>0</v>
      </c>
      <c r="U153" s="2">
        <v>0</v>
      </c>
      <c r="V153" s="2">
        <v>0</v>
      </c>
      <c r="W153">
        <f t="shared" si="2"/>
        <v>0</v>
      </c>
    </row>
    <row r="154" spans="1:23" x14ac:dyDescent="0.25">
      <c r="A154" s="2" t="s">
        <v>628</v>
      </c>
      <c r="B154" s="2" t="s">
        <v>626</v>
      </c>
      <c r="C154" s="2">
        <v>540122</v>
      </c>
      <c r="D154" s="2" t="s">
        <v>757</v>
      </c>
      <c r="E154" s="2" t="s">
        <v>51</v>
      </c>
      <c r="F154" s="2" t="s">
        <v>115</v>
      </c>
      <c r="G154" s="2">
        <v>1</v>
      </c>
      <c r="H154" s="2">
        <v>0</v>
      </c>
      <c r="I154" s="2">
        <v>0</v>
      </c>
      <c r="J154" s="2">
        <v>0</v>
      </c>
      <c r="K154" s="2">
        <v>0</v>
      </c>
      <c r="L154" s="2">
        <v>0</v>
      </c>
      <c r="M154" s="2">
        <v>0</v>
      </c>
      <c r="N154" s="2">
        <v>0</v>
      </c>
      <c r="O154" s="2">
        <v>0</v>
      </c>
      <c r="P154" s="2">
        <v>0</v>
      </c>
      <c r="Q154" s="2">
        <v>0</v>
      </c>
      <c r="R154" s="2">
        <v>0</v>
      </c>
      <c r="S154" s="2">
        <v>0</v>
      </c>
      <c r="T154" s="2">
        <v>0</v>
      </c>
      <c r="U154" s="2">
        <v>0</v>
      </c>
      <c r="V154" s="2">
        <v>0</v>
      </c>
      <c r="W154">
        <f t="shared" si="2"/>
        <v>0</v>
      </c>
    </row>
    <row r="155" spans="1:23" x14ac:dyDescent="0.25">
      <c r="A155" s="2" t="s">
        <v>628</v>
      </c>
      <c r="B155" s="2" t="s">
        <v>626</v>
      </c>
      <c r="C155" s="2">
        <v>540123</v>
      </c>
      <c r="D155" s="2" t="s">
        <v>758</v>
      </c>
      <c r="E155" s="2" t="s">
        <v>51</v>
      </c>
      <c r="F155" s="2" t="s">
        <v>115</v>
      </c>
      <c r="G155" s="2">
        <v>1</v>
      </c>
      <c r="H155" s="2">
        <v>0</v>
      </c>
      <c r="I155" s="2">
        <v>1</v>
      </c>
      <c r="J155" s="2">
        <v>0</v>
      </c>
      <c r="K155" s="2">
        <v>0</v>
      </c>
      <c r="L155" s="2">
        <v>0</v>
      </c>
      <c r="M155" s="2">
        <v>1</v>
      </c>
      <c r="N155" s="2">
        <v>1</v>
      </c>
      <c r="O155" s="2">
        <v>0</v>
      </c>
      <c r="P155" s="2">
        <v>0</v>
      </c>
      <c r="Q155" s="2">
        <v>0</v>
      </c>
      <c r="R155" s="2">
        <v>0</v>
      </c>
      <c r="S155" s="2">
        <v>0</v>
      </c>
      <c r="T155" s="2">
        <v>0</v>
      </c>
      <c r="U155" s="2">
        <v>0</v>
      </c>
      <c r="V155" s="2">
        <v>0</v>
      </c>
      <c r="W155">
        <f t="shared" si="2"/>
        <v>1</v>
      </c>
    </row>
    <row r="156" spans="1:23" x14ac:dyDescent="0.25">
      <c r="A156" s="2" t="s">
        <v>628</v>
      </c>
      <c r="B156" s="2" t="s">
        <v>626</v>
      </c>
      <c r="C156" s="2">
        <v>540291</v>
      </c>
      <c r="D156" s="2" t="s">
        <v>759</v>
      </c>
      <c r="E156" s="2" t="s">
        <v>51</v>
      </c>
      <c r="F156" s="2" t="s">
        <v>115</v>
      </c>
      <c r="G156" s="2">
        <v>1</v>
      </c>
      <c r="H156" s="2">
        <v>0</v>
      </c>
      <c r="I156" s="2">
        <v>0</v>
      </c>
      <c r="J156" s="2">
        <v>0</v>
      </c>
      <c r="K156" s="2">
        <v>0</v>
      </c>
      <c r="L156" s="2">
        <v>0</v>
      </c>
      <c r="M156" s="2">
        <v>0</v>
      </c>
      <c r="N156" s="2">
        <v>0</v>
      </c>
      <c r="O156" s="2">
        <v>0</v>
      </c>
      <c r="P156" s="2">
        <v>0</v>
      </c>
      <c r="Q156" s="2">
        <v>0</v>
      </c>
      <c r="R156" s="2">
        <v>0</v>
      </c>
      <c r="S156" s="2">
        <v>0</v>
      </c>
      <c r="T156" s="2">
        <v>0</v>
      </c>
      <c r="U156" s="2">
        <v>0</v>
      </c>
      <c r="V156" s="2">
        <v>0</v>
      </c>
      <c r="W156">
        <f t="shared" si="2"/>
        <v>0</v>
      </c>
    </row>
    <row r="157" spans="1:23" x14ac:dyDescent="0.25">
      <c r="A157" s="255" t="s">
        <v>628</v>
      </c>
      <c r="B157" s="255" t="s">
        <v>626</v>
      </c>
      <c r="C157" s="255"/>
      <c r="D157" s="255"/>
      <c r="E157" s="255" t="s">
        <v>51</v>
      </c>
      <c r="F157" s="255"/>
      <c r="G157" s="255"/>
      <c r="H157" s="255">
        <v>0</v>
      </c>
      <c r="I157" s="255">
        <v>1</v>
      </c>
      <c r="J157" s="255">
        <v>0</v>
      </c>
      <c r="K157" s="255">
        <v>0</v>
      </c>
      <c r="L157" s="255">
        <v>0</v>
      </c>
      <c r="M157" s="255">
        <v>1</v>
      </c>
      <c r="N157" s="255">
        <v>1</v>
      </c>
      <c r="O157" s="255">
        <v>0</v>
      </c>
      <c r="P157" s="255">
        <v>0</v>
      </c>
      <c r="Q157" s="255">
        <v>0</v>
      </c>
      <c r="R157" s="255">
        <v>0</v>
      </c>
      <c r="S157" s="255">
        <v>0</v>
      </c>
      <c r="T157" s="255">
        <v>0</v>
      </c>
      <c r="U157" s="255">
        <v>0</v>
      </c>
      <c r="V157" s="255">
        <v>0</v>
      </c>
      <c r="W157">
        <f t="shared" si="2"/>
        <v>1</v>
      </c>
    </row>
    <row r="158" spans="1:23" x14ac:dyDescent="0.25">
      <c r="A158" s="2" t="s">
        <v>628</v>
      </c>
      <c r="B158" s="2" t="s">
        <v>626</v>
      </c>
      <c r="C158" s="2">
        <v>540124</v>
      </c>
      <c r="D158" s="2" t="s">
        <v>760</v>
      </c>
      <c r="E158" s="2" t="s">
        <v>53</v>
      </c>
      <c r="F158" s="2" t="s">
        <v>5</v>
      </c>
      <c r="G158" s="2">
        <v>1</v>
      </c>
      <c r="H158" s="2">
        <v>0</v>
      </c>
      <c r="I158" s="2">
        <v>0</v>
      </c>
      <c r="J158" s="2">
        <v>0</v>
      </c>
      <c r="K158" s="2">
        <v>0</v>
      </c>
      <c r="L158" s="2">
        <v>0</v>
      </c>
      <c r="M158" s="2">
        <v>0</v>
      </c>
      <c r="N158" s="2">
        <v>0</v>
      </c>
      <c r="O158" s="2">
        <v>0</v>
      </c>
      <c r="P158" s="2">
        <v>0</v>
      </c>
      <c r="Q158" s="2">
        <v>0</v>
      </c>
      <c r="R158" s="2">
        <v>0</v>
      </c>
      <c r="S158" s="2" t="s">
        <v>488</v>
      </c>
      <c r="T158" s="2" t="s">
        <v>488</v>
      </c>
      <c r="U158" s="2">
        <v>0</v>
      </c>
      <c r="V158" s="2">
        <v>0</v>
      </c>
      <c r="W158">
        <f t="shared" si="2"/>
        <v>0</v>
      </c>
    </row>
    <row r="159" spans="1:23" x14ac:dyDescent="0.25">
      <c r="A159" s="2" t="s">
        <v>628</v>
      </c>
      <c r="B159" s="2" t="s">
        <v>626</v>
      </c>
      <c r="C159" s="2">
        <v>540125</v>
      </c>
      <c r="D159" s="2" t="s">
        <v>761</v>
      </c>
      <c r="E159" s="2" t="s">
        <v>53</v>
      </c>
      <c r="F159" s="2" t="s">
        <v>115</v>
      </c>
      <c r="G159" s="2">
        <v>1</v>
      </c>
      <c r="H159" s="2">
        <v>0</v>
      </c>
      <c r="I159" s="2">
        <v>0</v>
      </c>
      <c r="J159" s="2">
        <v>0</v>
      </c>
      <c r="K159" s="2">
        <v>0</v>
      </c>
      <c r="L159" s="2">
        <v>0</v>
      </c>
      <c r="M159" s="2">
        <v>0</v>
      </c>
      <c r="N159" s="2">
        <v>0</v>
      </c>
      <c r="O159" s="2">
        <v>0</v>
      </c>
      <c r="P159" s="2">
        <v>0</v>
      </c>
      <c r="Q159" s="2">
        <v>0</v>
      </c>
      <c r="R159" s="2">
        <v>0</v>
      </c>
      <c r="S159" s="2" t="s">
        <v>488</v>
      </c>
      <c r="T159" s="2" t="s">
        <v>488</v>
      </c>
      <c r="U159" s="2">
        <v>0</v>
      </c>
      <c r="V159" s="2">
        <v>0</v>
      </c>
      <c r="W159">
        <f t="shared" si="2"/>
        <v>0</v>
      </c>
    </row>
    <row r="160" spans="1:23" x14ac:dyDescent="0.25">
      <c r="A160" s="2" t="s">
        <v>628</v>
      </c>
      <c r="B160" s="2" t="s">
        <v>626</v>
      </c>
      <c r="C160" s="2">
        <v>540126</v>
      </c>
      <c r="D160" s="2" t="s">
        <v>762</v>
      </c>
      <c r="E160" s="2" t="s">
        <v>53</v>
      </c>
      <c r="F160" s="2" t="s">
        <v>115</v>
      </c>
      <c r="G160" s="2">
        <v>1</v>
      </c>
      <c r="H160" s="2">
        <v>0</v>
      </c>
      <c r="I160" s="2">
        <v>0</v>
      </c>
      <c r="J160" s="2">
        <v>0</v>
      </c>
      <c r="K160" s="2">
        <v>0</v>
      </c>
      <c r="L160" s="2">
        <v>0</v>
      </c>
      <c r="M160" s="2">
        <v>0</v>
      </c>
      <c r="N160" s="2">
        <v>0</v>
      </c>
      <c r="O160" s="2">
        <v>0</v>
      </c>
      <c r="P160" s="2">
        <v>0</v>
      </c>
      <c r="Q160" s="2">
        <v>0</v>
      </c>
      <c r="R160" s="2">
        <v>0</v>
      </c>
      <c r="S160" s="2" t="s">
        <v>488</v>
      </c>
      <c r="T160" s="2" t="s">
        <v>488</v>
      </c>
      <c r="U160" s="2">
        <v>0</v>
      </c>
      <c r="V160" s="2">
        <v>0</v>
      </c>
      <c r="W160">
        <f t="shared" si="2"/>
        <v>0</v>
      </c>
    </row>
    <row r="161" spans="1:23" x14ac:dyDescent="0.25">
      <c r="A161" s="2" t="s">
        <v>628</v>
      </c>
      <c r="B161" s="2" t="s">
        <v>626</v>
      </c>
      <c r="C161" s="2">
        <v>540127</v>
      </c>
      <c r="D161" s="2" t="s">
        <v>763</v>
      </c>
      <c r="E161" s="2" t="s">
        <v>53</v>
      </c>
      <c r="F161" s="2" t="s">
        <v>115</v>
      </c>
      <c r="G161" s="2">
        <v>1</v>
      </c>
      <c r="H161" s="2">
        <v>0</v>
      </c>
      <c r="I161" s="2">
        <v>0</v>
      </c>
      <c r="J161" s="2">
        <v>0</v>
      </c>
      <c r="K161" s="2">
        <v>0</v>
      </c>
      <c r="L161" s="2">
        <v>0</v>
      </c>
      <c r="M161" s="2">
        <v>0</v>
      </c>
      <c r="N161" s="2">
        <v>0</v>
      </c>
      <c r="O161" s="2">
        <v>0</v>
      </c>
      <c r="P161" s="2">
        <v>0</v>
      </c>
      <c r="Q161" s="2">
        <v>0</v>
      </c>
      <c r="R161" s="2">
        <v>0</v>
      </c>
      <c r="S161" s="2" t="s">
        <v>488</v>
      </c>
      <c r="T161" s="2" t="s">
        <v>488</v>
      </c>
      <c r="U161" s="2">
        <v>0</v>
      </c>
      <c r="V161" s="2">
        <v>0</v>
      </c>
      <c r="W161">
        <f t="shared" si="2"/>
        <v>0</v>
      </c>
    </row>
    <row r="162" spans="1:23" x14ac:dyDescent="0.25">
      <c r="A162" s="2" t="s">
        <v>628</v>
      </c>
      <c r="B162" s="2" t="s">
        <v>626</v>
      </c>
      <c r="C162" s="2">
        <v>540128</v>
      </c>
      <c r="D162" s="2" t="s">
        <v>764</v>
      </c>
      <c r="E162" s="2" t="s">
        <v>53</v>
      </c>
      <c r="F162" s="2" t="s">
        <v>115</v>
      </c>
      <c r="G162" s="2">
        <v>1</v>
      </c>
      <c r="H162" s="2">
        <v>0</v>
      </c>
      <c r="I162" s="2">
        <v>0</v>
      </c>
      <c r="J162" s="2">
        <v>0</v>
      </c>
      <c r="K162" s="2">
        <v>0</v>
      </c>
      <c r="L162" s="2">
        <v>0</v>
      </c>
      <c r="M162" s="2">
        <v>0</v>
      </c>
      <c r="N162" s="2">
        <v>0</v>
      </c>
      <c r="O162" s="2">
        <v>0</v>
      </c>
      <c r="P162" s="2">
        <v>0</v>
      </c>
      <c r="Q162" s="2">
        <v>0</v>
      </c>
      <c r="R162" s="2">
        <v>0</v>
      </c>
      <c r="S162" s="2" t="s">
        <v>488</v>
      </c>
      <c r="T162" s="2" t="s">
        <v>488</v>
      </c>
      <c r="U162" s="2">
        <v>0</v>
      </c>
      <c r="V162" s="2">
        <v>0</v>
      </c>
      <c r="W162">
        <f t="shared" si="2"/>
        <v>0</v>
      </c>
    </row>
    <row r="163" spans="1:23" x14ac:dyDescent="0.25">
      <c r="A163" s="2" t="s">
        <v>628</v>
      </c>
      <c r="B163" s="2" t="s">
        <v>626</v>
      </c>
      <c r="C163" s="2">
        <v>540172</v>
      </c>
      <c r="D163" s="2" t="s">
        <v>765</v>
      </c>
      <c r="E163" s="2" t="s">
        <v>53</v>
      </c>
      <c r="F163" s="2" t="s">
        <v>115</v>
      </c>
      <c r="G163" s="2">
        <v>1</v>
      </c>
      <c r="H163" s="2">
        <v>0</v>
      </c>
      <c r="I163" s="2">
        <v>0</v>
      </c>
      <c r="J163" s="2">
        <v>0</v>
      </c>
      <c r="K163" s="2">
        <v>0</v>
      </c>
      <c r="L163" s="2">
        <v>0</v>
      </c>
      <c r="M163" s="2">
        <v>0</v>
      </c>
      <c r="N163" s="2">
        <v>0</v>
      </c>
      <c r="O163" s="2">
        <v>0</v>
      </c>
      <c r="P163" s="2">
        <v>0</v>
      </c>
      <c r="Q163" s="2">
        <v>0</v>
      </c>
      <c r="R163" s="2">
        <v>0</v>
      </c>
      <c r="S163" s="2" t="s">
        <v>488</v>
      </c>
      <c r="T163" s="2" t="s">
        <v>488</v>
      </c>
      <c r="U163" s="2">
        <v>0</v>
      </c>
      <c r="V163" s="2">
        <v>0</v>
      </c>
      <c r="W163">
        <f t="shared" si="2"/>
        <v>0</v>
      </c>
    </row>
    <row r="164" spans="1:23" x14ac:dyDescent="0.25">
      <c r="A164" s="2" t="s">
        <v>628</v>
      </c>
      <c r="B164" s="2" t="s">
        <v>626</v>
      </c>
      <c r="C164" s="2">
        <v>540285</v>
      </c>
      <c r="D164" s="2" t="s">
        <v>766</v>
      </c>
      <c r="E164" s="2" t="s">
        <v>53</v>
      </c>
      <c r="F164" s="2" t="s">
        <v>115</v>
      </c>
      <c r="G164" s="2">
        <v>1</v>
      </c>
      <c r="H164" s="2">
        <v>0</v>
      </c>
      <c r="I164" s="2">
        <v>0</v>
      </c>
      <c r="J164" s="2">
        <v>0</v>
      </c>
      <c r="K164" s="2">
        <v>0</v>
      </c>
      <c r="L164" s="2">
        <v>0</v>
      </c>
      <c r="M164" s="2">
        <v>0</v>
      </c>
      <c r="N164" s="2">
        <v>0</v>
      </c>
      <c r="O164" s="2">
        <v>0</v>
      </c>
      <c r="P164" s="2">
        <v>0</v>
      </c>
      <c r="Q164" s="2">
        <v>0</v>
      </c>
      <c r="R164" s="2">
        <v>0</v>
      </c>
      <c r="S164" s="2" t="s">
        <v>488</v>
      </c>
      <c r="T164" s="2" t="s">
        <v>488</v>
      </c>
      <c r="U164" s="2">
        <v>0</v>
      </c>
      <c r="V164" s="2">
        <v>0</v>
      </c>
      <c r="W164">
        <f t="shared" si="2"/>
        <v>0</v>
      </c>
    </row>
    <row r="165" spans="1:23" x14ac:dyDescent="0.25">
      <c r="A165" s="255" t="s">
        <v>628</v>
      </c>
      <c r="B165" s="255" t="s">
        <v>626</v>
      </c>
      <c r="C165" s="255"/>
      <c r="D165" s="255"/>
      <c r="E165" s="255" t="s">
        <v>53</v>
      </c>
      <c r="F165" s="255"/>
      <c r="G165" s="255"/>
      <c r="H165" s="255">
        <v>0</v>
      </c>
      <c r="I165" s="255">
        <v>0</v>
      </c>
      <c r="J165" s="255">
        <v>0</v>
      </c>
      <c r="K165" s="255">
        <v>0</v>
      </c>
      <c r="L165" s="255">
        <v>0</v>
      </c>
      <c r="M165" s="255">
        <v>0</v>
      </c>
      <c r="N165" s="255">
        <v>0</v>
      </c>
      <c r="O165" s="255">
        <v>0</v>
      </c>
      <c r="P165" s="255">
        <v>0</v>
      </c>
      <c r="Q165" s="255">
        <v>0</v>
      </c>
      <c r="R165" s="255">
        <v>0</v>
      </c>
      <c r="S165" s="255" t="s">
        <v>488</v>
      </c>
      <c r="T165" s="255" t="s">
        <v>488</v>
      </c>
      <c r="U165" s="255">
        <v>0</v>
      </c>
      <c r="V165" s="255">
        <v>0</v>
      </c>
      <c r="W165">
        <f t="shared" si="2"/>
        <v>0</v>
      </c>
    </row>
    <row r="166" spans="1:23" x14ac:dyDescent="0.25">
      <c r="A166" s="2" t="s">
        <v>628</v>
      </c>
      <c r="B166" s="2" t="s">
        <v>626</v>
      </c>
      <c r="C166" s="2">
        <v>540129</v>
      </c>
      <c r="D166" s="2" t="s">
        <v>767</v>
      </c>
      <c r="E166" s="2" t="s">
        <v>55</v>
      </c>
      <c r="F166" s="2" t="s">
        <v>5</v>
      </c>
      <c r="G166" s="2">
        <v>8</v>
      </c>
      <c r="H166" s="2">
        <v>0</v>
      </c>
      <c r="I166" s="2">
        <v>0</v>
      </c>
      <c r="J166" s="2">
        <v>0</v>
      </c>
      <c r="K166" s="2">
        <v>0</v>
      </c>
      <c r="L166" s="2">
        <v>0</v>
      </c>
      <c r="M166" s="2">
        <v>0</v>
      </c>
      <c r="N166" s="2">
        <v>0</v>
      </c>
      <c r="O166" s="2">
        <v>0</v>
      </c>
      <c r="P166" s="2">
        <v>0</v>
      </c>
      <c r="Q166" s="2">
        <v>0</v>
      </c>
      <c r="R166" s="2">
        <v>0</v>
      </c>
      <c r="S166" s="2" t="s">
        <v>488</v>
      </c>
      <c r="T166" s="2" t="s">
        <v>488</v>
      </c>
      <c r="U166" s="2">
        <v>0</v>
      </c>
      <c r="V166" s="2">
        <v>0</v>
      </c>
      <c r="W166">
        <f t="shared" si="2"/>
        <v>0</v>
      </c>
    </row>
    <row r="167" spans="1:23" x14ac:dyDescent="0.25">
      <c r="A167" s="2" t="s">
        <v>628</v>
      </c>
      <c r="B167" s="2" t="s">
        <v>626</v>
      </c>
      <c r="C167" s="2">
        <v>540130</v>
      </c>
      <c r="D167" s="2" t="s">
        <v>768</v>
      </c>
      <c r="E167" s="2" t="s">
        <v>55</v>
      </c>
      <c r="F167" s="2" t="s">
        <v>115</v>
      </c>
      <c r="G167" s="2">
        <v>8</v>
      </c>
      <c r="H167" s="2">
        <v>0</v>
      </c>
      <c r="I167" s="2">
        <v>0</v>
      </c>
      <c r="J167" s="2">
        <v>0</v>
      </c>
      <c r="K167" s="2">
        <v>0</v>
      </c>
      <c r="L167" s="2">
        <v>0</v>
      </c>
      <c r="M167" s="2">
        <v>0</v>
      </c>
      <c r="N167" s="2">
        <v>0</v>
      </c>
      <c r="O167" s="2">
        <v>0</v>
      </c>
      <c r="P167" s="2">
        <v>0</v>
      </c>
      <c r="Q167" s="2">
        <v>0</v>
      </c>
      <c r="R167" s="2">
        <v>0</v>
      </c>
      <c r="S167" s="2" t="s">
        <v>488</v>
      </c>
      <c r="T167" s="2" t="s">
        <v>488</v>
      </c>
      <c r="U167" s="2">
        <v>0</v>
      </c>
      <c r="V167" s="2">
        <v>0</v>
      </c>
      <c r="W167">
        <f t="shared" si="2"/>
        <v>0</v>
      </c>
    </row>
    <row r="168" spans="1:23" x14ac:dyDescent="0.25">
      <c r="A168" s="2" t="s">
        <v>628</v>
      </c>
      <c r="B168" s="2" t="s">
        <v>626</v>
      </c>
      <c r="C168" s="2">
        <v>540131</v>
      </c>
      <c r="D168" s="2" t="s">
        <v>769</v>
      </c>
      <c r="E168" s="2" t="s">
        <v>55</v>
      </c>
      <c r="F168" s="2" t="s">
        <v>115</v>
      </c>
      <c r="G168" s="2">
        <v>8</v>
      </c>
      <c r="H168" s="2">
        <v>0</v>
      </c>
      <c r="I168" s="2">
        <v>0</v>
      </c>
      <c r="J168" s="2">
        <v>0</v>
      </c>
      <c r="K168" s="2">
        <v>0</v>
      </c>
      <c r="L168" s="2">
        <v>0</v>
      </c>
      <c r="M168" s="2">
        <v>0</v>
      </c>
      <c r="N168" s="2">
        <v>0</v>
      </c>
      <c r="O168" s="2">
        <v>0</v>
      </c>
      <c r="P168" s="2">
        <v>0</v>
      </c>
      <c r="Q168" s="2">
        <v>0</v>
      </c>
      <c r="R168" s="2">
        <v>0</v>
      </c>
      <c r="S168" s="2" t="s">
        <v>488</v>
      </c>
      <c r="T168" s="2" t="s">
        <v>488</v>
      </c>
      <c r="U168" s="2">
        <v>0</v>
      </c>
      <c r="V168" s="2">
        <v>0</v>
      </c>
      <c r="W168">
        <f t="shared" si="2"/>
        <v>0</v>
      </c>
    </row>
    <row r="169" spans="1:23" x14ac:dyDescent="0.25">
      <c r="A169" s="2" t="s">
        <v>628</v>
      </c>
      <c r="B169" s="2" t="s">
        <v>626</v>
      </c>
      <c r="C169" s="2">
        <v>540155</v>
      </c>
      <c r="D169" s="2" t="s">
        <v>770</v>
      </c>
      <c r="E169" s="2" t="s">
        <v>55</v>
      </c>
      <c r="F169" s="2" t="s">
        <v>115</v>
      </c>
      <c r="G169" s="2">
        <v>8</v>
      </c>
      <c r="H169" s="2">
        <v>0</v>
      </c>
      <c r="I169" s="2">
        <v>0</v>
      </c>
      <c r="J169" s="2">
        <v>0</v>
      </c>
      <c r="K169" s="2">
        <v>0</v>
      </c>
      <c r="L169" s="2">
        <v>0</v>
      </c>
      <c r="M169" s="2">
        <v>0</v>
      </c>
      <c r="N169" s="2">
        <v>0</v>
      </c>
      <c r="O169" s="2">
        <v>0</v>
      </c>
      <c r="P169" s="2">
        <v>0</v>
      </c>
      <c r="Q169" s="2">
        <v>0</v>
      </c>
      <c r="R169" s="2">
        <v>0</v>
      </c>
      <c r="S169" s="2" t="s">
        <v>488</v>
      </c>
      <c r="T169" s="2" t="s">
        <v>488</v>
      </c>
      <c r="U169" s="2">
        <v>0</v>
      </c>
      <c r="V169" s="2">
        <v>0</v>
      </c>
      <c r="W169">
        <f t="shared" si="2"/>
        <v>0</v>
      </c>
    </row>
    <row r="170" spans="1:23" x14ac:dyDescent="0.25">
      <c r="A170" s="2" t="s">
        <v>628</v>
      </c>
      <c r="B170" s="2" t="s">
        <v>626</v>
      </c>
      <c r="C170" s="2">
        <v>545555</v>
      </c>
      <c r="D170" s="2" t="s">
        <v>771</v>
      </c>
      <c r="E170" s="2" t="s">
        <v>55</v>
      </c>
      <c r="F170" s="2" t="s">
        <v>115</v>
      </c>
      <c r="G170" s="2">
        <v>8</v>
      </c>
      <c r="H170" s="2">
        <v>0</v>
      </c>
      <c r="I170" s="2">
        <v>0</v>
      </c>
      <c r="J170" s="2">
        <v>0</v>
      </c>
      <c r="K170" s="2">
        <v>0</v>
      </c>
      <c r="L170" s="2">
        <v>0</v>
      </c>
      <c r="M170" s="2">
        <v>0</v>
      </c>
      <c r="N170" s="2">
        <v>0</v>
      </c>
      <c r="O170" s="2">
        <v>0</v>
      </c>
      <c r="P170" s="2">
        <v>0</v>
      </c>
      <c r="Q170" s="2">
        <v>0</v>
      </c>
      <c r="R170" s="2">
        <v>0</v>
      </c>
      <c r="S170" s="2" t="s">
        <v>488</v>
      </c>
      <c r="T170" s="2" t="s">
        <v>488</v>
      </c>
      <c r="U170" s="2">
        <v>0</v>
      </c>
      <c r="V170" s="2">
        <v>0</v>
      </c>
      <c r="W170">
        <f t="shared" si="2"/>
        <v>0</v>
      </c>
    </row>
    <row r="171" spans="1:23" x14ac:dyDescent="0.25">
      <c r="A171" s="2" t="s">
        <v>628</v>
      </c>
      <c r="B171" s="2" t="s">
        <v>626</v>
      </c>
      <c r="C171" s="2">
        <v>540091</v>
      </c>
      <c r="D171" s="2" t="s">
        <v>772</v>
      </c>
      <c r="E171" s="2" t="s">
        <v>55</v>
      </c>
      <c r="F171" s="2" t="s">
        <v>115</v>
      </c>
      <c r="G171" s="2">
        <v>8</v>
      </c>
      <c r="H171" s="2">
        <v>0</v>
      </c>
      <c r="I171" s="2">
        <v>0</v>
      </c>
      <c r="J171" s="2">
        <v>0</v>
      </c>
      <c r="K171" s="2">
        <v>0</v>
      </c>
      <c r="L171" s="2">
        <v>0</v>
      </c>
      <c r="M171" s="2">
        <v>0</v>
      </c>
      <c r="N171" s="2">
        <v>0</v>
      </c>
      <c r="O171" s="2">
        <v>0</v>
      </c>
      <c r="P171" s="2">
        <v>0</v>
      </c>
      <c r="Q171" s="2">
        <v>0</v>
      </c>
      <c r="R171" s="2">
        <v>0</v>
      </c>
      <c r="S171" s="2" t="s">
        <v>488</v>
      </c>
      <c r="T171" s="2" t="s">
        <v>488</v>
      </c>
      <c r="U171" s="2">
        <v>0</v>
      </c>
      <c r="V171" s="2">
        <v>0</v>
      </c>
      <c r="W171">
        <f t="shared" si="2"/>
        <v>0</v>
      </c>
    </row>
    <row r="172" spans="1:23" x14ac:dyDescent="0.25">
      <c r="A172" s="255" t="s">
        <v>628</v>
      </c>
      <c r="B172" s="255" t="s">
        <v>626</v>
      </c>
      <c r="C172" s="255"/>
      <c r="D172" s="255"/>
      <c r="E172" s="255" t="s">
        <v>55</v>
      </c>
      <c r="F172" s="255"/>
      <c r="G172" s="255"/>
      <c r="H172" s="255">
        <v>0</v>
      </c>
      <c r="I172" s="255">
        <v>0</v>
      </c>
      <c r="J172" s="255">
        <v>0</v>
      </c>
      <c r="K172" s="255">
        <v>0</v>
      </c>
      <c r="L172" s="255">
        <v>0</v>
      </c>
      <c r="M172" s="255">
        <v>0</v>
      </c>
      <c r="N172" s="255">
        <v>0</v>
      </c>
      <c r="O172" s="255">
        <v>0</v>
      </c>
      <c r="P172" s="255">
        <v>0</v>
      </c>
      <c r="Q172" s="255">
        <v>0</v>
      </c>
      <c r="R172" s="255">
        <v>0</v>
      </c>
      <c r="S172" s="255" t="s">
        <v>488</v>
      </c>
      <c r="T172" s="255" t="s">
        <v>488</v>
      </c>
      <c r="U172" s="255">
        <v>0</v>
      </c>
      <c r="V172" s="255">
        <v>0</v>
      </c>
      <c r="W172">
        <f t="shared" si="2"/>
        <v>0</v>
      </c>
    </row>
    <row r="173" spans="1:23" x14ac:dyDescent="0.25">
      <c r="A173" s="2" t="s">
        <v>628</v>
      </c>
      <c r="B173" s="2" t="s">
        <v>626</v>
      </c>
      <c r="C173" s="2">
        <v>540133</v>
      </c>
      <c r="D173" s="2" t="s">
        <v>773</v>
      </c>
      <c r="E173" s="2" t="s">
        <v>57</v>
      </c>
      <c r="F173" s="2" t="s">
        <v>5</v>
      </c>
      <c r="G173" s="2">
        <v>2</v>
      </c>
      <c r="H173" s="2">
        <v>0</v>
      </c>
      <c r="I173" s="2">
        <v>0</v>
      </c>
      <c r="J173" s="2">
        <v>0</v>
      </c>
      <c r="K173" s="2">
        <v>0</v>
      </c>
      <c r="L173" s="2">
        <v>0</v>
      </c>
      <c r="M173" s="2">
        <v>0</v>
      </c>
      <c r="N173" s="2">
        <v>0</v>
      </c>
      <c r="O173" s="2">
        <v>0</v>
      </c>
      <c r="P173" s="2">
        <v>0</v>
      </c>
      <c r="Q173" s="2">
        <v>0</v>
      </c>
      <c r="R173" s="2">
        <v>0</v>
      </c>
      <c r="S173" s="2" t="s">
        <v>488</v>
      </c>
      <c r="T173" s="2" t="s">
        <v>488</v>
      </c>
      <c r="U173" s="2">
        <v>0</v>
      </c>
      <c r="V173" s="2">
        <v>0</v>
      </c>
      <c r="W173">
        <f t="shared" si="2"/>
        <v>0</v>
      </c>
    </row>
    <row r="174" spans="1:23" x14ac:dyDescent="0.25">
      <c r="A174" s="2" t="s">
        <v>628</v>
      </c>
      <c r="B174" s="2" t="s">
        <v>626</v>
      </c>
      <c r="C174" s="2">
        <v>540134</v>
      </c>
      <c r="D174" s="2" t="s">
        <v>774</v>
      </c>
      <c r="E174" s="2" t="s">
        <v>57</v>
      </c>
      <c r="F174" s="2" t="s">
        <v>115</v>
      </c>
      <c r="G174" s="2">
        <v>2</v>
      </c>
      <c r="H174" s="2">
        <v>0</v>
      </c>
      <c r="I174" s="2">
        <v>0</v>
      </c>
      <c r="J174" s="2">
        <v>0</v>
      </c>
      <c r="K174" s="2">
        <v>0</v>
      </c>
      <c r="L174" s="2">
        <v>0</v>
      </c>
      <c r="M174" s="2">
        <v>0</v>
      </c>
      <c r="N174" s="2">
        <v>0</v>
      </c>
      <c r="O174" s="2">
        <v>0</v>
      </c>
      <c r="P174" s="2">
        <v>0</v>
      </c>
      <c r="Q174" s="2">
        <v>0</v>
      </c>
      <c r="R174" s="2">
        <v>0</v>
      </c>
      <c r="S174" s="2" t="s">
        <v>488</v>
      </c>
      <c r="T174" s="2" t="s">
        <v>488</v>
      </c>
      <c r="U174" s="2">
        <v>0</v>
      </c>
      <c r="V174" s="2">
        <v>0</v>
      </c>
      <c r="W174">
        <f t="shared" si="2"/>
        <v>0</v>
      </c>
    </row>
    <row r="175" spans="1:23" x14ac:dyDescent="0.25">
      <c r="A175" s="2" t="s">
        <v>628</v>
      </c>
      <c r="B175" s="2" t="s">
        <v>626</v>
      </c>
      <c r="C175" s="2">
        <v>540135</v>
      </c>
      <c r="D175" s="2" t="s">
        <v>775</v>
      </c>
      <c r="E175" s="2" t="s">
        <v>57</v>
      </c>
      <c r="F175" s="2" t="s">
        <v>115</v>
      </c>
      <c r="G175" s="2">
        <v>2</v>
      </c>
      <c r="H175" s="2">
        <v>0</v>
      </c>
      <c r="I175" s="2">
        <v>0</v>
      </c>
      <c r="J175" s="2">
        <v>0</v>
      </c>
      <c r="K175" s="2">
        <v>0</v>
      </c>
      <c r="L175" s="2">
        <v>0</v>
      </c>
      <c r="M175" s="2">
        <v>0</v>
      </c>
      <c r="N175" s="2">
        <v>0</v>
      </c>
      <c r="O175" s="2">
        <v>0</v>
      </c>
      <c r="P175" s="2">
        <v>0</v>
      </c>
      <c r="Q175" s="2">
        <v>0</v>
      </c>
      <c r="R175" s="2">
        <v>0</v>
      </c>
      <c r="S175" s="2" t="s">
        <v>488</v>
      </c>
      <c r="T175" s="2" t="s">
        <v>488</v>
      </c>
      <c r="U175" s="2">
        <v>0</v>
      </c>
      <c r="V175" s="2">
        <v>0</v>
      </c>
      <c r="W175">
        <f t="shared" si="2"/>
        <v>0</v>
      </c>
    </row>
    <row r="176" spans="1:23" x14ac:dyDescent="0.25">
      <c r="A176" s="2" t="s">
        <v>628</v>
      </c>
      <c r="B176" s="2" t="s">
        <v>626</v>
      </c>
      <c r="C176" s="2">
        <v>540136</v>
      </c>
      <c r="D176" s="2" t="s">
        <v>776</v>
      </c>
      <c r="E176" s="2" t="s">
        <v>57</v>
      </c>
      <c r="F176" s="2" t="s">
        <v>115</v>
      </c>
      <c r="G176" s="2">
        <v>2</v>
      </c>
      <c r="H176" s="2">
        <v>0</v>
      </c>
      <c r="I176" s="2">
        <v>0</v>
      </c>
      <c r="J176" s="2">
        <v>0</v>
      </c>
      <c r="K176" s="2">
        <v>0</v>
      </c>
      <c r="L176" s="2">
        <v>0</v>
      </c>
      <c r="M176" s="2">
        <v>0</v>
      </c>
      <c r="N176" s="2">
        <v>0</v>
      </c>
      <c r="O176" s="2">
        <v>0</v>
      </c>
      <c r="P176" s="2">
        <v>0</v>
      </c>
      <c r="Q176" s="2">
        <v>0</v>
      </c>
      <c r="R176" s="2">
        <v>0</v>
      </c>
      <c r="S176" s="2" t="s">
        <v>488</v>
      </c>
      <c r="T176" s="2" t="s">
        <v>488</v>
      </c>
      <c r="U176" s="2">
        <v>0</v>
      </c>
      <c r="V176" s="2">
        <v>0</v>
      </c>
      <c r="W176">
        <f t="shared" si="2"/>
        <v>0</v>
      </c>
    </row>
    <row r="177" spans="1:23" x14ac:dyDescent="0.25">
      <c r="A177" s="2" t="s">
        <v>628</v>
      </c>
      <c r="B177" s="2" t="s">
        <v>626</v>
      </c>
      <c r="C177" s="2">
        <v>540138</v>
      </c>
      <c r="D177" s="2" t="s">
        <v>777</v>
      </c>
      <c r="E177" s="2" t="s">
        <v>57</v>
      </c>
      <c r="F177" s="2" t="s">
        <v>115</v>
      </c>
      <c r="G177" s="2">
        <v>2</v>
      </c>
      <c r="H177" s="2">
        <v>0</v>
      </c>
      <c r="I177" s="2">
        <v>0</v>
      </c>
      <c r="J177" s="2">
        <v>0</v>
      </c>
      <c r="K177" s="2">
        <v>0</v>
      </c>
      <c r="L177" s="2">
        <v>0</v>
      </c>
      <c r="M177" s="2">
        <v>0</v>
      </c>
      <c r="N177" s="2">
        <v>0</v>
      </c>
      <c r="O177" s="2">
        <v>0</v>
      </c>
      <c r="P177" s="2">
        <v>0</v>
      </c>
      <c r="Q177" s="2">
        <v>0</v>
      </c>
      <c r="R177" s="2">
        <v>0</v>
      </c>
      <c r="S177" s="2" t="s">
        <v>488</v>
      </c>
      <c r="T177" s="2" t="s">
        <v>488</v>
      </c>
      <c r="U177" s="2">
        <v>0</v>
      </c>
      <c r="V177" s="2">
        <v>0</v>
      </c>
      <c r="W177">
        <f t="shared" si="2"/>
        <v>0</v>
      </c>
    </row>
    <row r="178" spans="1:23" x14ac:dyDescent="0.25">
      <c r="A178" s="2" t="s">
        <v>628</v>
      </c>
      <c r="B178" s="2" t="s">
        <v>626</v>
      </c>
      <c r="C178" s="2">
        <v>545538</v>
      </c>
      <c r="D178" s="2" t="s">
        <v>778</v>
      </c>
      <c r="E178" s="2" t="s">
        <v>57</v>
      </c>
      <c r="F178" s="2" t="s">
        <v>115</v>
      </c>
      <c r="G178" s="2">
        <v>2</v>
      </c>
      <c r="H178" s="2">
        <v>0</v>
      </c>
      <c r="I178" s="2">
        <v>0</v>
      </c>
      <c r="J178" s="2">
        <v>0</v>
      </c>
      <c r="K178" s="2">
        <v>0</v>
      </c>
      <c r="L178" s="2">
        <v>0</v>
      </c>
      <c r="M178" s="2">
        <v>0</v>
      </c>
      <c r="N178" s="2">
        <v>0</v>
      </c>
      <c r="O178" s="2">
        <v>0</v>
      </c>
      <c r="P178" s="2">
        <v>0</v>
      </c>
      <c r="Q178" s="2">
        <v>0</v>
      </c>
      <c r="R178" s="2">
        <v>0</v>
      </c>
      <c r="S178" s="2" t="s">
        <v>488</v>
      </c>
      <c r="T178" s="2" t="s">
        <v>488</v>
      </c>
      <c r="U178" s="2">
        <v>0</v>
      </c>
      <c r="V178" s="2">
        <v>0</v>
      </c>
      <c r="W178">
        <f t="shared" si="2"/>
        <v>0</v>
      </c>
    </row>
    <row r="179" spans="1:23" x14ac:dyDescent="0.25">
      <c r="A179" s="255" t="s">
        <v>628</v>
      </c>
      <c r="B179" s="255" t="s">
        <v>626</v>
      </c>
      <c r="C179" s="255"/>
      <c r="D179" s="255"/>
      <c r="E179" s="255" t="s">
        <v>57</v>
      </c>
      <c r="F179" s="255"/>
      <c r="G179" s="255"/>
      <c r="H179" s="255">
        <v>0</v>
      </c>
      <c r="I179" s="255">
        <v>0</v>
      </c>
      <c r="J179" s="255">
        <v>0</v>
      </c>
      <c r="K179" s="255">
        <v>0</v>
      </c>
      <c r="L179" s="255">
        <v>0</v>
      </c>
      <c r="M179" s="255">
        <v>0</v>
      </c>
      <c r="N179" s="255">
        <v>0</v>
      </c>
      <c r="O179" s="255">
        <v>0</v>
      </c>
      <c r="P179" s="255">
        <v>0</v>
      </c>
      <c r="Q179" s="255">
        <v>0</v>
      </c>
      <c r="R179" s="255">
        <v>0</v>
      </c>
      <c r="S179" s="255" t="s">
        <v>488</v>
      </c>
      <c r="T179" s="255" t="s">
        <v>488</v>
      </c>
      <c r="U179" s="255">
        <v>0</v>
      </c>
      <c r="V179" s="255">
        <v>0</v>
      </c>
      <c r="W179">
        <f t="shared" si="2"/>
        <v>0</v>
      </c>
    </row>
    <row r="180" spans="1:23" x14ac:dyDescent="0.25">
      <c r="A180" s="2" t="s">
        <v>628</v>
      </c>
      <c r="B180" s="2" t="s">
        <v>626</v>
      </c>
      <c r="C180" s="2">
        <v>540139</v>
      </c>
      <c r="D180" s="2" t="s">
        <v>779</v>
      </c>
      <c r="E180" s="2" t="s">
        <v>59</v>
      </c>
      <c r="F180" s="2" t="s">
        <v>5</v>
      </c>
      <c r="G180" s="2">
        <v>6</v>
      </c>
      <c r="H180" s="2">
        <v>0</v>
      </c>
      <c r="I180" s="2">
        <v>0</v>
      </c>
      <c r="J180" s="2">
        <v>0</v>
      </c>
      <c r="K180" s="2">
        <v>0</v>
      </c>
      <c r="L180" s="2">
        <v>0</v>
      </c>
      <c r="M180" s="2">
        <v>0</v>
      </c>
      <c r="N180" s="2">
        <v>0</v>
      </c>
      <c r="O180" s="2">
        <v>0</v>
      </c>
      <c r="P180" s="2">
        <v>0</v>
      </c>
      <c r="Q180" s="2">
        <v>0</v>
      </c>
      <c r="R180" s="2">
        <v>0</v>
      </c>
      <c r="S180" s="2" t="s">
        <v>488</v>
      </c>
      <c r="T180" s="2" t="s">
        <v>488</v>
      </c>
      <c r="U180" s="2">
        <v>0</v>
      </c>
      <c r="V180" s="2">
        <v>0</v>
      </c>
      <c r="W180">
        <f t="shared" si="2"/>
        <v>0</v>
      </c>
    </row>
    <row r="181" spans="1:23" x14ac:dyDescent="0.25">
      <c r="A181" s="2" t="s">
        <v>628</v>
      </c>
      <c r="B181" s="2" t="s">
        <v>626</v>
      </c>
      <c r="C181" s="2">
        <v>540140</v>
      </c>
      <c r="D181" s="2" t="s">
        <v>780</v>
      </c>
      <c r="E181" s="2" t="s">
        <v>59</v>
      </c>
      <c r="F181" s="2" t="s">
        <v>115</v>
      </c>
      <c r="G181" s="2">
        <v>6</v>
      </c>
      <c r="H181" s="2">
        <v>0</v>
      </c>
      <c r="I181" s="2">
        <v>0</v>
      </c>
      <c r="J181" s="2">
        <v>0</v>
      </c>
      <c r="K181" s="2">
        <v>0</v>
      </c>
      <c r="L181" s="2">
        <v>0</v>
      </c>
      <c r="M181" s="2">
        <v>0</v>
      </c>
      <c r="N181" s="2">
        <v>0</v>
      </c>
      <c r="O181" s="2">
        <v>0</v>
      </c>
      <c r="P181" s="2">
        <v>0</v>
      </c>
      <c r="Q181" s="2">
        <v>0</v>
      </c>
      <c r="R181" s="2">
        <v>0</v>
      </c>
      <c r="S181" s="2" t="s">
        <v>488</v>
      </c>
      <c r="T181" s="2" t="s">
        <v>488</v>
      </c>
      <c r="U181" s="2">
        <v>0</v>
      </c>
      <c r="V181" s="2">
        <v>0</v>
      </c>
      <c r="W181">
        <f t="shared" si="2"/>
        <v>0</v>
      </c>
    </row>
    <row r="182" spans="1:23" x14ac:dyDescent="0.25">
      <c r="A182" s="2" t="s">
        <v>628</v>
      </c>
      <c r="B182" s="2" t="s">
        <v>626</v>
      </c>
      <c r="C182" s="2">
        <v>540141</v>
      </c>
      <c r="D182" s="2" t="s">
        <v>781</v>
      </c>
      <c r="E182" s="2" t="s">
        <v>59</v>
      </c>
      <c r="F182" s="2" t="s">
        <v>115</v>
      </c>
      <c r="G182" s="2">
        <v>6</v>
      </c>
      <c r="H182" s="2">
        <v>0</v>
      </c>
      <c r="I182" s="2">
        <v>0</v>
      </c>
      <c r="J182" s="2">
        <v>0</v>
      </c>
      <c r="K182" s="2">
        <v>0</v>
      </c>
      <c r="L182" s="2">
        <v>0</v>
      </c>
      <c r="M182" s="2">
        <v>0</v>
      </c>
      <c r="N182" s="2">
        <v>0</v>
      </c>
      <c r="O182" s="2">
        <v>0</v>
      </c>
      <c r="P182" s="2">
        <v>0</v>
      </c>
      <c r="Q182" s="2">
        <v>0</v>
      </c>
      <c r="R182" s="2">
        <v>0</v>
      </c>
      <c r="S182" s="2" t="s">
        <v>488</v>
      </c>
      <c r="T182" s="2" t="s">
        <v>488</v>
      </c>
      <c r="U182" s="2">
        <v>0</v>
      </c>
      <c r="V182" s="2">
        <v>0</v>
      </c>
      <c r="W182">
        <f t="shared" si="2"/>
        <v>0</v>
      </c>
    </row>
    <row r="183" spans="1:23" x14ac:dyDescent="0.25">
      <c r="A183" s="2" t="s">
        <v>628</v>
      </c>
      <c r="B183" s="2" t="s">
        <v>626</v>
      </c>
      <c r="C183" s="2">
        <v>540272</v>
      </c>
      <c r="D183" s="2" t="s">
        <v>782</v>
      </c>
      <c r="E183" s="2" t="s">
        <v>59</v>
      </c>
      <c r="F183" s="2" t="s">
        <v>115</v>
      </c>
      <c r="G183" s="2">
        <v>6</v>
      </c>
      <c r="H183" s="2">
        <v>0</v>
      </c>
      <c r="I183" s="2">
        <v>0</v>
      </c>
      <c r="J183" s="2">
        <v>0</v>
      </c>
      <c r="K183" s="2">
        <v>0</v>
      </c>
      <c r="L183" s="2">
        <v>0</v>
      </c>
      <c r="M183" s="2">
        <v>0</v>
      </c>
      <c r="N183" s="2">
        <v>0</v>
      </c>
      <c r="O183" s="2">
        <v>0</v>
      </c>
      <c r="P183" s="2">
        <v>0</v>
      </c>
      <c r="Q183" s="2">
        <v>0</v>
      </c>
      <c r="R183" s="2">
        <v>0</v>
      </c>
      <c r="S183" s="2" t="s">
        <v>488</v>
      </c>
      <c r="T183" s="2" t="s">
        <v>488</v>
      </c>
      <c r="U183" s="2">
        <v>0</v>
      </c>
      <c r="V183" s="2">
        <v>0</v>
      </c>
      <c r="W183">
        <f t="shared" si="2"/>
        <v>0</v>
      </c>
    </row>
    <row r="184" spans="1:23" x14ac:dyDescent="0.25">
      <c r="A184" s="2" t="s">
        <v>628</v>
      </c>
      <c r="B184" s="2" t="s">
        <v>626</v>
      </c>
      <c r="C184" s="2">
        <v>540273</v>
      </c>
      <c r="D184" s="2" t="s">
        <v>783</v>
      </c>
      <c r="E184" s="2" t="s">
        <v>59</v>
      </c>
      <c r="F184" s="2" t="s">
        <v>115</v>
      </c>
      <c r="G184" s="2">
        <v>6</v>
      </c>
      <c r="H184" s="2">
        <v>0</v>
      </c>
      <c r="I184" s="2">
        <v>0</v>
      </c>
      <c r="J184" s="2">
        <v>0</v>
      </c>
      <c r="K184" s="2">
        <v>0</v>
      </c>
      <c r="L184" s="2">
        <v>0</v>
      </c>
      <c r="M184" s="2">
        <v>0</v>
      </c>
      <c r="N184" s="2">
        <v>0</v>
      </c>
      <c r="O184" s="2">
        <v>0</v>
      </c>
      <c r="P184" s="2">
        <v>0</v>
      </c>
      <c r="Q184" s="2">
        <v>0</v>
      </c>
      <c r="R184" s="2">
        <v>0</v>
      </c>
      <c r="S184" s="2" t="s">
        <v>488</v>
      </c>
      <c r="T184" s="2" t="s">
        <v>488</v>
      </c>
      <c r="U184" s="2">
        <v>0</v>
      </c>
      <c r="V184" s="2">
        <v>0</v>
      </c>
      <c r="W184">
        <f t="shared" si="2"/>
        <v>0</v>
      </c>
    </row>
    <row r="185" spans="1:23" x14ac:dyDescent="0.25">
      <c r="A185" s="2" t="s">
        <v>628</v>
      </c>
      <c r="B185" s="2" t="s">
        <v>626</v>
      </c>
      <c r="C185" s="2">
        <v>540274</v>
      </c>
      <c r="D185" s="2" t="s">
        <v>784</v>
      </c>
      <c r="E185" s="2" t="s">
        <v>59</v>
      </c>
      <c r="F185" s="2" t="s">
        <v>115</v>
      </c>
      <c r="G185" s="2">
        <v>6</v>
      </c>
      <c r="H185" s="2">
        <v>0</v>
      </c>
      <c r="I185" s="2">
        <v>0</v>
      </c>
      <c r="J185" s="2">
        <v>0</v>
      </c>
      <c r="K185" s="2">
        <v>0</v>
      </c>
      <c r="L185" s="2">
        <v>0</v>
      </c>
      <c r="M185" s="2">
        <v>0</v>
      </c>
      <c r="N185" s="2">
        <v>0</v>
      </c>
      <c r="O185" s="2">
        <v>0</v>
      </c>
      <c r="P185" s="2">
        <v>0</v>
      </c>
      <c r="Q185" s="2">
        <v>0</v>
      </c>
      <c r="R185" s="2">
        <v>0</v>
      </c>
      <c r="S185" s="2" t="s">
        <v>488</v>
      </c>
      <c r="T185" s="2" t="s">
        <v>488</v>
      </c>
      <c r="U185" s="2">
        <v>0</v>
      </c>
      <c r="V185" s="2">
        <v>0</v>
      </c>
      <c r="W185">
        <f t="shared" si="2"/>
        <v>0</v>
      </c>
    </row>
    <row r="186" spans="1:23" x14ac:dyDescent="0.25">
      <c r="A186" s="255" t="s">
        <v>628</v>
      </c>
      <c r="B186" s="255" t="s">
        <v>626</v>
      </c>
      <c r="C186" s="255"/>
      <c r="D186" s="255"/>
      <c r="E186" s="255" t="s">
        <v>59</v>
      </c>
      <c r="F186" s="255"/>
      <c r="G186" s="255"/>
      <c r="H186" s="255">
        <v>0</v>
      </c>
      <c r="I186" s="255">
        <v>0</v>
      </c>
      <c r="J186" s="255">
        <v>0</v>
      </c>
      <c r="K186" s="255">
        <v>0</v>
      </c>
      <c r="L186" s="255">
        <v>0</v>
      </c>
      <c r="M186" s="255">
        <v>0</v>
      </c>
      <c r="N186" s="255">
        <v>0</v>
      </c>
      <c r="O186" s="255">
        <v>0</v>
      </c>
      <c r="P186" s="255">
        <v>0</v>
      </c>
      <c r="Q186" s="255">
        <v>0</v>
      </c>
      <c r="R186" s="255">
        <v>0</v>
      </c>
      <c r="S186" s="255" t="s">
        <v>488</v>
      </c>
      <c r="T186" s="255" t="s">
        <v>488</v>
      </c>
      <c r="U186" s="255">
        <v>0</v>
      </c>
      <c r="V186" s="255">
        <v>0</v>
      </c>
      <c r="W186">
        <f t="shared" si="2"/>
        <v>0</v>
      </c>
    </row>
    <row r="187" spans="1:23" x14ac:dyDescent="0.25">
      <c r="A187" s="2" t="s">
        <v>628</v>
      </c>
      <c r="B187" s="2" t="s">
        <v>626</v>
      </c>
      <c r="C187" s="2">
        <v>540144</v>
      </c>
      <c r="D187" s="2" t="s">
        <v>785</v>
      </c>
      <c r="E187" s="2" t="s">
        <v>61</v>
      </c>
      <c r="F187" s="2" t="s">
        <v>5</v>
      </c>
      <c r="G187" s="2">
        <v>9</v>
      </c>
      <c r="H187" s="2">
        <v>0</v>
      </c>
      <c r="I187" s="2">
        <v>0</v>
      </c>
      <c r="J187" s="2">
        <v>0</v>
      </c>
      <c r="K187" s="2">
        <v>0</v>
      </c>
      <c r="L187" s="2">
        <v>0</v>
      </c>
      <c r="M187" s="2">
        <v>0</v>
      </c>
      <c r="N187" s="2">
        <v>0</v>
      </c>
      <c r="O187" s="2">
        <v>0</v>
      </c>
      <c r="P187" s="2">
        <v>0</v>
      </c>
      <c r="Q187" s="2">
        <v>0</v>
      </c>
      <c r="R187" s="2">
        <v>0</v>
      </c>
      <c r="S187" s="2">
        <v>0</v>
      </c>
      <c r="T187" s="2">
        <v>0</v>
      </c>
      <c r="U187" s="2">
        <v>0</v>
      </c>
      <c r="V187" s="2">
        <v>0</v>
      </c>
      <c r="W187">
        <f t="shared" si="2"/>
        <v>0</v>
      </c>
    </row>
    <row r="188" spans="1:23" x14ac:dyDescent="0.25">
      <c r="A188" s="2" t="s">
        <v>628</v>
      </c>
      <c r="B188" s="2" t="s">
        <v>626</v>
      </c>
      <c r="C188" s="2">
        <v>540005</v>
      </c>
      <c r="D188" s="2" t="s">
        <v>786</v>
      </c>
      <c r="E188" s="2" t="s">
        <v>61</v>
      </c>
      <c r="F188" s="2" t="s">
        <v>115</v>
      </c>
      <c r="G188" s="2">
        <v>9</v>
      </c>
      <c r="H188" s="2">
        <v>0</v>
      </c>
      <c r="I188" s="2">
        <v>0</v>
      </c>
      <c r="J188" s="2">
        <v>0</v>
      </c>
      <c r="K188" s="2">
        <v>0</v>
      </c>
      <c r="L188" s="2">
        <v>0</v>
      </c>
      <c r="M188" s="2">
        <v>0</v>
      </c>
      <c r="N188" s="2">
        <v>0</v>
      </c>
      <c r="O188" s="2">
        <v>0</v>
      </c>
      <c r="P188" s="2">
        <v>0</v>
      </c>
      <c r="Q188" s="2">
        <v>0</v>
      </c>
      <c r="R188" s="2">
        <v>0</v>
      </c>
      <c r="S188" s="2">
        <v>0</v>
      </c>
      <c r="T188" s="2">
        <v>0</v>
      </c>
      <c r="U188" s="2">
        <v>0</v>
      </c>
      <c r="V188" s="2">
        <v>0</v>
      </c>
      <c r="W188">
        <f t="shared" si="2"/>
        <v>0</v>
      </c>
    </row>
    <row r="189" spans="1:23" x14ac:dyDescent="0.25">
      <c r="A189" s="2" t="s">
        <v>628</v>
      </c>
      <c r="B189" s="2" t="s">
        <v>626</v>
      </c>
      <c r="C189" s="2">
        <v>540252</v>
      </c>
      <c r="D189" s="2" t="s">
        <v>787</v>
      </c>
      <c r="E189" s="2" t="s">
        <v>61</v>
      </c>
      <c r="F189" s="2" t="s">
        <v>115</v>
      </c>
      <c r="G189" s="2">
        <v>9</v>
      </c>
      <c r="H189" s="2">
        <v>0</v>
      </c>
      <c r="I189" s="2">
        <v>0</v>
      </c>
      <c r="J189" s="2">
        <v>0</v>
      </c>
      <c r="K189" s="2">
        <v>0</v>
      </c>
      <c r="L189" s="2">
        <v>0</v>
      </c>
      <c r="M189" s="2">
        <v>0</v>
      </c>
      <c r="N189" s="2">
        <v>0</v>
      </c>
      <c r="O189" s="2">
        <v>0</v>
      </c>
      <c r="P189" s="2">
        <v>0</v>
      </c>
      <c r="Q189" s="2">
        <v>0</v>
      </c>
      <c r="R189" s="2">
        <v>0</v>
      </c>
      <c r="S189" s="2">
        <v>0</v>
      </c>
      <c r="T189" s="2">
        <v>0</v>
      </c>
      <c r="U189" s="2">
        <v>0</v>
      </c>
      <c r="V189" s="2">
        <v>0</v>
      </c>
      <c r="W189">
        <f t="shared" si="2"/>
        <v>0</v>
      </c>
    </row>
    <row r="190" spans="1:23" x14ac:dyDescent="0.25">
      <c r="A190" s="255" t="s">
        <v>628</v>
      </c>
      <c r="B190" s="255" t="s">
        <v>626</v>
      </c>
      <c r="C190" s="255"/>
      <c r="D190" s="255"/>
      <c r="E190" s="255" t="s">
        <v>61</v>
      </c>
      <c r="F190" s="255"/>
      <c r="G190" s="255"/>
      <c r="H190" s="255">
        <v>0</v>
      </c>
      <c r="I190" s="255">
        <v>0</v>
      </c>
      <c r="J190" s="255">
        <v>0</v>
      </c>
      <c r="K190" s="255">
        <v>0</v>
      </c>
      <c r="L190" s="255">
        <v>0</v>
      </c>
      <c r="M190" s="255">
        <v>0</v>
      </c>
      <c r="N190" s="255">
        <v>0</v>
      </c>
      <c r="O190" s="255">
        <v>0</v>
      </c>
      <c r="P190" s="255">
        <v>0</v>
      </c>
      <c r="Q190" s="255">
        <v>0</v>
      </c>
      <c r="R190" s="255">
        <v>0</v>
      </c>
      <c r="S190" s="255">
        <v>0</v>
      </c>
      <c r="T190" s="255">
        <v>0</v>
      </c>
      <c r="U190" s="255">
        <v>0</v>
      </c>
      <c r="V190" s="255">
        <v>0</v>
      </c>
      <c r="W190">
        <f t="shared" si="2"/>
        <v>0</v>
      </c>
    </row>
    <row r="191" spans="1:23" x14ac:dyDescent="0.25">
      <c r="A191" s="2" t="s">
        <v>628</v>
      </c>
      <c r="B191" s="2" t="s">
        <v>626</v>
      </c>
      <c r="C191" s="2">
        <v>540146</v>
      </c>
      <c r="D191" s="2" t="s">
        <v>788</v>
      </c>
      <c r="E191" s="2" t="s">
        <v>63</v>
      </c>
      <c r="F191" s="2" t="s">
        <v>5</v>
      </c>
      <c r="G191" s="2">
        <v>4</v>
      </c>
      <c r="H191" s="2">
        <v>0</v>
      </c>
      <c r="I191" s="2">
        <v>0</v>
      </c>
      <c r="J191" s="2">
        <v>0</v>
      </c>
      <c r="K191" s="2">
        <v>0</v>
      </c>
      <c r="L191" s="2">
        <v>0</v>
      </c>
      <c r="M191" s="2">
        <v>0</v>
      </c>
      <c r="N191" s="2">
        <v>0</v>
      </c>
      <c r="O191" s="2">
        <v>0</v>
      </c>
      <c r="P191" s="2">
        <v>0</v>
      </c>
      <c r="Q191" s="2" t="s">
        <v>488</v>
      </c>
      <c r="R191" s="2" t="s">
        <v>488</v>
      </c>
      <c r="S191" s="2" t="s">
        <v>488</v>
      </c>
      <c r="T191" s="2" t="s">
        <v>488</v>
      </c>
      <c r="U191" s="2">
        <v>0</v>
      </c>
      <c r="V191" s="2">
        <v>0</v>
      </c>
      <c r="W191">
        <f t="shared" si="2"/>
        <v>0</v>
      </c>
    </row>
    <row r="192" spans="1:23" x14ac:dyDescent="0.25">
      <c r="A192" s="2" t="s">
        <v>628</v>
      </c>
      <c r="B192" s="2" t="s">
        <v>626</v>
      </c>
      <c r="C192" s="2">
        <v>540147</v>
      </c>
      <c r="D192" s="2" t="s">
        <v>789</v>
      </c>
      <c r="E192" s="2" t="s">
        <v>63</v>
      </c>
      <c r="F192" s="2" t="s">
        <v>115</v>
      </c>
      <c r="G192" s="2">
        <v>4</v>
      </c>
      <c r="H192" s="2">
        <v>0</v>
      </c>
      <c r="I192" s="2">
        <v>0</v>
      </c>
      <c r="J192" s="2">
        <v>0</v>
      </c>
      <c r="K192" s="2">
        <v>0</v>
      </c>
      <c r="L192" s="2">
        <v>0</v>
      </c>
      <c r="M192" s="2">
        <v>0</v>
      </c>
      <c r="N192" s="2">
        <v>0</v>
      </c>
      <c r="O192" s="2">
        <v>0</v>
      </c>
      <c r="P192" s="2">
        <v>0</v>
      </c>
      <c r="Q192" s="2" t="s">
        <v>488</v>
      </c>
      <c r="R192" s="2" t="s">
        <v>488</v>
      </c>
      <c r="S192" s="2" t="s">
        <v>488</v>
      </c>
      <c r="T192" s="2" t="s">
        <v>488</v>
      </c>
      <c r="U192" s="2">
        <v>0</v>
      </c>
      <c r="V192" s="2">
        <v>0</v>
      </c>
      <c r="W192">
        <f t="shared" si="2"/>
        <v>0</v>
      </c>
    </row>
    <row r="193" spans="1:23" x14ac:dyDescent="0.25">
      <c r="A193" s="2" t="s">
        <v>628</v>
      </c>
      <c r="B193" s="2" t="s">
        <v>626</v>
      </c>
      <c r="C193" s="2">
        <v>540148</v>
      </c>
      <c r="D193" s="2" t="s">
        <v>790</v>
      </c>
      <c r="E193" s="2" t="s">
        <v>63</v>
      </c>
      <c r="F193" s="2" t="s">
        <v>115</v>
      </c>
      <c r="G193" s="2">
        <v>4</v>
      </c>
      <c r="H193" s="2">
        <v>0</v>
      </c>
      <c r="I193" s="2">
        <v>0</v>
      </c>
      <c r="J193" s="2">
        <v>0</v>
      </c>
      <c r="K193" s="2">
        <v>0</v>
      </c>
      <c r="L193" s="2">
        <v>0</v>
      </c>
      <c r="M193" s="2">
        <v>0</v>
      </c>
      <c r="N193" s="2">
        <v>0</v>
      </c>
      <c r="O193" s="2">
        <v>0</v>
      </c>
      <c r="P193" s="2">
        <v>0</v>
      </c>
      <c r="Q193" s="2" t="s">
        <v>488</v>
      </c>
      <c r="R193" s="2" t="s">
        <v>488</v>
      </c>
      <c r="S193" s="2" t="s">
        <v>488</v>
      </c>
      <c r="T193" s="2" t="s">
        <v>488</v>
      </c>
      <c r="U193" s="2">
        <v>0</v>
      </c>
      <c r="V193" s="2">
        <v>0</v>
      </c>
      <c r="W193">
        <f t="shared" si="2"/>
        <v>0</v>
      </c>
    </row>
    <row r="194" spans="1:23" x14ac:dyDescent="0.25">
      <c r="A194" s="255" t="s">
        <v>628</v>
      </c>
      <c r="B194" s="255" t="s">
        <v>626</v>
      </c>
      <c r="C194" s="255"/>
      <c r="D194" s="255"/>
      <c r="E194" s="255" t="s">
        <v>63</v>
      </c>
      <c r="F194" s="255"/>
      <c r="G194" s="255"/>
      <c r="H194" s="255">
        <v>0</v>
      </c>
      <c r="I194" s="255">
        <v>0</v>
      </c>
      <c r="J194" s="255">
        <v>0</v>
      </c>
      <c r="K194" s="255">
        <v>0</v>
      </c>
      <c r="L194" s="255">
        <v>0</v>
      </c>
      <c r="M194" s="255">
        <v>0</v>
      </c>
      <c r="N194" s="255">
        <v>0</v>
      </c>
      <c r="O194" s="255">
        <v>0</v>
      </c>
      <c r="P194" s="255">
        <v>0</v>
      </c>
      <c r="Q194" s="255" t="s">
        <v>488</v>
      </c>
      <c r="R194" s="255" t="s">
        <v>488</v>
      </c>
      <c r="S194" s="255" t="s">
        <v>488</v>
      </c>
      <c r="T194" s="255" t="s">
        <v>488</v>
      </c>
      <c r="U194" s="255">
        <v>0</v>
      </c>
      <c r="V194" s="255">
        <v>0</v>
      </c>
      <c r="W194">
        <f t="shared" si="2"/>
        <v>0</v>
      </c>
    </row>
    <row r="195" spans="1:23" x14ac:dyDescent="0.25">
      <c r="A195" s="2" t="s">
        <v>628</v>
      </c>
      <c r="B195" s="2" t="s">
        <v>626</v>
      </c>
      <c r="C195" s="2">
        <v>540149</v>
      </c>
      <c r="D195" s="2" t="s">
        <v>791</v>
      </c>
      <c r="E195" s="2" t="s">
        <v>65</v>
      </c>
      <c r="F195" s="2" t="s">
        <v>5</v>
      </c>
      <c r="G195" s="2">
        <v>10</v>
      </c>
      <c r="H195" s="2">
        <v>0</v>
      </c>
      <c r="I195" s="2">
        <v>0</v>
      </c>
      <c r="J195" s="2">
        <v>0</v>
      </c>
      <c r="K195" s="2">
        <v>0</v>
      </c>
      <c r="L195" s="2">
        <v>0</v>
      </c>
      <c r="M195" s="2">
        <v>0</v>
      </c>
      <c r="N195" s="2">
        <v>0</v>
      </c>
      <c r="O195" s="2">
        <v>0</v>
      </c>
      <c r="P195" s="2">
        <v>0</v>
      </c>
      <c r="Q195" s="2">
        <v>0</v>
      </c>
      <c r="R195" s="2">
        <v>0</v>
      </c>
      <c r="S195" s="2" t="s">
        <v>488</v>
      </c>
      <c r="T195" s="2" t="s">
        <v>488</v>
      </c>
      <c r="U195" s="2">
        <v>0</v>
      </c>
      <c r="V195" s="2">
        <v>0</v>
      </c>
      <c r="W195">
        <f t="shared" ref="W195:W258" si="3">SUM(N195,P195,R195,T195,U195,V195)</f>
        <v>0</v>
      </c>
    </row>
    <row r="196" spans="1:23" x14ac:dyDescent="0.25">
      <c r="A196" s="2" t="s">
        <v>628</v>
      </c>
      <c r="B196" s="2" t="s">
        <v>626</v>
      </c>
      <c r="C196" s="2">
        <v>540080</v>
      </c>
      <c r="D196" s="2" t="s">
        <v>792</v>
      </c>
      <c r="E196" s="2" t="s">
        <v>65</v>
      </c>
      <c r="F196" s="2" t="s">
        <v>115</v>
      </c>
      <c r="G196" s="2">
        <v>10</v>
      </c>
      <c r="H196" s="2">
        <v>0</v>
      </c>
      <c r="I196" s="2">
        <v>0</v>
      </c>
      <c r="J196" s="2">
        <v>0</v>
      </c>
      <c r="K196" s="2">
        <v>0</v>
      </c>
      <c r="L196" s="2">
        <v>0</v>
      </c>
      <c r="M196" s="2">
        <v>0</v>
      </c>
      <c r="N196" s="2">
        <v>0</v>
      </c>
      <c r="O196" s="2">
        <v>0</v>
      </c>
      <c r="P196" s="2">
        <v>0</v>
      </c>
      <c r="Q196" s="2">
        <v>0</v>
      </c>
      <c r="R196" s="2">
        <v>0</v>
      </c>
      <c r="S196" s="2" t="s">
        <v>488</v>
      </c>
      <c r="T196" s="2" t="s">
        <v>488</v>
      </c>
      <c r="U196" s="2">
        <v>0</v>
      </c>
      <c r="V196" s="2">
        <v>0</v>
      </c>
      <c r="W196">
        <f t="shared" si="3"/>
        <v>0</v>
      </c>
    </row>
    <row r="197" spans="1:23" x14ac:dyDescent="0.25">
      <c r="A197" s="2" t="s">
        <v>628</v>
      </c>
      <c r="B197" s="2" t="s">
        <v>626</v>
      </c>
      <c r="C197" s="2">
        <v>540094</v>
      </c>
      <c r="D197" s="2" t="s">
        <v>793</v>
      </c>
      <c r="E197" s="2" t="s">
        <v>65</v>
      </c>
      <c r="F197" s="2" t="s">
        <v>115</v>
      </c>
      <c r="G197" s="2">
        <v>10</v>
      </c>
      <c r="H197" s="2">
        <v>0</v>
      </c>
      <c r="I197" s="2">
        <v>0</v>
      </c>
      <c r="J197" s="2">
        <v>0</v>
      </c>
      <c r="K197" s="2">
        <v>0</v>
      </c>
      <c r="L197" s="2">
        <v>0</v>
      </c>
      <c r="M197" s="2">
        <v>0</v>
      </c>
      <c r="N197" s="2">
        <v>0</v>
      </c>
      <c r="O197" s="2">
        <v>0</v>
      </c>
      <c r="P197" s="2">
        <v>0</v>
      </c>
      <c r="Q197" s="2">
        <v>0</v>
      </c>
      <c r="R197" s="2">
        <v>0</v>
      </c>
      <c r="S197" s="2" t="s">
        <v>488</v>
      </c>
      <c r="T197" s="2" t="s">
        <v>488</v>
      </c>
      <c r="U197" s="2">
        <v>0</v>
      </c>
      <c r="V197" s="2">
        <v>0</v>
      </c>
      <c r="W197">
        <f t="shared" si="3"/>
        <v>0</v>
      </c>
    </row>
    <row r="198" spans="1:23" x14ac:dyDescent="0.25">
      <c r="A198" s="2" t="s">
        <v>628</v>
      </c>
      <c r="B198" s="2" t="s">
        <v>626</v>
      </c>
      <c r="C198" s="2">
        <v>540150</v>
      </c>
      <c r="D198" s="2" t="s">
        <v>794</v>
      </c>
      <c r="E198" s="2" t="s">
        <v>65</v>
      </c>
      <c r="F198" s="2" t="s">
        <v>115</v>
      </c>
      <c r="G198" s="2">
        <v>10</v>
      </c>
      <c r="H198" s="2">
        <v>0</v>
      </c>
      <c r="I198" s="2">
        <v>0</v>
      </c>
      <c r="J198" s="2">
        <v>0</v>
      </c>
      <c r="K198" s="2">
        <v>0</v>
      </c>
      <c r="L198" s="2">
        <v>0</v>
      </c>
      <c r="M198" s="2">
        <v>0</v>
      </c>
      <c r="N198" s="2">
        <v>0</v>
      </c>
      <c r="O198" s="2">
        <v>0</v>
      </c>
      <c r="P198" s="2">
        <v>0</v>
      </c>
      <c r="Q198" s="2">
        <v>0</v>
      </c>
      <c r="R198" s="2">
        <v>0</v>
      </c>
      <c r="S198" s="2" t="s">
        <v>488</v>
      </c>
      <c r="T198" s="2" t="s">
        <v>488</v>
      </c>
      <c r="U198" s="2">
        <v>0</v>
      </c>
      <c r="V198" s="2">
        <v>0</v>
      </c>
      <c r="W198">
        <f t="shared" si="3"/>
        <v>0</v>
      </c>
    </row>
    <row r="199" spans="1:23" x14ac:dyDescent="0.25">
      <c r="A199" s="2" t="s">
        <v>628</v>
      </c>
      <c r="B199" s="2" t="s">
        <v>626</v>
      </c>
      <c r="C199" s="2">
        <v>540151</v>
      </c>
      <c r="D199" s="2" t="s">
        <v>795</v>
      </c>
      <c r="E199" s="2" t="s">
        <v>65</v>
      </c>
      <c r="F199" s="2" t="s">
        <v>115</v>
      </c>
      <c r="G199" s="2">
        <v>10</v>
      </c>
      <c r="H199" s="2">
        <v>0</v>
      </c>
      <c r="I199" s="2">
        <v>0</v>
      </c>
      <c r="J199" s="2">
        <v>0</v>
      </c>
      <c r="K199" s="2">
        <v>0</v>
      </c>
      <c r="L199" s="2">
        <v>0</v>
      </c>
      <c r="M199" s="2">
        <v>0</v>
      </c>
      <c r="N199" s="2">
        <v>0</v>
      </c>
      <c r="O199" s="2">
        <v>0</v>
      </c>
      <c r="P199" s="2">
        <v>0</v>
      </c>
      <c r="Q199" s="2">
        <v>0</v>
      </c>
      <c r="R199" s="2">
        <v>0</v>
      </c>
      <c r="S199" s="2" t="s">
        <v>488</v>
      </c>
      <c r="T199" s="2" t="s">
        <v>488</v>
      </c>
      <c r="U199" s="2">
        <v>0</v>
      </c>
      <c r="V199" s="2">
        <v>0</v>
      </c>
      <c r="W199">
        <f t="shared" si="3"/>
        <v>0</v>
      </c>
    </row>
    <row r="200" spans="1:23" x14ac:dyDescent="0.25">
      <c r="A200" s="2" t="s">
        <v>628</v>
      </c>
      <c r="B200" s="2" t="s">
        <v>626</v>
      </c>
      <c r="C200" s="2">
        <v>540152</v>
      </c>
      <c r="D200" s="2" t="s">
        <v>741</v>
      </c>
      <c r="E200" s="2" t="s">
        <v>65</v>
      </c>
      <c r="F200" s="2" t="s">
        <v>115</v>
      </c>
      <c r="G200" s="2">
        <v>10</v>
      </c>
      <c r="H200" s="2">
        <v>0</v>
      </c>
      <c r="I200" s="2">
        <v>0</v>
      </c>
      <c r="J200" s="2">
        <v>0</v>
      </c>
      <c r="K200" s="2">
        <v>0</v>
      </c>
      <c r="L200" s="2">
        <v>0</v>
      </c>
      <c r="M200" s="2">
        <v>0</v>
      </c>
      <c r="N200" s="2">
        <v>0</v>
      </c>
      <c r="O200" s="2">
        <v>0</v>
      </c>
      <c r="P200" s="2">
        <v>0</v>
      </c>
      <c r="Q200" s="2">
        <v>0</v>
      </c>
      <c r="R200" s="2">
        <v>0</v>
      </c>
      <c r="S200" s="2" t="s">
        <v>488</v>
      </c>
      <c r="T200" s="2" t="s">
        <v>488</v>
      </c>
      <c r="U200" s="2">
        <v>0</v>
      </c>
      <c r="V200" s="2">
        <v>0</v>
      </c>
      <c r="W200">
        <f t="shared" si="3"/>
        <v>0</v>
      </c>
    </row>
    <row r="201" spans="1:23" x14ac:dyDescent="0.25">
      <c r="A201" s="2" t="s">
        <v>628</v>
      </c>
      <c r="B201" s="2" t="s">
        <v>626</v>
      </c>
      <c r="C201" s="2">
        <v>540275</v>
      </c>
      <c r="D201" s="2" t="s">
        <v>796</v>
      </c>
      <c r="E201" s="2" t="s">
        <v>65</v>
      </c>
      <c r="F201" s="2" t="s">
        <v>115</v>
      </c>
      <c r="G201" s="2">
        <v>10</v>
      </c>
      <c r="H201" s="2">
        <v>0</v>
      </c>
      <c r="I201" s="2">
        <v>0</v>
      </c>
      <c r="J201" s="2">
        <v>0</v>
      </c>
      <c r="K201" s="2">
        <v>0</v>
      </c>
      <c r="L201" s="2">
        <v>0</v>
      </c>
      <c r="M201" s="2">
        <v>0</v>
      </c>
      <c r="N201" s="2">
        <v>0</v>
      </c>
      <c r="O201" s="2">
        <v>0</v>
      </c>
      <c r="P201" s="2">
        <v>0</v>
      </c>
      <c r="Q201" s="2">
        <v>0</v>
      </c>
      <c r="R201" s="2">
        <v>0</v>
      </c>
      <c r="S201" s="2" t="s">
        <v>488</v>
      </c>
      <c r="T201" s="2" t="s">
        <v>488</v>
      </c>
      <c r="U201" s="2">
        <v>0</v>
      </c>
      <c r="V201" s="2">
        <v>0</v>
      </c>
      <c r="W201">
        <f t="shared" si="3"/>
        <v>0</v>
      </c>
    </row>
    <row r="202" spans="1:23" x14ac:dyDescent="0.25">
      <c r="A202" s="255" t="s">
        <v>628</v>
      </c>
      <c r="B202" s="255" t="s">
        <v>626</v>
      </c>
      <c r="C202" s="255"/>
      <c r="D202" s="255"/>
      <c r="E202" s="255" t="s">
        <v>65</v>
      </c>
      <c r="F202" s="255"/>
      <c r="G202" s="255"/>
      <c r="H202" s="255">
        <v>0</v>
      </c>
      <c r="I202" s="255">
        <v>0</v>
      </c>
      <c r="J202" s="255">
        <v>0</v>
      </c>
      <c r="K202" s="255">
        <v>0</v>
      </c>
      <c r="L202" s="255">
        <v>0</v>
      </c>
      <c r="M202" s="255">
        <v>0</v>
      </c>
      <c r="N202" s="255">
        <v>0</v>
      </c>
      <c r="O202" s="255">
        <v>0</v>
      </c>
      <c r="P202" s="255">
        <v>0</v>
      </c>
      <c r="Q202" s="255">
        <v>0</v>
      </c>
      <c r="R202" s="255">
        <v>0</v>
      </c>
      <c r="S202" s="255" t="s">
        <v>488</v>
      </c>
      <c r="T202" s="255" t="s">
        <v>488</v>
      </c>
      <c r="U202" s="255">
        <v>0</v>
      </c>
      <c r="V202" s="255">
        <v>0</v>
      </c>
      <c r="W202">
        <f t="shared" si="3"/>
        <v>0</v>
      </c>
    </row>
    <row r="203" spans="1:23" x14ac:dyDescent="0.25">
      <c r="A203" s="2" t="s">
        <v>628</v>
      </c>
      <c r="B203" s="2" t="s">
        <v>626</v>
      </c>
      <c r="C203" s="2">
        <v>540153</v>
      </c>
      <c r="D203" s="2" t="s">
        <v>797</v>
      </c>
      <c r="E203" s="2" t="s">
        <v>67</v>
      </c>
      <c r="F203" s="2" t="s">
        <v>5</v>
      </c>
      <c r="G203" s="2">
        <v>8</v>
      </c>
      <c r="H203" s="2">
        <v>0</v>
      </c>
      <c r="I203" s="2">
        <v>0</v>
      </c>
      <c r="J203" s="2">
        <v>0</v>
      </c>
      <c r="K203" s="2">
        <v>0</v>
      </c>
      <c r="L203" s="2">
        <v>0</v>
      </c>
      <c r="M203" s="2">
        <v>0</v>
      </c>
      <c r="N203" s="2">
        <v>0</v>
      </c>
      <c r="O203" s="2">
        <v>0</v>
      </c>
      <c r="P203" s="2">
        <v>0</v>
      </c>
      <c r="Q203" s="2" t="s">
        <v>488</v>
      </c>
      <c r="R203" s="2" t="s">
        <v>488</v>
      </c>
      <c r="S203" s="2" t="s">
        <v>488</v>
      </c>
      <c r="T203" s="2" t="s">
        <v>488</v>
      </c>
      <c r="U203" s="2">
        <v>0</v>
      </c>
      <c r="V203" s="2">
        <v>0</v>
      </c>
      <c r="W203">
        <f t="shared" si="3"/>
        <v>0</v>
      </c>
    </row>
    <row r="204" spans="1:23" x14ac:dyDescent="0.25">
      <c r="A204" s="2" t="s">
        <v>628</v>
      </c>
      <c r="B204" s="2" t="s">
        <v>626</v>
      </c>
      <c r="C204" s="2">
        <v>540154</v>
      </c>
      <c r="D204" s="2" t="s">
        <v>798</v>
      </c>
      <c r="E204" s="2" t="s">
        <v>67</v>
      </c>
      <c r="F204" s="2" t="s">
        <v>115</v>
      </c>
      <c r="G204" s="2">
        <v>8</v>
      </c>
      <c r="H204" s="2">
        <v>0</v>
      </c>
      <c r="I204" s="2">
        <v>0</v>
      </c>
      <c r="J204" s="2">
        <v>0</v>
      </c>
      <c r="K204" s="2">
        <v>0</v>
      </c>
      <c r="L204" s="2">
        <v>0</v>
      </c>
      <c r="M204" s="2">
        <v>0</v>
      </c>
      <c r="N204" s="2">
        <v>0</v>
      </c>
      <c r="O204" s="2">
        <v>0</v>
      </c>
      <c r="P204" s="2">
        <v>0</v>
      </c>
      <c r="Q204" s="2" t="s">
        <v>488</v>
      </c>
      <c r="R204" s="2" t="s">
        <v>488</v>
      </c>
      <c r="S204" s="2" t="s">
        <v>488</v>
      </c>
      <c r="T204" s="2" t="s">
        <v>488</v>
      </c>
      <c r="U204" s="2">
        <v>0</v>
      </c>
      <c r="V204" s="2">
        <v>0</v>
      </c>
      <c r="W204">
        <f t="shared" si="3"/>
        <v>0</v>
      </c>
    </row>
    <row r="205" spans="1:23" x14ac:dyDescent="0.25">
      <c r="A205" s="255" t="s">
        <v>628</v>
      </c>
      <c r="B205" s="255" t="s">
        <v>626</v>
      </c>
      <c r="C205" s="255"/>
      <c r="D205" s="255"/>
      <c r="E205" s="255" t="s">
        <v>67</v>
      </c>
      <c r="F205" s="255"/>
      <c r="G205" s="255"/>
      <c r="H205" s="255">
        <v>0</v>
      </c>
      <c r="I205" s="255">
        <v>0</v>
      </c>
      <c r="J205" s="255">
        <v>0</v>
      </c>
      <c r="K205" s="255">
        <v>0</v>
      </c>
      <c r="L205" s="255">
        <v>0</v>
      </c>
      <c r="M205" s="255">
        <v>0</v>
      </c>
      <c r="N205" s="255">
        <v>0</v>
      </c>
      <c r="O205" s="255">
        <v>0</v>
      </c>
      <c r="P205" s="255">
        <v>0</v>
      </c>
      <c r="Q205" s="255" t="s">
        <v>488</v>
      </c>
      <c r="R205" s="255" t="s">
        <v>488</v>
      </c>
      <c r="S205" s="255" t="s">
        <v>488</v>
      </c>
      <c r="T205" s="255" t="s">
        <v>488</v>
      </c>
      <c r="U205" s="255">
        <v>0</v>
      </c>
      <c r="V205" s="255">
        <v>0</v>
      </c>
      <c r="W205">
        <f t="shared" si="3"/>
        <v>0</v>
      </c>
    </row>
    <row r="206" spans="1:23" x14ac:dyDescent="0.25">
      <c r="A206" s="2" t="s">
        <v>628</v>
      </c>
      <c r="B206" s="2" t="s">
        <v>626</v>
      </c>
      <c r="C206" s="2">
        <v>540160</v>
      </c>
      <c r="D206" s="2" t="s">
        <v>799</v>
      </c>
      <c r="E206" s="2" t="s">
        <v>69</v>
      </c>
      <c r="F206" s="2" t="s">
        <v>5</v>
      </c>
      <c r="G206" s="2">
        <v>6</v>
      </c>
      <c r="H206" s="2">
        <v>0</v>
      </c>
      <c r="I206" s="2">
        <v>0</v>
      </c>
      <c r="J206" s="2">
        <v>0</v>
      </c>
      <c r="K206" s="2">
        <v>0</v>
      </c>
      <c r="L206" s="2">
        <v>0</v>
      </c>
      <c r="M206" s="2">
        <v>0</v>
      </c>
      <c r="N206" s="2">
        <v>0</v>
      </c>
      <c r="O206" s="2">
        <v>0</v>
      </c>
      <c r="P206" s="2">
        <v>0</v>
      </c>
      <c r="Q206" s="2">
        <v>0</v>
      </c>
      <c r="R206" s="2">
        <v>0</v>
      </c>
      <c r="S206" s="2" t="s">
        <v>488</v>
      </c>
      <c r="T206" s="2" t="s">
        <v>488</v>
      </c>
      <c r="U206" s="2">
        <v>0</v>
      </c>
      <c r="V206" s="2">
        <v>0</v>
      </c>
      <c r="W206">
        <f t="shared" si="3"/>
        <v>0</v>
      </c>
    </row>
    <row r="207" spans="1:23" x14ac:dyDescent="0.25">
      <c r="A207" s="2" t="s">
        <v>628</v>
      </c>
      <c r="B207" s="2" t="s">
        <v>626</v>
      </c>
      <c r="C207" s="2">
        <v>540137</v>
      </c>
      <c r="D207" s="2" t="s">
        <v>800</v>
      </c>
      <c r="E207" s="2" t="s">
        <v>69</v>
      </c>
      <c r="F207" s="2" t="s">
        <v>115</v>
      </c>
      <c r="G207" s="2">
        <v>6</v>
      </c>
      <c r="H207" s="2">
        <v>0</v>
      </c>
      <c r="I207" s="2">
        <v>0</v>
      </c>
      <c r="J207" s="2">
        <v>0</v>
      </c>
      <c r="K207" s="2">
        <v>0</v>
      </c>
      <c r="L207" s="2">
        <v>0</v>
      </c>
      <c r="M207" s="2">
        <v>0</v>
      </c>
      <c r="N207" s="2">
        <v>0</v>
      </c>
      <c r="O207" s="2">
        <v>0</v>
      </c>
      <c r="P207" s="2">
        <v>0</v>
      </c>
      <c r="Q207" s="2">
        <v>0</v>
      </c>
      <c r="R207" s="2">
        <v>0</v>
      </c>
      <c r="S207" s="2" t="s">
        <v>488</v>
      </c>
      <c r="T207" s="2" t="s">
        <v>488</v>
      </c>
      <c r="U207" s="2">
        <v>0</v>
      </c>
      <c r="V207" s="2">
        <v>0</v>
      </c>
      <c r="W207">
        <f t="shared" si="3"/>
        <v>0</v>
      </c>
    </row>
    <row r="208" spans="1:23" x14ac:dyDescent="0.25">
      <c r="A208" s="2" t="s">
        <v>628</v>
      </c>
      <c r="B208" s="2" t="s">
        <v>626</v>
      </c>
      <c r="C208" s="2">
        <v>540161</v>
      </c>
      <c r="D208" s="2" t="s">
        <v>801</v>
      </c>
      <c r="E208" s="2" t="s">
        <v>69</v>
      </c>
      <c r="F208" s="2" t="s">
        <v>115</v>
      </c>
      <c r="G208" s="2">
        <v>6</v>
      </c>
      <c r="H208" s="2">
        <v>0</v>
      </c>
      <c r="I208" s="2">
        <v>0</v>
      </c>
      <c r="J208" s="2">
        <v>0</v>
      </c>
      <c r="K208" s="2">
        <v>0</v>
      </c>
      <c r="L208" s="2">
        <v>0</v>
      </c>
      <c r="M208" s="2">
        <v>0</v>
      </c>
      <c r="N208" s="2">
        <v>0</v>
      </c>
      <c r="O208" s="2">
        <v>0</v>
      </c>
      <c r="P208" s="2">
        <v>0</v>
      </c>
      <c r="Q208" s="2">
        <v>0</v>
      </c>
      <c r="R208" s="2">
        <v>0</v>
      </c>
      <c r="S208" s="2" t="s">
        <v>488</v>
      </c>
      <c r="T208" s="2" t="s">
        <v>488</v>
      </c>
      <c r="U208" s="2">
        <v>0</v>
      </c>
      <c r="V208" s="2">
        <v>0</v>
      </c>
      <c r="W208">
        <f t="shared" si="3"/>
        <v>0</v>
      </c>
    </row>
    <row r="209" spans="1:23" x14ac:dyDescent="0.25">
      <c r="A209" s="2" t="s">
        <v>628</v>
      </c>
      <c r="B209" s="2" t="s">
        <v>626</v>
      </c>
      <c r="C209" s="2">
        <v>540162</v>
      </c>
      <c r="D209" s="2" t="s">
        <v>802</v>
      </c>
      <c r="E209" s="2" t="s">
        <v>69</v>
      </c>
      <c r="F209" s="2" t="s">
        <v>115</v>
      </c>
      <c r="G209" s="2">
        <v>6</v>
      </c>
      <c r="H209" s="2">
        <v>0</v>
      </c>
      <c r="I209" s="2">
        <v>0</v>
      </c>
      <c r="J209" s="2">
        <v>0</v>
      </c>
      <c r="K209" s="2">
        <v>0</v>
      </c>
      <c r="L209" s="2">
        <v>0</v>
      </c>
      <c r="M209" s="2">
        <v>0</v>
      </c>
      <c r="N209" s="2">
        <v>0</v>
      </c>
      <c r="O209" s="2">
        <v>0</v>
      </c>
      <c r="P209" s="2">
        <v>0</v>
      </c>
      <c r="Q209" s="2">
        <v>0</v>
      </c>
      <c r="R209" s="2">
        <v>0</v>
      </c>
      <c r="S209" s="2" t="s">
        <v>488</v>
      </c>
      <c r="T209" s="2" t="s">
        <v>488</v>
      </c>
      <c r="U209" s="2">
        <v>0</v>
      </c>
      <c r="V209" s="2">
        <v>0</v>
      </c>
      <c r="W209">
        <f t="shared" si="3"/>
        <v>0</v>
      </c>
    </row>
    <row r="210" spans="1:23" x14ac:dyDescent="0.25">
      <c r="A210" s="2" t="s">
        <v>628</v>
      </c>
      <c r="B210" s="2" t="s">
        <v>626</v>
      </c>
      <c r="C210" s="2">
        <v>540163</v>
      </c>
      <c r="D210" s="2" t="s">
        <v>803</v>
      </c>
      <c r="E210" s="2" t="s">
        <v>69</v>
      </c>
      <c r="F210" s="2" t="s">
        <v>115</v>
      </c>
      <c r="G210" s="2">
        <v>6</v>
      </c>
      <c r="H210" s="2">
        <v>0</v>
      </c>
      <c r="I210" s="2">
        <v>0</v>
      </c>
      <c r="J210" s="2">
        <v>0</v>
      </c>
      <c r="K210" s="2">
        <v>0</v>
      </c>
      <c r="L210" s="2">
        <v>0</v>
      </c>
      <c r="M210" s="2">
        <v>0</v>
      </c>
      <c r="N210" s="2">
        <v>0</v>
      </c>
      <c r="O210" s="2">
        <v>0</v>
      </c>
      <c r="P210" s="2">
        <v>0</v>
      </c>
      <c r="Q210" s="2">
        <v>0</v>
      </c>
      <c r="R210" s="2">
        <v>0</v>
      </c>
      <c r="S210" s="2" t="s">
        <v>488</v>
      </c>
      <c r="T210" s="2" t="s">
        <v>488</v>
      </c>
      <c r="U210" s="2">
        <v>0</v>
      </c>
      <c r="V210" s="2">
        <v>0</v>
      </c>
      <c r="W210">
        <f t="shared" si="3"/>
        <v>0</v>
      </c>
    </row>
    <row r="211" spans="1:23" x14ac:dyDescent="0.25">
      <c r="A211" s="2" t="s">
        <v>628</v>
      </c>
      <c r="B211" s="2" t="s">
        <v>626</v>
      </c>
      <c r="C211" s="2">
        <v>540254</v>
      </c>
      <c r="D211" s="2" t="s">
        <v>804</v>
      </c>
      <c r="E211" s="2" t="s">
        <v>69</v>
      </c>
      <c r="F211" s="2" t="s">
        <v>115</v>
      </c>
      <c r="G211" s="2">
        <v>6</v>
      </c>
      <c r="H211" s="2">
        <v>0</v>
      </c>
      <c r="I211" s="2">
        <v>0</v>
      </c>
      <c r="J211" s="2">
        <v>0</v>
      </c>
      <c r="K211" s="2">
        <v>0</v>
      </c>
      <c r="L211" s="2">
        <v>0</v>
      </c>
      <c r="M211" s="2">
        <v>0</v>
      </c>
      <c r="N211" s="2">
        <v>0</v>
      </c>
      <c r="O211" s="2">
        <v>0</v>
      </c>
      <c r="P211" s="2">
        <v>0</v>
      </c>
      <c r="Q211" s="2">
        <v>0</v>
      </c>
      <c r="R211" s="2">
        <v>0</v>
      </c>
      <c r="S211" s="2" t="s">
        <v>488</v>
      </c>
      <c r="T211" s="2" t="s">
        <v>488</v>
      </c>
      <c r="U211" s="2">
        <v>0</v>
      </c>
      <c r="V211" s="2">
        <v>0</v>
      </c>
      <c r="W211">
        <f t="shared" si="3"/>
        <v>0</v>
      </c>
    </row>
    <row r="212" spans="1:23" x14ac:dyDescent="0.25">
      <c r="A212" s="2" t="s">
        <v>628</v>
      </c>
      <c r="B212" s="2" t="s">
        <v>626</v>
      </c>
      <c r="C212" s="2">
        <v>540257</v>
      </c>
      <c r="D212" s="2" t="s">
        <v>805</v>
      </c>
      <c r="E212" s="2" t="s">
        <v>69</v>
      </c>
      <c r="F212" s="2" t="s">
        <v>115</v>
      </c>
      <c r="G212" s="2">
        <v>6</v>
      </c>
      <c r="H212" s="2">
        <v>0</v>
      </c>
      <c r="I212" s="2">
        <v>0</v>
      </c>
      <c r="J212" s="2">
        <v>0</v>
      </c>
      <c r="K212" s="2">
        <v>0</v>
      </c>
      <c r="L212" s="2">
        <v>0</v>
      </c>
      <c r="M212" s="2">
        <v>0</v>
      </c>
      <c r="N212" s="2">
        <v>0</v>
      </c>
      <c r="O212" s="2">
        <v>0</v>
      </c>
      <c r="P212" s="2">
        <v>0</v>
      </c>
      <c r="Q212" s="2">
        <v>0</v>
      </c>
      <c r="R212" s="2">
        <v>0</v>
      </c>
      <c r="S212" s="2" t="s">
        <v>488</v>
      </c>
      <c r="T212" s="2" t="s">
        <v>488</v>
      </c>
      <c r="U212" s="2">
        <v>0</v>
      </c>
      <c r="V212" s="2">
        <v>0</v>
      </c>
      <c r="W212">
        <f t="shared" si="3"/>
        <v>0</v>
      </c>
    </row>
    <row r="213" spans="1:23" x14ac:dyDescent="0.25">
      <c r="A213" s="2" t="s">
        <v>628</v>
      </c>
      <c r="B213" s="2" t="s">
        <v>626</v>
      </c>
      <c r="C213" s="2">
        <v>540268</v>
      </c>
      <c r="D213" s="2" t="s">
        <v>806</v>
      </c>
      <c r="E213" s="2" t="s">
        <v>69</v>
      </c>
      <c r="F213" s="2" t="s">
        <v>115</v>
      </c>
      <c r="G213" s="2">
        <v>6</v>
      </c>
      <c r="H213" s="2">
        <v>0</v>
      </c>
      <c r="I213" s="2">
        <v>0</v>
      </c>
      <c r="J213" s="2">
        <v>0</v>
      </c>
      <c r="K213" s="2">
        <v>0</v>
      </c>
      <c r="L213" s="2">
        <v>0</v>
      </c>
      <c r="M213" s="2">
        <v>0</v>
      </c>
      <c r="N213" s="2">
        <v>0</v>
      </c>
      <c r="O213" s="2">
        <v>0</v>
      </c>
      <c r="P213" s="2">
        <v>0</v>
      </c>
      <c r="Q213" s="2">
        <v>0</v>
      </c>
      <c r="R213" s="2">
        <v>0</v>
      </c>
      <c r="S213" s="2" t="s">
        <v>488</v>
      </c>
      <c r="T213" s="2" t="s">
        <v>488</v>
      </c>
      <c r="U213" s="2">
        <v>0</v>
      </c>
      <c r="V213" s="2">
        <v>0</v>
      </c>
      <c r="W213">
        <f t="shared" si="3"/>
        <v>0</v>
      </c>
    </row>
    <row r="214" spans="1:23" x14ac:dyDescent="0.25">
      <c r="A214" s="2" t="s">
        <v>628</v>
      </c>
      <c r="B214" s="2" t="s">
        <v>626</v>
      </c>
      <c r="C214" s="2">
        <v>540269</v>
      </c>
      <c r="D214" s="2" t="s">
        <v>807</v>
      </c>
      <c r="E214" s="2" t="s">
        <v>69</v>
      </c>
      <c r="F214" s="2" t="s">
        <v>115</v>
      </c>
      <c r="G214" s="2">
        <v>6</v>
      </c>
      <c r="H214" s="2">
        <v>0</v>
      </c>
      <c r="I214" s="2">
        <v>0</v>
      </c>
      <c r="J214" s="2">
        <v>0</v>
      </c>
      <c r="K214" s="2">
        <v>0</v>
      </c>
      <c r="L214" s="2">
        <v>0</v>
      </c>
      <c r="M214" s="2">
        <v>0</v>
      </c>
      <c r="N214" s="2">
        <v>0</v>
      </c>
      <c r="O214" s="2">
        <v>0</v>
      </c>
      <c r="P214" s="2">
        <v>0</v>
      </c>
      <c r="Q214" s="2">
        <v>0</v>
      </c>
      <c r="R214" s="2">
        <v>0</v>
      </c>
      <c r="S214" s="2" t="s">
        <v>488</v>
      </c>
      <c r="T214" s="2" t="s">
        <v>488</v>
      </c>
      <c r="U214" s="2">
        <v>0</v>
      </c>
      <c r="V214" s="2">
        <v>0</v>
      </c>
      <c r="W214">
        <f t="shared" si="3"/>
        <v>0</v>
      </c>
    </row>
    <row r="215" spans="1:23" x14ac:dyDescent="0.25">
      <c r="A215" s="2" t="s">
        <v>628</v>
      </c>
      <c r="B215" s="2" t="s">
        <v>626</v>
      </c>
      <c r="C215" s="2">
        <v>540270</v>
      </c>
      <c r="D215" s="2" t="s">
        <v>808</v>
      </c>
      <c r="E215" s="2" t="s">
        <v>69</v>
      </c>
      <c r="F215" s="2" t="s">
        <v>115</v>
      </c>
      <c r="G215" s="2">
        <v>6</v>
      </c>
      <c r="H215" s="2">
        <v>0</v>
      </c>
      <c r="I215" s="2">
        <v>0</v>
      </c>
      <c r="J215" s="2">
        <v>0</v>
      </c>
      <c r="K215" s="2">
        <v>0</v>
      </c>
      <c r="L215" s="2">
        <v>0</v>
      </c>
      <c r="M215" s="2">
        <v>0</v>
      </c>
      <c r="N215" s="2">
        <v>0</v>
      </c>
      <c r="O215" s="2">
        <v>0</v>
      </c>
      <c r="P215" s="2">
        <v>0</v>
      </c>
      <c r="Q215" s="2">
        <v>0</v>
      </c>
      <c r="R215" s="2">
        <v>0</v>
      </c>
      <c r="S215" s="2" t="s">
        <v>488</v>
      </c>
      <c r="T215" s="2" t="s">
        <v>488</v>
      </c>
      <c r="U215" s="2">
        <v>0</v>
      </c>
      <c r="V215" s="2">
        <v>0</v>
      </c>
      <c r="W215">
        <f t="shared" si="3"/>
        <v>0</v>
      </c>
    </row>
    <row r="216" spans="1:23" x14ac:dyDescent="0.25">
      <c r="A216" s="2" t="s">
        <v>628</v>
      </c>
      <c r="B216" s="2" t="s">
        <v>626</v>
      </c>
      <c r="C216" s="2">
        <v>540284</v>
      </c>
      <c r="D216" s="2" t="s">
        <v>809</v>
      </c>
      <c r="E216" s="2" t="s">
        <v>69</v>
      </c>
      <c r="F216" s="2" t="s">
        <v>115</v>
      </c>
      <c r="G216" s="2">
        <v>6</v>
      </c>
      <c r="H216" s="2">
        <v>0</v>
      </c>
      <c r="I216" s="2">
        <v>0</v>
      </c>
      <c r="J216" s="2">
        <v>0</v>
      </c>
      <c r="K216" s="2">
        <v>0</v>
      </c>
      <c r="L216" s="2">
        <v>0</v>
      </c>
      <c r="M216" s="2">
        <v>0</v>
      </c>
      <c r="N216" s="2">
        <v>0</v>
      </c>
      <c r="O216" s="2">
        <v>0</v>
      </c>
      <c r="P216" s="2">
        <v>0</v>
      </c>
      <c r="Q216" s="2">
        <v>0</v>
      </c>
      <c r="R216" s="2">
        <v>0</v>
      </c>
      <c r="S216" s="2" t="s">
        <v>488</v>
      </c>
      <c r="T216" s="2" t="s">
        <v>488</v>
      </c>
      <c r="U216" s="2">
        <v>0</v>
      </c>
      <c r="V216" s="2">
        <v>0</v>
      </c>
      <c r="W216">
        <f t="shared" si="3"/>
        <v>0</v>
      </c>
    </row>
    <row r="217" spans="1:23" x14ac:dyDescent="0.25">
      <c r="A217" s="255" t="s">
        <v>628</v>
      </c>
      <c r="B217" s="255" t="s">
        <v>626</v>
      </c>
      <c r="C217" s="255"/>
      <c r="D217" s="255"/>
      <c r="E217" s="255" t="s">
        <v>69</v>
      </c>
      <c r="F217" s="255"/>
      <c r="G217" s="255"/>
      <c r="H217" s="255">
        <v>0</v>
      </c>
      <c r="I217" s="255">
        <v>0</v>
      </c>
      <c r="J217" s="255">
        <v>0</v>
      </c>
      <c r="K217" s="255">
        <v>0</v>
      </c>
      <c r="L217" s="255">
        <v>0</v>
      </c>
      <c r="M217" s="255">
        <v>0</v>
      </c>
      <c r="N217" s="255">
        <v>0</v>
      </c>
      <c r="O217" s="255">
        <v>0</v>
      </c>
      <c r="P217" s="255">
        <v>0</v>
      </c>
      <c r="Q217" s="255">
        <v>0</v>
      </c>
      <c r="R217" s="255">
        <v>0</v>
      </c>
      <c r="S217" s="255" t="s">
        <v>488</v>
      </c>
      <c r="T217" s="255" t="s">
        <v>488</v>
      </c>
      <c r="U217" s="255">
        <v>0</v>
      </c>
      <c r="V217" s="255">
        <v>0</v>
      </c>
      <c r="W217">
        <f t="shared" si="3"/>
        <v>0</v>
      </c>
    </row>
    <row r="218" spans="1:23" x14ac:dyDescent="0.25">
      <c r="A218" s="2" t="s">
        <v>628</v>
      </c>
      <c r="B218" s="2" t="s">
        <v>626</v>
      </c>
      <c r="C218" s="2">
        <v>540164</v>
      </c>
      <c r="D218" s="2" t="s">
        <v>810</v>
      </c>
      <c r="E218" s="2" t="s">
        <v>71</v>
      </c>
      <c r="F218" s="2" t="s">
        <v>5</v>
      </c>
      <c r="G218" s="2">
        <v>3</v>
      </c>
      <c r="H218" s="2">
        <v>0</v>
      </c>
      <c r="I218" s="2">
        <v>0</v>
      </c>
      <c r="J218" s="2">
        <v>0</v>
      </c>
      <c r="K218" s="2">
        <v>0</v>
      </c>
      <c r="L218" s="2">
        <v>0</v>
      </c>
      <c r="M218" s="2">
        <v>0</v>
      </c>
      <c r="N218" s="2">
        <v>0</v>
      </c>
      <c r="O218" s="2">
        <v>0</v>
      </c>
      <c r="P218" s="2">
        <v>0</v>
      </c>
      <c r="Q218" s="2">
        <v>0</v>
      </c>
      <c r="R218" s="2">
        <v>0</v>
      </c>
      <c r="S218" s="2" t="s">
        <v>488</v>
      </c>
      <c r="T218" s="2" t="s">
        <v>488</v>
      </c>
      <c r="U218" s="2">
        <v>0</v>
      </c>
      <c r="V218" s="2">
        <v>0</v>
      </c>
      <c r="W218">
        <f t="shared" si="3"/>
        <v>0</v>
      </c>
    </row>
    <row r="219" spans="1:23" x14ac:dyDescent="0.25">
      <c r="A219" s="2" t="s">
        <v>628</v>
      </c>
      <c r="B219" s="2" t="s">
        <v>626</v>
      </c>
      <c r="C219" s="2">
        <v>540081</v>
      </c>
      <c r="D219" s="2" t="s">
        <v>711</v>
      </c>
      <c r="E219" s="2" t="s">
        <v>71</v>
      </c>
      <c r="F219" s="2" t="s">
        <v>115</v>
      </c>
      <c r="G219" s="2">
        <v>3</v>
      </c>
      <c r="H219" s="2">
        <v>0</v>
      </c>
      <c r="I219" s="2">
        <v>0</v>
      </c>
      <c r="J219" s="2">
        <v>0</v>
      </c>
      <c r="K219" s="2">
        <v>0</v>
      </c>
      <c r="L219" s="2">
        <v>0</v>
      </c>
      <c r="M219" s="2">
        <v>0</v>
      </c>
      <c r="N219" s="2">
        <v>0</v>
      </c>
      <c r="O219" s="2">
        <v>0</v>
      </c>
      <c r="P219" s="2">
        <v>0</v>
      </c>
      <c r="Q219" s="2">
        <v>0</v>
      </c>
      <c r="R219" s="2">
        <v>0</v>
      </c>
      <c r="S219" s="2" t="s">
        <v>488</v>
      </c>
      <c r="T219" s="2" t="s">
        <v>488</v>
      </c>
      <c r="U219" s="2">
        <v>0</v>
      </c>
      <c r="V219" s="2">
        <v>0</v>
      </c>
      <c r="W219">
        <f t="shared" si="3"/>
        <v>0</v>
      </c>
    </row>
    <row r="220" spans="1:23" x14ac:dyDescent="0.25">
      <c r="A220" s="2" t="s">
        <v>628</v>
      </c>
      <c r="B220" s="2" t="s">
        <v>626</v>
      </c>
      <c r="C220" s="2">
        <v>540165</v>
      </c>
      <c r="D220" s="2" t="s">
        <v>811</v>
      </c>
      <c r="E220" s="2" t="s">
        <v>71</v>
      </c>
      <c r="F220" s="2" t="s">
        <v>115</v>
      </c>
      <c r="G220" s="2">
        <v>3</v>
      </c>
      <c r="H220" s="2">
        <v>0</v>
      </c>
      <c r="I220" s="2">
        <v>0</v>
      </c>
      <c r="J220" s="2">
        <v>0</v>
      </c>
      <c r="K220" s="2">
        <v>0</v>
      </c>
      <c r="L220" s="2">
        <v>0</v>
      </c>
      <c r="M220" s="2">
        <v>0</v>
      </c>
      <c r="N220" s="2">
        <v>0</v>
      </c>
      <c r="O220" s="2">
        <v>0</v>
      </c>
      <c r="P220" s="2">
        <v>0</v>
      </c>
      <c r="Q220" s="2">
        <v>0</v>
      </c>
      <c r="R220" s="2">
        <v>0</v>
      </c>
      <c r="S220" s="2" t="s">
        <v>488</v>
      </c>
      <c r="T220" s="2" t="s">
        <v>488</v>
      </c>
      <c r="U220" s="2">
        <v>0</v>
      </c>
      <c r="V220" s="2">
        <v>0</v>
      </c>
      <c r="W220">
        <f t="shared" si="3"/>
        <v>0</v>
      </c>
    </row>
    <row r="221" spans="1:23" x14ac:dyDescent="0.25">
      <c r="A221" s="2" t="s">
        <v>628</v>
      </c>
      <c r="B221" s="2" t="s">
        <v>626</v>
      </c>
      <c r="C221" s="2">
        <v>540166</v>
      </c>
      <c r="D221" s="2" t="s">
        <v>812</v>
      </c>
      <c r="E221" s="2" t="s">
        <v>71</v>
      </c>
      <c r="F221" s="2" t="s">
        <v>115</v>
      </c>
      <c r="G221" s="2">
        <v>3</v>
      </c>
      <c r="H221" s="2">
        <v>0</v>
      </c>
      <c r="I221" s="2">
        <v>0</v>
      </c>
      <c r="J221" s="2">
        <v>0</v>
      </c>
      <c r="K221" s="2">
        <v>0</v>
      </c>
      <c r="L221" s="2">
        <v>0</v>
      </c>
      <c r="M221" s="2">
        <v>0</v>
      </c>
      <c r="N221" s="2">
        <v>0</v>
      </c>
      <c r="O221" s="2">
        <v>0</v>
      </c>
      <c r="P221" s="2">
        <v>0</v>
      </c>
      <c r="Q221" s="2">
        <v>0</v>
      </c>
      <c r="R221" s="2">
        <v>0</v>
      </c>
      <c r="S221" s="2" t="s">
        <v>488</v>
      </c>
      <c r="T221" s="2" t="s">
        <v>488</v>
      </c>
      <c r="U221" s="2">
        <v>0</v>
      </c>
      <c r="V221" s="2">
        <v>0</v>
      </c>
      <c r="W221">
        <f t="shared" si="3"/>
        <v>0</v>
      </c>
    </row>
    <row r="222" spans="1:23" x14ac:dyDescent="0.25">
      <c r="A222" s="2" t="s">
        <v>628</v>
      </c>
      <c r="B222" s="2" t="s">
        <v>626</v>
      </c>
      <c r="C222" s="2">
        <v>540167</v>
      </c>
      <c r="D222" s="2" t="s">
        <v>813</v>
      </c>
      <c r="E222" s="2" t="s">
        <v>71</v>
      </c>
      <c r="F222" s="2" t="s">
        <v>115</v>
      </c>
      <c r="G222" s="2">
        <v>3</v>
      </c>
      <c r="H222" s="2">
        <v>0</v>
      </c>
      <c r="I222" s="2">
        <v>0</v>
      </c>
      <c r="J222" s="2">
        <v>0</v>
      </c>
      <c r="K222" s="2">
        <v>0</v>
      </c>
      <c r="L222" s="2">
        <v>0</v>
      </c>
      <c r="M222" s="2">
        <v>0</v>
      </c>
      <c r="N222" s="2">
        <v>0</v>
      </c>
      <c r="O222" s="2">
        <v>0</v>
      </c>
      <c r="P222" s="2">
        <v>0</v>
      </c>
      <c r="Q222" s="2">
        <v>0</v>
      </c>
      <c r="R222" s="2">
        <v>0</v>
      </c>
      <c r="S222" s="2" t="s">
        <v>488</v>
      </c>
      <c r="T222" s="2" t="s">
        <v>488</v>
      </c>
      <c r="U222" s="2">
        <v>0</v>
      </c>
      <c r="V222" s="2">
        <v>0</v>
      </c>
      <c r="W222">
        <f t="shared" si="3"/>
        <v>0</v>
      </c>
    </row>
    <row r="223" spans="1:23" x14ac:dyDescent="0.25">
      <c r="A223" s="2" t="s">
        <v>628</v>
      </c>
      <c r="B223" s="2" t="s">
        <v>626</v>
      </c>
      <c r="C223" s="2">
        <v>540168</v>
      </c>
      <c r="D223" s="2" t="s">
        <v>814</v>
      </c>
      <c r="E223" s="2" t="s">
        <v>71</v>
      </c>
      <c r="F223" s="2" t="s">
        <v>115</v>
      </c>
      <c r="G223" s="2">
        <v>3</v>
      </c>
      <c r="H223" s="2">
        <v>0</v>
      </c>
      <c r="I223" s="2">
        <v>0</v>
      </c>
      <c r="J223" s="2">
        <v>0</v>
      </c>
      <c r="K223" s="2">
        <v>0</v>
      </c>
      <c r="L223" s="2">
        <v>0</v>
      </c>
      <c r="M223" s="2">
        <v>0</v>
      </c>
      <c r="N223" s="2">
        <v>0</v>
      </c>
      <c r="O223" s="2">
        <v>0</v>
      </c>
      <c r="P223" s="2">
        <v>0</v>
      </c>
      <c r="Q223" s="2">
        <v>0</v>
      </c>
      <c r="R223" s="2">
        <v>0</v>
      </c>
      <c r="S223" s="2" t="s">
        <v>488</v>
      </c>
      <c r="T223" s="2" t="s">
        <v>488</v>
      </c>
      <c r="U223" s="2">
        <v>0</v>
      </c>
      <c r="V223" s="2">
        <v>0</v>
      </c>
      <c r="W223">
        <f t="shared" si="3"/>
        <v>0</v>
      </c>
    </row>
    <row r="224" spans="1:23" x14ac:dyDescent="0.25">
      <c r="A224" s="2" t="s">
        <v>628</v>
      </c>
      <c r="B224" s="2" t="s">
        <v>626</v>
      </c>
      <c r="C224" s="2">
        <v>540222</v>
      </c>
      <c r="D224" s="2" t="s">
        <v>815</v>
      </c>
      <c r="E224" s="2" t="s">
        <v>71</v>
      </c>
      <c r="F224" s="2" t="s">
        <v>115</v>
      </c>
      <c r="G224" s="2">
        <v>3</v>
      </c>
      <c r="H224" s="2">
        <v>0</v>
      </c>
      <c r="I224" s="2">
        <v>0</v>
      </c>
      <c r="J224" s="2">
        <v>0</v>
      </c>
      <c r="K224" s="2">
        <v>0</v>
      </c>
      <c r="L224" s="2">
        <v>0</v>
      </c>
      <c r="M224" s="2">
        <v>0</v>
      </c>
      <c r="N224" s="2">
        <v>0</v>
      </c>
      <c r="O224" s="2">
        <v>0</v>
      </c>
      <c r="P224" s="2">
        <v>0</v>
      </c>
      <c r="Q224" s="2">
        <v>0</v>
      </c>
      <c r="R224" s="2">
        <v>0</v>
      </c>
      <c r="S224" s="2" t="s">
        <v>488</v>
      </c>
      <c r="T224" s="2" t="s">
        <v>488</v>
      </c>
      <c r="U224" s="2">
        <v>0</v>
      </c>
      <c r="V224" s="2">
        <v>0</v>
      </c>
      <c r="W224">
        <f t="shared" si="3"/>
        <v>0</v>
      </c>
    </row>
    <row r="225" spans="1:23" x14ac:dyDescent="0.25">
      <c r="A225" s="2" t="s">
        <v>628</v>
      </c>
      <c r="B225" s="2" t="s">
        <v>626</v>
      </c>
      <c r="C225" s="2">
        <v>540271</v>
      </c>
      <c r="D225" s="2" t="s">
        <v>816</v>
      </c>
      <c r="E225" s="2" t="s">
        <v>71</v>
      </c>
      <c r="F225" s="2" t="s">
        <v>115</v>
      </c>
      <c r="G225" s="2">
        <v>3</v>
      </c>
      <c r="H225" s="2">
        <v>0</v>
      </c>
      <c r="I225" s="2">
        <v>0</v>
      </c>
      <c r="J225" s="2">
        <v>0</v>
      </c>
      <c r="K225" s="2">
        <v>0</v>
      </c>
      <c r="L225" s="2">
        <v>0</v>
      </c>
      <c r="M225" s="2">
        <v>0</v>
      </c>
      <c r="N225" s="2">
        <v>0</v>
      </c>
      <c r="O225" s="2">
        <v>0</v>
      </c>
      <c r="P225" s="2">
        <v>0</v>
      </c>
      <c r="Q225" s="2">
        <v>0</v>
      </c>
      <c r="R225" s="2">
        <v>0</v>
      </c>
      <c r="S225" s="2" t="s">
        <v>488</v>
      </c>
      <c r="T225" s="2" t="s">
        <v>488</v>
      </c>
      <c r="U225" s="2">
        <v>0</v>
      </c>
      <c r="V225" s="2">
        <v>0</v>
      </c>
      <c r="W225">
        <f t="shared" si="3"/>
        <v>0</v>
      </c>
    </row>
    <row r="226" spans="1:23" x14ac:dyDescent="0.25">
      <c r="A226" s="255" t="s">
        <v>628</v>
      </c>
      <c r="B226" s="255" t="s">
        <v>626</v>
      </c>
      <c r="C226" s="255"/>
      <c r="D226" s="255"/>
      <c r="E226" s="255" t="s">
        <v>71</v>
      </c>
      <c r="F226" s="255"/>
      <c r="G226" s="255"/>
      <c r="H226" s="255">
        <v>0</v>
      </c>
      <c r="I226" s="255">
        <v>0</v>
      </c>
      <c r="J226" s="255">
        <v>0</v>
      </c>
      <c r="K226" s="255">
        <v>0</v>
      </c>
      <c r="L226" s="255">
        <v>0</v>
      </c>
      <c r="M226" s="255">
        <v>0</v>
      </c>
      <c r="N226" s="255">
        <v>0</v>
      </c>
      <c r="O226" s="255">
        <v>0</v>
      </c>
      <c r="P226" s="255">
        <v>0</v>
      </c>
      <c r="Q226" s="255">
        <v>0</v>
      </c>
      <c r="R226" s="255">
        <v>0</v>
      </c>
      <c r="S226" s="255" t="s">
        <v>488</v>
      </c>
      <c r="T226" s="255" t="s">
        <v>488</v>
      </c>
      <c r="U226" s="255">
        <v>0</v>
      </c>
      <c r="V226" s="255">
        <v>0</v>
      </c>
      <c r="W226">
        <f t="shared" si="3"/>
        <v>0</v>
      </c>
    </row>
    <row r="227" spans="1:23" x14ac:dyDescent="0.25">
      <c r="A227" s="2" t="s">
        <v>628</v>
      </c>
      <c r="B227" s="2" t="s">
        <v>626</v>
      </c>
      <c r="C227" s="2">
        <v>540169</v>
      </c>
      <c r="D227" s="2" t="s">
        <v>817</v>
      </c>
      <c r="E227" s="2" t="s">
        <v>73</v>
      </c>
      <c r="F227" s="2" t="s">
        <v>5</v>
      </c>
      <c r="G227" s="2">
        <v>1</v>
      </c>
      <c r="H227" s="2">
        <v>0</v>
      </c>
      <c r="I227" s="2">
        <v>0</v>
      </c>
      <c r="J227" s="2">
        <v>0</v>
      </c>
      <c r="K227" s="2">
        <v>0</v>
      </c>
      <c r="L227" s="2">
        <v>0</v>
      </c>
      <c r="M227" s="2">
        <v>0</v>
      </c>
      <c r="N227" s="2">
        <v>0</v>
      </c>
      <c r="O227" s="2">
        <v>0</v>
      </c>
      <c r="P227" s="2">
        <v>0</v>
      </c>
      <c r="Q227" s="2">
        <v>0</v>
      </c>
      <c r="R227" s="2">
        <v>0</v>
      </c>
      <c r="S227" s="2" t="s">
        <v>488</v>
      </c>
      <c r="T227" s="2" t="s">
        <v>488</v>
      </c>
      <c r="U227" s="2">
        <v>0</v>
      </c>
      <c r="V227" s="2">
        <v>0</v>
      </c>
      <c r="W227">
        <f t="shared" si="3"/>
        <v>0</v>
      </c>
    </row>
    <row r="228" spans="1:23" x14ac:dyDescent="0.25">
      <c r="A228" s="2" t="s">
        <v>628</v>
      </c>
      <c r="B228" s="2" t="s">
        <v>626</v>
      </c>
      <c r="C228" s="2">
        <v>540170</v>
      </c>
      <c r="D228" s="2" t="s">
        <v>818</v>
      </c>
      <c r="E228" s="2" t="s">
        <v>73</v>
      </c>
      <c r="F228" s="2" t="s">
        <v>115</v>
      </c>
      <c r="G228" s="2">
        <v>1</v>
      </c>
      <c r="H228" s="2">
        <v>0</v>
      </c>
      <c r="I228" s="2">
        <v>0</v>
      </c>
      <c r="J228" s="2">
        <v>0</v>
      </c>
      <c r="K228" s="2">
        <v>0</v>
      </c>
      <c r="L228" s="2">
        <v>0</v>
      </c>
      <c r="M228" s="2">
        <v>0</v>
      </c>
      <c r="N228" s="2">
        <v>0</v>
      </c>
      <c r="O228" s="2">
        <v>0</v>
      </c>
      <c r="P228" s="2">
        <v>0</v>
      </c>
      <c r="Q228" s="2">
        <v>0</v>
      </c>
      <c r="R228" s="2">
        <v>0</v>
      </c>
      <c r="S228" s="2" t="s">
        <v>488</v>
      </c>
      <c r="T228" s="2" t="s">
        <v>488</v>
      </c>
      <c r="U228" s="2">
        <v>0</v>
      </c>
      <c r="V228" s="2">
        <v>0</v>
      </c>
      <c r="W228">
        <f t="shared" si="3"/>
        <v>0</v>
      </c>
    </row>
    <row r="229" spans="1:23" x14ac:dyDescent="0.25">
      <c r="A229" s="2" t="s">
        <v>628</v>
      </c>
      <c r="B229" s="2" t="s">
        <v>626</v>
      </c>
      <c r="C229" s="2">
        <v>540171</v>
      </c>
      <c r="D229" s="2" t="s">
        <v>819</v>
      </c>
      <c r="E229" s="2" t="s">
        <v>73</v>
      </c>
      <c r="F229" s="2" t="s">
        <v>115</v>
      </c>
      <c r="G229" s="2">
        <v>1</v>
      </c>
      <c r="H229" s="2">
        <v>0</v>
      </c>
      <c r="I229" s="2">
        <v>0</v>
      </c>
      <c r="J229" s="2">
        <v>0</v>
      </c>
      <c r="K229" s="2">
        <v>0</v>
      </c>
      <c r="L229" s="2">
        <v>0</v>
      </c>
      <c r="M229" s="2">
        <v>0</v>
      </c>
      <c r="N229" s="2">
        <v>0</v>
      </c>
      <c r="O229" s="2">
        <v>0</v>
      </c>
      <c r="P229" s="2">
        <v>0</v>
      </c>
      <c r="Q229" s="2">
        <v>0</v>
      </c>
      <c r="R229" s="2">
        <v>0</v>
      </c>
      <c r="S229" s="2" t="s">
        <v>488</v>
      </c>
      <c r="T229" s="2" t="s">
        <v>488</v>
      </c>
      <c r="U229" s="2">
        <v>0</v>
      </c>
      <c r="V229" s="2">
        <v>0</v>
      </c>
      <c r="W229">
        <f t="shared" si="3"/>
        <v>0</v>
      </c>
    </row>
    <row r="230" spans="1:23" x14ac:dyDescent="0.25">
      <c r="A230" s="2" t="s">
        <v>628</v>
      </c>
      <c r="B230" s="2" t="s">
        <v>626</v>
      </c>
      <c r="C230" s="2">
        <v>540173</v>
      </c>
      <c r="D230" s="2" t="s">
        <v>820</v>
      </c>
      <c r="E230" s="2" t="s">
        <v>73</v>
      </c>
      <c r="F230" s="2" t="s">
        <v>115</v>
      </c>
      <c r="G230" s="2">
        <v>1</v>
      </c>
      <c r="H230" s="2">
        <v>0</v>
      </c>
      <c r="I230" s="2">
        <v>0</v>
      </c>
      <c r="J230" s="2">
        <v>0</v>
      </c>
      <c r="K230" s="2">
        <v>0</v>
      </c>
      <c r="L230" s="2">
        <v>0</v>
      </c>
      <c r="M230" s="2">
        <v>0</v>
      </c>
      <c r="N230" s="2">
        <v>0</v>
      </c>
      <c r="O230" s="2">
        <v>0</v>
      </c>
      <c r="P230" s="2">
        <v>0</v>
      </c>
      <c r="Q230" s="2">
        <v>0</v>
      </c>
      <c r="R230" s="2">
        <v>0</v>
      </c>
      <c r="S230" s="2" t="s">
        <v>488</v>
      </c>
      <c r="T230" s="2" t="s">
        <v>488</v>
      </c>
      <c r="U230" s="2">
        <v>0</v>
      </c>
      <c r="V230" s="2">
        <v>0</v>
      </c>
      <c r="W230">
        <f t="shared" si="3"/>
        <v>0</v>
      </c>
    </row>
    <row r="231" spans="1:23" x14ac:dyDescent="0.25">
      <c r="A231" s="2" t="s">
        <v>628</v>
      </c>
      <c r="B231" s="2" t="s">
        <v>626</v>
      </c>
      <c r="C231" s="2">
        <v>540174</v>
      </c>
      <c r="D231" s="2" t="s">
        <v>821</v>
      </c>
      <c r="E231" s="2" t="s">
        <v>73</v>
      </c>
      <c r="F231" s="2" t="s">
        <v>115</v>
      </c>
      <c r="G231" s="2">
        <v>1</v>
      </c>
      <c r="H231" s="2">
        <v>0</v>
      </c>
      <c r="I231" s="2">
        <v>0</v>
      </c>
      <c r="J231" s="2">
        <v>0</v>
      </c>
      <c r="K231" s="2">
        <v>0</v>
      </c>
      <c r="L231" s="2">
        <v>0</v>
      </c>
      <c r="M231" s="2">
        <v>0</v>
      </c>
      <c r="N231" s="2">
        <v>0</v>
      </c>
      <c r="O231" s="2">
        <v>0</v>
      </c>
      <c r="P231" s="2">
        <v>0</v>
      </c>
      <c r="Q231" s="2">
        <v>0</v>
      </c>
      <c r="R231" s="2">
        <v>0</v>
      </c>
      <c r="S231" s="2" t="s">
        <v>488</v>
      </c>
      <c r="T231" s="2" t="s">
        <v>488</v>
      </c>
      <c r="U231" s="2">
        <v>0</v>
      </c>
      <c r="V231" s="2">
        <v>0</v>
      </c>
      <c r="W231">
        <f t="shared" si="3"/>
        <v>0</v>
      </c>
    </row>
    <row r="232" spans="1:23" x14ac:dyDescent="0.25">
      <c r="A232" s="2" t="s">
        <v>628</v>
      </c>
      <c r="B232" s="2" t="s">
        <v>626</v>
      </c>
      <c r="C232" s="2">
        <v>540286</v>
      </c>
      <c r="D232" s="2" t="s">
        <v>822</v>
      </c>
      <c r="E232" s="2" t="s">
        <v>73</v>
      </c>
      <c r="F232" s="2" t="s">
        <v>115</v>
      </c>
      <c r="G232" s="2">
        <v>1</v>
      </c>
      <c r="H232" s="2">
        <v>0</v>
      </c>
      <c r="I232" s="2">
        <v>0</v>
      </c>
      <c r="J232" s="2">
        <v>0</v>
      </c>
      <c r="K232" s="2">
        <v>0</v>
      </c>
      <c r="L232" s="2">
        <v>0</v>
      </c>
      <c r="M232" s="2">
        <v>0</v>
      </c>
      <c r="N232" s="2">
        <v>0</v>
      </c>
      <c r="O232" s="2">
        <v>0</v>
      </c>
      <c r="P232" s="2">
        <v>0</v>
      </c>
      <c r="Q232" s="2">
        <v>0</v>
      </c>
      <c r="R232" s="2">
        <v>0</v>
      </c>
      <c r="S232" s="2" t="s">
        <v>488</v>
      </c>
      <c r="T232" s="2" t="s">
        <v>488</v>
      </c>
      <c r="U232" s="2">
        <v>0</v>
      </c>
      <c r="V232" s="2">
        <v>0</v>
      </c>
      <c r="W232">
        <f t="shared" si="3"/>
        <v>0</v>
      </c>
    </row>
    <row r="233" spans="1:23" x14ac:dyDescent="0.25">
      <c r="A233" s="255" t="s">
        <v>628</v>
      </c>
      <c r="B233" s="255" t="s">
        <v>626</v>
      </c>
      <c r="C233" s="255"/>
      <c r="D233" s="255"/>
      <c r="E233" s="255" t="s">
        <v>73</v>
      </c>
      <c r="F233" s="255"/>
      <c r="G233" s="255"/>
      <c r="H233" s="255">
        <v>0</v>
      </c>
      <c r="I233" s="255">
        <v>0</v>
      </c>
      <c r="J233" s="255">
        <v>0</v>
      </c>
      <c r="K233" s="255">
        <v>0</v>
      </c>
      <c r="L233" s="255">
        <v>0</v>
      </c>
      <c r="M233" s="255">
        <v>0</v>
      </c>
      <c r="N233" s="255">
        <v>0</v>
      </c>
      <c r="O233" s="255">
        <v>0</v>
      </c>
      <c r="P233" s="255">
        <v>0</v>
      </c>
      <c r="Q233" s="255">
        <v>0</v>
      </c>
      <c r="R233" s="255">
        <v>0</v>
      </c>
      <c r="S233" s="255" t="s">
        <v>488</v>
      </c>
      <c r="T233" s="255" t="s">
        <v>488</v>
      </c>
      <c r="U233" s="255">
        <v>0</v>
      </c>
      <c r="V233" s="255">
        <v>0</v>
      </c>
      <c r="W233">
        <f t="shared" si="3"/>
        <v>0</v>
      </c>
    </row>
    <row r="234" spans="1:23" x14ac:dyDescent="0.25">
      <c r="A234" s="2" t="s">
        <v>628</v>
      </c>
      <c r="B234" s="2" t="s">
        <v>626</v>
      </c>
      <c r="C234" s="2">
        <v>540183</v>
      </c>
      <c r="D234" s="2" t="s">
        <v>823</v>
      </c>
      <c r="E234" s="2" t="s">
        <v>77</v>
      </c>
      <c r="F234" s="2" t="s">
        <v>5</v>
      </c>
      <c r="G234" s="2">
        <v>5</v>
      </c>
      <c r="H234" s="2">
        <v>0</v>
      </c>
      <c r="I234" s="2">
        <v>0</v>
      </c>
      <c r="J234" s="2">
        <v>0</v>
      </c>
      <c r="K234" s="2">
        <v>0</v>
      </c>
      <c r="L234" s="2">
        <v>0</v>
      </c>
      <c r="M234" s="2">
        <v>0</v>
      </c>
      <c r="N234" s="2">
        <v>0</v>
      </c>
      <c r="O234" s="2">
        <v>0</v>
      </c>
      <c r="P234" s="2">
        <v>0</v>
      </c>
      <c r="Q234" s="2">
        <v>0</v>
      </c>
      <c r="R234" s="2">
        <v>0</v>
      </c>
      <c r="S234" s="2" t="s">
        <v>488</v>
      </c>
      <c r="T234" s="2" t="s">
        <v>488</v>
      </c>
      <c r="U234" s="2">
        <v>0</v>
      </c>
      <c r="V234" s="2">
        <v>0</v>
      </c>
      <c r="W234">
        <f t="shared" si="3"/>
        <v>0</v>
      </c>
    </row>
    <row r="235" spans="1:23" x14ac:dyDescent="0.25">
      <c r="A235" s="2" t="s">
        <v>628</v>
      </c>
      <c r="B235" s="2" t="s">
        <v>626</v>
      </c>
      <c r="C235" s="2">
        <v>540184</v>
      </c>
      <c r="D235" s="2" t="s">
        <v>824</v>
      </c>
      <c r="E235" s="2" t="s">
        <v>77</v>
      </c>
      <c r="F235" s="2" t="s">
        <v>115</v>
      </c>
      <c r="G235" s="2">
        <v>5</v>
      </c>
      <c r="H235" s="2">
        <v>0</v>
      </c>
      <c r="I235" s="2">
        <v>0</v>
      </c>
      <c r="J235" s="2">
        <v>0</v>
      </c>
      <c r="K235" s="2">
        <v>0</v>
      </c>
      <c r="L235" s="2">
        <v>0</v>
      </c>
      <c r="M235" s="2">
        <v>0</v>
      </c>
      <c r="N235" s="2">
        <v>0</v>
      </c>
      <c r="O235" s="2">
        <v>0</v>
      </c>
      <c r="P235" s="2">
        <v>0</v>
      </c>
      <c r="Q235" s="2">
        <v>0</v>
      </c>
      <c r="R235" s="2">
        <v>0</v>
      </c>
      <c r="S235" s="2" t="s">
        <v>488</v>
      </c>
      <c r="T235" s="2" t="s">
        <v>488</v>
      </c>
      <c r="U235" s="2">
        <v>0</v>
      </c>
      <c r="V235" s="2">
        <v>0</v>
      </c>
      <c r="W235">
        <f t="shared" si="3"/>
        <v>0</v>
      </c>
    </row>
    <row r="236" spans="1:23" x14ac:dyDescent="0.25">
      <c r="A236" s="2" t="s">
        <v>628</v>
      </c>
      <c r="B236" s="2" t="s">
        <v>626</v>
      </c>
      <c r="C236" s="2">
        <v>540185</v>
      </c>
      <c r="D236" s="2" t="s">
        <v>825</v>
      </c>
      <c r="E236" s="2" t="s">
        <v>77</v>
      </c>
      <c r="F236" s="2" t="s">
        <v>115</v>
      </c>
      <c r="G236" s="2">
        <v>5</v>
      </c>
      <c r="H236" s="2">
        <v>0</v>
      </c>
      <c r="I236" s="2">
        <v>1</v>
      </c>
      <c r="J236" s="2">
        <v>0</v>
      </c>
      <c r="K236" s="2">
        <v>0</v>
      </c>
      <c r="L236" s="2">
        <v>0</v>
      </c>
      <c r="M236" s="2">
        <v>1</v>
      </c>
      <c r="N236" s="2">
        <v>1</v>
      </c>
      <c r="O236" s="2">
        <v>0</v>
      </c>
      <c r="P236" s="2">
        <v>0</v>
      </c>
      <c r="Q236" s="2">
        <v>0</v>
      </c>
      <c r="R236" s="2">
        <v>0</v>
      </c>
      <c r="S236" s="2" t="s">
        <v>488</v>
      </c>
      <c r="T236" s="2" t="s">
        <v>488</v>
      </c>
      <c r="U236" s="2">
        <v>0</v>
      </c>
      <c r="V236" s="2">
        <v>0</v>
      </c>
      <c r="W236">
        <f t="shared" si="3"/>
        <v>1</v>
      </c>
    </row>
    <row r="237" spans="1:23" x14ac:dyDescent="0.25">
      <c r="A237" s="255" t="s">
        <v>628</v>
      </c>
      <c r="B237" s="255" t="s">
        <v>626</v>
      </c>
      <c r="C237" s="255"/>
      <c r="D237" s="255"/>
      <c r="E237" s="255" t="s">
        <v>77</v>
      </c>
      <c r="F237" s="255"/>
      <c r="G237" s="255"/>
      <c r="H237" s="255">
        <v>0</v>
      </c>
      <c r="I237" s="255">
        <v>1</v>
      </c>
      <c r="J237" s="255">
        <v>0</v>
      </c>
      <c r="K237" s="255">
        <v>0</v>
      </c>
      <c r="L237" s="255">
        <v>0</v>
      </c>
      <c r="M237" s="255">
        <v>1</v>
      </c>
      <c r="N237" s="255">
        <v>1</v>
      </c>
      <c r="O237" s="255">
        <v>0</v>
      </c>
      <c r="P237" s="255">
        <v>0</v>
      </c>
      <c r="Q237" s="255">
        <v>0</v>
      </c>
      <c r="R237" s="255">
        <v>0</v>
      </c>
      <c r="S237" s="255" t="s">
        <v>488</v>
      </c>
      <c r="T237" s="255" t="s">
        <v>488</v>
      </c>
      <c r="U237" s="255">
        <v>0</v>
      </c>
      <c r="V237" s="255">
        <v>0</v>
      </c>
      <c r="W237">
        <f t="shared" si="3"/>
        <v>1</v>
      </c>
    </row>
    <row r="238" spans="1:23" x14ac:dyDescent="0.25">
      <c r="A238" s="2" t="s">
        <v>628</v>
      </c>
      <c r="B238" s="2" t="s">
        <v>626</v>
      </c>
      <c r="C238" s="2">
        <v>540186</v>
      </c>
      <c r="D238" s="2" t="s">
        <v>826</v>
      </c>
      <c r="E238" s="2" t="s">
        <v>79</v>
      </c>
      <c r="F238" s="2" t="s">
        <v>5</v>
      </c>
      <c r="G238" s="2">
        <v>1</v>
      </c>
      <c r="H238" s="2">
        <v>0</v>
      </c>
      <c r="I238" s="2">
        <v>0</v>
      </c>
      <c r="J238" s="2">
        <v>0</v>
      </c>
      <c r="K238" s="2">
        <v>0</v>
      </c>
      <c r="L238" s="2">
        <v>0</v>
      </c>
      <c r="M238" s="2">
        <v>0</v>
      </c>
      <c r="N238" s="2">
        <v>0</v>
      </c>
      <c r="O238" s="2">
        <v>0</v>
      </c>
      <c r="P238" s="2">
        <v>0</v>
      </c>
      <c r="Q238" s="2">
        <v>0</v>
      </c>
      <c r="R238" s="2">
        <v>0</v>
      </c>
      <c r="S238" s="2" t="s">
        <v>488</v>
      </c>
      <c r="T238" s="2" t="s">
        <v>488</v>
      </c>
      <c r="U238" s="2">
        <v>0</v>
      </c>
      <c r="V238" s="2">
        <v>0</v>
      </c>
      <c r="W238">
        <f t="shared" si="3"/>
        <v>0</v>
      </c>
    </row>
    <row r="239" spans="1:23" x14ac:dyDescent="0.25">
      <c r="A239" s="2" t="s">
        <v>628</v>
      </c>
      <c r="B239" s="2" t="s">
        <v>626</v>
      </c>
      <c r="C239" s="2">
        <v>540187</v>
      </c>
      <c r="D239" s="2" t="s">
        <v>827</v>
      </c>
      <c r="E239" s="2" t="s">
        <v>79</v>
      </c>
      <c r="F239" s="2" t="s">
        <v>115</v>
      </c>
      <c r="G239" s="2">
        <v>1</v>
      </c>
      <c r="H239" s="2">
        <v>0</v>
      </c>
      <c r="I239" s="2">
        <v>0</v>
      </c>
      <c r="J239" s="2">
        <v>0</v>
      </c>
      <c r="K239" s="2">
        <v>0</v>
      </c>
      <c r="L239" s="2">
        <v>0</v>
      </c>
      <c r="M239" s="2">
        <v>0</v>
      </c>
      <c r="N239" s="2">
        <v>0</v>
      </c>
      <c r="O239" s="2">
        <v>0</v>
      </c>
      <c r="P239" s="2">
        <v>0</v>
      </c>
      <c r="Q239" s="2">
        <v>0</v>
      </c>
      <c r="R239" s="2">
        <v>0</v>
      </c>
      <c r="S239" s="2" t="s">
        <v>488</v>
      </c>
      <c r="T239" s="2" t="s">
        <v>488</v>
      </c>
      <c r="U239" s="2">
        <v>0</v>
      </c>
      <c r="V239" s="2">
        <v>0</v>
      </c>
      <c r="W239">
        <f t="shared" si="3"/>
        <v>0</v>
      </c>
    </row>
    <row r="240" spans="1:23" x14ac:dyDescent="0.25">
      <c r="A240" s="255" t="s">
        <v>628</v>
      </c>
      <c r="B240" s="255" t="s">
        <v>626</v>
      </c>
      <c r="C240" s="255"/>
      <c r="D240" s="255"/>
      <c r="E240" s="255" t="s">
        <v>79</v>
      </c>
      <c r="F240" s="255"/>
      <c r="G240" s="255"/>
      <c r="H240" s="255">
        <v>0</v>
      </c>
      <c r="I240" s="255">
        <v>0</v>
      </c>
      <c r="J240" s="255">
        <v>0</v>
      </c>
      <c r="K240" s="255">
        <v>0</v>
      </c>
      <c r="L240" s="255">
        <v>0</v>
      </c>
      <c r="M240" s="255">
        <v>0</v>
      </c>
      <c r="N240" s="255">
        <v>0</v>
      </c>
      <c r="O240" s="255">
        <v>0</v>
      </c>
      <c r="P240" s="255">
        <v>0</v>
      </c>
      <c r="Q240" s="255">
        <v>0</v>
      </c>
      <c r="R240" s="255">
        <v>0</v>
      </c>
      <c r="S240" s="255" t="s">
        <v>488</v>
      </c>
      <c r="T240" s="255" t="s">
        <v>488</v>
      </c>
      <c r="U240" s="255">
        <v>0</v>
      </c>
      <c r="V240" s="255">
        <v>0</v>
      </c>
      <c r="W240">
        <f t="shared" si="3"/>
        <v>0</v>
      </c>
    </row>
    <row r="241" spans="1:23" x14ac:dyDescent="0.25">
      <c r="A241" s="2" t="s">
        <v>628</v>
      </c>
      <c r="B241" s="2" t="s">
        <v>626</v>
      </c>
      <c r="C241" s="2">
        <v>540188</v>
      </c>
      <c r="D241" s="2" t="s">
        <v>828</v>
      </c>
      <c r="E241" s="2" t="s">
        <v>81</v>
      </c>
      <c r="F241" s="2" t="s">
        <v>5</v>
      </c>
      <c r="G241" s="2">
        <v>6</v>
      </c>
      <c r="H241" s="2">
        <v>0</v>
      </c>
      <c r="I241" s="2">
        <v>0</v>
      </c>
      <c r="J241" s="2">
        <v>0</v>
      </c>
      <c r="K241" s="2">
        <v>0</v>
      </c>
      <c r="L241" s="2">
        <v>0</v>
      </c>
      <c r="M241" s="2">
        <v>0</v>
      </c>
      <c r="N241" s="2">
        <v>0</v>
      </c>
      <c r="O241" s="2">
        <v>0</v>
      </c>
      <c r="P241" s="2">
        <v>0</v>
      </c>
      <c r="Q241" s="2">
        <v>0</v>
      </c>
      <c r="R241" s="2">
        <v>0</v>
      </c>
      <c r="S241" s="2" t="s">
        <v>488</v>
      </c>
      <c r="T241" s="2" t="s">
        <v>488</v>
      </c>
      <c r="U241" s="2">
        <v>0</v>
      </c>
      <c r="V241" s="2">
        <v>0</v>
      </c>
      <c r="W241">
        <f t="shared" si="3"/>
        <v>0</v>
      </c>
    </row>
    <row r="242" spans="1:23" x14ac:dyDescent="0.25">
      <c r="A242" s="2" t="s">
        <v>628</v>
      </c>
      <c r="B242" s="2" t="s">
        <v>626</v>
      </c>
      <c r="C242" s="2">
        <v>540189</v>
      </c>
      <c r="D242" s="2" t="s">
        <v>829</v>
      </c>
      <c r="E242" s="2" t="s">
        <v>81</v>
      </c>
      <c r="F242" s="2" t="s">
        <v>115</v>
      </c>
      <c r="G242" s="2">
        <v>6</v>
      </c>
      <c r="H242" s="2">
        <v>0</v>
      </c>
      <c r="I242" s="2">
        <v>0</v>
      </c>
      <c r="J242" s="2">
        <v>0</v>
      </c>
      <c r="K242" s="2">
        <v>0</v>
      </c>
      <c r="L242" s="2">
        <v>0</v>
      </c>
      <c r="M242" s="2">
        <v>0</v>
      </c>
      <c r="N242" s="2">
        <v>0</v>
      </c>
      <c r="O242" s="2">
        <v>0</v>
      </c>
      <c r="P242" s="2">
        <v>0</v>
      </c>
      <c r="Q242" s="2">
        <v>0</v>
      </c>
      <c r="R242" s="2">
        <v>0</v>
      </c>
      <c r="S242" s="2" t="s">
        <v>488</v>
      </c>
      <c r="T242" s="2" t="s">
        <v>488</v>
      </c>
      <c r="U242" s="2">
        <v>0</v>
      </c>
      <c r="V242" s="2">
        <v>0</v>
      </c>
      <c r="W242">
        <f t="shared" si="3"/>
        <v>0</v>
      </c>
    </row>
    <row r="243" spans="1:23" x14ac:dyDescent="0.25">
      <c r="A243" s="2" t="s">
        <v>628</v>
      </c>
      <c r="B243" s="2" t="s">
        <v>626</v>
      </c>
      <c r="C243" s="2">
        <v>540190</v>
      </c>
      <c r="D243" s="2" t="s">
        <v>830</v>
      </c>
      <c r="E243" s="2" t="s">
        <v>81</v>
      </c>
      <c r="F243" s="2" t="s">
        <v>115</v>
      </c>
      <c r="G243" s="2">
        <v>6</v>
      </c>
      <c r="H243" s="2">
        <v>0</v>
      </c>
      <c r="I243" s="2">
        <v>0</v>
      </c>
      <c r="J243" s="2">
        <v>0</v>
      </c>
      <c r="K243" s="2">
        <v>0</v>
      </c>
      <c r="L243" s="2">
        <v>0</v>
      </c>
      <c r="M243" s="2">
        <v>0</v>
      </c>
      <c r="N243" s="2">
        <v>0</v>
      </c>
      <c r="O243" s="2">
        <v>0</v>
      </c>
      <c r="P243" s="2">
        <v>0</v>
      </c>
      <c r="Q243" s="2">
        <v>0</v>
      </c>
      <c r="R243" s="2">
        <v>0</v>
      </c>
      <c r="S243" s="2" t="s">
        <v>488</v>
      </c>
      <c r="T243" s="2" t="s">
        <v>488</v>
      </c>
      <c r="U243" s="2">
        <v>0</v>
      </c>
      <c r="V243" s="2">
        <v>0</v>
      </c>
      <c r="W243">
        <f t="shared" si="3"/>
        <v>0</v>
      </c>
    </row>
    <row r="244" spans="1:23" x14ac:dyDescent="0.25">
      <c r="A244" s="255" t="s">
        <v>628</v>
      </c>
      <c r="B244" s="255" t="s">
        <v>626</v>
      </c>
      <c r="C244" s="255"/>
      <c r="D244" s="255"/>
      <c r="E244" s="255" t="s">
        <v>81</v>
      </c>
      <c r="F244" s="255"/>
      <c r="G244" s="255"/>
      <c r="H244" s="255">
        <v>0</v>
      </c>
      <c r="I244" s="255">
        <v>0</v>
      </c>
      <c r="J244" s="255">
        <v>0</v>
      </c>
      <c r="K244" s="255">
        <v>0</v>
      </c>
      <c r="L244" s="255">
        <v>0</v>
      </c>
      <c r="M244" s="255">
        <v>0</v>
      </c>
      <c r="N244" s="255">
        <v>0</v>
      </c>
      <c r="O244" s="255">
        <v>0</v>
      </c>
      <c r="P244" s="255">
        <v>0</v>
      </c>
      <c r="Q244" s="255">
        <v>0</v>
      </c>
      <c r="R244" s="255">
        <v>0</v>
      </c>
      <c r="S244" s="255" t="s">
        <v>488</v>
      </c>
      <c r="T244" s="255" t="s">
        <v>488</v>
      </c>
      <c r="U244" s="255">
        <v>0</v>
      </c>
      <c r="V244" s="255">
        <v>0</v>
      </c>
      <c r="W244">
        <f t="shared" si="3"/>
        <v>0</v>
      </c>
    </row>
    <row r="245" spans="1:23" x14ac:dyDescent="0.25">
      <c r="A245" s="2" t="s">
        <v>628</v>
      </c>
      <c r="B245" s="2" t="s">
        <v>626</v>
      </c>
      <c r="C245" s="2">
        <v>540198</v>
      </c>
      <c r="D245" s="2" t="s">
        <v>831</v>
      </c>
      <c r="E245" s="2" t="s">
        <v>83</v>
      </c>
      <c r="F245" s="2" t="s">
        <v>5</v>
      </c>
      <c r="G245" s="2">
        <v>7</v>
      </c>
      <c r="H245" s="2">
        <v>0</v>
      </c>
      <c r="I245" s="2">
        <v>0</v>
      </c>
      <c r="J245" s="2">
        <v>0</v>
      </c>
      <c r="K245" s="2">
        <v>0</v>
      </c>
      <c r="L245" s="2">
        <v>0</v>
      </c>
      <c r="M245" s="2">
        <v>0</v>
      </c>
      <c r="N245" s="2">
        <v>0</v>
      </c>
      <c r="O245" s="2">
        <v>0</v>
      </c>
      <c r="P245" s="2">
        <v>0</v>
      </c>
      <c r="Q245" s="2" t="s">
        <v>488</v>
      </c>
      <c r="R245" s="2" t="s">
        <v>488</v>
      </c>
      <c r="S245" s="2" t="s">
        <v>488</v>
      </c>
      <c r="T245" s="2" t="s">
        <v>488</v>
      </c>
      <c r="U245" s="2">
        <v>0</v>
      </c>
      <c r="V245" s="2">
        <v>0</v>
      </c>
      <c r="W245">
        <f t="shared" si="3"/>
        <v>0</v>
      </c>
    </row>
    <row r="246" spans="1:23" x14ac:dyDescent="0.25">
      <c r="A246" s="2" t="s">
        <v>628</v>
      </c>
      <c r="B246" s="2" t="s">
        <v>626</v>
      </c>
      <c r="C246" s="2">
        <v>540199</v>
      </c>
      <c r="D246" s="2" t="s">
        <v>832</v>
      </c>
      <c r="E246" s="2" t="s">
        <v>83</v>
      </c>
      <c r="F246" s="2" t="s">
        <v>115</v>
      </c>
      <c r="G246" s="2">
        <v>7</v>
      </c>
      <c r="H246" s="2">
        <v>0</v>
      </c>
      <c r="I246" s="2">
        <v>0</v>
      </c>
      <c r="J246" s="2">
        <v>0</v>
      </c>
      <c r="K246" s="2">
        <v>0</v>
      </c>
      <c r="L246" s="2">
        <v>0</v>
      </c>
      <c r="M246" s="2">
        <v>0</v>
      </c>
      <c r="N246" s="2">
        <v>0</v>
      </c>
      <c r="O246" s="2">
        <v>0</v>
      </c>
      <c r="P246" s="2">
        <v>0</v>
      </c>
      <c r="Q246" s="2" t="s">
        <v>488</v>
      </c>
      <c r="R246" s="2" t="s">
        <v>488</v>
      </c>
      <c r="S246" s="2" t="s">
        <v>488</v>
      </c>
      <c r="T246" s="2" t="s">
        <v>488</v>
      </c>
      <c r="U246" s="2">
        <v>0</v>
      </c>
      <c r="V246" s="2">
        <v>0</v>
      </c>
      <c r="W246">
        <f t="shared" si="3"/>
        <v>0</v>
      </c>
    </row>
    <row r="247" spans="1:23" x14ac:dyDescent="0.25">
      <c r="A247" s="255" t="s">
        <v>628</v>
      </c>
      <c r="B247" s="255" t="s">
        <v>626</v>
      </c>
      <c r="C247" s="255"/>
      <c r="D247" s="255"/>
      <c r="E247" s="255" t="s">
        <v>83</v>
      </c>
      <c r="F247" s="255"/>
      <c r="G247" s="255"/>
      <c r="H247" s="255">
        <v>0</v>
      </c>
      <c r="I247" s="255">
        <v>0</v>
      </c>
      <c r="J247" s="255">
        <v>0</v>
      </c>
      <c r="K247" s="255">
        <v>0</v>
      </c>
      <c r="L247" s="255">
        <v>0</v>
      </c>
      <c r="M247" s="255">
        <v>0</v>
      </c>
      <c r="N247" s="255">
        <v>0</v>
      </c>
      <c r="O247" s="255">
        <v>0</v>
      </c>
      <c r="P247" s="255">
        <v>0</v>
      </c>
      <c r="Q247" s="255" t="s">
        <v>488</v>
      </c>
      <c r="R247" s="255" t="s">
        <v>488</v>
      </c>
      <c r="S247" s="255" t="s">
        <v>488</v>
      </c>
      <c r="T247" s="255" t="s">
        <v>488</v>
      </c>
      <c r="U247" s="255">
        <v>0</v>
      </c>
      <c r="V247" s="255">
        <v>0</v>
      </c>
      <c r="W247">
        <f t="shared" si="3"/>
        <v>0</v>
      </c>
    </row>
    <row r="248" spans="1:23" x14ac:dyDescent="0.25">
      <c r="A248" s="2" t="s">
        <v>628</v>
      </c>
      <c r="B248" s="2" t="s">
        <v>626</v>
      </c>
      <c r="C248" s="2">
        <v>540200</v>
      </c>
      <c r="D248" s="2" t="s">
        <v>833</v>
      </c>
      <c r="E248" s="2" t="s">
        <v>85</v>
      </c>
      <c r="F248" s="2" t="s">
        <v>5</v>
      </c>
      <c r="G248" s="2">
        <v>2</v>
      </c>
      <c r="H248" s="2">
        <v>0</v>
      </c>
      <c r="I248" s="2">
        <v>0</v>
      </c>
      <c r="J248" s="2">
        <v>0</v>
      </c>
      <c r="K248" s="2">
        <v>0</v>
      </c>
      <c r="L248" s="2">
        <v>0</v>
      </c>
      <c r="M248" s="2">
        <v>0</v>
      </c>
      <c r="N248" s="2">
        <v>0</v>
      </c>
      <c r="O248" s="2">
        <v>0</v>
      </c>
      <c r="P248" s="2">
        <v>0</v>
      </c>
      <c r="Q248" s="2">
        <v>0</v>
      </c>
      <c r="R248" s="2">
        <v>0</v>
      </c>
      <c r="S248" s="2" t="s">
        <v>488</v>
      </c>
      <c r="T248" s="2" t="s">
        <v>488</v>
      </c>
      <c r="U248" s="2">
        <v>0</v>
      </c>
      <c r="V248" s="2">
        <v>0</v>
      </c>
      <c r="W248">
        <f t="shared" si="3"/>
        <v>0</v>
      </c>
    </row>
    <row r="249" spans="1:23" x14ac:dyDescent="0.25">
      <c r="A249" s="2" t="s">
        <v>628</v>
      </c>
      <c r="B249" s="2" t="s">
        <v>626</v>
      </c>
      <c r="C249" s="2">
        <v>540018</v>
      </c>
      <c r="D249" s="2" t="s">
        <v>651</v>
      </c>
      <c r="E249" s="2" t="s">
        <v>85</v>
      </c>
      <c r="F249" s="2" t="s">
        <v>115</v>
      </c>
      <c r="G249" s="2">
        <v>2</v>
      </c>
      <c r="H249" s="2">
        <v>0</v>
      </c>
      <c r="I249" s="2">
        <v>0</v>
      </c>
      <c r="J249" s="2">
        <v>0</v>
      </c>
      <c r="K249" s="2">
        <v>0</v>
      </c>
      <c r="L249" s="2">
        <v>0</v>
      </c>
      <c r="M249" s="2">
        <v>0</v>
      </c>
      <c r="N249" s="2">
        <v>0</v>
      </c>
      <c r="O249" s="2">
        <v>0</v>
      </c>
      <c r="P249" s="2">
        <v>0</v>
      </c>
      <c r="Q249" s="2">
        <v>0</v>
      </c>
      <c r="R249" s="2">
        <v>0</v>
      </c>
      <c r="S249" s="2" t="s">
        <v>488</v>
      </c>
      <c r="T249" s="2" t="s">
        <v>488</v>
      </c>
      <c r="U249" s="2">
        <v>0</v>
      </c>
      <c r="V249" s="2">
        <v>0</v>
      </c>
      <c r="W249">
        <f t="shared" si="3"/>
        <v>0</v>
      </c>
    </row>
    <row r="250" spans="1:23" x14ac:dyDescent="0.25">
      <c r="A250" s="2" t="s">
        <v>628</v>
      </c>
      <c r="B250" s="2" t="s">
        <v>626</v>
      </c>
      <c r="C250" s="2">
        <v>540202</v>
      </c>
      <c r="D250" s="2" t="s">
        <v>834</v>
      </c>
      <c r="E250" s="2" t="s">
        <v>85</v>
      </c>
      <c r="F250" s="2" t="s">
        <v>115</v>
      </c>
      <c r="G250" s="2">
        <v>2</v>
      </c>
      <c r="H250" s="2">
        <v>0</v>
      </c>
      <c r="I250" s="2">
        <v>0</v>
      </c>
      <c r="J250" s="2">
        <v>0</v>
      </c>
      <c r="K250" s="2">
        <v>0</v>
      </c>
      <c r="L250" s="2">
        <v>0</v>
      </c>
      <c r="M250" s="2">
        <v>0</v>
      </c>
      <c r="N250" s="2">
        <v>0</v>
      </c>
      <c r="O250" s="2">
        <v>0</v>
      </c>
      <c r="P250" s="2">
        <v>0</v>
      </c>
      <c r="Q250" s="2">
        <v>0</v>
      </c>
      <c r="R250" s="2">
        <v>0</v>
      </c>
      <c r="S250" s="2" t="s">
        <v>488</v>
      </c>
      <c r="T250" s="2" t="s">
        <v>488</v>
      </c>
      <c r="U250" s="2">
        <v>0</v>
      </c>
      <c r="V250" s="2">
        <v>0</v>
      </c>
      <c r="W250">
        <f t="shared" si="3"/>
        <v>0</v>
      </c>
    </row>
    <row r="251" spans="1:23" x14ac:dyDescent="0.25">
      <c r="A251" s="2" t="s">
        <v>628</v>
      </c>
      <c r="B251" s="2" t="s">
        <v>626</v>
      </c>
      <c r="C251" s="2">
        <v>540221</v>
      </c>
      <c r="D251" s="2" t="s">
        <v>835</v>
      </c>
      <c r="E251" s="2" t="s">
        <v>85</v>
      </c>
      <c r="F251" s="2" t="s">
        <v>115</v>
      </c>
      <c r="G251" s="2">
        <v>2</v>
      </c>
      <c r="H251" s="2">
        <v>0</v>
      </c>
      <c r="I251" s="2">
        <v>0</v>
      </c>
      <c r="J251" s="2">
        <v>0</v>
      </c>
      <c r="K251" s="2">
        <v>0</v>
      </c>
      <c r="L251" s="2">
        <v>0</v>
      </c>
      <c r="M251" s="2">
        <v>0</v>
      </c>
      <c r="N251" s="2">
        <v>0</v>
      </c>
      <c r="O251" s="2">
        <v>0</v>
      </c>
      <c r="P251" s="2">
        <v>0</v>
      </c>
      <c r="Q251" s="2">
        <v>0</v>
      </c>
      <c r="R251" s="2">
        <v>0</v>
      </c>
      <c r="S251" s="2" t="s">
        <v>488</v>
      </c>
      <c r="T251" s="2" t="s">
        <v>488</v>
      </c>
      <c r="U251" s="2">
        <v>0</v>
      </c>
      <c r="V251" s="2">
        <v>0</v>
      </c>
      <c r="W251">
        <f t="shared" si="3"/>
        <v>0</v>
      </c>
    </row>
    <row r="252" spans="1:23" x14ac:dyDescent="0.25">
      <c r="A252" s="2" t="s">
        <v>628</v>
      </c>
      <c r="B252" s="2" t="s">
        <v>626</v>
      </c>
      <c r="C252" s="2">
        <v>540231</v>
      </c>
      <c r="D252" s="2" t="s">
        <v>836</v>
      </c>
      <c r="E252" s="2" t="s">
        <v>85</v>
      </c>
      <c r="F252" s="2" t="s">
        <v>115</v>
      </c>
      <c r="G252" s="2">
        <v>2</v>
      </c>
      <c r="H252" s="2">
        <v>0</v>
      </c>
      <c r="I252" s="2">
        <v>0</v>
      </c>
      <c r="J252" s="2">
        <v>0</v>
      </c>
      <c r="K252" s="2">
        <v>0</v>
      </c>
      <c r="L252" s="2">
        <v>0</v>
      </c>
      <c r="M252" s="2">
        <v>0</v>
      </c>
      <c r="N252" s="2">
        <v>0</v>
      </c>
      <c r="O252" s="2">
        <v>0</v>
      </c>
      <c r="P252" s="2">
        <v>0</v>
      </c>
      <c r="Q252" s="2">
        <v>0</v>
      </c>
      <c r="R252" s="2">
        <v>0</v>
      </c>
      <c r="S252" s="2" t="s">
        <v>488</v>
      </c>
      <c r="T252" s="2" t="s">
        <v>488</v>
      </c>
      <c r="U252" s="2">
        <v>0</v>
      </c>
      <c r="V252" s="2">
        <v>0</v>
      </c>
      <c r="W252">
        <f t="shared" si="3"/>
        <v>0</v>
      </c>
    </row>
    <row r="253" spans="1:23" x14ac:dyDescent="0.25">
      <c r="A253" s="2" t="s">
        <v>628</v>
      </c>
      <c r="B253" s="2" t="s">
        <v>626</v>
      </c>
      <c r="C253" s="2">
        <v>540232</v>
      </c>
      <c r="D253" s="2" t="s">
        <v>837</v>
      </c>
      <c r="E253" s="2" t="s">
        <v>85</v>
      </c>
      <c r="F253" s="2" t="s">
        <v>115</v>
      </c>
      <c r="G253" s="2">
        <v>2</v>
      </c>
      <c r="H253" s="2">
        <v>0</v>
      </c>
      <c r="I253" s="2">
        <v>0</v>
      </c>
      <c r="J253" s="2">
        <v>0</v>
      </c>
      <c r="K253" s="2">
        <v>0</v>
      </c>
      <c r="L253" s="2">
        <v>0</v>
      </c>
      <c r="M253" s="2">
        <v>0</v>
      </c>
      <c r="N253" s="2">
        <v>0</v>
      </c>
      <c r="O253" s="2">
        <v>0</v>
      </c>
      <c r="P253" s="2">
        <v>0</v>
      </c>
      <c r="Q253" s="2">
        <v>0</v>
      </c>
      <c r="R253" s="2">
        <v>0</v>
      </c>
      <c r="S253" s="2" t="s">
        <v>488</v>
      </c>
      <c r="T253" s="2" t="s">
        <v>488</v>
      </c>
      <c r="U253" s="2">
        <v>0</v>
      </c>
      <c r="V253" s="2">
        <v>0</v>
      </c>
      <c r="W253">
        <f t="shared" si="3"/>
        <v>0</v>
      </c>
    </row>
    <row r="254" spans="1:23" x14ac:dyDescent="0.25">
      <c r="A254" s="255" t="s">
        <v>628</v>
      </c>
      <c r="B254" s="255" t="s">
        <v>626</v>
      </c>
      <c r="C254" s="255"/>
      <c r="D254" s="255"/>
      <c r="E254" s="255" t="s">
        <v>85</v>
      </c>
      <c r="F254" s="255"/>
      <c r="G254" s="255"/>
      <c r="H254" s="255">
        <v>0</v>
      </c>
      <c r="I254" s="255">
        <v>0</v>
      </c>
      <c r="J254" s="255">
        <v>0</v>
      </c>
      <c r="K254" s="255">
        <v>0</v>
      </c>
      <c r="L254" s="255">
        <v>0</v>
      </c>
      <c r="M254" s="255">
        <v>0</v>
      </c>
      <c r="N254" s="255">
        <v>0</v>
      </c>
      <c r="O254" s="255">
        <v>0</v>
      </c>
      <c r="P254" s="255">
        <v>0</v>
      </c>
      <c r="Q254" s="255">
        <v>0</v>
      </c>
      <c r="R254" s="255">
        <v>0</v>
      </c>
      <c r="S254" s="255" t="s">
        <v>488</v>
      </c>
      <c r="T254" s="255" t="s">
        <v>488</v>
      </c>
      <c r="U254" s="255">
        <v>0</v>
      </c>
      <c r="V254" s="255">
        <v>0</v>
      </c>
      <c r="W254">
        <f t="shared" si="3"/>
        <v>0</v>
      </c>
    </row>
    <row r="255" spans="1:23" x14ac:dyDescent="0.25">
      <c r="A255" s="2" t="s">
        <v>628</v>
      </c>
      <c r="B255" s="2" t="s">
        <v>626</v>
      </c>
      <c r="C255" s="2">
        <v>540203</v>
      </c>
      <c r="D255" s="2" t="s">
        <v>838</v>
      </c>
      <c r="E255" s="2" t="s">
        <v>87</v>
      </c>
      <c r="F255" s="2" t="s">
        <v>5</v>
      </c>
      <c r="G255" s="2">
        <v>4</v>
      </c>
      <c r="H255" s="2">
        <v>0</v>
      </c>
      <c r="I255" s="2">
        <v>0</v>
      </c>
      <c r="J255" s="2">
        <v>0</v>
      </c>
      <c r="K255" s="2">
        <v>0</v>
      </c>
      <c r="L255" s="2">
        <v>0</v>
      </c>
      <c r="M255" s="2">
        <v>0</v>
      </c>
      <c r="N255" s="2">
        <v>0</v>
      </c>
      <c r="O255" s="2">
        <v>0</v>
      </c>
      <c r="P255" s="2">
        <v>0</v>
      </c>
      <c r="Q255" s="2" t="s">
        <v>488</v>
      </c>
      <c r="R255" s="2" t="s">
        <v>488</v>
      </c>
      <c r="S255" s="2" t="s">
        <v>488</v>
      </c>
      <c r="T255" s="2" t="s">
        <v>488</v>
      </c>
      <c r="U255" s="2">
        <v>0</v>
      </c>
      <c r="V255" s="2">
        <v>0</v>
      </c>
      <c r="W255">
        <f t="shared" si="3"/>
        <v>0</v>
      </c>
    </row>
    <row r="256" spans="1:23" x14ac:dyDescent="0.25">
      <c r="A256" s="2" t="s">
        <v>628</v>
      </c>
      <c r="B256" s="2" t="s">
        <v>626</v>
      </c>
      <c r="C256" s="2">
        <v>540204</v>
      </c>
      <c r="D256" s="2" t="s">
        <v>839</v>
      </c>
      <c r="E256" s="2" t="s">
        <v>87</v>
      </c>
      <c r="F256" s="2" t="s">
        <v>115</v>
      </c>
      <c r="G256" s="2">
        <v>4</v>
      </c>
      <c r="H256" s="2">
        <v>0</v>
      </c>
      <c r="I256" s="2">
        <v>1</v>
      </c>
      <c r="J256" s="2">
        <v>0</v>
      </c>
      <c r="K256" s="2">
        <v>0</v>
      </c>
      <c r="L256" s="2">
        <v>0</v>
      </c>
      <c r="M256" s="2">
        <v>1</v>
      </c>
      <c r="N256" s="2">
        <v>1</v>
      </c>
      <c r="O256" s="2">
        <v>0</v>
      </c>
      <c r="P256" s="2">
        <v>0</v>
      </c>
      <c r="Q256" s="2" t="s">
        <v>488</v>
      </c>
      <c r="R256" s="2" t="s">
        <v>488</v>
      </c>
      <c r="S256" s="2" t="s">
        <v>488</v>
      </c>
      <c r="T256" s="2" t="s">
        <v>488</v>
      </c>
      <c r="U256" s="2">
        <v>0</v>
      </c>
      <c r="V256" s="2">
        <v>0</v>
      </c>
      <c r="W256">
        <f t="shared" si="3"/>
        <v>1</v>
      </c>
    </row>
    <row r="257" spans="1:23" x14ac:dyDescent="0.25">
      <c r="A257" s="2" t="s">
        <v>628</v>
      </c>
      <c r="B257" s="2" t="s">
        <v>626</v>
      </c>
      <c r="C257" s="2">
        <v>540205</v>
      </c>
      <c r="D257" s="2" t="s">
        <v>840</v>
      </c>
      <c r="E257" s="2" t="s">
        <v>87</v>
      </c>
      <c r="F257" s="2" t="s">
        <v>115</v>
      </c>
      <c r="G257" s="2">
        <v>4</v>
      </c>
      <c r="H257" s="2">
        <v>0</v>
      </c>
      <c r="I257" s="2">
        <v>0</v>
      </c>
      <c r="J257" s="2">
        <v>0</v>
      </c>
      <c r="K257" s="2">
        <v>0</v>
      </c>
      <c r="L257" s="2">
        <v>0</v>
      </c>
      <c r="M257" s="2">
        <v>0</v>
      </c>
      <c r="N257" s="2">
        <v>0</v>
      </c>
      <c r="O257" s="2">
        <v>0</v>
      </c>
      <c r="P257" s="2">
        <v>0</v>
      </c>
      <c r="Q257" s="2" t="s">
        <v>488</v>
      </c>
      <c r="R257" s="2" t="s">
        <v>488</v>
      </c>
      <c r="S257" s="2" t="s">
        <v>488</v>
      </c>
      <c r="T257" s="2" t="s">
        <v>488</v>
      </c>
      <c r="U257" s="2">
        <v>0</v>
      </c>
      <c r="V257" s="2">
        <v>0</v>
      </c>
      <c r="W257">
        <f t="shared" si="3"/>
        <v>0</v>
      </c>
    </row>
    <row r="258" spans="1:23" x14ac:dyDescent="0.25">
      <c r="A258" s="2" t="s">
        <v>628</v>
      </c>
      <c r="B258" s="2" t="s">
        <v>626</v>
      </c>
      <c r="C258" s="2">
        <v>540206</v>
      </c>
      <c r="D258" s="2" t="s">
        <v>841</v>
      </c>
      <c r="E258" s="2" t="s">
        <v>87</v>
      </c>
      <c r="F258" s="2" t="s">
        <v>115</v>
      </c>
      <c r="G258" s="2">
        <v>4</v>
      </c>
      <c r="H258" s="2">
        <v>0</v>
      </c>
      <c r="I258" s="2">
        <v>0</v>
      </c>
      <c r="J258" s="2">
        <v>0</v>
      </c>
      <c r="K258" s="2">
        <v>0</v>
      </c>
      <c r="L258" s="2">
        <v>0</v>
      </c>
      <c r="M258" s="2">
        <v>0</v>
      </c>
      <c r="N258" s="2">
        <v>0</v>
      </c>
      <c r="O258" s="2">
        <v>0</v>
      </c>
      <c r="P258" s="2">
        <v>0</v>
      </c>
      <c r="Q258" s="2" t="s">
        <v>488</v>
      </c>
      <c r="R258" s="2" t="s">
        <v>488</v>
      </c>
      <c r="S258" s="2" t="s">
        <v>488</v>
      </c>
      <c r="T258" s="2" t="s">
        <v>488</v>
      </c>
      <c r="U258" s="2">
        <v>0</v>
      </c>
      <c r="V258" s="2">
        <v>0</v>
      </c>
      <c r="W258">
        <f t="shared" si="3"/>
        <v>0</v>
      </c>
    </row>
    <row r="259" spans="1:23" x14ac:dyDescent="0.25">
      <c r="A259" s="255" t="s">
        <v>628</v>
      </c>
      <c r="B259" s="255" t="s">
        <v>626</v>
      </c>
      <c r="C259" s="255"/>
      <c r="D259" s="255"/>
      <c r="E259" s="255" t="s">
        <v>87</v>
      </c>
      <c r="F259" s="255"/>
      <c r="G259" s="255"/>
      <c r="H259" s="255">
        <v>0</v>
      </c>
      <c r="I259" s="255">
        <v>1</v>
      </c>
      <c r="J259" s="255">
        <v>0</v>
      </c>
      <c r="K259" s="255">
        <v>0</v>
      </c>
      <c r="L259" s="255">
        <v>0</v>
      </c>
      <c r="M259" s="255">
        <v>1</v>
      </c>
      <c r="N259" s="255">
        <v>1</v>
      </c>
      <c r="O259" s="255">
        <v>0</v>
      </c>
      <c r="P259" s="255">
        <v>0</v>
      </c>
      <c r="Q259" s="255" t="s">
        <v>488</v>
      </c>
      <c r="R259" s="255" t="s">
        <v>488</v>
      </c>
      <c r="S259" s="255" t="s">
        <v>488</v>
      </c>
      <c r="T259" s="255" t="s">
        <v>488</v>
      </c>
      <c r="U259" s="255">
        <v>0</v>
      </c>
      <c r="V259" s="255">
        <v>0</v>
      </c>
      <c r="W259">
        <f t="shared" ref="W259:W322" si="4">SUM(N259,P259,R259,T259,U259,V259)</f>
        <v>1</v>
      </c>
    </row>
    <row r="260" spans="1:23" x14ac:dyDescent="0.25">
      <c r="A260" s="2" t="s">
        <v>628</v>
      </c>
      <c r="B260" s="2" t="s">
        <v>626</v>
      </c>
      <c r="C260" s="2">
        <v>540207</v>
      </c>
      <c r="D260" s="2" t="s">
        <v>842</v>
      </c>
      <c r="E260" s="2" t="s">
        <v>89</v>
      </c>
      <c r="F260" s="2" t="s">
        <v>5</v>
      </c>
      <c r="G260" s="2">
        <v>10</v>
      </c>
      <c r="H260" s="2">
        <v>0</v>
      </c>
      <c r="I260" s="2">
        <v>0</v>
      </c>
      <c r="J260" s="2">
        <v>0</v>
      </c>
      <c r="K260" s="2">
        <v>0</v>
      </c>
      <c r="L260" s="2">
        <v>0</v>
      </c>
      <c r="M260" s="2">
        <v>0</v>
      </c>
      <c r="N260" s="2">
        <v>0</v>
      </c>
      <c r="O260" s="2">
        <v>0</v>
      </c>
      <c r="P260" s="2">
        <v>0</v>
      </c>
      <c r="Q260" s="2" t="s">
        <v>488</v>
      </c>
      <c r="R260" s="2" t="s">
        <v>488</v>
      </c>
      <c r="S260" s="2" t="s">
        <v>488</v>
      </c>
      <c r="T260" s="2" t="s">
        <v>488</v>
      </c>
      <c r="U260" s="2">
        <v>0</v>
      </c>
      <c r="V260" s="2">
        <v>0</v>
      </c>
      <c r="W260">
        <f t="shared" si="4"/>
        <v>0</v>
      </c>
    </row>
    <row r="261" spans="1:23" x14ac:dyDescent="0.25">
      <c r="A261" s="2" t="s">
        <v>628</v>
      </c>
      <c r="B261" s="2" t="s">
        <v>626</v>
      </c>
      <c r="C261" s="2">
        <v>540196</v>
      </c>
      <c r="D261" s="2" t="s">
        <v>843</v>
      </c>
      <c r="E261" s="2" t="s">
        <v>89</v>
      </c>
      <c r="F261" s="2" t="s">
        <v>115</v>
      </c>
      <c r="G261" s="2">
        <v>5</v>
      </c>
      <c r="H261" s="2">
        <v>0</v>
      </c>
      <c r="I261" s="2">
        <v>0</v>
      </c>
      <c r="J261" s="2">
        <v>0</v>
      </c>
      <c r="K261" s="2">
        <v>0</v>
      </c>
      <c r="L261" s="2">
        <v>0</v>
      </c>
      <c r="M261" s="2">
        <v>0</v>
      </c>
      <c r="N261" s="2">
        <v>0</v>
      </c>
      <c r="O261" s="2">
        <v>0</v>
      </c>
      <c r="P261" s="2">
        <v>0</v>
      </c>
      <c r="Q261" s="2" t="s">
        <v>488</v>
      </c>
      <c r="R261" s="2" t="s">
        <v>488</v>
      </c>
      <c r="S261" s="2" t="s">
        <v>488</v>
      </c>
      <c r="T261" s="2" t="s">
        <v>488</v>
      </c>
      <c r="U261" s="2">
        <v>0</v>
      </c>
      <c r="V261" s="2">
        <v>0</v>
      </c>
      <c r="W261">
        <f t="shared" si="4"/>
        <v>0</v>
      </c>
    </row>
    <row r="262" spans="1:23" x14ac:dyDescent="0.25">
      <c r="A262" s="2" t="s">
        <v>628</v>
      </c>
      <c r="B262" s="2" t="s">
        <v>626</v>
      </c>
      <c r="C262" s="2">
        <v>540208</v>
      </c>
      <c r="D262" s="2" t="s">
        <v>844</v>
      </c>
      <c r="E262" s="2" t="s">
        <v>89</v>
      </c>
      <c r="F262" s="2" t="s">
        <v>115</v>
      </c>
      <c r="G262" s="2">
        <v>10</v>
      </c>
      <c r="H262" s="2">
        <v>0</v>
      </c>
      <c r="I262" s="2">
        <v>0</v>
      </c>
      <c r="J262" s="2">
        <v>0</v>
      </c>
      <c r="K262" s="2">
        <v>0</v>
      </c>
      <c r="L262" s="2">
        <v>0</v>
      </c>
      <c r="M262" s="2">
        <v>0</v>
      </c>
      <c r="N262" s="2">
        <v>0</v>
      </c>
      <c r="O262" s="2">
        <v>0</v>
      </c>
      <c r="P262" s="2">
        <v>0</v>
      </c>
      <c r="Q262" s="2" t="s">
        <v>488</v>
      </c>
      <c r="R262" s="2" t="s">
        <v>488</v>
      </c>
      <c r="S262" s="2" t="s">
        <v>488</v>
      </c>
      <c r="T262" s="2" t="s">
        <v>488</v>
      </c>
      <c r="U262" s="2">
        <v>0</v>
      </c>
      <c r="V262" s="2">
        <v>0</v>
      </c>
      <c r="W262">
        <f t="shared" si="4"/>
        <v>0</v>
      </c>
    </row>
    <row r="263" spans="1:23" x14ac:dyDescent="0.25">
      <c r="A263" s="2" t="s">
        <v>628</v>
      </c>
      <c r="B263" s="2" t="s">
        <v>626</v>
      </c>
      <c r="C263" s="2">
        <v>540210</v>
      </c>
      <c r="D263" s="2" t="s">
        <v>845</v>
      </c>
      <c r="E263" s="2" t="s">
        <v>89</v>
      </c>
      <c r="F263" s="2" t="s">
        <v>115</v>
      </c>
      <c r="G263" s="2">
        <v>10</v>
      </c>
      <c r="H263" s="2">
        <v>0</v>
      </c>
      <c r="I263" s="2">
        <v>0</v>
      </c>
      <c r="J263" s="2">
        <v>0</v>
      </c>
      <c r="K263" s="2">
        <v>0</v>
      </c>
      <c r="L263" s="2">
        <v>0</v>
      </c>
      <c r="M263" s="2">
        <v>0</v>
      </c>
      <c r="N263" s="2">
        <v>0</v>
      </c>
      <c r="O263" s="2">
        <v>0</v>
      </c>
      <c r="P263" s="2">
        <v>0</v>
      </c>
      <c r="Q263" s="2" t="s">
        <v>488</v>
      </c>
      <c r="R263" s="2" t="s">
        <v>488</v>
      </c>
      <c r="S263" s="2" t="s">
        <v>488</v>
      </c>
      <c r="T263" s="2" t="s">
        <v>488</v>
      </c>
      <c r="U263" s="2">
        <v>0</v>
      </c>
      <c r="V263" s="2">
        <v>0</v>
      </c>
      <c r="W263">
        <f t="shared" si="4"/>
        <v>0</v>
      </c>
    </row>
    <row r="264" spans="1:23" x14ac:dyDescent="0.25">
      <c r="A264" s="2" t="s">
        <v>628</v>
      </c>
      <c r="B264" s="2" t="s">
        <v>626</v>
      </c>
      <c r="C264" s="2">
        <v>540256</v>
      </c>
      <c r="D264" s="2" t="s">
        <v>846</v>
      </c>
      <c r="E264" s="2" t="s">
        <v>89</v>
      </c>
      <c r="F264" s="2" t="s">
        <v>115</v>
      </c>
      <c r="G264" s="2">
        <v>10</v>
      </c>
      <c r="H264" s="2">
        <v>0</v>
      </c>
      <c r="I264" s="2">
        <v>0</v>
      </c>
      <c r="J264" s="2">
        <v>0</v>
      </c>
      <c r="K264" s="2">
        <v>0</v>
      </c>
      <c r="L264" s="2">
        <v>0</v>
      </c>
      <c r="M264" s="2">
        <v>0</v>
      </c>
      <c r="N264" s="2">
        <v>0</v>
      </c>
      <c r="O264" s="2">
        <v>0</v>
      </c>
      <c r="P264" s="2">
        <v>0</v>
      </c>
      <c r="Q264" s="2" t="s">
        <v>488</v>
      </c>
      <c r="R264" s="2" t="s">
        <v>488</v>
      </c>
      <c r="S264" s="2" t="s">
        <v>488</v>
      </c>
      <c r="T264" s="2" t="s">
        <v>488</v>
      </c>
      <c r="U264" s="2">
        <v>0</v>
      </c>
      <c r="V264" s="2">
        <v>0</v>
      </c>
      <c r="W264">
        <f t="shared" si="4"/>
        <v>0</v>
      </c>
    </row>
    <row r="265" spans="1:23" x14ac:dyDescent="0.25">
      <c r="A265" s="2" t="s">
        <v>628</v>
      </c>
      <c r="B265" s="2" t="s">
        <v>626</v>
      </c>
      <c r="C265" s="2">
        <v>540258</v>
      </c>
      <c r="D265" s="2" t="s">
        <v>847</v>
      </c>
      <c r="E265" s="2" t="s">
        <v>89</v>
      </c>
      <c r="F265" s="2" t="s">
        <v>115</v>
      </c>
      <c r="G265" s="2">
        <v>10</v>
      </c>
      <c r="H265" s="2">
        <v>0</v>
      </c>
      <c r="I265" s="2">
        <v>0</v>
      </c>
      <c r="J265" s="2">
        <v>0</v>
      </c>
      <c r="K265" s="2">
        <v>0</v>
      </c>
      <c r="L265" s="2">
        <v>0</v>
      </c>
      <c r="M265" s="2">
        <v>0</v>
      </c>
      <c r="N265" s="2">
        <v>0</v>
      </c>
      <c r="O265" s="2">
        <v>0</v>
      </c>
      <c r="P265" s="2">
        <v>0</v>
      </c>
      <c r="Q265" s="2" t="s">
        <v>488</v>
      </c>
      <c r="R265" s="2" t="s">
        <v>488</v>
      </c>
      <c r="S265" s="2" t="s">
        <v>488</v>
      </c>
      <c r="T265" s="2" t="s">
        <v>488</v>
      </c>
      <c r="U265" s="2">
        <v>0</v>
      </c>
      <c r="V265" s="2">
        <v>0</v>
      </c>
      <c r="W265">
        <f t="shared" si="4"/>
        <v>0</v>
      </c>
    </row>
    <row r="266" spans="1:23" x14ac:dyDescent="0.25">
      <c r="A266" s="255" t="s">
        <v>628</v>
      </c>
      <c r="B266" s="255" t="s">
        <v>626</v>
      </c>
      <c r="C266" s="255"/>
      <c r="D266" s="255"/>
      <c r="E266" s="255" t="s">
        <v>89</v>
      </c>
      <c r="F266" s="255"/>
      <c r="G266" s="255"/>
      <c r="H266" s="255">
        <v>0</v>
      </c>
      <c r="I266" s="255">
        <v>0</v>
      </c>
      <c r="J266" s="255">
        <v>0</v>
      </c>
      <c r="K266" s="255">
        <v>0</v>
      </c>
      <c r="L266" s="255">
        <v>0</v>
      </c>
      <c r="M266" s="255">
        <v>0</v>
      </c>
      <c r="N266" s="255">
        <v>0</v>
      </c>
      <c r="O266" s="255">
        <v>0</v>
      </c>
      <c r="P266" s="255">
        <v>0</v>
      </c>
      <c r="Q266" s="255" t="s">
        <v>488</v>
      </c>
      <c r="R266" s="255" t="s">
        <v>488</v>
      </c>
      <c r="S266" s="255" t="s">
        <v>488</v>
      </c>
      <c r="T266" s="255" t="s">
        <v>488</v>
      </c>
      <c r="U266" s="255">
        <v>0</v>
      </c>
      <c r="V266" s="255">
        <v>0</v>
      </c>
      <c r="W266">
        <f t="shared" si="4"/>
        <v>0</v>
      </c>
    </row>
    <row r="267" spans="1:23" x14ac:dyDescent="0.25">
      <c r="A267" s="2" t="s">
        <v>628</v>
      </c>
      <c r="B267" s="2" t="s">
        <v>626</v>
      </c>
      <c r="C267" s="2">
        <v>540211</v>
      </c>
      <c r="D267" s="2" t="s">
        <v>848</v>
      </c>
      <c r="E267" s="2" t="s">
        <v>91</v>
      </c>
      <c r="F267" s="2" t="s">
        <v>5</v>
      </c>
      <c r="G267" s="2">
        <v>5</v>
      </c>
      <c r="H267" s="2">
        <v>0</v>
      </c>
      <c r="I267" s="2">
        <v>0</v>
      </c>
      <c r="J267" s="2">
        <v>0</v>
      </c>
      <c r="K267" s="2">
        <v>0</v>
      </c>
      <c r="L267" s="2">
        <v>0</v>
      </c>
      <c r="M267" s="2">
        <v>0</v>
      </c>
      <c r="N267" s="2">
        <v>0</v>
      </c>
      <c r="O267" s="2">
        <v>0</v>
      </c>
      <c r="P267" s="2">
        <v>0</v>
      </c>
      <c r="Q267" s="2" t="s">
        <v>488</v>
      </c>
      <c r="R267" s="2" t="s">
        <v>488</v>
      </c>
      <c r="S267" s="2" t="s">
        <v>488</v>
      </c>
      <c r="T267" s="2" t="s">
        <v>488</v>
      </c>
      <c r="U267" s="2">
        <v>0</v>
      </c>
      <c r="V267" s="2">
        <v>0</v>
      </c>
      <c r="W267">
        <f t="shared" si="4"/>
        <v>0</v>
      </c>
    </row>
    <row r="268" spans="1:23" x14ac:dyDescent="0.25">
      <c r="A268" s="2" t="s">
        <v>628</v>
      </c>
      <c r="B268" s="2" t="s">
        <v>626</v>
      </c>
      <c r="C268" s="2">
        <v>540212</v>
      </c>
      <c r="D268" s="2" t="s">
        <v>849</v>
      </c>
      <c r="E268" s="2" t="s">
        <v>91</v>
      </c>
      <c r="F268" s="2" t="s">
        <v>115</v>
      </c>
      <c r="G268" s="2">
        <v>5</v>
      </c>
      <c r="H268" s="2">
        <v>0</v>
      </c>
      <c r="I268" s="2">
        <v>0</v>
      </c>
      <c r="J268" s="2">
        <v>0</v>
      </c>
      <c r="K268" s="2">
        <v>0</v>
      </c>
      <c r="L268" s="2">
        <v>0</v>
      </c>
      <c r="M268" s="2">
        <v>0</v>
      </c>
      <c r="N268" s="2">
        <v>0</v>
      </c>
      <c r="O268" s="2">
        <v>0</v>
      </c>
      <c r="P268" s="2">
        <v>0</v>
      </c>
      <c r="Q268" s="2" t="s">
        <v>488</v>
      </c>
      <c r="R268" s="2" t="s">
        <v>488</v>
      </c>
      <c r="S268" s="2" t="s">
        <v>488</v>
      </c>
      <c r="T268" s="2" t="s">
        <v>488</v>
      </c>
      <c r="U268" s="2">
        <v>0</v>
      </c>
      <c r="V268" s="2">
        <v>0</v>
      </c>
      <c r="W268">
        <f t="shared" si="4"/>
        <v>0</v>
      </c>
    </row>
    <row r="269" spans="1:23" x14ac:dyDescent="0.25">
      <c r="A269" s="255" t="s">
        <v>628</v>
      </c>
      <c r="B269" s="255" t="s">
        <v>626</v>
      </c>
      <c r="C269" s="255"/>
      <c r="D269" s="255"/>
      <c r="E269" s="255" t="s">
        <v>91</v>
      </c>
      <c r="F269" s="255"/>
      <c r="G269" s="255"/>
      <c r="H269" s="255">
        <v>0</v>
      </c>
      <c r="I269" s="255">
        <v>0</v>
      </c>
      <c r="J269" s="255">
        <v>0</v>
      </c>
      <c r="K269" s="255">
        <v>0</v>
      </c>
      <c r="L269" s="255">
        <v>0</v>
      </c>
      <c r="M269" s="255">
        <v>0</v>
      </c>
      <c r="N269" s="255">
        <v>0</v>
      </c>
      <c r="O269" s="255">
        <v>0</v>
      </c>
      <c r="P269" s="255">
        <v>0</v>
      </c>
      <c r="Q269" s="255" t="s">
        <v>488</v>
      </c>
      <c r="R269" s="255" t="s">
        <v>488</v>
      </c>
      <c r="S269" s="255" t="s">
        <v>488</v>
      </c>
      <c r="T269" s="255" t="s">
        <v>488</v>
      </c>
      <c r="U269" s="255">
        <v>0</v>
      </c>
      <c r="V269" s="255">
        <v>0</v>
      </c>
      <c r="W269">
        <f t="shared" si="4"/>
        <v>0</v>
      </c>
    </row>
    <row r="270" spans="1:23" x14ac:dyDescent="0.25">
      <c r="A270" s="2" t="s">
        <v>628</v>
      </c>
      <c r="B270" s="2" t="s">
        <v>626</v>
      </c>
      <c r="C270" s="2">
        <v>540213</v>
      </c>
      <c r="D270" s="2" t="s">
        <v>850</v>
      </c>
      <c r="E270" s="2" t="s">
        <v>93</v>
      </c>
      <c r="F270" s="2" t="s">
        <v>5</v>
      </c>
      <c r="G270" s="2">
        <v>5</v>
      </c>
      <c r="H270" s="2">
        <v>0</v>
      </c>
      <c r="I270" s="2">
        <v>0</v>
      </c>
      <c r="J270" s="2">
        <v>0</v>
      </c>
      <c r="K270" s="2">
        <v>0</v>
      </c>
      <c r="L270" s="2">
        <v>0</v>
      </c>
      <c r="M270" s="2">
        <v>0</v>
      </c>
      <c r="N270" s="2">
        <v>0</v>
      </c>
      <c r="O270" s="2">
        <v>0</v>
      </c>
      <c r="P270" s="2">
        <v>0</v>
      </c>
      <c r="Q270" s="2" t="s">
        <v>488</v>
      </c>
      <c r="R270" s="2" t="s">
        <v>488</v>
      </c>
      <c r="S270" s="2" t="s">
        <v>488</v>
      </c>
      <c r="T270" s="2" t="s">
        <v>488</v>
      </c>
      <c r="U270" s="2">
        <v>0</v>
      </c>
      <c r="V270" s="2">
        <v>0</v>
      </c>
      <c r="W270">
        <f t="shared" si="4"/>
        <v>0</v>
      </c>
    </row>
    <row r="271" spans="1:23" x14ac:dyDescent="0.25">
      <c r="A271" s="2" t="s">
        <v>628</v>
      </c>
      <c r="B271" s="2" t="s">
        <v>626</v>
      </c>
      <c r="C271" s="2">
        <v>540042</v>
      </c>
      <c r="D271" s="2" t="s">
        <v>851</v>
      </c>
      <c r="E271" s="2" t="s">
        <v>93</v>
      </c>
      <c r="F271" s="2" t="s">
        <v>115</v>
      </c>
      <c r="G271" s="2">
        <v>5</v>
      </c>
      <c r="H271" s="2">
        <v>0</v>
      </c>
      <c r="I271" s="2">
        <v>0</v>
      </c>
      <c r="J271" s="2">
        <v>0</v>
      </c>
      <c r="K271" s="2">
        <v>0</v>
      </c>
      <c r="L271" s="2">
        <v>0</v>
      </c>
      <c r="M271" s="2">
        <v>0</v>
      </c>
      <c r="N271" s="2">
        <v>0</v>
      </c>
      <c r="O271" s="2">
        <v>0</v>
      </c>
      <c r="P271" s="2">
        <v>0</v>
      </c>
      <c r="Q271" s="2" t="s">
        <v>488</v>
      </c>
      <c r="R271" s="2" t="s">
        <v>488</v>
      </c>
      <c r="S271" s="2" t="s">
        <v>488</v>
      </c>
      <c r="T271" s="2" t="s">
        <v>488</v>
      </c>
      <c r="U271" s="2">
        <v>0</v>
      </c>
      <c r="V271" s="2">
        <v>0</v>
      </c>
      <c r="W271">
        <f t="shared" si="4"/>
        <v>0</v>
      </c>
    </row>
    <row r="272" spans="1:23" x14ac:dyDescent="0.25">
      <c r="A272" s="2" t="s">
        <v>628</v>
      </c>
      <c r="B272" s="2" t="s">
        <v>626</v>
      </c>
      <c r="C272" s="2">
        <v>540214</v>
      </c>
      <c r="D272" s="2" t="s">
        <v>852</v>
      </c>
      <c r="E272" s="2" t="s">
        <v>93</v>
      </c>
      <c r="F272" s="2" t="s">
        <v>115</v>
      </c>
      <c r="G272" s="2">
        <v>5</v>
      </c>
      <c r="H272" s="2">
        <v>0</v>
      </c>
      <c r="I272" s="2">
        <v>0</v>
      </c>
      <c r="J272" s="2">
        <v>0</v>
      </c>
      <c r="K272" s="2">
        <v>0</v>
      </c>
      <c r="L272" s="2">
        <v>0</v>
      </c>
      <c r="M272" s="2">
        <v>0</v>
      </c>
      <c r="N272" s="2">
        <v>0</v>
      </c>
      <c r="O272" s="2">
        <v>0</v>
      </c>
      <c r="P272" s="2">
        <v>0</v>
      </c>
      <c r="Q272" s="2" t="s">
        <v>488</v>
      </c>
      <c r="R272" s="2" t="s">
        <v>488</v>
      </c>
      <c r="S272" s="2" t="s">
        <v>488</v>
      </c>
      <c r="T272" s="2" t="s">
        <v>488</v>
      </c>
      <c r="U272" s="2">
        <v>0</v>
      </c>
      <c r="V272" s="2">
        <v>0</v>
      </c>
      <c r="W272">
        <f t="shared" si="4"/>
        <v>0</v>
      </c>
    </row>
    <row r="273" spans="1:23" x14ac:dyDescent="0.25">
      <c r="A273" s="2" t="s">
        <v>628</v>
      </c>
      <c r="B273" s="2" t="s">
        <v>626</v>
      </c>
      <c r="C273" s="2">
        <v>540215</v>
      </c>
      <c r="D273" s="2" t="s">
        <v>853</v>
      </c>
      <c r="E273" s="2" t="s">
        <v>93</v>
      </c>
      <c r="F273" s="2" t="s">
        <v>115</v>
      </c>
      <c r="G273" s="2">
        <v>5</v>
      </c>
      <c r="H273" s="2">
        <v>0</v>
      </c>
      <c r="I273" s="2">
        <v>0</v>
      </c>
      <c r="J273" s="2">
        <v>0</v>
      </c>
      <c r="K273" s="2">
        <v>0</v>
      </c>
      <c r="L273" s="2">
        <v>0</v>
      </c>
      <c r="M273" s="2">
        <v>0</v>
      </c>
      <c r="N273" s="2">
        <v>0</v>
      </c>
      <c r="O273" s="2">
        <v>0</v>
      </c>
      <c r="P273" s="2">
        <v>0</v>
      </c>
      <c r="Q273" s="2" t="s">
        <v>488</v>
      </c>
      <c r="R273" s="2" t="s">
        <v>488</v>
      </c>
      <c r="S273" s="2" t="s">
        <v>488</v>
      </c>
      <c r="T273" s="2" t="s">
        <v>488</v>
      </c>
      <c r="U273" s="2">
        <v>0</v>
      </c>
      <c r="V273" s="2">
        <v>0</v>
      </c>
      <c r="W273">
        <f t="shared" si="4"/>
        <v>0</v>
      </c>
    </row>
    <row r="274" spans="1:23" x14ac:dyDescent="0.25">
      <c r="A274" s="2" t="s">
        <v>628</v>
      </c>
      <c r="B274" s="2" t="s">
        <v>626</v>
      </c>
      <c r="C274" s="2">
        <v>540216</v>
      </c>
      <c r="D274" s="2" t="s">
        <v>854</v>
      </c>
      <c r="E274" s="2" t="s">
        <v>93</v>
      </c>
      <c r="F274" s="2" t="s">
        <v>115</v>
      </c>
      <c r="G274" s="2">
        <v>5</v>
      </c>
      <c r="H274" s="2">
        <v>0</v>
      </c>
      <c r="I274" s="2">
        <v>0</v>
      </c>
      <c r="J274" s="2">
        <v>0</v>
      </c>
      <c r="K274" s="2">
        <v>0</v>
      </c>
      <c r="L274" s="2">
        <v>0</v>
      </c>
      <c r="M274" s="2">
        <v>0</v>
      </c>
      <c r="N274" s="2">
        <v>0</v>
      </c>
      <c r="O274" s="2">
        <v>0</v>
      </c>
      <c r="P274" s="2">
        <v>0</v>
      </c>
      <c r="Q274" s="2" t="s">
        <v>488</v>
      </c>
      <c r="R274" s="2" t="s">
        <v>488</v>
      </c>
      <c r="S274" s="2" t="s">
        <v>488</v>
      </c>
      <c r="T274" s="2" t="s">
        <v>488</v>
      </c>
      <c r="U274" s="2">
        <v>0</v>
      </c>
      <c r="V274" s="2">
        <v>0</v>
      </c>
      <c r="W274">
        <f t="shared" si="4"/>
        <v>0</v>
      </c>
    </row>
    <row r="275" spans="1:23" x14ac:dyDescent="0.25">
      <c r="A275" s="255" t="s">
        <v>628</v>
      </c>
      <c r="B275" s="255" t="s">
        <v>626</v>
      </c>
      <c r="C275" s="255"/>
      <c r="D275" s="255"/>
      <c r="E275" s="255" t="s">
        <v>93</v>
      </c>
      <c r="F275" s="255"/>
      <c r="G275" s="255"/>
      <c r="H275" s="255">
        <v>0</v>
      </c>
      <c r="I275" s="255">
        <v>0</v>
      </c>
      <c r="J275" s="255">
        <v>0</v>
      </c>
      <c r="K275" s="255">
        <v>0</v>
      </c>
      <c r="L275" s="255">
        <v>0</v>
      </c>
      <c r="M275" s="255">
        <v>0</v>
      </c>
      <c r="N275" s="255">
        <v>0</v>
      </c>
      <c r="O275" s="255">
        <v>0</v>
      </c>
      <c r="P275" s="255">
        <v>0</v>
      </c>
      <c r="Q275" s="255" t="s">
        <v>488</v>
      </c>
      <c r="R275" s="255" t="s">
        <v>488</v>
      </c>
      <c r="S275" s="255" t="s">
        <v>488</v>
      </c>
      <c r="T275" s="255" t="s">
        <v>488</v>
      </c>
      <c r="U275" s="255">
        <v>0</v>
      </c>
      <c r="V275" s="255">
        <v>0</v>
      </c>
      <c r="W275">
        <f t="shared" si="4"/>
        <v>0</v>
      </c>
    </row>
    <row r="276" spans="1:23" x14ac:dyDescent="0.25">
      <c r="A276" s="2" t="s">
        <v>628</v>
      </c>
      <c r="B276" s="2" t="s">
        <v>626</v>
      </c>
      <c r="C276" s="2">
        <v>540224</v>
      </c>
      <c r="D276" s="2" t="s">
        <v>855</v>
      </c>
      <c r="E276" s="2" t="s">
        <v>97</v>
      </c>
      <c r="F276" s="2" t="s">
        <v>5</v>
      </c>
      <c r="G276" s="2">
        <v>5</v>
      </c>
      <c r="H276" s="2">
        <v>1</v>
      </c>
      <c r="I276" s="2">
        <v>0</v>
      </c>
      <c r="J276" s="2">
        <v>0</v>
      </c>
      <c r="K276" s="2">
        <v>0</v>
      </c>
      <c r="L276" s="2">
        <v>0</v>
      </c>
      <c r="M276" s="2">
        <v>0</v>
      </c>
      <c r="N276" s="2">
        <v>1</v>
      </c>
      <c r="O276" s="2">
        <v>0</v>
      </c>
      <c r="P276" s="2">
        <v>0</v>
      </c>
      <c r="Q276" s="2">
        <v>1</v>
      </c>
      <c r="R276" s="2">
        <v>0</v>
      </c>
      <c r="S276" s="2" t="s">
        <v>488</v>
      </c>
      <c r="T276" s="2" t="s">
        <v>488</v>
      </c>
      <c r="U276" s="2">
        <v>0</v>
      </c>
      <c r="V276" s="2">
        <v>0</v>
      </c>
      <c r="W276">
        <f t="shared" si="4"/>
        <v>1</v>
      </c>
    </row>
    <row r="277" spans="1:23" x14ac:dyDescent="0.25">
      <c r="A277" s="2" t="s">
        <v>628</v>
      </c>
      <c r="B277" s="2" t="s">
        <v>626</v>
      </c>
      <c r="C277" s="2">
        <v>540132</v>
      </c>
      <c r="D277" s="2" t="s">
        <v>856</v>
      </c>
      <c r="E277" s="2" t="s">
        <v>97</v>
      </c>
      <c r="F277" s="2" t="s">
        <v>115</v>
      </c>
      <c r="G277" s="2">
        <v>5</v>
      </c>
      <c r="H277" s="2">
        <v>0</v>
      </c>
      <c r="I277" s="2">
        <v>0</v>
      </c>
      <c r="J277" s="2">
        <v>0</v>
      </c>
      <c r="K277" s="2">
        <v>0</v>
      </c>
      <c r="L277" s="2">
        <v>0</v>
      </c>
      <c r="M277" s="2">
        <v>0</v>
      </c>
      <c r="N277" s="2">
        <v>0</v>
      </c>
      <c r="O277" s="2">
        <v>0</v>
      </c>
      <c r="P277" s="2">
        <v>0</v>
      </c>
      <c r="Q277" s="2">
        <v>0</v>
      </c>
      <c r="R277" s="2">
        <v>0</v>
      </c>
      <c r="S277" s="2" t="s">
        <v>488</v>
      </c>
      <c r="T277" s="2" t="s">
        <v>488</v>
      </c>
      <c r="U277" s="2">
        <v>0</v>
      </c>
      <c r="V277" s="2">
        <v>0</v>
      </c>
      <c r="W277">
        <f t="shared" si="4"/>
        <v>0</v>
      </c>
    </row>
    <row r="278" spans="1:23" x14ac:dyDescent="0.25">
      <c r="A278" s="2" t="s">
        <v>628</v>
      </c>
      <c r="B278" s="2" t="s">
        <v>626</v>
      </c>
      <c r="C278" s="2">
        <v>540179</v>
      </c>
      <c r="D278" s="2" t="s">
        <v>857</v>
      </c>
      <c r="E278" s="2" t="s">
        <v>97</v>
      </c>
      <c r="F278" s="2" t="s">
        <v>115</v>
      </c>
      <c r="G278" s="2">
        <v>5</v>
      </c>
      <c r="H278" s="2">
        <v>0</v>
      </c>
      <c r="I278" s="2">
        <v>0</v>
      </c>
      <c r="J278" s="2">
        <v>0</v>
      </c>
      <c r="K278" s="2">
        <v>0</v>
      </c>
      <c r="L278" s="2">
        <v>0</v>
      </c>
      <c r="M278" s="2">
        <v>0</v>
      </c>
      <c r="N278" s="2">
        <v>0</v>
      </c>
      <c r="O278" s="2">
        <v>0</v>
      </c>
      <c r="P278" s="2">
        <v>0</v>
      </c>
      <c r="Q278" s="2">
        <v>0</v>
      </c>
      <c r="R278" s="2">
        <v>0</v>
      </c>
      <c r="S278" s="2" t="s">
        <v>488</v>
      </c>
      <c r="T278" s="2" t="s">
        <v>488</v>
      </c>
      <c r="U278" s="2">
        <v>0</v>
      </c>
      <c r="V278" s="2">
        <v>0</v>
      </c>
      <c r="W278">
        <f t="shared" si="4"/>
        <v>0</v>
      </c>
    </row>
    <row r="279" spans="1:23" x14ac:dyDescent="0.25">
      <c r="A279" s="2" t="s">
        <v>628</v>
      </c>
      <c r="B279" s="2" t="s">
        <v>626</v>
      </c>
      <c r="C279" s="2">
        <v>540180</v>
      </c>
      <c r="D279" s="2" t="s">
        <v>858</v>
      </c>
      <c r="E279" s="2" t="s">
        <v>97</v>
      </c>
      <c r="F279" s="2" t="s">
        <v>115</v>
      </c>
      <c r="G279" s="2">
        <v>5</v>
      </c>
      <c r="H279" s="2">
        <v>0</v>
      </c>
      <c r="I279" s="2">
        <v>0</v>
      </c>
      <c r="J279" s="2">
        <v>0</v>
      </c>
      <c r="K279" s="2">
        <v>0</v>
      </c>
      <c r="L279" s="2">
        <v>0</v>
      </c>
      <c r="M279" s="2">
        <v>0</v>
      </c>
      <c r="N279" s="2">
        <v>0</v>
      </c>
      <c r="O279" s="2">
        <v>0</v>
      </c>
      <c r="P279" s="2">
        <v>0</v>
      </c>
      <c r="Q279" s="2">
        <v>0</v>
      </c>
      <c r="R279" s="2">
        <v>0</v>
      </c>
      <c r="S279" s="2" t="s">
        <v>488</v>
      </c>
      <c r="T279" s="2" t="s">
        <v>488</v>
      </c>
      <c r="U279" s="2">
        <v>0</v>
      </c>
      <c r="V279" s="2">
        <v>0</v>
      </c>
      <c r="W279">
        <f t="shared" si="4"/>
        <v>0</v>
      </c>
    </row>
    <row r="280" spans="1:23" x14ac:dyDescent="0.25">
      <c r="A280" s="2" t="s">
        <v>628</v>
      </c>
      <c r="B280" s="2" t="s">
        <v>626</v>
      </c>
      <c r="C280" s="2">
        <v>540182</v>
      </c>
      <c r="D280" s="2" t="s">
        <v>859</v>
      </c>
      <c r="E280" s="2" t="s">
        <v>97</v>
      </c>
      <c r="F280" s="2" t="s">
        <v>115</v>
      </c>
      <c r="G280" s="2">
        <v>5</v>
      </c>
      <c r="H280" s="2">
        <v>0</v>
      </c>
      <c r="I280" s="2">
        <v>0</v>
      </c>
      <c r="J280" s="2">
        <v>0</v>
      </c>
      <c r="K280" s="2">
        <v>0</v>
      </c>
      <c r="L280" s="2">
        <v>0</v>
      </c>
      <c r="M280" s="2">
        <v>0</v>
      </c>
      <c r="N280" s="2">
        <v>0</v>
      </c>
      <c r="O280" s="2">
        <v>0</v>
      </c>
      <c r="P280" s="2">
        <v>0</v>
      </c>
      <c r="Q280" s="2">
        <v>0</v>
      </c>
      <c r="R280" s="2">
        <v>0</v>
      </c>
      <c r="S280" s="2" t="s">
        <v>488</v>
      </c>
      <c r="T280" s="2" t="s">
        <v>488</v>
      </c>
      <c r="U280" s="2">
        <v>0</v>
      </c>
      <c r="V280" s="2">
        <v>0</v>
      </c>
      <c r="W280">
        <f t="shared" si="4"/>
        <v>0</v>
      </c>
    </row>
    <row r="281" spans="1:23" x14ac:dyDescent="0.25">
      <c r="A281" s="2" t="s">
        <v>628</v>
      </c>
      <c r="B281" s="2" t="s">
        <v>626</v>
      </c>
      <c r="C281" s="2">
        <v>540262</v>
      </c>
      <c r="D281" s="2" t="s">
        <v>860</v>
      </c>
      <c r="E281" s="2" t="s">
        <v>97</v>
      </c>
      <c r="F281" s="2" t="s">
        <v>115</v>
      </c>
      <c r="G281" s="2">
        <v>5</v>
      </c>
      <c r="H281" s="2">
        <v>0</v>
      </c>
      <c r="I281" s="2">
        <v>0</v>
      </c>
      <c r="J281" s="2">
        <v>0</v>
      </c>
      <c r="K281" s="2">
        <v>0</v>
      </c>
      <c r="L281" s="2">
        <v>0</v>
      </c>
      <c r="M281" s="2">
        <v>0</v>
      </c>
      <c r="N281" s="2">
        <v>0</v>
      </c>
      <c r="O281" s="2">
        <v>0</v>
      </c>
      <c r="P281" s="2">
        <v>0</v>
      </c>
      <c r="Q281" s="2">
        <v>0</v>
      </c>
      <c r="R281" s="2">
        <v>0</v>
      </c>
      <c r="S281" s="2" t="s">
        <v>488</v>
      </c>
      <c r="T281" s="2" t="s">
        <v>488</v>
      </c>
      <c r="U281" s="2">
        <v>0</v>
      </c>
      <c r="V281" s="2">
        <v>0</v>
      </c>
      <c r="W281">
        <f t="shared" si="4"/>
        <v>0</v>
      </c>
    </row>
    <row r="282" spans="1:23" x14ac:dyDescent="0.25">
      <c r="A282" s="2" t="s">
        <v>628</v>
      </c>
      <c r="B282" s="2" t="s">
        <v>626</v>
      </c>
      <c r="C282" s="2">
        <v>540263</v>
      </c>
      <c r="D282" s="2" t="s">
        <v>861</v>
      </c>
      <c r="E282" s="2" t="s">
        <v>97</v>
      </c>
      <c r="F282" s="2" t="s">
        <v>115</v>
      </c>
      <c r="G282" s="2">
        <v>5</v>
      </c>
      <c r="H282" s="2">
        <v>0</v>
      </c>
      <c r="I282" s="2">
        <v>0</v>
      </c>
      <c r="J282" s="2">
        <v>0</v>
      </c>
      <c r="K282" s="2">
        <v>0</v>
      </c>
      <c r="L282" s="2">
        <v>0</v>
      </c>
      <c r="M282" s="2">
        <v>0</v>
      </c>
      <c r="N282" s="2">
        <v>0</v>
      </c>
      <c r="O282" s="2">
        <v>0</v>
      </c>
      <c r="P282" s="2">
        <v>0</v>
      </c>
      <c r="Q282" s="2">
        <v>0</v>
      </c>
      <c r="R282" s="2">
        <v>0</v>
      </c>
      <c r="S282" s="2" t="s">
        <v>488</v>
      </c>
      <c r="T282" s="2" t="s">
        <v>488</v>
      </c>
      <c r="U282" s="2">
        <v>0</v>
      </c>
      <c r="V282" s="2">
        <v>0</v>
      </c>
      <c r="W282">
        <f t="shared" si="4"/>
        <v>0</v>
      </c>
    </row>
    <row r="283" spans="1:23" x14ac:dyDescent="0.25">
      <c r="A283" s="255" t="s">
        <v>628</v>
      </c>
      <c r="B283" s="255" t="s">
        <v>626</v>
      </c>
      <c r="C283" s="255"/>
      <c r="D283" s="255"/>
      <c r="E283" s="255" t="s">
        <v>97</v>
      </c>
      <c r="F283" s="255"/>
      <c r="G283" s="255"/>
      <c r="H283" s="255">
        <v>1</v>
      </c>
      <c r="I283" s="255">
        <v>0</v>
      </c>
      <c r="J283" s="255">
        <v>0</v>
      </c>
      <c r="K283" s="255">
        <v>0</v>
      </c>
      <c r="L283" s="255">
        <v>0</v>
      </c>
      <c r="M283" s="255">
        <v>0</v>
      </c>
      <c r="N283" s="255">
        <v>1</v>
      </c>
      <c r="O283" s="255">
        <v>0</v>
      </c>
      <c r="P283" s="255">
        <v>0</v>
      </c>
      <c r="Q283" s="255">
        <v>1</v>
      </c>
      <c r="R283" s="255">
        <v>0</v>
      </c>
      <c r="S283" s="255" t="s">
        <v>488</v>
      </c>
      <c r="T283" s="255" t="s">
        <v>488</v>
      </c>
      <c r="U283" s="255">
        <v>0</v>
      </c>
      <c r="V283" s="255">
        <v>0</v>
      </c>
      <c r="W283">
        <f t="shared" si="4"/>
        <v>1</v>
      </c>
    </row>
    <row r="284" spans="1:23" x14ac:dyDescent="0.25">
      <c r="A284" s="2" t="s">
        <v>628</v>
      </c>
      <c r="B284" s="2" t="s">
        <v>626</v>
      </c>
      <c r="C284" s="2">
        <v>540225</v>
      </c>
      <c r="D284" s="2" t="s">
        <v>862</v>
      </c>
      <c r="E284" s="2" t="s">
        <v>99</v>
      </c>
      <c r="F284" s="2" t="s">
        <v>5</v>
      </c>
      <c r="G284" s="2">
        <v>5</v>
      </c>
      <c r="H284" s="2">
        <v>0</v>
      </c>
      <c r="I284" s="2">
        <v>0</v>
      </c>
      <c r="J284" s="2">
        <v>0</v>
      </c>
      <c r="K284" s="2">
        <v>0</v>
      </c>
      <c r="L284" s="2">
        <v>0</v>
      </c>
      <c r="M284" s="2">
        <v>0</v>
      </c>
      <c r="N284" s="2">
        <v>0</v>
      </c>
      <c r="O284" s="2">
        <v>0</v>
      </c>
      <c r="P284" s="2">
        <v>0</v>
      </c>
      <c r="Q284" s="2">
        <v>0</v>
      </c>
      <c r="R284" s="2">
        <v>0</v>
      </c>
      <c r="S284" s="2" t="s">
        <v>488</v>
      </c>
      <c r="T284" s="2" t="s">
        <v>488</v>
      </c>
      <c r="U284" s="2">
        <v>0</v>
      </c>
      <c r="V284" s="2">
        <v>0</v>
      </c>
      <c r="W284">
        <f t="shared" si="4"/>
        <v>0</v>
      </c>
    </row>
    <row r="285" spans="1:23" x14ac:dyDescent="0.25">
      <c r="A285" s="2" t="s">
        <v>628</v>
      </c>
      <c r="B285" s="2" t="s">
        <v>626</v>
      </c>
      <c r="C285" s="2">
        <v>540156</v>
      </c>
      <c r="D285" s="2" t="s">
        <v>863</v>
      </c>
      <c r="E285" s="2" t="s">
        <v>99</v>
      </c>
      <c r="F285" s="2" t="s">
        <v>115</v>
      </c>
      <c r="G285" s="2">
        <v>5</v>
      </c>
      <c r="H285" s="2">
        <v>0</v>
      </c>
      <c r="I285" s="2">
        <v>0</v>
      </c>
      <c r="J285" s="2">
        <v>0</v>
      </c>
      <c r="K285" s="2">
        <v>0</v>
      </c>
      <c r="L285" s="2">
        <v>0</v>
      </c>
      <c r="M285" s="2">
        <v>0</v>
      </c>
      <c r="N285" s="2">
        <v>0</v>
      </c>
      <c r="O285" s="2">
        <v>0</v>
      </c>
      <c r="P285" s="2">
        <v>0</v>
      </c>
      <c r="Q285" s="2">
        <v>0</v>
      </c>
      <c r="R285" s="2">
        <v>0</v>
      </c>
      <c r="S285" s="2" t="s">
        <v>488</v>
      </c>
      <c r="T285" s="2" t="s">
        <v>488</v>
      </c>
      <c r="U285" s="2">
        <v>0</v>
      </c>
      <c r="V285" s="2">
        <v>0</v>
      </c>
      <c r="W285">
        <f t="shared" si="4"/>
        <v>0</v>
      </c>
    </row>
    <row r="286" spans="1:23" x14ac:dyDescent="0.25">
      <c r="A286" s="2" t="s">
        <v>628</v>
      </c>
      <c r="B286" s="2" t="s">
        <v>626</v>
      </c>
      <c r="C286" s="2">
        <v>540253</v>
      </c>
      <c r="D286" s="2" t="s">
        <v>864</v>
      </c>
      <c r="E286" s="2" t="s">
        <v>99</v>
      </c>
      <c r="F286" s="2" t="s">
        <v>115</v>
      </c>
      <c r="G286" s="2">
        <v>5</v>
      </c>
      <c r="H286" s="2">
        <v>0</v>
      </c>
      <c r="I286" s="2">
        <v>0</v>
      </c>
      <c r="J286" s="2">
        <v>0</v>
      </c>
      <c r="K286" s="2">
        <v>0</v>
      </c>
      <c r="L286" s="2">
        <v>0</v>
      </c>
      <c r="M286" s="2">
        <v>0</v>
      </c>
      <c r="N286" s="2">
        <v>0</v>
      </c>
      <c r="O286" s="2">
        <v>0</v>
      </c>
      <c r="P286" s="2">
        <v>0</v>
      </c>
      <c r="Q286" s="2">
        <v>0</v>
      </c>
      <c r="R286" s="2">
        <v>0</v>
      </c>
      <c r="S286" s="2" t="s">
        <v>488</v>
      </c>
      <c r="T286" s="2" t="s">
        <v>488</v>
      </c>
      <c r="U286" s="2">
        <v>0</v>
      </c>
      <c r="V286" s="2">
        <v>0</v>
      </c>
      <c r="W286">
        <f t="shared" si="4"/>
        <v>0</v>
      </c>
    </row>
    <row r="287" spans="1:23" x14ac:dyDescent="0.25">
      <c r="A287" s="255" t="s">
        <v>628</v>
      </c>
      <c r="B287" s="255" t="s">
        <v>626</v>
      </c>
      <c r="C287" s="255"/>
      <c r="D287" s="255"/>
      <c r="E287" s="255" t="s">
        <v>99</v>
      </c>
      <c r="F287" s="255"/>
      <c r="G287" s="255"/>
      <c r="H287" s="255">
        <v>0</v>
      </c>
      <c r="I287" s="255">
        <v>0</v>
      </c>
      <c r="J287" s="255">
        <v>0</v>
      </c>
      <c r="K287" s="255">
        <v>0</v>
      </c>
      <c r="L287" s="255">
        <v>0</v>
      </c>
      <c r="M287" s="255">
        <v>0</v>
      </c>
      <c r="N287" s="255">
        <v>0</v>
      </c>
      <c r="O287" s="255">
        <v>0</v>
      </c>
      <c r="P287" s="255">
        <v>0</v>
      </c>
      <c r="Q287" s="255">
        <v>0</v>
      </c>
      <c r="R287" s="255">
        <v>0</v>
      </c>
      <c r="S287" s="255" t="s">
        <v>488</v>
      </c>
      <c r="T287" s="255" t="s">
        <v>488</v>
      </c>
      <c r="U287" s="255">
        <v>0</v>
      </c>
      <c r="V287" s="255">
        <v>0</v>
      </c>
      <c r="W287">
        <f t="shared" si="4"/>
        <v>0</v>
      </c>
    </row>
    <row r="288" spans="1:23" x14ac:dyDescent="0.25">
      <c r="A288" s="2" t="s">
        <v>628</v>
      </c>
      <c r="B288" s="2" t="s">
        <v>626</v>
      </c>
      <c r="C288" s="2">
        <v>540226</v>
      </c>
      <c r="D288" s="2" t="s">
        <v>865</v>
      </c>
      <c r="E288" s="2" t="s">
        <v>101</v>
      </c>
      <c r="F288" s="2" t="s">
        <v>5</v>
      </c>
      <c r="G288" s="2">
        <v>8</v>
      </c>
      <c r="H288" s="2">
        <v>0</v>
      </c>
      <c r="I288" s="2">
        <v>0</v>
      </c>
      <c r="J288" s="2">
        <v>0</v>
      </c>
      <c r="K288" s="2">
        <v>0</v>
      </c>
      <c r="L288" s="2">
        <v>0</v>
      </c>
      <c r="M288" s="2">
        <v>0</v>
      </c>
      <c r="N288" s="2">
        <v>0</v>
      </c>
      <c r="O288" s="2">
        <v>0</v>
      </c>
      <c r="P288" s="2">
        <v>0</v>
      </c>
      <c r="Q288" s="2" t="s">
        <v>488</v>
      </c>
      <c r="R288" s="2" t="s">
        <v>488</v>
      </c>
      <c r="S288" s="2" t="s">
        <v>488</v>
      </c>
      <c r="T288" s="2" t="s">
        <v>488</v>
      </c>
      <c r="U288" s="2">
        <v>0</v>
      </c>
      <c r="V288" s="2">
        <v>0</v>
      </c>
      <c r="W288">
        <f t="shared" si="4"/>
        <v>0</v>
      </c>
    </row>
    <row r="289" spans="1:23" x14ac:dyDescent="0.25">
      <c r="A289" s="2" t="s">
        <v>628</v>
      </c>
      <c r="B289" s="2" t="s">
        <v>626</v>
      </c>
      <c r="C289" s="2">
        <v>540046</v>
      </c>
      <c r="D289" s="2" t="s">
        <v>866</v>
      </c>
      <c r="E289" s="2" t="s">
        <v>101</v>
      </c>
      <c r="F289" s="2" t="s">
        <v>115</v>
      </c>
      <c r="G289" s="2">
        <v>8</v>
      </c>
      <c r="H289" s="2">
        <v>0</v>
      </c>
      <c r="I289" s="2">
        <v>0</v>
      </c>
      <c r="J289" s="2">
        <v>0</v>
      </c>
      <c r="K289" s="2">
        <v>0</v>
      </c>
      <c r="L289" s="2">
        <v>0</v>
      </c>
      <c r="M289" s="2">
        <v>0</v>
      </c>
      <c r="N289" s="2">
        <v>0</v>
      </c>
      <c r="O289" s="2">
        <v>0</v>
      </c>
      <c r="P289" s="2">
        <v>0</v>
      </c>
      <c r="Q289" s="2" t="s">
        <v>488</v>
      </c>
      <c r="R289" s="2" t="s">
        <v>488</v>
      </c>
      <c r="S289" s="2" t="s">
        <v>488</v>
      </c>
      <c r="T289" s="2" t="s">
        <v>488</v>
      </c>
      <c r="U289" s="2">
        <v>0</v>
      </c>
      <c r="V289" s="2">
        <v>0</v>
      </c>
      <c r="W289">
        <f t="shared" si="4"/>
        <v>0</v>
      </c>
    </row>
    <row r="290" spans="1:23" x14ac:dyDescent="0.25">
      <c r="A290" s="2" t="s">
        <v>628</v>
      </c>
      <c r="B290" s="2" t="s">
        <v>626</v>
      </c>
      <c r="C290" s="2">
        <v>540276</v>
      </c>
      <c r="D290" s="2" t="s">
        <v>867</v>
      </c>
      <c r="E290" s="2" t="s">
        <v>101</v>
      </c>
      <c r="F290" s="2" t="s">
        <v>115</v>
      </c>
      <c r="G290" s="2">
        <v>8</v>
      </c>
      <c r="H290" s="2">
        <v>0</v>
      </c>
      <c r="I290" s="2">
        <v>0</v>
      </c>
      <c r="J290" s="2">
        <v>0</v>
      </c>
      <c r="K290" s="2">
        <v>0</v>
      </c>
      <c r="L290" s="2">
        <v>0</v>
      </c>
      <c r="M290" s="2">
        <v>0</v>
      </c>
      <c r="N290" s="2">
        <v>0</v>
      </c>
      <c r="O290" s="2">
        <v>0</v>
      </c>
      <c r="P290" s="2">
        <v>0</v>
      </c>
      <c r="Q290" s="2" t="s">
        <v>488</v>
      </c>
      <c r="R290" s="2" t="s">
        <v>488</v>
      </c>
      <c r="S290" s="2" t="s">
        <v>488</v>
      </c>
      <c r="T290" s="2" t="s">
        <v>488</v>
      </c>
      <c r="U290" s="2">
        <v>0</v>
      </c>
      <c r="V290" s="2">
        <v>0</v>
      </c>
      <c r="W290">
        <f t="shared" si="4"/>
        <v>0</v>
      </c>
    </row>
    <row r="291" spans="1:23" x14ac:dyDescent="0.25">
      <c r="A291" s="255" t="s">
        <v>628</v>
      </c>
      <c r="B291" s="255" t="s">
        <v>626</v>
      </c>
      <c r="C291" s="255"/>
      <c r="D291" s="255"/>
      <c r="E291" s="255" t="s">
        <v>101</v>
      </c>
      <c r="F291" s="255"/>
      <c r="G291" s="255"/>
      <c r="H291" s="255">
        <v>0</v>
      </c>
      <c r="I291" s="255">
        <v>0</v>
      </c>
      <c r="J291" s="255">
        <v>0</v>
      </c>
      <c r="K291" s="255">
        <v>0</v>
      </c>
      <c r="L291" s="255">
        <v>0</v>
      </c>
      <c r="M291" s="255">
        <v>0</v>
      </c>
      <c r="N291" s="255">
        <v>0</v>
      </c>
      <c r="O291" s="255">
        <v>0</v>
      </c>
      <c r="P291" s="255">
        <v>0</v>
      </c>
      <c r="Q291" s="255" t="s">
        <v>488</v>
      </c>
      <c r="R291" s="255" t="s">
        <v>488</v>
      </c>
      <c r="S291" s="255" t="s">
        <v>488</v>
      </c>
      <c r="T291" s="255" t="s">
        <v>488</v>
      </c>
      <c r="U291" s="255">
        <v>0</v>
      </c>
      <c r="V291" s="255">
        <v>0</v>
      </c>
      <c r="W291">
        <f t="shared" si="4"/>
        <v>0</v>
      </c>
    </row>
    <row r="292" spans="1:23" x14ac:dyDescent="0.25">
      <c r="A292" s="2" t="s">
        <v>628</v>
      </c>
      <c r="B292" s="2" t="s">
        <v>626</v>
      </c>
      <c r="C292" s="2">
        <v>540277</v>
      </c>
      <c r="D292" s="2" t="s">
        <v>868</v>
      </c>
      <c r="E292" s="2" t="s">
        <v>103</v>
      </c>
      <c r="F292" s="2" t="s">
        <v>5</v>
      </c>
      <c r="G292" s="2">
        <v>5</v>
      </c>
      <c r="H292" s="2">
        <v>0</v>
      </c>
      <c r="I292" s="2">
        <v>0</v>
      </c>
      <c r="J292" s="2">
        <v>0</v>
      </c>
      <c r="K292" s="2">
        <v>0</v>
      </c>
      <c r="L292" s="2">
        <v>0</v>
      </c>
      <c r="M292" s="2">
        <v>0</v>
      </c>
      <c r="N292" s="2">
        <v>0</v>
      </c>
      <c r="O292" s="2">
        <v>0</v>
      </c>
      <c r="P292" s="2">
        <v>0</v>
      </c>
      <c r="Q292" s="2">
        <v>0</v>
      </c>
      <c r="R292" s="2">
        <v>0</v>
      </c>
      <c r="S292" s="2" t="s">
        <v>488</v>
      </c>
      <c r="T292" s="2" t="s">
        <v>488</v>
      </c>
      <c r="U292" s="2">
        <v>0</v>
      </c>
      <c r="V292" s="2">
        <v>0</v>
      </c>
      <c r="W292">
        <f t="shared" si="4"/>
        <v>0</v>
      </c>
    </row>
    <row r="293" spans="1:23" x14ac:dyDescent="0.25">
      <c r="A293" s="2" t="s">
        <v>628</v>
      </c>
      <c r="B293" s="2" t="s">
        <v>626</v>
      </c>
      <c r="C293" s="2">
        <v>540195</v>
      </c>
      <c r="D293" s="2" t="s">
        <v>869</v>
      </c>
      <c r="E293" s="2" t="s">
        <v>103</v>
      </c>
      <c r="F293" s="2" t="s">
        <v>115</v>
      </c>
      <c r="G293" s="2">
        <v>5</v>
      </c>
      <c r="H293" s="2">
        <v>0</v>
      </c>
      <c r="I293" s="2">
        <v>0</v>
      </c>
      <c r="J293" s="2">
        <v>0</v>
      </c>
      <c r="K293" s="2">
        <v>0</v>
      </c>
      <c r="L293" s="2">
        <v>0</v>
      </c>
      <c r="M293" s="2">
        <v>0</v>
      </c>
      <c r="N293" s="2">
        <v>0</v>
      </c>
      <c r="O293" s="2">
        <v>0</v>
      </c>
      <c r="P293" s="2">
        <v>0</v>
      </c>
      <c r="Q293" s="2">
        <v>0</v>
      </c>
      <c r="R293" s="2">
        <v>0</v>
      </c>
      <c r="S293" s="2" t="s">
        <v>488</v>
      </c>
      <c r="T293" s="2" t="s">
        <v>488</v>
      </c>
      <c r="U293" s="2">
        <v>0</v>
      </c>
      <c r="V293" s="2">
        <v>0</v>
      </c>
      <c r="W293">
        <f t="shared" si="4"/>
        <v>0</v>
      </c>
    </row>
    <row r="294" spans="1:23" x14ac:dyDescent="0.25">
      <c r="A294" s="2" t="s">
        <v>628</v>
      </c>
      <c r="B294" s="2" t="s">
        <v>626</v>
      </c>
      <c r="C294" s="2">
        <v>540196</v>
      </c>
      <c r="D294" s="2" t="s">
        <v>843</v>
      </c>
      <c r="E294" s="2" t="s">
        <v>103</v>
      </c>
      <c r="F294" s="2" t="s">
        <v>115</v>
      </c>
      <c r="G294" s="2">
        <v>5</v>
      </c>
      <c r="H294" s="2">
        <v>0</v>
      </c>
      <c r="I294" s="2">
        <v>0</v>
      </c>
      <c r="J294" s="2">
        <v>0</v>
      </c>
      <c r="K294" s="2">
        <v>0</v>
      </c>
      <c r="L294" s="2">
        <v>0</v>
      </c>
      <c r="M294" s="2">
        <v>0</v>
      </c>
      <c r="N294" s="2">
        <v>0</v>
      </c>
      <c r="O294" s="2">
        <v>0</v>
      </c>
      <c r="P294" s="2">
        <v>0</v>
      </c>
      <c r="Q294" s="2">
        <v>0</v>
      </c>
      <c r="R294" s="2">
        <v>0</v>
      </c>
      <c r="S294" s="2" t="s">
        <v>488</v>
      </c>
      <c r="T294" s="2" t="s">
        <v>488</v>
      </c>
      <c r="U294" s="2">
        <v>0</v>
      </c>
      <c r="V294" s="2">
        <v>0</v>
      </c>
      <c r="W294">
        <f t="shared" si="4"/>
        <v>0</v>
      </c>
    </row>
    <row r="295" spans="1:23" x14ac:dyDescent="0.25">
      <c r="A295" s="2" t="s">
        <v>628</v>
      </c>
      <c r="B295" s="2" t="s">
        <v>626</v>
      </c>
      <c r="C295" s="2">
        <v>540197</v>
      </c>
      <c r="D295" s="2" t="s">
        <v>870</v>
      </c>
      <c r="E295" s="2" t="s">
        <v>103</v>
      </c>
      <c r="F295" s="2" t="s">
        <v>115</v>
      </c>
      <c r="G295" s="2">
        <v>5</v>
      </c>
      <c r="H295" s="2">
        <v>0</v>
      </c>
      <c r="I295" s="2">
        <v>0</v>
      </c>
      <c r="J295" s="2">
        <v>0</v>
      </c>
      <c r="K295" s="2">
        <v>0</v>
      </c>
      <c r="L295" s="2">
        <v>0</v>
      </c>
      <c r="M295" s="2">
        <v>0</v>
      </c>
      <c r="N295" s="2">
        <v>0</v>
      </c>
      <c r="O295" s="2">
        <v>0</v>
      </c>
      <c r="P295" s="2">
        <v>0</v>
      </c>
      <c r="Q295" s="2">
        <v>0</v>
      </c>
      <c r="R295" s="2">
        <v>0</v>
      </c>
      <c r="S295" s="2" t="s">
        <v>488</v>
      </c>
      <c r="T295" s="2" t="s">
        <v>488</v>
      </c>
      <c r="U295" s="2">
        <v>0</v>
      </c>
      <c r="V295" s="2">
        <v>0</v>
      </c>
      <c r="W295">
        <f t="shared" si="4"/>
        <v>0</v>
      </c>
    </row>
    <row r="296" spans="1:23" x14ac:dyDescent="0.25">
      <c r="A296" s="2" t="s">
        <v>628</v>
      </c>
      <c r="B296" s="2" t="s">
        <v>626</v>
      </c>
      <c r="C296" s="2">
        <v>540259</v>
      </c>
      <c r="D296" s="2" t="s">
        <v>871</v>
      </c>
      <c r="E296" s="2" t="s">
        <v>103</v>
      </c>
      <c r="F296" s="2" t="s">
        <v>115</v>
      </c>
      <c r="G296" s="2">
        <v>5</v>
      </c>
      <c r="H296" s="2">
        <v>0</v>
      </c>
      <c r="I296" s="2">
        <v>0</v>
      </c>
      <c r="J296" s="2">
        <v>0</v>
      </c>
      <c r="K296" s="2">
        <v>0</v>
      </c>
      <c r="L296" s="2">
        <v>0</v>
      </c>
      <c r="M296" s="2">
        <v>0</v>
      </c>
      <c r="N296" s="2">
        <v>0</v>
      </c>
      <c r="O296" s="2">
        <v>0</v>
      </c>
      <c r="P296" s="2">
        <v>0</v>
      </c>
      <c r="Q296" s="2">
        <v>0</v>
      </c>
      <c r="R296" s="2">
        <v>0</v>
      </c>
      <c r="S296" s="2" t="s">
        <v>488</v>
      </c>
      <c r="T296" s="2" t="s">
        <v>488</v>
      </c>
      <c r="U296" s="2">
        <v>0</v>
      </c>
      <c r="V296" s="2">
        <v>0</v>
      </c>
      <c r="W296">
        <f t="shared" si="4"/>
        <v>0</v>
      </c>
    </row>
    <row r="297" spans="1:23" x14ac:dyDescent="0.25">
      <c r="A297" s="255" t="s">
        <v>628</v>
      </c>
      <c r="B297" s="255" t="s">
        <v>626</v>
      </c>
      <c r="C297" s="255"/>
      <c r="D297" s="255"/>
      <c r="E297" s="255" t="s">
        <v>103</v>
      </c>
      <c r="F297" s="255"/>
      <c r="G297" s="255"/>
      <c r="H297" s="255">
        <v>0</v>
      </c>
      <c r="I297" s="255">
        <v>0</v>
      </c>
      <c r="J297" s="255">
        <v>0</v>
      </c>
      <c r="K297" s="255">
        <v>0</v>
      </c>
      <c r="L297" s="255">
        <v>0</v>
      </c>
      <c r="M297" s="255">
        <v>0</v>
      </c>
      <c r="N297" s="255">
        <v>0</v>
      </c>
      <c r="O297" s="255">
        <v>0</v>
      </c>
      <c r="P297" s="255">
        <v>0</v>
      </c>
      <c r="Q297" s="255">
        <v>0</v>
      </c>
      <c r="R297" s="255">
        <v>0</v>
      </c>
      <c r="S297" s="255" t="s">
        <v>488</v>
      </c>
      <c r="T297" s="255" t="s">
        <v>488</v>
      </c>
      <c r="U297" s="255">
        <v>0</v>
      </c>
      <c r="V297" s="255">
        <v>0</v>
      </c>
      <c r="W297">
        <f t="shared" si="4"/>
        <v>0</v>
      </c>
    </row>
    <row r="298" spans="1:23" x14ac:dyDescent="0.25">
      <c r="A298" s="2" t="s">
        <v>628</v>
      </c>
      <c r="B298" s="2" t="s">
        <v>626</v>
      </c>
      <c r="C298" s="2">
        <v>540278</v>
      </c>
      <c r="D298" s="2" t="s">
        <v>872</v>
      </c>
      <c r="E298" s="2" t="s">
        <v>105</v>
      </c>
      <c r="F298" s="2" t="s">
        <v>5</v>
      </c>
      <c r="G298" s="2">
        <v>1</v>
      </c>
      <c r="H298" s="2">
        <v>0</v>
      </c>
      <c r="I298" s="2">
        <v>0</v>
      </c>
      <c r="J298" s="2">
        <v>0</v>
      </c>
      <c r="K298" s="2">
        <v>0</v>
      </c>
      <c r="L298" s="2">
        <v>0</v>
      </c>
      <c r="M298" s="2">
        <v>0</v>
      </c>
      <c r="N298" s="2">
        <v>0</v>
      </c>
      <c r="O298" s="2">
        <v>0</v>
      </c>
      <c r="P298" s="2">
        <v>0</v>
      </c>
      <c r="Q298" s="2">
        <v>0</v>
      </c>
      <c r="R298" s="2">
        <v>0</v>
      </c>
      <c r="S298" s="2" t="s">
        <v>488</v>
      </c>
      <c r="T298" s="2" t="s">
        <v>488</v>
      </c>
      <c r="U298" s="2">
        <v>0</v>
      </c>
      <c r="V298" s="2">
        <v>0</v>
      </c>
      <c r="W298">
        <f t="shared" si="4"/>
        <v>0</v>
      </c>
    </row>
    <row r="299" spans="1:23" x14ac:dyDescent="0.25">
      <c r="A299" s="2" t="s">
        <v>628</v>
      </c>
      <c r="B299" s="2" t="s">
        <v>626</v>
      </c>
      <c r="C299" s="2">
        <v>540041</v>
      </c>
      <c r="D299" s="2" t="s">
        <v>666</v>
      </c>
      <c r="E299" s="2" t="s">
        <v>105</v>
      </c>
      <c r="F299" s="2" t="s">
        <v>115</v>
      </c>
      <c r="G299" s="2">
        <v>1</v>
      </c>
      <c r="H299" s="2">
        <v>0</v>
      </c>
      <c r="I299" s="2">
        <v>0</v>
      </c>
      <c r="J299" s="2">
        <v>0</v>
      </c>
      <c r="K299" s="2">
        <v>0</v>
      </c>
      <c r="L299" s="2">
        <v>0</v>
      </c>
      <c r="M299" s="2">
        <v>0</v>
      </c>
      <c r="N299" s="2">
        <v>0</v>
      </c>
      <c r="O299" s="2">
        <v>0</v>
      </c>
      <c r="P299" s="2">
        <v>0</v>
      </c>
      <c r="Q299" s="2">
        <v>0</v>
      </c>
      <c r="R299" s="2">
        <v>0</v>
      </c>
      <c r="S299" s="2" t="s">
        <v>488</v>
      </c>
      <c r="T299" s="2" t="s">
        <v>488</v>
      </c>
      <c r="U299" s="2">
        <v>0</v>
      </c>
      <c r="V299" s="2">
        <v>0</v>
      </c>
      <c r="W299">
        <f t="shared" si="4"/>
        <v>0</v>
      </c>
    </row>
    <row r="300" spans="1:23" x14ac:dyDescent="0.25">
      <c r="A300" s="2" t="s">
        <v>628</v>
      </c>
      <c r="B300" s="2" t="s">
        <v>626</v>
      </c>
      <c r="C300" s="2">
        <v>540143</v>
      </c>
      <c r="D300" s="2" t="s">
        <v>873</v>
      </c>
      <c r="E300" s="2" t="s">
        <v>105</v>
      </c>
      <c r="F300" s="2" t="s">
        <v>115</v>
      </c>
      <c r="G300" s="2">
        <v>1</v>
      </c>
      <c r="H300" s="2">
        <v>0</v>
      </c>
      <c r="I300" s="2">
        <v>0</v>
      </c>
      <c r="J300" s="2">
        <v>0</v>
      </c>
      <c r="K300" s="2">
        <v>0</v>
      </c>
      <c r="L300" s="2">
        <v>0</v>
      </c>
      <c r="M300" s="2">
        <v>0</v>
      </c>
      <c r="N300" s="2">
        <v>0</v>
      </c>
      <c r="O300" s="2">
        <v>0</v>
      </c>
      <c r="P300" s="2">
        <v>0</v>
      </c>
      <c r="Q300" s="2">
        <v>0</v>
      </c>
      <c r="R300" s="2">
        <v>0</v>
      </c>
      <c r="S300" s="2" t="s">
        <v>488</v>
      </c>
      <c r="T300" s="2" t="s">
        <v>488</v>
      </c>
      <c r="U300" s="2">
        <v>0</v>
      </c>
      <c r="V300" s="2">
        <v>0</v>
      </c>
      <c r="W300">
        <f t="shared" si="4"/>
        <v>0</v>
      </c>
    </row>
    <row r="301" spans="1:23" x14ac:dyDescent="0.25">
      <c r="A301" s="2" t="s">
        <v>628</v>
      </c>
      <c r="B301" s="2" t="s">
        <v>626</v>
      </c>
      <c r="C301" s="2">
        <v>540290</v>
      </c>
      <c r="D301" s="2" t="s">
        <v>874</v>
      </c>
      <c r="E301" s="2" t="s">
        <v>105</v>
      </c>
      <c r="F301" s="2" t="s">
        <v>115</v>
      </c>
      <c r="G301" s="2">
        <v>1</v>
      </c>
      <c r="H301" s="2">
        <v>0</v>
      </c>
      <c r="I301" s="2">
        <v>0</v>
      </c>
      <c r="J301" s="2">
        <v>0</v>
      </c>
      <c r="K301" s="2">
        <v>0</v>
      </c>
      <c r="L301" s="2">
        <v>0</v>
      </c>
      <c r="M301" s="2">
        <v>0</v>
      </c>
      <c r="N301" s="2">
        <v>0</v>
      </c>
      <c r="O301" s="2">
        <v>0</v>
      </c>
      <c r="P301" s="2">
        <v>0</v>
      </c>
      <c r="Q301" s="2">
        <v>0</v>
      </c>
      <c r="R301" s="2">
        <v>0</v>
      </c>
      <c r="S301" s="2" t="s">
        <v>488</v>
      </c>
      <c r="T301" s="2" t="s">
        <v>488</v>
      </c>
      <c r="U301" s="2">
        <v>0</v>
      </c>
      <c r="V301" s="2">
        <v>0</v>
      </c>
      <c r="W301">
        <f t="shared" si="4"/>
        <v>0</v>
      </c>
    </row>
    <row r="302" spans="1:23" x14ac:dyDescent="0.25">
      <c r="A302" s="255" t="s">
        <v>628</v>
      </c>
      <c r="B302" s="255" t="s">
        <v>626</v>
      </c>
      <c r="C302" s="255"/>
      <c r="D302" s="255"/>
      <c r="E302" s="255" t="s">
        <v>105</v>
      </c>
      <c r="F302" s="255"/>
      <c r="G302" s="255"/>
      <c r="H302" s="255">
        <v>0</v>
      </c>
      <c r="I302" s="255">
        <v>0</v>
      </c>
      <c r="J302" s="255">
        <v>0</v>
      </c>
      <c r="K302" s="255">
        <v>0</v>
      </c>
      <c r="L302" s="255">
        <v>0</v>
      </c>
      <c r="M302" s="255">
        <v>0</v>
      </c>
      <c r="N302" s="255">
        <v>0</v>
      </c>
      <c r="O302" s="255">
        <v>0</v>
      </c>
      <c r="P302" s="255">
        <v>0</v>
      </c>
      <c r="Q302" s="255">
        <v>0</v>
      </c>
      <c r="R302" s="255">
        <v>0</v>
      </c>
      <c r="S302" s="255" t="s">
        <v>488</v>
      </c>
      <c r="T302" s="255" t="s">
        <v>488</v>
      </c>
      <c r="U302" s="255">
        <v>0</v>
      </c>
      <c r="V302" s="255">
        <v>0</v>
      </c>
      <c r="W302">
        <f t="shared" si="4"/>
        <v>0</v>
      </c>
    </row>
    <row r="303" spans="1:23" x14ac:dyDescent="0.25">
      <c r="A303" s="2" t="s">
        <v>628</v>
      </c>
      <c r="B303" s="2" t="s">
        <v>626</v>
      </c>
      <c r="C303" s="2">
        <v>540282</v>
      </c>
      <c r="D303" s="2" t="s">
        <v>875</v>
      </c>
      <c r="E303" s="2" t="s">
        <v>107</v>
      </c>
      <c r="F303" s="2" t="s">
        <v>5</v>
      </c>
      <c r="G303" s="2">
        <v>9</v>
      </c>
      <c r="H303" s="2">
        <v>0</v>
      </c>
      <c r="I303" s="2">
        <v>0</v>
      </c>
      <c r="J303" s="2">
        <v>0</v>
      </c>
      <c r="K303" s="2">
        <v>0</v>
      </c>
      <c r="L303" s="2">
        <v>0</v>
      </c>
      <c r="M303" s="2">
        <v>0</v>
      </c>
      <c r="N303" s="2">
        <v>0</v>
      </c>
      <c r="O303" s="2">
        <v>0</v>
      </c>
      <c r="P303" s="2">
        <v>0</v>
      </c>
      <c r="Q303" s="2">
        <v>0</v>
      </c>
      <c r="R303" s="2">
        <v>0</v>
      </c>
      <c r="S303" s="2">
        <v>0</v>
      </c>
      <c r="T303" s="2">
        <v>0</v>
      </c>
      <c r="U303" s="2">
        <v>0</v>
      </c>
      <c r="V303" s="2">
        <v>0</v>
      </c>
      <c r="W303">
        <f t="shared" si="4"/>
        <v>0</v>
      </c>
    </row>
    <row r="304" spans="1:23" x14ac:dyDescent="0.25">
      <c r="A304" s="2" t="s">
        <v>628</v>
      </c>
      <c r="B304" s="2" t="s">
        <v>626</v>
      </c>
      <c r="C304" s="2">
        <v>540006</v>
      </c>
      <c r="D304" s="2" t="s">
        <v>876</v>
      </c>
      <c r="E304" s="2" t="s">
        <v>107</v>
      </c>
      <c r="F304" s="2" t="s">
        <v>115</v>
      </c>
      <c r="G304" s="2">
        <v>9</v>
      </c>
      <c r="H304" s="2">
        <v>0</v>
      </c>
      <c r="I304" s="2">
        <v>0</v>
      </c>
      <c r="J304" s="2">
        <v>0</v>
      </c>
      <c r="K304" s="2">
        <v>0</v>
      </c>
      <c r="L304" s="2">
        <v>0</v>
      </c>
      <c r="M304" s="2">
        <v>0</v>
      </c>
      <c r="N304" s="2">
        <v>0</v>
      </c>
      <c r="O304" s="2">
        <v>0</v>
      </c>
      <c r="P304" s="2">
        <v>0</v>
      </c>
      <c r="Q304" s="2">
        <v>0</v>
      </c>
      <c r="R304" s="2">
        <v>0</v>
      </c>
      <c r="S304" s="2">
        <v>0</v>
      </c>
      <c r="T304" s="2">
        <v>0</v>
      </c>
      <c r="U304" s="2">
        <v>0</v>
      </c>
      <c r="V304" s="2">
        <v>0</v>
      </c>
      <c r="W304">
        <f t="shared" si="4"/>
        <v>0</v>
      </c>
    </row>
    <row r="305" spans="1:23" x14ac:dyDescent="0.25">
      <c r="A305" s="2" t="s">
        <v>628</v>
      </c>
      <c r="B305" s="2" t="s">
        <v>626</v>
      </c>
      <c r="C305" s="2">
        <v>545550</v>
      </c>
      <c r="D305" s="2" t="s">
        <v>877</v>
      </c>
      <c r="E305" s="2" t="s">
        <v>107</v>
      </c>
      <c r="F305" s="2" t="s">
        <v>115</v>
      </c>
      <c r="G305" s="2">
        <v>9</v>
      </c>
      <c r="H305" s="2">
        <v>0</v>
      </c>
      <c r="I305" s="2">
        <v>0</v>
      </c>
      <c r="J305" s="2">
        <v>0</v>
      </c>
      <c r="K305" s="2">
        <v>0</v>
      </c>
      <c r="L305" s="2">
        <v>0</v>
      </c>
      <c r="M305" s="2">
        <v>0</v>
      </c>
      <c r="N305" s="2">
        <v>0</v>
      </c>
      <c r="O305" s="2">
        <v>0</v>
      </c>
      <c r="P305" s="2">
        <v>0</v>
      </c>
      <c r="Q305" s="2">
        <v>0</v>
      </c>
      <c r="R305" s="2">
        <v>0</v>
      </c>
      <c r="S305" s="2">
        <v>0</v>
      </c>
      <c r="T305" s="2">
        <v>0</v>
      </c>
      <c r="U305" s="2">
        <v>0</v>
      </c>
      <c r="V305" s="2">
        <v>0</v>
      </c>
      <c r="W305">
        <f t="shared" si="4"/>
        <v>0</v>
      </c>
    </row>
    <row r="306" spans="1:23" x14ac:dyDescent="0.25">
      <c r="A306" s="255" t="s">
        <v>628</v>
      </c>
      <c r="B306" s="255" t="s">
        <v>626</v>
      </c>
      <c r="C306" s="255"/>
      <c r="D306" s="255"/>
      <c r="E306" s="255" t="s">
        <v>107</v>
      </c>
      <c r="F306" s="255"/>
      <c r="G306" s="255"/>
      <c r="H306" s="255">
        <v>0</v>
      </c>
      <c r="I306" s="255">
        <v>0</v>
      </c>
      <c r="J306" s="255">
        <v>0</v>
      </c>
      <c r="K306" s="255">
        <v>0</v>
      </c>
      <c r="L306" s="255">
        <v>0</v>
      </c>
      <c r="M306" s="255">
        <v>0</v>
      </c>
      <c r="N306" s="255">
        <v>0</v>
      </c>
      <c r="O306" s="255">
        <v>0</v>
      </c>
      <c r="P306" s="255">
        <v>0</v>
      </c>
      <c r="Q306" s="255">
        <v>0</v>
      </c>
      <c r="R306" s="255">
        <v>0</v>
      </c>
      <c r="S306" s="255">
        <v>0</v>
      </c>
      <c r="T306" s="255">
        <v>0</v>
      </c>
      <c r="U306" s="255">
        <v>0</v>
      </c>
      <c r="V306" s="255">
        <v>0</v>
      </c>
      <c r="W306">
        <f t="shared" si="4"/>
        <v>0</v>
      </c>
    </row>
    <row r="307" spans="1:23" x14ac:dyDescent="0.25">
      <c r="A307" s="2" t="s">
        <v>628</v>
      </c>
      <c r="B307" s="2" t="s">
        <v>626</v>
      </c>
      <c r="C307" s="2">
        <v>540283</v>
      </c>
      <c r="D307" s="2" t="s">
        <v>878</v>
      </c>
      <c r="E307" s="2" t="s">
        <v>109</v>
      </c>
      <c r="F307" s="2" t="s">
        <v>5</v>
      </c>
      <c r="G307" s="2">
        <v>4</v>
      </c>
      <c r="H307" s="2">
        <v>0</v>
      </c>
      <c r="I307" s="2">
        <v>0</v>
      </c>
      <c r="J307" s="2">
        <v>0</v>
      </c>
      <c r="K307" s="2">
        <v>0</v>
      </c>
      <c r="L307" s="2">
        <v>0</v>
      </c>
      <c r="M307" s="2">
        <v>0</v>
      </c>
      <c r="N307" s="2">
        <v>0</v>
      </c>
      <c r="O307" s="2">
        <v>0</v>
      </c>
      <c r="P307" s="2">
        <v>0</v>
      </c>
      <c r="Q307" s="2" t="s">
        <v>488</v>
      </c>
      <c r="R307" s="2" t="s">
        <v>488</v>
      </c>
      <c r="S307" s="2" t="s">
        <v>488</v>
      </c>
      <c r="T307" s="2" t="s">
        <v>488</v>
      </c>
      <c r="U307" s="2">
        <v>0</v>
      </c>
      <c r="V307" s="2">
        <v>0</v>
      </c>
      <c r="W307">
        <f t="shared" si="4"/>
        <v>0</v>
      </c>
    </row>
    <row r="308" spans="1:23" x14ac:dyDescent="0.25">
      <c r="A308" s="2" t="s">
        <v>628</v>
      </c>
      <c r="B308" s="2" t="s">
        <v>626</v>
      </c>
      <c r="C308" s="2">
        <v>540158</v>
      </c>
      <c r="D308" s="2" t="s">
        <v>879</v>
      </c>
      <c r="E308" s="2" t="s">
        <v>109</v>
      </c>
      <c r="F308" s="2" t="s">
        <v>115</v>
      </c>
      <c r="G308" s="2">
        <v>4</v>
      </c>
      <c r="H308" s="2">
        <v>0</v>
      </c>
      <c r="I308" s="2">
        <v>0</v>
      </c>
      <c r="J308" s="2">
        <v>0</v>
      </c>
      <c r="K308" s="2">
        <v>0</v>
      </c>
      <c r="L308" s="2">
        <v>0</v>
      </c>
      <c r="M308" s="2">
        <v>0</v>
      </c>
      <c r="N308" s="2">
        <v>0</v>
      </c>
      <c r="O308" s="2">
        <v>0</v>
      </c>
      <c r="P308" s="2">
        <v>0</v>
      </c>
      <c r="Q308" s="2" t="s">
        <v>488</v>
      </c>
      <c r="R308" s="2" t="s">
        <v>488</v>
      </c>
      <c r="S308" s="2" t="s">
        <v>488</v>
      </c>
      <c r="T308" s="2" t="s">
        <v>488</v>
      </c>
      <c r="U308" s="2">
        <v>0</v>
      </c>
      <c r="V308" s="2">
        <v>0</v>
      </c>
      <c r="W308">
        <f t="shared" si="4"/>
        <v>0</v>
      </c>
    </row>
    <row r="309" spans="1:23" x14ac:dyDescent="0.25">
      <c r="A309" s="2" t="s">
        <v>628</v>
      </c>
      <c r="B309" s="2" t="s">
        <v>626</v>
      </c>
      <c r="C309" s="2">
        <v>540159</v>
      </c>
      <c r="D309" s="2" t="s">
        <v>880</v>
      </c>
      <c r="E309" s="2" t="s">
        <v>109</v>
      </c>
      <c r="F309" s="2" t="s">
        <v>115</v>
      </c>
      <c r="G309" s="2">
        <v>4</v>
      </c>
      <c r="H309" s="2">
        <v>0</v>
      </c>
      <c r="I309" s="2">
        <v>1</v>
      </c>
      <c r="J309" s="2">
        <v>0</v>
      </c>
      <c r="K309" s="2">
        <v>0</v>
      </c>
      <c r="L309" s="2">
        <v>0</v>
      </c>
      <c r="M309" s="2">
        <v>1</v>
      </c>
      <c r="N309" s="2">
        <v>1</v>
      </c>
      <c r="O309" s="2">
        <v>0</v>
      </c>
      <c r="P309" s="2">
        <v>0</v>
      </c>
      <c r="Q309" s="2" t="s">
        <v>488</v>
      </c>
      <c r="R309" s="2" t="s">
        <v>488</v>
      </c>
      <c r="S309" s="2" t="s">
        <v>488</v>
      </c>
      <c r="T309" s="2" t="s">
        <v>488</v>
      </c>
      <c r="U309" s="2">
        <v>0</v>
      </c>
      <c r="V309" s="2">
        <v>0</v>
      </c>
      <c r="W309">
        <f t="shared" si="4"/>
        <v>1</v>
      </c>
    </row>
    <row r="310" spans="1:23" x14ac:dyDescent="0.25">
      <c r="A310" s="2" t="s">
        <v>628</v>
      </c>
      <c r="B310" s="2" t="s">
        <v>626</v>
      </c>
      <c r="C310" s="2">
        <v>540288</v>
      </c>
      <c r="D310" s="2" t="s">
        <v>881</v>
      </c>
      <c r="E310" s="2" t="s">
        <v>109</v>
      </c>
      <c r="F310" s="2" t="s">
        <v>115</v>
      </c>
      <c r="G310" s="2">
        <v>4</v>
      </c>
      <c r="H310" s="2">
        <v>0</v>
      </c>
      <c r="I310" s="2">
        <v>0</v>
      </c>
      <c r="J310" s="2">
        <v>0</v>
      </c>
      <c r="K310" s="2">
        <v>0</v>
      </c>
      <c r="L310" s="2">
        <v>0</v>
      </c>
      <c r="M310" s="2">
        <v>0</v>
      </c>
      <c r="N310" s="2">
        <v>0</v>
      </c>
      <c r="O310" s="2">
        <v>0</v>
      </c>
      <c r="P310" s="2">
        <v>0</v>
      </c>
      <c r="Q310" s="2" t="s">
        <v>488</v>
      </c>
      <c r="R310" s="2" t="s">
        <v>488</v>
      </c>
      <c r="S310" s="2" t="s">
        <v>488</v>
      </c>
      <c r="T310" s="2" t="s">
        <v>488</v>
      </c>
      <c r="U310" s="2">
        <v>0</v>
      </c>
      <c r="V310" s="2">
        <v>0</v>
      </c>
      <c r="W310">
        <f t="shared" si="4"/>
        <v>0</v>
      </c>
    </row>
    <row r="311" spans="1:23" x14ac:dyDescent="0.25">
      <c r="A311" s="255" t="s">
        <v>628</v>
      </c>
      <c r="B311" s="255" t="s">
        <v>626</v>
      </c>
      <c r="C311" s="255"/>
      <c r="D311" s="255"/>
      <c r="E311" s="255" t="s">
        <v>109</v>
      </c>
      <c r="F311" s="255"/>
      <c r="G311" s="255"/>
      <c r="H311" s="255">
        <v>0</v>
      </c>
      <c r="I311" s="255">
        <v>1</v>
      </c>
      <c r="J311" s="255">
        <v>0</v>
      </c>
      <c r="K311" s="255">
        <v>0</v>
      </c>
      <c r="L311" s="255">
        <v>0</v>
      </c>
      <c r="M311" s="255">
        <v>1</v>
      </c>
      <c r="N311" s="255">
        <v>1</v>
      </c>
      <c r="O311" s="255">
        <v>0</v>
      </c>
      <c r="P311" s="255">
        <v>0</v>
      </c>
      <c r="Q311" s="255" t="s">
        <v>488</v>
      </c>
      <c r="R311" s="255" t="s">
        <v>488</v>
      </c>
      <c r="S311" s="255" t="s">
        <v>488</v>
      </c>
      <c r="T311" s="255" t="s">
        <v>488</v>
      </c>
      <c r="U311" s="255">
        <v>0</v>
      </c>
      <c r="V311" s="255">
        <v>0</v>
      </c>
      <c r="W311">
        <f t="shared" si="4"/>
        <v>1</v>
      </c>
    </row>
    <row r="312" spans="1:23" x14ac:dyDescent="0.25">
      <c r="A312" s="2" t="s">
        <v>628</v>
      </c>
      <c r="B312" s="2" t="s">
        <v>626</v>
      </c>
      <c r="C312" s="2">
        <v>545536</v>
      </c>
      <c r="D312" s="2" t="s">
        <v>882</v>
      </c>
      <c r="E312" s="2" t="s">
        <v>111</v>
      </c>
      <c r="F312" s="2" t="s">
        <v>5</v>
      </c>
      <c r="G312" s="2">
        <v>2</v>
      </c>
      <c r="H312" s="2">
        <v>0</v>
      </c>
      <c r="I312" s="2">
        <v>0</v>
      </c>
      <c r="J312" s="2">
        <v>0</v>
      </c>
      <c r="K312" s="2">
        <v>0</v>
      </c>
      <c r="L312" s="2">
        <v>0</v>
      </c>
      <c r="M312" s="2">
        <v>0</v>
      </c>
      <c r="N312" s="2">
        <v>0</v>
      </c>
      <c r="O312" s="2">
        <v>0</v>
      </c>
      <c r="P312" s="2">
        <v>0</v>
      </c>
      <c r="Q312" s="2">
        <v>0</v>
      </c>
      <c r="R312" s="2">
        <v>0</v>
      </c>
      <c r="S312" s="2" t="s">
        <v>488</v>
      </c>
      <c r="T312" s="2" t="s">
        <v>488</v>
      </c>
      <c r="U312" s="2">
        <v>0</v>
      </c>
      <c r="V312" s="2">
        <v>0</v>
      </c>
      <c r="W312">
        <f t="shared" si="4"/>
        <v>0</v>
      </c>
    </row>
    <row r="313" spans="1:23" x14ac:dyDescent="0.25">
      <c r="A313" s="2" t="s">
        <v>628</v>
      </c>
      <c r="B313" s="2" t="s">
        <v>626</v>
      </c>
      <c r="C313" s="2">
        <v>540092</v>
      </c>
      <c r="D313" s="2" t="s">
        <v>883</v>
      </c>
      <c r="E313" s="2" t="s">
        <v>111</v>
      </c>
      <c r="F313" s="2" t="s">
        <v>115</v>
      </c>
      <c r="G313" s="2">
        <v>2</v>
      </c>
      <c r="H313" s="2">
        <v>0</v>
      </c>
      <c r="I313" s="2">
        <v>0</v>
      </c>
      <c r="J313" s="2">
        <v>0</v>
      </c>
      <c r="K313" s="2">
        <v>0</v>
      </c>
      <c r="L313" s="2">
        <v>0</v>
      </c>
      <c r="M313" s="2">
        <v>0</v>
      </c>
      <c r="N313" s="2">
        <v>0</v>
      </c>
      <c r="O313" s="2">
        <v>0</v>
      </c>
      <c r="P313" s="2">
        <v>0</v>
      </c>
      <c r="Q313" s="2">
        <v>0</v>
      </c>
      <c r="R313" s="2">
        <v>0</v>
      </c>
      <c r="S313" s="2" t="s">
        <v>488</v>
      </c>
      <c r="T313" s="2" t="s">
        <v>488</v>
      </c>
      <c r="U313" s="2">
        <v>0</v>
      </c>
      <c r="V313" s="2">
        <v>0</v>
      </c>
      <c r="W313">
        <f t="shared" si="4"/>
        <v>0</v>
      </c>
    </row>
    <row r="314" spans="1:23" x14ac:dyDescent="0.25">
      <c r="A314" s="2" t="s">
        <v>628</v>
      </c>
      <c r="B314" s="2" t="s">
        <v>626</v>
      </c>
      <c r="C314" s="2">
        <v>540095</v>
      </c>
      <c r="D314" s="2" t="s">
        <v>884</v>
      </c>
      <c r="E314" s="2" t="s">
        <v>111</v>
      </c>
      <c r="F314" s="2" t="s">
        <v>115</v>
      </c>
      <c r="G314" s="2">
        <v>2</v>
      </c>
      <c r="H314" s="2">
        <v>0</v>
      </c>
      <c r="I314" s="2">
        <v>0</v>
      </c>
      <c r="J314" s="2">
        <v>0</v>
      </c>
      <c r="K314" s="2">
        <v>0</v>
      </c>
      <c r="L314" s="2">
        <v>0</v>
      </c>
      <c r="M314" s="2">
        <v>0</v>
      </c>
      <c r="N314" s="2">
        <v>0</v>
      </c>
      <c r="O314" s="2">
        <v>0</v>
      </c>
      <c r="P314" s="2">
        <v>0</v>
      </c>
      <c r="Q314" s="2">
        <v>0</v>
      </c>
      <c r="R314" s="2">
        <v>0</v>
      </c>
      <c r="S314" s="2" t="s">
        <v>488</v>
      </c>
      <c r="T314" s="2" t="s">
        <v>488</v>
      </c>
      <c r="U314" s="2">
        <v>0</v>
      </c>
      <c r="V314" s="2">
        <v>0</v>
      </c>
      <c r="W314">
        <f t="shared" si="4"/>
        <v>0</v>
      </c>
    </row>
    <row r="315" spans="1:23" x14ac:dyDescent="0.25">
      <c r="A315" s="2" t="s">
        <v>628</v>
      </c>
      <c r="B315" s="2" t="s">
        <v>626</v>
      </c>
      <c r="C315" s="2">
        <v>545535</v>
      </c>
      <c r="D315" s="2" t="s">
        <v>885</v>
      </c>
      <c r="E315" s="2" t="s">
        <v>111</v>
      </c>
      <c r="F315" s="2" t="s">
        <v>115</v>
      </c>
      <c r="G315" s="2">
        <v>2</v>
      </c>
      <c r="H315" s="2">
        <v>0</v>
      </c>
      <c r="I315" s="2">
        <v>1</v>
      </c>
      <c r="J315" s="2">
        <v>0</v>
      </c>
      <c r="K315" s="2">
        <v>0</v>
      </c>
      <c r="L315" s="2">
        <v>0</v>
      </c>
      <c r="M315" s="2">
        <v>1</v>
      </c>
      <c r="N315" s="2">
        <v>1</v>
      </c>
      <c r="O315" s="2">
        <v>0</v>
      </c>
      <c r="P315" s="2">
        <v>0</v>
      </c>
      <c r="Q315" s="2">
        <v>0</v>
      </c>
      <c r="R315" s="2">
        <v>0</v>
      </c>
      <c r="S315" s="2" t="s">
        <v>488</v>
      </c>
      <c r="T315" s="2" t="s">
        <v>488</v>
      </c>
      <c r="U315" s="2">
        <v>0</v>
      </c>
      <c r="V315" s="2">
        <v>0</v>
      </c>
      <c r="W315">
        <f t="shared" si="4"/>
        <v>1</v>
      </c>
    </row>
    <row r="316" spans="1:23" x14ac:dyDescent="0.25">
      <c r="A316" s="2" t="s">
        <v>628</v>
      </c>
      <c r="B316" s="2" t="s">
        <v>626</v>
      </c>
      <c r="C316" s="2">
        <v>545537</v>
      </c>
      <c r="D316" s="2" t="s">
        <v>886</v>
      </c>
      <c r="E316" s="2" t="s">
        <v>111</v>
      </c>
      <c r="F316" s="2" t="s">
        <v>115</v>
      </c>
      <c r="G316" s="2">
        <v>2</v>
      </c>
      <c r="H316" s="2">
        <v>0</v>
      </c>
      <c r="I316" s="2">
        <v>0</v>
      </c>
      <c r="J316" s="2">
        <v>0</v>
      </c>
      <c r="K316" s="2">
        <v>0</v>
      </c>
      <c r="L316" s="2">
        <v>0</v>
      </c>
      <c r="M316" s="2">
        <v>0</v>
      </c>
      <c r="N316" s="2">
        <v>0</v>
      </c>
      <c r="O316" s="2">
        <v>0</v>
      </c>
      <c r="P316" s="2">
        <v>0</v>
      </c>
      <c r="Q316" s="2">
        <v>0</v>
      </c>
      <c r="R316" s="2">
        <v>0</v>
      </c>
      <c r="S316" s="2" t="s">
        <v>488</v>
      </c>
      <c r="T316" s="2" t="s">
        <v>488</v>
      </c>
      <c r="U316" s="2">
        <v>0</v>
      </c>
      <c r="V316" s="2">
        <v>0</v>
      </c>
      <c r="W316">
        <f t="shared" si="4"/>
        <v>0</v>
      </c>
    </row>
    <row r="317" spans="1:23" x14ac:dyDescent="0.25">
      <c r="A317" s="2" t="s">
        <v>628</v>
      </c>
      <c r="B317" s="2" t="s">
        <v>626</v>
      </c>
      <c r="C317" s="2">
        <v>545539</v>
      </c>
      <c r="D317" s="2" t="s">
        <v>887</v>
      </c>
      <c r="E317" s="2" t="s">
        <v>111</v>
      </c>
      <c r="F317" s="2" t="s">
        <v>115</v>
      </c>
      <c r="G317" s="2">
        <v>2</v>
      </c>
      <c r="H317" s="2">
        <v>0</v>
      </c>
      <c r="I317" s="2">
        <v>0</v>
      </c>
      <c r="J317" s="2">
        <v>0</v>
      </c>
      <c r="K317" s="2">
        <v>0</v>
      </c>
      <c r="L317" s="2">
        <v>0</v>
      </c>
      <c r="M317" s="2">
        <v>0</v>
      </c>
      <c r="N317" s="2">
        <v>0</v>
      </c>
      <c r="O317" s="2">
        <v>0</v>
      </c>
      <c r="P317" s="2">
        <v>0</v>
      </c>
      <c r="Q317" s="2">
        <v>0</v>
      </c>
      <c r="R317" s="2">
        <v>0</v>
      </c>
      <c r="S317" s="2" t="s">
        <v>488</v>
      </c>
      <c r="T317" s="2" t="s">
        <v>488</v>
      </c>
      <c r="U317" s="2">
        <v>0</v>
      </c>
      <c r="V317" s="2">
        <v>0</v>
      </c>
      <c r="W317">
        <f t="shared" si="4"/>
        <v>0</v>
      </c>
    </row>
    <row r="318" spans="1:23" x14ac:dyDescent="0.25">
      <c r="A318" s="255" t="s">
        <v>628</v>
      </c>
      <c r="B318" s="255" t="s">
        <v>626</v>
      </c>
      <c r="C318" s="255"/>
      <c r="D318" s="255"/>
      <c r="E318" s="255" t="s">
        <v>111</v>
      </c>
      <c r="F318" s="255"/>
      <c r="G318" s="255"/>
      <c r="H318" s="255">
        <v>0</v>
      </c>
      <c r="I318" s="255">
        <v>1</v>
      </c>
      <c r="J318" s="255">
        <v>0</v>
      </c>
      <c r="K318" s="255">
        <v>0</v>
      </c>
      <c r="L318" s="255">
        <v>0</v>
      </c>
      <c r="M318" s="255">
        <v>1</v>
      </c>
      <c r="N318" s="255">
        <v>1</v>
      </c>
      <c r="O318" s="255">
        <v>0</v>
      </c>
      <c r="P318" s="255">
        <v>0</v>
      </c>
      <c r="Q318" s="255">
        <v>0</v>
      </c>
      <c r="R318" s="255">
        <v>0</v>
      </c>
      <c r="S318" s="255" t="s">
        <v>488</v>
      </c>
      <c r="T318" s="255" t="s">
        <v>488</v>
      </c>
      <c r="U318" s="255">
        <v>0</v>
      </c>
      <c r="V318" s="255">
        <v>0</v>
      </c>
      <c r="W318">
        <f t="shared" si="4"/>
        <v>1</v>
      </c>
    </row>
    <row r="319" spans="1:23" x14ac:dyDescent="0.25">
      <c r="A319" s="2" t="s">
        <v>628</v>
      </c>
      <c r="B319" s="2" t="s">
        <v>626</v>
      </c>
      <c r="C319" s="2">
        <v>540191</v>
      </c>
      <c r="D319" s="2" t="s">
        <v>888</v>
      </c>
      <c r="E319" s="2" t="s">
        <v>113</v>
      </c>
      <c r="F319" s="2" t="s">
        <v>5</v>
      </c>
      <c r="G319" s="2">
        <v>7</v>
      </c>
      <c r="H319" s="2">
        <v>0</v>
      </c>
      <c r="I319" s="2">
        <v>0</v>
      </c>
      <c r="J319" s="2">
        <v>0</v>
      </c>
      <c r="K319" s="2">
        <v>0</v>
      </c>
      <c r="L319" s="2">
        <v>0</v>
      </c>
      <c r="M319" s="2">
        <v>0</v>
      </c>
      <c r="N319" s="2">
        <v>0</v>
      </c>
      <c r="O319" s="2">
        <v>0</v>
      </c>
      <c r="P319" s="2">
        <v>0</v>
      </c>
      <c r="Q319" s="2">
        <v>0</v>
      </c>
      <c r="R319" s="2">
        <v>0</v>
      </c>
      <c r="S319" s="2" t="s">
        <v>488</v>
      </c>
      <c r="T319" s="2" t="s">
        <v>488</v>
      </c>
      <c r="U319" s="2">
        <v>0</v>
      </c>
      <c r="V319" s="2">
        <v>0</v>
      </c>
      <c r="W319">
        <f t="shared" si="4"/>
        <v>0</v>
      </c>
    </row>
    <row r="320" spans="1:23" x14ac:dyDescent="0.25">
      <c r="A320" s="2" t="s">
        <v>628</v>
      </c>
      <c r="B320" s="2" t="s">
        <v>626</v>
      </c>
      <c r="C320" s="2">
        <v>540193</v>
      </c>
      <c r="D320" s="2" t="s">
        <v>889</v>
      </c>
      <c r="E320" s="2" t="s">
        <v>113</v>
      </c>
      <c r="F320" s="2" t="s">
        <v>115</v>
      </c>
      <c r="G320" s="2">
        <v>7</v>
      </c>
      <c r="H320" s="2">
        <v>0</v>
      </c>
      <c r="I320" s="2">
        <v>0</v>
      </c>
      <c r="J320" s="2">
        <v>0</v>
      </c>
      <c r="K320" s="2">
        <v>0</v>
      </c>
      <c r="L320" s="2">
        <v>0</v>
      </c>
      <c r="M320" s="2">
        <v>0</v>
      </c>
      <c r="N320" s="2">
        <v>0</v>
      </c>
      <c r="O320" s="2">
        <v>0</v>
      </c>
      <c r="P320" s="2">
        <v>0</v>
      </c>
      <c r="Q320" s="2">
        <v>0</v>
      </c>
      <c r="R320" s="2">
        <v>0</v>
      </c>
      <c r="S320" s="2" t="s">
        <v>488</v>
      </c>
      <c r="T320" s="2" t="s">
        <v>488</v>
      </c>
      <c r="U320" s="2">
        <v>0</v>
      </c>
      <c r="V320" s="2">
        <v>0</v>
      </c>
      <c r="W320">
        <f t="shared" si="4"/>
        <v>0</v>
      </c>
    </row>
    <row r="321" spans="1:23" x14ac:dyDescent="0.25">
      <c r="A321" s="2" t="s">
        <v>628</v>
      </c>
      <c r="B321" s="2" t="s">
        <v>626</v>
      </c>
      <c r="C321" s="2">
        <v>540192</v>
      </c>
      <c r="D321" s="2" t="s">
        <v>890</v>
      </c>
      <c r="E321" s="2" t="s">
        <v>113</v>
      </c>
      <c r="F321" s="2" t="s">
        <v>115</v>
      </c>
      <c r="G321" s="2">
        <v>7</v>
      </c>
      <c r="H321" s="2">
        <v>0</v>
      </c>
      <c r="I321" s="2">
        <v>0</v>
      </c>
      <c r="J321" s="2">
        <v>0</v>
      </c>
      <c r="K321" s="2">
        <v>0</v>
      </c>
      <c r="L321" s="2">
        <v>0</v>
      </c>
      <c r="M321" s="2">
        <v>0</v>
      </c>
      <c r="N321" s="2">
        <v>0</v>
      </c>
      <c r="O321" s="2">
        <v>0</v>
      </c>
      <c r="P321" s="2">
        <v>0</v>
      </c>
      <c r="Q321" s="2">
        <v>0</v>
      </c>
      <c r="R321" s="2">
        <v>0</v>
      </c>
      <c r="S321" s="2" t="s">
        <v>488</v>
      </c>
      <c r="T321" s="2" t="s">
        <v>488</v>
      </c>
      <c r="U321" s="2">
        <v>0</v>
      </c>
      <c r="V321" s="2">
        <v>0</v>
      </c>
      <c r="W321">
        <f t="shared" si="4"/>
        <v>0</v>
      </c>
    </row>
    <row r="322" spans="1:23" x14ac:dyDescent="0.25">
      <c r="A322" s="2" t="s">
        <v>628</v>
      </c>
      <c r="B322" s="2" t="s">
        <v>626</v>
      </c>
      <c r="C322" s="2">
        <v>540194</v>
      </c>
      <c r="D322" s="2" t="s">
        <v>891</v>
      </c>
      <c r="E322" s="2" t="s">
        <v>113</v>
      </c>
      <c r="F322" s="2" t="s">
        <v>115</v>
      </c>
      <c r="G322" s="2">
        <v>7</v>
      </c>
      <c r="H322" s="2">
        <v>0</v>
      </c>
      <c r="I322" s="2">
        <v>0</v>
      </c>
      <c r="J322" s="2">
        <v>0</v>
      </c>
      <c r="K322" s="2">
        <v>0</v>
      </c>
      <c r="L322" s="2">
        <v>0</v>
      </c>
      <c r="M322" s="2">
        <v>0</v>
      </c>
      <c r="N322" s="2">
        <v>0</v>
      </c>
      <c r="O322" s="2">
        <v>0</v>
      </c>
      <c r="P322" s="2">
        <v>0</v>
      </c>
      <c r="Q322" s="2">
        <v>0</v>
      </c>
      <c r="R322" s="2">
        <v>0</v>
      </c>
      <c r="S322" s="2" t="s">
        <v>488</v>
      </c>
      <c r="T322" s="2" t="s">
        <v>488</v>
      </c>
      <c r="U322" s="2">
        <v>0</v>
      </c>
      <c r="V322" s="2">
        <v>0</v>
      </c>
      <c r="W322">
        <f t="shared" si="4"/>
        <v>0</v>
      </c>
    </row>
    <row r="323" spans="1:23" x14ac:dyDescent="0.25">
      <c r="A323" s="2" t="s">
        <v>628</v>
      </c>
      <c r="B323" s="2" t="s">
        <v>626</v>
      </c>
      <c r="C323" s="2">
        <v>540261</v>
      </c>
      <c r="D323" s="2" t="s">
        <v>892</v>
      </c>
      <c r="E323" s="2" t="s">
        <v>113</v>
      </c>
      <c r="F323" s="2" t="s">
        <v>115</v>
      </c>
      <c r="G323" s="2">
        <v>7</v>
      </c>
      <c r="H323" s="2">
        <v>0</v>
      </c>
      <c r="I323" s="2">
        <v>0</v>
      </c>
      <c r="J323" s="2">
        <v>0</v>
      </c>
      <c r="K323" s="2">
        <v>0</v>
      </c>
      <c r="L323" s="2">
        <v>0</v>
      </c>
      <c r="M323" s="2">
        <v>0</v>
      </c>
      <c r="N323" s="2">
        <v>0</v>
      </c>
      <c r="O323" s="2">
        <v>0</v>
      </c>
      <c r="P323" s="2">
        <v>0</v>
      </c>
      <c r="Q323" s="2">
        <v>0</v>
      </c>
      <c r="R323" s="2">
        <v>0</v>
      </c>
      <c r="S323" s="2" t="s">
        <v>488</v>
      </c>
      <c r="T323" s="2" t="s">
        <v>488</v>
      </c>
      <c r="U323" s="2">
        <v>0</v>
      </c>
      <c r="V323" s="2">
        <v>0</v>
      </c>
      <c r="W323">
        <f t="shared" ref="W323:W386" si="5">SUM(N323,P323,R323,T323,U323,V323)</f>
        <v>0</v>
      </c>
    </row>
    <row r="324" spans="1:23" x14ac:dyDescent="0.25">
      <c r="A324" s="2" t="s">
        <v>628</v>
      </c>
      <c r="B324" s="2" t="s">
        <v>626</v>
      </c>
      <c r="C324" s="2">
        <v>540260</v>
      </c>
      <c r="D324" s="2" t="s">
        <v>893</v>
      </c>
      <c r="E324" s="2" t="s">
        <v>113</v>
      </c>
      <c r="F324" s="2" t="s">
        <v>115</v>
      </c>
      <c r="G324" s="2">
        <v>7</v>
      </c>
      <c r="H324" s="2">
        <v>0</v>
      </c>
      <c r="I324" s="2">
        <v>0</v>
      </c>
      <c r="J324" s="2">
        <v>0</v>
      </c>
      <c r="K324" s="2">
        <v>0</v>
      </c>
      <c r="L324" s="2">
        <v>0</v>
      </c>
      <c r="M324" s="2">
        <v>0</v>
      </c>
      <c r="N324" s="2">
        <v>0</v>
      </c>
      <c r="O324" s="2">
        <v>0</v>
      </c>
      <c r="P324" s="2">
        <v>0</v>
      </c>
      <c r="Q324" s="2">
        <v>0</v>
      </c>
      <c r="R324" s="2">
        <v>0</v>
      </c>
      <c r="S324" s="2" t="s">
        <v>488</v>
      </c>
      <c r="T324" s="2" t="s">
        <v>488</v>
      </c>
      <c r="U324" s="2">
        <v>0</v>
      </c>
      <c r="V324" s="2">
        <v>0</v>
      </c>
      <c r="W324">
        <f t="shared" si="5"/>
        <v>0</v>
      </c>
    </row>
    <row r="325" spans="1:23" x14ac:dyDescent="0.25">
      <c r="A325" s="255" t="s">
        <v>628</v>
      </c>
      <c r="B325" s="255" t="s">
        <v>626</v>
      </c>
      <c r="C325" s="255"/>
      <c r="D325" s="255"/>
      <c r="E325" s="255" t="s">
        <v>113</v>
      </c>
      <c r="F325" s="255"/>
      <c r="G325" s="255"/>
      <c r="H325" s="255">
        <v>0</v>
      </c>
      <c r="I325" s="255">
        <v>0</v>
      </c>
      <c r="J325" s="255">
        <v>0</v>
      </c>
      <c r="K325" s="255">
        <v>0</v>
      </c>
      <c r="L325" s="255">
        <v>0</v>
      </c>
      <c r="M325" s="255">
        <v>0</v>
      </c>
      <c r="N325" s="255">
        <v>0</v>
      </c>
      <c r="O325" s="255">
        <v>0</v>
      </c>
      <c r="P325" s="255">
        <v>0</v>
      </c>
      <c r="Q325" s="255">
        <v>0</v>
      </c>
      <c r="R325" s="255">
        <v>0</v>
      </c>
      <c r="S325" s="255" t="s">
        <v>488</v>
      </c>
      <c r="T325" s="255" t="s">
        <v>488</v>
      </c>
      <c r="U325" s="255">
        <v>0</v>
      </c>
      <c r="V325" s="255">
        <v>0</v>
      </c>
      <c r="W325">
        <f t="shared" si="5"/>
        <v>0</v>
      </c>
    </row>
    <row r="326" spans="1:23" x14ac:dyDescent="0.25">
      <c r="A326" s="2" t="s">
        <v>628</v>
      </c>
      <c r="B326" s="2" t="s">
        <v>626</v>
      </c>
      <c r="C326" s="2">
        <v>540027</v>
      </c>
      <c r="D326" s="2" t="s">
        <v>894</v>
      </c>
      <c r="E326" s="2" t="s">
        <v>21</v>
      </c>
      <c r="F326" s="2" t="s">
        <v>115</v>
      </c>
      <c r="G326" s="2">
        <v>4</v>
      </c>
      <c r="H326" s="2">
        <v>0</v>
      </c>
      <c r="I326" s="2">
        <v>0</v>
      </c>
      <c r="J326" s="2">
        <v>0</v>
      </c>
      <c r="K326" s="2">
        <v>0</v>
      </c>
      <c r="L326" s="2">
        <v>0</v>
      </c>
      <c r="M326" s="2">
        <v>0</v>
      </c>
      <c r="N326" s="2">
        <v>0</v>
      </c>
      <c r="O326" s="2">
        <v>0</v>
      </c>
      <c r="P326" s="2">
        <v>0</v>
      </c>
      <c r="Q326" s="2">
        <v>0</v>
      </c>
      <c r="R326" s="2">
        <v>0</v>
      </c>
      <c r="S326" s="2" t="s">
        <v>488</v>
      </c>
      <c r="T326" s="2" t="s">
        <v>488</v>
      </c>
      <c r="U326" s="2">
        <v>0</v>
      </c>
      <c r="V326" s="2">
        <v>0</v>
      </c>
      <c r="W326">
        <f t="shared" si="5"/>
        <v>0</v>
      </c>
    </row>
    <row r="327" spans="1:23" x14ac:dyDescent="0.25">
      <c r="A327" s="2" t="s">
        <v>628</v>
      </c>
      <c r="B327" s="2" t="s">
        <v>626</v>
      </c>
      <c r="C327" s="2">
        <v>540028</v>
      </c>
      <c r="D327" s="2" t="s">
        <v>895</v>
      </c>
      <c r="E327" s="2" t="s">
        <v>21</v>
      </c>
      <c r="F327" s="2" t="s">
        <v>115</v>
      </c>
      <c r="G327" s="2">
        <v>4</v>
      </c>
      <c r="H327" s="2">
        <v>0</v>
      </c>
      <c r="I327" s="2">
        <v>0</v>
      </c>
      <c r="J327" s="2">
        <v>0</v>
      </c>
      <c r="K327" s="2">
        <v>0</v>
      </c>
      <c r="L327" s="2">
        <v>0</v>
      </c>
      <c r="M327" s="2">
        <v>0</v>
      </c>
      <c r="N327" s="2">
        <v>0</v>
      </c>
      <c r="O327" s="2">
        <v>0</v>
      </c>
      <c r="P327" s="2">
        <v>0</v>
      </c>
      <c r="Q327" s="2">
        <v>0</v>
      </c>
      <c r="R327" s="2">
        <v>0</v>
      </c>
      <c r="S327" s="2" t="s">
        <v>488</v>
      </c>
      <c r="T327" s="2" t="s">
        <v>488</v>
      </c>
      <c r="U327" s="2">
        <v>0</v>
      </c>
      <c r="V327" s="2">
        <v>0</v>
      </c>
      <c r="W327">
        <f t="shared" si="5"/>
        <v>0</v>
      </c>
    </row>
    <row r="328" spans="1:23" x14ac:dyDescent="0.25">
      <c r="A328" s="2" t="s">
        <v>628</v>
      </c>
      <c r="B328" s="2" t="s">
        <v>626</v>
      </c>
      <c r="C328" s="2">
        <v>540029</v>
      </c>
      <c r="D328" s="2" t="s">
        <v>701</v>
      </c>
      <c r="E328" s="2" t="s">
        <v>21</v>
      </c>
      <c r="F328" s="2" t="s">
        <v>115</v>
      </c>
      <c r="G328" s="2">
        <v>4</v>
      </c>
      <c r="H328" s="2">
        <v>0</v>
      </c>
      <c r="I328" s="2">
        <v>0</v>
      </c>
      <c r="J328" s="2">
        <v>0</v>
      </c>
      <c r="K328" s="2">
        <v>0</v>
      </c>
      <c r="L328" s="2">
        <v>0</v>
      </c>
      <c r="M328" s="2">
        <v>0</v>
      </c>
      <c r="N328" s="2">
        <v>0</v>
      </c>
      <c r="O328" s="2">
        <v>0</v>
      </c>
      <c r="P328" s="2">
        <v>0</v>
      </c>
      <c r="Q328" s="2">
        <v>0</v>
      </c>
      <c r="R328" s="2">
        <v>0</v>
      </c>
      <c r="S328" s="2" t="s">
        <v>488</v>
      </c>
      <c r="T328" s="2" t="s">
        <v>488</v>
      </c>
      <c r="U328" s="2">
        <v>0</v>
      </c>
      <c r="V328" s="2">
        <v>0</v>
      </c>
      <c r="W328">
        <f t="shared" si="5"/>
        <v>0</v>
      </c>
    </row>
    <row r="329" spans="1:23" x14ac:dyDescent="0.25">
      <c r="A329" s="2" t="s">
        <v>628</v>
      </c>
      <c r="B329" s="2" t="s">
        <v>626</v>
      </c>
      <c r="C329" s="2">
        <v>540031</v>
      </c>
      <c r="D329" s="2" t="s">
        <v>896</v>
      </c>
      <c r="E329" s="2" t="s">
        <v>21</v>
      </c>
      <c r="F329" s="2" t="s">
        <v>115</v>
      </c>
      <c r="G329" s="2">
        <v>4</v>
      </c>
      <c r="H329" s="2">
        <v>0</v>
      </c>
      <c r="I329" s="2">
        <v>0</v>
      </c>
      <c r="J329" s="2">
        <v>0</v>
      </c>
      <c r="K329" s="2">
        <v>0</v>
      </c>
      <c r="L329" s="2">
        <v>0</v>
      </c>
      <c r="M329" s="2">
        <v>0</v>
      </c>
      <c r="N329" s="2">
        <v>0</v>
      </c>
      <c r="O329" s="2">
        <v>0</v>
      </c>
      <c r="P329" s="2">
        <v>0</v>
      </c>
      <c r="Q329" s="2">
        <v>0</v>
      </c>
      <c r="R329" s="2">
        <v>0</v>
      </c>
      <c r="S329" s="2" t="s">
        <v>488</v>
      </c>
      <c r="T329" s="2" t="s">
        <v>488</v>
      </c>
      <c r="U329" s="2">
        <v>0</v>
      </c>
      <c r="V329" s="2">
        <v>0</v>
      </c>
      <c r="W329">
        <f t="shared" si="5"/>
        <v>0</v>
      </c>
    </row>
    <row r="330" spans="1:23" x14ac:dyDescent="0.25">
      <c r="A330" s="2" t="s">
        <v>628</v>
      </c>
      <c r="B330" s="2" t="s">
        <v>626</v>
      </c>
      <c r="C330" s="2">
        <v>540032</v>
      </c>
      <c r="D330" s="2" t="s">
        <v>897</v>
      </c>
      <c r="E330" s="2" t="s">
        <v>21</v>
      </c>
      <c r="F330" s="2" t="s">
        <v>115</v>
      </c>
      <c r="G330" s="2">
        <v>4</v>
      </c>
      <c r="H330" s="2">
        <v>0</v>
      </c>
      <c r="I330" s="2">
        <v>0</v>
      </c>
      <c r="J330" s="2">
        <v>0</v>
      </c>
      <c r="K330" s="2">
        <v>0</v>
      </c>
      <c r="L330" s="2">
        <v>0</v>
      </c>
      <c r="M330" s="2">
        <v>0</v>
      </c>
      <c r="N330" s="2">
        <v>0</v>
      </c>
      <c r="O330" s="2">
        <v>0</v>
      </c>
      <c r="P330" s="2">
        <v>0</v>
      </c>
      <c r="Q330" s="2">
        <v>0</v>
      </c>
      <c r="R330" s="2">
        <v>0</v>
      </c>
      <c r="S330" s="2" t="s">
        <v>488</v>
      </c>
      <c r="T330" s="2" t="s">
        <v>488</v>
      </c>
      <c r="U330" s="2">
        <v>0</v>
      </c>
      <c r="V330" s="2">
        <v>0</v>
      </c>
      <c r="W330">
        <f t="shared" si="5"/>
        <v>0</v>
      </c>
    </row>
    <row r="331" spans="1:23" x14ac:dyDescent="0.25">
      <c r="A331" s="2" t="s">
        <v>628</v>
      </c>
      <c r="B331" s="2" t="s">
        <v>626</v>
      </c>
      <c r="C331" s="2">
        <v>540050</v>
      </c>
      <c r="D331" s="2" t="s">
        <v>898</v>
      </c>
      <c r="E331" s="2" t="s">
        <v>21</v>
      </c>
      <c r="F331" s="2" t="s">
        <v>115</v>
      </c>
      <c r="G331" s="2">
        <v>4</v>
      </c>
      <c r="H331" s="2">
        <v>0</v>
      </c>
      <c r="I331" s="2">
        <v>0</v>
      </c>
      <c r="J331" s="2">
        <v>0</v>
      </c>
      <c r="K331" s="2">
        <v>0</v>
      </c>
      <c r="L331" s="2">
        <v>0</v>
      </c>
      <c r="M331" s="2">
        <v>0</v>
      </c>
      <c r="N331" s="2">
        <v>0</v>
      </c>
      <c r="O331" s="2">
        <v>0</v>
      </c>
      <c r="P331" s="2">
        <v>0</v>
      </c>
      <c r="Q331" s="2">
        <v>0</v>
      </c>
      <c r="R331" s="2">
        <v>0</v>
      </c>
      <c r="S331" s="2" t="s">
        <v>488</v>
      </c>
      <c r="T331" s="2" t="s">
        <v>488</v>
      </c>
      <c r="U331" s="2">
        <v>0</v>
      </c>
      <c r="V331" s="2">
        <v>0</v>
      </c>
      <c r="W331">
        <f t="shared" si="5"/>
        <v>0</v>
      </c>
    </row>
    <row r="332" spans="1:23" x14ac:dyDescent="0.25">
      <c r="A332" s="2" t="s">
        <v>628</v>
      </c>
      <c r="B332" s="2" t="s">
        <v>626</v>
      </c>
      <c r="C332" s="2">
        <v>540293</v>
      </c>
      <c r="D332" s="2" t="s">
        <v>899</v>
      </c>
      <c r="E332" s="2" t="s">
        <v>21</v>
      </c>
      <c r="F332" s="2" t="s">
        <v>115</v>
      </c>
      <c r="G332" s="2">
        <v>4</v>
      </c>
      <c r="H332" s="2">
        <v>0</v>
      </c>
      <c r="I332" s="2">
        <v>0</v>
      </c>
      <c r="J332" s="2">
        <v>0</v>
      </c>
      <c r="K332" s="2">
        <v>0</v>
      </c>
      <c r="L332" s="2">
        <v>0</v>
      </c>
      <c r="M332" s="2">
        <v>0</v>
      </c>
      <c r="N332" s="2">
        <v>0</v>
      </c>
      <c r="O332" s="2">
        <v>0</v>
      </c>
      <c r="P332" s="2">
        <v>0</v>
      </c>
      <c r="Q332" s="2">
        <v>0</v>
      </c>
      <c r="R332" s="2">
        <v>0</v>
      </c>
      <c r="S332" s="2" t="s">
        <v>488</v>
      </c>
      <c r="T332" s="2" t="s">
        <v>488</v>
      </c>
      <c r="U332" s="2">
        <v>0</v>
      </c>
      <c r="V332" s="2">
        <v>0</v>
      </c>
      <c r="W332">
        <f t="shared" si="5"/>
        <v>0</v>
      </c>
    </row>
    <row r="333" spans="1:23" x14ac:dyDescent="0.25">
      <c r="A333" s="2" t="s">
        <v>628</v>
      </c>
      <c r="B333" s="2" t="s">
        <v>626</v>
      </c>
      <c r="C333" s="2">
        <v>540294</v>
      </c>
      <c r="D333" s="2" t="s">
        <v>900</v>
      </c>
      <c r="E333" s="2" t="s">
        <v>21</v>
      </c>
      <c r="F333" s="2" t="s">
        <v>115</v>
      </c>
      <c r="G333" s="2">
        <v>4</v>
      </c>
      <c r="H333" s="2">
        <v>0</v>
      </c>
      <c r="I333" s="2">
        <v>0</v>
      </c>
      <c r="J333" s="2">
        <v>0</v>
      </c>
      <c r="K333" s="2">
        <v>0</v>
      </c>
      <c r="L333" s="2">
        <v>0</v>
      </c>
      <c r="M333" s="2">
        <v>0</v>
      </c>
      <c r="N333" s="2">
        <v>0</v>
      </c>
      <c r="O333" s="2">
        <v>0</v>
      </c>
      <c r="P333" s="2">
        <v>0</v>
      </c>
      <c r="Q333" s="2">
        <v>0</v>
      </c>
      <c r="R333" s="2">
        <v>0</v>
      </c>
      <c r="S333" s="2" t="s">
        <v>488</v>
      </c>
      <c r="T333" s="2" t="s">
        <v>488</v>
      </c>
      <c r="U333" s="2">
        <v>0</v>
      </c>
      <c r="V333" s="2">
        <v>0</v>
      </c>
      <c r="W333">
        <f t="shared" si="5"/>
        <v>0</v>
      </c>
    </row>
    <row r="334" spans="1:23" x14ac:dyDescent="0.25">
      <c r="A334" s="2" t="s">
        <v>628</v>
      </c>
      <c r="B334" s="2" t="s">
        <v>626</v>
      </c>
      <c r="C334" s="2">
        <v>540033</v>
      </c>
      <c r="D334" s="2" t="s">
        <v>716</v>
      </c>
      <c r="E334" s="2" t="s">
        <v>21</v>
      </c>
      <c r="F334" s="2" t="s">
        <v>115</v>
      </c>
      <c r="G334" s="2">
        <v>4</v>
      </c>
      <c r="H334" s="2">
        <v>0</v>
      </c>
      <c r="I334" s="2">
        <v>0</v>
      </c>
      <c r="J334" s="2">
        <v>0</v>
      </c>
      <c r="K334" s="2">
        <v>0</v>
      </c>
      <c r="L334" s="2">
        <v>0</v>
      </c>
      <c r="M334" s="2">
        <v>0</v>
      </c>
      <c r="N334" s="2">
        <v>0</v>
      </c>
      <c r="O334" s="2">
        <v>0</v>
      </c>
      <c r="P334" s="2">
        <v>0</v>
      </c>
      <c r="Q334" s="2">
        <v>0</v>
      </c>
      <c r="R334" s="2">
        <v>0</v>
      </c>
      <c r="S334" s="2" t="s">
        <v>488</v>
      </c>
      <c r="T334" s="2" t="s">
        <v>488</v>
      </c>
      <c r="U334" s="2">
        <v>0</v>
      </c>
      <c r="V334" s="2">
        <v>0</v>
      </c>
      <c r="W334">
        <f t="shared" si="5"/>
        <v>0</v>
      </c>
    </row>
    <row r="335" spans="1:23" x14ac:dyDescent="0.25">
      <c r="A335" s="2" t="s">
        <v>628</v>
      </c>
      <c r="B335" s="2" t="s">
        <v>626</v>
      </c>
      <c r="C335" s="2">
        <v>540280</v>
      </c>
      <c r="D335" s="2" t="s">
        <v>901</v>
      </c>
      <c r="E335" s="2" t="s">
        <v>21</v>
      </c>
      <c r="F335" s="2" t="s">
        <v>115</v>
      </c>
      <c r="G335" s="2">
        <v>4</v>
      </c>
      <c r="H335" s="2">
        <v>0</v>
      </c>
      <c r="I335" s="2">
        <v>0</v>
      </c>
      <c r="J335" s="2">
        <v>0</v>
      </c>
      <c r="K335" s="2">
        <v>0</v>
      </c>
      <c r="L335" s="2">
        <v>0</v>
      </c>
      <c r="M335" s="2">
        <v>0</v>
      </c>
      <c r="N335" s="2">
        <v>0</v>
      </c>
      <c r="O335" s="2">
        <v>0</v>
      </c>
      <c r="P335" s="2">
        <v>0</v>
      </c>
      <c r="Q335" s="2">
        <v>0</v>
      </c>
      <c r="R335" s="2">
        <v>0</v>
      </c>
      <c r="S335" s="2" t="s">
        <v>488</v>
      </c>
      <c r="T335" s="2" t="s">
        <v>488</v>
      </c>
      <c r="U335" s="2">
        <v>0</v>
      </c>
      <c r="V335" s="2">
        <v>0</v>
      </c>
      <c r="W335">
        <f t="shared" si="5"/>
        <v>0</v>
      </c>
    </row>
    <row r="336" spans="1:23" x14ac:dyDescent="0.25">
      <c r="A336" s="2" t="s">
        <v>628</v>
      </c>
      <c r="B336" s="2" t="s">
        <v>626</v>
      </c>
      <c r="C336" s="2">
        <v>540026</v>
      </c>
      <c r="D336" s="2" t="s">
        <v>902</v>
      </c>
      <c r="E336" s="2" t="s">
        <v>21</v>
      </c>
      <c r="F336" s="2" t="s">
        <v>5</v>
      </c>
      <c r="G336" s="2">
        <v>4</v>
      </c>
      <c r="H336" s="2">
        <v>0</v>
      </c>
      <c r="I336" s="2">
        <v>0</v>
      </c>
      <c r="J336" s="2">
        <v>0</v>
      </c>
      <c r="K336" s="2">
        <v>0</v>
      </c>
      <c r="L336" s="2">
        <v>0</v>
      </c>
      <c r="M336" s="2">
        <v>0</v>
      </c>
      <c r="N336" s="2">
        <v>0</v>
      </c>
      <c r="O336" s="2">
        <v>0</v>
      </c>
      <c r="P336" s="2">
        <v>0</v>
      </c>
      <c r="Q336" s="2">
        <v>0</v>
      </c>
      <c r="R336" s="2">
        <v>0</v>
      </c>
      <c r="S336" s="2" t="s">
        <v>488</v>
      </c>
      <c r="T336" s="2" t="s">
        <v>488</v>
      </c>
      <c r="U336" s="2">
        <v>0</v>
      </c>
      <c r="V336" s="2">
        <v>0</v>
      </c>
      <c r="W336">
        <f t="shared" si="5"/>
        <v>0</v>
      </c>
    </row>
    <row r="337" spans="1:23" x14ac:dyDescent="0.25">
      <c r="A337" s="255" t="s">
        <v>628</v>
      </c>
      <c r="B337" s="255" t="s">
        <v>626</v>
      </c>
      <c r="C337" s="255"/>
      <c r="D337" s="255"/>
      <c r="E337" s="255" t="s">
        <v>21</v>
      </c>
      <c r="F337" s="255"/>
      <c r="G337" s="255"/>
      <c r="H337" s="255">
        <v>0</v>
      </c>
      <c r="I337" s="255">
        <v>0</v>
      </c>
      <c r="J337" s="255">
        <v>0</v>
      </c>
      <c r="K337" s="255">
        <v>0</v>
      </c>
      <c r="L337" s="255">
        <v>0</v>
      </c>
      <c r="M337" s="255">
        <v>0</v>
      </c>
      <c r="N337" s="255">
        <v>0</v>
      </c>
      <c r="O337" s="255">
        <v>0</v>
      </c>
      <c r="P337" s="255">
        <v>0</v>
      </c>
      <c r="Q337" s="255">
        <v>0</v>
      </c>
      <c r="R337" s="255">
        <v>0</v>
      </c>
      <c r="S337" s="255" t="s">
        <v>488</v>
      </c>
      <c r="T337" s="255" t="s">
        <v>488</v>
      </c>
      <c r="U337" s="255">
        <v>0</v>
      </c>
      <c r="V337" s="255">
        <v>0</v>
      </c>
      <c r="W337">
        <f t="shared" si="5"/>
        <v>0</v>
      </c>
    </row>
    <row r="338" spans="1:23" x14ac:dyDescent="0.25">
      <c r="A338" s="2" t="s">
        <v>628</v>
      </c>
      <c r="B338" s="2" t="s">
        <v>626</v>
      </c>
      <c r="C338" s="2">
        <v>540176</v>
      </c>
      <c r="D338" s="2" t="s">
        <v>903</v>
      </c>
      <c r="E338" s="2" t="s">
        <v>75</v>
      </c>
      <c r="F338" s="2" t="s">
        <v>115</v>
      </c>
      <c r="G338" s="2">
        <v>7</v>
      </c>
      <c r="H338" s="2">
        <v>0</v>
      </c>
      <c r="I338" s="2">
        <v>0</v>
      </c>
      <c r="J338" s="2">
        <v>0</v>
      </c>
      <c r="K338" s="2">
        <v>0</v>
      </c>
      <c r="L338" s="2">
        <v>0</v>
      </c>
      <c r="M338" s="2">
        <v>0</v>
      </c>
      <c r="N338" s="2">
        <v>0</v>
      </c>
      <c r="O338" s="2">
        <v>0</v>
      </c>
      <c r="P338" s="2">
        <v>0</v>
      </c>
      <c r="Q338" s="2">
        <v>0</v>
      </c>
      <c r="R338" s="2">
        <v>0</v>
      </c>
      <c r="S338" s="2" t="s">
        <v>488</v>
      </c>
      <c r="T338" s="2" t="s">
        <v>488</v>
      </c>
      <c r="U338" s="2">
        <v>0</v>
      </c>
      <c r="V338" s="2">
        <v>0</v>
      </c>
      <c r="W338">
        <f t="shared" si="5"/>
        <v>0</v>
      </c>
    </row>
    <row r="339" spans="1:23" x14ac:dyDescent="0.25">
      <c r="A339" s="2" t="s">
        <v>628</v>
      </c>
      <c r="B339" s="2" t="s">
        <v>626</v>
      </c>
      <c r="C339" s="2">
        <v>540178</v>
      </c>
      <c r="D339" s="2" t="s">
        <v>904</v>
      </c>
      <c r="E339" s="2" t="s">
        <v>75</v>
      </c>
      <c r="F339" s="2" t="s">
        <v>115</v>
      </c>
      <c r="G339" s="2">
        <v>7</v>
      </c>
      <c r="H339" s="2">
        <v>0</v>
      </c>
      <c r="I339" s="2">
        <v>0</v>
      </c>
      <c r="J339" s="2">
        <v>0</v>
      </c>
      <c r="K339" s="2">
        <v>0</v>
      </c>
      <c r="L339" s="2">
        <v>0</v>
      </c>
      <c r="M339" s="2">
        <v>0</v>
      </c>
      <c r="N339" s="2">
        <v>0</v>
      </c>
      <c r="O339" s="2">
        <v>0</v>
      </c>
      <c r="P339" s="2">
        <v>0</v>
      </c>
      <c r="Q339" s="2">
        <v>0</v>
      </c>
      <c r="R339" s="2">
        <v>0</v>
      </c>
      <c r="S339" s="2" t="s">
        <v>488</v>
      </c>
      <c r="T339" s="2" t="s">
        <v>488</v>
      </c>
      <c r="U339" s="2">
        <v>0</v>
      </c>
      <c r="V339" s="2">
        <v>0</v>
      </c>
      <c r="W339">
        <f t="shared" si="5"/>
        <v>0</v>
      </c>
    </row>
    <row r="340" spans="1:23" x14ac:dyDescent="0.25">
      <c r="A340" s="2" t="s">
        <v>628</v>
      </c>
      <c r="B340" s="2" t="s">
        <v>626</v>
      </c>
      <c r="C340" s="2">
        <v>540264</v>
      </c>
      <c r="D340" s="2" t="s">
        <v>905</v>
      </c>
      <c r="E340" s="2" t="s">
        <v>75</v>
      </c>
      <c r="F340" s="2" t="s">
        <v>115</v>
      </c>
      <c r="G340" s="2">
        <v>7</v>
      </c>
      <c r="H340" s="2">
        <v>0</v>
      </c>
      <c r="I340" s="2">
        <v>0</v>
      </c>
      <c r="J340" s="2">
        <v>0</v>
      </c>
      <c r="K340" s="2">
        <v>0</v>
      </c>
      <c r="L340" s="2">
        <v>0</v>
      </c>
      <c r="M340" s="2">
        <v>0</v>
      </c>
      <c r="N340" s="2">
        <v>0</v>
      </c>
      <c r="O340" s="2">
        <v>0</v>
      </c>
      <c r="P340" s="2">
        <v>0</v>
      </c>
      <c r="Q340" s="2">
        <v>0</v>
      </c>
      <c r="R340" s="2">
        <v>0</v>
      </c>
      <c r="S340" s="2" t="s">
        <v>488</v>
      </c>
      <c r="T340" s="2" t="s">
        <v>488</v>
      </c>
      <c r="U340" s="2">
        <v>0</v>
      </c>
      <c r="V340" s="2">
        <v>0</v>
      </c>
      <c r="W340">
        <f t="shared" si="5"/>
        <v>0</v>
      </c>
    </row>
    <row r="341" spans="1:23" x14ac:dyDescent="0.25">
      <c r="A341" s="2" t="s">
        <v>628</v>
      </c>
      <c r="B341" s="2" t="s">
        <v>626</v>
      </c>
      <c r="C341" s="2">
        <v>540265</v>
      </c>
      <c r="D341" s="2" t="s">
        <v>906</v>
      </c>
      <c r="E341" s="2" t="s">
        <v>75</v>
      </c>
      <c r="F341" s="2" t="s">
        <v>115</v>
      </c>
      <c r="G341" s="2">
        <v>7</v>
      </c>
      <c r="H341" s="2">
        <v>0</v>
      </c>
      <c r="I341" s="2">
        <v>0</v>
      </c>
      <c r="J341" s="2">
        <v>0</v>
      </c>
      <c r="K341" s="2">
        <v>0</v>
      </c>
      <c r="L341" s="2">
        <v>0</v>
      </c>
      <c r="M341" s="2">
        <v>0</v>
      </c>
      <c r="N341" s="2">
        <v>0</v>
      </c>
      <c r="O341" s="2">
        <v>0</v>
      </c>
      <c r="P341" s="2">
        <v>0</v>
      </c>
      <c r="Q341" s="2">
        <v>0</v>
      </c>
      <c r="R341" s="2">
        <v>0</v>
      </c>
      <c r="S341" s="2" t="s">
        <v>488</v>
      </c>
      <c r="T341" s="2" t="s">
        <v>488</v>
      </c>
      <c r="U341" s="2">
        <v>0</v>
      </c>
      <c r="V341" s="2">
        <v>0</v>
      </c>
      <c r="W341">
        <f t="shared" si="5"/>
        <v>0</v>
      </c>
    </row>
    <row r="342" spans="1:23" x14ac:dyDescent="0.25">
      <c r="A342" s="2" t="s">
        <v>628</v>
      </c>
      <c r="B342" s="2" t="s">
        <v>626</v>
      </c>
      <c r="C342" s="2">
        <v>540266</v>
      </c>
      <c r="D342" s="2" t="s">
        <v>907</v>
      </c>
      <c r="E342" s="2" t="s">
        <v>75</v>
      </c>
      <c r="F342" s="2" t="s">
        <v>115</v>
      </c>
      <c r="G342" s="2">
        <v>7</v>
      </c>
      <c r="H342" s="2">
        <v>0</v>
      </c>
      <c r="I342" s="2">
        <v>0</v>
      </c>
      <c r="J342" s="2">
        <v>0</v>
      </c>
      <c r="K342" s="2">
        <v>0</v>
      </c>
      <c r="L342" s="2">
        <v>0</v>
      </c>
      <c r="M342" s="2">
        <v>0</v>
      </c>
      <c r="N342" s="2">
        <v>0</v>
      </c>
      <c r="O342" s="2">
        <v>0</v>
      </c>
      <c r="P342" s="2">
        <v>0</v>
      </c>
      <c r="Q342" s="2">
        <v>0</v>
      </c>
      <c r="R342" s="2">
        <v>0</v>
      </c>
      <c r="S342" s="2" t="s">
        <v>488</v>
      </c>
      <c r="T342" s="2" t="s">
        <v>488</v>
      </c>
      <c r="U342" s="2">
        <v>0</v>
      </c>
      <c r="V342" s="2">
        <v>0</v>
      </c>
      <c r="W342">
        <f t="shared" si="5"/>
        <v>0</v>
      </c>
    </row>
    <row r="343" spans="1:23" x14ac:dyDescent="0.25">
      <c r="A343" s="2" t="s">
        <v>628</v>
      </c>
      <c r="B343" s="2" t="s">
        <v>626</v>
      </c>
      <c r="C343" s="2">
        <v>540267</v>
      </c>
      <c r="D343" s="2" t="s">
        <v>908</v>
      </c>
      <c r="E343" s="2" t="s">
        <v>75</v>
      </c>
      <c r="F343" s="2" t="s">
        <v>115</v>
      </c>
      <c r="G343" s="2">
        <v>7</v>
      </c>
      <c r="H343" s="2">
        <v>0</v>
      </c>
      <c r="I343" s="2">
        <v>0</v>
      </c>
      <c r="J343" s="2">
        <v>0</v>
      </c>
      <c r="K343" s="2">
        <v>0</v>
      </c>
      <c r="L343" s="2">
        <v>0</v>
      </c>
      <c r="M343" s="2">
        <v>0</v>
      </c>
      <c r="N343" s="2">
        <v>0</v>
      </c>
      <c r="O343" s="2">
        <v>0</v>
      </c>
      <c r="P343" s="2">
        <v>0</v>
      </c>
      <c r="Q343" s="2">
        <v>0</v>
      </c>
      <c r="R343" s="2">
        <v>0</v>
      </c>
      <c r="S343" s="2" t="s">
        <v>488</v>
      </c>
      <c r="T343" s="2" t="s">
        <v>488</v>
      </c>
      <c r="U343" s="2">
        <v>0</v>
      </c>
      <c r="V343" s="2">
        <v>0</v>
      </c>
      <c r="W343">
        <f t="shared" si="5"/>
        <v>0</v>
      </c>
    </row>
    <row r="344" spans="1:23" x14ac:dyDescent="0.25">
      <c r="A344" s="2" t="s">
        <v>628</v>
      </c>
      <c r="B344" s="2" t="s">
        <v>626</v>
      </c>
      <c r="C344" s="2">
        <v>540177</v>
      </c>
      <c r="D344" s="2" t="s">
        <v>909</v>
      </c>
      <c r="E344" s="2" t="s">
        <v>75</v>
      </c>
      <c r="F344" s="2" t="s">
        <v>115</v>
      </c>
      <c r="G344" s="2">
        <v>7</v>
      </c>
      <c r="H344" s="2">
        <v>0</v>
      </c>
      <c r="I344" s="2">
        <v>0</v>
      </c>
      <c r="J344" s="2">
        <v>0</v>
      </c>
      <c r="K344" s="2">
        <v>0</v>
      </c>
      <c r="L344" s="2">
        <v>0</v>
      </c>
      <c r="M344" s="2">
        <v>0</v>
      </c>
      <c r="N344" s="2">
        <v>0</v>
      </c>
      <c r="O344" s="2">
        <v>0</v>
      </c>
      <c r="P344" s="2">
        <v>0</v>
      </c>
      <c r="Q344" s="2">
        <v>0</v>
      </c>
      <c r="R344" s="2">
        <v>0</v>
      </c>
      <c r="S344" s="2" t="s">
        <v>488</v>
      </c>
      <c r="T344" s="2" t="s">
        <v>488</v>
      </c>
      <c r="U344" s="2">
        <v>0</v>
      </c>
      <c r="V344" s="2">
        <v>0</v>
      </c>
      <c r="W344">
        <f t="shared" si="5"/>
        <v>0</v>
      </c>
    </row>
    <row r="345" spans="1:23" x14ac:dyDescent="0.25">
      <c r="A345" s="2" t="s">
        <v>628</v>
      </c>
      <c r="B345" s="2" t="s">
        <v>626</v>
      </c>
      <c r="C345" s="2">
        <v>540175</v>
      </c>
      <c r="D345" s="2" t="s">
        <v>910</v>
      </c>
      <c r="E345" s="2" t="s">
        <v>75</v>
      </c>
      <c r="F345" s="2" t="s">
        <v>5</v>
      </c>
      <c r="G345" s="2">
        <v>7</v>
      </c>
      <c r="H345" s="2">
        <v>0</v>
      </c>
      <c r="I345" s="2">
        <v>0</v>
      </c>
      <c r="J345" s="2">
        <v>0</v>
      </c>
      <c r="K345" s="2">
        <v>0</v>
      </c>
      <c r="L345" s="2">
        <v>0</v>
      </c>
      <c r="M345" s="2">
        <v>0</v>
      </c>
      <c r="N345" s="2">
        <v>0</v>
      </c>
      <c r="O345" s="2">
        <v>0</v>
      </c>
      <c r="P345" s="2">
        <v>0</v>
      </c>
      <c r="Q345" s="2">
        <v>0</v>
      </c>
      <c r="R345" s="2">
        <v>0</v>
      </c>
      <c r="S345" s="2" t="s">
        <v>488</v>
      </c>
      <c r="T345" s="2" t="s">
        <v>488</v>
      </c>
      <c r="U345" s="2">
        <v>0</v>
      </c>
      <c r="V345" s="2">
        <v>0</v>
      </c>
      <c r="W345">
        <f t="shared" si="5"/>
        <v>0</v>
      </c>
    </row>
    <row r="346" spans="1:23" x14ac:dyDescent="0.25">
      <c r="A346" s="255" t="s">
        <v>628</v>
      </c>
      <c r="B346" s="255" t="s">
        <v>626</v>
      </c>
      <c r="C346" s="255"/>
      <c r="D346" s="255"/>
      <c r="E346" s="255" t="s">
        <v>75</v>
      </c>
      <c r="F346" s="255"/>
      <c r="G346" s="255"/>
      <c r="H346" s="255">
        <v>0</v>
      </c>
      <c r="I346" s="255">
        <v>0</v>
      </c>
      <c r="J346" s="255">
        <v>0</v>
      </c>
      <c r="K346" s="255">
        <v>0</v>
      </c>
      <c r="L346" s="255">
        <v>0</v>
      </c>
      <c r="M346" s="255">
        <v>0</v>
      </c>
      <c r="N346" s="255">
        <v>0</v>
      </c>
      <c r="O346" s="255">
        <v>0</v>
      </c>
      <c r="P346" s="255">
        <v>0</v>
      </c>
      <c r="Q346" s="255">
        <v>0</v>
      </c>
      <c r="R346" s="255">
        <v>0</v>
      </c>
      <c r="S346" s="255" t="s">
        <v>488</v>
      </c>
      <c r="T346" s="255" t="s">
        <v>488</v>
      </c>
      <c r="U346" s="255">
        <v>0</v>
      </c>
      <c r="V346" s="255">
        <v>0</v>
      </c>
      <c r="W346">
        <f t="shared" si="5"/>
        <v>0</v>
      </c>
    </row>
    <row r="347" spans="1:23" x14ac:dyDescent="0.25">
      <c r="A347" s="2" t="s">
        <v>628</v>
      </c>
      <c r="B347" s="2" t="s">
        <v>626</v>
      </c>
      <c r="C347" s="2">
        <v>540219</v>
      </c>
      <c r="D347" s="2" t="s">
        <v>911</v>
      </c>
      <c r="E347" s="2" t="s">
        <v>95</v>
      </c>
      <c r="F347" s="2" t="s">
        <v>115</v>
      </c>
      <c r="G347" s="2">
        <v>1</v>
      </c>
      <c r="H347" s="2">
        <v>0</v>
      </c>
      <c r="I347" s="2">
        <v>0</v>
      </c>
      <c r="J347" s="2">
        <v>0</v>
      </c>
      <c r="K347" s="2">
        <v>0</v>
      </c>
      <c r="L347" s="2">
        <v>0</v>
      </c>
      <c r="M347" s="2">
        <v>0</v>
      </c>
      <c r="N347" s="2">
        <v>0</v>
      </c>
      <c r="O347" s="2">
        <v>0</v>
      </c>
      <c r="P347" s="2">
        <v>0</v>
      </c>
      <c r="Q347" s="2">
        <v>0</v>
      </c>
      <c r="R347" s="2">
        <v>0</v>
      </c>
      <c r="S347" s="2">
        <v>0</v>
      </c>
      <c r="T347" s="2">
        <v>0</v>
      </c>
      <c r="U347" s="2">
        <v>0</v>
      </c>
      <c r="V347" s="2">
        <v>0</v>
      </c>
      <c r="W347">
        <f t="shared" si="5"/>
        <v>0</v>
      </c>
    </row>
    <row r="348" spans="1:23" x14ac:dyDescent="0.25">
      <c r="A348" s="2" t="s">
        <v>628</v>
      </c>
      <c r="B348" s="2" t="s">
        <v>626</v>
      </c>
      <c r="C348" s="2">
        <v>540220</v>
      </c>
      <c r="D348" s="2" t="s">
        <v>912</v>
      </c>
      <c r="E348" s="2" t="s">
        <v>95</v>
      </c>
      <c r="F348" s="2" t="s">
        <v>115</v>
      </c>
      <c r="G348" s="2">
        <v>1</v>
      </c>
      <c r="H348" s="2">
        <v>0</v>
      </c>
      <c r="I348" s="2">
        <v>0</v>
      </c>
      <c r="J348" s="2">
        <v>0</v>
      </c>
      <c r="K348" s="2">
        <v>0</v>
      </c>
      <c r="L348" s="2">
        <v>0</v>
      </c>
      <c r="M348" s="2">
        <v>0</v>
      </c>
      <c r="N348" s="2">
        <v>0</v>
      </c>
      <c r="O348" s="2">
        <v>0</v>
      </c>
      <c r="P348" s="2">
        <v>0</v>
      </c>
      <c r="Q348" s="2">
        <v>0</v>
      </c>
      <c r="R348" s="2">
        <v>0</v>
      </c>
      <c r="S348" s="2">
        <v>0</v>
      </c>
      <c r="T348" s="2">
        <v>0</v>
      </c>
      <c r="U348" s="2">
        <v>1</v>
      </c>
      <c r="V348" s="2">
        <v>0</v>
      </c>
      <c r="W348">
        <f t="shared" si="5"/>
        <v>1</v>
      </c>
    </row>
    <row r="349" spans="1:23" x14ac:dyDescent="0.25">
      <c r="A349" s="2" t="s">
        <v>628</v>
      </c>
      <c r="B349" s="2" t="s">
        <v>626</v>
      </c>
      <c r="C349" s="2">
        <v>540218</v>
      </c>
      <c r="D349" s="2" t="s">
        <v>913</v>
      </c>
      <c r="E349" s="2" t="s">
        <v>95</v>
      </c>
      <c r="F349" s="2" t="s">
        <v>115</v>
      </c>
      <c r="G349" s="2">
        <v>1</v>
      </c>
      <c r="H349" s="2">
        <v>0</v>
      </c>
      <c r="I349" s="2">
        <v>0</v>
      </c>
      <c r="J349" s="2">
        <v>0</v>
      </c>
      <c r="K349" s="2">
        <v>0</v>
      </c>
      <c r="L349" s="2">
        <v>0</v>
      </c>
      <c r="M349" s="2">
        <v>0</v>
      </c>
      <c r="N349" s="2">
        <v>0</v>
      </c>
      <c r="O349" s="2">
        <v>0</v>
      </c>
      <c r="P349" s="2">
        <v>0</v>
      </c>
      <c r="Q349" s="2">
        <v>0</v>
      </c>
      <c r="R349" s="2">
        <v>0</v>
      </c>
      <c r="S349" s="2">
        <v>0</v>
      </c>
      <c r="T349" s="2">
        <v>0</v>
      </c>
      <c r="U349" s="2">
        <v>0</v>
      </c>
      <c r="V349" s="2">
        <v>0</v>
      </c>
      <c r="W349">
        <f t="shared" si="5"/>
        <v>0</v>
      </c>
    </row>
    <row r="350" spans="1:23" x14ac:dyDescent="0.25">
      <c r="A350" s="2" t="s">
        <v>628</v>
      </c>
      <c r="B350" s="2" t="s">
        <v>626</v>
      </c>
      <c r="C350" s="2">
        <v>540217</v>
      </c>
      <c r="D350" s="2" t="s">
        <v>914</v>
      </c>
      <c r="E350" s="2" t="s">
        <v>95</v>
      </c>
      <c r="F350" s="2" t="s">
        <v>5</v>
      </c>
      <c r="G350" s="2">
        <v>1</v>
      </c>
      <c r="H350" s="2">
        <v>0</v>
      </c>
      <c r="I350" s="2">
        <v>0</v>
      </c>
      <c r="J350" s="2">
        <v>0</v>
      </c>
      <c r="K350" s="2">
        <v>0</v>
      </c>
      <c r="L350" s="2">
        <v>0</v>
      </c>
      <c r="M350" s="2">
        <v>0</v>
      </c>
      <c r="N350" s="2">
        <v>0</v>
      </c>
      <c r="O350" s="2">
        <v>0</v>
      </c>
      <c r="P350" s="2">
        <v>0</v>
      </c>
      <c r="Q350" s="2">
        <v>0</v>
      </c>
      <c r="R350" s="2">
        <v>0</v>
      </c>
      <c r="S350" s="2">
        <v>0</v>
      </c>
      <c r="T350" s="2">
        <v>0</v>
      </c>
      <c r="U350" s="2">
        <v>0</v>
      </c>
      <c r="V350" s="2">
        <v>0</v>
      </c>
      <c r="W350">
        <f t="shared" si="5"/>
        <v>0</v>
      </c>
    </row>
    <row r="351" spans="1:23" x14ac:dyDescent="0.25">
      <c r="A351" s="255" t="s">
        <v>628</v>
      </c>
      <c r="B351" s="255" t="s">
        <v>626</v>
      </c>
      <c r="C351" s="255"/>
      <c r="D351" s="255"/>
      <c r="E351" s="255" t="s">
        <v>95</v>
      </c>
      <c r="F351" s="255"/>
      <c r="G351" s="255"/>
      <c r="H351" s="255">
        <v>0</v>
      </c>
      <c r="I351" s="255">
        <v>0</v>
      </c>
      <c r="J351" s="255">
        <v>0</v>
      </c>
      <c r="K351" s="255">
        <v>0</v>
      </c>
      <c r="L351" s="255">
        <v>0</v>
      </c>
      <c r="M351" s="255">
        <v>0</v>
      </c>
      <c r="N351" s="255">
        <v>0</v>
      </c>
      <c r="O351" s="255">
        <v>0</v>
      </c>
      <c r="P351" s="255">
        <v>0</v>
      </c>
      <c r="Q351" s="255">
        <v>0</v>
      </c>
      <c r="R351" s="255">
        <v>0</v>
      </c>
      <c r="S351" s="255">
        <v>0</v>
      </c>
      <c r="T351" s="255">
        <v>0</v>
      </c>
      <c r="U351" s="255">
        <v>1</v>
      </c>
      <c r="V351" s="255">
        <v>0</v>
      </c>
      <c r="W351">
        <f t="shared" si="5"/>
        <v>1</v>
      </c>
    </row>
    <row r="352" spans="1:23" x14ac:dyDescent="0.25">
      <c r="A352" s="2" t="s">
        <v>628</v>
      </c>
      <c r="B352" s="2" t="s">
        <v>915</v>
      </c>
      <c r="C352" s="2">
        <v>540001</v>
      </c>
      <c r="D352" s="2" t="s">
        <v>627</v>
      </c>
      <c r="E352" s="2" t="s">
        <v>4</v>
      </c>
      <c r="F352" s="2" t="s">
        <v>5</v>
      </c>
      <c r="G352" s="2">
        <v>7</v>
      </c>
      <c r="H352" s="2">
        <v>0</v>
      </c>
      <c r="I352" s="2">
        <v>0</v>
      </c>
      <c r="J352" s="2">
        <v>0</v>
      </c>
      <c r="K352" s="2">
        <v>0</v>
      </c>
      <c r="L352" s="2">
        <v>0</v>
      </c>
      <c r="M352" s="2">
        <v>0</v>
      </c>
      <c r="N352" s="2">
        <v>0</v>
      </c>
      <c r="O352" s="2">
        <v>0</v>
      </c>
      <c r="P352" s="2">
        <v>0</v>
      </c>
      <c r="Q352" s="2">
        <v>0</v>
      </c>
      <c r="R352" s="2">
        <v>1</v>
      </c>
      <c r="S352" s="2" t="s">
        <v>488</v>
      </c>
      <c r="T352" s="2" t="s">
        <v>488</v>
      </c>
      <c r="U352" s="2">
        <v>0</v>
      </c>
      <c r="V352" s="2">
        <v>0</v>
      </c>
      <c r="W352">
        <f t="shared" si="5"/>
        <v>1</v>
      </c>
    </row>
    <row r="353" spans="1:23" x14ac:dyDescent="0.25">
      <c r="A353" s="2" t="s">
        <v>628</v>
      </c>
      <c r="B353" s="2" t="s">
        <v>915</v>
      </c>
      <c r="C353" s="2">
        <v>540002</v>
      </c>
      <c r="D353" s="2" t="s">
        <v>629</v>
      </c>
      <c r="E353" s="2" t="s">
        <v>4</v>
      </c>
      <c r="F353" s="2" t="s">
        <v>115</v>
      </c>
      <c r="G353" s="2">
        <v>7</v>
      </c>
      <c r="H353" s="2">
        <v>0</v>
      </c>
      <c r="I353" s="2">
        <v>0</v>
      </c>
      <c r="J353" s="2">
        <v>0</v>
      </c>
      <c r="K353" s="2">
        <v>0</v>
      </c>
      <c r="L353" s="2">
        <v>0</v>
      </c>
      <c r="M353" s="2">
        <v>0</v>
      </c>
      <c r="N353" s="2">
        <v>0</v>
      </c>
      <c r="O353" s="2">
        <v>0</v>
      </c>
      <c r="P353" s="2">
        <v>0</v>
      </c>
      <c r="Q353" s="2">
        <v>0</v>
      </c>
      <c r="R353" s="2">
        <v>0</v>
      </c>
      <c r="S353" s="2" t="s">
        <v>488</v>
      </c>
      <c r="T353" s="2" t="s">
        <v>488</v>
      </c>
      <c r="U353" s="2">
        <v>0</v>
      </c>
      <c r="V353" s="2">
        <v>0</v>
      </c>
      <c r="W353">
        <f t="shared" si="5"/>
        <v>0</v>
      </c>
    </row>
    <row r="354" spans="1:23" x14ac:dyDescent="0.25">
      <c r="A354" s="2" t="s">
        <v>628</v>
      </c>
      <c r="B354" s="2" t="s">
        <v>915</v>
      </c>
      <c r="C354" s="2">
        <v>540003</v>
      </c>
      <c r="D354" s="2" t="s">
        <v>630</v>
      </c>
      <c r="E354" s="2" t="s">
        <v>4</v>
      </c>
      <c r="F354" s="2" t="s">
        <v>115</v>
      </c>
      <c r="G354" s="2">
        <v>7</v>
      </c>
      <c r="H354" s="2">
        <v>0</v>
      </c>
      <c r="I354" s="2">
        <v>0</v>
      </c>
      <c r="J354" s="2">
        <v>0</v>
      </c>
      <c r="K354" s="2">
        <v>0</v>
      </c>
      <c r="L354" s="2">
        <v>0</v>
      </c>
      <c r="M354" s="2">
        <v>0</v>
      </c>
      <c r="N354" s="2">
        <v>0</v>
      </c>
      <c r="O354" s="2">
        <v>0</v>
      </c>
      <c r="P354" s="2">
        <v>0</v>
      </c>
      <c r="Q354" s="2">
        <v>0</v>
      </c>
      <c r="R354" s="2">
        <v>0</v>
      </c>
      <c r="S354" s="2" t="s">
        <v>488</v>
      </c>
      <c r="T354" s="2" t="s">
        <v>488</v>
      </c>
      <c r="U354" s="2">
        <v>0</v>
      </c>
      <c r="V354" s="2">
        <v>0</v>
      </c>
      <c r="W354">
        <f t="shared" si="5"/>
        <v>0</v>
      </c>
    </row>
    <row r="355" spans="1:23" x14ac:dyDescent="0.25">
      <c r="A355" s="2" t="s">
        <v>628</v>
      </c>
      <c r="B355" s="2" t="s">
        <v>915</v>
      </c>
      <c r="C355" s="2">
        <v>540004</v>
      </c>
      <c r="D355" s="2" t="s">
        <v>631</v>
      </c>
      <c r="E355" s="2" t="s">
        <v>4</v>
      </c>
      <c r="F355" s="2" t="s">
        <v>115</v>
      </c>
      <c r="G355" s="2">
        <v>7</v>
      </c>
      <c r="H355" s="2">
        <v>0</v>
      </c>
      <c r="I355" s="2">
        <v>1</v>
      </c>
      <c r="J355" s="2">
        <v>0</v>
      </c>
      <c r="K355" s="2">
        <v>0</v>
      </c>
      <c r="L355" s="2">
        <v>0</v>
      </c>
      <c r="M355" s="2">
        <v>1</v>
      </c>
      <c r="N355" s="2">
        <v>1</v>
      </c>
      <c r="O355" s="2">
        <v>0</v>
      </c>
      <c r="P355" s="2">
        <v>0</v>
      </c>
      <c r="Q355" s="2">
        <v>0</v>
      </c>
      <c r="R355" s="2">
        <v>0</v>
      </c>
      <c r="S355" s="2" t="s">
        <v>488</v>
      </c>
      <c r="T355" s="2" t="s">
        <v>488</v>
      </c>
      <c r="U355" s="2">
        <v>0</v>
      </c>
      <c r="V355" s="2">
        <v>0</v>
      </c>
      <c r="W355">
        <f t="shared" si="5"/>
        <v>1</v>
      </c>
    </row>
    <row r="356" spans="1:23" x14ac:dyDescent="0.25">
      <c r="A356" s="255" t="s">
        <v>628</v>
      </c>
      <c r="B356" s="255" t="s">
        <v>915</v>
      </c>
      <c r="C356" s="255"/>
      <c r="D356" s="255"/>
      <c r="E356" s="255" t="s">
        <v>4</v>
      </c>
      <c r="F356" s="255"/>
      <c r="G356" s="255"/>
      <c r="H356" s="255">
        <v>0</v>
      </c>
      <c r="I356" s="255">
        <v>1</v>
      </c>
      <c r="J356" s="255">
        <v>0</v>
      </c>
      <c r="K356" s="255">
        <v>0</v>
      </c>
      <c r="L356" s="255">
        <v>0</v>
      </c>
      <c r="M356" s="255">
        <v>1</v>
      </c>
      <c r="N356" s="255">
        <v>1</v>
      </c>
      <c r="O356" s="255">
        <v>0</v>
      </c>
      <c r="P356" s="255">
        <v>0</v>
      </c>
      <c r="Q356" s="255">
        <v>0</v>
      </c>
      <c r="R356" s="255">
        <v>1</v>
      </c>
      <c r="S356" s="255" t="s">
        <v>488</v>
      </c>
      <c r="T356" s="255" t="s">
        <v>488</v>
      </c>
      <c r="U356" s="255">
        <v>0</v>
      </c>
      <c r="V356" s="255">
        <v>0</v>
      </c>
      <c r="W356">
        <f t="shared" si="5"/>
        <v>2</v>
      </c>
    </row>
    <row r="357" spans="1:23" x14ac:dyDescent="0.25">
      <c r="A357" s="2" t="s">
        <v>628</v>
      </c>
      <c r="B357" s="2" t="s">
        <v>915</v>
      </c>
      <c r="C357" s="2">
        <v>540007</v>
      </c>
      <c r="D357" s="2" t="s">
        <v>632</v>
      </c>
      <c r="E357" s="2" t="s">
        <v>7</v>
      </c>
      <c r="F357" s="2" t="s">
        <v>5</v>
      </c>
      <c r="G357" s="2">
        <v>3</v>
      </c>
      <c r="H357" s="2">
        <v>0</v>
      </c>
      <c r="I357" s="2">
        <v>4</v>
      </c>
      <c r="J357" s="2">
        <v>0</v>
      </c>
      <c r="K357" s="2">
        <v>0</v>
      </c>
      <c r="L357" s="2">
        <v>0</v>
      </c>
      <c r="M357" s="2">
        <v>4</v>
      </c>
      <c r="N357" s="2">
        <v>4</v>
      </c>
      <c r="O357" s="2">
        <v>0</v>
      </c>
      <c r="P357" s="2">
        <v>0</v>
      </c>
      <c r="Q357" s="2">
        <v>0</v>
      </c>
      <c r="R357" s="2">
        <v>0</v>
      </c>
      <c r="S357" s="2" t="s">
        <v>488</v>
      </c>
      <c r="T357" s="2" t="s">
        <v>488</v>
      </c>
      <c r="U357" s="2">
        <v>0</v>
      </c>
      <c r="V357" s="2">
        <v>0</v>
      </c>
      <c r="W357">
        <f t="shared" si="5"/>
        <v>4</v>
      </c>
    </row>
    <row r="358" spans="1:23" x14ac:dyDescent="0.25">
      <c r="A358" s="2" t="s">
        <v>628</v>
      </c>
      <c r="B358" s="2" t="s">
        <v>915</v>
      </c>
      <c r="C358" s="2">
        <v>540008</v>
      </c>
      <c r="D358" s="2" t="s">
        <v>633</v>
      </c>
      <c r="E358" s="2" t="s">
        <v>7</v>
      </c>
      <c r="F358" s="2" t="s">
        <v>115</v>
      </c>
      <c r="G358" s="2">
        <v>3</v>
      </c>
      <c r="H358" s="2">
        <v>0</v>
      </c>
      <c r="I358" s="2">
        <v>2</v>
      </c>
      <c r="J358" s="2">
        <v>0</v>
      </c>
      <c r="K358" s="2">
        <v>0</v>
      </c>
      <c r="L358" s="2">
        <v>0</v>
      </c>
      <c r="M358" s="2">
        <v>2</v>
      </c>
      <c r="N358" s="2">
        <v>2</v>
      </c>
      <c r="O358" s="2">
        <v>0</v>
      </c>
      <c r="P358" s="2">
        <v>0</v>
      </c>
      <c r="Q358" s="2">
        <v>0</v>
      </c>
      <c r="R358" s="2">
        <v>0</v>
      </c>
      <c r="S358" s="2" t="s">
        <v>488</v>
      </c>
      <c r="T358" s="2" t="s">
        <v>488</v>
      </c>
      <c r="U358" s="2">
        <v>0</v>
      </c>
      <c r="V358" s="2">
        <v>0</v>
      </c>
      <c r="W358">
        <f t="shared" si="5"/>
        <v>2</v>
      </c>
    </row>
    <row r="359" spans="1:23" x14ac:dyDescent="0.25">
      <c r="A359" s="2" t="s">
        <v>628</v>
      </c>
      <c r="B359" s="2" t="s">
        <v>915</v>
      </c>
      <c r="C359" s="2">
        <v>540229</v>
      </c>
      <c r="D359" s="2" t="s">
        <v>634</v>
      </c>
      <c r="E359" s="2" t="s">
        <v>7</v>
      </c>
      <c r="F359" s="2" t="s">
        <v>115</v>
      </c>
      <c r="G359" s="2">
        <v>3</v>
      </c>
      <c r="H359" s="2">
        <v>0</v>
      </c>
      <c r="I359" s="2">
        <v>1</v>
      </c>
      <c r="J359" s="2">
        <v>0</v>
      </c>
      <c r="K359" s="2">
        <v>0</v>
      </c>
      <c r="L359" s="2">
        <v>0</v>
      </c>
      <c r="M359" s="2">
        <v>1</v>
      </c>
      <c r="N359" s="2">
        <v>1</v>
      </c>
      <c r="O359" s="2">
        <v>0</v>
      </c>
      <c r="P359" s="2">
        <v>0</v>
      </c>
      <c r="Q359" s="2">
        <v>0</v>
      </c>
      <c r="R359" s="2">
        <v>0</v>
      </c>
      <c r="S359" s="2" t="s">
        <v>488</v>
      </c>
      <c r="T359" s="2" t="s">
        <v>488</v>
      </c>
      <c r="U359" s="2">
        <v>0</v>
      </c>
      <c r="V359" s="2">
        <v>0</v>
      </c>
      <c r="W359">
        <f t="shared" si="5"/>
        <v>1</v>
      </c>
    </row>
    <row r="360" spans="1:23" x14ac:dyDescent="0.25">
      <c r="A360" s="2" t="s">
        <v>628</v>
      </c>
      <c r="B360" s="2" t="s">
        <v>915</v>
      </c>
      <c r="C360" s="2">
        <v>540230</v>
      </c>
      <c r="D360" s="2" t="s">
        <v>635</v>
      </c>
      <c r="E360" s="2" t="s">
        <v>7</v>
      </c>
      <c r="F360" s="2" t="s">
        <v>115</v>
      </c>
      <c r="G360" s="2">
        <v>3</v>
      </c>
      <c r="H360" s="2">
        <v>0</v>
      </c>
      <c r="I360" s="2">
        <v>0</v>
      </c>
      <c r="J360" s="2">
        <v>0</v>
      </c>
      <c r="K360" s="2">
        <v>0</v>
      </c>
      <c r="L360" s="2">
        <v>0</v>
      </c>
      <c r="M360" s="2">
        <v>0</v>
      </c>
      <c r="N360" s="2">
        <v>0</v>
      </c>
      <c r="O360" s="2">
        <v>0</v>
      </c>
      <c r="P360" s="2">
        <v>0</v>
      </c>
      <c r="Q360" s="2">
        <v>0</v>
      </c>
      <c r="R360" s="2">
        <v>0</v>
      </c>
      <c r="S360" s="2" t="s">
        <v>488</v>
      </c>
      <c r="T360" s="2" t="s">
        <v>488</v>
      </c>
      <c r="U360" s="2">
        <v>0</v>
      </c>
      <c r="V360" s="2">
        <v>0</v>
      </c>
      <c r="W360">
        <f t="shared" si="5"/>
        <v>0</v>
      </c>
    </row>
    <row r="361" spans="1:23" x14ac:dyDescent="0.25">
      <c r="A361" s="2" t="s">
        <v>628</v>
      </c>
      <c r="B361" s="2" t="s">
        <v>915</v>
      </c>
      <c r="C361" s="2">
        <v>540238</v>
      </c>
      <c r="D361" s="2" t="s">
        <v>636</v>
      </c>
      <c r="E361" s="2" t="s">
        <v>7</v>
      </c>
      <c r="F361" s="2" t="s">
        <v>115</v>
      </c>
      <c r="G361" s="2">
        <v>3</v>
      </c>
      <c r="H361" s="2">
        <v>0</v>
      </c>
      <c r="I361" s="2">
        <v>0</v>
      </c>
      <c r="J361" s="2">
        <v>0</v>
      </c>
      <c r="K361" s="2">
        <v>0</v>
      </c>
      <c r="L361" s="2">
        <v>0</v>
      </c>
      <c r="M361" s="2">
        <v>0</v>
      </c>
      <c r="N361" s="2">
        <v>0</v>
      </c>
      <c r="O361" s="2">
        <v>0</v>
      </c>
      <c r="P361" s="2">
        <v>0</v>
      </c>
      <c r="Q361" s="2">
        <v>0</v>
      </c>
      <c r="R361" s="2">
        <v>0</v>
      </c>
      <c r="S361" s="2" t="s">
        <v>488</v>
      </c>
      <c r="T361" s="2" t="s">
        <v>488</v>
      </c>
      <c r="U361" s="2">
        <v>0</v>
      </c>
      <c r="V361" s="2">
        <v>0</v>
      </c>
      <c r="W361">
        <f t="shared" si="5"/>
        <v>0</v>
      </c>
    </row>
    <row r="362" spans="1:23" x14ac:dyDescent="0.25">
      <c r="A362" s="255" t="s">
        <v>628</v>
      </c>
      <c r="B362" s="255" t="s">
        <v>915</v>
      </c>
      <c r="C362" s="255"/>
      <c r="D362" s="255"/>
      <c r="E362" s="255" t="s">
        <v>7</v>
      </c>
      <c r="F362" s="255"/>
      <c r="G362" s="255"/>
      <c r="H362" s="255">
        <v>0</v>
      </c>
      <c r="I362" s="255">
        <v>7</v>
      </c>
      <c r="J362" s="255">
        <v>0</v>
      </c>
      <c r="K362" s="255">
        <v>0</v>
      </c>
      <c r="L362" s="255">
        <v>0</v>
      </c>
      <c r="M362" s="255">
        <v>7</v>
      </c>
      <c r="N362" s="255">
        <v>7</v>
      </c>
      <c r="O362" s="255">
        <v>0</v>
      </c>
      <c r="P362" s="255">
        <v>0</v>
      </c>
      <c r="Q362" s="255">
        <v>0</v>
      </c>
      <c r="R362" s="255">
        <v>0</v>
      </c>
      <c r="S362" s="255" t="s">
        <v>488</v>
      </c>
      <c r="T362" s="255" t="s">
        <v>488</v>
      </c>
      <c r="U362" s="255">
        <v>0</v>
      </c>
      <c r="V362" s="255">
        <v>0</v>
      </c>
      <c r="W362">
        <f t="shared" si="5"/>
        <v>7</v>
      </c>
    </row>
    <row r="363" spans="1:23" x14ac:dyDescent="0.25">
      <c r="A363" s="2" t="s">
        <v>628</v>
      </c>
      <c r="B363" s="2" t="s">
        <v>915</v>
      </c>
      <c r="C363" s="2">
        <v>540009</v>
      </c>
      <c r="D363" s="2" t="s">
        <v>637</v>
      </c>
      <c r="E363" s="2" t="s">
        <v>9</v>
      </c>
      <c r="F363" s="2" t="s">
        <v>5</v>
      </c>
      <c r="G363" s="2">
        <v>7</v>
      </c>
      <c r="H363" s="2">
        <v>1</v>
      </c>
      <c r="I363" s="2">
        <v>0</v>
      </c>
      <c r="J363" s="2">
        <v>0</v>
      </c>
      <c r="K363" s="2">
        <v>0</v>
      </c>
      <c r="L363" s="2">
        <v>0</v>
      </c>
      <c r="M363" s="2">
        <v>0</v>
      </c>
      <c r="N363" s="2">
        <v>1</v>
      </c>
      <c r="O363" s="2">
        <v>0</v>
      </c>
      <c r="P363" s="2">
        <v>0</v>
      </c>
      <c r="Q363" s="2" t="s">
        <v>488</v>
      </c>
      <c r="R363" s="2" t="s">
        <v>488</v>
      </c>
      <c r="S363" s="2" t="s">
        <v>488</v>
      </c>
      <c r="T363" s="2" t="s">
        <v>488</v>
      </c>
      <c r="U363" s="2">
        <v>0</v>
      </c>
      <c r="V363" s="2">
        <v>0</v>
      </c>
      <c r="W363">
        <f t="shared" si="5"/>
        <v>1</v>
      </c>
    </row>
    <row r="364" spans="1:23" x14ac:dyDescent="0.25">
      <c r="A364" s="2" t="s">
        <v>628</v>
      </c>
      <c r="B364" s="2" t="s">
        <v>915</v>
      </c>
      <c r="C364" s="2">
        <v>540010</v>
      </c>
      <c r="D364" s="2" t="s">
        <v>638</v>
      </c>
      <c r="E364" s="2" t="s">
        <v>9</v>
      </c>
      <c r="F364" s="2" t="s">
        <v>115</v>
      </c>
      <c r="G364" s="2">
        <v>7</v>
      </c>
      <c r="H364" s="2">
        <v>0</v>
      </c>
      <c r="I364" s="2">
        <v>0</v>
      </c>
      <c r="J364" s="2">
        <v>0</v>
      </c>
      <c r="K364" s="2">
        <v>0</v>
      </c>
      <c r="L364" s="2">
        <v>0</v>
      </c>
      <c r="M364" s="2">
        <v>0</v>
      </c>
      <c r="N364" s="2">
        <v>0</v>
      </c>
      <c r="O364" s="2">
        <v>0</v>
      </c>
      <c r="P364" s="2">
        <v>0</v>
      </c>
      <c r="Q364" s="2" t="s">
        <v>488</v>
      </c>
      <c r="R364" s="2" t="s">
        <v>488</v>
      </c>
      <c r="S364" s="2" t="s">
        <v>488</v>
      </c>
      <c r="T364" s="2" t="s">
        <v>488</v>
      </c>
      <c r="U364" s="2">
        <v>0</v>
      </c>
      <c r="V364" s="2">
        <v>0</v>
      </c>
      <c r="W364">
        <f t="shared" si="5"/>
        <v>0</v>
      </c>
    </row>
    <row r="365" spans="1:23" x14ac:dyDescent="0.25">
      <c r="A365" s="2" t="s">
        <v>628</v>
      </c>
      <c r="B365" s="2" t="s">
        <v>915</v>
      </c>
      <c r="C365" s="2">
        <v>540235</v>
      </c>
      <c r="D365" s="2" t="s">
        <v>639</v>
      </c>
      <c r="E365" s="2" t="s">
        <v>9</v>
      </c>
      <c r="F365" s="2" t="s">
        <v>115</v>
      </c>
      <c r="G365" s="2">
        <v>7</v>
      </c>
      <c r="H365" s="2">
        <v>0</v>
      </c>
      <c r="I365" s="2">
        <v>0</v>
      </c>
      <c r="J365" s="2">
        <v>0</v>
      </c>
      <c r="K365" s="2">
        <v>0</v>
      </c>
      <c r="L365" s="2">
        <v>0</v>
      </c>
      <c r="M365" s="2">
        <v>0</v>
      </c>
      <c r="N365" s="2">
        <v>0</v>
      </c>
      <c r="O365" s="2">
        <v>0</v>
      </c>
      <c r="P365" s="2">
        <v>0</v>
      </c>
      <c r="Q365" s="2" t="s">
        <v>488</v>
      </c>
      <c r="R365" s="2" t="s">
        <v>488</v>
      </c>
      <c r="S365" s="2" t="s">
        <v>488</v>
      </c>
      <c r="T365" s="2" t="s">
        <v>488</v>
      </c>
      <c r="U365" s="2">
        <v>0</v>
      </c>
      <c r="V365" s="2">
        <v>0</v>
      </c>
      <c r="W365">
        <f t="shared" si="5"/>
        <v>0</v>
      </c>
    </row>
    <row r="366" spans="1:23" x14ac:dyDescent="0.25">
      <c r="A366" s="2" t="s">
        <v>628</v>
      </c>
      <c r="B366" s="2" t="s">
        <v>915</v>
      </c>
      <c r="C366" s="2">
        <v>540236</v>
      </c>
      <c r="D366" s="2" t="s">
        <v>640</v>
      </c>
      <c r="E366" s="2" t="s">
        <v>9</v>
      </c>
      <c r="F366" s="2" t="s">
        <v>115</v>
      </c>
      <c r="G366" s="2">
        <v>7</v>
      </c>
      <c r="H366" s="2">
        <v>0</v>
      </c>
      <c r="I366" s="2">
        <v>0</v>
      </c>
      <c r="J366" s="2">
        <v>0</v>
      </c>
      <c r="K366" s="2">
        <v>0</v>
      </c>
      <c r="L366" s="2">
        <v>0</v>
      </c>
      <c r="M366" s="2">
        <v>0</v>
      </c>
      <c r="N366" s="2">
        <v>0</v>
      </c>
      <c r="O366" s="2">
        <v>0</v>
      </c>
      <c r="P366" s="2">
        <v>0</v>
      </c>
      <c r="Q366" s="2" t="s">
        <v>488</v>
      </c>
      <c r="R366" s="2" t="s">
        <v>488</v>
      </c>
      <c r="S366" s="2" t="s">
        <v>488</v>
      </c>
      <c r="T366" s="2" t="s">
        <v>488</v>
      </c>
      <c r="U366" s="2">
        <v>0</v>
      </c>
      <c r="V366" s="2">
        <v>0</v>
      </c>
      <c r="W366">
        <f t="shared" si="5"/>
        <v>0</v>
      </c>
    </row>
    <row r="367" spans="1:23" x14ac:dyDescent="0.25">
      <c r="A367" s="2" t="s">
        <v>628</v>
      </c>
      <c r="B367" s="2" t="s">
        <v>915</v>
      </c>
      <c r="C367" s="2">
        <v>540237</v>
      </c>
      <c r="D367" s="2" t="s">
        <v>641</v>
      </c>
      <c r="E367" s="2" t="s">
        <v>9</v>
      </c>
      <c r="F367" s="2" t="s">
        <v>115</v>
      </c>
      <c r="G367" s="2">
        <v>7</v>
      </c>
      <c r="H367" s="2">
        <v>0</v>
      </c>
      <c r="I367" s="2">
        <v>0</v>
      </c>
      <c r="J367" s="2">
        <v>0</v>
      </c>
      <c r="K367" s="2">
        <v>0</v>
      </c>
      <c r="L367" s="2">
        <v>0</v>
      </c>
      <c r="M367" s="2">
        <v>0</v>
      </c>
      <c r="N367" s="2">
        <v>0</v>
      </c>
      <c r="O367" s="2">
        <v>0</v>
      </c>
      <c r="P367" s="2">
        <v>0</v>
      </c>
      <c r="Q367" s="2" t="s">
        <v>488</v>
      </c>
      <c r="R367" s="2" t="s">
        <v>488</v>
      </c>
      <c r="S367" s="2" t="s">
        <v>488</v>
      </c>
      <c r="T367" s="2" t="s">
        <v>488</v>
      </c>
      <c r="U367" s="2">
        <v>0</v>
      </c>
      <c r="V367" s="2">
        <v>0</v>
      </c>
      <c r="W367">
        <f t="shared" si="5"/>
        <v>0</v>
      </c>
    </row>
    <row r="368" spans="1:23" x14ac:dyDescent="0.25">
      <c r="A368" s="255" t="s">
        <v>628</v>
      </c>
      <c r="B368" s="255" t="s">
        <v>915</v>
      </c>
      <c r="C368" s="255"/>
      <c r="D368" s="255"/>
      <c r="E368" s="255" t="s">
        <v>9</v>
      </c>
      <c r="F368" s="255"/>
      <c r="G368" s="255"/>
      <c r="H368" s="255">
        <v>1</v>
      </c>
      <c r="I368" s="255">
        <v>0</v>
      </c>
      <c r="J368" s="255">
        <v>0</v>
      </c>
      <c r="K368" s="255">
        <v>0</v>
      </c>
      <c r="L368" s="255">
        <v>0</v>
      </c>
      <c r="M368" s="255">
        <v>0</v>
      </c>
      <c r="N368" s="255">
        <v>1</v>
      </c>
      <c r="O368" s="255">
        <v>0</v>
      </c>
      <c r="P368" s="255">
        <v>0</v>
      </c>
      <c r="Q368" s="255" t="s">
        <v>488</v>
      </c>
      <c r="R368" s="255" t="s">
        <v>488</v>
      </c>
      <c r="S368" s="255" t="s">
        <v>488</v>
      </c>
      <c r="T368" s="255" t="s">
        <v>488</v>
      </c>
      <c r="U368" s="255">
        <v>0</v>
      </c>
      <c r="V368" s="255">
        <v>0</v>
      </c>
      <c r="W368">
        <f t="shared" si="5"/>
        <v>1</v>
      </c>
    </row>
    <row r="369" spans="1:23" x14ac:dyDescent="0.25">
      <c r="A369" s="2" t="s">
        <v>628</v>
      </c>
      <c r="B369" s="2" t="s">
        <v>915</v>
      </c>
      <c r="C369" s="2">
        <v>540011</v>
      </c>
      <c r="D369" s="2" t="s">
        <v>642</v>
      </c>
      <c r="E369" s="2" t="s">
        <v>11</v>
      </c>
      <c r="F369" s="2" t="s">
        <v>5</v>
      </c>
      <c r="G369" s="2">
        <v>11</v>
      </c>
      <c r="H369" s="2">
        <v>0</v>
      </c>
      <c r="I369" s="2">
        <v>0</v>
      </c>
      <c r="J369" s="2">
        <v>0</v>
      </c>
      <c r="K369" s="2">
        <v>0</v>
      </c>
      <c r="L369" s="2">
        <v>0</v>
      </c>
      <c r="M369" s="2">
        <v>0</v>
      </c>
      <c r="N369" s="2">
        <v>0</v>
      </c>
      <c r="O369" s="2">
        <v>0</v>
      </c>
      <c r="P369" s="2">
        <v>0</v>
      </c>
      <c r="Q369" s="2">
        <v>0</v>
      </c>
      <c r="R369" s="2">
        <v>0</v>
      </c>
      <c r="S369" s="2" t="s">
        <v>488</v>
      </c>
      <c r="T369" s="2" t="s">
        <v>488</v>
      </c>
      <c r="U369" s="2">
        <v>0</v>
      </c>
      <c r="V369" s="2">
        <v>0</v>
      </c>
      <c r="W369">
        <f t="shared" si="5"/>
        <v>0</v>
      </c>
    </row>
    <row r="370" spans="1:23" x14ac:dyDescent="0.25">
      <c r="A370" s="2" t="s">
        <v>628</v>
      </c>
      <c r="B370" s="2" t="s">
        <v>915</v>
      </c>
      <c r="C370" s="2">
        <v>540012</v>
      </c>
      <c r="D370" s="2" t="s">
        <v>643</v>
      </c>
      <c r="E370" s="2" t="s">
        <v>11</v>
      </c>
      <c r="F370" s="2" t="s">
        <v>115</v>
      </c>
      <c r="G370" s="2">
        <v>11</v>
      </c>
      <c r="H370" s="2">
        <v>0</v>
      </c>
      <c r="I370" s="2">
        <v>0</v>
      </c>
      <c r="J370" s="2">
        <v>0</v>
      </c>
      <c r="K370" s="2">
        <v>0</v>
      </c>
      <c r="L370" s="2">
        <v>0</v>
      </c>
      <c r="M370" s="2">
        <v>0</v>
      </c>
      <c r="N370" s="2">
        <v>0</v>
      </c>
      <c r="O370" s="2">
        <v>0</v>
      </c>
      <c r="P370" s="2">
        <v>0</v>
      </c>
      <c r="Q370" s="2">
        <v>0</v>
      </c>
      <c r="R370" s="2">
        <v>0</v>
      </c>
      <c r="S370" s="2" t="s">
        <v>488</v>
      </c>
      <c r="T370" s="2" t="s">
        <v>488</v>
      </c>
      <c r="U370" s="2">
        <v>0</v>
      </c>
      <c r="V370" s="2">
        <v>0</v>
      </c>
      <c r="W370">
        <f t="shared" si="5"/>
        <v>0</v>
      </c>
    </row>
    <row r="371" spans="1:23" x14ac:dyDescent="0.25">
      <c r="A371" s="2" t="s">
        <v>628</v>
      </c>
      <c r="B371" s="2" t="s">
        <v>915</v>
      </c>
      <c r="C371" s="2">
        <v>540013</v>
      </c>
      <c r="D371" s="2" t="s">
        <v>644</v>
      </c>
      <c r="E371" s="2" t="s">
        <v>11</v>
      </c>
      <c r="F371" s="2" t="s">
        <v>115</v>
      </c>
      <c r="G371" s="2">
        <v>11</v>
      </c>
      <c r="H371" s="2">
        <v>0</v>
      </c>
      <c r="I371" s="2">
        <v>0</v>
      </c>
      <c r="J371" s="2">
        <v>0</v>
      </c>
      <c r="K371" s="2">
        <v>0</v>
      </c>
      <c r="L371" s="2">
        <v>0</v>
      </c>
      <c r="M371" s="2">
        <v>0</v>
      </c>
      <c r="N371" s="2">
        <v>0</v>
      </c>
      <c r="O371" s="2">
        <v>0</v>
      </c>
      <c r="P371" s="2">
        <v>0</v>
      </c>
      <c r="Q371" s="2">
        <v>0</v>
      </c>
      <c r="R371" s="2">
        <v>0</v>
      </c>
      <c r="S371" s="2" t="s">
        <v>488</v>
      </c>
      <c r="T371" s="2" t="s">
        <v>488</v>
      </c>
      <c r="U371" s="2">
        <v>0</v>
      </c>
      <c r="V371" s="2">
        <v>0</v>
      </c>
      <c r="W371">
        <f t="shared" si="5"/>
        <v>0</v>
      </c>
    </row>
    <row r="372" spans="1:23" x14ac:dyDescent="0.25">
      <c r="A372" s="2" t="s">
        <v>628</v>
      </c>
      <c r="B372" s="2" t="s">
        <v>915</v>
      </c>
      <c r="C372" s="2">
        <v>540014</v>
      </c>
      <c r="D372" s="2" t="s">
        <v>645</v>
      </c>
      <c r="E372" s="2" t="s">
        <v>11</v>
      </c>
      <c r="F372" s="2" t="s">
        <v>115</v>
      </c>
      <c r="G372" s="2">
        <v>11</v>
      </c>
      <c r="H372" s="2">
        <v>0</v>
      </c>
      <c r="I372" s="2">
        <v>0</v>
      </c>
      <c r="J372" s="2">
        <v>0</v>
      </c>
      <c r="K372" s="2">
        <v>0</v>
      </c>
      <c r="L372" s="2">
        <v>0</v>
      </c>
      <c r="M372" s="2">
        <v>0</v>
      </c>
      <c r="N372" s="2">
        <v>0</v>
      </c>
      <c r="O372" s="2">
        <v>0</v>
      </c>
      <c r="P372" s="2">
        <v>0</v>
      </c>
      <c r="Q372" s="2">
        <v>0</v>
      </c>
      <c r="R372" s="2">
        <v>0</v>
      </c>
      <c r="S372" s="2" t="s">
        <v>488</v>
      </c>
      <c r="T372" s="2" t="s">
        <v>488</v>
      </c>
      <c r="U372" s="2">
        <v>0</v>
      </c>
      <c r="V372" s="2">
        <v>0</v>
      </c>
      <c r="W372">
        <f t="shared" si="5"/>
        <v>0</v>
      </c>
    </row>
    <row r="373" spans="1:23" x14ac:dyDescent="0.25">
      <c r="A373" s="2" t="s">
        <v>628</v>
      </c>
      <c r="B373" s="2" t="s">
        <v>915</v>
      </c>
      <c r="C373" s="2">
        <v>540015</v>
      </c>
      <c r="D373" s="2" t="s">
        <v>646</v>
      </c>
      <c r="E373" s="2" t="s">
        <v>11</v>
      </c>
      <c r="F373" s="2" t="s">
        <v>115</v>
      </c>
      <c r="G373" s="2">
        <v>11</v>
      </c>
      <c r="H373" s="2">
        <v>0</v>
      </c>
      <c r="I373" s="2">
        <v>2</v>
      </c>
      <c r="J373" s="2">
        <v>0</v>
      </c>
      <c r="K373" s="2">
        <v>0</v>
      </c>
      <c r="L373" s="2">
        <v>0</v>
      </c>
      <c r="M373" s="2">
        <v>2</v>
      </c>
      <c r="N373" s="2">
        <v>2</v>
      </c>
      <c r="O373" s="2">
        <v>0</v>
      </c>
      <c r="P373" s="2">
        <v>0</v>
      </c>
      <c r="Q373" s="2">
        <v>0</v>
      </c>
      <c r="R373" s="2">
        <v>0</v>
      </c>
      <c r="S373" s="2" t="s">
        <v>488</v>
      </c>
      <c r="T373" s="2" t="s">
        <v>488</v>
      </c>
      <c r="U373" s="2">
        <v>0</v>
      </c>
      <c r="V373" s="2">
        <v>0</v>
      </c>
      <c r="W373">
        <f t="shared" si="5"/>
        <v>2</v>
      </c>
    </row>
    <row r="374" spans="1:23" x14ac:dyDescent="0.25">
      <c r="A374" s="2" t="s">
        <v>628</v>
      </c>
      <c r="B374" s="2" t="s">
        <v>915</v>
      </c>
      <c r="C374" s="2">
        <v>540093</v>
      </c>
      <c r="D374" s="2" t="s">
        <v>647</v>
      </c>
      <c r="E374" s="2" t="s">
        <v>11</v>
      </c>
      <c r="F374" s="2" t="s">
        <v>115</v>
      </c>
      <c r="G374" s="2">
        <v>11</v>
      </c>
      <c r="H374" s="2">
        <v>0</v>
      </c>
      <c r="I374" s="2">
        <v>0</v>
      </c>
      <c r="J374" s="2">
        <v>0</v>
      </c>
      <c r="K374" s="2">
        <v>0</v>
      </c>
      <c r="L374" s="2">
        <v>0</v>
      </c>
      <c r="M374" s="2">
        <v>0</v>
      </c>
      <c r="N374" s="2">
        <v>0</v>
      </c>
      <c r="O374" s="2">
        <v>0</v>
      </c>
      <c r="P374" s="2">
        <v>0</v>
      </c>
      <c r="Q374" s="2">
        <v>0</v>
      </c>
      <c r="R374" s="2">
        <v>0</v>
      </c>
      <c r="S374" s="2" t="s">
        <v>488</v>
      </c>
      <c r="T374" s="2" t="s">
        <v>488</v>
      </c>
      <c r="U374" s="2">
        <v>0</v>
      </c>
      <c r="V374" s="2">
        <v>0</v>
      </c>
      <c r="W374">
        <f t="shared" si="5"/>
        <v>0</v>
      </c>
    </row>
    <row r="375" spans="1:23" x14ac:dyDescent="0.25">
      <c r="A375" s="2" t="s">
        <v>628</v>
      </c>
      <c r="B375" s="2" t="s">
        <v>915</v>
      </c>
      <c r="C375" s="2">
        <v>540084</v>
      </c>
      <c r="D375" s="2" t="s">
        <v>648</v>
      </c>
      <c r="E375" s="2" t="s">
        <v>11</v>
      </c>
      <c r="F375" s="2" t="s">
        <v>115</v>
      </c>
      <c r="G375" s="2">
        <v>11</v>
      </c>
      <c r="H375" s="2">
        <v>0</v>
      </c>
      <c r="I375" s="2">
        <v>0</v>
      </c>
      <c r="J375" s="2">
        <v>0</v>
      </c>
      <c r="K375" s="2">
        <v>0</v>
      </c>
      <c r="L375" s="2">
        <v>0</v>
      </c>
      <c r="M375" s="2">
        <v>0</v>
      </c>
      <c r="N375" s="2">
        <v>0</v>
      </c>
      <c r="O375" s="2">
        <v>0</v>
      </c>
      <c r="P375" s="2">
        <v>0</v>
      </c>
      <c r="Q375" s="2">
        <v>0</v>
      </c>
      <c r="R375" s="2">
        <v>0</v>
      </c>
      <c r="S375" s="2" t="s">
        <v>488</v>
      </c>
      <c r="T375" s="2" t="s">
        <v>488</v>
      </c>
      <c r="U375" s="2">
        <v>0</v>
      </c>
      <c r="V375" s="2">
        <v>0</v>
      </c>
      <c r="W375">
        <f t="shared" si="5"/>
        <v>0</v>
      </c>
    </row>
    <row r="376" spans="1:23" x14ac:dyDescent="0.25">
      <c r="A376" s="255" t="s">
        <v>628</v>
      </c>
      <c r="B376" s="255" t="s">
        <v>915</v>
      </c>
      <c r="C376" s="255"/>
      <c r="D376" s="255"/>
      <c r="E376" s="255" t="s">
        <v>11</v>
      </c>
      <c r="F376" s="255"/>
      <c r="G376" s="255"/>
      <c r="H376" s="255">
        <v>0</v>
      </c>
      <c r="I376" s="255">
        <v>2</v>
      </c>
      <c r="J376" s="255">
        <v>0</v>
      </c>
      <c r="K376" s="255">
        <v>0</v>
      </c>
      <c r="L376" s="255">
        <v>0</v>
      </c>
      <c r="M376" s="255">
        <v>2</v>
      </c>
      <c r="N376" s="255">
        <v>2</v>
      </c>
      <c r="O376" s="255">
        <v>0</v>
      </c>
      <c r="P376" s="255">
        <v>0</v>
      </c>
      <c r="Q376" s="255">
        <v>0</v>
      </c>
      <c r="R376" s="255">
        <v>0</v>
      </c>
      <c r="S376" s="255" t="s">
        <v>488</v>
      </c>
      <c r="T376" s="255" t="s">
        <v>488</v>
      </c>
      <c r="U376" s="255">
        <v>0</v>
      </c>
      <c r="V376" s="255">
        <v>0</v>
      </c>
      <c r="W376">
        <f t="shared" si="5"/>
        <v>2</v>
      </c>
    </row>
    <row r="377" spans="1:23" x14ac:dyDescent="0.25">
      <c r="A377" s="2" t="s">
        <v>628</v>
      </c>
      <c r="B377" s="2" t="s">
        <v>915</v>
      </c>
      <c r="C377" s="2">
        <v>540016</v>
      </c>
      <c r="D377" s="2" t="s">
        <v>649</v>
      </c>
      <c r="E377" s="2" t="s">
        <v>13</v>
      </c>
      <c r="F377" s="2" t="s">
        <v>5</v>
      </c>
      <c r="G377" s="2">
        <v>2</v>
      </c>
      <c r="H377" s="2">
        <v>0</v>
      </c>
      <c r="I377" s="2">
        <v>0</v>
      </c>
      <c r="J377" s="2">
        <v>0</v>
      </c>
      <c r="K377" s="2">
        <v>0</v>
      </c>
      <c r="L377" s="2">
        <v>0</v>
      </c>
      <c r="M377" s="2">
        <v>0</v>
      </c>
      <c r="N377" s="2">
        <v>0</v>
      </c>
      <c r="O377" s="2">
        <v>0</v>
      </c>
      <c r="P377" s="2">
        <v>0</v>
      </c>
      <c r="Q377" s="2">
        <v>0</v>
      </c>
      <c r="R377" s="2">
        <v>0</v>
      </c>
      <c r="S377" s="2" t="s">
        <v>488</v>
      </c>
      <c r="T377" s="2" t="s">
        <v>488</v>
      </c>
      <c r="U377" s="2">
        <v>1</v>
      </c>
      <c r="V377" s="2">
        <v>0</v>
      </c>
      <c r="W377">
        <f t="shared" si="5"/>
        <v>1</v>
      </c>
    </row>
    <row r="378" spans="1:23" x14ac:dyDescent="0.25">
      <c r="A378" s="2" t="s">
        <v>628</v>
      </c>
      <c r="B378" s="2" t="s">
        <v>915</v>
      </c>
      <c r="C378" s="2">
        <v>540017</v>
      </c>
      <c r="D378" s="2" t="s">
        <v>650</v>
      </c>
      <c r="E378" s="2" t="s">
        <v>13</v>
      </c>
      <c r="F378" s="2" t="s">
        <v>115</v>
      </c>
      <c r="G378" s="2">
        <v>2</v>
      </c>
      <c r="H378" s="2">
        <v>0</v>
      </c>
      <c r="I378" s="2">
        <v>0</v>
      </c>
      <c r="J378" s="2">
        <v>0</v>
      </c>
      <c r="K378" s="2">
        <v>0</v>
      </c>
      <c r="L378" s="2">
        <v>0</v>
      </c>
      <c r="M378" s="2">
        <v>0</v>
      </c>
      <c r="N378" s="2">
        <v>0</v>
      </c>
      <c r="O378" s="2">
        <v>0</v>
      </c>
      <c r="P378" s="2">
        <v>0</v>
      </c>
      <c r="Q378" s="2">
        <v>0</v>
      </c>
      <c r="R378" s="2">
        <v>0</v>
      </c>
      <c r="S378" s="2" t="s">
        <v>488</v>
      </c>
      <c r="T378" s="2" t="s">
        <v>488</v>
      </c>
      <c r="U378" s="2">
        <v>0</v>
      </c>
      <c r="V378" s="2">
        <v>0</v>
      </c>
      <c r="W378">
        <f t="shared" si="5"/>
        <v>0</v>
      </c>
    </row>
    <row r="379" spans="1:23" x14ac:dyDescent="0.25">
      <c r="A379" s="2" t="s">
        <v>628</v>
      </c>
      <c r="B379" s="2" t="s">
        <v>915</v>
      </c>
      <c r="C379" s="2">
        <v>540018</v>
      </c>
      <c r="D379" s="2" t="s">
        <v>651</v>
      </c>
      <c r="E379" s="2" t="s">
        <v>13</v>
      </c>
      <c r="F379" s="2" t="s">
        <v>115</v>
      </c>
      <c r="G379" s="2">
        <v>2</v>
      </c>
      <c r="H379" s="2">
        <v>0</v>
      </c>
      <c r="I379" s="2">
        <v>0</v>
      </c>
      <c r="J379" s="2">
        <v>0</v>
      </c>
      <c r="K379" s="2">
        <v>0</v>
      </c>
      <c r="L379" s="2">
        <v>0</v>
      </c>
      <c r="M379" s="2">
        <v>0</v>
      </c>
      <c r="N379" s="2">
        <v>0</v>
      </c>
      <c r="O379" s="2">
        <v>0</v>
      </c>
      <c r="P379" s="2">
        <v>0</v>
      </c>
      <c r="Q379" s="2">
        <v>0</v>
      </c>
      <c r="R379" s="2">
        <v>0</v>
      </c>
      <c r="S379" s="2" t="s">
        <v>488</v>
      </c>
      <c r="T379" s="2" t="s">
        <v>488</v>
      </c>
      <c r="U379" s="2">
        <v>0</v>
      </c>
      <c r="V379" s="2">
        <v>5</v>
      </c>
      <c r="W379">
        <f t="shared" si="5"/>
        <v>5</v>
      </c>
    </row>
    <row r="380" spans="1:23" x14ac:dyDescent="0.25">
      <c r="A380" s="2" t="s">
        <v>628</v>
      </c>
      <c r="B380" s="2" t="s">
        <v>915</v>
      </c>
      <c r="C380" s="2">
        <v>540019</v>
      </c>
      <c r="D380" s="2" t="s">
        <v>652</v>
      </c>
      <c r="E380" s="2" t="s">
        <v>13</v>
      </c>
      <c r="F380" s="2" t="s">
        <v>115</v>
      </c>
      <c r="G380" s="2">
        <v>2</v>
      </c>
      <c r="H380" s="2">
        <v>0</v>
      </c>
      <c r="I380" s="2">
        <v>1</v>
      </c>
      <c r="J380" s="2">
        <v>0</v>
      </c>
      <c r="K380" s="2">
        <v>0</v>
      </c>
      <c r="L380" s="2">
        <v>0</v>
      </c>
      <c r="M380" s="2">
        <v>1</v>
      </c>
      <c r="N380" s="2">
        <v>1</v>
      </c>
      <c r="O380" s="2">
        <v>0</v>
      </c>
      <c r="P380" s="2">
        <v>0</v>
      </c>
      <c r="Q380" s="2">
        <v>0</v>
      </c>
      <c r="R380" s="2">
        <v>0</v>
      </c>
      <c r="S380" s="2" t="s">
        <v>488</v>
      </c>
      <c r="T380" s="2" t="s">
        <v>488</v>
      </c>
      <c r="U380" s="2">
        <v>0</v>
      </c>
      <c r="V380" s="2">
        <v>0</v>
      </c>
      <c r="W380">
        <f t="shared" si="5"/>
        <v>1</v>
      </c>
    </row>
    <row r="381" spans="1:23" x14ac:dyDescent="0.25">
      <c r="A381" s="255" t="s">
        <v>628</v>
      </c>
      <c r="B381" s="255" t="s">
        <v>915</v>
      </c>
      <c r="C381" s="255"/>
      <c r="D381" s="255"/>
      <c r="E381" s="255" t="s">
        <v>13</v>
      </c>
      <c r="F381" s="255"/>
      <c r="G381" s="255"/>
      <c r="H381" s="255">
        <v>0</v>
      </c>
      <c r="I381" s="255">
        <v>1</v>
      </c>
      <c r="J381" s="255">
        <v>0</v>
      </c>
      <c r="K381" s="255">
        <v>0</v>
      </c>
      <c r="L381" s="255">
        <v>0</v>
      </c>
      <c r="M381" s="255">
        <v>1</v>
      </c>
      <c r="N381" s="255">
        <v>1</v>
      </c>
      <c r="O381" s="255">
        <v>0</v>
      </c>
      <c r="P381" s="255">
        <v>0</v>
      </c>
      <c r="Q381" s="255">
        <v>0</v>
      </c>
      <c r="R381" s="255">
        <v>0</v>
      </c>
      <c r="S381" s="255" t="s">
        <v>488</v>
      </c>
      <c r="T381" s="255" t="s">
        <v>488</v>
      </c>
      <c r="U381" s="255">
        <v>1</v>
      </c>
      <c r="V381" s="255">
        <v>5</v>
      </c>
      <c r="W381">
        <f t="shared" si="5"/>
        <v>7</v>
      </c>
    </row>
    <row r="382" spans="1:23" x14ac:dyDescent="0.25">
      <c r="A382" s="2" t="s">
        <v>628</v>
      </c>
      <c r="B382" s="2" t="s">
        <v>915</v>
      </c>
      <c r="C382" s="2">
        <v>540020</v>
      </c>
      <c r="D382" s="2" t="s">
        <v>653</v>
      </c>
      <c r="E382" s="2" t="s">
        <v>15</v>
      </c>
      <c r="F382" s="2" t="s">
        <v>5</v>
      </c>
      <c r="G382" s="2">
        <v>5</v>
      </c>
      <c r="H382" s="2">
        <v>1</v>
      </c>
      <c r="I382" s="2">
        <v>0</v>
      </c>
      <c r="J382" s="2">
        <v>0</v>
      </c>
      <c r="K382" s="2">
        <v>0</v>
      </c>
      <c r="L382" s="2">
        <v>0</v>
      </c>
      <c r="M382" s="2">
        <v>0</v>
      </c>
      <c r="N382" s="2">
        <v>1</v>
      </c>
      <c r="O382" s="2">
        <v>0</v>
      </c>
      <c r="P382" s="2">
        <v>0</v>
      </c>
      <c r="Q382" s="2" t="s">
        <v>488</v>
      </c>
      <c r="R382" s="2" t="s">
        <v>488</v>
      </c>
      <c r="S382" s="2" t="s">
        <v>488</v>
      </c>
      <c r="T382" s="2" t="s">
        <v>488</v>
      </c>
      <c r="U382" s="2">
        <v>0</v>
      </c>
      <c r="V382" s="2">
        <v>0</v>
      </c>
      <c r="W382">
        <f t="shared" si="5"/>
        <v>1</v>
      </c>
    </row>
    <row r="383" spans="1:23" x14ac:dyDescent="0.25">
      <c r="A383" s="2" t="s">
        <v>628</v>
      </c>
      <c r="B383" s="2" t="s">
        <v>915</v>
      </c>
      <c r="C383" s="2">
        <v>540021</v>
      </c>
      <c r="D383" s="2" t="s">
        <v>654</v>
      </c>
      <c r="E383" s="2" t="s">
        <v>15</v>
      </c>
      <c r="F383" s="2" t="s">
        <v>115</v>
      </c>
      <c r="G383" s="2">
        <v>5</v>
      </c>
      <c r="H383" s="2">
        <v>0</v>
      </c>
      <c r="I383" s="2">
        <v>0</v>
      </c>
      <c r="J383" s="2">
        <v>0</v>
      </c>
      <c r="K383" s="2">
        <v>0</v>
      </c>
      <c r="L383" s="2">
        <v>0</v>
      </c>
      <c r="M383" s="2">
        <v>0</v>
      </c>
      <c r="N383" s="2">
        <v>0</v>
      </c>
      <c r="O383" s="2">
        <v>0</v>
      </c>
      <c r="P383" s="2">
        <v>0</v>
      </c>
      <c r="Q383" s="2" t="s">
        <v>488</v>
      </c>
      <c r="R383" s="2" t="s">
        <v>488</v>
      </c>
      <c r="S383" s="2" t="s">
        <v>488</v>
      </c>
      <c r="T383" s="2" t="s">
        <v>488</v>
      </c>
      <c r="U383" s="2">
        <v>0</v>
      </c>
      <c r="V383" s="2">
        <v>0</v>
      </c>
      <c r="W383">
        <f t="shared" si="5"/>
        <v>0</v>
      </c>
    </row>
    <row r="384" spans="1:23" x14ac:dyDescent="0.25">
      <c r="A384" s="255" t="s">
        <v>628</v>
      </c>
      <c r="B384" s="255" t="s">
        <v>915</v>
      </c>
      <c r="C384" s="255"/>
      <c r="D384" s="255"/>
      <c r="E384" s="255" t="s">
        <v>15</v>
      </c>
      <c r="F384" s="255"/>
      <c r="G384" s="255"/>
      <c r="H384" s="255">
        <v>1</v>
      </c>
      <c r="I384" s="255">
        <v>0</v>
      </c>
      <c r="J384" s="255">
        <v>0</v>
      </c>
      <c r="K384" s="255">
        <v>0</v>
      </c>
      <c r="L384" s="255">
        <v>0</v>
      </c>
      <c r="M384" s="255">
        <v>0</v>
      </c>
      <c r="N384" s="255">
        <v>1</v>
      </c>
      <c r="O384" s="255">
        <v>0</v>
      </c>
      <c r="P384" s="255">
        <v>0</v>
      </c>
      <c r="Q384" s="255" t="s">
        <v>488</v>
      </c>
      <c r="R384" s="255" t="s">
        <v>488</v>
      </c>
      <c r="S384" s="255" t="s">
        <v>488</v>
      </c>
      <c r="T384" s="255" t="s">
        <v>488</v>
      </c>
      <c r="U384" s="255">
        <v>0</v>
      </c>
      <c r="V384" s="255">
        <v>0</v>
      </c>
      <c r="W384">
        <f t="shared" si="5"/>
        <v>1</v>
      </c>
    </row>
    <row r="385" spans="1:23" x14ac:dyDescent="0.25">
      <c r="A385" s="2" t="s">
        <v>628</v>
      </c>
      <c r="B385" s="2" t="s">
        <v>915</v>
      </c>
      <c r="C385" s="2">
        <v>540022</v>
      </c>
      <c r="D385" s="2" t="s">
        <v>655</v>
      </c>
      <c r="E385" s="2" t="s">
        <v>17</v>
      </c>
      <c r="F385" s="2" t="s">
        <v>5</v>
      </c>
      <c r="G385" s="2">
        <v>3</v>
      </c>
      <c r="H385" s="2">
        <v>0</v>
      </c>
      <c r="I385" s="2">
        <v>0</v>
      </c>
      <c r="J385" s="2">
        <v>0</v>
      </c>
      <c r="K385" s="2">
        <v>0</v>
      </c>
      <c r="L385" s="2">
        <v>0</v>
      </c>
      <c r="M385" s="2">
        <v>0</v>
      </c>
      <c r="N385" s="2">
        <v>0</v>
      </c>
      <c r="O385" s="2">
        <v>0</v>
      </c>
      <c r="P385" s="2">
        <v>0</v>
      </c>
      <c r="Q385" s="2" t="s">
        <v>488</v>
      </c>
      <c r="R385" s="2" t="s">
        <v>488</v>
      </c>
      <c r="S385" s="2" t="s">
        <v>488</v>
      </c>
      <c r="T385" s="2" t="s">
        <v>488</v>
      </c>
      <c r="U385" s="2">
        <v>0</v>
      </c>
      <c r="V385" s="2">
        <v>0</v>
      </c>
      <c r="W385">
        <f t="shared" si="5"/>
        <v>0</v>
      </c>
    </row>
    <row r="386" spans="1:23" x14ac:dyDescent="0.25">
      <c r="A386" s="2" t="s">
        <v>628</v>
      </c>
      <c r="B386" s="2" t="s">
        <v>915</v>
      </c>
      <c r="C386" s="2">
        <v>540023</v>
      </c>
      <c r="D386" s="2" t="s">
        <v>656</v>
      </c>
      <c r="E386" s="2" t="s">
        <v>17</v>
      </c>
      <c r="F386" s="2" t="s">
        <v>115</v>
      </c>
      <c r="G386" s="2">
        <v>3</v>
      </c>
      <c r="H386" s="2">
        <v>0</v>
      </c>
      <c r="I386" s="2">
        <v>1</v>
      </c>
      <c r="J386" s="2">
        <v>0</v>
      </c>
      <c r="K386" s="2">
        <v>0</v>
      </c>
      <c r="L386" s="2">
        <v>0</v>
      </c>
      <c r="M386" s="2">
        <v>1</v>
      </c>
      <c r="N386" s="2">
        <v>1</v>
      </c>
      <c r="O386" s="2">
        <v>0</v>
      </c>
      <c r="P386" s="2">
        <v>0</v>
      </c>
      <c r="Q386" s="2" t="s">
        <v>488</v>
      </c>
      <c r="R386" s="2" t="s">
        <v>488</v>
      </c>
      <c r="S386" s="2" t="s">
        <v>488</v>
      </c>
      <c r="T386" s="2" t="s">
        <v>488</v>
      </c>
      <c r="U386" s="2">
        <v>0</v>
      </c>
      <c r="V386" s="2">
        <v>0</v>
      </c>
      <c r="W386">
        <f t="shared" si="5"/>
        <v>1</v>
      </c>
    </row>
    <row r="387" spans="1:23" x14ac:dyDescent="0.25">
      <c r="A387" s="255" t="s">
        <v>628</v>
      </c>
      <c r="B387" s="255" t="s">
        <v>915</v>
      </c>
      <c r="C387" s="255"/>
      <c r="D387" s="255"/>
      <c r="E387" s="255" t="s">
        <v>17</v>
      </c>
      <c r="F387" s="255"/>
      <c r="G387" s="255"/>
      <c r="H387" s="255">
        <v>0</v>
      </c>
      <c r="I387" s="255">
        <v>1</v>
      </c>
      <c r="J387" s="255">
        <v>0</v>
      </c>
      <c r="K387" s="255">
        <v>0</v>
      </c>
      <c r="L387" s="255">
        <v>0</v>
      </c>
      <c r="M387" s="255">
        <v>1</v>
      </c>
      <c r="N387" s="255">
        <v>1</v>
      </c>
      <c r="O387" s="255">
        <v>0</v>
      </c>
      <c r="P387" s="255">
        <v>0</v>
      </c>
      <c r="Q387" s="255" t="s">
        <v>488</v>
      </c>
      <c r="R387" s="255" t="s">
        <v>488</v>
      </c>
      <c r="S387" s="255" t="s">
        <v>488</v>
      </c>
      <c r="T387" s="255" t="s">
        <v>488</v>
      </c>
      <c r="U387" s="255">
        <v>0</v>
      </c>
      <c r="V387" s="255">
        <v>0</v>
      </c>
      <c r="W387">
        <f t="shared" ref="W387:W450" si="6">SUM(N387,P387,R387,T387,U387,V387)</f>
        <v>1</v>
      </c>
    </row>
    <row r="388" spans="1:23" x14ac:dyDescent="0.25">
      <c r="A388" s="2" t="s">
        <v>628</v>
      </c>
      <c r="B388" s="2" t="s">
        <v>915</v>
      </c>
      <c r="C388" s="2">
        <v>540024</v>
      </c>
      <c r="D388" s="2" t="s">
        <v>657</v>
      </c>
      <c r="E388" s="2" t="s">
        <v>19</v>
      </c>
      <c r="F388" s="2" t="s">
        <v>5</v>
      </c>
      <c r="G388" s="2">
        <v>6</v>
      </c>
      <c r="H388" s="2">
        <v>0</v>
      </c>
      <c r="I388" s="2">
        <v>0</v>
      </c>
      <c r="J388" s="2">
        <v>0</v>
      </c>
      <c r="K388" s="2">
        <v>0</v>
      </c>
      <c r="L388" s="2">
        <v>0</v>
      </c>
      <c r="M388" s="2">
        <v>0</v>
      </c>
      <c r="N388" s="2">
        <v>0</v>
      </c>
      <c r="O388" s="2">
        <v>0</v>
      </c>
      <c r="P388" s="2">
        <v>0</v>
      </c>
      <c r="Q388" s="2">
        <v>0</v>
      </c>
      <c r="R388" s="2">
        <v>0</v>
      </c>
      <c r="S388" s="2" t="s">
        <v>488</v>
      </c>
      <c r="T388" s="2" t="s">
        <v>488</v>
      </c>
      <c r="U388" s="2">
        <v>0</v>
      </c>
      <c r="V388" s="2">
        <v>0</v>
      </c>
      <c r="W388">
        <f t="shared" si="6"/>
        <v>0</v>
      </c>
    </row>
    <row r="389" spans="1:23" x14ac:dyDescent="0.25">
      <c r="A389" s="2" t="s">
        <v>628</v>
      </c>
      <c r="B389" s="2" t="s">
        <v>915</v>
      </c>
      <c r="C389" s="2">
        <v>540025</v>
      </c>
      <c r="D389" s="2" t="s">
        <v>658</v>
      </c>
      <c r="E389" s="2" t="s">
        <v>19</v>
      </c>
      <c r="F389" s="2" t="s">
        <v>115</v>
      </c>
      <c r="G389" s="2">
        <v>6</v>
      </c>
      <c r="H389" s="2">
        <v>0</v>
      </c>
      <c r="I389" s="2">
        <v>0</v>
      </c>
      <c r="J389" s="2">
        <v>0</v>
      </c>
      <c r="K389" s="2">
        <v>0</v>
      </c>
      <c r="L389" s="2">
        <v>0</v>
      </c>
      <c r="M389" s="2">
        <v>0</v>
      </c>
      <c r="N389" s="2">
        <v>0</v>
      </c>
      <c r="O389" s="2">
        <v>0</v>
      </c>
      <c r="P389" s="2">
        <v>0</v>
      </c>
      <c r="Q389" s="2">
        <v>0</v>
      </c>
      <c r="R389" s="2">
        <v>0</v>
      </c>
      <c r="S389" s="2" t="s">
        <v>488</v>
      </c>
      <c r="T389" s="2" t="s">
        <v>488</v>
      </c>
      <c r="U389" s="2">
        <v>0</v>
      </c>
      <c r="V389" s="2">
        <v>0</v>
      </c>
      <c r="W389">
        <f t="shared" si="6"/>
        <v>0</v>
      </c>
    </row>
    <row r="390" spans="1:23" x14ac:dyDescent="0.25">
      <c r="A390" s="255" t="s">
        <v>628</v>
      </c>
      <c r="B390" s="255" t="s">
        <v>915</v>
      </c>
      <c r="C390" s="255"/>
      <c r="D390" s="255"/>
      <c r="E390" s="255" t="s">
        <v>19</v>
      </c>
      <c r="F390" s="255"/>
      <c r="G390" s="255"/>
      <c r="H390" s="255">
        <v>0</v>
      </c>
      <c r="I390" s="255">
        <v>0</v>
      </c>
      <c r="J390" s="255">
        <v>0</v>
      </c>
      <c r="K390" s="255">
        <v>0</v>
      </c>
      <c r="L390" s="255">
        <v>0</v>
      </c>
      <c r="M390" s="255">
        <v>0</v>
      </c>
      <c r="N390" s="255">
        <v>0</v>
      </c>
      <c r="O390" s="255">
        <v>0</v>
      </c>
      <c r="P390" s="255">
        <v>0</v>
      </c>
      <c r="Q390" s="255">
        <v>0</v>
      </c>
      <c r="R390" s="255">
        <v>0</v>
      </c>
      <c r="S390" s="255" t="s">
        <v>488</v>
      </c>
      <c r="T390" s="255" t="s">
        <v>488</v>
      </c>
      <c r="U390" s="255">
        <v>0</v>
      </c>
      <c r="V390" s="255">
        <v>0</v>
      </c>
      <c r="W390">
        <f t="shared" si="6"/>
        <v>0</v>
      </c>
    </row>
    <row r="391" spans="1:23" x14ac:dyDescent="0.25">
      <c r="A391" s="2" t="s">
        <v>628</v>
      </c>
      <c r="B391" s="2" t="s">
        <v>915</v>
      </c>
      <c r="C391" s="2">
        <v>540035</v>
      </c>
      <c r="D391" s="2" t="s">
        <v>659</v>
      </c>
      <c r="E391" s="2" t="s">
        <v>23</v>
      </c>
      <c r="F391" s="2" t="s">
        <v>5</v>
      </c>
      <c r="G391" s="2">
        <v>7</v>
      </c>
      <c r="H391" s="2">
        <v>0</v>
      </c>
      <c r="I391" s="2">
        <v>0</v>
      </c>
      <c r="J391" s="2">
        <v>0</v>
      </c>
      <c r="K391" s="2">
        <v>0</v>
      </c>
      <c r="L391" s="2">
        <v>0</v>
      </c>
      <c r="M391" s="2">
        <v>0</v>
      </c>
      <c r="N391" s="2">
        <v>0</v>
      </c>
      <c r="O391" s="2">
        <v>0</v>
      </c>
      <c r="P391" s="2">
        <v>0</v>
      </c>
      <c r="Q391" s="2" t="s">
        <v>488</v>
      </c>
      <c r="R391" s="2" t="s">
        <v>488</v>
      </c>
      <c r="S391" s="2" t="s">
        <v>488</v>
      </c>
      <c r="T391" s="2" t="s">
        <v>488</v>
      </c>
      <c r="U391" s="2">
        <v>0</v>
      </c>
      <c r="V391" s="2">
        <v>0</v>
      </c>
      <c r="W391">
        <f t="shared" si="6"/>
        <v>0</v>
      </c>
    </row>
    <row r="392" spans="1:23" x14ac:dyDescent="0.25">
      <c r="A392" s="2" t="s">
        <v>628</v>
      </c>
      <c r="B392" s="2" t="s">
        <v>915</v>
      </c>
      <c r="C392" s="2">
        <v>540036</v>
      </c>
      <c r="D392" s="2" t="s">
        <v>660</v>
      </c>
      <c r="E392" s="2" t="s">
        <v>23</v>
      </c>
      <c r="F392" s="2" t="s">
        <v>115</v>
      </c>
      <c r="G392" s="2">
        <v>7</v>
      </c>
      <c r="H392" s="2">
        <v>0</v>
      </c>
      <c r="I392" s="2">
        <v>0</v>
      </c>
      <c r="J392" s="2">
        <v>0</v>
      </c>
      <c r="K392" s="2">
        <v>0</v>
      </c>
      <c r="L392" s="2">
        <v>0</v>
      </c>
      <c r="M392" s="2">
        <v>0</v>
      </c>
      <c r="N392" s="2">
        <v>0</v>
      </c>
      <c r="O392" s="2">
        <v>0</v>
      </c>
      <c r="P392" s="2">
        <v>0</v>
      </c>
      <c r="Q392" s="2" t="s">
        <v>488</v>
      </c>
      <c r="R392" s="2" t="s">
        <v>488</v>
      </c>
      <c r="S392" s="2" t="s">
        <v>488</v>
      </c>
      <c r="T392" s="2" t="s">
        <v>488</v>
      </c>
      <c r="U392" s="2">
        <v>1</v>
      </c>
      <c r="V392" s="2">
        <v>0</v>
      </c>
      <c r="W392">
        <f t="shared" si="6"/>
        <v>1</v>
      </c>
    </row>
    <row r="393" spans="1:23" x14ac:dyDescent="0.25">
      <c r="A393" s="2" t="s">
        <v>628</v>
      </c>
      <c r="B393" s="2" t="s">
        <v>915</v>
      </c>
      <c r="C393" s="2">
        <v>540037</v>
      </c>
      <c r="D393" s="2" t="s">
        <v>661</v>
      </c>
      <c r="E393" s="2" t="s">
        <v>23</v>
      </c>
      <c r="F393" s="2" t="s">
        <v>115</v>
      </c>
      <c r="G393" s="2">
        <v>7</v>
      </c>
      <c r="H393" s="2">
        <v>0</v>
      </c>
      <c r="I393" s="2">
        <v>0</v>
      </c>
      <c r="J393" s="2">
        <v>0</v>
      </c>
      <c r="K393" s="2">
        <v>0</v>
      </c>
      <c r="L393" s="2">
        <v>0</v>
      </c>
      <c r="M393" s="2">
        <v>0</v>
      </c>
      <c r="N393" s="2">
        <v>0</v>
      </c>
      <c r="O393" s="2">
        <v>0</v>
      </c>
      <c r="P393" s="2">
        <v>0</v>
      </c>
      <c r="Q393" s="2" t="s">
        <v>488</v>
      </c>
      <c r="R393" s="2" t="s">
        <v>488</v>
      </c>
      <c r="S393" s="2" t="s">
        <v>488</v>
      </c>
      <c r="T393" s="2" t="s">
        <v>488</v>
      </c>
      <c r="U393" s="2">
        <v>0</v>
      </c>
      <c r="V393" s="2">
        <v>0</v>
      </c>
      <c r="W393">
        <f t="shared" si="6"/>
        <v>0</v>
      </c>
    </row>
    <row r="394" spans="1:23" x14ac:dyDescent="0.25">
      <c r="A394" s="255" t="s">
        <v>628</v>
      </c>
      <c r="B394" s="255" t="s">
        <v>915</v>
      </c>
      <c r="C394" s="255"/>
      <c r="D394" s="255"/>
      <c r="E394" s="255" t="s">
        <v>23</v>
      </c>
      <c r="F394" s="255"/>
      <c r="G394" s="255"/>
      <c r="H394" s="255">
        <v>0</v>
      </c>
      <c r="I394" s="255">
        <v>0</v>
      </c>
      <c r="J394" s="255">
        <v>0</v>
      </c>
      <c r="K394" s="255">
        <v>0</v>
      </c>
      <c r="L394" s="255">
        <v>0</v>
      </c>
      <c r="M394" s="255">
        <v>0</v>
      </c>
      <c r="N394" s="255">
        <v>0</v>
      </c>
      <c r="O394" s="255">
        <v>0</v>
      </c>
      <c r="P394" s="255">
        <v>0</v>
      </c>
      <c r="Q394" s="255" t="s">
        <v>488</v>
      </c>
      <c r="R394" s="255" t="s">
        <v>488</v>
      </c>
      <c r="S394" s="255" t="s">
        <v>488</v>
      </c>
      <c r="T394" s="255" t="s">
        <v>488</v>
      </c>
      <c r="U394" s="255">
        <v>1</v>
      </c>
      <c r="V394" s="255">
        <v>0</v>
      </c>
      <c r="W394">
        <f t="shared" si="6"/>
        <v>1</v>
      </c>
    </row>
    <row r="395" spans="1:23" x14ac:dyDescent="0.25">
      <c r="A395" s="2" t="s">
        <v>628</v>
      </c>
      <c r="B395" s="2" t="s">
        <v>915</v>
      </c>
      <c r="C395" s="2">
        <v>540038</v>
      </c>
      <c r="D395" s="2" t="s">
        <v>662</v>
      </c>
      <c r="E395" s="2" t="s">
        <v>25</v>
      </c>
      <c r="F395" s="2" t="s">
        <v>5</v>
      </c>
      <c r="G395" s="2">
        <v>8</v>
      </c>
      <c r="H395" s="2">
        <v>0</v>
      </c>
      <c r="I395" s="2">
        <v>1</v>
      </c>
      <c r="J395" s="2">
        <v>0</v>
      </c>
      <c r="K395" s="2">
        <v>0</v>
      </c>
      <c r="L395" s="2">
        <v>0</v>
      </c>
      <c r="M395" s="2">
        <v>1</v>
      </c>
      <c r="N395" s="2">
        <v>1</v>
      </c>
      <c r="O395" s="2">
        <v>0</v>
      </c>
      <c r="P395" s="2">
        <v>0</v>
      </c>
      <c r="Q395" s="2" t="s">
        <v>488</v>
      </c>
      <c r="R395" s="2" t="s">
        <v>488</v>
      </c>
      <c r="S395" s="2" t="s">
        <v>488</v>
      </c>
      <c r="T395" s="2" t="s">
        <v>488</v>
      </c>
      <c r="U395" s="2">
        <v>0</v>
      </c>
      <c r="V395" s="2">
        <v>0</v>
      </c>
      <c r="W395">
        <f t="shared" si="6"/>
        <v>1</v>
      </c>
    </row>
    <row r="396" spans="1:23" x14ac:dyDescent="0.25">
      <c r="A396" s="2" t="s">
        <v>628</v>
      </c>
      <c r="B396" s="2" t="s">
        <v>915</v>
      </c>
      <c r="C396" s="2">
        <v>540039</v>
      </c>
      <c r="D396" s="2" t="s">
        <v>663</v>
      </c>
      <c r="E396" s="2" t="s">
        <v>25</v>
      </c>
      <c r="F396" s="2" t="s">
        <v>115</v>
      </c>
      <c r="G396" s="2">
        <v>8</v>
      </c>
      <c r="H396" s="2">
        <v>0</v>
      </c>
      <c r="I396" s="2">
        <v>0</v>
      </c>
      <c r="J396" s="2">
        <v>0</v>
      </c>
      <c r="K396" s="2">
        <v>0</v>
      </c>
      <c r="L396" s="2">
        <v>0</v>
      </c>
      <c r="M396" s="2">
        <v>0</v>
      </c>
      <c r="N396" s="2">
        <v>0</v>
      </c>
      <c r="O396" s="2">
        <v>0</v>
      </c>
      <c r="P396" s="2">
        <v>0</v>
      </c>
      <c r="Q396" s="2" t="s">
        <v>488</v>
      </c>
      <c r="R396" s="2" t="s">
        <v>488</v>
      </c>
      <c r="S396" s="2" t="s">
        <v>488</v>
      </c>
      <c r="T396" s="2" t="s">
        <v>488</v>
      </c>
      <c r="U396" s="2">
        <v>0</v>
      </c>
      <c r="V396" s="2">
        <v>1</v>
      </c>
      <c r="W396">
        <f t="shared" si="6"/>
        <v>1</v>
      </c>
    </row>
    <row r="397" spans="1:23" x14ac:dyDescent="0.25">
      <c r="A397" s="2" t="s">
        <v>628</v>
      </c>
      <c r="B397" s="2" t="s">
        <v>915</v>
      </c>
      <c r="C397" s="2">
        <v>540240</v>
      </c>
      <c r="D397" s="2" t="s">
        <v>664</v>
      </c>
      <c r="E397" s="2" t="s">
        <v>25</v>
      </c>
      <c r="F397" s="2" t="s">
        <v>115</v>
      </c>
      <c r="G397" s="2">
        <v>8</v>
      </c>
      <c r="H397" s="2">
        <v>0</v>
      </c>
      <c r="I397" s="2">
        <v>0</v>
      </c>
      <c r="J397" s="2">
        <v>0</v>
      </c>
      <c r="K397" s="2">
        <v>0</v>
      </c>
      <c r="L397" s="2">
        <v>0</v>
      </c>
      <c r="M397" s="2">
        <v>0</v>
      </c>
      <c r="N397" s="2">
        <v>0</v>
      </c>
      <c r="O397" s="2">
        <v>0</v>
      </c>
      <c r="P397" s="2">
        <v>0</v>
      </c>
      <c r="Q397" s="2" t="s">
        <v>488</v>
      </c>
      <c r="R397" s="2" t="s">
        <v>488</v>
      </c>
      <c r="S397" s="2" t="s">
        <v>488</v>
      </c>
      <c r="T397" s="2" t="s">
        <v>488</v>
      </c>
      <c r="U397" s="2">
        <v>0</v>
      </c>
      <c r="V397" s="2">
        <v>0</v>
      </c>
      <c r="W397">
        <f t="shared" si="6"/>
        <v>0</v>
      </c>
    </row>
    <row r="398" spans="1:23" x14ac:dyDescent="0.25">
      <c r="A398" s="255" t="s">
        <v>628</v>
      </c>
      <c r="B398" s="255" t="s">
        <v>915</v>
      </c>
      <c r="C398" s="255"/>
      <c r="D398" s="255"/>
      <c r="E398" s="255" t="s">
        <v>25</v>
      </c>
      <c r="F398" s="255"/>
      <c r="G398" s="255"/>
      <c r="H398" s="255">
        <v>0</v>
      </c>
      <c r="I398" s="255">
        <v>1</v>
      </c>
      <c r="J398" s="255">
        <v>0</v>
      </c>
      <c r="K398" s="255">
        <v>0</v>
      </c>
      <c r="L398" s="255">
        <v>0</v>
      </c>
      <c r="M398" s="255">
        <v>1</v>
      </c>
      <c r="N398" s="255">
        <v>1</v>
      </c>
      <c r="O398" s="255">
        <v>0</v>
      </c>
      <c r="P398" s="255">
        <v>0</v>
      </c>
      <c r="Q398" s="255" t="s">
        <v>488</v>
      </c>
      <c r="R398" s="255" t="s">
        <v>488</v>
      </c>
      <c r="S398" s="255" t="s">
        <v>488</v>
      </c>
      <c r="T398" s="255" t="s">
        <v>488</v>
      </c>
      <c r="U398" s="255">
        <v>0</v>
      </c>
      <c r="V398" s="255">
        <v>1</v>
      </c>
      <c r="W398">
        <f t="shared" si="6"/>
        <v>2</v>
      </c>
    </row>
    <row r="399" spans="1:23" x14ac:dyDescent="0.25">
      <c r="A399" s="2" t="s">
        <v>628</v>
      </c>
      <c r="B399" s="2" t="s">
        <v>915</v>
      </c>
      <c r="C399" s="2">
        <v>540040</v>
      </c>
      <c r="D399" s="2" t="s">
        <v>665</v>
      </c>
      <c r="E399" s="2" t="s">
        <v>27</v>
      </c>
      <c r="F399" s="2" t="s">
        <v>5</v>
      </c>
      <c r="G399" s="2">
        <v>4</v>
      </c>
      <c r="H399" s="2">
        <v>0</v>
      </c>
      <c r="I399" s="2">
        <v>0</v>
      </c>
      <c r="J399" s="2">
        <v>0</v>
      </c>
      <c r="K399" s="2">
        <v>0</v>
      </c>
      <c r="L399" s="2">
        <v>0</v>
      </c>
      <c r="M399" s="2">
        <v>0</v>
      </c>
      <c r="N399" s="2">
        <v>0</v>
      </c>
      <c r="O399" s="2">
        <v>0</v>
      </c>
      <c r="P399" s="2">
        <v>0</v>
      </c>
      <c r="Q399" s="2">
        <v>0</v>
      </c>
      <c r="R399" s="2">
        <v>0</v>
      </c>
      <c r="S399" s="2" t="s">
        <v>488</v>
      </c>
      <c r="T399" s="2" t="s">
        <v>488</v>
      </c>
      <c r="U399" s="2">
        <v>0</v>
      </c>
      <c r="V399" s="2">
        <v>0</v>
      </c>
      <c r="W399">
        <f t="shared" si="6"/>
        <v>0</v>
      </c>
    </row>
    <row r="400" spans="1:23" x14ac:dyDescent="0.25">
      <c r="A400" s="2" t="s">
        <v>628</v>
      </c>
      <c r="B400" s="2" t="s">
        <v>915</v>
      </c>
      <c r="C400" s="2">
        <v>540041</v>
      </c>
      <c r="D400" s="2" t="s">
        <v>666</v>
      </c>
      <c r="E400" s="2" t="s">
        <v>27</v>
      </c>
      <c r="F400" s="2" t="s">
        <v>115</v>
      </c>
      <c r="G400" s="2">
        <v>4</v>
      </c>
      <c r="H400" s="2">
        <v>0</v>
      </c>
      <c r="I400" s="2">
        <v>1</v>
      </c>
      <c r="J400" s="2">
        <v>0</v>
      </c>
      <c r="K400" s="2">
        <v>0</v>
      </c>
      <c r="L400" s="2">
        <v>0</v>
      </c>
      <c r="M400" s="2">
        <v>1</v>
      </c>
      <c r="N400" s="2">
        <v>1</v>
      </c>
      <c r="O400" s="2">
        <v>1</v>
      </c>
      <c r="P400" s="2">
        <v>0</v>
      </c>
      <c r="Q400" s="2">
        <v>0</v>
      </c>
      <c r="R400" s="2">
        <v>0</v>
      </c>
      <c r="S400" s="2" t="s">
        <v>488</v>
      </c>
      <c r="T400" s="2" t="s">
        <v>488</v>
      </c>
      <c r="U400" s="2">
        <v>0</v>
      </c>
      <c r="V400" s="2">
        <v>0</v>
      </c>
      <c r="W400">
        <f t="shared" si="6"/>
        <v>1</v>
      </c>
    </row>
    <row r="401" spans="1:23" x14ac:dyDescent="0.25">
      <c r="A401" s="2" t="s">
        <v>628</v>
      </c>
      <c r="B401" s="2" t="s">
        <v>915</v>
      </c>
      <c r="C401" s="2">
        <v>540043</v>
      </c>
      <c r="D401" s="2" t="s">
        <v>667</v>
      </c>
      <c r="E401" s="2" t="s">
        <v>27</v>
      </c>
      <c r="F401" s="2" t="s">
        <v>115</v>
      </c>
      <c r="G401" s="2">
        <v>4</v>
      </c>
      <c r="H401" s="2">
        <v>0</v>
      </c>
      <c r="I401" s="2">
        <v>0</v>
      </c>
      <c r="J401" s="2">
        <v>0</v>
      </c>
      <c r="K401" s="2">
        <v>0</v>
      </c>
      <c r="L401" s="2">
        <v>0</v>
      </c>
      <c r="M401" s="2">
        <v>0</v>
      </c>
      <c r="N401" s="2">
        <v>0</v>
      </c>
      <c r="O401" s="2">
        <v>0</v>
      </c>
      <c r="P401" s="2">
        <v>0</v>
      </c>
      <c r="Q401" s="2">
        <v>0</v>
      </c>
      <c r="R401" s="2">
        <v>0</v>
      </c>
      <c r="S401" s="2" t="s">
        <v>488</v>
      </c>
      <c r="T401" s="2" t="s">
        <v>488</v>
      </c>
      <c r="U401" s="2">
        <v>0</v>
      </c>
      <c r="V401" s="2">
        <v>0</v>
      </c>
      <c r="W401">
        <f t="shared" si="6"/>
        <v>0</v>
      </c>
    </row>
    <row r="402" spans="1:23" x14ac:dyDescent="0.25">
      <c r="A402" s="2" t="s">
        <v>628</v>
      </c>
      <c r="B402" s="2" t="s">
        <v>915</v>
      </c>
      <c r="C402" s="2">
        <v>540044</v>
      </c>
      <c r="D402" s="2" t="s">
        <v>668</v>
      </c>
      <c r="E402" s="2" t="s">
        <v>27</v>
      </c>
      <c r="F402" s="2" t="s">
        <v>115</v>
      </c>
      <c r="G402" s="2">
        <v>4</v>
      </c>
      <c r="H402" s="2">
        <v>0</v>
      </c>
      <c r="I402" s="2">
        <v>0</v>
      </c>
      <c r="J402" s="2">
        <v>0</v>
      </c>
      <c r="K402" s="2">
        <v>0</v>
      </c>
      <c r="L402" s="2">
        <v>0</v>
      </c>
      <c r="M402" s="2">
        <v>0</v>
      </c>
      <c r="N402" s="2">
        <v>0</v>
      </c>
      <c r="O402" s="2">
        <v>0</v>
      </c>
      <c r="P402" s="2">
        <v>0</v>
      </c>
      <c r="Q402" s="2">
        <v>0</v>
      </c>
      <c r="R402" s="2">
        <v>0</v>
      </c>
      <c r="S402" s="2" t="s">
        <v>488</v>
      </c>
      <c r="T402" s="2" t="s">
        <v>488</v>
      </c>
      <c r="U402" s="2">
        <v>0</v>
      </c>
      <c r="V402" s="2">
        <v>0</v>
      </c>
      <c r="W402">
        <f t="shared" si="6"/>
        <v>0</v>
      </c>
    </row>
    <row r="403" spans="1:23" x14ac:dyDescent="0.25">
      <c r="A403" s="2" t="s">
        <v>628</v>
      </c>
      <c r="B403" s="2" t="s">
        <v>915</v>
      </c>
      <c r="C403" s="2">
        <v>540045</v>
      </c>
      <c r="D403" s="2" t="s">
        <v>669</v>
      </c>
      <c r="E403" s="2" t="s">
        <v>27</v>
      </c>
      <c r="F403" s="2" t="s">
        <v>115</v>
      </c>
      <c r="G403" s="2">
        <v>4</v>
      </c>
      <c r="H403" s="2">
        <v>0</v>
      </c>
      <c r="I403" s="2">
        <v>1</v>
      </c>
      <c r="J403" s="2">
        <v>0</v>
      </c>
      <c r="K403" s="2">
        <v>0</v>
      </c>
      <c r="L403" s="2">
        <v>0</v>
      </c>
      <c r="M403" s="2">
        <v>1</v>
      </c>
      <c r="N403" s="2">
        <v>1</v>
      </c>
      <c r="O403" s="2">
        <v>1</v>
      </c>
      <c r="P403" s="2">
        <v>0</v>
      </c>
      <c r="Q403" s="2">
        <v>0</v>
      </c>
      <c r="R403" s="2">
        <v>0</v>
      </c>
      <c r="S403" s="2" t="s">
        <v>488</v>
      </c>
      <c r="T403" s="2" t="s">
        <v>488</v>
      </c>
      <c r="U403" s="2">
        <v>0</v>
      </c>
      <c r="V403" s="2">
        <v>0</v>
      </c>
      <c r="W403">
        <f t="shared" si="6"/>
        <v>1</v>
      </c>
    </row>
    <row r="404" spans="1:23" x14ac:dyDescent="0.25">
      <c r="A404" s="2" t="s">
        <v>628</v>
      </c>
      <c r="B404" s="2" t="s">
        <v>915</v>
      </c>
      <c r="C404" s="2">
        <v>540228</v>
      </c>
      <c r="D404" s="2" t="s">
        <v>670</v>
      </c>
      <c r="E404" s="2" t="s">
        <v>27</v>
      </c>
      <c r="F404" s="2" t="s">
        <v>115</v>
      </c>
      <c r="G404" s="2">
        <v>4</v>
      </c>
      <c r="H404" s="2">
        <v>0</v>
      </c>
      <c r="I404" s="2">
        <v>0</v>
      </c>
      <c r="J404" s="2">
        <v>0</v>
      </c>
      <c r="K404" s="2">
        <v>0</v>
      </c>
      <c r="L404" s="2">
        <v>0</v>
      </c>
      <c r="M404" s="2">
        <v>0</v>
      </c>
      <c r="N404" s="2">
        <v>0</v>
      </c>
      <c r="O404" s="2">
        <v>0</v>
      </c>
      <c r="P404" s="2">
        <v>0</v>
      </c>
      <c r="Q404" s="2">
        <v>0</v>
      </c>
      <c r="R404" s="2">
        <v>0</v>
      </c>
      <c r="S404" s="2" t="s">
        <v>488</v>
      </c>
      <c r="T404" s="2" t="s">
        <v>488</v>
      </c>
      <c r="U404" s="2">
        <v>0</v>
      </c>
      <c r="V404" s="2">
        <v>0</v>
      </c>
      <c r="W404">
        <f t="shared" si="6"/>
        <v>0</v>
      </c>
    </row>
    <row r="405" spans="1:23" x14ac:dyDescent="0.25">
      <c r="A405" s="2" t="s">
        <v>628</v>
      </c>
      <c r="B405" s="2" t="s">
        <v>915</v>
      </c>
      <c r="C405" s="2">
        <v>540243</v>
      </c>
      <c r="D405" s="2" t="s">
        <v>671</v>
      </c>
      <c r="E405" s="2" t="s">
        <v>27</v>
      </c>
      <c r="F405" s="2" t="s">
        <v>115</v>
      </c>
      <c r="G405" s="2">
        <v>4</v>
      </c>
      <c r="H405" s="2">
        <v>0</v>
      </c>
      <c r="I405" s="2">
        <v>0</v>
      </c>
      <c r="J405" s="2">
        <v>0</v>
      </c>
      <c r="K405" s="2">
        <v>0</v>
      </c>
      <c r="L405" s="2">
        <v>0</v>
      </c>
      <c r="M405" s="2">
        <v>0</v>
      </c>
      <c r="N405" s="2">
        <v>0</v>
      </c>
      <c r="O405" s="2">
        <v>0</v>
      </c>
      <c r="P405" s="2">
        <v>0</v>
      </c>
      <c r="Q405" s="2">
        <v>0</v>
      </c>
      <c r="R405" s="2">
        <v>0</v>
      </c>
      <c r="S405" s="2" t="s">
        <v>488</v>
      </c>
      <c r="T405" s="2" t="s">
        <v>488</v>
      </c>
      <c r="U405" s="2">
        <v>0</v>
      </c>
      <c r="V405" s="2">
        <v>0</v>
      </c>
      <c r="W405">
        <f t="shared" si="6"/>
        <v>0</v>
      </c>
    </row>
    <row r="406" spans="1:23" x14ac:dyDescent="0.25">
      <c r="A406" s="2" t="s">
        <v>628</v>
      </c>
      <c r="B406" s="2" t="s">
        <v>915</v>
      </c>
      <c r="C406" s="2">
        <v>540244</v>
      </c>
      <c r="D406" s="2" t="s">
        <v>672</v>
      </c>
      <c r="E406" s="2" t="s">
        <v>27</v>
      </c>
      <c r="F406" s="2" t="s">
        <v>115</v>
      </c>
      <c r="G406" s="2">
        <v>4</v>
      </c>
      <c r="H406" s="2">
        <v>0</v>
      </c>
      <c r="I406" s="2">
        <v>0</v>
      </c>
      <c r="J406" s="2">
        <v>0</v>
      </c>
      <c r="K406" s="2">
        <v>0</v>
      </c>
      <c r="L406" s="2">
        <v>0</v>
      </c>
      <c r="M406" s="2">
        <v>0</v>
      </c>
      <c r="N406" s="2">
        <v>0</v>
      </c>
      <c r="O406" s="2">
        <v>0</v>
      </c>
      <c r="P406" s="2">
        <v>0</v>
      </c>
      <c r="Q406" s="2">
        <v>0</v>
      </c>
      <c r="R406" s="2">
        <v>0</v>
      </c>
      <c r="S406" s="2" t="s">
        <v>488</v>
      </c>
      <c r="T406" s="2" t="s">
        <v>488</v>
      </c>
      <c r="U406" s="2">
        <v>0</v>
      </c>
      <c r="V406" s="2">
        <v>0</v>
      </c>
      <c r="W406">
        <f t="shared" si="6"/>
        <v>0</v>
      </c>
    </row>
    <row r="407" spans="1:23" x14ac:dyDescent="0.25">
      <c r="A407" s="2" t="s">
        <v>628</v>
      </c>
      <c r="B407" s="2" t="s">
        <v>915</v>
      </c>
      <c r="C407" s="2">
        <v>540281</v>
      </c>
      <c r="D407" s="2" t="s">
        <v>673</v>
      </c>
      <c r="E407" s="2" t="s">
        <v>27</v>
      </c>
      <c r="F407" s="2" t="s">
        <v>115</v>
      </c>
      <c r="G407" s="2">
        <v>4</v>
      </c>
      <c r="H407" s="2">
        <v>0</v>
      </c>
      <c r="I407" s="2">
        <v>0</v>
      </c>
      <c r="J407" s="2">
        <v>0</v>
      </c>
      <c r="K407" s="2">
        <v>0</v>
      </c>
      <c r="L407" s="2">
        <v>0</v>
      </c>
      <c r="M407" s="2">
        <v>0</v>
      </c>
      <c r="N407" s="2">
        <v>0</v>
      </c>
      <c r="O407" s="2">
        <v>0</v>
      </c>
      <c r="P407" s="2">
        <v>0</v>
      </c>
      <c r="Q407" s="2">
        <v>0</v>
      </c>
      <c r="R407" s="2">
        <v>0</v>
      </c>
      <c r="S407" s="2" t="s">
        <v>488</v>
      </c>
      <c r="T407" s="2" t="s">
        <v>488</v>
      </c>
      <c r="U407" s="2">
        <v>0</v>
      </c>
      <c r="V407" s="2">
        <v>0</v>
      </c>
      <c r="W407">
        <f t="shared" si="6"/>
        <v>0</v>
      </c>
    </row>
    <row r="408" spans="1:23" x14ac:dyDescent="0.25">
      <c r="A408" s="255" t="s">
        <v>628</v>
      </c>
      <c r="B408" s="255" t="s">
        <v>915</v>
      </c>
      <c r="C408" s="255"/>
      <c r="D408" s="255"/>
      <c r="E408" s="255" t="s">
        <v>27</v>
      </c>
      <c r="F408" s="255"/>
      <c r="G408" s="255"/>
      <c r="H408" s="255">
        <v>0</v>
      </c>
      <c r="I408" s="255">
        <v>2</v>
      </c>
      <c r="J408" s="255">
        <v>0</v>
      </c>
      <c r="K408" s="255">
        <v>0</v>
      </c>
      <c r="L408" s="255">
        <v>0</v>
      </c>
      <c r="M408" s="255">
        <v>2</v>
      </c>
      <c r="N408" s="255">
        <v>2</v>
      </c>
      <c r="O408" s="255">
        <v>2</v>
      </c>
      <c r="P408" s="255">
        <v>0</v>
      </c>
      <c r="Q408" s="255">
        <v>0</v>
      </c>
      <c r="R408" s="255">
        <v>0</v>
      </c>
      <c r="S408" s="255" t="s">
        <v>488</v>
      </c>
      <c r="T408" s="255" t="s">
        <v>488</v>
      </c>
      <c r="U408" s="255">
        <v>0</v>
      </c>
      <c r="V408" s="255">
        <v>0</v>
      </c>
      <c r="W408">
        <f t="shared" si="6"/>
        <v>2</v>
      </c>
    </row>
    <row r="409" spans="1:23" x14ac:dyDescent="0.25">
      <c r="A409" s="2" t="s">
        <v>628</v>
      </c>
      <c r="B409" s="2" t="s">
        <v>915</v>
      </c>
      <c r="C409" s="2">
        <v>540047</v>
      </c>
      <c r="D409" s="2" t="s">
        <v>674</v>
      </c>
      <c r="E409" s="2" t="s">
        <v>29</v>
      </c>
      <c r="F409" s="2" t="s">
        <v>5</v>
      </c>
      <c r="G409" s="2">
        <v>11</v>
      </c>
      <c r="H409" s="2">
        <v>0</v>
      </c>
      <c r="I409" s="2">
        <v>0</v>
      </c>
      <c r="J409" s="2">
        <v>0</v>
      </c>
      <c r="K409" s="2">
        <v>0</v>
      </c>
      <c r="L409" s="2">
        <v>0</v>
      </c>
      <c r="M409" s="2">
        <v>0</v>
      </c>
      <c r="N409" s="2">
        <v>0</v>
      </c>
      <c r="O409" s="2">
        <v>0</v>
      </c>
      <c r="P409" s="2">
        <v>0</v>
      </c>
      <c r="Q409" s="2">
        <v>0</v>
      </c>
      <c r="R409" s="2">
        <v>0</v>
      </c>
      <c r="S409" s="2" t="s">
        <v>488</v>
      </c>
      <c r="T409" s="2" t="s">
        <v>488</v>
      </c>
      <c r="U409" s="2">
        <v>0</v>
      </c>
      <c r="V409" s="2">
        <v>0</v>
      </c>
      <c r="W409">
        <f t="shared" si="6"/>
        <v>0</v>
      </c>
    </row>
    <row r="410" spans="1:23" x14ac:dyDescent="0.25">
      <c r="A410" s="2" t="s">
        <v>628</v>
      </c>
      <c r="B410" s="2" t="s">
        <v>915</v>
      </c>
      <c r="C410" s="2">
        <v>540014</v>
      </c>
      <c r="D410" s="2" t="s">
        <v>645</v>
      </c>
      <c r="E410" s="2" t="s">
        <v>29</v>
      </c>
      <c r="F410" s="2" t="s">
        <v>115</v>
      </c>
      <c r="G410" s="2">
        <v>11</v>
      </c>
      <c r="H410" s="2">
        <v>0</v>
      </c>
      <c r="I410" s="2">
        <v>1</v>
      </c>
      <c r="J410" s="2">
        <v>0</v>
      </c>
      <c r="K410" s="2">
        <v>0</v>
      </c>
      <c r="L410" s="2">
        <v>0</v>
      </c>
      <c r="M410" s="2">
        <v>1</v>
      </c>
      <c r="N410" s="2">
        <v>1</v>
      </c>
      <c r="O410" s="2">
        <v>0</v>
      </c>
      <c r="P410" s="2">
        <v>0</v>
      </c>
      <c r="Q410" s="2">
        <v>0</v>
      </c>
      <c r="R410" s="2">
        <v>0</v>
      </c>
      <c r="S410" s="2" t="s">
        <v>488</v>
      </c>
      <c r="T410" s="2" t="s">
        <v>488</v>
      </c>
      <c r="U410" s="2">
        <v>0</v>
      </c>
      <c r="V410" s="2">
        <v>0</v>
      </c>
      <c r="W410">
        <f t="shared" si="6"/>
        <v>1</v>
      </c>
    </row>
    <row r="411" spans="1:23" x14ac:dyDescent="0.25">
      <c r="A411" s="2" t="s">
        <v>628</v>
      </c>
      <c r="B411" s="2" t="s">
        <v>915</v>
      </c>
      <c r="C411" s="2">
        <v>540048</v>
      </c>
      <c r="D411" s="2" t="s">
        <v>675</v>
      </c>
      <c r="E411" s="2" t="s">
        <v>29</v>
      </c>
      <c r="F411" s="2" t="s">
        <v>115</v>
      </c>
      <c r="G411" s="2">
        <v>11</v>
      </c>
      <c r="H411" s="2">
        <v>0</v>
      </c>
      <c r="I411" s="2">
        <v>0</v>
      </c>
      <c r="J411" s="2">
        <v>0</v>
      </c>
      <c r="K411" s="2">
        <v>0</v>
      </c>
      <c r="L411" s="2">
        <v>0</v>
      </c>
      <c r="M411" s="2">
        <v>0</v>
      </c>
      <c r="N411" s="2">
        <v>0</v>
      </c>
      <c r="O411" s="2">
        <v>0</v>
      </c>
      <c r="P411" s="2">
        <v>0</v>
      </c>
      <c r="Q411" s="2">
        <v>0</v>
      </c>
      <c r="R411" s="2">
        <v>0</v>
      </c>
      <c r="S411" s="2" t="s">
        <v>488</v>
      </c>
      <c r="T411" s="2" t="s">
        <v>488</v>
      </c>
      <c r="U411" s="2">
        <v>0</v>
      </c>
      <c r="V411" s="2">
        <v>0</v>
      </c>
      <c r="W411">
        <f t="shared" si="6"/>
        <v>0</v>
      </c>
    </row>
    <row r="412" spans="1:23" x14ac:dyDescent="0.25">
      <c r="A412" s="2" t="s">
        <v>628</v>
      </c>
      <c r="B412" s="2" t="s">
        <v>915</v>
      </c>
      <c r="C412" s="2">
        <v>540049</v>
      </c>
      <c r="D412" s="2" t="s">
        <v>676</v>
      </c>
      <c r="E412" s="2" t="s">
        <v>29</v>
      </c>
      <c r="F412" s="2" t="s">
        <v>115</v>
      </c>
      <c r="G412" s="2">
        <v>11</v>
      </c>
      <c r="H412" s="2">
        <v>0</v>
      </c>
      <c r="I412" s="2">
        <v>0</v>
      </c>
      <c r="J412" s="2">
        <v>0</v>
      </c>
      <c r="K412" s="2">
        <v>0</v>
      </c>
      <c r="L412" s="2">
        <v>0</v>
      </c>
      <c r="M412" s="2">
        <v>0</v>
      </c>
      <c r="N412" s="2">
        <v>0</v>
      </c>
      <c r="O412" s="2">
        <v>0</v>
      </c>
      <c r="P412" s="2">
        <v>0</v>
      </c>
      <c r="Q412" s="2">
        <v>0</v>
      </c>
      <c r="R412" s="2">
        <v>0</v>
      </c>
      <c r="S412" s="2" t="s">
        <v>488</v>
      </c>
      <c r="T412" s="2" t="s">
        <v>488</v>
      </c>
      <c r="U412" s="2">
        <v>0</v>
      </c>
      <c r="V412" s="2">
        <v>0</v>
      </c>
      <c r="W412">
        <f t="shared" si="6"/>
        <v>0</v>
      </c>
    </row>
    <row r="413" spans="1:23" x14ac:dyDescent="0.25">
      <c r="A413" s="255" t="s">
        <v>628</v>
      </c>
      <c r="B413" s="255" t="s">
        <v>915</v>
      </c>
      <c r="C413" s="255"/>
      <c r="D413" s="255"/>
      <c r="E413" s="255" t="s">
        <v>29</v>
      </c>
      <c r="F413" s="255"/>
      <c r="G413" s="255"/>
      <c r="H413" s="255">
        <v>0</v>
      </c>
      <c r="I413" s="255">
        <v>1</v>
      </c>
      <c r="J413" s="255">
        <v>0</v>
      </c>
      <c r="K413" s="255">
        <v>0</v>
      </c>
      <c r="L413" s="255">
        <v>0</v>
      </c>
      <c r="M413" s="255">
        <v>1</v>
      </c>
      <c r="N413" s="255">
        <v>1</v>
      </c>
      <c r="O413" s="255">
        <v>0</v>
      </c>
      <c r="P413" s="255">
        <v>0</v>
      </c>
      <c r="Q413" s="255">
        <v>0</v>
      </c>
      <c r="R413" s="255">
        <v>0</v>
      </c>
      <c r="S413" s="255" t="s">
        <v>488</v>
      </c>
      <c r="T413" s="255" t="s">
        <v>488</v>
      </c>
      <c r="U413" s="255">
        <v>0</v>
      </c>
      <c r="V413" s="255">
        <v>0</v>
      </c>
      <c r="W413">
        <f t="shared" si="6"/>
        <v>1</v>
      </c>
    </row>
    <row r="414" spans="1:23" x14ac:dyDescent="0.25">
      <c r="A414" s="2" t="s">
        <v>628</v>
      </c>
      <c r="B414" s="2" t="s">
        <v>915</v>
      </c>
      <c r="C414" s="2">
        <v>540051</v>
      </c>
      <c r="D414" s="2" t="s">
        <v>677</v>
      </c>
      <c r="E414" s="2" t="s">
        <v>31</v>
      </c>
      <c r="F414" s="2" t="s">
        <v>5</v>
      </c>
      <c r="G414" s="2">
        <v>8</v>
      </c>
      <c r="H414" s="2">
        <v>0</v>
      </c>
      <c r="I414" s="2">
        <v>0</v>
      </c>
      <c r="J414" s="2">
        <v>0</v>
      </c>
      <c r="K414" s="2">
        <v>0</v>
      </c>
      <c r="L414" s="2">
        <v>0</v>
      </c>
      <c r="M414" s="2">
        <v>0</v>
      </c>
      <c r="N414" s="2">
        <v>0</v>
      </c>
      <c r="O414" s="2">
        <v>0</v>
      </c>
      <c r="P414" s="2">
        <v>0</v>
      </c>
      <c r="Q414" s="2" t="s">
        <v>488</v>
      </c>
      <c r="R414" s="2" t="s">
        <v>488</v>
      </c>
      <c r="S414" s="2" t="s">
        <v>488</v>
      </c>
      <c r="T414" s="2" t="s">
        <v>488</v>
      </c>
      <c r="U414" s="2">
        <v>0</v>
      </c>
      <c r="V414" s="2">
        <v>0</v>
      </c>
      <c r="W414">
        <f t="shared" si="6"/>
        <v>0</v>
      </c>
    </row>
    <row r="415" spans="1:23" x14ac:dyDescent="0.25">
      <c r="A415" s="2" t="s">
        <v>628</v>
      </c>
      <c r="B415" s="2" t="s">
        <v>915</v>
      </c>
      <c r="C415" s="2">
        <v>540052</v>
      </c>
      <c r="D415" s="2" t="s">
        <v>678</v>
      </c>
      <c r="E415" s="2" t="s">
        <v>31</v>
      </c>
      <c r="F415" s="2" t="s">
        <v>115</v>
      </c>
      <c r="G415" s="2">
        <v>8</v>
      </c>
      <c r="H415" s="2">
        <v>0</v>
      </c>
      <c r="I415" s="2">
        <v>0</v>
      </c>
      <c r="J415" s="2">
        <v>0</v>
      </c>
      <c r="K415" s="2">
        <v>0</v>
      </c>
      <c r="L415" s="2">
        <v>0</v>
      </c>
      <c r="M415" s="2">
        <v>0</v>
      </c>
      <c r="N415" s="2">
        <v>0</v>
      </c>
      <c r="O415" s="2">
        <v>0</v>
      </c>
      <c r="P415" s="2">
        <v>0</v>
      </c>
      <c r="Q415" s="2" t="s">
        <v>488</v>
      </c>
      <c r="R415" s="2" t="s">
        <v>488</v>
      </c>
      <c r="S415" s="2" t="s">
        <v>488</v>
      </c>
      <c r="T415" s="2" t="s">
        <v>488</v>
      </c>
      <c r="U415" s="2">
        <v>0</v>
      </c>
      <c r="V415" s="2">
        <v>2</v>
      </c>
      <c r="W415">
        <f t="shared" si="6"/>
        <v>2</v>
      </c>
    </row>
    <row r="416" spans="1:23" x14ac:dyDescent="0.25">
      <c r="A416" s="2" t="s">
        <v>628</v>
      </c>
      <c r="B416" s="2" t="s">
        <v>915</v>
      </c>
      <c r="C416" s="2">
        <v>540245</v>
      </c>
      <c r="D416" s="2" t="s">
        <v>679</v>
      </c>
      <c r="E416" s="2" t="s">
        <v>31</v>
      </c>
      <c r="F416" s="2" t="s">
        <v>115</v>
      </c>
      <c r="G416" s="2">
        <v>8</v>
      </c>
      <c r="H416" s="2">
        <v>0</v>
      </c>
      <c r="I416" s="2">
        <v>0</v>
      </c>
      <c r="J416" s="2">
        <v>0</v>
      </c>
      <c r="K416" s="2">
        <v>0</v>
      </c>
      <c r="L416" s="2">
        <v>0</v>
      </c>
      <c r="M416" s="2">
        <v>0</v>
      </c>
      <c r="N416" s="2">
        <v>0</v>
      </c>
      <c r="O416" s="2">
        <v>0</v>
      </c>
      <c r="P416" s="2">
        <v>0</v>
      </c>
      <c r="Q416" s="2" t="s">
        <v>488</v>
      </c>
      <c r="R416" s="2" t="s">
        <v>488</v>
      </c>
      <c r="S416" s="2" t="s">
        <v>488</v>
      </c>
      <c r="T416" s="2" t="s">
        <v>488</v>
      </c>
      <c r="U416" s="2">
        <v>0</v>
      </c>
      <c r="V416" s="2">
        <v>0</v>
      </c>
      <c r="W416">
        <f t="shared" si="6"/>
        <v>0</v>
      </c>
    </row>
    <row r="417" spans="1:23" x14ac:dyDescent="0.25">
      <c r="A417" s="255" t="s">
        <v>628</v>
      </c>
      <c r="B417" s="255" t="s">
        <v>915</v>
      </c>
      <c r="C417" s="255"/>
      <c r="D417" s="255"/>
      <c r="E417" s="255" t="s">
        <v>31</v>
      </c>
      <c r="F417" s="255"/>
      <c r="G417" s="255"/>
      <c r="H417" s="255">
        <v>0</v>
      </c>
      <c r="I417" s="255">
        <v>0</v>
      </c>
      <c r="J417" s="255">
        <v>0</v>
      </c>
      <c r="K417" s="255">
        <v>0</v>
      </c>
      <c r="L417" s="255">
        <v>0</v>
      </c>
      <c r="M417" s="255">
        <v>0</v>
      </c>
      <c r="N417" s="255">
        <v>0</v>
      </c>
      <c r="O417" s="255">
        <v>0</v>
      </c>
      <c r="P417" s="255">
        <v>0</v>
      </c>
      <c r="Q417" s="255" t="s">
        <v>488</v>
      </c>
      <c r="R417" s="255" t="s">
        <v>488</v>
      </c>
      <c r="S417" s="255" t="s">
        <v>488</v>
      </c>
      <c r="T417" s="255" t="s">
        <v>488</v>
      </c>
      <c r="U417" s="255">
        <v>0</v>
      </c>
      <c r="V417" s="255">
        <v>2</v>
      </c>
      <c r="W417">
        <f t="shared" si="6"/>
        <v>2</v>
      </c>
    </row>
    <row r="418" spans="1:23" x14ac:dyDescent="0.25">
      <c r="A418" s="2" t="s">
        <v>628</v>
      </c>
      <c r="B418" s="2" t="s">
        <v>915</v>
      </c>
      <c r="C418" s="2">
        <v>540053</v>
      </c>
      <c r="D418" s="2" t="s">
        <v>680</v>
      </c>
      <c r="E418" s="2" t="s">
        <v>33</v>
      </c>
      <c r="F418" s="2" t="s">
        <v>5</v>
      </c>
      <c r="G418" s="2">
        <v>6</v>
      </c>
      <c r="H418" s="2">
        <v>0</v>
      </c>
      <c r="I418" s="2">
        <v>0</v>
      </c>
      <c r="J418" s="2">
        <v>0</v>
      </c>
      <c r="K418" s="2">
        <v>0</v>
      </c>
      <c r="L418" s="2">
        <v>0</v>
      </c>
      <c r="M418" s="2">
        <v>0</v>
      </c>
      <c r="N418" s="2">
        <v>0</v>
      </c>
      <c r="O418" s="2">
        <v>0</v>
      </c>
      <c r="P418" s="2">
        <v>0</v>
      </c>
      <c r="Q418" s="2">
        <v>0</v>
      </c>
      <c r="R418" s="2">
        <v>0</v>
      </c>
      <c r="S418" s="2" t="s">
        <v>488</v>
      </c>
      <c r="T418" s="2" t="s">
        <v>488</v>
      </c>
      <c r="U418" s="2">
        <v>0</v>
      </c>
      <c r="V418" s="2">
        <v>0</v>
      </c>
      <c r="W418">
        <f t="shared" si="6"/>
        <v>0</v>
      </c>
    </row>
    <row r="419" spans="1:23" x14ac:dyDescent="0.25">
      <c r="A419" s="2" t="s">
        <v>628</v>
      </c>
      <c r="B419" s="2" t="s">
        <v>915</v>
      </c>
      <c r="C419" s="2">
        <v>540054</v>
      </c>
      <c r="D419" s="2" t="s">
        <v>681</v>
      </c>
      <c r="E419" s="2" t="s">
        <v>33</v>
      </c>
      <c r="F419" s="2" t="s">
        <v>115</v>
      </c>
      <c r="G419" s="2">
        <v>6</v>
      </c>
      <c r="H419" s="2">
        <v>0</v>
      </c>
      <c r="I419" s="2">
        <v>0</v>
      </c>
      <c r="J419" s="2">
        <v>0</v>
      </c>
      <c r="K419" s="2">
        <v>0</v>
      </c>
      <c r="L419" s="2">
        <v>0</v>
      </c>
      <c r="M419" s="2">
        <v>0</v>
      </c>
      <c r="N419" s="2">
        <v>0</v>
      </c>
      <c r="O419" s="2">
        <v>0</v>
      </c>
      <c r="P419" s="2">
        <v>0</v>
      </c>
      <c r="Q419" s="2">
        <v>0</v>
      </c>
      <c r="R419" s="2">
        <v>0</v>
      </c>
      <c r="S419" s="2" t="s">
        <v>488</v>
      </c>
      <c r="T419" s="2" t="s">
        <v>488</v>
      </c>
      <c r="U419" s="2">
        <v>0</v>
      </c>
      <c r="V419" s="2">
        <v>0</v>
      </c>
      <c r="W419">
        <f t="shared" si="6"/>
        <v>0</v>
      </c>
    </row>
    <row r="420" spans="1:23" x14ac:dyDescent="0.25">
      <c r="A420" s="2" t="s">
        <v>628</v>
      </c>
      <c r="B420" s="2" t="s">
        <v>915</v>
      </c>
      <c r="C420" s="2">
        <v>540055</v>
      </c>
      <c r="D420" s="2" t="s">
        <v>682</v>
      </c>
      <c r="E420" s="2" t="s">
        <v>33</v>
      </c>
      <c r="F420" s="2" t="s">
        <v>115</v>
      </c>
      <c r="G420" s="2">
        <v>6</v>
      </c>
      <c r="H420" s="2">
        <v>0</v>
      </c>
      <c r="I420" s="2">
        <v>2</v>
      </c>
      <c r="J420" s="2">
        <v>0</v>
      </c>
      <c r="K420" s="2">
        <v>0</v>
      </c>
      <c r="L420" s="2">
        <v>0</v>
      </c>
      <c r="M420" s="2">
        <v>2</v>
      </c>
      <c r="N420" s="2">
        <v>2</v>
      </c>
      <c r="O420" s="2">
        <v>0</v>
      </c>
      <c r="P420" s="2">
        <v>0</v>
      </c>
      <c r="Q420" s="2">
        <v>0</v>
      </c>
      <c r="R420" s="2">
        <v>0</v>
      </c>
      <c r="S420" s="2" t="s">
        <v>488</v>
      </c>
      <c r="T420" s="2" t="s">
        <v>488</v>
      </c>
      <c r="U420" s="2">
        <v>0</v>
      </c>
      <c r="V420" s="2">
        <v>0</v>
      </c>
      <c r="W420">
        <f t="shared" si="6"/>
        <v>2</v>
      </c>
    </row>
    <row r="421" spans="1:23" x14ac:dyDescent="0.25">
      <c r="A421" s="2" t="s">
        <v>628</v>
      </c>
      <c r="B421" s="2" t="s">
        <v>915</v>
      </c>
      <c r="C421" s="2">
        <v>540056</v>
      </c>
      <c r="D421" s="2" t="s">
        <v>683</v>
      </c>
      <c r="E421" s="2" t="s">
        <v>33</v>
      </c>
      <c r="F421" s="2" t="s">
        <v>115</v>
      </c>
      <c r="G421" s="2">
        <v>6</v>
      </c>
      <c r="H421" s="2">
        <v>0</v>
      </c>
      <c r="I421" s="2">
        <v>0</v>
      </c>
      <c r="J421" s="2">
        <v>0</v>
      </c>
      <c r="K421" s="2">
        <v>0</v>
      </c>
      <c r="L421" s="2">
        <v>0</v>
      </c>
      <c r="M421" s="2">
        <v>0</v>
      </c>
      <c r="N421" s="2">
        <v>0</v>
      </c>
      <c r="O421" s="2">
        <v>0</v>
      </c>
      <c r="P421" s="2">
        <v>0</v>
      </c>
      <c r="Q421" s="2">
        <v>0</v>
      </c>
      <c r="R421" s="2">
        <v>0</v>
      </c>
      <c r="S421" s="2" t="s">
        <v>488</v>
      </c>
      <c r="T421" s="2" t="s">
        <v>488</v>
      </c>
      <c r="U421" s="2">
        <v>0</v>
      </c>
      <c r="V421" s="2">
        <v>0</v>
      </c>
      <c r="W421">
        <f t="shared" si="6"/>
        <v>0</v>
      </c>
    </row>
    <row r="422" spans="1:23" x14ac:dyDescent="0.25">
      <c r="A422" s="2" t="s">
        <v>628</v>
      </c>
      <c r="B422" s="2" t="s">
        <v>915</v>
      </c>
      <c r="C422" s="2">
        <v>540057</v>
      </c>
      <c r="D422" s="2" t="s">
        <v>684</v>
      </c>
      <c r="E422" s="2" t="s">
        <v>33</v>
      </c>
      <c r="F422" s="2" t="s">
        <v>115</v>
      </c>
      <c r="G422" s="2">
        <v>6</v>
      </c>
      <c r="H422" s="2">
        <v>0</v>
      </c>
      <c r="I422" s="2">
        <v>0</v>
      </c>
      <c r="J422" s="2">
        <v>0</v>
      </c>
      <c r="K422" s="2">
        <v>0</v>
      </c>
      <c r="L422" s="2">
        <v>0</v>
      </c>
      <c r="M422" s="2">
        <v>0</v>
      </c>
      <c r="N422" s="2">
        <v>0</v>
      </c>
      <c r="O422" s="2">
        <v>0</v>
      </c>
      <c r="P422" s="2">
        <v>0</v>
      </c>
      <c r="Q422" s="2">
        <v>0</v>
      </c>
      <c r="R422" s="2">
        <v>0</v>
      </c>
      <c r="S422" s="2" t="s">
        <v>488</v>
      </c>
      <c r="T422" s="2" t="s">
        <v>488</v>
      </c>
      <c r="U422" s="2">
        <v>0</v>
      </c>
      <c r="V422" s="2">
        <v>0</v>
      </c>
      <c r="W422">
        <f t="shared" si="6"/>
        <v>0</v>
      </c>
    </row>
    <row r="423" spans="1:23" x14ac:dyDescent="0.25">
      <c r="A423" s="2" t="s">
        <v>628</v>
      </c>
      <c r="B423" s="2" t="s">
        <v>915</v>
      </c>
      <c r="C423" s="2">
        <v>540058</v>
      </c>
      <c r="D423" s="2" t="s">
        <v>685</v>
      </c>
      <c r="E423" s="2" t="s">
        <v>33</v>
      </c>
      <c r="F423" s="2" t="s">
        <v>115</v>
      </c>
      <c r="G423" s="2">
        <v>6</v>
      </c>
      <c r="H423" s="2">
        <v>0</v>
      </c>
      <c r="I423" s="2">
        <v>0</v>
      </c>
      <c r="J423" s="2">
        <v>0</v>
      </c>
      <c r="K423" s="2">
        <v>0</v>
      </c>
      <c r="L423" s="2">
        <v>0</v>
      </c>
      <c r="M423" s="2">
        <v>0</v>
      </c>
      <c r="N423" s="2">
        <v>0</v>
      </c>
      <c r="O423" s="2">
        <v>0</v>
      </c>
      <c r="P423" s="2">
        <v>0</v>
      </c>
      <c r="Q423" s="2">
        <v>0</v>
      </c>
      <c r="R423" s="2">
        <v>0</v>
      </c>
      <c r="S423" s="2" t="s">
        <v>488</v>
      </c>
      <c r="T423" s="2" t="s">
        <v>488</v>
      </c>
      <c r="U423" s="2">
        <v>0</v>
      </c>
      <c r="V423" s="2">
        <v>0</v>
      </c>
      <c r="W423">
        <f t="shared" si="6"/>
        <v>0</v>
      </c>
    </row>
    <row r="424" spans="1:23" x14ac:dyDescent="0.25">
      <c r="A424" s="2" t="s">
        <v>628</v>
      </c>
      <c r="B424" s="2" t="s">
        <v>915</v>
      </c>
      <c r="C424" s="2">
        <v>540059</v>
      </c>
      <c r="D424" s="2" t="s">
        <v>686</v>
      </c>
      <c r="E424" s="2" t="s">
        <v>33</v>
      </c>
      <c r="F424" s="2" t="s">
        <v>115</v>
      </c>
      <c r="G424" s="2">
        <v>6</v>
      </c>
      <c r="H424" s="2">
        <v>0</v>
      </c>
      <c r="I424" s="2">
        <v>0</v>
      </c>
      <c r="J424" s="2">
        <v>0</v>
      </c>
      <c r="K424" s="2">
        <v>0</v>
      </c>
      <c r="L424" s="2">
        <v>0</v>
      </c>
      <c r="M424" s="2">
        <v>0</v>
      </c>
      <c r="N424" s="2">
        <v>0</v>
      </c>
      <c r="O424" s="2">
        <v>0</v>
      </c>
      <c r="P424" s="2">
        <v>0</v>
      </c>
      <c r="Q424" s="2">
        <v>0</v>
      </c>
      <c r="R424" s="2">
        <v>0</v>
      </c>
      <c r="S424" s="2" t="s">
        <v>488</v>
      </c>
      <c r="T424" s="2" t="s">
        <v>488</v>
      </c>
      <c r="U424" s="2">
        <v>0</v>
      </c>
      <c r="V424" s="2">
        <v>0</v>
      </c>
      <c r="W424">
        <f t="shared" si="6"/>
        <v>0</v>
      </c>
    </row>
    <row r="425" spans="1:23" x14ac:dyDescent="0.25">
      <c r="A425" s="2" t="s">
        <v>628</v>
      </c>
      <c r="B425" s="2" t="s">
        <v>915</v>
      </c>
      <c r="C425" s="2">
        <v>540060</v>
      </c>
      <c r="D425" s="2" t="s">
        <v>687</v>
      </c>
      <c r="E425" s="2" t="s">
        <v>33</v>
      </c>
      <c r="F425" s="2" t="s">
        <v>115</v>
      </c>
      <c r="G425" s="2">
        <v>6</v>
      </c>
      <c r="H425" s="2">
        <v>0</v>
      </c>
      <c r="I425" s="2">
        <v>0</v>
      </c>
      <c r="J425" s="2">
        <v>0</v>
      </c>
      <c r="K425" s="2">
        <v>0</v>
      </c>
      <c r="L425" s="2">
        <v>0</v>
      </c>
      <c r="M425" s="2">
        <v>0</v>
      </c>
      <c r="N425" s="2">
        <v>0</v>
      </c>
      <c r="O425" s="2">
        <v>0</v>
      </c>
      <c r="P425" s="2">
        <v>0</v>
      </c>
      <c r="Q425" s="2">
        <v>0</v>
      </c>
      <c r="R425" s="2">
        <v>0</v>
      </c>
      <c r="S425" s="2" t="s">
        <v>488</v>
      </c>
      <c r="T425" s="2" t="s">
        <v>488</v>
      </c>
      <c r="U425" s="2">
        <v>0</v>
      </c>
      <c r="V425" s="2">
        <v>0</v>
      </c>
      <c r="W425">
        <f t="shared" si="6"/>
        <v>0</v>
      </c>
    </row>
    <row r="426" spans="1:23" x14ac:dyDescent="0.25">
      <c r="A426" s="2" t="s">
        <v>628</v>
      </c>
      <c r="B426" s="2" t="s">
        <v>915</v>
      </c>
      <c r="C426" s="2">
        <v>540061</v>
      </c>
      <c r="D426" s="2" t="s">
        <v>688</v>
      </c>
      <c r="E426" s="2" t="s">
        <v>33</v>
      </c>
      <c r="F426" s="2" t="s">
        <v>115</v>
      </c>
      <c r="G426" s="2">
        <v>6</v>
      </c>
      <c r="H426" s="2">
        <v>0</v>
      </c>
      <c r="I426" s="2">
        <v>0</v>
      </c>
      <c r="J426" s="2">
        <v>0</v>
      </c>
      <c r="K426" s="2">
        <v>0</v>
      </c>
      <c r="L426" s="2">
        <v>0</v>
      </c>
      <c r="M426" s="2">
        <v>0</v>
      </c>
      <c r="N426" s="2">
        <v>0</v>
      </c>
      <c r="O426" s="2">
        <v>0</v>
      </c>
      <c r="P426" s="2">
        <v>0</v>
      </c>
      <c r="Q426" s="2">
        <v>0</v>
      </c>
      <c r="R426" s="2">
        <v>0</v>
      </c>
      <c r="S426" s="2" t="s">
        <v>488</v>
      </c>
      <c r="T426" s="2" t="s">
        <v>488</v>
      </c>
      <c r="U426" s="2">
        <v>0</v>
      </c>
      <c r="V426" s="2">
        <v>0</v>
      </c>
      <c r="W426">
        <f t="shared" si="6"/>
        <v>0</v>
      </c>
    </row>
    <row r="427" spans="1:23" x14ac:dyDescent="0.25">
      <c r="A427" s="2" t="s">
        <v>628</v>
      </c>
      <c r="B427" s="2" t="s">
        <v>915</v>
      </c>
      <c r="C427" s="2">
        <v>540062</v>
      </c>
      <c r="D427" s="2" t="s">
        <v>689</v>
      </c>
      <c r="E427" s="2" t="s">
        <v>33</v>
      </c>
      <c r="F427" s="2" t="s">
        <v>115</v>
      </c>
      <c r="G427" s="2">
        <v>6</v>
      </c>
      <c r="H427" s="2">
        <v>0</v>
      </c>
      <c r="I427" s="2">
        <v>0</v>
      </c>
      <c r="J427" s="2">
        <v>0</v>
      </c>
      <c r="K427" s="2">
        <v>0</v>
      </c>
      <c r="L427" s="2">
        <v>0</v>
      </c>
      <c r="M427" s="2">
        <v>0</v>
      </c>
      <c r="N427" s="2">
        <v>0</v>
      </c>
      <c r="O427" s="2">
        <v>0</v>
      </c>
      <c r="P427" s="2">
        <v>0</v>
      </c>
      <c r="Q427" s="2">
        <v>0</v>
      </c>
      <c r="R427" s="2">
        <v>0</v>
      </c>
      <c r="S427" s="2" t="s">
        <v>488</v>
      </c>
      <c r="T427" s="2" t="s">
        <v>488</v>
      </c>
      <c r="U427" s="2">
        <v>0</v>
      </c>
      <c r="V427" s="2">
        <v>0</v>
      </c>
      <c r="W427">
        <f t="shared" si="6"/>
        <v>0</v>
      </c>
    </row>
    <row r="428" spans="1:23" x14ac:dyDescent="0.25">
      <c r="A428" s="2" t="s">
        <v>628</v>
      </c>
      <c r="B428" s="2" t="s">
        <v>915</v>
      </c>
      <c r="C428" s="2">
        <v>540242</v>
      </c>
      <c r="D428" s="2" t="s">
        <v>690</v>
      </c>
      <c r="E428" s="2" t="s">
        <v>33</v>
      </c>
      <c r="F428" s="2" t="s">
        <v>115</v>
      </c>
      <c r="G428" s="2">
        <v>6</v>
      </c>
      <c r="H428" s="2">
        <v>0</v>
      </c>
      <c r="I428" s="2">
        <v>0</v>
      </c>
      <c r="J428" s="2">
        <v>0</v>
      </c>
      <c r="K428" s="2">
        <v>0</v>
      </c>
      <c r="L428" s="2">
        <v>0</v>
      </c>
      <c r="M428" s="2">
        <v>0</v>
      </c>
      <c r="N428" s="2">
        <v>0</v>
      </c>
      <c r="O428" s="2">
        <v>0</v>
      </c>
      <c r="P428" s="2">
        <v>0</v>
      </c>
      <c r="Q428" s="2">
        <v>0</v>
      </c>
      <c r="R428" s="2">
        <v>0</v>
      </c>
      <c r="S428" s="2" t="s">
        <v>488</v>
      </c>
      <c r="T428" s="2" t="s">
        <v>488</v>
      </c>
      <c r="U428" s="2">
        <v>0</v>
      </c>
      <c r="V428" s="2">
        <v>0</v>
      </c>
      <c r="W428">
        <f t="shared" si="6"/>
        <v>0</v>
      </c>
    </row>
    <row r="429" spans="1:23" x14ac:dyDescent="0.25">
      <c r="A429" s="255" t="s">
        <v>628</v>
      </c>
      <c r="B429" s="255" t="s">
        <v>915</v>
      </c>
      <c r="C429" s="255"/>
      <c r="D429" s="255"/>
      <c r="E429" s="255" t="s">
        <v>33</v>
      </c>
      <c r="F429" s="255"/>
      <c r="G429" s="255"/>
      <c r="H429" s="255">
        <v>0</v>
      </c>
      <c r="I429" s="255">
        <v>2</v>
      </c>
      <c r="J429" s="255">
        <v>0</v>
      </c>
      <c r="K429" s="255">
        <v>0</v>
      </c>
      <c r="L429" s="255">
        <v>0</v>
      </c>
      <c r="M429" s="255">
        <v>2</v>
      </c>
      <c r="N429" s="255">
        <v>2</v>
      </c>
      <c r="O429" s="255">
        <v>0</v>
      </c>
      <c r="P429" s="255">
        <v>0</v>
      </c>
      <c r="Q429" s="255">
        <v>0</v>
      </c>
      <c r="R429" s="255">
        <v>0</v>
      </c>
      <c r="S429" s="255" t="s">
        <v>488</v>
      </c>
      <c r="T429" s="255" t="s">
        <v>488</v>
      </c>
      <c r="U429" s="255">
        <v>0</v>
      </c>
      <c r="V429" s="255">
        <v>0</v>
      </c>
      <c r="W429">
        <f t="shared" si="6"/>
        <v>2</v>
      </c>
    </row>
    <row r="430" spans="1:23" x14ac:dyDescent="0.25">
      <c r="A430" s="2" t="s">
        <v>628</v>
      </c>
      <c r="B430" s="2" t="s">
        <v>915</v>
      </c>
      <c r="C430" s="2">
        <v>540063</v>
      </c>
      <c r="D430" s="2" t="s">
        <v>691</v>
      </c>
      <c r="E430" s="2" t="s">
        <v>35</v>
      </c>
      <c r="F430" s="2" t="s">
        <v>5</v>
      </c>
      <c r="G430" s="2">
        <v>5</v>
      </c>
      <c r="H430" s="2">
        <v>1</v>
      </c>
      <c r="I430" s="2">
        <v>0</v>
      </c>
      <c r="J430" s="2">
        <v>0</v>
      </c>
      <c r="K430" s="2">
        <v>0</v>
      </c>
      <c r="L430" s="2">
        <v>0</v>
      </c>
      <c r="M430" s="2">
        <v>0</v>
      </c>
      <c r="N430" s="2">
        <v>1</v>
      </c>
      <c r="O430" s="2">
        <v>0</v>
      </c>
      <c r="P430" s="2">
        <v>0</v>
      </c>
      <c r="Q430" s="2" t="s">
        <v>488</v>
      </c>
      <c r="R430" s="2" t="s">
        <v>488</v>
      </c>
      <c r="S430" s="2" t="s">
        <v>488</v>
      </c>
      <c r="T430" s="2" t="s">
        <v>488</v>
      </c>
      <c r="U430" s="2">
        <v>0</v>
      </c>
      <c r="V430" s="2">
        <v>0</v>
      </c>
      <c r="W430">
        <f t="shared" si="6"/>
        <v>1</v>
      </c>
    </row>
    <row r="431" spans="1:23" x14ac:dyDescent="0.25">
      <c r="A431" s="2" t="s">
        <v>628</v>
      </c>
      <c r="B431" s="2" t="s">
        <v>915</v>
      </c>
      <c r="C431" s="2">
        <v>540064</v>
      </c>
      <c r="D431" s="2" t="s">
        <v>692</v>
      </c>
      <c r="E431" s="2" t="s">
        <v>35</v>
      </c>
      <c r="F431" s="2" t="s">
        <v>115</v>
      </c>
      <c r="G431" s="2">
        <v>5</v>
      </c>
      <c r="H431" s="2">
        <v>0</v>
      </c>
      <c r="I431" s="2">
        <v>0</v>
      </c>
      <c r="J431" s="2">
        <v>0</v>
      </c>
      <c r="K431" s="2">
        <v>0</v>
      </c>
      <c r="L431" s="2">
        <v>0</v>
      </c>
      <c r="M431" s="2">
        <v>0</v>
      </c>
      <c r="N431" s="2">
        <v>0</v>
      </c>
      <c r="O431" s="2">
        <v>0</v>
      </c>
      <c r="P431" s="2">
        <v>0</v>
      </c>
      <c r="Q431" s="2" t="s">
        <v>488</v>
      </c>
      <c r="R431" s="2" t="s">
        <v>488</v>
      </c>
      <c r="S431" s="2" t="s">
        <v>488</v>
      </c>
      <c r="T431" s="2" t="s">
        <v>488</v>
      </c>
      <c r="U431" s="2">
        <v>0</v>
      </c>
      <c r="V431" s="2">
        <v>0</v>
      </c>
      <c r="W431">
        <f t="shared" si="6"/>
        <v>0</v>
      </c>
    </row>
    <row r="432" spans="1:23" x14ac:dyDescent="0.25">
      <c r="A432" s="2" t="s">
        <v>628</v>
      </c>
      <c r="B432" s="2" t="s">
        <v>915</v>
      </c>
      <c r="C432" s="2">
        <v>540241</v>
      </c>
      <c r="D432" s="2" t="s">
        <v>693</v>
      </c>
      <c r="E432" s="2" t="s">
        <v>35</v>
      </c>
      <c r="F432" s="2" t="s">
        <v>115</v>
      </c>
      <c r="G432" s="2">
        <v>5</v>
      </c>
      <c r="H432" s="2">
        <v>0</v>
      </c>
      <c r="I432" s="2">
        <v>0</v>
      </c>
      <c r="J432" s="2">
        <v>0</v>
      </c>
      <c r="K432" s="2">
        <v>0</v>
      </c>
      <c r="L432" s="2">
        <v>0</v>
      </c>
      <c r="M432" s="2">
        <v>0</v>
      </c>
      <c r="N432" s="2">
        <v>0</v>
      </c>
      <c r="O432" s="2">
        <v>0</v>
      </c>
      <c r="P432" s="2">
        <v>0</v>
      </c>
      <c r="Q432" s="2" t="s">
        <v>488</v>
      </c>
      <c r="R432" s="2" t="s">
        <v>488</v>
      </c>
      <c r="S432" s="2" t="s">
        <v>488</v>
      </c>
      <c r="T432" s="2" t="s">
        <v>488</v>
      </c>
      <c r="U432" s="2">
        <v>0</v>
      </c>
      <c r="V432" s="2">
        <v>0</v>
      </c>
      <c r="W432">
        <f t="shared" si="6"/>
        <v>0</v>
      </c>
    </row>
    <row r="433" spans="1:23" x14ac:dyDescent="0.25">
      <c r="A433" s="255" t="s">
        <v>628</v>
      </c>
      <c r="B433" s="255" t="s">
        <v>915</v>
      </c>
      <c r="C433" s="255"/>
      <c r="D433" s="255"/>
      <c r="E433" s="255" t="s">
        <v>35</v>
      </c>
      <c r="F433" s="255"/>
      <c r="G433" s="255"/>
      <c r="H433" s="255">
        <v>1</v>
      </c>
      <c r="I433" s="255">
        <v>0</v>
      </c>
      <c r="J433" s="255">
        <v>0</v>
      </c>
      <c r="K433" s="255">
        <v>0</v>
      </c>
      <c r="L433" s="255">
        <v>0</v>
      </c>
      <c r="M433" s="255">
        <v>0</v>
      </c>
      <c r="N433" s="255">
        <v>1</v>
      </c>
      <c r="O433" s="255">
        <v>0</v>
      </c>
      <c r="P433" s="255">
        <v>0</v>
      </c>
      <c r="Q433" s="255" t="s">
        <v>488</v>
      </c>
      <c r="R433" s="255" t="s">
        <v>488</v>
      </c>
      <c r="S433" s="255" t="s">
        <v>488</v>
      </c>
      <c r="T433" s="255" t="s">
        <v>488</v>
      </c>
      <c r="U433" s="255">
        <v>0</v>
      </c>
      <c r="V433" s="255">
        <v>0</v>
      </c>
      <c r="W433">
        <f t="shared" si="6"/>
        <v>1</v>
      </c>
    </row>
    <row r="434" spans="1:23" x14ac:dyDescent="0.25">
      <c r="A434" s="2" t="s">
        <v>628</v>
      </c>
      <c r="B434" s="2" t="s">
        <v>915</v>
      </c>
      <c r="C434" s="2">
        <v>540065</v>
      </c>
      <c r="D434" s="2" t="s">
        <v>694</v>
      </c>
      <c r="E434" s="2" t="s">
        <v>37</v>
      </c>
      <c r="F434" s="2" t="s">
        <v>5</v>
      </c>
      <c r="G434" s="2">
        <v>9</v>
      </c>
      <c r="H434" s="2">
        <v>0</v>
      </c>
      <c r="I434" s="2">
        <v>0</v>
      </c>
      <c r="J434" s="2">
        <v>0</v>
      </c>
      <c r="K434" s="2">
        <v>0</v>
      </c>
      <c r="L434" s="2">
        <v>0</v>
      </c>
      <c r="M434" s="2">
        <v>0</v>
      </c>
      <c r="N434" s="2">
        <v>0</v>
      </c>
      <c r="O434" s="2">
        <v>0</v>
      </c>
      <c r="P434" s="2">
        <v>0</v>
      </c>
      <c r="Q434" s="2">
        <v>0</v>
      </c>
      <c r="R434" s="2">
        <v>0</v>
      </c>
      <c r="S434" s="2">
        <v>0</v>
      </c>
      <c r="T434" s="2">
        <v>0</v>
      </c>
      <c r="U434" s="2">
        <v>0</v>
      </c>
      <c r="V434" s="2">
        <v>0</v>
      </c>
      <c r="W434">
        <f t="shared" si="6"/>
        <v>0</v>
      </c>
    </row>
    <row r="435" spans="1:23" x14ac:dyDescent="0.25">
      <c r="A435" s="2" t="s">
        <v>628</v>
      </c>
      <c r="B435" s="2" t="s">
        <v>915</v>
      </c>
      <c r="C435" s="2">
        <v>540030</v>
      </c>
      <c r="D435" s="2" t="s">
        <v>695</v>
      </c>
      <c r="E435" s="2" t="s">
        <v>37</v>
      </c>
      <c r="F435" s="2" t="s">
        <v>115</v>
      </c>
      <c r="G435" s="2">
        <v>9</v>
      </c>
      <c r="H435" s="2">
        <v>0</v>
      </c>
      <c r="I435" s="2">
        <v>0</v>
      </c>
      <c r="J435" s="2">
        <v>0</v>
      </c>
      <c r="K435" s="2">
        <v>0</v>
      </c>
      <c r="L435" s="2">
        <v>0</v>
      </c>
      <c r="M435" s="2">
        <v>0</v>
      </c>
      <c r="N435" s="2">
        <v>0</v>
      </c>
      <c r="O435" s="2">
        <v>0</v>
      </c>
      <c r="P435" s="2">
        <v>0</v>
      </c>
      <c r="Q435" s="2">
        <v>0</v>
      </c>
      <c r="R435" s="2">
        <v>0</v>
      </c>
      <c r="S435" s="2">
        <v>0</v>
      </c>
      <c r="T435" s="2">
        <v>0</v>
      </c>
      <c r="U435" s="2">
        <v>0</v>
      </c>
      <c r="V435" s="2">
        <v>0</v>
      </c>
      <c r="W435">
        <f t="shared" si="6"/>
        <v>0</v>
      </c>
    </row>
    <row r="436" spans="1:23" x14ac:dyDescent="0.25">
      <c r="A436" s="2" t="s">
        <v>628</v>
      </c>
      <c r="B436" s="2" t="s">
        <v>915</v>
      </c>
      <c r="C436" s="2">
        <v>540066</v>
      </c>
      <c r="D436" s="2" t="s">
        <v>696</v>
      </c>
      <c r="E436" s="2" t="s">
        <v>37</v>
      </c>
      <c r="F436" s="2" t="s">
        <v>115</v>
      </c>
      <c r="G436" s="2">
        <v>9</v>
      </c>
      <c r="H436" s="2">
        <v>0</v>
      </c>
      <c r="I436" s="2">
        <v>0</v>
      </c>
      <c r="J436" s="2">
        <v>0</v>
      </c>
      <c r="K436" s="2">
        <v>0</v>
      </c>
      <c r="L436" s="2">
        <v>0</v>
      </c>
      <c r="M436" s="2">
        <v>0</v>
      </c>
      <c r="N436" s="2">
        <v>0</v>
      </c>
      <c r="O436" s="2">
        <v>0</v>
      </c>
      <c r="P436" s="2">
        <v>0</v>
      </c>
      <c r="Q436" s="2">
        <v>0</v>
      </c>
      <c r="R436" s="2">
        <v>0</v>
      </c>
      <c r="S436" s="2">
        <v>0</v>
      </c>
      <c r="T436" s="2">
        <v>0</v>
      </c>
      <c r="U436" s="2">
        <v>0</v>
      </c>
      <c r="V436" s="2">
        <v>0</v>
      </c>
      <c r="W436">
        <f t="shared" si="6"/>
        <v>0</v>
      </c>
    </row>
    <row r="437" spans="1:23" x14ac:dyDescent="0.25">
      <c r="A437" s="2" t="s">
        <v>628</v>
      </c>
      <c r="B437" s="2" t="s">
        <v>915</v>
      </c>
      <c r="C437" s="2">
        <v>540067</v>
      </c>
      <c r="D437" s="2" t="s">
        <v>697</v>
      </c>
      <c r="E437" s="2" t="s">
        <v>37</v>
      </c>
      <c r="F437" s="2" t="s">
        <v>115</v>
      </c>
      <c r="G437" s="2">
        <v>9</v>
      </c>
      <c r="H437" s="2">
        <v>0</v>
      </c>
      <c r="I437" s="2">
        <v>0</v>
      </c>
      <c r="J437" s="2">
        <v>0</v>
      </c>
      <c r="K437" s="2">
        <v>0</v>
      </c>
      <c r="L437" s="2">
        <v>0</v>
      </c>
      <c r="M437" s="2">
        <v>0</v>
      </c>
      <c r="N437" s="2">
        <v>0</v>
      </c>
      <c r="O437" s="2">
        <v>0</v>
      </c>
      <c r="P437" s="2">
        <v>0</v>
      </c>
      <c r="Q437" s="2">
        <v>0</v>
      </c>
      <c r="R437" s="2">
        <v>0</v>
      </c>
      <c r="S437" s="2">
        <v>0</v>
      </c>
      <c r="T437" s="2">
        <v>0</v>
      </c>
      <c r="U437" s="2">
        <v>0</v>
      </c>
      <c r="V437" s="2">
        <v>0</v>
      </c>
      <c r="W437">
        <f t="shared" si="6"/>
        <v>0</v>
      </c>
    </row>
    <row r="438" spans="1:23" x14ac:dyDescent="0.25">
      <c r="A438" s="2" t="s">
        <v>628</v>
      </c>
      <c r="B438" s="2" t="s">
        <v>915</v>
      </c>
      <c r="C438" s="2">
        <v>540068</v>
      </c>
      <c r="D438" s="2" t="s">
        <v>698</v>
      </c>
      <c r="E438" s="2" t="s">
        <v>37</v>
      </c>
      <c r="F438" s="2" t="s">
        <v>115</v>
      </c>
      <c r="G438" s="2">
        <v>9</v>
      </c>
      <c r="H438" s="2">
        <v>0</v>
      </c>
      <c r="I438" s="2">
        <v>0</v>
      </c>
      <c r="J438" s="2">
        <v>0</v>
      </c>
      <c r="K438" s="2">
        <v>0</v>
      </c>
      <c r="L438" s="2">
        <v>0</v>
      </c>
      <c r="M438" s="2">
        <v>0</v>
      </c>
      <c r="N438" s="2">
        <v>0</v>
      </c>
      <c r="O438" s="2">
        <v>0</v>
      </c>
      <c r="P438" s="2">
        <v>0</v>
      </c>
      <c r="Q438" s="2">
        <v>0</v>
      </c>
      <c r="R438" s="2">
        <v>0</v>
      </c>
      <c r="S438" s="2">
        <v>0</v>
      </c>
      <c r="T438" s="2">
        <v>0</v>
      </c>
      <c r="U438" s="2">
        <v>0</v>
      </c>
      <c r="V438" s="2">
        <v>0</v>
      </c>
      <c r="W438">
        <f t="shared" si="6"/>
        <v>0</v>
      </c>
    </row>
    <row r="439" spans="1:23" x14ac:dyDescent="0.25">
      <c r="A439" s="2" t="s">
        <v>628</v>
      </c>
      <c r="B439" s="2" t="s">
        <v>915</v>
      </c>
      <c r="C439" s="2">
        <v>540069</v>
      </c>
      <c r="D439" s="2" t="s">
        <v>699</v>
      </c>
      <c r="E439" s="2" t="s">
        <v>37</v>
      </c>
      <c r="F439" s="2" t="s">
        <v>115</v>
      </c>
      <c r="G439" s="2">
        <v>9</v>
      </c>
      <c r="H439" s="2">
        <v>0</v>
      </c>
      <c r="I439" s="2">
        <v>0</v>
      </c>
      <c r="J439" s="2">
        <v>0</v>
      </c>
      <c r="K439" s="2">
        <v>0</v>
      </c>
      <c r="L439" s="2">
        <v>0</v>
      </c>
      <c r="M439" s="2">
        <v>0</v>
      </c>
      <c r="N439" s="2">
        <v>0</v>
      </c>
      <c r="O439" s="2">
        <v>0</v>
      </c>
      <c r="P439" s="2">
        <v>0</v>
      </c>
      <c r="Q439" s="2">
        <v>0</v>
      </c>
      <c r="R439" s="2">
        <v>0</v>
      </c>
      <c r="S439" s="2">
        <v>0</v>
      </c>
      <c r="T439" s="2">
        <v>0</v>
      </c>
      <c r="U439" s="2">
        <v>0</v>
      </c>
      <c r="V439" s="2">
        <v>0</v>
      </c>
      <c r="W439">
        <f t="shared" si="6"/>
        <v>0</v>
      </c>
    </row>
    <row r="440" spans="1:23" x14ac:dyDescent="0.25">
      <c r="A440" s="255" t="s">
        <v>628</v>
      </c>
      <c r="B440" s="255" t="s">
        <v>915</v>
      </c>
      <c r="C440" s="255"/>
      <c r="D440" s="255"/>
      <c r="E440" s="255" t="s">
        <v>37</v>
      </c>
      <c r="F440" s="255"/>
      <c r="G440" s="255"/>
      <c r="H440" s="255">
        <v>0</v>
      </c>
      <c r="I440" s="255">
        <v>0</v>
      </c>
      <c r="J440" s="255">
        <v>0</v>
      </c>
      <c r="K440" s="255">
        <v>0</v>
      </c>
      <c r="L440" s="255">
        <v>0</v>
      </c>
      <c r="M440" s="255">
        <v>0</v>
      </c>
      <c r="N440" s="255">
        <v>0</v>
      </c>
      <c r="O440" s="255">
        <v>0</v>
      </c>
      <c r="P440" s="255">
        <v>0</v>
      </c>
      <c r="Q440" s="255">
        <v>0</v>
      </c>
      <c r="R440" s="255">
        <v>0</v>
      </c>
      <c r="S440" s="255">
        <v>0</v>
      </c>
      <c r="T440" s="255">
        <v>0</v>
      </c>
      <c r="U440" s="255">
        <v>0</v>
      </c>
      <c r="V440" s="255">
        <v>0</v>
      </c>
      <c r="W440">
        <f t="shared" si="6"/>
        <v>0</v>
      </c>
    </row>
    <row r="441" spans="1:23" x14ac:dyDescent="0.25">
      <c r="A441" s="2" t="s">
        <v>628</v>
      </c>
      <c r="B441" s="2" t="s">
        <v>915</v>
      </c>
      <c r="C441" s="2">
        <v>540070</v>
      </c>
      <c r="D441" s="2" t="s">
        <v>700</v>
      </c>
      <c r="E441" s="2" t="s">
        <v>39</v>
      </c>
      <c r="F441" s="2" t="s">
        <v>5</v>
      </c>
      <c r="G441" s="2">
        <v>3</v>
      </c>
      <c r="H441" s="2">
        <v>0</v>
      </c>
      <c r="I441" s="2">
        <v>6</v>
      </c>
      <c r="J441" s="2">
        <v>1</v>
      </c>
      <c r="K441" s="2">
        <v>0</v>
      </c>
      <c r="L441" s="2">
        <v>0</v>
      </c>
      <c r="M441" s="2">
        <v>7</v>
      </c>
      <c r="N441" s="2">
        <v>7</v>
      </c>
      <c r="O441" s="2">
        <v>4</v>
      </c>
      <c r="P441" s="2">
        <v>0</v>
      </c>
      <c r="Q441" s="2">
        <v>0</v>
      </c>
      <c r="R441" s="2">
        <v>0</v>
      </c>
      <c r="S441" s="2" t="s">
        <v>488</v>
      </c>
      <c r="T441" s="2" t="s">
        <v>488</v>
      </c>
      <c r="U441" s="2">
        <v>5</v>
      </c>
      <c r="V441" s="2">
        <v>0</v>
      </c>
      <c r="W441">
        <f t="shared" si="6"/>
        <v>12</v>
      </c>
    </row>
    <row r="442" spans="1:23" x14ac:dyDescent="0.25">
      <c r="A442" s="2" t="s">
        <v>628</v>
      </c>
      <c r="B442" s="2" t="s">
        <v>915</v>
      </c>
      <c r="C442" s="2">
        <v>540029</v>
      </c>
      <c r="D442" s="2" t="s">
        <v>701</v>
      </c>
      <c r="E442" s="2" t="s">
        <v>39</v>
      </c>
      <c r="F442" s="2" t="s">
        <v>115</v>
      </c>
      <c r="G442" s="2">
        <v>3</v>
      </c>
      <c r="H442" s="2">
        <v>0</v>
      </c>
      <c r="I442" s="2">
        <v>0</v>
      </c>
      <c r="J442" s="2">
        <v>0</v>
      </c>
      <c r="K442" s="2">
        <v>0</v>
      </c>
      <c r="L442" s="2">
        <v>0</v>
      </c>
      <c r="M442" s="2">
        <v>0</v>
      </c>
      <c r="N442" s="2">
        <v>0</v>
      </c>
      <c r="O442" s="2">
        <v>0</v>
      </c>
      <c r="P442" s="2">
        <v>0</v>
      </c>
      <c r="Q442" s="2">
        <v>0</v>
      </c>
      <c r="R442" s="2">
        <v>0</v>
      </c>
      <c r="S442" s="2" t="s">
        <v>488</v>
      </c>
      <c r="T442" s="2" t="s">
        <v>488</v>
      </c>
      <c r="U442" s="2">
        <v>0</v>
      </c>
      <c r="V442" s="2">
        <v>0</v>
      </c>
      <c r="W442">
        <f t="shared" si="6"/>
        <v>0</v>
      </c>
    </row>
    <row r="443" spans="1:23" x14ac:dyDescent="0.25">
      <c r="A443" s="2" t="s">
        <v>628</v>
      </c>
      <c r="B443" s="2" t="s">
        <v>915</v>
      </c>
      <c r="C443" s="2">
        <v>540071</v>
      </c>
      <c r="D443" s="2" t="s">
        <v>702</v>
      </c>
      <c r="E443" s="2" t="s">
        <v>39</v>
      </c>
      <c r="F443" s="2" t="s">
        <v>115</v>
      </c>
      <c r="G443" s="2">
        <v>3</v>
      </c>
      <c r="H443" s="2">
        <v>0</v>
      </c>
      <c r="I443" s="2">
        <v>1</v>
      </c>
      <c r="J443" s="2">
        <v>0</v>
      </c>
      <c r="K443" s="2">
        <v>0</v>
      </c>
      <c r="L443" s="2">
        <v>0</v>
      </c>
      <c r="M443" s="2">
        <v>1</v>
      </c>
      <c r="N443" s="2">
        <v>1</v>
      </c>
      <c r="O443" s="2">
        <v>0</v>
      </c>
      <c r="P443" s="2">
        <v>0</v>
      </c>
      <c r="Q443" s="2">
        <v>0</v>
      </c>
      <c r="R443" s="2">
        <v>0</v>
      </c>
      <c r="S443" s="2" t="s">
        <v>488</v>
      </c>
      <c r="T443" s="2" t="s">
        <v>488</v>
      </c>
      <c r="U443" s="2">
        <v>0</v>
      </c>
      <c r="V443" s="2">
        <v>0</v>
      </c>
      <c r="W443">
        <f t="shared" si="6"/>
        <v>1</v>
      </c>
    </row>
    <row r="444" spans="1:23" x14ac:dyDescent="0.25">
      <c r="A444" s="2" t="s">
        <v>628</v>
      </c>
      <c r="B444" s="2" t="s">
        <v>915</v>
      </c>
      <c r="C444" s="2">
        <v>540072</v>
      </c>
      <c r="D444" s="2" t="s">
        <v>703</v>
      </c>
      <c r="E444" s="2" t="s">
        <v>39</v>
      </c>
      <c r="F444" s="2" t="s">
        <v>115</v>
      </c>
      <c r="G444" s="2">
        <v>3</v>
      </c>
      <c r="H444" s="2">
        <v>0</v>
      </c>
      <c r="I444" s="2">
        <v>0</v>
      </c>
      <c r="J444" s="2">
        <v>0</v>
      </c>
      <c r="K444" s="2">
        <v>0</v>
      </c>
      <c r="L444" s="2">
        <v>0</v>
      </c>
      <c r="M444" s="2">
        <v>0</v>
      </c>
      <c r="N444" s="2">
        <v>0</v>
      </c>
      <c r="O444" s="2">
        <v>0</v>
      </c>
      <c r="P444" s="2">
        <v>0</v>
      </c>
      <c r="Q444" s="2">
        <v>0</v>
      </c>
      <c r="R444" s="2">
        <v>0</v>
      </c>
      <c r="S444" s="2" t="s">
        <v>488</v>
      </c>
      <c r="T444" s="2" t="s">
        <v>488</v>
      </c>
      <c r="U444" s="2">
        <v>2</v>
      </c>
      <c r="V444" s="2">
        <v>0</v>
      </c>
      <c r="W444">
        <f t="shared" si="6"/>
        <v>2</v>
      </c>
    </row>
    <row r="445" spans="1:23" x14ac:dyDescent="0.25">
      <c r="A445" s="2" t="s">
        <v>628</v>
      </c>
      <c r="B445" s="2" t="s">
        <v>915</v>
      </c>
      <c r="C445" s="2">
        <v>540073</v>
      </c>
      <c r="D445" s="2" t="s">
        <v>704</v>
      </c>
      <c r="E445" s="2" t="s">
        <v>39</v>
      </c>
      <c r="F445" s="2" t="s">
        <v>115</v>
      </c>
      <c r="G445" s="2">
        <v>3</v>
      </c>
      <c r="H445" s="2">
        <v>0</v>
      </c>
      <c r="I445" s="2">
        <v>1</v>
      </c>
      <c r="J445" s="2">
        <v>0</v>
      </c>
      <c r="K445" s="2">
        <v>0</v>
      </c>
      <c r="L445" s="2">
        <v>0</v>
      </c>
      <c r="M445" s="2">
        <v>1</v>
      </c>
      <c r="N445" s="2">
        <v>1</v>
      </c>
      <c r="O445" s="2">
        <v>0</v>
      </c>
      <c r="P445" s="2">
        <v>0</v>
      </c>
      <c r="Q445" s="2">
        <v>0</v>
      </c>
      <c r="R445" s="2">
        <v>0</v>
      </c>
      <c r="S445" s="2" t="s">
        <v>488</v>
      </c>
      <c r="T445" s="2" t="s">
        <v>488</v>
      </c>
      <c r="U445" s="2">
        <v>11</v>
      </c>
      <c r="V445" s="2">
        <v>0</v>
      </c>
      <c r="W445">
        <f t="shared" si="6"/>
        <v>12</v>
      </c>
    </row>
    <row r="446" spans="1:23" x14ac:dyDescent="0.25">
      <c r="A446" s="2" t="s">
        <v>628</v>
      </c>
      <c r="B446" s="2" t="s">
        <v>915</v>
      </c>
      <c r="C446" s="2">
        <v>540074</v>
      </c>
      <c r="D446" s="2" t="s">
        <v>705</v>
      </c>
      <c r="E446" s="2" t="s">
        <v>39</v>
      </c>
      <c r="F446" s="2" t="s">
        <v>115</v>
      </c>
      <c r="G446" s="2">
        <v>3</v>
      </c>
      <c r="H446" s="2">
        <v>0</v>
      </c>
      <c r="I446" s="2">
        <v>0</v>
      </c>
      <c r="J446" s="2">
        <v>0</v>
      </c>
      <c r="K446" s="2">
        <v>0</v>
      </c>
      <c r="L446" s="2">
        <v>0</v>
      </c>
      <c r="M446" s="2">
        <v>0</v>
      </c>
      <c r="N446" s="2">
        <v>0</v>
      </c>
      <c r="O446" s="2">
        <v>0</v>
      </c>
      <c r="P446" s="2">
        <v>0</v>
      </c>
      <c r="Q446" s="2">
        <v>0</v>
      </c>
      <c r="R446" s="2">
        <v>0</v>
      </c>
      <c r="S446" s="2" t="s">
        <v>488</v>
      </c>
      <c r="T446" s="2" t="s">
        <v>488</v>
      </c>
      <c r="U446" s="2">
        <v>1</v>
      </c>
      <c r="V446" s="2">
        <v>0</v>
      </c>
      <c r="W446">
        <f t="shared" si="6"/>
        <v>1</v>
      </c>
    </row>
    <row r="447" spans="1:23" x14ac:dyDescent="0.25">
      <c r="A447" s="2" t="s">
        <v>628</v>
      </c>
      <c r="B447" s="2" t="s">
        <v>915</v>
      </c>
      <c r="C447" s="2">
        <v>540075</v>
      </c>
      <c r="D447" s="2" t="s">
        <v>706</v>
      </c>
      <c r="E447" s="2" t="s">
        <v>39</v>
      </c>
      <c r="F447" s="2" t="s">
        <v>115</v>
      </c>
      <c r="G447" s="2">
        <v>3</v>
      </c>
      <c r="H447" s="2">
        <v>0</v>
      </c>
      <c r="I447" s="2">
        <v>1</v>
      </c>
      <c r="J447" s="2">
        <v>0</v>
      </c>
      <c r="K447" s="2">
        <v>0</v>
      </c>
      <c r="L447" s="2">
        <v>0</v>
      </c>
      <c r="M447" s="2">
        <v>1</v>
      </c>
      <c r="N447" s="2">
        <v>1</v>
      </c>
      <c r="O447" s="2">
        <v>0</v>
      </c>
      <c r="P447" s="2">
        <v>0</v>
      </c>
      <c r="Q447" s="2">
        <v>0</v>
      </c>
      <c r="R447" s="2">
        <v>0</v>
      </c>
      <c r="S447" s="2" t="s">
        <v>488</v>
      </c>
      <c r="T447" s="2" t="s">
        <v>488</v>
      </c>
      <c r="U447" s="2">
        <v>0</v>
      </c>
      <c r="V447" s="2">
        <v>0</v>
      </c>
      <c r="W447">
        <f t="shared" si="6"/>
        <v>1</v>
      </c>
    </row>
    <row r="448" spans="1:23" x14ac:dyDescent="0.25">
      <c r="A448" s="2" t="s">
        <v>628</v>
      </c>
      <c r="B448" s="2" t="s">
        <v>915</v>
      </c>
      <c r="C448" s="2">
        <v>540076</v>
      </c>
      <c r="D448" s="2" t="s">
        <v>707</v>
      </c>
      <c r="E448" s="2" t="s">
        <v>39</v>
      </c>
      <c r="F448" s="2" t="s">
        <v>115</v>
      </c>
      <c r="G448" s="2">
        <v>3</v>
      </c>
      <c r="H448" s="2">
        <v>0</v>
      </c>
      <c r="I448" s="2">
        <v>2</v>
      </c>
      <c r="J448" s="2">
        <v>0</v>
      </c>
      <c r="K448" s="2">
        <v>0</v>
      </c>
      <c r="L448" s="2">
        <v>0</v>
      </c>
      <c r="M448" s="2">
        <v>2</v>
      </c>
      <c r="N448" s="2">
        <v>2</v>
      </c>
      <c r="O448" s="2">
        <v>0</v>
      </c>
      <c r="P448" s="2">
        <v>0</v>
      </c>
      <c r="Q448" s="2">
        <v>0</v>
      </c>
      <c r="R448" s="2">
        <v>0</v>
      </c>
      <c r="S448" s="2" t="s">
        <v>488</v>
      </c>
      <c r="T448" s="2" t="s">
        <v>488</v>
      </c>
      <c r="U448" s="2">
        <v>1</v>
      </c>
      <c r="V448" s="2">
        <v>0</v>
      </c>
      <c r="W448">
        <f t="shared" si="6"/>
        <v>3</v>
      </c>
    </row>
    <row r="449" spans="1:23" x14ac:dyDescent="0.25">
      <c r="A449" s="2" t="s">
        <v>628</v>
      </c>
      <c r="B449" s="2" t="s">
        <v>915</v>
      </c>
      <c r="C449" s="2">
        <v>540077</v>
      </c>
      <c r="D449" s="2" t="s">
        <v>708</v>
      </c>
      <c r="E449" s="2" t="s">
        <v>39</v>
      </c>
      <c r="F449" s="2" t="s">
        <v>115</v>
      </c>
      <c r="G449" s="2">
        <v>3</v>
      </c>
      <c r="H449" s="2">
        <v>0</v>
      </c>
      <c r="I449" s="2">
        <v>1</v>
      </c>
      <c r="J449" s="2">
        <v>0</v>
      </c>
      <c r="K449" s="2">
        <v>0</v>
      </c>
      <c r="L449" s="2">
        <v>0</v>
      </c>
      <c r="M449" s="2">
        <v>1</v>
      </c>
      <c r="N449" s="2">
        <v>1</v>
      </c>
      <c r="O449" s="2">
        <v>0</v>
      </c>
      <c r="P449" s="2">
        <v>0</v>
      </c>
      <c r="Q449" s="2">
        <v>0</v>
      </c>
      <c r="R449" s="2">
        <v>0</v>
      </c>
      <c r="S449" s="2" t="s">
        <v>488</v>
      </c>
      <c r="T449" s="2" t="s">
        <v>488</v>
      </c>
      <c r="U449" s="2">
        <v>0</v>
      </c>
      <c r="V449" s="2">
        <v>0</v>
      </c>
      <c r="W449">
        <f t="shared" si="6"/>
        <v>1</v>
      </c>
    </row>
    <row r="450" spans="1:23" x14ac:dyDescent="0.25">
      <c r="A450" s="2" t="s">
        <v>628</v>
      </c>
      <c r="B450" s="2" t="s">
        <v>915</v>
      </c>
      <c r="C450" s="2">
        <v>540078</v>
      </c>
      <c r="D450" s="2" t="s">
        <v>709</v>
      </c>
      <c r="E450" s="2" t="s">
        <v>39</v>
      </c>
      <c r="F450" s="2" t="s">
        <v>115</v>
      </c>
      <c r="G450" s="2">
        <v>3</v>
      </c>
      <c r="H450" s="2">
        <v>0</v>
      </c>
      <c r="I450" s="2">
        <v>0</v>
      </c>
      <c r="J450" s="2">
        <v>0</v>
      </c>
      <c r="K450" s="2">
        <v>0</v>
      </c>
      <c r="L450" s="2">
        <v>0</v>
      </c>
      <c r="M450" s="2">
        <v>0</v>
      </c>
      <c r="N450" s="2">
        <v>0</v>
      </c>
      <c r="O450" s="2">
        <v>0</v>
      </c>
      <c r="P450" s="2">
        <v>0</v>
      </c>
      <c r="Q450" s="2">
        <v>0</v>
      </c>
      <c r="R450" s="2">
        <v>0</v>
      </c>
      <c r="S450" s="2" t="s">
        <v>488</v>
      </c>
      <c r="T450" s="2" t="s">
        <v>488</v>
      </c>
      <c r="U450" s="2">
        <v>0</v>
      </c>
      <c r="V450" s="2">
        <v>0</v>
      </c>
      <c r="W450">
        <f t="shared" si="6"/>
        <v>0</v>
      </c>
    </row>
    <row r="451" spans="1:23" x14ac:dyDescent="0.25">
      <c r="A451" s="2" t="s">
        <v>628</v>
      </c>
      <c r="B451" s="2" t="s">
        <v>915</v>
      </c>
      <c r="C451" s="2">
        <v>540079</v>
      </c>
      <c r="D451" s="2" t="s">
        <v>710</v>
      </c>
      <c r="E451" s="2" t="s">
        <v>39</v>
      </c>
      <c r="F451" s="2" t="s">
        <v>115</v>
      </c>
      <c r="G451" s="2">
        <v>3</v>
      </c>
      <c r="H451" s="2">
        <v>0</v>
      </c>
      <c r="I451" s="2">
        <v>0</v>
      </c>
      <c r="J451" s="2">
        <v>0</v>
      </c>
      <c r="K451" s="2">
        <v>0</v>
      </c>
      <c r="L451" s="2">
        <v>0</v>
      </c>
      <c r="M451" s="2">
        <v>0</v>
      </c>
      <c r="N451" s="2">
        <v>0</v>
      </c>
      <c r="O451" s="2">
        <v>0</v>
      </c>
      <c r="P451" s="2">
        <v>0</v>
      </c>
      <c r="Q451" s="2">
        <v>0</v>
      </c>
      <c r="R451" s="2">
        <v>0</v>
      </c>
      <c r="S451" s="2" t="s">
        <v>488</v>
      </c>
      <c r="T451" s="2" t="s">
        <v>488</v>
      </c>
      <c r="U451" s="2">
        <v>1</v>
      </c>
      <c r="V451" s="2">
        <v>0</v>
      </c>
      <c r="W451">
        <f t="shared" ref="W451:W514" si="7">SUM(N451,P451,R451,T451,U451,V451)</f>
        <v>1</v>
      </c>
    </row>
    <row r="452" spans="1:23" x14ac:dyDescent="0.25">
      <c r="A452" s="2" t="s">
        <v>628</v>
      </c>
      <c r="B452" s="2" t="s">
        <v>915</v>
      </c>
      <c r="C452" s="2">
        <v>540081</v>
      </c>
      <c r="D452" s="2" t="s">
        <v>711</v>
      </c>
      <c r="E452" s="2" t="s">
        <v>39</v>
      </c>
      <c r="F452" s="2" t="s">
        <v>115</v>
      </c>
      <c r="G452" s="2">
        <v>3</v>
      </c>
      <c r="H452" s="2">
        <v>0</v>
      </c>
      <c r="I452" s="2">
        <v>0</v>
      </c>
      <c r="J452" s="2">
        <v>0</v>
      </c>
      <c r="K452" s="2">
        <v>0</v>
      </c>
      <c r="L452" s="2">
        <v>0</v>
      </c>
      <c r="M452" s="2">
        <v>0</v>
      </c>
      <c r="N452" s="2">
        <v>0</v>
      </c>
      <c r="O452" s="2">
        <v>0</v>
      </c>
      <c r="P452" s="2">
        <v>0</v>
      </c>
      <c r="Q452" s="2">
        <v>0</v>
      </c>
      <c r="R452" s="2">
        <v>0</v>
      </c>
      <c r="S452" s="2" t="s">
        <v>488</v>
      </c>
      <c r="T452" s="2" t="s">
        <v>488</v>
      </c>
      <c r="U452" s="2">
        <v>1</v>
      </c>
      <c r="V452" s="2">
        <v>0</v>
      </c>
      <c r="W452">
        <f t="shared" si="7"/>
        <v>1</v>
      </c>
    </row>
    <row r="453" spans="1:23" x14ac:dyDescent="0.25">
      <c r="A453" s="2" t="s">
        <v>628</v>
      </c>
      <c r="B453" s="2" t="s">
        <v>915</v>
      </c>
      <c r="C453" s="2">
        <v>540082</v>
      </c>
      <c r="D453" s="2" t="s">
        <v>712</v>
      </c>
      <c r="E453" s="2" t="s">
        <v>39</v>
      </c>
      <c r="F453" s="2" t="s">
        <v>115</v>
      </c>
      <c r="G453" s="2">
        <v>3</v>
      </c>
      <c r="H453" s="2">
        <v>0</v>
      </c>
      <c r="I453" s="2">
        <v>0</v>
      </c>
      <c r="J453" s="2">
        <v>0</v>
      </c>
      <c r="K453" s="2">
        <v>0</v>
      </c>
      <c r="L453" s="2">
        <v>0</v>
      </c>
      <c r="M453" s="2">
        <v>0</v>
      </c>
      <c r="N453" s="2">
        <v>0</v>
      </c>
      <c r="O453" s="2">
        <v>0</v>
      </c>
      <c r="P453" s="2">
        <v>0</v>
      </c>
      <c r="Q453" s="2">
        <v>0</v>
      </c>
      <c r="R453" s="2">
        <v>0</v>
      </c>
      <c r="S453" s="2" t="s">
        <v>488</v>
      </c>
      <c r="T453" s="2" t="s">
        <v>488</v>
      </c>
      <c r="U453" s="2">
        <v>1</v>
      </c>
      <c r="V453" s="2">
        <v>0</v>
      </c>
      <c r="W453">
        <f t="shared" si="7"/>
        <v>1</v>
      </c>
    </row>
    <row r="454" spans="1:23" x14ac:dyDescent="0.25">
      <c r="A454" s="2" t="s">
        <v>628</v>
      </c>
      <c r="B454" s="2" t="s">
        <v>915</v>
      </c>
      <c r="C454" s="2">
        <v>540083</v>
      </c>
      <c r="D454" s="2" t="s">
        <v>713</v>
      </c>
      <c r="E454" s="2" t="s">
        <v>39</v>
      </c>
      <c r="F454" s="2" t="s">
        <v>115</v>
      </c>
      <c r="G454" s="2">
        <v>3</v>
      </c>
      <c r="H454" s="2">
        <v>0</v>
      </c>
      <c r="I454" s="2">
        <v>0</v>
      </c>
      <c r="J454" s="2">
        <v>0</v>
      </c>
      <c r="K454" s="2">
        <v>0</v>
      </c>
      <c r="L454" s="2">
        <v>0</v>
      </c>
      <c r="M454" s="2">
        <v>0</v>
      </c>
      <c r="N454" s="2">
        <v>0</v>
      </c>
      <c r="O454" s="2">
        <v>0</v>
      </c>
      <c r="P454" s="2">
        <v>0</v>
      </c>
      <c r="Q454" s="2">
        <v>0</v>
      </c>
      <c r="R454" s="2">
        <v>0</v>
      </c>
      <c r="S454" s="2" t="s">
        <v>488</v>
      </c>
      <c r="T454" s="2" t="s">
        <v>488</v>
      </c>
      <c r="U454" s="2">
        <v>2</v>
      </c>
      <c r="V454" s="2">
        <v>0</v>
      </c>
      <c r="W454">
        <f t="shared" si="7"/>
        <v>2</v>
      </c>
    </row>
    <row r="455" spans="1:23" x14ac:dyDescent="0.25">
      <c r="A455" s="2" t="s">
        <v>628</v>
      </c>
      <c r="B455" s="2" t="s">
        <v>915</v>
      </c>
      <c r="C455" s="2">
        <v>540223</v>
      </c>
      <c r="D455" s="2" t="s">
        <v>714</v>
      </c>
      <c r="E455" s="2" t="s">
        <v>39</v>
      </c>
      <c r="F455" s="2" t="s">
        <v>115</v>
      </c>
      <c r="G455" s="2">
        <v>3</v>
      </c>
      <c r="H455" s="2">
        <v>0</v>
      </c>
      <c r="I455" s="2">
        <v>0</v>
      </c>
      <c r="J455" s="2">
        <v>0</v>
      </c>
      <c r="K455" s="2">
        <v>0</v>
      </c>
      <c r="L455" s="2">
        <v>0</v>
      </c>
      <c r="M455" s="2">
        <v>0</v>
      </c>
      <c r="N455" s="2">
        <v>0</v>
      </c>
      <c r="O455" s="2">
        <v>0</v>
      </c>
      <c r="P455" s="2">
        <v>0</v>
      </c>
      <c r="Q455" s="2">
        <v>0</v>
      </c>
      <c r="R455" s="2">
        <v>0</v>
      </c>
      <c r="S455" s="2" t="s">
        <v>488</v>
      </c>
      <c r="T455" s="2" t="s">
        <v>488</v>
      </c>
      <c r="U455" s="2">
        <v>4</v>
      </c>
      <c r="V455" s="2">
        <v>0</v>
      </c>
      <c r="W455">
        <f t="shared" si="7"/>
        <v>4</v>
      </c>
    </row>
    <row r="456" spans="1:23" x14ac:dyDescent="0.25">
      <c r="A456" s="2" t="s">
        <v>628</v>
      </c>
      <c r="B456" s="2" t="s">
        <v>915</v>
      </c>
      <c r="C456" s="2">
        <v>540279</v>
      </c>
      <c r="D456" s="2" t="s">
        <v>715</v>
      </c>
      <c r="E456" s="2" t="s">
        <v>39</v>
      </c>
      <c r="F456" s="2" t="s">
        <v>115</v>
      </c>
      <c r="G456" s="2">
        <v>3</v>
      </c>
      <c r="H456" s="2">
        <v>0</v>
      </c>
      <c r="I456" s="2">
        <v>0</v>
      </c>
      <c r="J456" s="2">
        <v>0</v>
      </c>
      <c r="K456" s="2">
        <v>0</v>
      </c>
      <c r="L456" s="2">
        <v>0</v>
      </c>
      <c r="M456" s="2">
        <v>0</v>
      </c>
      <c r="N456" s="2">
        <v>0</v>
      </c>
      <c r="O456" s="2">
        <v>0</v>
      </c>
      <c r="P456" s="2">
        <v>0</v>
      </c>
      <c r="Q456" s="2">
        <v>0</v>
      </c>
      <c r="R456" s="2">
        <v>0</v>
      </c>
      <c r="S456" s="2" t="s">
        <v>488</v>
      </c>
      <c r="T456" s="2" t="s">
        <v>488</v>
      </c>
      <c r="U456" s="2">
        <v>0</v>
      </c>
      <c r="V456" s="2">
        <v>0</v>
      </c>
      <c r="W456">
        <f t="shared" si="7"/>
        <v>0</v>
      </c>
    </row>
    <row r="457" spans="1:23" x14ac:dyDescent="0.25">
      <c r="A457" s="2" t="s">
        <v>628</v>
      </c>
      <c r="B457" s="2" t="s">
        <v>915</v>
      </c>
      <c r="C457" s="2">
        <v>540033</v>
      </c>
      <c r="D457" s="2" t="s">
        <v>716</v>
      </c>
      <c r="E457" s="2" t="s">
        <v>39</v>
      </c>
      <c r="F457" s="2" t="s">
        <v>115</v>
      </c>
      <c r="G457" s="2">
        <v>3</v>
      </c>
      <c r="H457" s="2">
        <v>0</v>
      </c>
      <c r="I457" s="2">
        <v>0</v>
      </c>
      <c r="J457" s="2">
        <v>0</v>
      </c>
      <c r="K457" s="2">
        <v>0</v>
      </c>
      <c r="L457" s="2">
        <v>0</v>
      </c>
      <c r="M457" s="2">
        <v>0</v>
      </c>
      <c r="N457" s="2">
        <v>0</v>
      </c>
      <c r="O457" s="2">
        <v>0</v>
      </c>
      <c r="P457" s="2">
        <v>0</v>
      </c>
      <c r="Q457" s="2">
        <v>0</v>
      </c>
      <c r="R457" s="2">
        <v>0</v>
      </c>
      <c r="S457" s="2" t="s">
        <v>488</v>
      </c>
      <c r="T457" s="2" t="s">
        <v>488</v>
      </c>
      <c r="U457" s="2">
        <v>0</v>
      </c>
      <c r="V457" s="2">
        <v>0</v>
      </c>
      <c r="W457">
        <f t="shared" si="7"/>
        <v>0</v>
      </c>
    </row>
    <row r="458" spans="1:23" x14ac:dyDescent="0.25">
      <c r="A458" s="255" t="s">
        <v>628</v>
      </c>
      <c r="B458" s="255" t="s">
        <v>915</v>
      </c>
      <c r="C458" s="255"/>
      <c r="D458" s="255"/>
      <c r="E458" s="255" t="s">
        <v>39</v>
      </c>
      <c r="F458" s="255"/>
      <c r="G458" s="255"/>
      <c r="H458" s="255">
        <v>0</v>
      </c>
      <c r="I458" s="255">
        <v>12</v>
      </c>
      <c r="J458" s="255">
        <v>1</v>
      </c>
      <c r="K458" s="255">
        <v>0</v>
      </c>
      <c r="L458" s="255">
        <v>0</v>
      </c>
      <c r="M458" s="255">
        <v>13</v>
      </c>
      <c r="N458" s="255">
        <v>13</v>
      </c>
      <c r="O458" s="255">
        <v>4</v>
      </c>
      <c r="P458" s="255">
        <v>0</v>
      </c>
      <c r="Q458" s="255">
        <v>0</v>
      </c>
      <c r="R458" s="255">
        <v>0</v>
      </c>
      <c r="S458" s="255" t="s">
        <v>488</v>
      </c>
      <c r="T458" s="255" t="s">
        <v>488</v>
      </c>
      <c r="U458" s="255">
        <v>29</v>
      </c>
      <c r="V458" s="255">
        <v>0</v>
      </c>
      <c r="W458">
        <f t="shared" si="7"/>
        <v>42</v>
      </c>
    </row>
    <row r="459" spans="1:23" x14ac:dyDescent="0.25">
      <c r="A459" s="2" t="s">
        <v>628</v>
      </c>
      <c r="B459" s="2" t="s">
        <v>915</v>
      </c>
      <c r="C459" s="2">
        <v>540085</v>
      </c>
      <c r="D459" s="2" t="s">
        <v>717</v>
      </c>
      <c r="E459" s="2" t="s">
        <v>41</v>
      </c>
      <c r="F459" s="2" t="s">
        <v>5</v>
      </c>
      <c r="G459" s="2">
        <v>7</v>
      </c>
      <c r="H459" s="2">
        <v>0</v>
      </c>
      <c r="I459" s="2">
        <v>1</v>
      </c>
      <c r="J459" s="2">
        <v>0</v>
      </c>
      <c r="K459" s="2">
        <v>0</v>
      </c>
      <c r="L459" s="2">
        <v>0</v>
      </c>
      <c r="M459" s="2">
        <v>1</v>
      </c>
      <c r="N459" s="2">
        <v>1</v>
      </c>
      <c r="O459" s="2">
        <v>0</v>
      </c>
      <c r="P459" s="2">
        <v>0</v>
      </c>
      <c r="Q459" s="2">
        <v>0</v>
      </c>
      <c r="R459" s="2">
        <v>0</v>
      </c>
      <c r="S459" s="2" t="s">
        <v>488</v>
      </c>
      <c r="T459" s="2" t="s">
        <v>488</v>
      </c>
      <c r="U459" s="2">
        <v>0</v>
      </c>
      <c r="V459" s="2">
        <v>0</v>
      </c>
      <c r="W459">
        <f t="shared" si="7"/>
        <v>1</v>
      </c>
    </row>
    <row r="460" spans="1:23" x14ac:dyDescent="0.25">
      <c r="A460" s="2" t="s">
        <v>628</v>
      </c>
      <c r="B460" s="2" t="s">
        <v>915</v>
      </c>
      <c r="C460" s="2">
        <v>540086</v>
      </c>
      <c r="D460" s="2" t="s">
        <v>718</v>
      </c>
      <c r="E460" s="2" t="s">
        <v>41</v>
      </c>
      <c r="F460" s="2" t="s">
        <v>115</v>
      </c>
      <c r="G460" s="2">
        <v>7</v>
      </c>
      <c r="H460" s="2">
        <v>0</v>
      </c>
      <c r="I460" s="2">
        <v>0</v>
      </c>
      <c r="J460" s="2">
        <v>0</v>
      </c>
      <c r="K460" s="2">
        <v>0</v>
      </c>
      <c r="L460" s="2">
        <v>0</v>
      </c>
      <c r="M460" s="2">
        <v>0</v>
      </c>
      <c r="N460" s="2">
        <v>0</v>
      </c>
      <c r="O460" s="2">
        <v>0</v>
      </c>
      <c r="P460" s="2">
        <v>0</v>
      </c>
      <c r="Q460" s="2">
        <v>0</v>
      </c>
      <c r="R460" s="2">
        <v>0</v>
      </c>
      <c r="S460" s="2" t="s">
        <v>488</v>
      </c>
      <c r="T460" s="2" t="s">
        <v>488</v>
      </c>
      <c r="U460" s="2">
        <v>0</v>
      </c>
      <c r="V460" s="2">
        <v>0</v>
      </c>
      <c r="W460">
        <f t="shared" si="7"/>
        <v>0</v>
      </c>
    </row>
    <row r="461" spans="1:23" x14ac:dyDescent="0.25">
      <c r="A461" s="2" t="s">
        <v>628</v>
      </c>
      <c r="B461" s="2" t="s">
        <v>915</v>
      </c>
      <c r="C461" s="2">
        <v>540087</v>
      </c>
      <c r="D461" s="2" t="s">
        <v>719</v>
      </c>
      <c r="E461" s="2" t="s">
        <v>41</v>
      </c>
      <c r="F461" s="2" t="s">
        <v>115</v>
      </c>
      <c r="G461" s="2">
        <v>7</v>
      </c>
      <c r="H461" s="2">
        <v>0</v>
      </c>
      <c r="I461" s="2">
        <v>1</v>
      </c>
      <c r="J461" s="2">
        <v>0</v>
      </c>
      <c r="K461" s="2">
        <v>0</v>
      </c>
      <c r="L461" s="2">
        <v>0</v>
      </c>
      <c r="M461" s="2">
        <v>1</v>
      </c>
      <c r="N461" s="2">
        <v>1</v>
      </c>
      <c r="O461" s="2">
        <v>0</v>
      </c>
      <c r="P461" s="2">
        <v>0</v>
      </c>
      <c r="Q461" s="2">
        <v>0</v>
      </c>
      <c r="R461" s="2">
        <v>0</v>
      </c>
      <c r="S461" s="2" t="s">
        <v>488</v>
      </c>
      <c r="T461" s="2" t="s">
        <v>488</v>
      </c>
      <c r="U461" s="2">
        <v>1</v>
      </c>
      <c r="V461" s="2">
        <v>0</v>
      </c>
      <c r="W461">
        <f t="shared" si="7"/>
        <v>2</v>
      </c>
    </row>
    <row r="462" spans="1:23" x14ac:dyDescent="0.25">
      <c r="A462" s="255" t="s">
        <v>628</v>
      </c>
      <c r="B462" s="255" t="s">
        <v>915</v>
      </c>
      <c r="C462" s="255"/>
      <c r="D462" s="255"/>
      <c r="E462" s="255" t="s">
        <v>41</v>
      </c>
      <c r="F462" s="255"/>
      <c r="G462" s="255"/>
      <c r="H462" s="255">
        <v>0</v>
      </c>
      <c r="I462" s="255">
        <v>2</v>
      </c>
      <c r="J462" s="255">
        <v>0</v>
      </c>
      <c r="K462" s="255">
        <v>0</v>
      </c>
      <c r="L462" s="255">
        <v>0</v>
      </c>
      <c r="M462" s="255">
        <v>2</v>
      </c>
      <c r="N462" s="255">
        <v>2</v>
      </c>
      <c r="O462" s="255">
        <v>0</v>
      </c>
      <c r="P462" s="255">
        <v>0</v>
      </c>
      <c r="Q462" s="255">
        <v>0</v>
      </c>
      <c r="R462" s="255">
        <v>0</v>
      </c>
      <c r="S462" s="255" t="s">
        <v>488</v>
      </c>
      <c r="T462" s="255" t="s">
        <v>488</v>
      </c>
      <c r="U462" s="255">
        <v>1</v>
      </c>
      <c r="V462" s="255">
        <v>0</v>
      </c>
      <c r="W462">
        <f t="shared" si="7"/>
        <v>3</v>
      </c>
    </row>
    <row r="463" spans="1:23" x14ac:dyDescent="0.25">
      <c r="A463" s="2" t="s">
        <v>628</v>
      </c>
      <c r="B463" s="2" t="s">
        <v>915</v>
      </c>
      <c r="C463" s="2">
        <v>540088</v>
      </c>
      <c r="D463" s="2" t="s">
        <v>720</v>
      </c>
      <c r="E463" s="2" t="s">
        <v>43</v>
      </c>
      <c r="F463" s="2" t="s">
        <v>5</v>
      </c>
      <c r="G463" s="2">
        <v>2</v>
      </c>
      <c r="H463" s="2">
        <v>1</v>
      </c>
      <c r="I463" s="2">
        <v>0</v>
      </c>
      <c r="J463" s="2">
        <v>0</v>
      </c>
      <c r="K463" s="2">
        <v>0</v>
      </c>
      <c r="L463" s="2">
        <v>0</v>
      </c>
      <c r="M463" s="2">
        <v>0</v>
      </c>
      <c r="N463" s="2">
        <v>1</v>
      </c>
      <c r="O463" s="2">
        <v>0</v>
      </c>
      <c r="P463" s="2">
        <v>0</v>
      </c>
      <c r="Q463" s="2" t="s">
        <v>488</v>
      </c>
      <c r="R463" s="2" t="s">
        <v>488</v>
      </c>
      <c r="S463" s="2" t="s">
        <v>488</v>
      </c>
      <c r="T463" s="2" t="s">
        <v>488</v>
      </c>
      <c r="U463" s="2">
        <v>1</v>
      </c>
      <c r="V463" s="2">
        <v>0</v>
      </c>
      <c r="W463">
        <f t="shared" si="7"/>
        <v>2</v>
      </c>
    </row>
    <row r="464" spans="1:23" x14ac:dyDescent="0.25">
      <c r="A464" s="2" t="s">
        <v>628</v>
      </c>
      <c r="B464" s="2" t="s">
        <v>915</v>
      </c>
      <c r="C464" s="2">
        <v>540089</v>
      </c>
      <c r="D464" s="2" t="s">
        <v>721</v>
      </c>
      <c r="E464" s="2" t="s">
        <v>43</v>
      </c>
      <c r="F464" s="2" t="s">
        <v>115</v>
      </c>
      <c r="G464" s="2">
        <v>2</v>
      </c>
      <c r="H464" s="2">
        <v>0</v>
      </c>
      <c r="I464" s="2">
        <v>0</v>
      </c>
      <c r="J464" s="2">
        <v>0</v>
      </c>
      <c r="K464" s="2">
        <v>0</v>
      </c>
      <c r="L464" s="2">
        <v>0</v>
      </c>
      <c r="M464" s="2">
        <v>0</v>
      </c>
      <c r="N464" s="2">
        <v>0</v>
      </c>
      <c r="O464" s="2">
        <v>0</v>
      </c>
      <c r="P464" s="2">
        <v>0</v>
      </c>
      <c r="Q464" s="2" t="s">
        <v>488</v>
      </c>
      <c r="R464" s="2" t="s">
        <v>488</v>
      </c>
      <c r="S464" s="2" t="s">
        <v>488</v>
      </c>
      <c r="T464" s="2" t="s">
        <v>488</v>
      </c>
      <c r="U464" s="2">
        <v>0</v>
      </c>
      <c r="V464" s="2">
        <v>0</v>
      </c>
      <c r="W464">
        <f t="shared" si="7"/>
        <v>0</v>
      </c>
    </row>
    <row r="465" spans="1:23" x14ac:dyDescent="0.25">
      <c r="A465" s="2" t="s">
        <v>628</v>
      </c>
      <c r="B465" s="2" t="s">
        <v>915</v>
      </c>
      <c r="C465" s="2">
        <v>540090</v>
      </c>
      <c r="D465" s="2" t="s">
        <v>722</v>
      </c>
      <c r="E465" s="2" t="s">
        <v>43</v>
      </c>
      <c r="F465" s="2" t="s">
        <v>115</v>
      </c>
      <c r="G465" s="2">
        <v>2</v>
      </c>
      <c r="H465" s="2">
        <v>0</v>
      </c>
      <c r="I465" s="2">
        <v>0</v>
      </c>
      <c r="J465" s="2">
        <v>0</v>
      </c>
      <c r="K465" s="2">
        <v>0</v>
      </c>
      <c r="L465" s="2">
        <v>0</v>
      </c>
      <c r="M465" s="2">
        <v>0</v>
      </c>
      <c r="N465" s="2">
        <v>0</v>
      </c>
      <c r="O465" s="2">
        <v>0</v>
      </c>
      <c r="P465" s="2">
        <v>0</v>
      </c>
      <c r="Q465" s="2" t="s">
        <v>488</v>
      </c>
      <c r="R465" s="2" t="s">
        <v>488</v>
      </c>
      <c r="S465" s="2" t="s">
        <v>488</v>
      </c>
      <c r="T465" s="2" t="s">
        <v>488</v>
      </c>
      <c r="U465" s="2">
        <v>0</v>
      </c>
      <c r="V465" s="2">
        <v>0</v>
      </c>
      <c r="W465">
        <f t="shared" si="7"/>
        <v>0</v>
      </c>
    </row>
    <row r="466" spans="1:23" x14ac:dyDescent="0.25">
      <c r="A466" s="255" t="s">
        <v>628</v>
      </c>
      <c r="B466" s="255" t="s">
        <v>915</v>
      </c>
      <c r="C466" s="255"/>
      <c r="D466" s="255"/>
      <c r="E466" s="255" t="s">
        <v>43</v>
      </c>
      <c r="F466" s="255"/>
      <c r="G466" s="255"/>
      <c r="H466" s="255">
        <v>1</v>
      </c>
      <c r="I466" s="255">
        <v>0</v>
      </c>
      <c r="J466" s="255">
        <v>0</v>
      </c>
      <c r="K466" s="255">
        <v>0</v>
      </c>
      <c r="L466" s="255">
        <v>0</v>
      </c>
      <c r="M466" s="255">
        <v>0</v>
      </c>
      <c r="N466" s="255">
        <v>1</v>
      </c>
      <c r="O466" s="255">
        <v>0</v>
      </c>
      <c r="P466" s="255">
        <v>0</v>
      </c>
      <c r="Q466" s="255" t="s">
        <v>488</v>
      </c>
      <c r="R466" s="255" t="s">
        <v>488</v>
      </c>
      <c r="S466" s="255" t="s">
        <v>488</v>
      </c>
      <c r="T466" s="255" t="s">
        <v>488</v>
      </c>
      <c r="U466" s="255">
        <v>1</v>
      </c>
      <c r="V466" s="255">
        <v>0</v>
      </c>
      <c r="W466">
        <f t="shared" si="7"/>
        <v>2</v>
      </c>
    </row>
    <row r="467" spans="1:23" x14ac:dyDescent="0.25">
      <c r="A467" s="2" t="s">
        <v>628</v>
      </c>
      <c r="B467" s="2" t="s">
        <v>915</v>
      </c>
      <c r="C467" s="2">
        <v>540097</v>
      </c>
      <c r="D467" s="2" t="s">
        <v>723</v>
      </c>
      <c r="E467" s="2" t="s">
        <v>45</v>
      </c>
      <c r="F467" s="2" t="s">
        <v>5</v>
      </c>
      <c r="G467" s="2">
        <v>6</v>
      </c>
      <c r="H467" s="2">
        <v>0</v>
      </c>
      <c r="I467" s="2">
        <v>1</v>
      </c>
      <c r="J467" s="2">
        <v>0</v>
      </c>
      <c r="K467" s="2">
        <v>0</v>
      </c>
      <c r="L467" s="2">
        <v>0</v>
      </c>
      <c r="M467" s="2">
        <v>1</v>
      </c>
      <c r="N467" s="2">
        <v>1</v>
      </c>
      <c r="O467" s="2">
        <v>0</v>
      </c>
      <c r="P467" s="2">
        <v>0</v>
      </c>
      <c r="Q467" s="2">
        <v>0</v>
      </c>
      <c r="R467" s="2">
        <v>0</v>
      </c>
      <c r="S467" s="2" t="s">
        <v>488</v>
      </c>
      <c r="T467" s="2" t="s">
        <v>488</v>
      </c>
      <c r="U467" s="2">
        <v>0</v>
      </c>
      <c r="V467" s="2">
        <v>0</v>
      </c>
      <c r="W467">
        <f t="shared" si="7"/>
        <v>1</v>
      </c>
    </row>
    <row r="468" spans="1:23" x14ac:dyDescent="0.25">
      <c r="A468" s="2" t="s">
        <v>628</v>
      </c>
      <c r="B468" s="2" t="s">
        <v>915</v>
      </c>
      <c r="C468" s="2">
        <v>540098</v>
      </c>
      <c r="D468" s="2" t="s">
        <v>724</v>
      </c>
      <c r="E468" s="2" t="s">
        <v>45</v>
      </c>
      <c r="F468" s="2" t="s">
        <v>115</v>
      </c>
      <c r="G468" s="2">
        <v>6</v>
      </c>
      <c r="H468" s="2">
        <v>0</v>
      </c>
      <c r="I468" s="2">
        <v>0</v>
      </c>
      <c r="J468" s="2">
        <v>0</v>
      </c>
      <c r="K468" s="2">
        <v>0</v>
      </c>
      <c r="L468" s="2">
        <v>0</v>
      </c>
      <c r="M468" s="2">
        <v>0</v>
      </c>
      <c r="N468" s="2">
        <v>0</v>
      </c>
      <c r="O468" s="2">
        <v>0</v>
      </c>
      <c r="P468" s="2">
        <v>0</v>
      </c>
      <c r="Q468" s="2">
        <v>0</v>
      </c>
      <c r="R468" s="2">
        <v>0</v>
      </c>
      <c r="S468" s="2" t="s">
        <v>488</v>
      </c>
      <c r="T468" s="2" t="s">
        <v>488</v>
      </c>
      <c r="U468" s="2">
        <v>0</v>
      </c>
      <c r="V468" s="2">
        <v>0</v>
      </c>
      <c r="W468">
        <f t="shared" si="7"/>
        <v>0</v>
      </c>
    </row>
    <row r="469" spans="1:23" x14ac:dyDescent="0.25">
      <c r="A469" s="2" t="s">
        <v>628</v>
      </c>
      <c r="B469" s="2" t="s">
        <v>915</v>
      </c>
      <c r="C469" s="2">
        <v>540099</v>
      </c>
      <c r="D469" s="2" t="s">
        <v>725</v>
      </c>
      <c r="E469" s="2" t="s">
        <v>45</v>
      </c>
      <c r="F469" s="2" t="s">
        <v>115</v>
      </c>
      <c r="G469" s="2">
        <v>6</v>
      </c>
      <c r="H469" s="2">
        <v>0</v>
      </c>
      <c r="I469" s="2">
        <v>0</v>
      </c>
      <c r="J469" s="2">
        <v>0</v>
      </c>
      <c r="K469" s="2">
        <v>0</v>
      </c>
      <c r="L469" s="2">
        <v>0</v>
      </c>
      <c r="M469" s="2">
        <v>0</v>
      </c>
      <c r="N469" s="2">
        <v>0</v>
      </c>
      <c r="O469" s="2">
        <v>0</v>
      </c>
      <c r="P469" s="2">
        <v>0</v>
      </c>
      <c r="Q469" s="2">
        <v>0</v>
      </c>
      <c r="R469" s="2">
        <v>0</v>
      </c>
      <c r="S469" s="2" t="s">
        <v>488</v>
      </c>
      <c r="T469" s="2" t="s">
        <v>488</v>
      </c>
      <c r="U469" s="2">
        <v>0</v>
      </c>
      <c r="V469" s="2">
        <v>0</v>
      </c>
      <c r="W469">
        <f t="shared" si="7"/>
        <v>0</v>
      </c>
    </row>
    <row r="470" spans="1:23" x14ac:dyDescent="0.25">
      <c r="A470" s="2" t="s">
        <v>628</v>
      </c>
      <c r="B470" s="2" t="s">
        <v>915</v>
      </c>
      <c r="C470" s="2">
        <v>540100</v>
      </c>
      <c r="D470" s="2" t="s">
        <v>726</v>
      </c>
      <c r="E470" s="2" t="s">
        <v>45</v>
      </c>
      <c r="F470" s="2" t="s">
        <v>115</v>
      </c>
      <c r="G470" s="2">
        <v>6</v>
      </c>
      <c r="H470" s="2">
        <v>0</v>
      </c>
      <c r="I470" s="2">
        <v>0</v>
      </c>
      <c r="J470" s="2">
        <v>0</v>
      </c>
      <c r="K470" s="2">
        <v>0</v>
      </c>
      <c r="L470" s="2">
        <v>0</v>
      </c>
      <c r="M470" s="2">
        <v>0</v>
      </c>
      <c r="N470" s="2">
        <v>0</v>
      </c>
      <c r="O470" s="2">
        <v>0</v>
      </c>
      <c r="P470" s="2">
        <v>0</v>
      </c>
      <c r="Q470" s="2">
        <v>0</v>
      </c>
      <c r="R470" s="2">
        <v>0</v>
      </c>
      <c r="S470" s="2" t="s">
        <v>488</v>
      </c>
      <c r="T470" s="2" t="s">
        <v>488</v>
      </c>
      <c r="U470" s="2">
        <v>0</v>
      </c>
      <c r="V470" s="2">
        <v>0</v>
      </c>
      <c r="W470">
        <f t="shared" si="7"/>
        <v>0</v>
      </c>
    </row>
    <row r="471" spans="1:23" x14ac:dyDescent="0.25">
      <c r="A471" s="2" t="s">
        <v>628</v>
      </c>
      <c r="B471" s="2" t="s">
        <v>915</v>
      </c>
      <c r="C471" s="2">
        <v>540101</v>
      </c>
      <c r="D471" s="2" t="s">
        <v>727</v>
      </c>
      <c r="E471" s="2" t="s">
        <v>45</v>
      </c>
      <c r="F471" s="2" t="s">
        <v>115</v>
      </c>
      <c r="G471" s="2">
        <v>6</v>
      </c>
      <c r="H471" s="2">
        <v>0</v>
      </c>
      <c r="I471" s="2">
        <v>0</v>
      </c>
      <c r="J471" s="2">
        <v>0</v>
      </c>
      <c r="K471" s="2">
        <v>0</v>
      </c>
      <c r="L471" s="2">
        <v>0</v>
      </c>
      <c r="M471" s="2">
        <v>0</v>
      </c>
      <c r="N471" s="2">
        <v>0</v>
      </c>
      <c r="O471" s="2">
        <v>0</v>
      </c>
      <c r="P471" s="2">
        <v>0</v>
      </c>
      <c r="Q471" s="2">
        <v>0</v>
      </c>
      <c r="R471" s="2">
        <v>0</v>
      </c>
      <c r="S471" s="2" t="s">
        <v>488</v>
      </c>
      <c r="T471" s="2" t="s">
        <v>488</v>
      </c>
      <c r="U471" s="2">
        <v>0</v>
      </c>
      <c r="V471" s="2">
        <v>0</v>
      </c>
      <c r="W471">
        <f t="shared" si="7"/>
        <v>0</v>
      </c>
    </row>
    <row r="472" spans="1:23" x14ac:dyDescent="0.25">
      <c r="A472" s="2" t="s">
        <v>628</v>
      </c>
      <c r="B472" s="2" t="s">
        <v>915</v>
      </c>
      <c r="C472" s="2">
        <v>540102</v>
      </c>
      <c r="D472" s="2" t="s">
        <v>728</v>
      </c>
      <c r="E472" s="2" t="s">
        <v>45</v>
      </c>
      <c r="F472" s="2" t="s">
        <v>115</v>
      </c>
      <c r="G472" s="2">
        <v>6</v>
      </c>
      <c r="H472" s="2">
        <v>0</v>
      </c>
      <c r="I472" s="2">
        <v>0</v>
      </c>
      <c r="J472" s="2">
        <v>0</v>
      </c>
      <c r="K472" s="2">
        <v>0</v>
      </c>
      <c r="L472" s="2">
        <v>0</v>
      </c>
      <c r="M472" s="2">
        <v>0</v>
      </c>
      <c r="N472" s="2">
        <v>0</v>
      </c>
      <c r="O472" s="2">
        <v>0</v>
      </c>
      <c r="P472" s="2">
        <v>0</v>
      </c>
      <c r="Q472" s="2">
        <v>0</v>
      </c>
      <c r="R472" s="2">
        <v>0</v>
      </c>
      <c r="S472" s="2" t="s">
        <v>488</v>
      </c>
      <c r="T472" s="2" t="s">
        <v>488</v>
      </c>
      <c r="U472" s="2">
        <v>0</v>
      </c>
      <c r="V472" s="2">
        <v>0</v>
      </c>
      <c r="W472">
        <f t="shared" si="7"/>
        <v>0</v>
      </c>
    </row>
    <row r="473" spans="1:23" x14ac:dyDescent="0.25">
      <c r="A473" s="2" t="s">
        <v>628</v>
      </c>
      <c r="B473" s="2" t="s">
        <v>915</v>
      </c>
      <c r="C473" s="2">
        <v>540103</v>
      </c>
      <c r="D473" s="2" t="s">
        <v>729</v>
      </c>
      <c r="E473" s="2" t="s">
        <v>45</v>
      </c>
      <c r="F473" s="2" t="s">
        <v>115</v>
      </c>
      <c r="G473" s="2">
        <v>6</v>
      </c>
      <c r="H473" s="2">
        <v>0</v>
      </c>
      <c r="I473" s="2">
        <v>1</v>
      </c>
      <c r="J473" s="2">
        <v>0</v>
      </c>
      <c r="K473" s="2">
        <v>0</v>
      </c>
      <c r="L473" s="2">
        <v>0</v>
      </c>
      <c r="M473" s="2">
        <v>1</v>
      </c>
      <c r="N473" s="2">
        <v>1</v>
      </c>
      <c r="O473" s="2">
        <v>0</v>
      </c>
      <c r="P473" s="2">
        <v>0</v>
      </c>
      <c r="Q473" s="2">
        <v>0</v>
      </c>
      <c r="R473" s="2">
        <v>0</v>
      </c>
      <c r="S473" s="2" t="s">
        <v>488</v>
      </c>
      <c r="T473" s="2" t="s">
        <v>488</v>
      </c>
      <c r="U473" s="2">
        <v>0</v>
      </c>
      <c r="V473" s="2">
        <v>0</v>
      </c>
      <c r="W473">
        <f t="shared" si="7"/>
        <v>1</v>
      </c>
    </row>
    <row r="474" spans="1:23" x14ac:dyDescent="0.25">
      <c r="A474" s="2" t="s">
        <v>628</v>
      </c>
      <c r="B474" s="2" t="s">
        <v>915</v>
      </c>
      <c r="C474" s="2">
        <v>540104</v>
      </c>
      <c r="D474" s="2" t="s">
        <v>730</v>
      </c>
      <c r="E474" s="2" t="s">
        <v>45</v>
      </c>
      <c r="F474" s="2" t="s">
        <v>115</v>
      </c>
      <c r="G474" s="2">
        <v>6</v>
      </c>
      <c r="H474" s="2">
        <v>0</v>
      </c>
      <c r="I474" s="2">
        <v>0</v>
      </c>
      <c r="J474" s="2">
        <v>0</v>
      </c>
      <c r="K474" s="2">
        <v>0</v>
      </c>
      <c r="L474" s="2">
        <v>0</v>
      </c>
      <c r="M474" s="2">
        <v>0</v>
      </c>
      <c r="N474" s="2">
        <v>0</v>
      </c>
      <c r="O474" s="2">
        <v>0</v>
      </c>
      <c r="P474" s="2">
        <v>0</v>
      </c>
      <c r="Q474" s="2">
        <v>0</v>
      </c>
      <c r="R474" s="2">
        <v>0</v>
      </c>
      <c r="S474" s="2" t="s">
        <v>488</v>
      </c>
      <c r="T474" s="2" t="s">
        <v>488</v>
      </c>
      <c r="U474" s="2">
        <v>0</v>
      </c>
      <c r="V474" s="2">
        <v>0</v>
      </c>
      <c r="W474">
        <f t="shared" si="7"/>
        <v>0</v>
      </c>
    </row>
    <row r="475" spans="1:23" x14ac:dyDescent="0.25">
      <c r="A475" s="2" t="s">
        <v>628</v>
      </c>
      <c r="B475" s="2" t="s">
        <v>915</v>
      </c>
      <c r="C475" s="2">
        <v>540105</v>
      </c>
      <c r="D475" s="2" t="s">
        <v>731</v>
      </c>
      <c r="E475" s="2" t="s">
        <v>45</v>
      </c>
      <c r="F475" s="2" t="s">
        <v>115</v>
      </c>
      <c r="G475" s="2">
        <v>6</v>
      </c>
      <c r="H475" s="2">
        <v>0</v>
      </c>
      <c r="I475" s="2">
        <v>0</v>
      </c>
      <c r="J475" s="2">
        <v>0</v>
      </c>
      <c r="K475" s="2">
        <v>0</v>
      </c>
      <c r="L475" s="2">
        <v>0</v>
      </c>
      <c r="M475" s="2">
        <v>0</v>
      </c>
      <c r="N475" s="2">
        <v>0</v>
      </c>
      <c r="O475" s="2">
        <v>0</v>
      </c>
      <c r="P475" s="2">
        <v>0</v>
      </c>
      <c r="Q475" s="2">
        <v>0</v>
      </c>
      <c r="R475" s="2">
        <v>0</v>
      </c>
      <c r="S475" s="2" t="s">
        <v>488</v>
      </c>
      <c r="T475" s="2" t="s">
        <v>488</v>
      </c>
      <c r="U475" s="2">
        <v>0</v>
      </c>
      <c r="V475" s="2">
        <v>0</v>
      </c>
      <c r="W475">
        <f t="shared" si="7"/>
        <v>0</v>
      </c>
    </row>
    <row r="476" spans="1:23" x14ac:dyDescent="0.25">
      <c r="A476" s="2" t="s">
        <v>628</v>
      </c>
      <c r="B476" s="2" t="s">
        <v>915</v>
      </c>
      <c r="C476" s="2">
        <v>540106</v>
      </c>
      <c r="D476" s="2" t="s">
        <v>732</v>
      </c>
      <c r="E476" s="2" t="s">
        <v>45</v>
      </c>
      <c r="F476" s="2" t="s">
        <v>115</v>
      </c>
      <c r="G476" s="2">
        <v>6</v>
      </c>
      <c r="H476" s="2">
        <v>0</v>
      </c>
      <c r="I476" s="2">
        <v>0</v>
      </c>
      <c r="J476" s="2">
        <v>0</v>
      </c>
      <c r="K476" s="2">
        <v>0</v>
      </c>
      <c r="L476" s="2">
        <v>0</v>
      </c>
      <c r="M476" s="2">
        <v>0</v>
      </c>
      <c r="N476" s="2">
        <v>0</v>
      </c>
      <c r="O476" s="2">
        <v>0</v>
      </c>
      <c r="P476" s="2">
        <v>0</v>
      </c>
      <c r="Q476" s="2">
        <v>0</v>
      </c>
      <c r="R476" s="2">
        <v>0</v>
      </c>
      <c r="S476" s="2" t="s">
        <v>488</v>
      </c>
      <c r="T476" s="2" t="s">
        <v>488</v>
      </c>
      <c r="U476" s="2">
        <v>0</v>
      </c>
      <c r="V476" s="2">
        <v>0</v>
      </c>
      <c r="W476">
        <f t="shared" si="7"/>
        <v>0</v>
      </c>
    </row>
    <row r="477" spans="1:23" x14ac:dyDescent="0.25">
      <c r="A477" s="2" t="s">
        <v>628</v>
      </c>
      <c r="B477" s="2" t="s">
        <v>915</v>
      </c>
      <c r="C477" s="2">
        <v>540292</v>
      </c>
      <c r="D477" s="2" t="s">
        <v>733</v>
      </c>
      <c r="E477" s="2" t="s">
        <v>45</v>
      </c>
      <c r="F477" s="2" t="s">
        <v>115</v>
      </c>
      <c r="G477" s="2">
        <v>6</v>
      </c>
      <c r="H477" s="2">
        <v>0</v>
      </c>
      <c r="I477" s="2">
        <v>0</v>
      </c>
      <c r="J477" s="2">
        <v>0</v>
      </c>
      <c r="K477" s="2">
        <v>0</v>
      </c>
      <c r="L477" s="2">
        <v>0</v>
      </c>
      <c r="M477" s="2">
        <v>0</v>
      </c>
      <c r="N477" s="2">
        <v>0</v>
      </c>
      <c r="O477" s="2">
        <v>0</v>
      </c>
      <c r="P477" s="2">
        <v>0</v>
      </c>
      <c r="Q477" s="2">
        <v>0</v>
      </c>
      <c r="R477" s="2">
        <v>0</v>
      </c>
      <c r="S477" s="2" t="s">
        <v>488</v>
      </c>
      <c r="T477" s="2" t="s">
        <v>488</v>
      </c>
      <c r="U477" s="2">
        <v>0</v>
      </c>
      <c r="V477" s="2">
        <v>0</v>
      </c>
      <c r="W477">
        <f t="shared" si="7"/>
        <v>0</v>
      </c>
    </row>
    <row r="478" spans="1:23" x14ac:dyDescent="0.25">
      <c r="A478" s="2" t="s">
        <v>628</v>
      </c>
      <c r="B478" s="2" t="s">
        <v>915</v>
      </c>
      <c r="C478" s="2">
        <v>545556</v>
      </c>
      <c r="D478" s="2" t="s">
        <v>734</v>
      </c>
      <c r="E478" s="2" t="s">
        <v>45</v>
      </c>
      <c r="F478" s="2" t="s">
        <v>115</v>
      </c>
      <c r="G478" s="2">
        <v>6</v>
      </c>
      <c r="H478" s="2">
        <v>0</v>
      </c>
      <c r="I478" s="2">
        <v>0</v>
      </c>
      <c r="J478" s="2">
        <v>0</v>
      </c>
      <c r="K478" s="2">
        <v>0</v>
      </c>
      <c r="L478" s="2">
        <v>0</v>
      </c>
      <c r="M478" s="2">
        <v>0</v>
      </c>
      <c r="N478" s="2">
        <v>0</v>
      </c>
      <c r="O478" s="2">
        <v>0</v>
      </c>
      <c r="P478" s="2">
        <v>0</v>
      </c>
      <c r="Q478" s="2">
        <v>0</v>
      </c>
      <c r="R478" s="2">
        <v>0</v>
      </c>
      <c r="S478" s="2" t="s">
        <v>488</v>
      </c>
      <c r="T478" s="2" t="s">
        <v>488</v>
      </c>
      <c r="U478" s="2">
        <v>0</v>
      </c>
      <c r="V478" s="2">
        <v>0</v>
      </c>
      <c r="W478">
        <f t="shared" si="7"/>
        <v>0</v>
      </c>
    </row>
    <row r="479" spans="1:23" x14ac:dyDescent="0.25">
      <c r="A479" s="255" t="s">
        <v>628</v>
      </c>
      <c r="B479" s="255" t="s">
        <v>915</v>
      </c>
      <c r="C479" s="255"/>
      <c r="D479" s="255"/>
      <c r="E479" s="255" t="s">
        <v>45</v>
      </c>
      <c r="F479" s="255"/>
      <c r="G479" s="255"/>
      <c r="H479" s="255">
        <v>0</v>
      </c>
      <c r="I479" s="255">
        <v>2</v>
      </c>
      <c r="J479" s="255">
        <v>0</v>
      </c>
      <c r="K479" s="255">
        <v>0</v>
      </c>
      <c r="L479" s="255">
        <v>0</v>
      </c>
      <c r="M479" s="255">
        <v>2</v>
      </c>
      <c r="N479" s="255">
        <v>2</v>
      </c>
      <c r="O479" s="255">
        <v>0</v>
      </c>
      <c r="P479" s="255">
        <v>0</v>
      </c>
      <c r="Q479" s="255">
        <v>0</v>
      </c>
      <c r="R479" s="255">
        <v>0</v>
      </c>
      <c r="S479" s="255" t="s">
        <v>488</v>
      </c>
      <c r="T479" s="255" t="s">
        <v>488</v>
      </c>
      <c r="U479" s="255">
        <v>0</v>
      </c>
      <c r="V479" s="255">
        <v>0</v>
      </c>
      <c r="W479">
        <f t="shared" si="7"/>
        <v>2</v>
      </c>
    </row>
    <row r="480" spans="1:23" x14ac:dyDescent="0.25">
      <c r="A480" s="2" t="s">
        <v>628</v>
      </c>
      <c r="B480" s="2" t="s">
        <v>915</v>
      </c>
      <c r="C480" s="2">
        <v>540107</v>
      </c>
      <c r="D480" s="2" t="s">
        <v>735</v>
      </c>
      <c r="E480" s="2" t="s">
        <v>47</v>
      </c>
      <c r="F480" s="2" t="s">
        <v>5</v>
      </c>
      <c r="G480" s="2">
        <v>10</v>
      </c>
      <c r="H480" s="2">
        <v>0</v>
      </c>
      <c r="I480" s="2">
        <v>0</v>
      </c>
      <c r="J480" s="2">
        <v>0</v>
      </c>
      <c r="K480" s="2">
        <v>0</v>
      </c>
      <c r="L480" s="2">
        <v>0</v>
      </c>
      <c r="M480" s="2">
        <v>0</v>
      </c>
      <c r="N480" s="2">
        <v>0</v>
      </c>
      <c r="O480" s="2">
        <v>0</v>
      </c>
      <c r="P480" s="2">
        <v>0</v>
      </c>
      <c r="Q480" s="2" t="s">
        <v>488</v>
      </c>
      <c r="R480" s="2" t="s">
        <v>488</v>
      </c>
      <c r="S480" s="2" t="s">
        <v>488</v>
      </c>
      <c r="T480" s="2" t="s">
        <v>488</v>
      </c>
      <c r="U480" s="2">
        <v>0</v>
      </c>
      <c r="V480" s="2">
        <v>0</v>
      </c>
      <c r="W480">
        <f t="shared" si="7"/>
        <v>0</v>
      </c>
    </row>
    <row r="481" spans="1:23" x14ac:dyDescent="0.25">
      <c r="A481" s="2" t="s">
        <v>628</v>
      </c>
      <c r="B481" s="2" t="s">
        <v>915</v>
      </c>
      <c r="C481" s="2">
        <v>540108</v>
      </c>
      <c r="D481" s="2" t="s">
        <v>736</v>
      </c>
      <c r="E481" s="2" t="s">
        <v>47</v>
      </c>
      <c r="F481" s="2" t="s">
        <v>115</v>
      </c>
      <c r="G481" s="2">
        <v>10</v>
      </c>
      <c r="H481" s="2">
        <v>0</v>
      </c>
      <c r="I481" s="2">
        <v>0</v>
      </c>
      <c r="J481" s="2">
        <v>0</v>
      </c>
      <c r="K481" s="2">
        <v>0</v>
      </c>
      <c r="L481" s="2">
        <v>0</v>
      </c>
      <c r="M481" s="2">
        <v>0</v>
      </c>
      <c r="N481" s="2">
        <v>0</v>
      </c>
      <c r="O481" s="2">
        <v>0</v>
      </c>
      <c r="P481" s="2">
        <v>0</v>
      </c>
      <c r="Q481" s="2" t="s">
        <v>488</v>
      </c>
      <c r="R481" s="2" t="s">
        <v>488</v>
      </c>
      <c r="S481" s="2" t="s">
        <v>488</v>
      </c>
      <c r="T481" s="2" t="s">
        <v>488</v>
      </c>
      <c r="U481" s="2">
        <v>0</v>
      </c>
      <c r="V481" s="2">
        <v>0</v>
      </c>
      <c r="W481">
        <f t="shared" si="7"/>
        <v>0</v>
      </c>
    </row>
    <row r="482" spans="1:23" x14ac:dyDescent="0.25">
      <c r="A482" s="2" t="s">
        <v>628</v>
      </c>
      <c r="B482" s="2" t="s">
        <v>915</v>
      </c>
      <c r="C482" s="2">
        <v>540109</v>
      </c>
      <c r="D482" s="2" t="s">
        <v>737</v>
      </c>
      <c r="E482" s="2" t="s">
        <v>47</v>
      </c>
      <c r="F482" s="2" t="s">
        <v>115</v>
      </c>
      <c r="G482" s="2">
        <v>10</v>
      </c>
      <c r="H482" s="2">
        <v>0</v>
      </c>
      <c r="I482" s="2">
        <v>0</v>
      </c>
      <c r="J482" s="2">
        <v>0</v>
      </c>
      <c r="K482" s="2">
        <v>0</v>
      </c>
      <c r="L482" s="2">
        <v>0</v>
      </c>
      <c r="M482" s="2">
        <v>0</v>
      </c>
      <c r="N482" s="2">
        <v>0</v>
      </c>
      <c r="O482" s="2">
        <v>0</v>
      </c>
      <c r="P482" s="2">
        <v>0</v>
      </c>
      <c r="Q482" s="2" t="s">
        <v>488</v>
      </c>
      <c r="R482" s="2" t="s">
        <v>488</v>
      </c>
      <c r="S482" s="2" t="s">
        <v>488</v>
      </c>
      <c r="T482" s="2" t="s">
        <v>488</v>
      </c>
      <c r="U482" s="2">
        <v>0</v>
      </c>
      <c r="V482" s="2">
        <v>0</v>
      </c>
      <c r="W482">
        <f t="shared" si="7"/>
        <v>0</v>
      </c>
    </row>
    <row r="483" spans="1:23" x14ac:dyDescent="0.25">
      <c r="A483" s="2" t="s">
        <v>628</v>
      </c>
      <c r="B483" s="2" t="s">
        <v>915</v>
      </c>
      <c r="C483" s="2">
        <v>540110</v>
      </c>
      <c r="D483" s="2" t="s">
        <v>738</v>
      </c>
      <c r="E483" s="2" t="s">
        <v>47</v>
      </c>
      <c r="F483" s="2" t="s">
        <v>115</v>
      </c>
      <c r="G483" s="2">
        <v>10</v>
      </c>
      <c r="H483" s="2">
        <v>0</v>
      </c>
      <c r="I483" s="2">
        <v>0</v>
      </c>
      <c r="J483" s="2">
        <v>0</v>
      </c>
      <c r="K483" s="2">
        <v>0</v>
      </c>
      <c r="L483" s="2">
        <v>0</v>
      </c>
      <c r="M483" s="2">
        <v>0</v>
      </c>
      <c r="N483" s="2">
        <v>0</v>
      </c>
      <c r="O483" s="2">
        <v>0</v>
      </c>
      <c r="P483" s="2">
        <v>0</v>
      </c>
      <c r="Q483" s="2" t="s">
        <v>488</v>
      </c>
      <c r="R483" s="2" t="s">
        <v>488</v>
      </c>
      <c r="S483" s="2" t="s">
        <v>488</v>
      </c>
      <c r="T483" s="2" t="s">
        <v>488</v>
      </c>
      <c r="U483" s="2">
        <v>0</v>
      </c>
      <c r="V483" s="2">
        <v>0</v>
      </c>
      <c r="W483">
        <f t="shared" si="7"/>
        <v>0</v>
      </c>
    </row>
    <row r="484" spans="1:23" x14ac:dyDescent="0.25">
      <c r="A484" s="2" t="s">
        <v>628</v>
      </c>
      <c r="B484" s="2" t="s">
        <v>915</v>
      </c>
      <c r="C484" s="2">
        <v>540111</v>
      </c>
      <c r="D484" s="2" t="s">
        <v>739</v>
      </c>
      <c r="E484" s="2" t="s">
        <v>47</v>
      </c>
      <c r="F484" s="2" t="s">
        <v>115</v>
      </c>
      <c r="G484" s="2">
        <v>10</v>
      </c>
      <c r="H484" s="2">
        <v>0</v>
      </c>
      <c r="I484" s="2">
        <v>0</v>
      </c>
      <c r="J484" s="2">
        <v>0</v>
      </c>
      <c r="K484" s="2">
        <v>0</v>
      </c>
      <c r="L484" s="2">
        <v>0</v>
      </c>
      <c r="M484" s="2">
        <v>0</v>
      </c>
      <c r="N484" s="2">
        <v>0</v>
      </c>
      <c r="O484" s="2">
        <v>0</v>
      </c>
      <c r="P484" s="2">
        <v>0</v>
      </c>
      <c r="Q484" s="2" t="s">
        <v>488</v>
      </c>
      <c r="R484" s="2" t="s">
        <v>488</v>
      </c>
      <c r="S484" s="2" t="s">
        <v>488</v>
      </c>
      <c r="T484" s="2" t="s">
        <v>488</v>
      </c>
      <c r="U484" s="2">
        <v>0</v>
      </c>
      <c r="V484" s="2">
        <v>0</v>
      </c>
      <c r="W484">
        <f t="shared" si="7"/>
        <v>0</v>
      </c>
    </row>
    <row r="485" spans="1:23" x14ac:dyDescent="0.25">
      <c r="A485" s="2" t="s">
        <v>628</v>
      </c>
      <c r="B485" s="2" t="s">
        <v>915</v>
      </c>
      <c r="C485" s="2">
        <v>540287</v>
      </c>
      <c r="D485" s="2" t="s">
        <v>740</v>
      </c>
      <c r="E485" s="2" t="s">
        <v>47</v>
      </c>
      <c r="F485" s="2" t="s">
        <v>115</v>
      </c>
      <c r="G485" s="2">
        <v>10</v>
      </c>
      <c r="H485" s="2">
        <v>0</v>
      </c>
      <c r="I485" s="2">
        <v>1</v>
      </c>
      <c r="J485" s="2">
        <v>0</v>
      </c>
      <c r="K485" s="2">
        <v>0</v>
      </c>
      <c r="L485" s="2">
        <v>0</v>
      </c>
      <c r="M485" s="2">
        <v>1</v>
      </c>
      <c r="N485" s="2">
        <v>1</v>
      </c>
      <c r="O485" s="2">
        <v>0</v>
      </c>
      <c r="P485" s="2">
        <v>0</v>
      </c>
      <c r="Q485" s="2" t="s">
        <v>488</v>
      </c>
      <c r="R485" s="2" t="s">
        <v>488</v>
      </c>
      <c r="S485" s="2" t="s">
        <v>488</v>
      </c>
      <c r="T485" s="2" t="s">
        <v>488</v>
      </c>
      <c r="U485" s="2">
        <v>0</v>
      </c>
      <c r="V485" s="2">
        <v>0</v>
      </c>
      <c r="W485">
        <f t="shared" si="7"/>
        <v>1</v>
      </c>
    </row>
    <row r="486" spans="1:23" x14ac:dyDescent="0.25">
      <c r="A486" s="2" t="s">
        <v>628</v>
      </c>
      <c r="B486" s="2" t="s">
        <v>915</v>
      </c>
      <c r="C486" s="2">
        <v>540152</v>
      </c>
      <c r="D486" s="2" t="s">
        <v>741</v>
      </c>
      <c r="E486" s="2" t="s">
        <v>47</v>
      </c>
      <c r="F486" s="2" t="s">
        <v>115</v>
      </c>
      <c r="G486" s="2">
        <v>10</v>
      </c>
      <c r="H486" s="2">
        <v>0</v>
      </c>
      <c r="I486" s="2">
        <v>0</v>
      </c>
      <c r="J486" s="2">
        <v>0</v>
      </c>
      <c r="K486" s="2">
        <v>0</v>
      </c>
      <c r="L486" s="2">
        <v>0</v>
      </c>
      <c r="M486" s="2">
        <v>0</v>
      </c>
      <c r="N486" s="2">
        <v>0</v>
      </c>
      <c r="O486" s="2">
        <v>0</v>
      </c>
      <c r="P486" s="2">
        <v>0</v>
      </c>
      <c r="Q486" s="2" t="s">
        <v>488</v>
      </c>
      <c r="R486" s="2" t="s">
        <v>488</v>
      </c>
      <c r="S486" s="2" t="s">
        <v>488</v>
      </c>
      <c r="T486" s="2" t="s">
        <v>488</v>
      </c>
      <c r="U486" s="2">
        <v>0</v>
      </c>
      <c r="V486" s="2">
        <v>0</v>
      </c>
      <c r="W486">
        <f t="shared" si="7"/>
        <v>0</v>
      </c>
    </row>
    <row r="487" spans="1:23" x14ac:dyDescent="0.25">
      <c r="A487" s="255" t="s">
        <v>628</v>
      </c>
      <c r="B487" s="255" t="s">
        <v>915</v>
      </c>
      <c r="C487" s="255"/>
      <c r="D487" s="255"/>
      <c r="E487" s="255" t="s">
        <v>47</v>
      </c>
      <c r="F487" s="255"/>
      <c r="G487" s="255"/>
      <c r="H487" s="255">
        <v>0</v>
      </c>
      <c r="I487" s="255">
        <v>1</v>
      </c>
      <c r="J487" s="255">
        <v>0</v>
      </c>
      <c r="K487" s="255">
        <v>0</v>
      </c>
      <c r="L487" s="255">
        <v>0</v>
      </c>
      <c r="M487" s="255">
        <v>1</v>
      </c>
      <c r="N487" s="255">
        <v>1</v>
      </c>
      <c r="O487" s="255">
        <v>0</v>
      </c>
      <c r="P487" s="255">
        <v>0</v>
      </c>
      <c r="Q487" s="255" t="s">
        <v>488</v>
      </c>
      <c r="R487" s="255" t="s">
        <v>488</v>
      </c>
      <c r="S487" s="255" t="s">
        <v>488</v>
      </c>
      <c r="T487" s="255" t="s">
        <v>488</v>
      </c>
      <c r="U487" s="255">
        <v>0</v>
      </c>
      <c r="V487" s="255">
        <v>0</v>
      </c>
      <c r="W487">
        <f t="shared" si="7"/>
        <v>1</v>
      </c>
    </row>
    <row r="488" spans="1:23" x14ac:dyDescent="0.25">
      <c r="A488" s="2" t="s">
        <v>628</v>
      </c>
      <c r="B488" s="2" t="s">
        <v>915</v>
      </c>
      <c r="C488" s="2">
        <v>540112</v>
      </c>
      <c r="D488" s="2" t="s">
        <v>742</v>
      </c>
      <c r="E488" s="2" t="s">
        <v>49</v>
      </c>
      <c r="F488" s="2" t="s">
        <v>5</v>
      </c>
      <c r="G488" s="2">
        <v>2</v>
      </c>
      <c r="H488" s="2">
        <v>0</v>
      </c>
      <c r="I488" s="2">
        <v>0</v>
      </c>
      <c r="J488" s="2">
        <v>0</v>
      </c>
      <c r="K488" s="2">
        <v>0</v>
      </c>
      <c r="L488" s="2">
        <v>0</v>
      </c>
      <c r="M488" s="2">
        <v>0</v>
      </c>
      <c r="N488" s="2">
        <v>0</v>
      </c>
      <c r="O488" s="2">
        <v>0</v>
      </c>
      <c r="P488" s="2">
        <v>0</v>
      </c>
      <c r="Q488" s="2" t="s">
        <v>488</v>
      </c>
      <c r="R488" s="2" t="s">
        <v>488</v>
      </c>
      <c r="S488" s="2" t="s">
        <v>488</v>
      </c>
      <c r="T488" s="2" t="s">
        <v>488</v>
      </c>
      <c r="U488" s="2">
        <v>0</v>
      </c>
      <c r="V488" s="2">
        <v>0</v>
      </c>
      <c r="W488">
        <f t="shared" si="7"/>
        <v>0</v>
      </c>
    </row>
    <row r="489" spans="1:23" x14ac:dyDescent="0.25">
      <c r="A489" s="2" t="s">
        <v>628</v>
      </c>
      <c r="B489" s="2" t="s">
        <v>915</v>
      </c>
      <c r="C489" s="2">
        <v>540113</v>
      </c>
      <c r="D489" s="2" t="s">
        <v>743</v>
      </c>
      <c r="E489" s="2" t="s">
        <v>49</v>
      </c>
      <c r="F489" s="2" t="s">
        <v>115</v>
      </c>
      <c r="G489" s="2">
        <v>2</v>
      </c>
      <c r="H489" s="2">
        <v>0</v>
      </c>
      <c r="I489" s="2">
        <v>0</v>
      </c>
      <c r="J489" s="2">
        <v>0</v>
      </c>
      <c r="K489" s="2">
        <v>0</v>
      </c>
      <c r="L489" s="2">
        <v>0</v>
      </c>
      <c r="M489" s="2">
        <v>0</v>
      </c>
      <c r="N489" s="2">
        <v>0</v>
      </c>
      <c r="O489" s="2">
        <v>0</v>
      </c>
      <c r="P489" s="2">
        <v>0</v>
      </c>
      <c r="Q489" s="2" t="s">
        <v>488</v>
      </c>
      <c r="R489" s="2" t="s">
        <v>488</v>
      </c>
      <c r="S489" s="2" t="s">
        <v>488</v>
      </c>
      <c r="T489" s="2" t="s">
        <v>488</v>
      </c>
      <c r="U489" s="2">
        <v>0</v>
      </c>
      <c r="V489" s="2">
        <v>0</v>
      </c>
      <c r="W489">
        <f t="shared" si="7"/>
        <v>0</v>
      </c>
    </row>
    <row r="490" spans="1:23" x14ac:dyDescent="0.25">
      <c r="A490" s="2" t="s">
        <v>628</v>
      </c>
      <c r="B490" s="2" t="s">
        <v>915</v>
      </c>
      <c r="C490" s="2">
        <v>540247</v>
      </c>
      <c r="D490" s="2" t="s">
        <v>744</v>
      </c>
      <c r="E490" s="2" t="s">
        <v>49</v>
      </c>
      <c r="F490" s="2" t="s">
        <v>115</v>
      </c>
      <c r="G490" s="2">
        <v>2</v>
      </c>
      <c r="H490" s="2">
        <v>0</v>
      </c>
      <c r="I490" s="2">
        <v>0</v>
      </c>
      <c r="J490" s="2">
        <v>0</v>
      </c>
      <c r="K490" s="2">
        <v>0</v>
      </c>
      <c r="L490" s="2">
        <v>0</v>
      </c>
      <c r="M490" s="2">
        <v>0</v>
      </c>
      <c r="N490" s="2">
        <v>0</v>
      </c>
      <c r="O490" s="2">
        <v>0</v>
      </c>
      <c r="P490" s="2">
        <v>0</v>
      </c>
      <c r="Q490" s="2" t="s">
        <v>488</v>
      </c>
      <c r="R490" s="2" t="s">
        <v>488</v>
      </c>
      <c r="S490" s="2" t="s">
        <v>488</v>
      </c>
      <c r="T490" s="2" t="s">
        <v>488</v>
      </c>
      <c r="U490" s="2">
        <v>0</v>
      </c>
      <c r="V490" s="2">
        <v>0</v>
      </c>
      <c r="W490">
        <f t="shared" si="7"/>
        <v>0</v>
      </c>
    </row>
    <row r="491" spans="1:23" x14ac:dyDescent="0.25">
      <c r="A491" s="2" t="s">
        <v>628</v>
      </c>
      <c r="B491" s="2" t="s">
        <v>915</v>
      </c>
      <c r="C491" s="2">
        <v>540248</v>
      </c>
      <c r="D491" s="2" t="s">
        <v>745</v>
      </c>
      <c r="E491" s="2" t="s">
        <v>49</v>
      </c>
      <c r="F491" s="2" t="s">
        <v>115</v>
      </c>
      <c r="G491" s="2">
        <v>2</v>
      </c>
      <c r="H491" s="2">
        <v>0</v>
      </c>
      <c r="I491" s="2">
        <v>0</v>
      </c>
      <c r="J491" s="2">
        <v>0</v>
      </c>
      <c r="K491" s="2">
        <v>0</v>
      </c>
      <c r="L491" s="2">
        <v>0</v>
      </c>
      <c r="M491" s="2">
        <v>0</v>
      </c>
      <c r="N491" s="2">
        <v>0</v>
      </c>
      <c r="O491" s="2">
        <v>0</v>
      </c>
      <c r="P491" s="2">
        <v>0</v>
      </c>
      <c r="Q491" s="2" t="s">
        <v>488</v>
      </c>
      <c r="R491" s="2" t="s">
        <v>488</v>
      </c>
      <c r="S491" s="2" t="s">
        <v>488</v>
      </c>
      <c r="T491" s="2" t="s">
        <v>488</v>
      </c>
      <c r="U491" s="2">
        <v>0</v>
      </c>
      <c r="V491" s="2">
        <v>0</v>
      </c>
      <c r="W491">
        <f t="shared" si="7"/>
        <v>0</v>
      </c>
    </row>
    <row r="492" spans="1:23" x14ac:dyDescent="0.25">
      <c r="A492" s="2" t="s">
        <v>628</v>
      </c>
      <c r="B492" s="2" t="s">
        <v>915</v>
      </c>
      <c r="C492" s="2">
        <v>540249</v>
      </c>
      <c r="D492" s="2" t="s">
        <v>746</v>
      </c>
      <c r="E492" s="2" t="s">
        <v>49</v>
      </c>
      <c r="F492" s="2" t="s">
        <v>115</v>
      </c>
      <c r="G492" s="2">
        <v>2</v>
      </c>
      <c r="H492" s="2">
        <v>0</v>
      </c>
      <c r="I492" s="2">
        <v>0</v>
      </c>
      <c r="J492" s="2">
        <v>0</v>
      </c>
      <c r="K492" s="2">
        <v>0</v>
      </c>
      <c r="L492" s="2">
        <v>0</v>
      </c>
      <c r="M492" s="2">
        <v>0</v>
      </c>
      <c r="N492" s="2">
        <v>0</v>
      </c>
      <c r="O492" s="2">
        <v>0</v>
      </c>
      <c r="P492" s="2">
        <v>0</v>
      </c>
      <c r="Q492" s="2" t="s">
        <v>488</v>
      </c>
      <c r="R492" s="2" t="s">
        <v>488</v>
      </c>
      <c r="S492" s="2" t="s">
        <v>488</v>
      </c>
      <c r="T492" s="2" t="s">
        <v>488</v>
      </c>
      <c r="U492" s="2">
        <v>0</v>
      </c>
      <c r="V492" s="2">
        <v>0</v>
      </c>
      <c r="W492">
        <f t="shared" si="7"/>
        <v>0</v>
      </c>
    </row>
    <row r="493" spans="1:23" x14ac:dyDescent="0.25">
      <c r="A493" s="2" t="s">
        <v>628</v>
      </c>
      <c r="B493" s="2" t="s">
        <v>915</v>
      </c>
      <c r="C493" s="2">
        <v>540250</v>
      </c>
      <c r="D493" s="2" t="s">
        <v>747</v>
      </c>
      <c r="E493" s="2" t="s">
        <v>49</v>
      </c>
      <c r="F493" s="2" t="s">
        <v>115</v>
      </c>
      <c r="G493" s="2">
        <v>2</v>
      </c>
      <c r="H493" s="2">
        <v>0</v>
      </c>
      <c r="I493" s="2">
        <v>0</v>
      </c>
      <c r="J493" s="2">
        <v>0</v>
      </c>
      <c r="K493" s="2">
        <v>0</v>
      </c>
      <c r="L493" s="2">
        <v>0</v>
      </c>
      <c r="M493" s="2">
        <v>0</v>
      </c>
      <c r="N493" s="2">
        <v>0</v>
      </c>
      <c r="O493" s="2">
        <v>0</v>
      </c>
      <c r="P493" s="2">
        <v>0</v>
      </c>
      <c r="Q493" s="2" t="s">
        <v>488</v>
      </c>
      <c r="R493" s="2" t="s">
        <v>488</v>
      </c>
      <c r="S493" s="2" t="s">
        <v>488</v>
      </c>
      <c r="T493" s="2" t="s">
        <v>488</v>
      </c>
      <c r="U493" s="2">
        <v>0</v>
      </c>
      <c r="V493" s="2">
        <v>0</v>
      </c>
      <c r="W493">
        <f t="shared" si="7"/>
        <v>0</v>
      </c>
    </row>
    <row r="494" spans="1:23" x14ac:dyDescent="0.25">
      <c r="A494" s="2" t="s">
        <v>628</v>
      </c>
      <c r="B494" s="2" t="s">
        <v>915</v>
      </c>
      <c r="C494" s="2">
        <v>540251</v>
      </c>
      <c r="D494" s="2" t="s">
        <v>748</v>
      </c>
      <c r="E494" s="2" t="s">
        <v>49</v>
      </c>
      <c r="F494" s="2" t="s">
        <v>115</v>
      </c>
      <c r="G494" s="2">
        <v>2</v>
      </c>
      <c r="H494" s="2">
        <v>0</v>
      </c>
      <c r="I494" s="2">
        <v>0</v>
      </c>
      <c r="J494" s="2">
        <v>0</v>
      </c>
      <c r="K494" s="2">
        <v>0</v>
      </c>
      <c r="L494" s="2">
        <v>0</v>
      </c>
      <c r="M494" s="2">
        <v>0</v>
      </c>
      <c r="N494" s="2">
        <v>0</v>
      </c>
      <c r="O494" s="2">
        <v>0</v>
      </c>
      <c r="P494" s="2">
        <v>0</v>
      </c>
      <c r="Q494" s="2" t="s">
        <v>488</v>
      </c>
      <c r="R494" s="2" t="s">
        <v>488</v>
      </c>
      <c r="S494" s="2" t="s">
        <v>488</v>
      </c>
      <c r="T494" s="2" t="s">
        <v>488</v>
      </c>
      <c r="U494" s="2">
        <v>0</v>
      </c>
      <c r="V494" s="2">
        <v>0</v>
      </c>
      <c r="W494">
        <f t="shared" si="7"/>
        <v>0</v>
      </c>
    </row>
    <row r="495" spans="1:23" x14ac:dyDescent="0.25">
      <c r="A495" s="255" t="s">
        <v>628</v>
      </c>
      <c r="B495" s="255" t="s">
        <v>915</v>
      </c>
      <c r="C495" s="255"/>
      <c r="D495" s="255"/>
      <c r="E495" s="255" t="s">
        <v>49</v>
      </c>
      <c r="F495" s="255"/>
      <c r="G495" s="255"/>
      <c r="H495" s="255">
        <v>0</v>
      </c>
      <c r="I495" s="255">
        <v>0</v>
      </c>
      <c r="J495" s="255">
        <v>0</v>
      </c>
      <c r="K495" s="255">
        <v>0</v>
      </c>
      <c r="L495" s="255">
        <v>0</v>
      </c>
      <c r="M495" s="255">
        <v>0</v>
      </c>
      <c r="N495" s="255">
        <v>0</v>
      </c>
      <c r="O495" s="255">
        <v>0</v>
      </c>
      <c r="P495" s="255">
        <v>0</v>
      </c>
      <c r="Q495" s="255" t="s">
        <v>488</v>
      </c>
      <c r="R495" s="255" t="s">
        <v>488</v>
      </c>
      <c r="S495" s="255" t="s">
        <v>488</v>
      </c>
      <c r="T495" s="255" t="s">
        <v>488</v>
      </c>
      <c r="U495" s="255">
        <v>0</v>
      </c>
      <c r="V495" s="255">
        <v>0</v>
      </c>
      <c r="W495">
        <f t="shared" si="7"/>
        <v>0</v>
      </c>
    </row>
    <row r="496" spans="1:23" x14ac:dyDescent="0.25">
      <c r="A496" s="2" t="s">
        <v>628</v>
      </c>
      <c r="B496" s="2" t="s">
        <v>915</v>
      </c>
      <c r="C496" s="2">
        <v>540114</v>
      </c>
      <c r="D496" s="2" t="s">
        <v>749</v>
      </c>
      <c r="E496" s="2" t="s">
        <v>51</v>
      </c>
      <c r="F496" s="2" t="s">
        <v>5</v>
      </c>
      <c r="G496" s="2">
        <v>1</v>
      </c>
      <c r="H496" s="2">
        <v>0</v>
      </c>
      <c r="I496" s="2">
        <v>0</v>
      </c>
      <c r="J496" s="2">
        <v>0</v>
      </c>
      <c r="K496" s="2">
        <v>0</v>
      </c>
      <c r="L496" s="2">
        <v>0</v>
      </c>
      <c r="M496" s="2">
        <v>0</v>
      </c>
      <c r="N496" s="2">
        <v>0</v>
      </c>
      <c r="O496" s="2">
        <v>0</v>
      </c>
      <c r="P496" s="2">
        <v>0</v>
      </c>
      <c r="Q496" s="2">
        <v>0</v>
      </c>
      <c r="R496" s="2">
        <v>0</v>
      </c>
      <c r="S496" s="2">
        <v>0</v>
      </c>
      <c r="T496" s="2">
        <v>1</v>
      </c>
      <c r="U496" s="2">
        <v>2</v>
      </c>
      <c r="V496" s="2">
        <v>0</v>
      </c>
      <c r="W496">
        <f t="shared" si="7"/>
        <v>3</v>
      </c>
    </row>
    <row r="497" spans="1:23" x14ac:dyDescent="0.25">
      <c r="A497" s="2" t="s">
        <v>628</v>
      </c>
      <c r="B497" s="2" t="s">
        <v>915</v>
      </c>
      <c r="C497" s="2">
        <v>540115</v>
      </c>
      <c r="D497" s="2" t="s">
        <v>750</v>
      </c>
      <c r="E497" s="2" t="s">
        <v>51</v>
      </c>
      <c r="F497" s="2" t="s">
        <v>115</v>
      </c>
      <c r="G497" s="2">
        <v>1</v>
      </c>
      <c r="H497" s="2">
        <v>0</v>
      </c>
      <c r="I497" s="2">
        <v>0</v>
      </c>
      <c r="J497" s="2">
        <v>0</v>
      </c>
      <c r="K497" s="2">
        <v>0</v>
      </c>
      <c r="L497" s="2">
        <v>0</v>
      </c>
      <c r="M497" s="2">
        <v>0</v>
      </c>
      <c r="N497" s="2">
        <v>0</v>
      </c>
      <c r="O497" s="2">
        <v>0</v>
      </c>
      <c r="P497" s="2">
        <v>0</v>
      </c>
      <c r="Q497" s="2">
        <v>0</v>
      </c>
      <c r="R497" s="2">
        <v>0</v>
      </c>
      <c r="S497" s="2">
        <v>0</v>
      </c>
      <c r="T497" s="2">
        <v>0</v>
      </c>
      <c r="U497" s="2">
        <v>0</v>
      </c>
      <c r="V497" s="2">
        <v>0</v>
      </c>
      <c r="W497">
        <f t="shared" si="7"/>
        <v>0</v>
      </c>
    </row>
    <row r="498" spans="1:23" x14ac:dyDescent="0.25">
      <c r="A498" s="2" t="s">
        <v>628</v>
      </c>
      <c r="B498" s="2" t="s">
        <v>915</v>
      </c>
      <c r="C498" s="2">
        <v>540116</v>
      </c>
      <c r="D498" s="2" t="s">
        <v>751</v>
      </c>
      <c r="E498" s="2" t="s">
        <v>51</v>
      </c>
      <c r="F498" s="2" t="s">
        <v>115</v>
      </c>
      <c r="G498" s="2">
        <v>1</v>
      </c>
      <c r="H498" s="2">
        <v>0</v>
      </c>
      <c r="I498" s="2">
        <v>0</v>
      </c>
      <c r="J498" s="2">
        <v>0</v>
      </c>
      <c r="K498" s="2">
        <v>0</v>
      </c>
      <c r="L498" s="2">
        <v>0</v>
      </c>
      <c r="M498" s="2">
        <v>0</v>
      </c>
      <c r="N498" s="2">
        <v>0</v>
      </c>
      <c r="O498" s="2">
        <v>0</v>
      </c>
      <c r="P498" s="2">
        <v>0</v>
      </c>
      <c r="Q498" s="2">
        <v>0</v>
      </c>
      <c r="R498" s="2">
        <v>0</v>
      </c>
      <c r="S498" s="2">
        <v>0</v>
      </c>
      <c r="T498" s="2">
        <v>0</v>
      </c>
      <c r="U498" s="2">
        <v>0</v>
      </c>
      <c r="V498" s="2">
        <v>0</v>
      </c>
      <c r="W498">
        <f t="shared" si="7"/>
        <v>0</v>
      </c>
    </row>
    <row r="499" spans="1:23" x14ac:dyDescent="0.25">
      <c r="A499" s="2" t="s">
        <v>628</v>
      </c>
      <c r="B499" s="2" t="s">
        <v>915</v>
      </c>
      <c r="C499" s="2">
        <v>540117</v>
      </c>
      <c r="D499" s="2" t="s">
        <v>752</v>
      </c>
      <c r="E499" s="2" t="s">
        <v>51</v>
      </c>
      <c r="F499" s="2" t="s">
        <v>115</v>
      </c>
      <c r="G499" s="2">
        <v>1</v>
      </c>
      <c r="H499" s="2">
        <v>0</v>
      </c>
      <c r="I499" s="2">
        <v>0</v>
      </c>
      <c r="J499" s="2">
        <v>0</v>
      </c>
      <c r="K499" s="2">
        <v>0</v>
      </c>
      <c r="L499" s="2">
        <v>0</v>
      </c>
      <c r="M499" s="2">
        <v>0</v>
      </c>
      <c r="N499" s="2">
        <v>0</v>
      </c>
      <c r="O499" s="2">
        <v>0</v>
      </c>
      <c r="P499" s="2">
        <v>0</v>
      </c>
      <c r="Q499" s="2">
        <v>0</v>
      </c>
      <c r="R499" s="2">
        <v>0</v>
      </c>
      <c r="S499" s="2">
        <v>0</v>
      </c>
      <c r="T499" s="2">
        <v>0</v>
      </c>
      <c r="U499" s="2">
        <v>0</v>
      </c>
      <c r="V499" s="2">
        <v>0</v>
      </c>
      <c r="W499">
        <f t="shared" si="7"/>
        <v>0</v>
      </c>
    </row>
    <row r="500" spans="1:23" x14ac:dyDescent="0.25">
      <c r="A500" s="2" t="s">
        <v>628</v>
      </c>
      <c r="B500" s="2" t="s">
        <v>915</v>
      </c>
      <c r="C500" s="2">
        <v>540118</v>
      </c>
      <c r="D500" s="2" t="s">
        <v>753</v>
      </c>
      <c r="E500" s="2" t="s">
        <v>51</v>
      </c>
      <c r="F500" s="2" t="s">
        <v>115</v>
      </c>
      <c r="G500" s="2">
        <v>1</v>
      </c>
      <c r="H500" s="2">
        <v>0</v>
      </c>
      <c r="I500" s="2">
        <v>1</v>
      </c>
      <c r="J500" s="2">
        <v>0</v>
      </c>
      <c r="K500" s="2">
        <v>0</v>
      </c>
      <c r="L500" s="2">
        <v>0</v>
      </c>
      <c r="M500" s="2">
        <v>1</v>
      </c>
      <c r="N500" s="2">
        <v>1</v>
      </c>
      <c r="O500" s="2">
        <v>0</v>
      </c>
      <c r="P500" s="2">
        <v>0</v>
      </c>
      <c r="Q500" s="2">
        <v>0</v>
      </c>
      <c r="R500" s="2">
        <v>0</v>
      </c>
      <c r="S500" s="2">
        <v>0</v>
      </c>
      <c r="T500" s="2">
        <v>0</v>
      </c>
      <c r="U500" s="2">
        <v>0</v>
      </c>
      <c r="V500" s="2">
        <v>0</v>
      </c>
      <c r="W500">
        <f t="shared" si="7"/>
        <v>1</v>
      </c>
    </row>
    <row r="501" spans="1:23" x14ac:dyDescent="0.25">
      <c r="A501" s="2" t="s">
        <v>628</v>
      </c>
      <c r="B501" s="2" t="s">
        <v>915</v>
      </c>
      <c r="C501" s="2">
        <v>540119</v>
      </c>
      <c r="D501" s="2" t="s">
        <v>754</v>
      </c>
      <c r="E501" s="2" t="s">
        <v>51</v>
      </c>
      <c r="F501" s="2" t="s">
        <v>115</v>
      </c>
      <c r="G501" s="2">
        <v>1</v>
      </c>
      <c r="H501" s="2">
        <v>0</v>
      </c>
      <c r="I501" s="2">
        <v>0</v>
      </c>
      <c r="J501" s="2">
        <v>0</v>
      </c>
      <c r="K501" s="2">
        <v>0</v>
      </c>
      <c r="L501" s="2">
        <v>0</v>
      </c>
      <c r="M501" s="2">
        <v>0</v>
      </c>
      <c r="N501" s="2">
        <v>0</v>
      </c>
      <c r="O501" s="2">
        <v>0</v>
      </c>
      <c r="P501" s="2">
        <v>0</v>
      </c>
      <c r="Q501" s="2">
        <v>0</v>
      </c>
      <c r="R501" s="2">
        <v>0</v>
      </c>
      <c r="S501" s="2">
        <v>0</v>
      </c>
      <c r="T501" s="2">
        <v>0</v>
      </c>
      <c r="U501" s="2">
        <v>0</v>
      </c>
      <c r="V501" s="2">
        <v>0</v>
      </c>
      <c r="W501">
        <f t="shared" si="7"/>
        <v>0</v>
      </c>
    </row>
    <row r="502" spans="1:23" x14ac:dyDescent="0.25">
      <c r="A502" s="2" t="s">
        <v>628</v>
      </c>
      <c r="B502" s="2" t="s">
        <v>915</v>
      </c>
      <c r="C502" s="2">
        <v>540120</v>
      </c>
      <c r="D502" s="2" t="s">
        <v>755</v>
      </c>
      <c r="E502" s="2" t="s">
        <v>51</v>
      </c>
      <c r="F502" s="2" t="s">
        <v>115</v>
      </c>
      <c r="G502" s="2">
        <v>1</v>
      </c>
      <c r="H502" s="2">
        <v>0</v>
      </c>
      <c r="I502" s="2">
        <v>0</v>
      </c>
      <c r="J502" s="2">
        <v>0</v>
      </c>
      <c r="K502" s="2">
        <v>0</v>
      </c>
      <c r="L502" s="2">
        <v>0</v>
      </c>
      <c r="M502" s="2">
        <v>0</v>
      </c>
      <c r="N502" s="2">
        <v>0</v>
      </c>
      <c r="O502" s="2">
        <v>0</v>
      </c>
      <c r="P502" s="2">
        <v>0</v>
      </c>
      <c r="Q502" s="2">
        <v>0</v>
      </c>
      <c r="R502" s="2">
        <v>0</v>
      </c>
      <c r="S502" s="2">
        <v>0</v>
      </c>
      <c r="T502" s="2">
        <v>0</v>
      </c>
      <c r="U502" s="2">
        <v>0</v>
      </c>
      <c r="V502" s="2">
        <v>0</v>
      </c>
      <c r="W502">
        <f t="shared" si="7"/>
        <v>0</v>
      </c>
    </row>
    <row r="503" spans="1:23" x14ac:dyDescent="0.25">
      <c r="A503" s="2" t="s">
        <v>628</v>
      </c>
      <c r="B503" s="2" t="s">
        <v>915</v>
      </c>
      <c r="C503" s="2">
        <v>540121</v>
      </c>
      <c r="D503" s="2" t="s">
        <v>756</v>
      </c>
      <c r="E503" s="2" t="s">
        <v>51</v>
      </c>
      <c r="F503" s="2" t="s">
        <v>115</v>
      </c>
      <c r="G503" s="2">
        <v>1</v>
      </c>
      <c r="H503" s="2">
        <v>0</v>
      </c>
      <c r="I503" s="2">
        <v>0</v>
      </c>
      <c r="J503" s="2">
        <v>0</v>
      </c>
      <c r="K503" s="2">
        <v>0</v>
      </c>
      <c r="L503" s="2">
        <v>0</v>
      </c>
      <c r="M503" s="2">
        <v>0</v>
      </c>
      <c r="N503" s="2">
        <v>0</v>
      </c>
      <c r="O503" s="2">
        <v>0</v>
      </c>
      <c r="P503" s="2">
        <v>0</v>
      </c>
      <c r="Q503" s="2">
        <v>0</v>
      </c>
      <c r="R503" s="2">
        <v>0</v>
      </c>
      <c r="S503" s="2">
        <v>0</v>
      </c>
      <c r="T503" s="2">
        <v>0</v>
      </c>
      <c r="U503" s="2">
        <v>0</v>
      </c>
      <c r="V503" s="2">
        <v>0</v>
      </c>
      <c r="W503">
        <f t="shared" si="7"/>
        <v>0</v>
      </c>
    </row>
    <row r="504" spans="1:23" x14ac:dyDescent="0.25">
      <c r="A504" s="2" t="s">
        <v>628</v>
      </c>
      <c r="B504" s="2" t="s">
        <v>915</v>
      </c>
      <c r="C504" s="2">
        <v>540122</v>
      </c>
      <c r="D504" s="2" t="s">
        <v>757</v>
      </c>
      <c r="E504" s="2" t="s">
        <v>51</v>
      </c>
      <c r="F504" s="2" t="s">
        <v>115</v>
      </c>
      <c r="G504" s="2">
        <v>1</v>
      </c>
      <c r="H504" s="2">
        <v>0</v>
      </c>
      <c r="I504" s="2">
        <v>0</v>
      </c>
      <c r="J504" s="2">
        <v>0</v>
      </c>
      <c r="K504" s="2">
        <v>0</v>
      </c>
      <c r="L504" s="2">
        <v>0</v>
      </c>
      <c r="M504" s="2">
        <v>0</v>
      </c>
      <c r="N504" s="2">
        <v>0</v>
      </c>
      <c r="O504" s="2">
        <v>0</v>
      </c>
      <c r="P504" s="2">
        <v>0</v>
      </c>
      <c r="Q504" s="2">
        <v>0</v>
      </c>
      <c r="R504" s="2">
        <v>0</v>
      </c>
      <c r="S504" s="2">
        <v>0</v>
      </c>
      <c r="T504" s="2">
        <v>0</v>
      </c>
      <c r="U504" s="2">
        <v>0</v>
      </c>
      <c r="V504" s="2">
        <v>0</v>
      </c>
      <c r="W504">
        <f t="shared" si="7"/>
        <v>0</v>
      </c>
    </row>
    <row r="505" spans="1:23" x14ac:dyDescent="0.25">
      <c r="A505" s="2" t="s">
        <v>628</v>
      </c>
      <c r="B505" s="2" t="s">
        <v>915</v>
      </c>
      <c r="C505" s="2">
        <v>540123</v>
      </c>
      <c r="D505" s="2" t="s">
        <v>758</v>
      </c>
      <c r="E505" s="2" t="s">
        <v>51</v>
      </c>
      <c r="F505" s="2" t="s">
        <v>115</v>
      </c>
      <c r="G505" s="2">
        <v>1</v>
      </c>
      <c r="H505" s="2">
        <v>0</v>
      </c>
      <c r="I505" s="2">
        <v>0</v>
      </c>
      <c r="J505" s="2">
        <v>0</v>
      </c>
      <c r="K505" s="2">
        <v>0</v>
      </c>
      <c r="L505" s="2">
        <v>0</v>
      </c>
      <c r="M505" s="2">
        <v>0</v>
      </c>
      <c r="N505" s="2">
        <v>0</v>
      </c>
      <c r="O505" s="2">
        <v>0</v>
      </c>
      <c r="P505" s="2">
        <v>0</v>
      </c>
      <c r="Q505" s="2">
        <v>0</v>
      </c>
      <c r="R505" s="2">
        <v>0</v>
      </c>
      <c r="S505" s="2">
        <v>0</v>
      </c>
      <c r="T505" s="2">
        <v>1</v>
      </c>
      <c r="U505" s="2">
        <v>0</v>
      </c>
      <c r="V505" s="2">
        <v>0</v>
      </c>
      <c r="W505">
        <f t="shared" si="7"/>
        <v>1</v>
      </c>
    </row>
    <row r="506" spans="1:23" x14ac:dyDescent="0.25">
      <c r="A506" s="2" t="s">
        <v>628</v>
      </c>
      <c r="B506" s="2" t="s">
        <v>915</v>
      </c>
      <c r="C506" s="2">
        <v>540291</v>
      </c>
      <c r="D506" s="2" t="s">
        <v>759</v>
      </c>
      <c r="E506" s="2" t="s">
        <v>51</v>
      </c>
      <c r="F506" s="2" t="s">
        <v>115</v>
      </c>
      <c r="G506" s="2">
        <v>1</v>
      </c>
      <c r="H506" s="2">
        <v>0</v>
      </c>
      <c r="I506" s="2">
        <v>0</v>
      </c>
      <c r="J506" s="2">
        <v>0</v>
      </c>
      <c r="K506" s="2">
        <v>0</v>
      </c>
      <c r="L506" s="2">
        <v>0</v>
      </c>
      <c r="M506" s="2">
        <v>0</v>
      </c>
      <c r="N506" s="2">
        <v>0</v>
      </c>
      <c r="O506" s="2">
        <v>0</v>
      </c>
      <c r="P506" s="2">
        <v>0</v>
      </c>
      <c r="Q506" s="2">
        <v>0</v>
      </c>
      <c r="R506" s="2">
        <v>0</v>
      </c>
      <c r="S506" s="2">
        <v>0</v>
      </c>
      <c r="T506" s="2">
        <v>0</v>
      </c>
      <c r="U506" s="2">
        <v>0</v>
      </c>
      <c r="V506" s="2">
        <v>0</v>
      </c>
      <c r="W506">
        <f t="shared" si="7"/>
        <v>0</v>
      </c>
    </row>
    <row r="507" spans="1:23" x14ac:dyDescent="0.25">
      <c r="A507" s="255" t="s">
        <v>628</v>
      </c>
      <c r="B507" s="255" t="s">
        <v>915</v>
      </c>
      <c r="C507" s="255"/>
      <c r="D507" s="255"/>
      <c r="E507" s="255" t="s">
        <v>51</v>
      </c>
      <c r="F507" s="255"/>
      <c r="G507" s="255"/>
      <c r="H507" s="255">
        <v>0</v>
      </c>
      <c r="I507" s="255">
        <v>1</v>
      </c>
      <c r="J507" s="255">
        <v>0</v>
      </c>
      <c r="K507" s="255">
        <v>0</v>
      </c>
      <c r="L507" s="255">
        <v>0</v>
      </c>
      <c r="M507" s="255">
        <v>1</v>
      </c>
      <c r="N507" s="255">
        <v>1</v>
      </c>
      <c r="O507" s="255">
        <v>0</v>
      </c>
      <c r="P507" s="255">
        <v>0</v>
      </c>
      <c r="Q507" s="255">
        <v>0</v>
      </c>
      <c r="R507" s="255">
        <v>0</v>
      </c>
      <c r="S507" s="255">
        <v>0</v>
      </c>
      <c r="T507" s="255">
        <v>2</v>
      </c>
      <c r="U507" s="255">
        <v>2</v>
      </c>
      <c r="V507" s="255">
        <v>0</v>
      </c>
      <c r="W507">
        <f t="shared" si="7"/>
        <v>5</v>
      </c>
    </row>
    <row r="508" spans="1:23" x14ac:dyDescent="0.25">
      <c r="A508" s="2" t="s">
        <v>628</v>
      </c>
      <c r="B508" s="2" t="s">
        <v>915</v>
      </c>
      <c r="C508" s="2">
        <v>540124</v>
      </c>
      <c r="D508" s="2" t="s">
        <v>760</v>
      </c>
      <c r="E508" s="2" t="s">
        <v>53</v>
      </c>
      <c r="F508" s="2" t="s">
        <v>5</v>
      </c>
      <c r="G508" s="2">
        <v>1</v>
      </c>
      <c r="H508" s="2">
        <v>0</v>
      </c>
      <c r="I508" s="2">
        <v>0</v>
      </c>
      <c r="J508" s="2">
        <v>1</v>
      </c>
      <c r="K508" s="2">
        <v>0</v>
      </c>
      <c r="L508" s="2">
        <v>0</v>
      </c>
      <c r="M508" s="2">
        <v>1</v>
      </c>
      <c r="N508" s="2">
        <v>1</v>
      </c>
      <c r="O508" s="2">
        <v>0</v>
      </c>
      <c r="P508" s="2">
        <v>0</v>
      </c>
      <c r="Q508" s="2">
        <v>0</v>
      </c>
      <c r="R508" s="2">
        <v>0</v>
      </c>
      <c r="S508" s="2" t="s">
        <v>488</v>
      </c>
      <c r="T508" s="2" t="s">
        <v>488</v>
      </c>
      <c r="U508" s="2">
        <v>1</v>
      </c>
      <c r="V508" s="2">
        <v>0</v>
      </c>
      <c r="W508">
        <f t="shared" si="7"/>
        <v>2</v>
      </c>
    </row>
    <row r="509" spans="1:23" x14ac:dyDescent="0.25">
      <c r="A509" s="2" t="s">
        <v>628</v>
      </c>
      <c r="B509" s="2" t="s">
        <v>915</v>
      </c>
      <c r="C509" s="2">
        <v>540125</v>
      </c>
      <c r="D509" s="2" t="s">
        <v>761</v>
      </c>
      <c r="E509" s="2" t="s">
        <v>53</v>
      </c>
      <c r="F509" s="2" t="s">
        <v>115</v>
      </c>
      <c r="G509" s="2">
        <v>1</v>
      </c>
      <c r="H509" s="2">
        <v>0</v>
      </c>
      <c r="I509" s="2">
        <v>0</v>
      </c>
      <c r="J509" s="2">
        <v>0</v>
      </c>
      <c r="K509" s="2">
        <v>0</v>
      </c>
      <c r="L509" s="2">
        <v>0</v>
      </c>
      <c r="M509" s="2">
        <v>0</v>
      </c>
      <c r="N509" s="2">
        <v>0</v>
      </c>
      <c r="O509" s="2">
        <v>0</v>
      </c>
      <c r="P509" s="2">
        <v>0</v>
      </c>
      <c r="Q509" s="2">
        <v>0</v>
      </c>
      <c r="R509" s="2">
        <v>0</v>
      </c>
      <c r="S509" s="2" t="s">
        <v>488</v>
      </c>
      <c r="T509" s="2" t="s">
        <v>488</v>
      </c>
      <c r="U509" s="2">
        <v>0</v>
      </c>
      <c r="V509" s="2">
        <v>0</v>
      </c>
      <c r="W509">
        <f t="shared" si="7"/>
        <v>0</v>
      </c>
    </row>
    <row r="510" spans="1:23" x14ac:dyDescent="0.25">
      <c r="A510" s="2" t="s">
        <v>628</v>
      </c>
      <c r="B510" s="2" t="s">
        <v>915</v>
      </c>
      <c r="C510" s="2">
        <v>540126</v>
      </c>
      <c r="D510" s="2" t="s">
        <v>762</v>
      </c>
      <c r="E510" s="2" t="s">
        <v>53</v>
      </c>
      <c r="F510" s="2" t="s">
        <v>115</v>
      </c>
      <c r="G510" s="2">
        <v>1</v>
      </c>
      <c r="H510" s="2">
        <v>0</v>
      </c>
      <c r="I510" s="2">
        <v>0</v>
      </c>
      <c r="J510" s="2">
        <v>0</v>
      </c>
      <c r="K510" s="2">
        <v>0</v>
      </c>
      <c r="L510" s="2">
        <v>0</v>
      </c>
      <c r="M510" s="2">
        <v>0</v>
      </c>
      <c r="N510" s="2">
        <v>0</v>
      </c>
      <c r="O510" s="2">
        <v>0</v>
      </c>
      <c r="P510" s="2">
        <v>0</v>
      </c>
      <c r="Q510" s="2">
        <v>0</v>
      </c>
      <c r="R510" s="2">
        <v>0</v>
      </c>
      <c r="S510" s="2" t="s">
        <v>488</v>
      </c>
      <c r="T510" s="2" t="s">
        <v>488</v>
      </c>
      <c r="U510" s="2">
        <v>0</v>
      </c>
      <c r="V510" s="2">
        <v>0</v>
      </c>
      <c r="W510">
        <f t="shared" si="7"/>
        <v>0</v>
      </c>
    </row>
    <row r="511" spans="1:23" x14ac:dyDescent="0.25">
      <c r="A511" s="2" t="s">
        <v>628</v>
      </c>
      <c r="B511" s="2" t="s">
        <v>915</v>
      </c>
      <c r="C511" s="2">
        <v>540127</v>
      </c>
      <c r="D511" s="2" t="s">
        <v>763</v>
      </c>
      <c r="E511" s="2" t="s">
        <v>53</v>
      </c>
      <c r="F511" s="2" t="s">
        <v>115</v>
      </c>
      <c r="G511" s="2">
        <v>1</v>
      </c>
      <c r="H511" s="2">
        <v>0</v>
      </c>
      <c r="I511" s="2">
        <v>0</v>
      </c>
      <c r="J511" s="2">
        <v>0</v>
      </c>
      <c r="K511" s="2">
        <v>0</v>
      </c>
      <c r="L511" s="2">
        <v>0</v>
      </c>
      <c r="M511" s="2">
        <v>0</v>
      </c>
      <c r="N511" s="2">
        <v>0</v>
      </c>
      <c r="O511" s="2">
        <v>0</v>
      </c>
      <c r="P511" s="2">
        <v>0</v>
      </c>
      <c r="Q511" s="2">
        <v>0</v>
      </c>
      <c r="R511" s="2">
        <v>0</v>
      </c>
      <c r="S511" s="2" t="s">
        <v>488</v>
      </c>
      <c r="T511" s="2" t="s">
        <v>488</v>
      </c>
      <c r="U511" s="2">
        <v>0</v>
      </c>
      <c r="V511" s="2">
        <v>0</v>
      </c>
      <c r="W511">
        <f t="shared" si="7"/>
        <v>0</v>
      </c>
    </row>
    <row r="512" spans="1:23" x14ac:dyDescent="0.25">
      <c r="A512" s="2" t="s">
        <v>628</v>
      </c>
      <c r="B512" s="2" t="s">
        <v>915</v>
      </c>
      <c r="C512" s="2">
        <v>540128</v>
      </c>
      <c r="D512" s="2" t="s">
        <v>764</v>
      </c>
      <c r="E512" s="2" t="s">
        <v>53</v>
      </c>
      <c r="F512" s="2" t="s">
        <v>115</v>
      </c>
      <c r="G512" s="2">
        <v>1</v>
      </c>
      <c r="H512" s="2">
        <v>0</v>
      </c>
      <c r="I512" s="2">
        <v>0</v>
      </c>
      <c r="J512" s="2">
        <v>0</v>
      </c>
      <c r="K512" s="2">
        <v>0</v>
      </c>
      <c r="L512" s="2">
        <v>0</v>
      </c>
      <c r="M512" s="2">
        <v>0</v>
      </c>
      <c r="N512" s="2">
        <v>0</v>
      </c>
      <c r="O512" s="2">
        <v>0</v>
      </c>
      <c r="P512" s="2">
        <v>0</v>
      </c>
      <c r="Q512" s="2">
        <v>0</v>
      </c>
      <c r="R512" s="2">
        <v>0</v>
      </c>
      <c r="S512" s="2" t="s">
        <v>488</v>
      </c>
      <c r="T512" s="2" t="s">
        <v>488</v>
      </c>
      <c r="U512" s="2">
        <v>3</v>
      </c>
      <c r="V512" s="2">
        <v>0</v>
      </c>
      <c r="W512">
        <f t="shared" si="7"/>
        <v>3</v>
      </c>
    </row>
    <row r="513" spans="1:23" x14ac:dyDescent="0.25">
      <c r="A513" s="2" t="s">
        <v>628</v>
      </c>
      <c r="B513" s="2" t="s">
        <v>915</v>
      </c>
      <c r="C513" s="2">
        <v>540172</v>
      </c>
      <c r="D513" s="2" t="s">
        <v>765</v>
      </c>
      <c r="E513" s="2" t="s">
        <v>53</v>
      </c>
      <c r="F513" s="2" t="s">
        <v>115</v>
      </c>
      <c r="G513" s="2">
        <v>1</v>
      </c>
      <c r="H513" s="2">
        <v>0</v>
      </c>
      <c r="I513" s="2">
        <v>0</v>
      </c>
      <c r="J513" s="2">
        <v>0</v>
      </c>
      <c r="K513" s="2">
        <v>0</v>
      </c>
      <c r="L513" s="2">
        <v>0</v>
      </c>
      <c r="M513" s="2">
        <v>0</v>
      </c>
      <c r="N513" s="2">
        <v>0</v>
      </c>
      <c r="O513" s="2">
        <v>0</v>
      </c>
      <c r="P513" s="2">
        <v>0</v>
      </c>
      <c r="Q513" s="2">
        <v>0</v>
      </c>
      <c r="R513" s="2">
        <v>0</v>
      </c>
      <c r="S513" s="2" t="s">
        <v>488</v>
      </c>
      <c r="T513" s="2" t="s">
        <v>488</v>
      </c>
      <c r="U513" s="2">
        <v>0</v>
      </c>
      <c r="V513" s="2">
        <v>0</v>
      </c>
      <c r="W513">
        <f t="shared" si="7"/>
        <v>0</v>
      </c>
    </row>
    <row r="514" spans="1:23" x14ac:dyDescent="0.25">
      <c r="A514" s="2" t="s">
        <v>628</v>
      </c>
      <c r="B514" s="2" t="s">
        <v>915</v>
      </c>
      <c r="C514" s="2">
        <v>540285</v>
      </c>
      <c r="D514" s="2" t="s">
        <v>766</v>
      </c>
      <c r="E514" s="2" t="s">
        <v>53</v>
      </c>
      <c r="F514" s="2" t="s">
        <v>115</v>
      </c>
      <c r="G514" s="2">
        <v>1</v>
      </c>
      <c r="H514" s="2">
        <v>0</v>
      </c>
      <c r="I514" s="2">
        <v>0</v>
      </c>
      <c r="J514" s="2">
        <v>0</v>
      </c>
      <c r="K514" s="2">
        <v>0</v>
      </c>
      <c r="L514" s="2">
        <v>0</v>
      </c>
      <c r="M514" s="2">
        <v>0</v>
      </c>
      <c r="N514" s="2">
        <v>0</v>
      </c>
      <c r="O514" s="2">
        <v>0</v>
      </c>
      <c r="P514" s="2">
        <v>0</v>
      </c>
      <c r="Q514" s="2">
        <v>0</v>
      </c>
      <c r="R514" s="2">
        <v>0</v>
      </c>
      <c r="S514" s="2" t="s">
        <v>488</v>
      </c>
      <c r="T514" s="2" t="s">
        <v>488</v>
      </c>
      <c r="U514" s="2">
        <v>0</v>
      </c>
      <c r="V514" s="2">
        <v>0</v>
      </c>
      <c r="W514">
        <f t="shared" si="7"/>
        <v>0</v>
      </c>
    </row>
    <row r="515" spans="1:23" x14ac:dyDescent="0.25">
      <c r="A515" s="255" t="s">
        <v>628</v>
      </c>
      <c r="B515" s="255" t="s">
        <v>915</v>
      </c>
      <c r="C515" s="255"/>
      <c r="D515" s="255"/>
      <c r="E515" s="255" t="s">
        <v>53</v>
      </c>
      <c r="F515" s="255"/>
      <c r="G515" s="255"/>
      <c r="H515" s="255">
        <v>0</v>
      </c>
      <c r="I515" s="255">
        <v>0</v>
      </c>
      <c r="J515" s="255">
        <v>1</v>
      </c>
      <c r="K515" s="255">
        <v>0</v>
      </c>
      <c r="L515" s="255">
        <v>0</v>
      </c>
      <c r="M515" s="255">
        <v>1</v>
      </c>
      <c r="N515" s="255">
        <v>1</v>
      </c>
      <c r="O515" s="255">
        <v>0</v>
      </c>
      <c r="P515" s="255">
        <v>0</v>
      </c>
      <c r="Q515" s="255">
        <v>0</v>
      </c>
      <c r="R515" s="255">
        <v>0</v>
      </c>
      <c r="S515" s="255" t="s">
        <v>488</v>
      </c>
      <c r="T515" s="255" t="s">
        <v>488</v>
      </c>
      <c r="U515" s="255">
        <v>4</v>
      </c>
      <c r="V515" s="255">
        <v>0</v>
      </c>
      <c r="W515">
        <f t="shared" ref="W515:W578" si="8">SUM(N515,P515,R515,T515,U515,V515)</f>
        <v>5</v>
      </c>
    </row>
    <row r="516" spans="1:23" x14ac:dyDescent="0.25">
      <c r="A516" s="2" t="s">
        <v>628</v>
      </c>
      <c r="B516" s="2" t="s">
        <v>915</v>
      </c>
      <c r="C516" s="2">
        <v>540129</v>
      </c>
      <c r="D516" s="2" t="s">
        <v>767</v>
      </c>
      <c r="E516" s="2" t="s">
        <v>55</v>
      </c>
      <c r="F516" s="2" t="s">
        <v>5</v>
      </c>
      <c r="G516" s="2">
        <v>8</v>
      </c>
      <c r="H516" s="2">
        <v>0</v>
      </c>
      <c r="I516" s="2">
        <v>0</v>
      </c>
      <c r="J516" s="2">
        <v>0</v>
      </c>
      <c r="K516" s="2">
        <v>0</v>
      </c>
      <c r="L516" s="2">
        <v>0</v>
      </c>
      <c r="M516" s="2">
        <v>0</v>
      </c>
      <c r="N516" s="2">
        <v>0</v>
      </c>
      <c r="O516" s="2">
        <v>0</v>
      </c>
      <c r="P516" s="2">
        <v>0</v>
      </c>
      <c r="Q516" s="2">
        <v>0</v>
      </c>
      <c r="R516" s="2">
        <v>0</v>
      </c>
      <c r="S516" s="2" t="s">
        <v>488</v>
      </c>
      <c r="T516" s="2" t="s">
        <v>488</v>
      </c>
      <c r="U516" s="2">
        <v>0</v>
      </c>
      <c r="V516" s="2">
        <v>0</v>
      </c>
      <c r="W516">
        <f t="shared" si="8"/>
        <v>0</v>
      </c>
    </row>
    <row r="517" spans="1:23" x14ac:dyDescent="0.25">
      <c r="A517" s="2" t="s">
        <v>628</v>
      </c>
      <c r="B517" s="2" t="s">
        <v>915</v>
      </c>
      <c r="C517" s="2">
        <v>540130</v>
      </c>
      <c r="D517" s="2" t="s">
        <v>768</v>
      </c>
      <c r="E517" s="2" t="s">
        <v>55</v>
      </c>
      <c r="F517" s="2" t="s">
        <v>115</v>
      </c>
      <c r="G517" s="2">
        <v>8</v>
      </c>
      <c r="H517" s="2">
        <v>0</v>
      </c>
      <c r="I517" s="2">
        <v>2</v>
      </c>
      <c r="J517" s="2">
        <v>1</v>
      </c>
      <c r="K517" s="2">
        <v>0</v>
      </c>
      <c r="L517" s="2">
        <v>0</v>
      </c>
      <c r="M517" s="2">
        <v>3</v>
      </c>
      <c r="N517" s="2">
        <v>3</v>
      </c>
      <c r="O517" s="2">
        <v>0</v>
      </c>
      <c r="P517" s="2">
        <v>0</v>
      </c>
      <c r="Q517" s="2">
        <v>0</v>
      </c>
      <c r="R517" s="2">
        <v>0</v>
      </c>
      <c r="S517" s="2" t="s">
        <v>488</v>
      </c>
      <c r="T517" s="2" t="s">
        <v>488</v>
      </c>
      <c r="U517" s="2">
        <v>0</v>
      </c>
      <c r="V517" s="2">
        <v>0</v>
      </c>
      <c r="W517">
        <f t="shared" si="8"/>
        <v>3</v>
      </c>
    </row>
    <row r="518" spans="1:23" x14ac:dyDescent="0.25">
      <c r="A518" s="2" t="s">
        <v>628</v>
      </c>
      <c r="B518" s="2" t="s">
        <v>915</v>
      </c>
      <c r="C518" s="2">
        <v>540131</v>
      </c>
      <c r="D518" s="2" t="s">
        <v>769</v>
      </c>
      <c r="E518" s="2" t="s">
        <v>55</v>
      </c>
      <c r="F518" s="2" t="s">
        <v>115</v>
      </c>
      <c r="G518" s="2">
        <v>8</v>
      </c>
      <c r="H518" s="2">
        <v>0</v>
      </c>
      <c r="I518" s="2">
        <v>0</v>
      </c>
      <c r="J518" s="2">
        <v>0</v>
      </c>
      <c r="K518" s="2">
        <v>0</v>
      </c>
      <c r="L518" s="2">
        <v>0</v>
      </c>
      <c r="M518" s="2">
        <v>0</v>
      </c>
      <c r="N518" s="2">
        <v>0</v>
      </c>
      <c r="O518" s="2">
        <v>0</v>
      </c>
      <c r="P518" s="2">
        <v>0</v>
      </c>
      <c r="Q518" s="2">
        <v>0</v>
      </c>
      <c r="R518" s="2">
        <v>0</v>
      </c>
      <c r="S518" s="2" t="s">
        <v>488</v>
      </c>
      <c r="T518" s="2" t="s">
        <v>488</v>
      </c>
      <c r="U518" s="2">
        <v>0</v>
      </c>
      <c r="V518" s="2">
        <v>0</v>
      </c>
      <c r="W518">
        <f t="shared" si="8"/>
        <v>0</v>
      </c>
    </row>
    <row r="519" spans="1:23" x14ac:dyDescent="0.25">
      <c r="A519" s="2" t="s">
        <v>628</v>
      </c>
      <c r="B519" s="2" t="s">
        <v>915</v>
      </c>
      <c r="C519" s="2">
        <v>540155</v>
      </c>
      <c r="D519" s="2" t="s">
        <v>770</v>
      </c>
      <c r="E519" s="2" t="s">
        <v>55</v>
      </c>
      <c r="F519" s="2" t="s">
        <v>115</v>
      </c>
      <c r="G519" s="2">
        <v>8</v>
      </c>
      <c r="H519" s="2">
        <v>0</v>
      </c>
      <c r="I519" s="2">
        <v>0</v>
      </c>
      <c r="J519" s="2">
        <v>0</v>
      </c>
      <c r="K519" s="2">
        <v>0</v>
      </c>
      <c r="L519" s="2">
        <v>0</v>
      </c>
      <c r="M519" s="2">
        <v>0</v>
      </c>
      <c r="N519" s="2">
        <v>0</v>
      </c>
      <c r="O519" s="2">
        <v>0</v>
      </c>
      <c r="P519" s="2">
        <v>0</v>
      </c>
      <c r="Q519" s="2">
        <v>0</v>
      </c>
      <c r="R519" s="2">
        <v>0</v>
      </c>
      <c r="S519" s="2" t="s">
        <v>488</v>
      </c>
      <c r="T519" s="2" t="s">
        <v>488</v>
      </c>
      <c r="U519" s="2">
        <v>0</v>
      </c>
      <c r="V519" s="2">
        <v>0</v>
      </c>
      <c r="W519">
        <f t="shared" si="8"/>
        <v>0</v>
      </c>
    </row>
    <row r="520" spans="1:23" x14ac:dyDescent="0.25">
      <c r="A520" s="2" t="s">
        <v>628</v>
      </c>
      <c r="B520" s="2" t="s">
        <v>915</v>
      </c>
      <c r="C520" s="2">
        <v>545555</v>
      </c>
      <c r="D520" s="2" t="s">
        <v>771</v>
      </c>
      <c r="E520" s="2" t="s">
        <v>55</v>
      </c>
      <c r="F520" s="2" t="s">
        <v>115</v>
      </c>
      <c r="G520" s="2">
        <v>8</v>
      </c>
      <c r="H520" s="2">
        <v>0</v>
      </c>
      <c r="I520" s="2">
        <v>0</v>
      </c>
      <c r="J520" s="2">
        <v>0</v>
      </c>
      <c r="K520" s="2">
        <v>0</v>
      </c>
      <c r="L520" s="2">
        <v>0</v>
      </c>
      <c r="M520" s="2">
        <v>0</v>
      </c>
      <c r="N520" s="2">
        <v>0</v>
      </c>
      <c r="O520" s="2">
        <v>0</v>
      </c>
      <c r="P520" s="2">
        <v>0</v>
      </c>
      <c r="Q520" s="2">
        <v>0</v>
      </c>
      <c r="R520" s="2">
        <v>0</v>
      </c>
      <c r="S520" s="2" t="s">
        <v>488</v>
      </c>
      <c r="T520" s="2" t="s">
        <v>488</v>
      </c>
      <c r="U520" s="2">
        <v>0</v>
      </c>
      <c r="V520" s="2">
        <v>0</v>
      </c>
      <c r="W520">
        <f t="shared" si="8"/>
        <v>0</v>
      </c>
    </row>
    <row r="521" spans="1:23" x14ac:dyDescent="0.25">
      <c r="A521" s="2" t="s">
        <v>628</v>
      </c>
      <c r="B521" s="2" t="s">
        <v>915</v>
      </c>
      <c r="C521" s="2">
        <v>540091</v>
      </c>
      <c r="D521" s="2" t="s">
        <v>772</v>
      </c>
      <c r="E521" s="2" t="s">
        <v>55</v>
      </c>
      <c r="F521" s="2" t="s">
        <v>115</v>
      </c>
      <c r="G521" s="2">
        <v>8</v>
      </c>
      <c r="H521" s="2">
        <v>0</v>
      </c>
      <c r="I521" s="2">
        <v>0</v>
      </c>
      <c r="J521" s="2">
        <v>0</v>
      </c>
      <c r="K521" s="2">
        <v>0</v>
      </c>
      <c r="L521" s="2">
        <v>0</v>
      </c>
      <c r="M521" s="2">
        <v>0</v>
      </c>
      <c r="N521" s="2">
        <v>0</v>
      </c>
      <c r="O521" s="2">
        <v>0</v>
      </c>
      <c r="P521" s="2">
        <v>0</v>
      </c>
      <c r="Q521" s="2">
        <v>0</v>
      </c>
      <c r="R521" s="2">
        <v>0</v>
      </c>
      <c r="S521" s="2" t="s">
        <v>488</v>
      </c>
      <c r="T521" s="2" t="s">
        <v>488</v>
      </c>
      <c r="U521" s="2">
        <v>0</v>
      </c>
      <c r="V521" s="2">
        <v>0</v>
      </c>
      <c r="W521">
        <f t="shared" si="8"/>
        <v>0</v>
      </c>
    </row>
    <row r="522" spans="1:23" x14ac:dyDescent="0.25">
      <c r="A522" s="255" t="s">
        <v>628</v>
      </c>
      <c r="B522" s="255" t="s">
        <v>915</v>
      </c>
      <c r="C522" s="255"/>
      <c r="D522" s="255"/>
      <c r="E522" s="255" t="s">
        <v>55</v>
      </c>
      <c r="F522" s="255"/>
      <c r="G522" s="255"/>
      <c r="H522" s="255">
        <v>0</v>
      </c>
      <c r="I522" s="255">
        <v>2</v>
      </c>
      <c r="J522" s="255">
        <v>1</v>
      </c>
      <c r="K522" s="255">
        <v>0</v>
      </c>
      <c r="L522" s="255">
        <v>0</v>
      </c>
      <c r="M522" s="255">
        <v>3</v>
      </c>
      <c r="N522" s="255">
        <v>3</v>
      </c>
      <c r="O522" s="255">
        <v>0</v>
      </c>
      <c r="P522" s="255">
        <v>0</v>
      </c>
      <c r="Q522" s="255">
        <v>0</v>
      </c>
      <c r="R522" s="255">
        <v>0</v>
      </c>
      <c r="S522" s="255" t="s">
        <v>488</v>
      </c>
      <c r="T522" s="255" t="s">
        <v>488</v>
      </c>
      <c r="U522" s="255">
        <v>0</v>
      </c>
      <c r="V522" s="255">
        <v>0</v>
      </c>
      <c r="W522">
        <f t="shared" si="8"/>
        <v>3</v>
      </c>
    </row>
    <row r="523" spans="1:23" x14ac:dyDescent="0.25">
      <c r="A523" s="2" t="s">
        <v>628</v>
      </c>
      <c r="B523" s="2" t="s">
        <v>915</v>
      </c>
      <c r="C523" s="2">
        <v>540133</v>
      </c>
      <c r="D523" s="2" t="s">
        <v>773</v>
      </c>
      <c r="E523" s="2" t="s">
        <v>57</v>
      </c>
      <c r="F523" s="2" t="s">
        <v>5</v>
      </c>
      <c r="G523" s="2">
        <v>2</v>
      </c>
      <c r="H523" s="2">
        <v>0</v>
      </c>
      <c r="I523" s="2">
        <v>0</v>
      </c>
      <c r="J523" s="2">
        <v>0</v>
      </c>
      <c r="K523" s="2">
        <v>0</v>
      </c>
      <c r="L523" s="2">
        <v>0</v>
      </c>
      <c r="M523" s="2">
        <v>0</v>
      </c>
      <c r="N523" s="2">
        <v>0</v>
      </c>
      <c r="O523" s="2">
        <v>0</v>
      </c>
      <c r="P523" s="2">
        <v>0</v>
      </c>
      <c r="Q523" s="2">
        <v>0</v>
      </c>
      <c r="R523" s="2">
        <v>0</v>
      </c>
      <c r="S523" s="2" t="s">
        <v>488</v>
      </c>
      <c r="T523" s="2" t="s">
        <v>488</v>
      </c>
      <c r="U523" s="2">
        <v>5</v>
      </c>
      <c r="V523" s="2">
        <v>0</v>
      </c>
      <c r="W523">
        <f t="shared" si="8"/>
        <v>5</v>
      </c>
    </row>
    <row r="524" spans="1:23" x14ac:dyDescent="0.25">
      <c r="A524" s="2" t="s">
        <v>628</v>
      </c>
      <c r="B524" s="2" t="s">
        <v>915</v>
      </c>
      <c r="C524" s="2">
        <v>540134</v>
      </c>
      <c r="D524" s="2" t="s">
        <v>774</v>
      </c>
      <c r="E524" s="2" t="s">
        <v>57</v>
      </c>
      <c r="F524" s="2" t="s">
        <v>115</v>
      </c>
      <c r="G524" s="2">
        <v>2</v>
      </c>
      <c r="H524" s="2">
        <v>0</v>
      </c>
      <c r="I524" s="2">
        <v>0</v>
      </c>
      <c r="J524" s="2">
        <v>0</v>
      </c>
      <c r="K524" s="2">
        <v>0</v>
      </c>
      <c r="L524" s="2">
        <v>0</v>
      </c>
      <c r="M524" s="2">
        <v>0</v>
      </c>
      <c r="N524" s="2">
        <v>0</v>
      </c>
      <c r="O524" s="2">
        <v>0</v>
      </c>
      <c r="P524" s="2">
        <v>0</v>
      </c>
      <c r="Q524" s="2">
        <v>0</v>
      </c>
      <c r="R524" s="2">
        <v>0</v>
      </c>
      <c r="S524" s="2" t="s">
        <v>488</v>
      </c>
      <c r="T524" s="2" t="s">
        <v>488</v>
      </c>
      <c r="U524" s="2">
        <v>0</v>
      </c>
      <c r="V524" s="2">
        <v>0</v>
      </c>
      <c r="W524">
        <f t="shared" si="8"/>
        <v>0</v>
      </c>
    </row>
    <row r="525" spans="1:23" x14ac:dyDescent="0.25">
      <c r="A525" s="2" t="s">
        <v>628</v>
      </c>
      <c r="B525" s="2" t="s">
        <v>915</v>
      </c>
      <c r="C525" s="2">
        <v>540135</v>
      </c>
      <c r="D525" s="2" t="s">
        <v>775</v>
      </c>
      <c r="E525" s="2" t="s">
        <v>57</v>
      </c>
      <c r="F525" s="2" t="s">
        <v>115</v>
      </c>
      <c r="G525" s="2">
        <v>2</v>
      </c>
      <c r="H525" s="2">
        <v>0</v>
      </c>
      <c r="I525" s="2">
        <v>0</v>
      </c>
      <c r="J525" s="2">
        <v>0</v>
      </c>
      <c r="K525" s="2">
        <v>0</v>
      </c>
      <c r="L525" s="2">
        <v>0</v>
      </c>
      <c r="M525" s="2">
        <v>0</v>
      </c>
      <c r="N525" s="2">
        <v>0</v>
      </c>
      <c r="O525" s="2">
        <v>0</v>
      </c>
      <c r="P525" s="2">
        <v>0</v>
      </c>
      <c r="Q525" s="2">
        <v>0</v>
      </c>
      <c r="R525" s="2">
        <v>0</v>
      </c>
      <c r="S525" s="2" t="s">
        <v>488</v>
      </c>
      <c r="T525" s="2" t="s">
        <v>488</v>
      </c>
      <c r="U525" s="2">
        <v>0</v>
      </c>
      <c r="V525" s="2">
        <v>0</v>
      </c>
      <c r="W525">
        <f t="shared" si="8"/>
        <v>0</v>
      </c>
    </row>
    <row r="526" spans="1:23" x14ac:dyDescent="0.25">
      <c r="A526" s="2" t="s">
        <v>628</v>
      </c>
      <c r="B526" s="2" t="s">
        <v>915</v>
      </c>
      <c r="C526" s="2">
        <v>540136</v>
      </c>
      <c r="D526" s="2" t="s">
        <v>776</v>
      </c>
      <c r="E526" s="2" t="s">
        <v>57</v>
      </c>
      <c r="F526" s="2" t="s">
        <v>115</v>
      </c>
      <c r="G526" s="2">
        <v>2</v>
      </c>
      <c r="H526" s="2">
        <v>0</v>
      </c>
      <c r="I526" s="2">
        <v>0</v>
      </c>
      <c r="J526" s="2">
        <v>0</v>
      </c>
      <c r="K526" s="2">
        <v>0</v>
      </c>
      <c r="L526" s="2">
        <v>0</v>
      </c>
      <c r="M526" s="2">
        <v>0</v>
      </c>
      <c r="N526" s="2">
        <v>0</v>
      </c>
      <c r="O526" s="2">
        <v>0</v>
      </c>
      <c r="P526" s="2">
        <v>0</v>
      </c>
      <c r="Q526" s="2">
        <v>0</v>
      </c>
      <c r="R526" s="2">
        <v>0</v>
      </c>
      <c r="S526" s="2" t="s">
        <v>488</v>
      </c>
      <c r="T526" s="2" t="s">
        <v>488</v>
      </c>
      <c r="U526" s="2">
        <v>0</v>
      </c>
      <c r="V526" s="2">
        <v>0</v>
      </c>
      <c r="W526">
        <f t="shared" si="8"/>
        <v>0</v>
      </c>
    </row>
    <row r="527" spans="1:23" x14ac:dyDescent="0.25">
      <c r="A527" s="2" t="s">
        <v>628</v>
      </c>
      <c r="B527" s="2" t="s">
        <v>915</v>
      </c>
      <c r="C527" s="2">
        <v>540138</v>
      </c>
      <c r="D527" s="2" t="s">
        <v>777</v>
      </c>
      <c r="E527" s="2" t="s">
        <v>57</v>
      </c>
      <c r="F527" s="2" t="s">
        <v>115</v>
      </c>
      <c r="G527" s="2">
        <v>2</v>
      </c>
      <c r="H527" s="2">
        <v>0</v>
      </c>
      <c r="I527" s="2">
        <v>0</v>
      </c>
      <c r="J527" s="2">
        <v>0</v>
      </c>
      <c r="K527" s="2">
        <v>0</v>
      </c>
      <c r="L527" s="2">
        <v>0</v>
      </c>
      <c r="M527" s="2">
        <v>0</v>
      </c>
      <c r="N527" s="2">
        <v>0</v>
      </c>
      <c r="O527" s="2">
        <v>0</v>
      </c>
      <c r="P527" s="2">
        <v>0</v>
      </c>
      <c r="Q527" s="2">
        <v>0</v>
      </c>
      <c r="R527" s="2">
        <v>0</v>
      </c>
      <c r="S527" s="2" t="s">
        <v>488</v>
      </c>
      <c r="T527" s="2" t="s">
        <v>488</v>
      </c>
      <c r="U527" s="2">
        <v>0</v>
      </c>
      <c r="V527" s="2">
        <v>0</v>
      </c>
      <c r="W527">
        <f t="shared" si="8"/>
        <v>0</v>
      </c>
    </row>
    <row r="528" spans="1:23" x14ac:dyDescent="0.25">
      <c r="A528" s="2" t="s">
        <v>628</v>
      </c>
      <c r="B528" s="2" t="s">
        <v>915</v>
      </c>
      <c r="C528" s="2">
        <v>545538</v>
      </c>
      <c r="D528" s="2" t="s">
        <v>778</v>
      </c>
      <c r="E528" s="2" t="s">
        <v>57</v>
      </c>
      <c r="F528" s="2" t="s">
        <v>115</v>
      </c>
      <c r="G528" s="2">
        <v>2</v>
      </c>
      <c r="H528" s="2">
        <v>0</v>
      </c>
      <c r="I528" s="2">
        <v>0</v>
      </c>
      <c r="J528" s="2">
        <v>0</v>
      </c>
      <c r="K528" s="2">
        <v>0</v>
      </c>
      <c r="L528" s="2">
        <v>0</v>
      </c>
      <c r="M528" s="2">
        <v>0</v>
      </c>
      <c r="N528" s="2">
        <v>0</v>
      </c>
      <c r="O528" s="2">
        <v>0</v>
      </c>
      <c r="P528" s="2">
        <v>0</v>
      </c>
      <c r="Q528" s="2">
        <v>0</v>
      </c>
      <c r="R528" s="2">
        <v>0</v>
      </c>
      <c r="S528" s="2" t="s">
        <v>488</v>
      </c>
      <c r="T528" s="2" t="s">
        <v>488</v>
      </c>
      <c r="U528" s="2">
        <v>1</v>
      </c>
      <c r="V528" s="2">
        <v>0</v>
      </c>
      <c r="W528">
        <f t="shared" si="8"/>
        <v>1</v>
      </c>
    </row>
    <row r="529" spans="1:23" x14ac:dyDescent="0.25">
      <c r="A529" s="255" t="s">
        <v>628</v>
      </c>
      <c r="B529" s="255" t="s">
        <v>915</v>
      </c>
      <c r="C529" s="255"/>
      <c r="D529" s="255"/>
      <c r="E529" s="255" t="s">
        <v>57</v>
      </c>
      <c r="F529" s="255"/>
      <c r="G529" s="255"/>
      <c r="H529" s="255">
        <v>0</v>
      </c>
      <c r="I529" s="255">
        <v>0</v>
      </c>
      <c r="J529" s="255">
        <v>0</v>
      </c>
      <c r="K529" s="255">
        <v>0</v>
      </c>
      <c r="L529" s="255">
        <v>0</v>
      </c>
      <c r="M529" s="255">
        <v>0</v>
      </c>
      <c r="N529" s="255">
        <v>0</v>
      </c>
      <c r="O529" s="255">
        <v>0</v>
      </c>
      <c r="P529" s="255">
        <v>0</v>
      </c>
      <c r="Q529" s="255">
        <v>0</v>
      </c>
      <c r="R529" s="255">
        <v>0</v>
      </c>
      <c r="S529" s="255" t="s">
        <v>488</v>
      </c>
      <c r="T529" s="255" t="s">
        <v>488</v>
      </c>
      <c r="U529" s="255">
        <v>6</v>
      </c>
      <c r="V529" s="255">
        <v>0</v>
      </c>
      <c r="W529">
        <f t="shared" si="8"/>
        <v>6</v>
      </c>
    </row>
    <row r="530" spans="1:23" x14ac:dyDescent="0.25">
      <c r="A530" s="2" t="s">
        <v>628</v>
      </c>
      <c r="B530" s="2" t="s">
        <v>915</v>
      </c>
      <c r="C530" s="2">
        <v>540139</v>
      </c>
      <c r="D530" s="2" t="s">
        <v>779</v>
      </c>
      <c r="E530" s="2" t="s">
        <v>59</v>
      </c>
      <c r="F530" s="2" t="s">
        <v>5</v>
      </c>
      <c r="G530" s="2">
        <v>6</v>
      </c>
      <c r="H530" s="2">
        <v>0</v>
      </c>
      <c r="I530" s="2">
        <v>1</v>
      </c>
      <c r="J530" s="2">
        <v>0</v>
      </c>
      <c r="K530" s="2">
        <v>0</v>
      </c>
      <c r="L530" s="2">
        <v>0</v>
      </c>
      <c r="M530" s="2">
        <v>1</v>
      </c>
      <c r="N530" s="2">
        <v>1</v>
      </c>
      <c r="O530" s="2">
        <v>0</v>
      </c>
      <c r="P530" s="2">
        <v>0</v>
      </c>
      <c r="Q530" s="2">
        <v>0</v>
      </c>
      <c r="R530" s="2">
        <v>0</v>
      </c>
      <c r="S530" s="2" t="s">
        <v>488</v>
      </c>
      <c r="T530" s="2" t="s">
        <v>488</v>
      </c>
      <c r="U530" s="2">
        <v>0</v>
      </c>
      <c r="V530" s="2">
        <v>0</v>
      </c>
      <c r="W530">
        <f t="shared" si="8"/>
        <v>1</v>
      </c>
    </row>
    <row r="531" spans="1:23" x14ac:dyDescent="0.25">
      <c r="A531" s="2" t="s">
        <v>628</v>
      </c>
      <c r="B531" s="2" t="s">
        <v>915</v>
      </c>
      <c r="C531" s="2">
        <v>540140</v>
      </c>
      <c r="D531" s="2" t="s">
        <v>780</v>
      </c>
      <c r="E531" s="2" t="s">
        <v>59</v>
      </c>
      <c r="F531" s="2" t="s">
        <v>115</v>
      </c>
      <c r="G531" s="2">
        <v>6</v>
      </c>
      <c r="H531" s="2">
        <v>0</v>
      </c>
      <c r="I531" s="2">
        <v>0</v>
      </c>
      <c r="J531" s="2">
        <v>0</v>
      </c>
      <c r="K531" s="2">
        <v>0</v>
      </c>
      <c r="L531" s="2">
        <v>0</v>
      </c>
      <c r="M531" s="2">
        <v>0</v>
      </c>
      <c r="N531" s="2">
        <v>0</v>
      </c>
      <c r="O531" s="2">
        <v>0</v>
      </c>
      <c r="P531" s="2">
        <v>0</v>
      </c>
      <c r="Q531" s="2">
        <v>0</v>
      </c>
      <c r="R531" s="2">
        <v>0</v>
      </c>
      <c r="S531" s="2" t="s">
        <v>488</v>
      </c>
      <c r="T531" s="2" t="s">
        <v>488</v>
      </c>
      <c r="U531" s="2">
        <v>0</v>
      </c>
      <c r="V531" s="2">
        <v>0</v>
      </c>
      <c r="W531">
        <f t="shared" si="8"/>
        <v>0</v>
      </c>
    </row>
    <row r="532" spans="1:23" x14ac:dyDescent="0.25">
      <c r="A532" s="2" t="s">
        <v>628</v>
      </c>
      <c r="B532" s="2" t="s">
        <v>915</v>
      </c>
      <c r="C532" s="2">
        <v>540141</v>
      </c>
      <c r="D532" s="2" t="s">
        <v>781</v>
      </c>
      <c r="E532" s="2" t="s">
        <v>59</v>
      </c>
      <c r="F532" s="2" t="s">
        <v>115</v>
      </c>
      <c r="G532" s="2">
        <v>6</v>
      </c>
      <c r="H532" s="2">
        <v>0</v>
      </c>
      <c r="I532" s="2">
        <v>0</v>
      </c>
      <c r="J532" s="2">
        <v>0</v>
      </c>
      <c r="K532" s="2">
        <v>0</v>
      </c>
      <c r="L532" s="2">
        <v>0</v>
      </c>
      <c r="M532" s="2">
        <v>0</v>
      </c>
      <c r="N532" s="2">
        <v>0</v>
      </c>
      <c r="O532" s="2">
        <v>0</v>
      </c>
      <c r="P532" s="2">
        <v>0</v>
      </c>
      <c r="Q532" s="2">
        <v>0</v>
      </c>
      <c r="R532" s="2">
        <v>0</v>
      </c>
      <c r="S532" s="2" t="s">
        <v>488</v>
      </c>
      <c r="T532" s="2" t="s">
        <v>488</v>
      </c>
      <c r="U532" s="2">
        <v>0</v>
      </c>
      <c r="V532" s="2">
        <v>0</v>
      </c>
      <c r="W532">
        <f t="shared" si="8"/>
        <v>0</v>
      </c>
    </row>
    <row r="533" spans="1:23" x14ac:dyDescent="0.25">
      <c r="A533" s="2" t="s">
        <v>628</v>
      </c>
      <c r="B533" s="2" t="s">
        <v>915</v>
      </c>
      <c r="C533" s="2">
        <v>540272</v>
      </c>
      <c r="D533" s="2" t="s">
        <v>782</v>
      </c>
      <c r="E533" s="2" t="s">
        <v>59</v>
      </c>
      <c r="F533" s="2" t="s">
        <v>115</v>
      </c>
      <c r="G533" s="2">
        <v>6</v>
      </c>
      <c r="H533" s="2">
        <v>0</v>
      </c>
      <c r="I533" s="2">
        <v>0</v>
      </c>
      <c r="J533" s="2">
        <v>0</v>
      </c>
      <c r="K533" s="2">
        <v>0</v>
      </c>
      <c r="L533" s="2">
        <v>0</v>
      </c>
      <c r="M533" s="2">
        <v>0</v>
      </c>
      <c r="N533" s="2">
        <v>0</v>
      </c>
      <c r="O533" s="2">
        <v>0</v>
      </c>
      <c r="P533" s="2">
        <v>0</v>
      </c>
      <c r="Q533" s="2">
        <v>0</v>
      </c>
      <c r="R533" s="2">
        <v>0</v>
      </c>
      <c r="S533" s="2" t="s">
        <v>488</v>
      </c>
      <c r="T533" s="2" t="s">
        <v>488</v>
      </c>
      <c r="U533" s="2">
        <v>0</v>
      </c>
      <c r="V533" s="2">
        <v>0</v>
      </c>
      <c r="W533">
        <f t="shared" si="8"/>
        <v>0</v>
      </c>
    </row>
    <row r="534" spans="1:23" x14ac:dyDescent="0.25">
      <c r="A534" s="2" t="s">
        <v>628</v>
      </c>
      <c r="B534" s="2" t="s">
        <v>915</v>
      </c>
      <c r="C534" s="2">
        <v>540273</v>
      </c>
      <c r="D534" s="2" t="s">
        <v>783</v>
      </c>
      <c r="E534" s="2" t="s">
        <v>59</v>
      </c>
      <c r="F534" s="2" t="s">
        <v>115</v>
      </c>
      <c r="G534" s="2">
        <v>6</v>
      </c>
      <c r="H534" s="2">
        <v>0</v>
      </c>
      <c r="I534" s="2">
        <v>0</v>
      </c>
      <c r="J534" s="2">
        <v>0</v>
      </c>
      <c r="K534" s="2">
        <v>0</v>
      </c>
      <c r="L534" s="2">
        <v>0</v>
      </c>
      <c r="M534" s="2">
        <v>0</v>
      </c>
      <c r="N534" s="2">
        <v>0</v>
      </c>
      <c r="O534" s="2">
        <v>0</v>
      </c>
      <c r="P534" s="2">
        <v>0</v>
      </c>
      <c r="Q534" s="2">
        <v>0</v>
      </c>
      <c r="R534" s="2">
        <v>0</v>
      </c>
      <c r="S534" s="2" t="s">
        <v>488</v>
      </c>
      <c r="T534" s="2" t="s">
        <v>488</v>
      </c>
      <c r="U534" s="2">
        <v>0</v>
      </c>
      <c r="V534" s="2">
        <v>0</v>
      </c>
      <c r="W534">
        <f t="shared" si="8"/>
        <v>0</v>
      </c>
    </row>
    <row r="535" spans="1:23" x14ac:dyDescent="0.25">
      <c r="A535" s="2" t="s">
        <v>628</v>
      </c>
      <c r="B535" s="2" t="s">
        <v>915</v>
      </c>
      <c r="C535" s="2">
        <v>540274</v>
      </c>
      <c r="D535" s="2" t="s">
        <v>784</v>
      </c>
      <c r="E535" s="2" t="s">
        <v>59</v>
      </c>
      <c r="F535" s="2" t="s">
        <v>115</v>
      </c>
      <c r="G535" s="2">
        <v>6</v>
      </c>
      <c r="H535" s="2">
        <v>0</v>
      </c>
      <c r="I535" s="2">
        <v>0</v>
      </c>
      <c r="J535" s="2">
        <v>0</v>
      </c>
      <c r="K535" s="2">
        <v>0</v>
      </c>
      <c r="L535" s="2">
        <v>0</v>
      </c>
      <c r="M535" s="2">
        <v>0</v>
      </c>
      <c r="N535" s="2">
        <v>0</v>
      </c>
      <c r="O535" s="2">
        <v>0</v>
      </c>
      <c r="P535" s="2">
        <v>0</v>
      </c>
      <c r="Q535" s="2">
        <v>0</v>
      </c>
      <c r="R535" s="2">
        <v>0</v>
      </c>
      <c r="S535" s="2" t="s">
        <v>488</v>
      </c>
      <c r="T535" s="2" t="s">
        <v>488</v>
      </c>
      <c r="U535" s="2">
        <v>0</v>
      </c>
      <c r="V535" s="2">
        <v>0</v>
      </c>
      <c r="W535">
        <f t="shared" si="8"/>
        <v>0</v>
      </c>
    </row>
    <row r="536" spans="1:23" x14ac:dyDescent="0.25">
      <c r="A536" s="255" t="s">
        <v>628</v>
      </c>
      <c r="B536" s="255" t="s">
        <v>915</v>
      </c>
      <c r="C536" s="255"/>
      <c r="D536" s="255"/>
      <c r="E536" s="255" t="s">
        <v>59</v>
      </c>
      <c r="F536" s="255"/>
      <c r="G536" s="255"/>
      <c r="H536" s="255">
        <v>0</v>
      </c>
      <c r="I536" s="255">
        <v>1</v>
      </c>
      <c r="J536" s="255">
        <v>0</v>
      </c>
      <c r="K536" s="255">
        <v>0</v>
      </c>
      <c r="L536" s="255">
        <v>0</v>
      </c>
      <c r="M536" s="255">
        <v>1</v>
      </c>
      <c r="N536" s="255">
        <v>1</v>
      </c>
      <c r="O536" s="255">
        <v>0</v>
      </c>
      <c r="P536" s="255">
        <v>0</v>
      </c>
      <c r="Q536" s="255">
        <v>0</v>
      </c>
      <c r="R536" s="255">
        <v>0</v>
      </c>
      <c r="S536" s="255" t="s">
        <v>488</v>
      </c>
      <c r="T536" s="255" t="s">
        <v>488</v>
      </c>
      <c r="U536" s="255">
        <v>0</v>
      </c>
      <c r="V536" s="255">
        <v>0</v>
      </c>
      <c r="W536">
        <f t="shared" si="8"/>
        <v>1</v>
      </c>
    </row>
    <row r="537" spans="1:23" x14ac:dyDescent="0.25">
      <c r="A537" s="2" t="s">
        <v>628</v>
      </c>
      <c r="B537" s="2" t="s">
        <v>915</v>
      </c>
      <c r="C537" s="2">
        <v>540144</v>
      </c>
      <c r="D537" s="2" t="s">
        <v>785</v>
      </c>
      <c r="E537" s="2" t="s">
        <v>61</v>
      </c>
      <c r="F537" s="2" t="s">
        <v>5</v>
      </c>
      <c r="G537" s="2">
        <v>9</v>
      </c>
      <c r="H537" s="2">
        <v>0</v>
      </c>
      <c r="I537" s="2">
        <v>1</v>
      </c>
      <c r="J537" s="2">
        <v>0</v>
      </c>
      <c r="K537" s="2">
        <v>0</v>
      </c>
      <c r="L537" s="2">
        <v>0</v>
      </c>
      <c r="M537" s="2">
        <v>1</v>
      </c>
      <c r="N537" s="2">
        <v>1</v>
      </c>
      <c r="O537" s="2">
        <v>0</v>
      </c>
      <c r="P537" s="2">
        <v>0</v>
      </c>
      <c r="Q537" s="2">
        <v>0</v>
      </c>
      <c r="R537" s="2">
        <v>0</v>
      </c>
      <c r="S537" s="2">
        <v>0</v>
      </c>
      <c r="T537" s="2">
        <v>0</v>
      </c>
      <c r="U537" s="2">
        <v>0</v>
      </c>
      <c r="V537" s="2">
        <v>0</v>
      </c>
      <c r="W537">
        <f t="shared" si="8"/>
        <v>1</v>
      </c>
    </row>
    <row r="538" spans="1:23" x14ac:dyDescent="0.25">
      <c r="A538" s="2" t="s">
        <v>628</v>
      </c>
      <c r="B538" s="2" t="s">
        <v>915</v>
      </c>
      <c r="C538" s="2">
        <v>540005</v>
      </c>
      <c r="D538" s="2" t="s">
        <v>786</v>
      </c>
      <c r="E538" s="2" t="s">
        <v>61</v>
      </c>
      <c r="F538" s="2" t="s">
        <v>115</v>
      </c>
      <c r="G538" s="2">
        <v>9</v>
      </c>
      <c r="H538" s="2">
        <v>0</v>
      </c>
      <c r="I538" s="2">
        <v>0</v>
      </c>
      <c r="J538" s="2">
        <v>0</v>
      </c>
      <c r="K538" s="2">
        <v>0</v>
      </c>
      <c r="L538" s="2">
        <v>0</v>
      </c>
      <c r="M538" s="2">
        <v>0</v>
      </c>
      <c r="N538" s="2">
        <v>0</v>
      </c>
      <c r="O538" s="2">
        <v>0</v>
      </c>
      <c r="P538" s="2">
        <v>0</v>
      </c>
      <c r="Q538" s="2">
        <v>0</v>
      </c>
      <c r="R538" s="2">
        <v>0</v>
      </c>
      <c r="S538" s="2">
        <v>0</v>
      </c>
      <c r="T538" s="2">
        <v>0</v>
      </c>
      <c r="U538" s="2">
        <v>0</v>
      </c>
      <c r="V538" s="2">
        <v>0</v>
      </c>
      <c r="W538">
        <f t="shared" si="8"/>
        <v>0</v>
      </c>
    </row>
    <row r="539" spans="1:23" x14ac:dyDescent="0.25">
      <c r="A539" s="2" t="s">
        <v>628</v>
      </c>
      <c r="B539" s="2" t="s">
        <v>915</v>
      </c>
      <c r="C539" s="2">
        <v>540252</v>
      </c>
      <c r="D539" s="2" t="s">
        <v>787</v>
      </c>
      <c r="E539" s="2" t="s">
        <v>61</v>
      </c>
      <c r="F539" s="2" t="s">
        <v>115</v>
      </c>
      <c r="G539" s="2">
        <v>9</v>
      </c>
      <c r="H539" s="2">
        <v>0</v>
      </c>
      <c r="I539" s="2">
        <v>0</v>
      </c>
      <c r="J539" s="2">
        <v>0</v>
      </c>
      <c r="K539" s="2">
        <v>0</v>
      </c>
      <c r="L539" s="2">
        <v>0</v>
      </c>
      <c r="M539" s="2">
        <v>0</v>
      </c>
      <c r="N539" s="2">
        <v>0</v>
      </c>
      <c r="O539" s="2">
        <v>0</v>
      </c>
      <c r="P539" s="2">
        <v>0</v>
      </c>
      <c r="Q539" s="2">
        <v>0</v>
      </c>
      <c r="R539" s="2">
        <v>0</v>
      </c>
      <c r="S539" s="2">
        <v>0</v>
      </c>
      <c r="T539" s="2">
        <v>0</v>
      </c>
      <c r="U539" s="2">
        <v>0</v>
      </c>
      <c r="V539" s="2">
        <v>0</v>
      </c>
      <c r="W539">
        <f t="shared" si="8"/>
        <v>0</v>
      </c>
    </row>
    <row r="540" spans="1:23" x14ac:dyDescent="0.25">
      <c r="A540" s="255" t="s">
        <v>628</v>
      </c>
      <c r="B540" s="255" t="s">
        <v>915</v>
      </c>
      <c r="C540" s="255"/>
      <c r="D540" s="255"/>
      <c r="E540" s="255" t="s">
        <v>61</v>
      </c>
      <c r="F540" s="255"/>
      <c r="G540" s="255"/>
      <c r="H540" s="255">
        <v>0</v>
      </c>
      <c r="I540" s="255">
        <v>1</v>
      </c>
      <c r="J540" s="255">
        <v>0</v>
      </c>
      <c r="K540" s="255">
        <v>0</v>
      </c>
      <c r="L540" s="255">
        <v>0</v>
      </c>
      <c r="M540" s="255">
        <v>1</v>
      </c>
      <c r="N540" s="255">
        <v>1</v>
      </c>
      <c r="O540" s="255">
        <v>0</v>
      </c>
      <c r="P540" s="255">
        <v>0</v>
      </c>
      <c r="Q540" s="255">
        <v>0</v>
      </c>
      <c r="R540" s="255">
        <v>0</v>
      </c>
      <c r="S540" s="255">
        <v>0</v>
      </c>
      <c r="T540" s="255">
        <v>0</v>
      </c>
      <c r="U540" s="255">
        <v>0</v>
      </c>
      <c r="V540" s="255">
        <v>0</v>
      </c>
      <c r="W540">
        <f t="shared" si="8"/>
        <v>1</v>
      </c>
    </row>
    <row r="541" spans="1:23" x14ac:dyDescent="0.25">
      <c r="A541" s="2" t="s">
        <v>628</v>
      </c>
      <c r="B541" s="2" t="s">
        <v>915</v>
      </c>
      <c r="C541" s="2">
        <v>540146</v>
      </c>
      <c r="D541" s="2" t="s">
        <v>788</v>
      </c>
      <c r="E541" s="2" t="s">
        <v>63</v>
      </c>
      <c r="F541" s="2" t="s">
        <v>5</v>
      </c>
      <c r="G541" s="2">
        <v>4</v>
      </c>
      <c r="H541" s="2">
        <v>0</v>
      </c>
      <c r="I541" s="2">
        <v>1</v>
      </c>
      <c r="J541" s="2">
        <v>0</v>
      </c>
      <c r="K541" s="2">
        <v>0</v>
      </c>
      <c r="L541" s="2">
        <v>0</v>
      </c>
      <c r="M541" s="2">
        <v>1</v>
      </c>
      <c r="N541" s="2">
        <v>1</v>
      </c>
      <c r="O541" s="2">
        <v>0</v>
      </c>
      <c r="P541" s="2">
        <v>0</v>
      </c>
      <c r="Q541" s="2" t="s">
        <v>488</v>
      </c>
      <c r="R541" s="2" t="s">
        <v>488</v>
      </c>
      <c r="S541" s="2" t="s">
        <v>488</v>
      </c>
      <c r="T541" s="2" t="s">
        <v>488</v>
      </c>
      <c r="U541" s="2">
        <v>0</v>
      </c>
      <c r="V541" s="2">
        <v>0</v>
      </c>
      <c r="W541">
        <f t="shared" si="8"/>
        <v>1</v>
      </c>
    </row>
    <row r="542" spans="1:23" x14ac:dyDescent="0.25">
      <c r="A542" s="2" t="s">
        <v>628</v>
      </c>
      <c r="B542" s="2" t="s">
        <v>915</v>
      </c>
      <c r="C542" s="2">
        <v>540147</v>
      </c>
      <c r="D542" s="2" t="s">
        <v>789</v>
      </c>
      <c r="E542" s="2" t="s">
        <v>63</v>
      </c>
      <c r="F542" s="2" t="s">
        <v>115</v>
      </c>
      <c r="G542" s="2">
        <v>4</v>
      </c>
      <c r="H542" s="2">
        <v>0</v>
      </c>
      <c r="I542" s="2">
        <v>1</v>
      </c>
      <c r="J542" s="2">
        <v>1</v>
      </c>
      <c r="K542" s="2">
        <v>0</v>
      </c>
      <c r="L542" s="2">
        <v>0</v>
      </c>
      <c r="M542" s="2">
        <v>2</v>
      </c>
      <c r="N542" s="2">
        <v>2</v>
      </c>
      <c r="O542" s="2">
        <v>1</v>
      </c>
      <c r="P542" s="2">
        <v>0</v>
      </c>
      <c r="Q542" s="2" t="s">
        <v>488</v>
      </c>
      <c r="R542" s="2" t="s">
        <v>488</v>
      </c>
      <c r="S542" s="2" t="s">
        <v>488</v>
      </c>
      <c r="T542" s="2" t="s">
        <v>488</v>
      </c>
      <c r="U542" s="2">
        <v>0</v>
      </c>
      <c r="V542" s="2">
        <v>0</v>
      </c>
      <c r="W542">
        <f t="shared" si="8"/>
        <v>2</v>
      </c>
    </row>
    <row r="543" spans="1:23" x14ac:dyDescent="0.25">
      <c r="A543" s="2" t="s">
        <v>628</v>
      </c>
      <c r="B543" s="2" t="s">
        <v>915</v>
      </c>
      <c r="C543" s="2">
        <v>540148</v>
      </c>
      <c r="D543" s="2" t="s">
        <v>790</v>
      </c>
      <c r="E543" s="2" t="s">
        <v>63</v>
      </c>
      <c r="F543" s="2" t="s">
        <v>115</v>
      </c>
      <c r="G543" s="2">
        <v>4</v>
      </c>
      <c r="H543" s="2">
        <v>0</v>
      </c>
      <c r="I543" s="2">
        <v>0</v>
      </c>
      <c r="J543" s="2">
        <v>0</v>
      </c>
      <c r="K543" s="2">
        <v>0</v>
      </c>
      <c r="L543" s="2">
        <v>0</v>
      </c>
      <c r="M543" s="2">
        <v>0</v>
      </c>
      <c r="N543" s="2">
        <v>0</v>
      </c>
      <c r="O543" s="2">
        <v>0</v>
      </c>
      <c r="P543" s="2">
        <v>0</v>
      </c>
      <c r="Q543" s="2" t="s">
        <v>488</v>
      </c>
      <c r="R543" s="2" t="s">
        <v>488</v>
      </c>
      <c r="S543" s="2" t="s">
        <v>488</v>
      </c>
      <c r="T543" s="2" t="s">
        <v>488</v>
      </c>
      <c r="U543" s="2">
        <v>0</v>
      </c>
      <c r="V543" s="2">
        <v>0</v>
      </c>
      <c r="W543">
        <f t="shared" si="8"/>
        <v>0</v>
      </c>
    </row>
    <row r="544" spans="1:23" x14ac:dyDescent="0.25">
      <c r="A544" s="255" t="s">
        <v>628</v>
      </c>
      <c r="B544" s="255" t="s">
        <v>915</v>
      </c>
      <c r="C544" s="255"/>
      <c r="D544" s="255"/>
      <c r="E544" s="255" t="s">
        <v>63</v>
      </c>
      <c r="F544" s="255"/>
      <c r="G544" s="255"/>
      <c r="H544" s="255">
        <v>0</v>
      </c>
      <c r="I544" s="255">
        <v>2</v>
      </c>
      <c r="J544" s="255">
        <v>1</v>
      </c>
      <c r="K544" s="255">
        <v>0</v>
      </c>
      <c r="L544" s="255">
        <v>0</v>
      </c>
      <c r="M544" s="255">
        <v>3</v>
      </c>
      <c r="N544" s="255">
        <v>3</v>
      </c>
      <c r="O544" s="255">
        <v>1</v>
      </c>
      <c r="P544" s="255">
        <v>0</v>
      </c>
      <c r="Q544" s="255" t="s">
        <v>488</v>
      </c>
      <c r="R544" s="255" t="s">
        <v>488</v>
      </c>
      <c r="S544" s="255" t="s">
        <v>488</v>
      </c>
      <c r="T544" s="255" t="s">
        <v>488</v>
      </c>
      <c r="U544" s="255">
        <v>0</v>
      </c>
      <c r="V544" s="255">
        <v>0</v>
      </c>
      <c r="W544">
        <f t="shared" si="8"/>
        <v>3</v>
      </c>
    </row>
    <row r="545" spans="1:23" x14ac:dyDescent="0.25">
      <c r="A545" s="2" t="s">
        <v>628</v>
      </c>
      <c r="B545" s="2" t="s">
        <v>915</v>
      </c>
      <c r="C545" s="2">
        <v>540149</v>
      </c>
      <c r="D545" s="2" t="s">
        <v>791</v>
      </c>
      <c r="E545" s="2" t="s">
        <v>65</v>
      </c>
      <c r="F545" s="2" t="s">
        <v>5</v>
      </c>
      <c r="G545" s="2">
        <v>10</v>
      </c>
      <c r="H545" s="2">
        <v>0</v>
      </c>
      <c r="I545" s="2">
        <v>0</v>
      </c>
      <c r="J545" s="2">
        <v>0</v>
      </c>
      <c r="K545" s="2">
        <v>0</v>
      </c>
      <c r="L545" s="2">
        <v>0</v>
      </c>
      <c r="M545" s="2">
        <v>0</v>
      </c>
      <c r="N545" s="2">
        <v>0</v>
      </c>
      <c r="O545" s="2">
        <v>0</v>
      </c>
      <c r="P545" s="2">
        <v>0</v>
      </c>
      <c r="Q545" s="2">
        <v>0</v>
      </c>
      <c r="R545" s="2">
        <v>0</v>
      </c>
      <c r="S545" s="2" t="s">
        <v>488</v>
      </c>
      <c r="T545" s="2" t="s">
        <v>488</v>
      </c>
      <c r="U545" s="2">
        <v>0</v>
      </c>
      <c r="V545" s="2">
        <v>0</v>
      </c>
      <c r="W545">
        <f t="shared" si="8"/>
        <v>0</v>
      </c>
    </row>
    <row r="546" spans="1:23" x14ac:dyDescent="0.25">
      <c r="A546" s="2" t="s">
        <v>628</v>
      </c>
      <c r="B546" s="2" t="s">
        <v>915</v>
      </c>
      <c r="C546" s="2">
        <v>540080</v>
      </c>
      <c r="D546" s="2" t="s">
        <v>792</v>
      </c>
      <c r="E546" s="2" t="s">
        <v>65</v>
      </c>
      <c r="F546" s="2" t="s">
        <v>115</v>
      </c>
      <c r="G546" s="2">
        <v>10</v>
      </c>
      <c r="H546" s="2">
        <v>0</v>
      </c>
      <c r="I546" s="2">
        <v>0</v>
      </c>
      <c r="J546" s="2">
        <v>0</v>
      </c>
      <c r="K546" s="2">
        <v>0</v>
      </c>
      <c r="L546" s="2">
        <v>0</v>
      </c>
      <c r="M546" s="2">
        <v>0</v>
      </c>
      <c r="N546" s="2">
        <v>0</v>
      </c>
      <c r="O546" s="2">
        <v>0</v>
      </c>
      <c r="P546" s="2">
        <v>0</v>
      </c>
      <c r="Q546" s="2">
        <v>0</v>
      </c>
      <c r="R546" s="2">
        <v>0</v>
      </c>
      <c r="S546" s="2" t="s">
        <v>488</v>
      </c>
      <c r="T546" s="2" t="s">
        <v>488</v>
      </c>
      <c r="U546" s="2">
        <v>0</v>
      </c>
      <c r="V546" s="2">
        <v>0</v>
      </c>
      <c r="W546">
        <f t="shared" si="8"/>
        <v>0</v>
      </c>
    </row>
    <row r="547" spans="1:23" x14ac:dyDescent="0.25">
      <c r="A547" s="2" t="s">
        <v>628</v>
      </c>
      <c r="B547" s="2" t="s">
        <v>915</v>
      </c>
      <c r="C547" s="2">
        <v>540094</v>
      </c>
      <c r="D547" s="2" t="s">
        <v>793</v>
      </c>
      <c r="E547" s="2" t="s">
        <v>65</v>
      </c>
      <c r="F547" s="2" t="s">
        <v>115</v>
      </c>
      <c r="G547" s="2">
        <v>10</v>
      </c>
      <c r="H547" s="2">
        <v>0</v>
      </c>
      <c r="I547" s="2">
        <v>0</v>
      </c>
      <c r="J547" s="2">
        <v>0</v>
      </c>
      <c r="K547" s="2">
        <v>0</v>
      </c>
      <c r="L547" s="2">
        <v>0</v>
      </c>
      <c r="M547" s="2">
        <v>0</v>
      </c>
      <c r="N547" s="2">
        <v>0</v>
      </c>
      <c r="O547" s="2">
        <v>0</v>
      </c>
      <c r="P547" s="2">
        <v>0</v>
      </c>
      <c r="Q547" s="2">
        <v>0</v>
      </c>
      <c r="R547" s="2">
        <v>0</v>
      </c>
      <c r="S547" s="2" t="s">
        <v>488</v>
      </c>
      <c r="T547" s="2" t="s">
        <v>488</v>
      </c>
      <c r="U547" s="2">
        <v>0</v>
      </c>
      <c r="V547" s="2">
        <v>0</v>
      </c>
      <c r="W547">
        <f t="shared" si="8"/>
        <v>0</v>
      </c>
    </row>
    <row r="548" spans="1:23" x14ac:dyDescent="0.25">
      <c r="A548" s="2" t="s">
        <v>628</v>
      </c>
      <c r="B548" s="2" t="s">
        <v>915</v>
      </c>
      <c r="C548" s="2">
        <v>540150</v>
      </c>
      <c r="D548" s="2" t="s">
        <v>794</v>
      </c>
      <c r="E548" s="2" t="s">
        <v>65</v>
      </c>
      <c r="F548" s="2" t="s">
        <v>115</v>
      </c>
      <c r="G548" s="2">
        <v>10</v>
      </c>
      <c r="H548" s="2">
        <v>0</v>
      </c>
      <c r="I548" s="2">
        <v>0</v>
      </c>
      <c r="J548" s="2">
        <v>0</v>
      </c>
      <c r="K548" s="2">
        <v>0</v>
      </c>
      <c r="L548" s="2">
        <v>0</v>
      </c>
      <c r="M548" s="2">
        <v>0</v>
      </c>
      <c r="N548" s="2">
        <v>0</v>
      </c>
      <c r="O548" s="2">
        <v>0</v>
      </c>
      <c r="P548" s="2">
        <v>0</v>
      </c>
      <c r="Q548" s="2">
        <v>0</v>
      </c>
      <c r="R548" s="2">
        <v>0</v>
      </c>
      <c r="S548" s="2" t="s">
        <v>488</v>
      </c>
      <c r="T548" s="2" t="s">
        <v>488</v>
      </c>
      <c r="U548" s="2">
        <v>0</v>
      </c>
      <c r="V548" s="2">
        <v>0</v>
      </c>
      <c r="W548">
        <f t="shared" si="8"/>
        <v>0</v>
      </c>
    </row>
    <row r="549" spans="1:23" x14ac:dyDescent="0.25">
      <c r="A549" s="2" t="s">
        <v>628</v>
      </c>
      <c r="B549" s="2" t="s">
        <v>915</v>
      </c>
      <c r="C549" s="2">
        <v>540151</v>
      </c>
      <c r="D549" s="2" t="s">
        <v>795</v>
      </c>
      <c r="E549" s="2" t="s">
        <v>65</v>
      </c>
      <c r="F549" s="2" t="s">
        <v>115</v>
      </c>
      <c r="G549" s="2">
        <v>10</v>
      </c>
      <c r="H549" s="2">
        <v>0</v>
      </c>
      <c r="I549" s="2">
        <v>0</v>
      </c>
      <c r="J549" s="2">
        <v>0</v>
      </c>
      <c r="K549" s="2">
        <v>0</v>
      </c>
      <c r="L549" s="2">
        <v>0</v>
      </c>
      <c r="M549" s="2">
        <v>0</v>
      </c>
      <c r="N549" s="2">
        <v>0</v>
      </c>
      <c r="O549" s="2">
        <v>0</v>
      </c>
      <c r="P549" s="2">
        <v>0</v>
      </c>
      <c r="Q549" s="2">
        <v>0</v>
      </c>
      <c r="R549" s="2">
        <v>0</v>
      </c>
      <c r="S549" s="2" t="s">
        <v>488</v>
      </c>
      <c r="T549" s="2" t="s">
        <v>488</v>
      </c>
      <c r="U549" s="2">
        <v>0</v>
      </c>
      <c r="V549" s="2">
        <v>0</v>
      </c>
      <c r="W549">
        <f t="shared" si="8"/>
        <v>0</v>
      </c>
    </row>
    <row r="550" spans="1:23" x14ac:dyDescent="0.25">
      <c r="A550" s="2" t="s">
        <v>628</v>
      </c>
      <c r="B550" s="2" t="s">
        <v>915</v>
      </c>
      <c r="C550" s="2">
        <v>540152</v>
      </c>
      <c r="D550" s="2" t="s">
        <v>741</v>
      </c>
      <c r="E550" s="2" t="s">
        <v>65</v>
      </c>
      <c r="F550" s="2" t="s">
        <v>115</v>
      </c>
      <c r="G550" s="2">
        <v>10</v>
      </c>
      <c r="H550" s="2">
        <v>0</v>
      </c>
      <c r="I550" s="2">
        <v>3</v>
      </c>
      <c r="J550" s="2">
        <v>0</v>
      </c>
      <c r="K550" s="2">
        <v>0</v>
      </c>
      <c r="L550" s="2">
        <v>0</v>
      </c>
      <c r="M550" s="2">
        <v>3</v>
      </c>
      <c r="N550" s="2">
        <v>3</v>
      </c>
      <c r="O550" s="2">
        <v>0</v>
      </c>
      <c r="P550" s="2">
        <v>0</v>
      </c>
      <c r="Q550" s="2">
        <v>0</v>
      </c>
      <c r="R550" s="2">
        <v>0</v>
      </c>
      <c r="S550" s="2" t="s">
        <v>488</v>
      </c>
      <c r="T550" s="2" t="s">
        <v>488</v>
      </c>
      <c r="U550" s="2">
        <v>0</v>
      </c>
      <c r="V550" s="2">
        <v>0</v>
      </c>
      <c r="W550">
        <f t="shared" si="8"/>
        <v>3</v>
      </c>
    </row>
    <row r="551" spans="1:23" x14ac:dyDescent="0.25">
      <c r="A551" s="2" t="s">
        <v>628</v>
      </c>
      <c r="B551" s="2" t="s">
        <v>915</v>
      </c>
      <c r="C551" s="2">
        <v>540275</v>
      </c>
      <c r="D551" s="2" t="s">
        <v>796</v>
      </c>
      <c r="E551" s="2" t="s">
        <v>65</v>
      </c>
      <c r="F551" s="2" t="s">
        <v>115</v>
      </c>
      <c r="G551" s="2">
        <v>10</v>
      </c>
      <c r="H551" s="2">
        <v>0</v>
      </c>
      <c r="I551" s="2">
        <v>0</v>
      </c>
      <c r="J551" s="2">
        <v>0</v>
      </c>
      <c r="K551" s="2">
        <v>0</v>
      </c>
      <c r="L551" s="2">
        <v>0</v>
      </c>
      <c r="M551" s="2">
        <v>0</v>
      </c>
      <c r="N551" s="2">
        <v>0</v>
      </c>
      <c r="O551" s="2">
        <v>0</v>
      </c>
      <c r="P551" s="2">
        <v>0</v>
      </c>
      <c r="Q551" s="2">
        <v>0</v>
      </c>
      <c r="R551" s="2">
        <v>0</v>
      </c>
      <c r="S551" s="2" t="s">
        <v>488</v>
      </c>
      <c r="T551" s="2" t="s">
        <v>488</v>
      </c>
      <c r="U551" s="2">
        <v>0</v>
      </c>
      <c r="V551" s="2">
        <v>0</v>
      </c>
      <c r="W551">
        <f t="shared" si="8"/>
        <v>0</v>
      </c>
    </row>
    <row r="552" spans="1:23" x14ac:dyDescent="0.25">
      <c r="A552" s="255" t="s">
        <v>628</v>
      </c>
      <c r="B552" s="255" t="s">
        <v>915</v>
      </c>
      <c r="C552" s="255"/>
      <c r="D552" s="255"/>
      <c r="E552" s="255" t="s">
        <v>65</v>
      </c>
      <c r="F552" s="255"/>
      <c r="G552" s="255"/>
      <c r="H552" s="255">
        <v>0</v>
      </c>
      <c r="I552" s="255">
        <v>3</v>
      </c>
      <c r="J552" s="255">
        <v>0</v>
      </c>
      <c r="K552" s="255">
        <v>0</v>
      </c>
      <c r="L552" s="255">
        <v>0</v>
      </c>
      <c r="M552" s="255">
        <v>3</v>
      </c>
      <c r="N552" s="255">
        <v>3</v>
      </c>
      <c r="O552" s="255">
        <v>0</v>
      </c>
      <c r="P552" s="255">
        <v>0</v>
      </c>
      <c r="Q552" s="255">
        <v>0</v>
      </c>
      <c r="R552" s="255">
        <v>0</v>
      </c>
      <c r="S552" s="255" t="s">
        <v>488</v>
      </c>
      <c r="T552" s="255" t="s">
        <v>488</v>
      </c>
      <c r="U552" s="255">
        <v>0</v>
      </c>
      <c r="V552" s="255">
        <v>0</v>
      </c>
      <c r="W552">
        <f t="shared" si="8"/>
        <v>3</v>
      </c>
    </row>
    <row r="553" spans="1:23" x14ac:dyDescent="0.25">
      <c r="A553" s="2" t="s">
        <v>628</v>
      </c>
      <c r="B553" s="2" t="s">
        <v>915</v>
      </c>
      <c r="C553" s="2">
        <v>540153</v>
      </c>
      <c r="D553" s="2" t="s">
        <v>797</v>
      </c>
      <c r="E553" s="2" t="s">
        <v>67</v>
      </c>
      <c r="F553" s="2" t="s">
        <v>5</v>
      </c>
      <c r="G553" s="2">
        <v>8</v>
      </c>
      <c r="H553" s="2">
        <v>0</v>
      </c>
      <c r="I553" s="2">
        <v>0</v>
      </c>
      <c r="J553" s="2">
        <v>0</v>
      </c>
      <c r="K553" s="2">
        <v>0</v>
      </c>
      <c r="L553" s="2">
        <v>0</v>
      </c>
      <c r="M553" s="2">
        <v>0</v>
      </c>
      <c r="N553" s="2">
        <v>0</v>
      </c>
      <c r="O553" s="2">
        <v>0</v>
      </c>
      <c r="P553" s="2">
        <v>0</v>
      </c>
      <c r="Q553" s="2" t="s">
        <v>488</v>
      </c>
      <c r="R553" s="2" t="s">
        <v>488</v>
      </c>
      <c r="S553" s="2" t="s">
        <v>488</v>
      </c>
      <c r="T553" s="2" t="s">
        <v>488</v>
      </c>
      <c r="U553" s="2">
        <v>0</v>
      </c>
      <c r="V553" s="2">
        <v>0</v>
      </c>
      <c r="W553">
        <f t="shared" si="8"/>
        <v>0</v>
      </c>
    </row>
    <row r="554" spans="1:23" x14ac:dyDescent="0.25">
      <c r="A554" s="2" t="s">
        <v>628</v>
      </c>
      <c r="B554" s="2" t="s">
        <v>915</v>
      </c>
      <c r="C554" s="2">
        <v>540154</v>
      </c>
      <c r="D554" s="2" t="s">
        <v>798</v>
      </c>
      <c r="E554" s="2" t="s">
        <v>67</v>
      </c>
      <c r="F554" s="2" t="s">
        <v>115</v>
      </c>
      <c r="G554" s="2">
        <v>8</v>
      </c>
      <c r="H554" s="2">
        <v>0</v>
      </c>
      <c r="I554" s="2">
        <v>0</v>
      </c>
      <c r="J554" s="2">
        <v>0</v>
      </c>
      <c r="K554" s="2">
        <v>0</v>
      </c>
      <c r="L554" s="2">
        <v>0</v>
      </c>
      <c r="M554" s="2">
        <v>0</v>
      </c>
      <c r="N554" s="2">
        <v>0</v>
      </c>
      <c r="O554" s="2">
        <v>0</v>
      </c>
      <c r="P554" s="2">
        <v>0</v>
      </c>
      <c r="Q554" s="2" t="s">
        <v>488</v>
      </c>
      <c r="R554" s="2" t="s">
        <v>488</v>
      </c>
      <c r="S554" s="2" t="s">
        <v>488</v>
      </c>
      <c r="T554" s="2" t="s">
        <v>488</v>
      </c>
      <c r="U554" s="2">
        <v>0</v>
      </c>
      <c r="V554" s="2">
        <v>0</v>
      </c>
      <c r="W554">
        <f t="shared" si="8"/>
        <v>0</v>
      </c>
    </row>
    <row r="555" spans="1:23" x14ac:dyDescent="0.25">
      <c r="A555" s="255" t="s">
        <v>628</v>
      </c>
      <c r="B555" s="255" t="s">
        <v>915</v>
      </c>
      <c r="C555" s="255"/>
      <c r="D555" s="255"/>
      <c r="E555" s="255" t="s">
        <v>67</v>
      </c>
      <c r="F555" s="255"/>
      <c r="G555" s="255"/>
      <c r="H555" s="255">
        <v>0</v>
      </c>
      <c r="I555" s="255">
        <v>0</v>
      </c>
      <c r="J555" s="255">
        <v>0</v>
      </c>
      <c r="K555" s="255">
        <v>0</v>
      </c>
      <c r="L555" s="255">
        <v>0</v>
      </c>
      <c r="M555" s="255">
        <v>0</v>
      </c>
      <c r="N555" s="255">
        <v>0</v>
      </c>
      <c r="O555" s="255">
        <v>0</v>
      </c>
      <c r="P555" s="255">
        <v>0</v>
      </c>
      <c r="Q555" s="255" t="s">
        <v>488</v>
      </c>
      <c r="R555" s="255" t="s">
        <v>488</v>
      </c>
      <c r="S555" s="255" t="s">
        <v>488</v>
      </c>
      <c r="T555" s="255" t="s">
        <v>488</v>
      </c>
      <c r="U555" s="255">
        <v>0</v>
      </c>
      <c r="V555" s="255">
        <v>0</v>
      </c>
      <c r="W555">
        <f t="shared" si="8"/>
        <v>0</v>
      </c>
    </row>
    <row r="556" spans="1:23" x14ac:dyDescent="0.25">
      <c r="A556" s="2" t="s">
        <v>628</v>
      </c>
      <c r="B556" s="2" t="s">
        <v>915</v>
      </c>
      <c r="C556" s="2">
        <v>540160</v>
      </c>
      <c r="D556" s="2" t="s">
        <v>799</v>
      </c>
      <c r="E556" s="2" t="s">
        <v>69</v>
      </c>
      <c r="F556" s="2" t="s">
        <v>5</v>
      </c>
      <c r="G556" s="2">
        <v>6</v>
      </c>
      <c r="H556" s="2">
        <v>1</v>
      </c>
      <c r="I556" s="2">
        <v>0</v>
      </c>
      <c r="J556" s="2">
        <v>0</v>
      </c>
      <c r="K556" s="2">
        <v>0</v>
      </c>
      <c r="L556" s="2">
        <v>0</v>
      </c>
      <c r="M556" s="2">
        <v>0</v>
      </c>
      <c r="N556" s="2">
        <v>1</v>
      </c>
      <c r="O556" s="2">
        <v>0</v>
      </c>
      <c r="P556" s="2">
        <v>0</v>
      </c>
      <c r="Q556" s="2">
        <v>0</v>
      </c>
      <c r="R556" s="2">
        <v>0</v>
      </c>
      <c r="S556" s="2" t="s">
        <v>488</v>
      </c>
      <c r="T556" s="2" t="s">
        <v>488</v>
      </c>
      <c r="U556" s="2">
        <v>0</v>
      </c>
      <c r="V556" s="2">
        <v>0</v>
      </c>
      <c r="W556">
        <f t="shared" si="8"/>
        <v>1</v>
      </c>
    </row>
    <row r="557" spans="1:23" x14ac:dyDescent="0.25">
      <c r="A557" s="2" t="s">
        <v>628</v>
      </c>
      <c r="B557" s="2" t="s">
        <v>915</v>
      </c>
      <c r="C557" s="2">
        <v>540137</v>
      </c>
      <c r="D557" s="2" t="s">
        <v>800</v>
      </c>
      <c r="E557" s="2" t="s">
        <v>69</v>
      </c>
      <c r="F557" s="2" t="s">
        <v>115</v>
      </c>
      <c r="G557" s="2">
        <v>6</v>
      </c>
      <c r="H557" s="2">
        <v>0</v>
      </c>
      <c r="I557" s="2">
        <v>0</v>
      </c>
      <c r="J557" s="2">
        <v>0</v>
      </c>
      <c r="K557" s="2">
        <v>0</v>
      </c>
      <c r="L557" s="2">
        <v>0</v>
      </c>
      <c r="M557" s="2">
        <v>0</v>
      </c>
      <c r="N557" s="2">
        <v>0</v>
      </c>
      <c r="O557" s="2">
        <v>0</v>
      </c>
      <c r="P557" s="2">
        <v>0</v>
      </c>
      <c r="Q557" s="2">
        <v>0</v>
      </c>
      <c r="R557" s="2">
        <v>0</v>
      </c>
      <c r="S557" s="2" t="s">
        <v>488</v>
      </c>
      <c r="T557" s="2" t="s">
        <v>488</v>
      </c>
      <c r="U557" s="2">
        <v>0</v>
      </c>
      <c r="V557" s="2">
        <v>0</v>
      </c>
      <c r="W557">
        <f t="shared" si="8"/>
        <v>0</v>
      </c>
    </row>
    <row r="558" spans="1:23" x14ac:dyDescent="0.25">
      <c r="A558" s="2" t="s">
        <v>628</v>
      </c>
      <c r="B558" s="2" t="s">
        <v>915</v>
      </c>
      <c r="C558" s="2">
        <v>540161</v>
      </c>
      <c r="D558" s="2" t="s">
        <v>801</v>
      </c>
      <c r="E558" s="2" t="s">
        <v>69</v>
      </c>
      <c r="F558" s="2" t="s">
        <v>115</v>
      </c>
      <c r="G558" s="2">
        <v>6</v>
      </c>
      <c r="H558" s="2">
        <v>0</v>
      </c>
      <c r="I558" s="2">
        <v>0</v>
      </c>
      <c r="J558" s="2">
        <v>0</v>
      </c>
      <c r="K558" s="2">
        <v>0</v>
      </c>
      <c r="L558" s="2">
        <v>0</v>
      </c>
      <c r="M558" s="2">
        <v>0</v>
      </c>
      <c r="N558" s="2">
        <v>0</v>
      </c>
      <c r="O558" s="2">
        <v>0</v>
      </c>
      <c r="P558" s="2">
        <v>0</v>
      </c>
      <c r="Q558" s="2">
        <v>0</v>
      </c>
      <c r="R558" s="2">
        <v>0</v>
      </c>
      <c r="S558" s="2" t="s">
        <v>488</v>
      </c>
      <c r="T558" s="2" t="s">
        <v>488</v>
      </c>
      <c r="U558" s="2">
        <v>0</v>
      </c>
      <c r="V558" s="2">
        <v>0</v>
      </c>
      <c r="W558">
        <f t="shared" si="8"/>
        <v>0</v>
      </c>
    </row>
    <row r="559" spans="1:23" x14ac:dyDescent="0.25">
      <c r="A559" s="2" t="s">
        <v>628</v>
      </c>
      <c r="B559" s="2" t="s">
        <v>915</v>
      </c>
      <c r="C559" s="2">
        <v>540162</v>
      </c>
      <c r="D559" s="2" t="s">
        <v>802</v>
      </c>
      <c r="E559" s="2" t="s">
        <v>69</v>
      </c>
      <c r="F559" s="2" t="s">
        <v>115</v>
      </c>
      <c r="G559" s="2">
        <v>6</v>
      </c>
      <c r="H559" s="2">
        <v>0</v>
      </c>
      <c r="I559" s="2">
        <v>0</v>
      </c>
      <c r="J559" s="2">
        <v>0</v>
      </c>
      <c r="K559" s="2">
        <v>0</v>
      </c>
      <c r="L559" s="2">
        <v>0</v>
      </c>
      <c r="M559" s="2">
        <v>0</v>
      </c>
      <c r="N559" s="2">
        <v>0</v>
      </c>
      <c r="O559" s="2">
        <v>0</v>
      </c>
      <c r="P559" s="2">
        <v>0</v>
      </c>
      <c r="Q559" s="2">
        <v>0</v>
      </c>
      <c r="R559" s="2">
        <v>0</v>
      </c>
      <c r="S559" s="2" t="s">
        <v>488</v>
      </c>
      <c r="T559" s="2" t="s">
        <v>488</v>
      </c>
      <c r="U559" s="2">
        <v>0</v>
      </c>
      <c r="V559" s="2">
        <v>0</v>
      </c>
      <c r="W559">
        <f t="shared" si="8"/>
        <v>0</v>
      </c>
    </row>
    <row r="560" spans="1:23" x14ac:dyDescent="0.25">
      <c r="A560" s="2" t="s">
        <v>628</v>
      </c>
      <c r="B560" s="2" t="s">
        <v>915</v>
      </c>
      <c r="C560" s="2">
        <v>540163</v>
      </c>
      <c r="D560" s="2" t="s">
        <v>803</v>
      </c>
      <c r="E560" s="2" t="s">
        <v>69</v>
      </c>
      <c r="F560" s="2" t="s">
        <v>115</v>
      </c>
      <c r="G560" s="2">
        <v>6</v>
      </c>
      <c r="H560" s="2">
        <v>0</v>
      </c>
      <c r="I560" s="2">
        <v>0</v>
      </c>
      <c r="J560" s="2">
        <v>0</v>
      </c>
      <c r="K560" s="2">
        <v>0</v>
      </c>
      <c r="L560" s="2">
        <v>0</v>
      </c>
      <c r="M560" s="2">
        <v>0</v>
      </c>
      <c r="N560" s="2">
        <v>0</v>
      </c>
      <c r="O560" s="2">
        <v>0</v>
      </c>
      <c r="P560" s="2">
        <v>0</v>
      </c>
      <c r="Q560" s="2">
        <v>0</v>
      </c>
      <c r="R560" s="2">
        <v>0</v>
      </c>
      <c r="S560" s="2" t="s">
        <v>488</v>
      </c>
      <c r="T560" s="2" t="s">
        <v>488</v>
      </c>
      <c r="U560" s="2">
        <v>0</v>
      </c>
      <c r="V560" s="2">
        <v>0</v>
      </c>
      <c r="W560">
        <f t="shared" si="8"/>
        <v>0</v>
      </c>
    </row>
    <row r="561" spans="1:23" x14ac:dyDescent="0.25">
      <c r="A561" s="2" t="s">
        <v>628</v>
      </c>
      <c r="B561" s="2" t="s">
        <v>915</v>
      </c>
      <c r="C561" s="2">
        <v>540254</v>
      </c>
      <c r="D561" s="2" t="s">
        <v>804</v>
      </c>
      <c r="E561" s="2" t="s">
        <v>69</v>
      </c>
      <c r="F561" s="2" t="s">
        <v>115</v>
      </c>
      <c r="G561" s="2">
        <v>6</v>
      </c>
      <c r="H561" s="2">
        <v>0</v>
      </c>
      <c r="I561" s="2">
        <v>0</v>
      </c>
      <c r="J561" s="2">
        <v>0</v>
      </c>
      <c r="K561" s="2">
        <v>0</v>
      </c>
      <c r="L561" s="2">
        <v>0</v>
      </c>
      <c r="M561" s="2">
        <v>0</v>
      </c>
      <c r="N561" s="2">
        <v>0</v>
      </c>
      <c r="O561" s="2">
        <v>0</v>
      </c>
      <c r="P561" s="2">
        <v>0</v>
      </c>
      <c r="Q561" s="2">
        <v>0</v>
      </c>
      <c r="R561" s="2">
        <v>0</v>
      </c>
      <c r="S561" s="2" t="s">
        <v>488</v>
      </c>
      <c r="T561" s="2" t="s">
        <v>488</v>
      </c>
      <c r="U561" s="2">
        <v>0</v>
      </c>
      <c r="V561" s="2">
        <v>0</v>
      </c>
      <c r="W561">
        <f t="shared" si="8"/>
        <v>0</v>
      </c>
    </row>
    <row r="562" spans="1:23" x14ac:dyDescent="0.25">
      <c r="A562" s="2" t="s">
        <v>628</v>
      </c>
      <c r="B562" s="2" t="s">
        <v>915</v>
      </c>
      <c r="C562" s="2">
        <v>540257</v>
      </c>
      <c r="D562" s="2" t="s">
        <v>805</v>
      </c>
      <c r="E562" s="2" t="s">
        <v>69</v>
      </c>
      <c r="F562" s="2" t="s">
        <v>115</v>
      </c>
      <c r="G562" s="2">
        <v>6</v>
      </c>
      <c r="H562" s="2">
        <v>0</v>
      </c>
      <c r="I562" s="2">
        <v>0</v>
      </c>
      <c r="J562" s="2">
        <v>0</v>
      </c>
      <c r="K562" s="2">
        <v>0</v>
      </c>
      <c r="L562" s="2">
        <v>0</v>
      </c>
      <c r="M562" s="2">
        <v>0</v>
      </c>
      <c r="N562" s="2">
        <v>0</v>
      </c>
      <c r="O562" s="2">
        <v>0</v>
      </c>
      <c r="P562" s="2">
        <v>0</v>
      </c>
      <c r="Q562" s="2">
        <v>0</v>
      </c>
      <c r="R562" s="2">
        <v>0</v>
      </c>
      <c r="S562" s="2" t="s">
        <v>488</v>
      </c>
      <c r="T562" s="2" t="s">
        <v>488</v>
      </c>
      <c r="U562" s="2">
        <v>0</v>
      </c>
      <c r="V562" s="2">
        <v>0</v>
      </c>
      <c r="W562">
        <f t="shared" si="8"/>
        <v>0</v>
      </c>
    </row>
    <row r="563" spans="1:23" x14ac:dyDescent="0.25">
      <c r="A563" s="2" t="s">
        <v>628</v>
      </c>
      <c r="B563" s="2" t="s">
        <v>915</v>
      </c>
      <c r="C563" s="2">
        <v>540268</v>
      </c>
      <c r="D563" s="2" t="s">
        <v>806</v>
      </c>
      <c r="E563" s="2" t="s">
        <v>69</v>
      </c>
      <c r="F563" s="2" t="s">
        <v>115</v>
      </c>
      <c r="G563" s="2">
        <v>6</v>
      </c>
      <c r="H563" s="2">
        <v>0</v>
      </c>
      <c r="I563" s="2">
        <v>0</v>
      </c>
      <c r="J563" s="2">
        <v>0</v>
      </c>
      <c r="K563" s="2">
        <v>0</v>
      </c>
      <c r="L563" s="2">
        <v>0</v>
      </c>
      <c r="M563" s="2">
        <v>0</v>
      </c>
      <c r="N563" s="2">
        <v>0</v>
      </c>
      <c r="O563" s="2">
        <v>0</v>
      </c>
      <c r="P563" s="2">
        <v>0</v>
      </c>
      <c r="Q563" s="2">
        <v>0</v>
      </c>
      <c r="R563" s="2">
        <v>0</v>
      </c>
      <c r="S563" s="2" t="s">
        <v>488</v>
      </c>
      <c r="T563" s="2" t="s">
        <v>488</v>
      </c>
      <c r="U563" s="2">
        <v>0</v>
      </c>
      <c r="V563" s="2">
        <v>0</v>
      </c>
      <c r="W563">
        <f t="shared" si="8"/>
        <v>0</v>
      </c>
    </row>
    <row r="564" spans="1:23" x14ac:dyDescent="0.25">
      <c r="A564" s="2" t="s">
        <v>628</v>
      </c>
      <c r="B564" s="2" t="s">
        <v>915</v>
      </c>
      <c r="C564" s="2">
        <v>540269</v>
      </c>
      <c r="D564" s="2" t="s">
        <v>807</v>
      </c>
      <c r="E564" s="2" t="s">
        <v>69</v>
      </c>
      <c r="F564" s="2" t="s">
        <v>115</v>
      </c>
      <c r="G564" s="2">
        <v>6</v>
      </c>
      <c r="H564" s="2">
        <v>0</v>
      </c>
      <c r="I564" s="2">
        <v>0</v>
      </c>
      <c r="J564" s="2">
        <v>0</v>
      </c>
      <c r="K564" s="2">
        <v>0</v>
      </c>
      <c r="L564" s="2">
        <v>0</v>
      </c>
      <c r="M564" s="2">
        <v>0</v>
      </c>
      <c r="N564" s="2">
        <v>0</v>
      </c>
      <c r="O564" s="2">
        <v>0</v>
      </c>
      <c r="P564" s="2">
        <v>0</v>
      </c>
      <c r="Q564" s="2">
        <v>0</v>
      </c>
      <c r="R564" s="2">
        <v>0</v>
      </c>
      <c r="S564" s="2" t="s">
        <v>488</v>
      </c>
      <c r="T564" s="2" t="s">
        <v>488</v>
      </c>
      <c r="U564" s="2">
        <v>0</v>
      </c>
      <c r="V564" s="2">
        <v>0</v>
      </c>
      <c r="W564">
        <f t="shared" si="8"/>
        <v>0</v>
      </c>
    </row>
    <row r="565" spans="1:23" x14ac:dyDescent="0.25">
      <c r="A565" s="2" t="s">
        <v>628</v>
      </c>
      <c r="B565" s="2" t="s">
        <v>915</v>
      </c>
      <c r="C565" s="2">
        <v>540270</v>
      </c>
      <c r="D565" s="2" t="s">
        <v>808</v>
      </c>
      <c r="E565" s="2" t="s">
        <v>69</v>
      </c>
      <c r="F565" s="2" t="s">
        <v>115</v>
      </c>
      <c r="G565" s="2">
        <v>6</v>
      </c>
      <c r="H565" s="2">
        <v>0</v>
      </c>
      <c r="I565" s="2">
        <v>0</v>
      </c>
      <c r="J565" s="2">
        <v>0</v>
      </c>
      <c r="K565" s="2">
        <v>0</v>
      </c>
      <c r="L565" s="2">
        <v>0</v>
      </c>
      <c r="M565" s="2">
        <v>0</v>
      </c>
      <c r="N565" s="2">
        <v>0</v>
      </c>
      <c r="O565" s="2">
        <v>0</v>
      </c>
      <c r="P565" s="2">
        <v>0</v>
      </c>
      <c r="Q565" s="2">
        <v>0</v>
      </c>
      <c r="R565" s="2">
        <v>0</v>
      </c>
      <c r="S565" s="2" t="s">
        <v>488</v>
      </c>
      <c r="T565" s="2" t="s">
        <v>488</v>
      </c>
      <c r="U565" s="2">
        <v>0</v>
      </c>
      <c r="V565" s="2">
        <v>0</v>
      </c>
      <c r="W565">
        <f t="shared" si="8"/>
        <v>0</v>
      </c>
    </row>
    <row r="566" spans="1:23" x14ac:dyDescent="0.25">
      <c r="A566" s="2" t="s">
        <v>628</v>
      </c>
      <c r="B566" s="2" t="s">
        <v>915</v>
      </c>
      <c r="C566" s="2">
        <v>540284</v>
      </c>
      <c r="D566" s="2" t="s">
        <v>809</v>
      </c>
      <c r="E566" s="2" t="s">
        <v>69</v>
      </c>
      <c r="F566" s="2" t="s">
        <v>115</v>
      </c>
      <c r="G566" s="2">
        <v>6</v>
      </c>
      <c r="H566" s="2">
        <v>0</v>
      </c>
      <c r="I566" s="2">
        <v>0</v>
      </c>
      <c r="J566" s="2">
        <v>0</v>
      </c>
      <c r="K566" s="2">
        <v>0</v>
      </c>
      <c r="L566" s="2">
        <v>0</v>
      </c>
      <c r="M566" s="2">
        <v>0</v>
      </c>
      <c r="N566" s="2">
        <v>0</v>
      </c>
      <c r="O566" s="2">
        <v>0</v>
      </c>
      <c r="P566" s="2">
        <v>0</v>
      </c>
      <c r="Q566" s="2">
        <v>0</v>
      </c>
      <c r="R566" s="2">
        <v>0</v>
      </c>
      <c r="S566" s="2" t="s">
        <v>488</v>
      </c>
      <c r="T566" s="2" t="s">
        <v>488</v>
      </c>
      <c r="U566" s="2">
        <v>0</v>
      </c>
      <c r="V566" s="2">
        <v>0</v>
      </c>
      <c r="W566">
        <f t="shared" si="8"/>
        <v>0</v>
      </c>
    </row>
    <row r="567" spans="1:23" x14ac:dyDescent="0.25">
      <c r="A567" s="255" t="s">
        <v>628</v>
      </c>
      <c r="B567" s="255" t="s">
        <v>915</v>
      </c>
      <c r="C567" s="255"/>
      <c r="D567" s="255"/>
      <c r="E567" s="255" t="s">
        <v>69</v>
      </c>
      <c r="F567" s="255"/>
      <c r="G567" s="255"/>
      <c r="H567" s="255">
        <v>1</v>
      </c>
      <c r="I567" s="255">
        <v>0</v>
      </c>
      <c r="J567" s="255">
        <v>0</v>
      </c>
      <c r="K567" s="255">
        <v>0</v>
      </c>
      <c r="L567" s="255">
        <v>0</v>
      </c>
      <c r="M567" s="255">
        <v>0</v>
      </c>
      <c r="N567" s="255">
        <v>1</v>
      </c>
      <c r="O567" s="255">
        <v>0</v>
      </c>
      <c r="P567" s="255">
        <v>0</v>
      </c>
      <c r="Q567" s="255">
        <v>0</v>
      </c>
      <c r="R567" s="255">
        <v>0</v>
      </c>
      <c r="S567" s="255" t="s">
        <v>488</v>
      </c>
      <c r="T567" s="255" t="s">
        <v>488</v>
      </c>
      <c r="U567" s="255">
        <v>0</v>
      </c>
      <c r="V567" s="255">
        <v>0</v>
      </c>
      <c r="W567">
        <f t="shared" si="8"/>
        <v>1</v>
      </c>
    </row>
    <row r="568" spans="1:23" x14ac:dyDescent="0.25">
      <c r="A568" s="2" t="s">
        <v>628</v>
      </c>
      <c r="B568" s="2" t="s">
        <v>915</v>
      </c>
      <c r="C568" s="2">
        <v>540164</v>
      </c>
      <c r="D568" s="2" t="s">
        <v>810</v>
      </c>
      <c r="E568" s="2" t="s">
        <v>71</v>
      </c>
      <c r="F568" s="2" t="s">
        <v>5</v>
      </c>
      <c r="G568" s="2">
        <v>3</v>
      </c>
      <c r="H568" s="2">
        <v>0</v>
      </c>
      <c r="I568" s="2">
        <v>0</v>
      </c>
      <c r="J568" s="2">
        <v>0</v>
      </c>
      <c r="K568" s="2">
        <v>0</v>
      </c>
      <c r="L568" s="2">
        <v>0</v>
      </c>
      <c r="M568" s="2">
        <v>0</v>
      </c>
      <c r="N568" s="2">
        <v>0</v>
      </c>
      <c r="O568" s="2">
        <v>0</v>
      </c>
      <c r="P568" s="2">
        <v>0</v>
      </c>
      <c r="Q568" s="2">
        <v>0</v>
      </c>
      <c r="R568" s="2">
        <v>0</v>
      </c>
      <c r="S568" s="2" t="s">
        <v>488</v>
      </c>
      <c r="T568" s="2" t="s">
        <v>488</v>
      </c>
      <c r="U568" s="2">
        <v>0</v>
      </c>
      <c r="V568" s="2">
        <v>0</v>
      </c>
      <c r="W568">
        <f t="shared" si="8"/>
        <v>0</v>
      </c>
    </row>
    <row r="569" spans="1:23" x14ac:dyDescent="0.25">
      <c r="A569" s="2" t="s">
        <v>628</v>
      </c>
      <c r="B569" s="2" t="s">
        <v>915</v>
      </c>
      <c r="C569" s="2">
        <v>540081</v>
      </c>
      <c r="D569" s="2" t="s">
        <v>711</v>
      </c>
      <c r="E569" s="2" t="s">
        <v>71</v>
      </c>
      <c r="F569" s="2" t="s">
        <v>115</v>
      </c>
      <c r="G569" s="2">
        <v>3</v>
      </c>
      <c r="H569" s="2">
        <v>0</v>
      </c>
      <c r="I569" s="2">
        <v>0</v>
      </c>
      <c r="J569" s="2">
        <v>0</v>
      </c>
      <c r="K569" s="2">
        <v>0</v>
      </c>
      <c r="L569" s="2">
        <v>0</v>
      </c>
      <c r="M569" s="2">
        <v>0</v>
      </c>
      <c r="N569" s="2">
        <v>0</v>
      </c>
      <c r="O569" s="2">
        <v>0</v>
      </c>
      <c r="P569" s="2">
        <v>0</v>
      </c>
      <c r="Q569" s="2">
        <v>0</v>
      </c>
      <c r="R569" s="2">
        <v>0</v>
      </c>
      <c r="S569" s="2" t="s">
        <v>488</v>
      </c>
      <c r="T569" s="2" t="s">
        <v>488</v>
      </c>
      <c r="U569" s="2">
        <v>0</v>
      </c>
      <c r="V569" s="2">
        <v>0</v>
      </c>
      <c r="W569">
        <f t="shared" si="8"/>
        <v>0</v>
      </c>
    </row>
    <row r="570" spans="1:23" x14ac:dyDescent="0.25">
      <c r="A570" s="2" t="s">
        <v>628</v>
      </c>
      <c r="B570" s="2" t="s">
        <v>915</v>
      </c>
      <c r="C570" s="2">
        <v>540165</v>
      </c>
      <c r="D570" s="2" t="s">
        <v>811</v>
      </c>
      <c r="E570" s="2" t="s">
        <v>71</v>
      </c>
      <c r="F570" s="2" t="s">
        <v>115</v>
      </c>
      <c r="G570" s="2">
        <v>3</v>
      </c>
      <c r="H570" s="2">
        <v>0</v>
      </c>
      <c r="I570" s="2">
        <v>0</v>
      </c>
      <c r="J570" s="2">
        <v>0</v>
      </c>
      <c r="K570" s="2">
        <v>0</v>
      </c>
      <c r="L570" s="2">
        <v>0</v>
      </c>
      <c r="M570" s="2">
        <v>0</v>
      </c>
      <c r="N570" s="2">
        <v>0</v>
      </c>
      <c r="O570" s="2">
        <v>0</v>
      </c>
      <c r="P570" s="2">
        <v>0</v>
      </c>
      <c r="Q570" s="2">
        <v>0</v>
      </c>
      <c r="R570" s="2">
        <v>0</v>
      </c>
      <c r="S570" s="2" t="s">
        <v>488</v>
      </c>
      <c r="T570" s="2" t="s">
        <v>488</v>
      </c>
      <c r="U570" s="2">
        <v>0</v>
      </c>
      <c r="V570" s="2">
        <v>0</v>
      </c>
      <c r="W570">
        <f t="shared" si="8"/>
        <v>0</v>
      </c>
    </row>
    <row r="571" spans="1:23" x14ac:dyDescent="0.25">
      <c r="A571" s="2" t="s">
        <v>628</v>
      </c>
      <c r="B571" s="2" t="s">
        <v>915</v>
      </c>
      <c r="C571" s="2">
        <v>540166</v>
      </c>
      <c r="D571" s="2" t="s">
        <v>812</v>
      </c>
      <c r="E571" s="2" t="s">
        <v>71</v>
      </c>
      <c r="F571" s="2" t="s">
        <v>115</v>
      </c>
      <c r="G571" s="2">
        <v>3</v>
      </c>
      <c r="H571" s="2">
        <v>0</v>
      </c>
      <c r="I571" s="2">
        <v>0</v>
      </c>
      <c r="J571" s="2">
        <v>0</v>
      </c>
      <c r="K571" s="2">
        <v>0</v>
      </c>
      <c r="L571" s="2">
        <v>0</v>
      </c>
      <c r="M571" s="2">
        <v>0</v>
      </c>
      <c r="N571" s="2">
        <v>0</v>
      </c>
      <c r="O571" s="2">
        <v>0</v>
      </c>
      <c r="P571" s="2">
        <v>0</v>
      </c>
      <c r="Q571" s="2">
        <v>0</v>
      </c>
      <c r="R571" s="2">
        <v>0</v>
      </c>
      <c r="S571" s="2" t="s">
        <v>488</v>
      </c>
      <c r="T571" s="2" t="s">
        <v>488</v>
      </c>
      <c r="U571" s="2">
        <v>2</v>
      </c>
      <c r="V571" s="2">
        <v>0</v>
      </c>
      <c r="W571">
        <f t="shared" si="8"/>
        <v>2</v>
      </c>
    </row>
    <row r="572" spans="1:23" x14ac:dyDescent="0.25">
      <c r="A572" s="2" t="s">
        <v>628</v>
      </c>
      <c r="B572" s="2" t="s">
        <v>915</v>
      </c>
      <c r="C572" s="2">
        <v>540167</v>
      </c>
      <c r="D572" s="2" t="s">
        <v>813</v>
      </c>
      <c r="E572" s="2" t="s">
        <v>71</v>
      </c>
      <c r="F572" s="2" t="s">
        <v>115</v>
      </c>
      <c r="G572" s="2">
        <v>3</v>
      </c>
      <c r="H572" s="2">
        <v>0</v>
      </c>
      <c r="I572" s="2">
        <v>0</v>
      </c>
      <c r="J572" s="2">
        <v>0</v>
      </c>
      <c r="K572" s="2">
        <v>0</v>
      </c>
      <c r="L572" s="2">
        <v>0</v>
      </c>
      <c r="M572" s="2">
        <v>0</v>
      </c>
      <c r="N572" s="2">
        <v>0</v>
      </c>
      <c r="O572" s="2">
        <v>0</v>
      </c>
      <c r="P572" s="2">
        <v>0</v>
      </c>
      <c r="Q572" s="2">
        <v>0</v>
      </c>
      <c r="R572" s="2">
        <v>0</v>
      </c>
      <c r="S572" s="2" t="s">
        <v>488</v>
      </c>
      <c r="T572" s="2" t="s">
        <v>488</v>
      </c>
      <c r="U572" s="2">
        <v>0</v>
      </c>
      <c r="V572" s="2">
        <v>0</v>
      </c>
      <c r="W572">
        <f t="shared" si="8"/>
        <v>0</v>
      </c>
    </row>
    <row r="573" spans="1:23" x14ac:dyDescent="0.25">
      <c r="A573" s="2" t="s">
        <v>628</v>
      </c>
      <c r="B573" s="2" t="s">
        <v>915</v>
      </c>
      <c r="C573" s="2">
        <v>540168</v>
      </c>
      <c r="D573" s="2" t="s">
        <v>814</v>
      </c>
      <c r="E573" s="2" t="s">
        <v>71</v>
      </c>
      <c r="F573" s="2" t="s">
        <v>115</v>
      </c>
      <c r="G573" s="2">
        <v>3</v>
      </c>
      <c r="H573" s="2">
        <v>0</v>
      </c>
      <c r="I573" s="2">
        <v>0</v>
      </c>
      <c r="J573" s="2">
        <v>0</v>
      </c>
      <c r="K573" s="2">
        <v>0</v>
      </c>
      <c r="L573" s="2">
        <v>0</v>
      </c>
      <c r="M573" s="2">
        <v>0</v>
      </c>
      <c r="N573" s="2">
        <v>0</v>
      </c>
      <c r="O573" s="2">
        <v>0</v>
      </c>
      <c r="P573" s="2">
        <v>0</v>
      </c>
      <c r="Q573" s="2">
        <v>0</v>
      </c>
      <c r="R573" s="2">
        <v>0</v>
      </c>
      <c r="S573" s="2" t="s">
        <v>488</v>
      </c>
      <c r="T573" s="2" t="s">
        <v>488</v>
      </c>
      <c r="U573" s="2">
        <v>1</v>
      </c>
      <c r="V573" s="2">
        <v>0</v>
      </c>
      <c r="W573">
        <f t="shared" si="8"/>
        <v>1</v>
      </c>
    </row>
    <row r="574" spans="1:23" x14ac:dyDescent="0.25">
      <c r="A574" s="2" t="s">
        <v>628</v>
      </c>
      <c r="B574" s="2" t="s">
        <v>915</v>
      </c>
      <c r="C574" s="2">
        <v>540222</v>
      </c>
      <c r="D574" s="2" t="s">
        <v>815</v>
      </c>
      <c r="E574" s="2" t="s">
        <v>71</v>
      </c>
      <c r="F574" s="2" t="s">
        <v>115</v>
      </c>
      <c r="G574" s="2">
        <v>3</v>
      </c>
      <c r="H574" s="2">
        <v>0</v>
      </c>
      <c r="I574" s="2">
        <v>0</v>
      </c>
      <c r="J574" s="2">
        <v>0</v>
      </c>
      <c r="K574" s="2">
        <v>0</v>
      </c>
      <c r="L574" s="2">
        <v>0</v>
      </c>
      <c r="M574" s="2">
        <v>0</v>
      </c>
      <c r="N574" s="2">
        <v>0</v>
      </c>
      <c r="O574" s="2">
        <v>0</v>
      </c>
      <c r="P574" s="2">
        <v>0</v>
      </c>
      <c r="Q574" s="2">
        <v>0</v>
      </c>
      <c r="R574" s="2">
        <v>0</v>
      </c>
      <c r="S574" s="2" t="s">
        <v>488</v>
      </c>
      <c r="T574" s="2" t="s">
        <v>488</v>
      </c>
      <c r="U574" s="2">
        <v>0</v>
      </c>
      <c r="V574" s="2">
        <v>0</v>
      </c>
      <c r="W574">
        <f t="shared" si="8"/>
        <v>0</v>
      </c>
    </row>
    <row r="575" spans="1:23" x14ac:dyDescent="0.25">
      <c r="A575" s="2" t="s">
        <v>628</v>
      </c>
      <c r="B575" s="2" t="s">
        <v>915</v>
      </c>
      <c r="C575" s="2">
        <v>540271</v>
      </c>
      <c r="D575" s="2" t="s">
        <v>816</v>
      </c>
      <c r="E575" s="2" t="s">
        <v>71</v>
      </c>
      <c r="F575" s="2" t="s">
        <v>115</v>
      </c>
      <c r="G575" s="2">
        <v>3</v>
      </c>
      <c r="H575" s="2">
        <v>0</v>
      </c>
      <c r="I575" s="2">
        <v>0</v>
      </c>
      <c r="J575" s="2">
        <v>0</v>
      </c>
      <c r="K575" s="2">
        <v>0</v>
      </c>
      <c r="L575" s="2">
        <v>0</v>
      </c>
      <c r="M575" s="2">
        <v>0</v>
      </c>
      <c r="N575" s="2">
        <v>0</v>
      </c>
      <c r="O575" s="2">
        <v>0</v>
      </c>
      <c r="P575" s="2">
        <v>0</v>
      </c>
      <c r="Q575" s="2">
        <v>0</v>
      </c>
      <c r="R575" s="2">
        <v>0</v>
      </c>
      <c r="S575" s="2" t="s">
        <v>488</v>
      </c>
      <c r="T575" s="2" t="s">
        <v>488</v>
      </c>
      <c r="U575" s="2">
        <v>1</v>
      </c>
      <c r="V575" s="2">
        <v>0</v>
      </c>
      <c r="W575">
        <f t="shared" si="8"/>
        <v>1</v>
      </c>
    </row>
    <row r="576" spans="1:23" x14ac:dyDescent="0.25">
      <c r="A576" s="255" t="s">
        <v>628</v>
      </c>
      <c r="B576" s="255" t="s">
        <v>915</v>
      </c>
      <c r="C576" s="255"/>
      <c r="D576" s="255"/>
      <c r="E576" s="255" t="s">
        <v>71</v>
      </c>
      <c r="F576" s="255"/>
      <c r="G576" s="255"/>
      <c r="H576" s="255">
        <v>0</v>
      </c>
      <c r="I576" s="255">
        <v>0</v>
      </c>
      <c r="J576" s="255">
        <v>0</v>
      </c>
      <c r="K576" s="255">
        <v>0</v>
      </c>
      <c r="L576" s="255">
        <v>0</v>
      </c>
      <c r="M576" s="255">
        <v>0</v>
      </c>
      <c r="N576" s="255">
        <v>0</v>
      </c>
      <c r="O576" s="255">
        <v>0</v>
      </c>
      <c r="P576" s="255">
        <v>0</v>
      </c>
      <c r="Q576" s="255">
        <v>0</v>
      </c>
      <c r="R576" s="255">
        <v>0</v>
      </c>
      <c r="S576" s="255" t="s">
        <v>488</v>
      </c>
      <c r="T576" s="255" t="s">
        <v>488</v>
      </c>
      <c r="U576" s="255">
        <v>4</v>
      </c>
      <c r="V576" s="255">
        <v>0</v>
      </c>
      <c r="W576">
        <f t="shared" si="8"/>
        <v>4</v>
      </c>
    </row>
    <row r="577" spans="1:23" x14ac:dyDescent="0.25">
      <c r="A577" s="2" t="s">
        <v>628</v>
      </c>
      <c r="B577" s="2" t="s">
        <v>915</v>
      </c>
      <c r="C577" s="2">
        <v>540169</v>
      </c>
      <c r="D577" s="2" t="s">
        <v>817</v>
      </c>
      <c r="E577" s="2" t="s">
        <v>73</v>
      </c>
      <c r="F577" s="2" t="s">
        <v>5</v>
      </c>
      <c r="G577" s="2">
        <v>1</v>
      </c>
      <c r="H577" s="2">
        <v>0</v>
      </c>
      <c r="I577" s="2">
        <v>0</v>
      </c>
      <c r="J577" s="2">
        <v>0</v>
      </c>
      <c r="K577" s="2">
        <v>0</v>
      </c>
      <c r="L577" s="2">
        <v>0</v>
      </c>
      <c r="M577" s="2">
        <v>0</v>
      </c>
      <c r="N577" s="2">
        <v>0</v>
      </c>
      <c r="O577" s="2">
        <v>0</v>
      </c>
      <c r="P577" s="2">
        <v>0</v>
      </c>
      <c r="Q577" s="2">
        <v>0</v>
      </c>
      <c r="R577" s="2">
        <v>0</v>
      </c>
      <c r="S577" s="2" t="s">
        <v>488</v>
      </c>
      <c r="T577" s="2" t="s">
        <v>488</v>
      </c>
      <c r="U577" s="2">
        <v>1</v>
      </c>
      <c r="V577" s="2">
        <v>0</v>
      </c>
      <c r="W577">
        <f t="shared" si="8"/>
        <v>1</v>
      </c>
    </row>
    <row r="578" spans="1:23" x14ac:dyDescent="0.25">
      <c r="A578" s="2" t="s">
        <v>628</v>
      </c>
      <c r="B578" s="2" t="s">
        <v>915</v>
      </c>
      <c r="C578" s="2">
        <v>540170</v>
      </c>
      <c r="D578" s="2" t="s">
        <v>818</v>
      </c>
      <c r="E578" s="2" t="s">
        <v>73</v>
      </c>
      <c r="F578" s="2" t="s">
        <v>115</v>
      </c>
      <c r="G578" s="2">
        <v>1</v>
      </c>
      <c r="H578" s="2">
        <v>0</v>
      </c>
      <c r="I578" s="2">
        <v>0</v>
      </c>
      <c r="J578" s="2">
        <v>0</v>
      </c>
      <c r="K578" s="2">
        <v>0</v>
      </c>
      <c r="L578" s="2">
        <v>0</v>
      </c>
      <c r="M578" s="2">
        <v>0</v>
      </c>
      <c r="N578" s="2">
        <v>0</v>
      </c>
      <c r="O578" s="2">
        <v>0</v>
      </c>
      <c r="P578" s="2">
        <v>0</v>
      </c>
      <c r="Q578" s="2">
        <v>0</v>
      </c>
      <c r="R578" s="2">
        <v>0</v>
      </c>
      <c r="S578" s="2" t="s">
        <v>488</v>
      </c>
      <c r="T578" s="2" t="s">
        <v>488</v>
      </c>
      <c r="U578" s="2">
        <v>0</v>
      </c>
      <c r="V578" s="2">
        <v>0</v>
      </c>
      <c r="W578">
        <f t="shared" si="8"/>
        <v>0</v>
      </c>
    </row>
    <row r="579" spans="1:23" x14ac:dyDescent="0.25">
      <c r="A579" s="2" t="s">
        <v>628</v>
      </c>
      <c r="B579" s="2" t="s">
        <v>915</v>
      </c>
      <c r="C579" s="2">
        <v>540171</v>
      </c>
      <c r="D579" s="2" t="s">
        <v>819</v>
      </c>
      <c r="E579" s="2" t="s">
        <v>73</v>
      </c>
      <c r="F579" s="2" t="s">
        <v>115</v>
      </c>
      <c r="G579" s="2">
        <v>1</v>
      </c>
      <c r="H579" s="2">
        <v>0</v>
      </c>
      <c r="I579" s="2">
        <v>0</v>
      </c>
      <c r="J579" s="2">
        <v>0</v>
      </c>
      <c r="K579" s="2">
        <v>0</v>
      </c>
      <c r="L579" s="2">
        <v>0</v>
      </c>
      <c r="M579" s="2">
        <v>0</v>
      </c>
      <c r="N579" s="2">
        <v>0</v>
      </c>
      <c r="O579" s="2">
        <v>0</v>
      </c>
      <c r="P579" s="2">
        <v>0</v>
      </c>
      <c r="Q579" s="2">
        <v>0</v>
      </c>
      <c r="R579" s="2">
        <v>0</v>
      </c>
      <c r="S579" s="2" t="s">
        <v>488</v>
      </c>
      <c r="T579" s="2" t="s">
        <v>488</v>
      </c>
      <c r="U579" s="2">
        <v>0</v>
      </c>
      <c r="V579" s="2">
        <v>0</v>
      </c>
      <c r="W579">
        <f t="shared" ref="W579:W642" si="9">SUM(N579,P579,R579,T579,U579,V579)</f>
        <v>0</v>
      </c>
    </row>
    <row r="580" spans="1:23" x14ac:dyDescent="0.25">
      <c r="A580" s="2" t="s">
        <v>628</v>
      </c>
      <c r="B580" s="2" t="s">
        <v>915</v>
      </c>
      <c r="C580" s="2">
        <v>540173</v>
      </c>
      <c r="D580" s="2" t="s">
        <v>820</v>
      </c>
      <c r="E580" s="2" t="s">
        <v>73</v>
      </c>
      <c r="F580" s="2" t="s">
        <v>115</v>
      </c>
      <c r="G580" s="2">
        <v>1</v>
      </c>
      <c r="H580" s="2">
        <v>0</v>
      </c>
      <c r="I580" s="2">
        <v>0</v>
      </c>
      <c r="J580" s="2">
        <v>0</v>
      </c>
      <c r="K580" s="2">
        <v>0</v>
      </c>
      <c r="L580" s="2">
        <v>0</v>
      </c>
      <c r="M580" s="2">
        <v>0</v>
      </c>
      <c r="N580" s="2">
        <v>0</v>
      </c>
      <c r="O580" s="2">
        <v>0</v>
      </c>
      <c r="P580" s="2">
        <v>0</v>
      </c>
      <c r="Q580" s="2">
        <v>0</v>
      </c>
      <c r="R580" s="2">
        <v>0</v>
      </c>
      <c r="S580" s="2" t="s">
        <v>488</v>
      </c>
      <c r="T580" s="2" t="s">
        <v>488</v>
      </c>
      <c r="U580" s="2">
        <v>0</v>
      </c>
      <c r="V580" s="2">
        <v>0</v>
      </c>
      <c r="W580">
        <f t="shared" si="9"/>
        <v>0</v>
      </c>
    </row>
    <row r="581" spans="1:23" x14ac:dyDescent="0.25">
      <c r="A581" s="2" t="s">
        <v>628</v>
      </c>
      <c r="B581" s="2" t="s">
        <v>915</v>
      </c>
      <c r="C581" s="2">
        <v>540174</v>
      </c>
      <c r="D581" s="2" t="s">
        <v>821</v>
      </c>
      <c r="E581" s="2" t="s">
        <v>73</v>
      </c>
      <c r="F581" s="2" t="s">
        <v>115</v>
      </c>
      <c r="G581" s="2">
        <v>1</v>
      </c>
      <c r="H581" s="2">
        <v>0</v>
      </c>
      <c r="I581" s="2">
        <v>0</v>
      </c>
      <c r="J581" s="2">
        <v>0</v>
      </c>
      <c r="K581" s="2">
        <v>0</v>
      </c>
      <c r="L581" s="2">
        <v>0</v>
      </c>
      <c r="M581" s="2">
        <v>0</v>
      </c>
      <c r="N581" s="2">
        <v>0</v>
      </c>
      <c r="O581" s="2">
        <v>0</v>
      </c>
      <c r="P581" s="2">
        <v>0</v>
      </c>
      <c r="Q581" s="2">
        <v>0</v>
      </c>
      <c r="R581" s="2">
        <v>0</v>
      </c>
      <c r="S581" s="2" t="s">
        <v>488</v>
      </c>
      <c r="T581" s="2" t="s">
        <v>488</v>
      </c>
      <c r="U581" s="2">
        <v>0</v>
      </c>
      <c r="V581" s="2">
        <v>0</v>
      </c>
      <c r="W581">
        <f t="shared" si="9"/>
        <v>0</v>
      </c>
    </row>
    <row r="582" spans="1:23" x14ac:dyDescent="0.25">
      <c r="A582" s="2" t="s">
        <v>628</v>
      </c>
      <c r="B582" s="2" t="s">
        <v>915</v>
      </c>
      <c r="C582" s="2">
        <v>540286</v>
      </c>
      <c r="D582" s="2" t="s">
        <v>822</v>
      </c>
      <c r="E582" s="2" t="s">
        <v>73</v>
      </c>
      <c r="F582" s="2" t="s">
        <v>115</v>
      </c>
      <c r="G582" s="2">
        <v>1</v>
      </c>
      <c r="H582" s="2">
        <v>0</v>
      </c>
      <c r="I582" s="2">
        <v>1</v>
      </c>
      <c r="J582" s="2">
        <v>0</v>
      </c>
      <c r="K582" s="2">
        <v>0</v>
      </c>
      <c r="L582" s="2">
        <v>0</v>
      </c>
      <c r="M582" s="2">
        <v>1</v>
      </c>
      <c r="N582" s="2">
        <v>1</v>
      </c>
      <c r="O582" s="2">
        <v>0</v>
      </c>
      <c r="P582" s="2">
        <v>0</v>
      </c>
      <c r="Q582" s="2">
        <v>0</v>
      </c>
      <c r="R582" s="2">
        <v>0</v>
      </c>
      <c r="S582" s="2" t="s">
        <v>488</v>
      </c>
      <c r="T582" s="2" t="s">
        <v>488</v>
      </c>
      <c r="U582" s="2">
        <v>0</v>
      </c>
      <c r="V582" s="2">
        <v>0</v>
      </c>
      <c r="W582">
        <f t="shared" si="9"/>
        <v>1</v>
      </c>
    </row>
    <row r="583" spans="1:23" x14ac:dyDescent="0.25">
      <c r="A583" s="255" t="s">
        <v>628</v>
      </c>
      <c r="B583" s="255" t="s">
        <v>915</v>
      </c>
      <c r="C583" s="255"/>
      <c r="D583" s="255"/>
      <c r="E583" s="255" t="s">
        <v>73</v>
      </c>
      <c r="F583" s="255"/>
      <c r="G583" s="255"/>
      <c r="H583" s="255">
        <v>0</v>
      </c>
      <c r="I583" s="255">
        <v>1</v>
      </c>
      <c r="J583" s="255">
        <v>0</v>
      </c>
      <c r="K583" s="255">
        <v>0</v>
      </c>
      <c r="L583" s="255">
        <v>0</v>
      </c>
      <c r="M583" s="255">
        <v>1</v>
      </c>
      <c r="N583" s="255">
        <v>1</v>
      </c>
      <c r="O583" s="255">
        <v>0</v>
      </c>
      <c r="P583" s="255">
        <v>0</v>
      </c>
      <c r="Q583" s="255">
        <v>0</v>
      </c>
      <c r="R583" s="255">
        <v>0</v>
      </c>
      <c r="S583" s="255" t="s">
        <v>488</v>
      </c>
      <c r="T583" s="255" t="s">
        <v>488</v>
      </c>
      <c r="U583" s="255">
        <v>1</v>
      </c>
      <c r="V583" s="255">
        <v>0</v>
      </c>
      <c r="W583">
        <f t="shared" si="9"/>
        <v>2</v>
      </c>
    </row>
    <row r="584" spans="1:23" x14ac:dyDescent="0.25">
      <c r="A584" s="2" t="s">
        <v>628</v>
      </c>
      <c r="B584" s="2" t="s">
        <v>915</v>
      </c>
      <c r="C584" s="2">
        <v>540183</v>
      </c>
      <c r="D584" s="2" t="s">
        <v>823</v>
      </c>
      <c r="E584" s="2" t="s">
        <v>77</v>
      </c>
      <c r="F584" s="2" t="s">
        <v>5</v>
      </c>
      <c r="G584" s="2">
        <v>5</v>
      </c>
      <c r="H584" s="2">
        <v>1</v>
      </c>
      <c r="I584" s="2">
        <v>0</v>
      </c>
      <c r="J584" s="2">
        <v>0</v>
      </c>
      <c r="K584" s="2">
        <v>0</v>
      </c>
      <c r="L584" s="2">
        <v>0</v>
      </c>
      <c r="M584" s="2">
        <v>0</v>
      </c>
      <c r="N584" s="2">
        <v>1</v>
      </c>
      <c r="O584" s="2">
        <v>0</v>
      </c>
      <c r="P584" s="2">
        <v>0</v>
      </c>
      <c r="Q584" s="2">
        <v>0</v>
      </c>
      <c r="R584" s="2">
        <v>0</v>
      </c>
      <c r="S584" s="2" t="s">
        <v>488</v>
      </c>
      <c r="T584" s="2" t="s">
        <v>488</v>
      </c>
      <c r="U584" s="2">
        <v>0</v>
      </c>
      <c r="V584" s="2">
        <v>0</v>
      </c>
      <c r="W584">
        <f t="shared" si="9"/>
        <v>1</v>
      </c>
    </row>
    <row r="585" spans="1:23" x14ac:dyDescent="0.25">
      <c r="A585" s="2" t="s">
        <v>628</v>
      </c>
      <c r="B585" s="2" t="s">
        <v>915</v>
      </c>
      <c r="C585" s="2">
        <v>540184</v>
      </c>
      <c r="D585" s="2" t="s">
        <v>824</v>
      </c>
      <c r="E585" s="2" t="s">
        <v>77</v>
      </c>
      <c r="F585" s="2" t="s">
        <v>115</v>
      </c>
      <c r="G585" s="2">
        <v>5</v>
      </c>
      <c r="H585" s="2">
        <v>0</v>
      </c>
      <c r="I585" s="2">
        <v>0</v>
      </c>
      <c r="J585" s="2">
        <v>0</v>
      </c>
      <c r="K585" s="2">
        <v>0</v>
      </c>
      <c r="L585" s="2">
        <v>0</v>
      </c>
      <c r="M585" s="2">
        <v>0</v>
      </c>
      <c r="N585" s="2">
        <v>0</v>
      </c>
      <c r="O585" s="2">
        <v>0</v>
      </c>
      <c r="P585" s="2">
        <v>0</v>
      </c>
      <c r="Q585" s="2">
        <v>0</v>
      </c>
      <c r="R585" s="2">
        <v>0</v>
      </c>
      <c r="S585" s="2" t="s">
        <v>488</v>
      </c>
      <c r="T585" s="2" t="s">
        <v>488</v>
      </c>
      <c r="U585" s="2">
        <v>0</v>
      </c>
      <c r="V585" s="2">
        <v>0</v>
      </c>
      <c r="W585">
        <f t="shared" si="9"/>
        <v>0</v>
      </c>
    </row>
    <row r="586" spans="1:23" x14ac:dyDescent="0.25">
      <c r="A586" s="2" t="s">
        <v>628</v>
      </c>
      <c r="B586" s="2" t="s">
        <v>915</v>
      </c>
      <c r="C586" s="2">
        <v>540185</v>
      </c>
      <c r="D586" s="2" t="s">
        <v>825</v>
      </c>
      <c r="E586" s="2" t="s">
        <v>77</v>
      </c>
      <c r="F586" s="2" t="s">
        <v>115</v>
      </c>
      <c r="G586" s="2">
        <v>5</v>
      </c>
      <c r="H586" s="2">
        <v>0</v>
      </c>
      <c r="I586" s="2">
        <v>0</v>
      </c>
      <c r="J586" s="2">
        <v>0</v>
      </c>
      <c r="K586" s="2">
        <v>0</v>
      </c>
      <c r="L586" s="2">
        <v>0</v>
      </c>
      <c r="M586" s="2">
        <v>0</v>
      </c>
      <c r="N586" s="2">
        <v>0</v>
      </c>
      <c r="O586" s="2">
        <v>0</v>
      </c>
      <c r="P586" s="2">
        <v>0</v>
      </c>
      <c r="Q586" s="2">
        <v>0</v>
      </c>
      <c r="R586" s="2">
        <v>0</v>
      </c>
      <c r="S586" s="2" t="s">
        <v>488</v>
      </c>
      <c r="T586" s="2" t="s">
        <v>488</v>
      </c>
      <c r="U586" s="2">
        <v>0</v>
      </c>
      <c r="V586" s="2">
        <v>0</v>
      </c>
      <c r="W586">
        <f t="shared" si="9"/>
        <v>0</v>
      </c>
    </row>
    <row r="587" spans="1:23" x14ac:dyDescent="0.25">
      <c r="A587" s="255" t="s">
        <v>628</v>
      </c>
      <c r="B587" s="255" t="s">
        <v>915</v>
      </c>
      <c r="C587" s="255"/>
      <c r="D587" s="255"/>
      <c r="E587" s="255" t="s">
        <v>77</v>
      </c>
      <c r="F587" s="255"/>
      <c r="G587" s="255"/>
      <c r="H587" s="255">
        <v>1</v>
      </c>
      <c r="I587" s="255">
        <v>0</v>
      </c>
      <c r="J587" s="255">
        <v>0</v>
      </c>
      <c r="K587" s="255">
        <v>0</v>
      </c>
      <c r="L587" s="255">
        <v>0</v>
      </c>
      <c r="M587" s="255">
        <v>0</v>
      </c>
      <c r="N587" s="255">
        <v>1</v>
      </c>
      <c r="O587" s="255">
        <v>0</v>
      </c>
      <c r="P587" s="255">
        <v>0</v>
      </c>
      <c r="Q587" s="255">
        <v>0</v>
      </c>
      <c r="R587" s="255">
        <v>0</v>
      </c>
      <c r="S587" s="255" t="s">
        <v>488</v>
      </c>
      <c r="T587" s="255" t="s">
        <v>488</v>
      </c>
      <c r="U587" s="255">
        <v>0</v>
      </c>
      <c r="V587" s="255">
        <v>0</v>
      </c>
      <c r="W587">
        <f t="shared" si="9"/>
        <v>1</v>
      </c>
    </row>
    <row r="588" spans="1:23" x14ac:dyDescent="0.25">
      <c r="A588" s="2" t="s">
        <v>628</v>
      </c>
      <c r="B588" s="2" t="s">
        <v>915</v>
      </c>
      <c r="C588" s="2">
        <v>540186</v>
      </c>
      <c r="D588" s="2" t="s">
        <v>826</v>
      </c>
      <c r="E588" s="2" t="s">
        <v>79</v>
      </c>
      <c r="F588" s="2" t="s">
        <v>5</v>
      </c>
      <c r="G588" s="2">
        <v>1</v>
      </c>
      <c r="H588" s="2">
        <v>0</v>
      </c>
      <c r="I588" s="2">
        <v>0</v>
      </c>
      <c r="J588" s="2">
        <v>0</v>
      </c>
      <c r="K588" s="2">
        <v>0</v>
      </c>
      <c r="L588" s="2">
        <v>0</v>
      </c>
      <c r="M588" s="2">
        <v>0</v>
      </c>
      <c r="N588" s="2">
        <v>0</v>
      </c>
      <c r="O588" s="2">
        <v>0</v>
      </c>
      <c r="P588" s="2">
        <v>0</v>
      </c>
      <c r="Q588" s="2">
        <v>0</v>
      </c>
      <c r="R588" s="2">
        <v>0</v>
      </c>
      <c r="S588" s="2" t="s">
        <v>488</v>
      </c>
      <c r="T588" s="2" t="s">
        <v>488</v>
      </c>
      <c r="U588" s="2">
        <v>0</v>
      </c>
      <c r="V588" s="2">
        <v>0</v>
      </c>
      <c r="W588">
        <f t="shared" si="9"/>
        <v>0</v>
      </c>
    </row>
    <row r="589" spans="1:23" x14ac:dyDescent="0.25">
      <c r="A589" s="2" t="s">
        <v>628</v>
      </c>
      <c r="B589" s="2" t="s">
        <v>915</v>
      </c>
      <c r="C589" s="2">
        <v>540187</v>
      </c>
      <c r="D589" s="2" t="s">
        <v>827</v>
      </c>
      <c r="E589" s="2" t="s">
        <v>79</v>
      </c>
      <c r="F589" s="2" t="s">
        <v>115</v>
      </c>
      <c r="G589" s="2">
        <v>1</v>
      </c>
      <c r="H589" s="2">
        <v>0</v>
      </c>
      <c r="I589" s="2">
        <v>0</v>
      </c>
      <c r="J589" s="2">
        <v>0</v>
      </c>
      <c r="K589" s="2">
        <v>0</v>
      </c>
      <c r="L589" s="2">
        <v>0</v>
      </c>
      <c r="M589" s="2">
        <v>0</v>
      </c>
      <c r="N589" s="2">
        <v>0</v>
      </c>
      <c r="O589" s="2">
        <v>0</v>
      </c>
      <c r="P589" s="2">
        <v>0</v>
      </c>
      <c r="Q589" s="2">
        <v>0</v>
      </c>
      <c r="R589" s="2">
        <v>0</v>
      </c>
      <c r="S589" s="2" t="s">
        <v>488</v>
      </c>
      <c r="T589" s="2" t="s">
        <v>488</v>
      </c>
      <c r="U589" s="2">
        <v>1</v>
      </c>
      <c r="V589" s="2">
        <v>0</v>
      </c>
      <c r="W589">
        <f t="shared" si="9"/>
        <v>1</v>
      </c>
    </row>
    <row r="590" spans="1:23" x14ac:dyDescent="0.25">
      <c r="A590" s="255" t="s">
        <v>628</v>
      </c>
      <c r="B590" s="255" t="s">
        <v>915</v>
      </c>
      <c r="C590" s="255"/>
      <c r="D590" s="255"/>
      <c r="E590" s="255" t="s">
        <v>79</v>
      </c>
      <c r="F590" s="255"/>
      <c r="G590" s="255"/>
      <c r="H590" s="255">
        <v>0</v>
      </c>
      <c r="I590" s="255">
        <v>0</v>
      </c>
      <c r="J590" s="255">
        <v>0</v>
      </c>
      <c r="K590" s="255">
        <v>0</v>
      </c>
      <c r="L590" s="255">
        <v>0</v>
      </c>
      <c r="M590" s="255">
        <v>0</v>
      </c>
      <c r="N590" s="255">
        <v>0</v>
      </c>
      <c r="O590" s="255">
        <v>0</v>
      </c>
      <c r="P590" s="255">
        <v>0</v>
      </c>
      <c r="Q590" s="255">
        <v>0</v>
      </c>
      <c r="R590" s="255">
        <v>0</v>
      </c>
      <c r="S590" s="255" t="s">
        <v>488</v>
      </c>
      <c r="T590" s="255" t="s">
        <v>488</v>
      </c>
      <c r="U590" s="255">
        <v>1</v>
      </c>
      <c r="V590" s="255">
        <v>0</v>
      </c>
      <c r="W590">
        <f t="shared" si="9"/>
        <v>1</v>
      </c>
    </row>
    <row r="591" spans="1:23" x14ac:dyDescent="0.25">
      <c r="A591" s="2" t="s">
        <v>628</v>
      </c>
      <c r="B591" s="2" t="s">
        <v>915</v>
      </c>
      <c r="C591" s="2">
        <v>540188</v>
      </c>
      <c r="D591" s="2" t="s">
        <v>828</v>
      </c>
      <c r="E591" s="2" t="s">
        <v>81</v>
      </c>
      <c r="F591" s="2" t="s">
        <v>5</v>
      </c>
      <c r="G591" s="2">
        <v>6</v>
      </c>
      <c r="H591" s="2">
        <v>0</v>
      </c>
      <c r="I591" s="2">
        <v>0</v>
      </c>
      <c r="J591" s="2">
        <v>0</v>
      </c>
      <c r="K591" s="2">
        <v>0</v>
      </c>
      <c r="L591" s="2">
        <v>0</v>
      </c>
      <c r="M591" s="2">
        <v>0</v>
      </c>
      <c r="N591" s="2">
        <v>0</v>
      </c>
      <c r="O591" s="2">
        <v>0</v>
      </c>
      <c r="P591" s="2">
        <v>0</v>
      </c>
      <c r="Q591" s="2">
        <v>0</v>
      </c>
      <c r="R591" s="2">
        <v>0</v>
      </c>
      <c r="S591" s="2" t="s">
        <v>488</v>
      </c>
      <c r="T591" s="2" t="s">
        <v>488</v>
      </c>
      <c r="U591" s="2">
        <v>0</v>
      </c>
      <c r="V591" s="2">
        <v>0</v>
      </c>
      <c r="W591">
        <f t="shared" si="9"/>
        <v>0</v>
      </c>
    </row>
    <row r="592" spans="1:23" x14ac:dyDescent="0.25">
      <c r="A592" s="2" t="s">
        <v>628</v>
      </c>
      <c r="B592" s="2" t="s">
        <v>915</v>
      </c>
      <c r="C592" s="2">
        <v>540189</v>
      </c>
      <c r="D592" s="2" t="s">
        <v>829</v>
      </c>
      <c r="E592" s="2" t="s">
        <v>81</v>
      </c>
      <c r="F592" s="2" t="s">
        <v>115</v>
      </c>
      <c r="G592" s="2">
        <v>6</v>
      </c>
      <c r="H592" s="2">
        <v>0</v>
      </c>
      <c r="I592" s="2">
        <v>0</v>
      </c>
      <c r="J592" s="2">
        <v>0</v>
      </c>
      <c r="K592" s="2">
        <v>0</v>
      </c>
      <c r="L592" s="2">
        <v>0</v>
      </c>
      <c r="M592" s="2">
        <v>0</v>
      </c>
      <c r="N592" s="2">
        <v>0</v>
      </c>
      <c r="O592" s="2">
        <v>0</v>
      </c>
      <c r="P592" s="2">
        <v>0</v>
      </c>
      <c r="Q592" s="2">
        <v>0</v>
      </c>
      <c r="R592" s="2">
        <v>0</v>
      </c>
      <c r="S592" s="2" t="s">
        <v>488</v>
      </c>
      <c r="T592" s="2" t="s">
        <v>488</v>
      </c>
      <c r="U592" s="2">
        <v>0</v>
      </c>
      <c r="V592" s="2">
        <v>0</v>
      </c>
      <c r="W592">
        <f t="shared" si="9"/>
        <v>0</v>
      </c>
    </row>
    <row r="593" spans="1:23" x14ac:dyDescent="0.25">
      <c r="A593" s="2" t="s">
        <v>628</v>
      </c>
      <c r="B593" s="2" t="s">
        <v>915</v>
      </c>
      <c r="C593" s="2">
        <v>540190</v>
      </c>
      <c r="D593" s="2" t="s">
        <v>830</v>
      </c>
      <c r="E593" s="2" t="s">
        <v>81</v>
      </c>
      <c r="F593" s="2" t="s">
        <v>115</v>
      </c>
      <c r="G593" s="2">
        <v>6</v>
      </c>
      <c r="H593" s="2">
        <v>0</v>
      </c>
      <c r="I593" s="2">
        <v>0</v>
      </c>
      <c r="J593" s="2">
        <v>0</v>
      </c>
      <c r="K593" s="2">
        <v>0</v>
      </c>
      <c r="L593" s="2">
        <v>0</v>
      </c>
      <c r="M593" s="2">
        <v>0</v>
      </c>
      <c r="N593" s="2">
        <v>0</v>
      </c>
      <c r="O593" s="2">
        <v>0</v>
      </c>
      <c r="P593" s="2">
        <v>0</v>
      </c>
      <c r="Q593" s="2">
        <v>0</v>
      </c>
      <c r="R593" s="2">
        <v>0</v>
      </c>
      <c r="S593" s="2" t="s">
        <v>488</v>
      </c>
      <c r="T593" s="2" t="s">
        <v>488</v>
      </c>
      <c r="U593" s="2">
        <v>0</v>
      </c>
      <c r="V593" s="2">
        <v>0</v>
      </c>
      <c r="W593">
        <f t="shared" si="9"/>
        <v>0</v>
      </c>
    </row>
    <row r="594" spans="1:23" x14ac:dyDescent="0.25">
      <c r="A594" s="255" t="s">
        <v>628</v>
      </c>
      <c r="B594" s="255" t="s">
        <v>915</v>
      </c>
      <c r="C594" s="255"/>
      <c r="D594" s="255"/>
      <c r="E594" s="255" t="s">
        <v>81</v>
      </c>
      <c r="F594" s="255"/>
      <c r="G594" s="255"/>
      <c r="H594" s="255">
        <v>0</v>
      </c>
      <c r="I594" s="255">
        <v>0</v>
      </c>
      <c r="J594" s="255">
        <v>0</v>
      </c>
      <c r="K594" s="255">
        <v>0</v>
      </c>
      <c r="L594" s="255">
        <v>0</v>
      </c>
      <c r="M594" s="255">
        <v>0</v>
      </c>
      <c r="N594" s="255">
        <v>0</v>
      </c>
      <c r="O594" s="255">
        <v>0</v>
      </c>
      <c r="P594" s="255">
        <v>0</v>
      </c>
      <c r="Q594" s="255">
        <v>0</v>
      </c>
      <c r="R594" s="255">
        <v>0</v>
      </c>
      <c r="S594" s="255" t="s">
        <v>488</v>
      </c>
      <c r="T594" s="255" t="s">
        <v>488</v>
      </c>
      <c r="U594" s="255">
        <v>0</v>
      </c>
      <c r="V594" s="255">
        <v>0</v>
      </c>
      <c r="W594">
        <f t="shared" si="9"/>
        <v>0</v>
      </c>
    </row>
    <row r="595" spans="1:23" x14ac:dyDescent="0.25">
      <c r="A595" s="2" t="s">
        <v>628</v>
      </c>
      <c r="B595" s="2" t="s">
        <v>915</v>
      </c>
      <c r="C595" s="2">
        <v>540198</v>
      </c>
      <c r="D595" s="2" t="s">
        <v>831</v>
      </c>
      <c r="E595" s="2" t="s">
        <v>83</v>
      </c>
      <c r="F595" s="2" t="s">
        <v>5</v>
      </c>
      <c r="G595" s="2">
        <v>7</v>
      </c>
      <c r="H595" s="2">
        <v>1</v>
      </c>
      <c r="I595" s="2">
        <v>0</v>
      </c>
      <c r="J595" s="2">
        <v>0</v>
      </c>
      <c r="K595" s="2">
        <v>0</v>
      </c>
      <c r="L595" s="2">
        <v>0</v>
      </c>
      <c r="M595" s="2">
        <v>0</v>
      </c>
      <c r="N595" s="2">
        <v>1</v>
      </c>
      <c r="O595" s="2">
        <v>0</v>
      </c>
      <c r="P595" s="2">
        <v>0</v>
      </c>
      <c r="Q595" s="2" t="s">
        <v>488</v>
      </c>
      <c r="R595" s="2" t="s">
        <v>488</v>
      </c>
      <c r="S595" s="2" t="s">
        <v>488</v>
      </c>
      <c r="T595" s="2" t="s">
        <v>488</v>
      </c>
      <c r="U595" s="2">
        <v>0</v>
      </c>
      <c r="V595" s="2">
        <v>0</v>
      </c>
      <c r="W595">
        <f t="shared" si="9"/>
        <v>1</v>
      </c>
    </row>
    <row r="596" spans="1:23" x14ac:dyDescent="0.25">
      <c r="A596" s="2" t="s">
        <v>628</v>
      </c>
      <c r="B596" s="2" t="s">
        <v>915</v>
      </c>
      <c r="C596" s="2">
        <v>540199</v>
      </c>
      <c r="D596" s="2" t="s">
        <v>832</v>
      </c>
      <c r="E596" s="2" t="s">
        <v>83</v>
      </c>
      <c r="F596" s="2" t="s">
        <v>115</v>
      </c>
      <c r="G596" s="2">
        <v>7</v>
      </c>
      <c r="H596" s="2">
        <v>0</v>
      </c>
      <c r="I596" s="2">
        <v>0</v>
      </c>
      <c r="J596" s="2">
        <v>0</v>
      </c>
      <c r="K596" s="2">
        <v>0</v>
      </c>
      <c r="L596" s="2">
        <v>0</v>
      </c>
      <c r="M596" s="2">
        <v>0</v>
      </c>
      <c r="N596" s="2">
        <v>0</v>
      </c>
      <c r="O596" s="2">
        <v>0</v>
      </c>
      <c r="P596" s="2">
        <v>0</v>
      </c>
      <c r="Q596" s="2" t="s">
        <v>488</v>
      </c>
      <c r="R596" s="2" t="s">
        <v>488</v>
      </c>
      <c r="S596" s="2" t="s">
        <v>488</v>
      </c>
      <c r="T596" s="2" t="s">
        <v>488</v>
      </c>
      <c r="U596" s="2">
        <v>0</v>
      </c>
      <c r="V596" s="2">
        <v>0</v>
      </c>
      <c r="W596">
        <f t="shared" si="9"/>
        <v>0</v>
      </c>
    </row>
    <row r="597" spans="1:23" x14ac:dyDescent="0.25">
      <c r="A597" s="255" t="s">
        <v>628</v>
      </c>
      <c r="B597" s="255" t="s">
        <v>915</v>
      </c>
      <c r="C597" s="255"/>
      <c r="D597" s="255"/>
      <c r="E597" s="255" t="s">
        <v>83</v>
      </c>
      <c r="F597" s="255"/>
      <c r="G597" s="255"/>
      <c r="H597" s="255">
        <v>1</v>
      </c>
      <c r="I597" s="255">
        <v>0</v>
      </c>
      <c r="J597" s="255">
        <v>0</v>
      </c>
      <c r="K597" s="255">
        <v>0</v>
      </c>
      <c r="L597" s="255">
        <v>0</v>
      </c>
      <c r="M597" s="255">
        <v>0</v>
      </c>
      <c r="N597" s="255">
        <v>1</v>
      </c>
      <c r="O597" s="255">
        <v>0</v>
      </c>
      <c r="P597" s="255">
        <v>0</v>
      </c>
      <c r="Q597" s="255" t="s">
        <v>488</v>
      </c>
      <c r="R597" s="255" t="s">
        <v>488</v>
      </c>
      <c r="S597" s="255" t="s">
        <v>488</v>
      </c>
      <c r="T597" s="255" t="s">
        <v>488</v>
      </c>
      <c r="U597" s="255">
        <v>0</v>
      </c>
      <c r="V597" s="255">
        <v>0</v>
      </c>
      <c r="W597">
        <f t="shared" si="9"/>
        <v>1</v>
      </c>
    </row>
    <row r="598" spans="1:23" x14ac:dyDescent="0.25">
      <c r="A598" s="2" t="s">
        <v>628</v>
      </c>
      <c r="B598" s="2" t="s">
        <v>915</v>
      </c>
      <c r="C598" s="2">
        <v>540200</v>
      </c>
      <c r="D598" s="2" t="s">
        <v>833</v>
      </c>
      <c r="E598" s="2" t="s">
        <v>85</v>
      </c>
      <c r="F598" s="2" t="s">
        <v>5</v>
      </c>
      <c r="G598" s="2">
        <v>2</v>
      </c>
      <c r="H598" s="2">
        <v>1</v>
      </c>
      <c r="I598" s="2">
        <v>3</v>
      </c>
      <c r="J598" s="2">
        <v>1</v>
      </c>
      <c r="K598" s="2">
        <v>0</v>
      </c>
      <c r="L598" s="2">
        <v>0</v>
      </c>
      <c r="M598" s="2">
        <v>4</v>
      </c>
      <c r="N598" s="2">
        <v>5</v>
      </c>
      <c r="O598" s="2">
        <v>0</v>
      </c>
      <c r="P598" s="2">
        <v>0</v>
      </c>
      <c r="Q598" s="2">
        <v>0</v>
      </c>
      <c r="R598" s="2">
        <v>0</v>
      </c>
      <c r="S598" s="2" t="s">
        <v>488</v>
      </c>
      <c r="T598" s="2" t="s">
        <v>488</v>
      </c>
      <c r="U598" s="2">
        <v>2</v>
      </c>
      <c r="V598" s="2">
        <v>0</v>
      </c>
      <c r="W598">
        <f t="shared" si="9"/>
        <v>7</v>
      </c>
    </row>
    <row r="599" spans="1:23" x14ac:dyDescent="0.25">
      <c r="A599" s="2" t="s">
        <v>628</v>
      </c>
      <c r="B599" s="2" t="s">
        <v>915</v>
      </c>
      <c r="C599" s="2">
        <v>540018</v>
      </c>
      <c r="D599" s="2" t="s">
        <v>651</v>
      </c>
      <c r="E599" s="2" t="s">
        <v>85</v>
      </c>
      <c r="F599" s="2" t="s">
        <v>115</v>
      </c>
      <c r="G599" s="2">
        <v>2</v>
      </c>
      <c r="H599" s="2">
        <v>0</v>
      </c>
      <c r="I599" s="2">
        <v>1</v>
      </c>
      <c r="J599" s="2">
        <v>0</v>
      </c>
      <c r="K599" s="2">
        <v>0</v>
      </c>
      <c r="L599" s="2">
        <v>0</v>
      </c>
      <c r="M599" s="2">
        <v>1</v>
      </c>
      <c r="N599" s="2">
        <v>1</v>
      </c>
      <c r="O599" s="2">
        <v>0</v>
      </c>
      <c r="P599" s="2">
        <v>0</v>
      </c>
      <c r="Q599" s="2">
        <v>0</v>
      </c>
      <c r="R599" s="2">
        <v>0</v>
      </c>
      <c r="S599" s="2" t="s">
        <v>488</v>
      </c>
      <c r="T599" s="2" t="s">
        <v>488</v>
      </c>
      <c r="U599" s="2">
        <v>0</v>
      </c>
      <c r="V599" s="2">
        <v>1</v>
      </c>
      <c r="W599">
        <f t="shared" si="9"/>
        <v>2</v>
      </c>
    </row>
    <row r="600" spans="1:23" x14ac:dyDescent="0.25">
      <c r="A600" s="2" t="s">
        <v>628</v>
      </c>
      <c r="B600" s="2" t="s">
        <v>915</v>
      </c>
      <c r="C600" s="2">
        <v>540202</v>
      </c>
      <c r="D600" s="2" t="s">
        <v>834</v>
      </c>
      <c r="E600" s="2" t="s">
        <v>85</v>
      </c>
      <c r="F600" s="2" t="s">
        <v>115</v>
      </c>
      <c r="G600" s="2">
        <v>2</v>
      </c>
      <c r="H600" s="2">
        <v>0</v>
      </c>
      <c r="I600" s="2">
        <v>0</v>
      </c>
      <c r="J600" s="2">
        <v>0</v>
      </c>
      <c r="K600" s="2">
        <v>0</v>
      </c>
      <c r="L600" s="2">
        <v>0</v>
      </c>
      <c r="M600" s="2">
        <v>0</v>
      </c>
      <c r="N600" s="2">
        <v>0</v>
      </c>
      <c r="O600" s="2">
        <v>0</v>
      </c>
      <c r="P600" s="2">
        <v>0</v>
      </c>
      <c r="Q600" s="2">
        <v>0</v>
      </c>
      <c r="R600" s="2">
        <v>0</v>
      </c>
      <c r="S600" s="2" t="s">
        <v>488</v>
      </c>
      <c r="T600" s="2" t="s">
        <v>488</v>
      </c>
      <c r="U600" s="2">
        <v>1</v>
      </c>
      <c r="V600" s="2">
        <v>0</v>
      </c>
      <c r="W600">
        <f t="shared" si="9"/>
        <v>1</v>
      </c>
    </row>
    <row r="601" spans="1:23" x14ac:dyDescent="0.25">
      <c r="A601" s="2" t="s">
        <v>628</v>
      </c>
      <c r="B601" s="2" t="s">
        <v>915</v>
      </c>
      <c r="C601" s="2">
        <v>540221</v>
      </c>
      <c r="D601" s="2" t="s">
        <v>835</v>
      </c>
      <c r="E601" s="2" t="s">
        <v>85</v>
      </c>
      <c r="F601" s="2" t="s">
        <v>115</v>
      </c>
      <c r="G601" s="2">
        <v>2</v>
      </c>
      <c r="H601" s="2">
        <v>0</v>
      </c>
      <c r="I601" s="2">
        <v>0</v>
      </c>
      <c r="J601" s="2">
        <v>0</v>
      </c>
      <c r="K601" s="2">
        <v>0</v>
      </c>
      <c r="L601" s="2">
        <v>0</v>
      </c>
      <c r="M601" s="2">
        <v>0</v>
      </c>
      <c r="N601" s="2">
        <v>0</v>
      </c>
      <c r="O601" s="2">
        <v>0</v>
      </c>
      <c r="P601" s="2">
        <v>0</v>
      </c>
      <c r="Q601" s="2">
        <v>0</v>
      </c>
      <c r="R601" s="2">
        <v>0</v>
      </c>
      <c r="S601" s="2" t="s">
        <v>488</v>
      </c>
      <c r="T601" s="2" t="s">
        <v>488</v>
      </c>
      <c r="U601" s="2">
        <v>0</v>
      </c>
      <c r="V601" s="2">
        <v>1</v>
      </c>
      <c r="W601">
        <f t="shared" si="9"/>
        <v>1</v>
      </c>
    </row>
    <row r="602" spans="1:23" x14ac:dyDescent="0.25">
      <c r="A602" s="2" t="s">
        <v>628</v>
      </c>
      <c r="B602" s="2" t="s">
        <v>915</v>
      </c>
      <c r="C602" s="2">
        <v>540231</v>
      </c>
      <c r="D602" s="2" t="s">
        <v>836</v>
      </c>
      <c r="E602" s="2" t="s">
        <v>85</v>
      </c>
      <c r="F602" s="2" t="s">
        <v>115</v>
      </c>
      <c r="G602" s="2">
        <v>2</v>
      </c>
      <c r="H602" s="2">
        <v>0</v>
      </c>
      <c r="I602" s="2">
        <v>0</v>
      </c>
      <c r="J602" s="2">
        <v>0</v>
      </c>
      <c r="K602" s="2">
        <v>0</v>
      </c>
      <c r="L602" s="2">
        <v>0</v>
      </c>
      <c r="M602" s="2">
        <v>0</v>
      </c>
      <c r="N602" s="2">
        <v>0</v>
      </c>
      <c r="O602" s="2">
        <v>0</v>
      </c>
      <c r="P602" s="2">
        <v>0</v>
      </c>
      <c r="Q602" s="2">
        <v>0</v>
      </c>
      <c r="R602" s="2">
        <v>0</v>
      </c>
      <c r="S602" s="2" t="s">
        <v>488</v>
      </c>
      <c r="T602" s="2" t="s">
        <v>488</v>
      </c>
      <c r="U602" s="2">
        <v>0</v>
      </c>
      <c r="V602" s="2">
        <v>0</v>
      </c>
      <c r="W602">
        <f t="shared" si="9"/>
        <v>0</v>
      </c>
    </row>
    <row r="603" spans="1:23" x14ac:dyDescent="0.25">
      <c r="A603" s="2" t="s">
        <v>628</v>
      </c>
      <c r="B603" s="2" t="s">
        <v>915</v>
      </c>
      <c r="C603" s="2">
        <v>540232</v>
      </c>
      <c r="D603" s="2" t="s">
        <v>837</v>
      </c>
      <c r="E603" s="2" t="s">
        <v>85</v>
      </c>
      <c r="F603" s="2" t="s">
        <v>115</v>
      </c>
      <c r="G603" s="2">
        <v>2</v>
      </c>
      <c r="H603" s="2">
        <v>0</v>
      </c>
      <c r="I603" s="2">
        <v>0</v>
      </c>
      <c r="J603" s="2">
        <v>0</v>
      </c>
      <c r="K603" s="2">
        <v>0</v>
      </c>
      <c r="L603" s="2">
        <v>0</v>
      </c>
      <c r="M603" s="2">
        <v>0</v>
      </c>
      <c r="N603" s="2">
        <v>0</v>
      </c>
      <c r="O603" s="2">
        <v>0</v>
      </c>
      <c r="P603" s="2">
        <v>0</v>
      </c>
      <c r="Q603" s="2">
        <v>0</v>
      </c>
      <c r="R603" s="2">
        <v>0</v>
      </c>
      <c r="S603" s="2" t="s">
        <v>488</v>
      </c>
      <c r="T603" s="2" t="s">
        <v>488</v>
      </c>
      <c r="U603" s="2">
        <v>0</v>
      </c>
      <c r="V603" s="2">
        <v>1</v>
      </c>
      <c r="W603">
        <f t="shared" si="9"/>
        <v>1</v>
      </c>
    </row>
    <row r="604" spans="1:23" x14ac:dyDescent="0.25">
      <c r="A604" s="255" t="s">
        <v>628</v>
      </c>
      <c r="B604" s="255" t="s">
        <v>915</v>
      </c>
      <c r="C604" s="255"/>
      <c r="D604" s="255"/>
      <c r="E604" s="255" t="s">
        <v>85</v>
      </c>
      <c r="F604" s="255"/>
      <c r="G604" s="255"/>
      <c r="H604" s="255">
        <v>1</v>
      </c>
      <c r="I604" s="255">
        <v>4</v>
      </c>
      <c r="J604" s="255">
        <v>1</v>
      </c>
      <c r="K604" s="255">
        <v>0</v>
      </c>
      <c r="L604" s="255">
        <v>0</v>
      </c>
      <c r="M604" s="255">
        <v>5</v>
      </c>
      <c r="N604" s="255">
        <v>6</v>
      </c>
      <c r="O604" s="255">
        <v>0</v>
      </c>
      <c r="P604" s="255">
        <v>0</v>
      </c>
      <c r="Q604" s="255">
        <v>0</v>
      </c>
      <c r="R604" s="255">
        <v>0</v>
      </c>
      <c r="S604" s="255" t="s">
        <v>488</v>
      </c>
      <c r="T604" s="255" t="s">
        <v>488</v>
      </c>
      <c r="U604" s="255">
        <v>3</v>
      </c>
      <c r="V604" s="255">
        <v>3</v>
      </c>
      <c r="W604">
        <f t="shared" si="9"/>
        <v>12</v>
      </c>
    </row>
    <row r="605" spans="1:23" x14ac:dyDescent="0.25">
      <c r="A605" s="2" t="s">
        <v>628</v>
      </c>
      <c r="B605" s="2" t="s">
        <v>915</v>
      </c>
      <c r="C605" s="2">
        <v>540203</v>
      </c>
      <c r="D605" s="2" t="s">
        <v>838</v>
      </c>
      <c r="E605" s="2" t="s">
        <v>87</v>
      </c>
      <c r="F605" s="2" t="s">
        <v>5</v>
      </c>
      <c r="G605" s="2">
        <v>4</v>
      </c>
      <c r="H605" s="2">
        <v>0</v>
      </c>
      <c r="I605" s="2">
        <v>1</v>
      </c>
      <c r="J605" s="2">
        <v>0</v>
      </c>
      <c r="K605" s="2">
        <v>0</v>
      </c>
      <c r="L605" s="2">
        <v>0</v>
      </c>
      <c r="M605" s="2">
        <v>1</v>
      </c>
      <c r="N605" s="2">
        <v>1</v>
      </c>
      <c r="O605" s="2">
        <v>0</v>
      </c>
      <c r="P605" s="2">
        <v>0</v>
      </c>
      <c r="Q605" s="2" t="s">
        <v>488</v>
      </c>
      <c r="R605" s="2" t="s">
        <v>488</v>
      </c>
      <c r="S605" s="2" t="s">
        <v>488</v>
      </c>
      <c r="T605" s="2" t="s">
        <v>488</v>
      </c>
      <c r="U605" s="2">
        <v>0</v>
      </c>
      <c r="V605" s="2">
        <v>0</v>
      </c>
      <c r="W605">
        <f t="shared" si="9"/>
        <v>1</v>
      </c>
    </row>
    <row r="606" spans="1:23" x14ac:dyDescent="0.25">
      <c r="A606" s="2" t="s">
        <v>628</v>
      </c>
      <c r="B606" s="2" t="s">
        <v>915</v>
      </c>
      <c r="C606" s="2">
        <v>540204</v>
      </c>
      <c r="D606" s="2" t="s">
        <v>839</v>
      </c>
      <c r="E606" s="2" t="s">
        <v>87</v>
      </c>
      <c r="F606" s="2" t="s">
        <v>115</v>
      </c>
      <c r="G606" s="2">
        <v>4</v>
      </c>
      <c r="H606" s="2">
        <v>0</v>
      </c>
      <c r="I606" s="2">
        <v>1</v>
      </c>
      <c r="J606" s="2">
        <v>0</v>
      </c>
      <c r="K606" s="2">
        <v>0</v>
      </c>
      <c r="L606" s="2">
        <v>0</v>
      </c>
      <c r="M606" s="2">
        <v>1</v>
      </c>
      <c r="N606" s="2">
        <v>1</v>
      </c>
      <c r="O606" s="2">
        <v>0</v>
      </c>
      <c r="P606" s="2">
        <v>0</v>
      </c>
      <c r="Q606" s="2" t="s">
        <v>488</v>
      </c>
      <c r="R606" s="2" t="s">
        <v>488</v>
      </c>
      <c r="S606" s="2" t="s">
        <v>488</v>
      </c>
      <c r="T606" s="2" t="s">
        <v>488</v>
      </c>
      <c r="U606" s="2">
        <v>0</v>
      </c>
      <c r="V606" s="2">
        <v>0</v>
      </c>
      <c r="W606">
        <f t="shared" si="9"/>
        <v>1</v>
      </c>
    </row>
    <row r="607" spans="1:23" x14ac:dyDescent="0.25">
      <c r="A607" s="2" t="s">
        <v>628</v>
      </c>
      <c r="B607" s="2" t="s">
        <v>915</v>
      </c>
      <c r="C607" s="2">
        <v>540205</v>
      </c>
      <c r="D607" s="2" t="s">
        <v>840</v>
      </c>
      <c r="E607" s="2" t="s">
        <v>87</v>
      </c>
      <c r="F607" s="2" t="s">
        <v>115</v>
      </c>
      <c r="G607" s="2">
        <v>4</v>
      </c>
      <c r="H607" s="2">
        <v>0</v>
      </c>
      <c r="I607" s="2">
        <v>0</v>
      </c>
      <c r="J607" s="2">
        <v>0</v>
      </c>
      <c r="K607" s="2">
        <v>0</v>
      </c>
      <c r="L607" s="2">
        <v>0</v>
      </c>
      <c r="M607" s="2">
        <v>0</v>
      </c>
      <c r="N607" s="2">
        <v>0</v>
      </c>
      <c r="O607" s="2">
        <v>0</v>
      </c>
      <c r="P607" s="2">
        <v>0</v>
      </c>
      <c r="Q607" s="2" t="s">
        <v>488</v>
      </c>
      <c r="R607" s="2" t="s">
        <v>488</v>
      </c>
      <c r="S607" s="2" t="s">
        <v>488</v>
      </c>
      <c r="T607" s="2" t="s">
        <v>488</v>
      </c>
      <c r="U607" s="2">
        <v>0</v>
      </c>
      <c r="V607" s="2">
        <v>0</v>
      </c>
      <c r="W607">
        <f t="shared" si="9"/>
        <v>0</v>
      </c>
    </row>
    <row r="608" spans="1:23" x14ac:dyDescent="0.25">
      <c r="A608" s="2" t="s">
        <v>628</v>
      </c>
      <c r="B608" s="2" t="s">
        <v>915</v>
      </c>
      <c r="C608" s="2">
        <v>540206</v>
      </c>
      <c r="D608" s="2" t="s">
        <v>841</v>
      </c>
      <c r="E608" s="2" t="s">
        <v>87</v>
      </c>
      <c r="F608" s="2" t="s">
        <v>115</v>
      </c>
      <c r="G608" s="2">
        <v>4</v>
      </c>
      <c r="H608" s="2">
        <v>0</v>
      </c>
      <c r="I608" s="2">
        <v>0</v>
      </c>
      <c r="J608" s="2">
        <v>0</v>
      </c>
      <c r="K608" s="2">
        <v>0</v>
      </c>
      <c r="L608" s="2">
        <v>0</v>
      </c>
      <c r="M608" s="2">
        <v>0</v>
      </c>
      <c r="N608" s="2">
        <v>0</v>
      </c>
      <c r="O608" s="2">
        <v>0</v>
      </c>
      <c r="P608" s="2">
        <v>0</v>
      </c>
      <c r="Q608" s="2" t="s">
        <v>488</v>
      </c>
      <c r="R608" s="2" t="s">
        <v>488</v>
      </c>
      <c r="S608" s="2" t="s">
        <v>488</v>
      </c>
      <c r="T608" s="2" t="s">
        <v>488</v>
      </c>
      <c r="U608" s="2">
        <v>0</v>
      </c>
      <c r="V608" s="2">
        <v>0</v>
      </c>
      <c r="W608">
        <f t="shared" si="9"/>
        <v>0</v>
      </c>
    </row>
    <row r="609" spans="1:23" x14ac:dyDescent="0.25">
      <c r="A609" s="255" t="s">
        <v>628</v>
      </c>
      <c r="B609" s="255" t="s">
        <v>915</v>
      </c>
      <c r="C609" s="255"/>
      <c r="D609" s="255"/>
      <c r="E609" s="255" t="s">
        <v>87</v>
      </c>
      <c r="F609" s="255"/>
      <c r="G609" s="255"/>
      <c r="H609" s="255">
        <v>0</v>
      </c>
      <c r="I609" s="255">
        <v>2</v>
      </c>
      <c r="J609" s="255">
        <v>0</v>
      </c>
      <c r="K609" s="255">
        <v>0</v>
      </c>
      <c r="L609" s="255">
        <v>0</v>
      </c>
      <c r="M609" s="255">
        <v>2</v>
      </c>
      <c r="N609" s="255">
        <v>2</v>
      </c>
      <c r="O609" s="255">
        <v>0</v>
      </c>
      <c r="P609" s="255">
        <v>0</v>
      </c>
      <c r="Q609" s="255" t="s">
        <v>488</v>
      </c>
      <c r="R609" s="255" t="s">
        <v>488</v>
      </c>
      <c r="S609" s="255" t="s">
        <v>488</v>
      </c>
      <c r="T609" s="255" t="s">
        <v>488</v>
      </c>
      <c r="U609" s="255">
        <v>0</v>
      </c>
      <c r="V609" s="255">
        <v>0</v>
      </c>
      <c r="W609">
        <f t="shared" si="9"/>
        <v>2</v>
      </c>
    </row>
    <row r="610" spans="1:23" x14ac:dyDescent="0.25">
      <c r="A610" s="2" t="s">
        <v>628</v>
      </c>
      <c r="B610" s="2" t="s">
        <v>915</v>
      </c>
      <c r="C610" s="2">
        <v>540207</v>
      </c>
      <c r="D610" s="2" t="s">
        <v>842</v>
      </c>
      <c r="E610" s="2" t="s">
        <v>89</v>
      </c>
      <c r="F610" s="2" t="s">
        <v>5</v>
      </c>
      <c r="G610" s="2">
        <v>10</v>
      </c>
      <c r="H610" s="2">
        <v>1</v>
      </c>
      <c r="I610" s="2">
        <v>0</v>
      </c>
      <c r="J610" s="2">
        <v>0</v>
      </c>
      <c r="K610" s="2">
        <v>0</v>
      </c>
      <c r="L610" s="2">
        <v>0</v>
      </c>
      <c r="M610" s="2">
        <v>0</v>
      </c>
      <c r="N610" s="2">
        <v>1</v>
      </c>
      <c r="O610" s="2">
        <v>0</v>
      </c>
      <c r="P610" s="2">
        <v>0</v>
      </c>
      <c r="Q610" s="2" t="s">
        <v>488</v>
      </c>
      <c r="R610" s="2" t="s">
        <v>488</v>
      </c>
      <c r="S610" s="2" t="s">
        <v>488</v>
      </c>
      <c r="T610" s="2" t="s">
        <v>488</v>
      </c>
      <c r="U610" s="2">
        <v>0</v>
      </c>
      <c r="V610" s="2">
        <v>0</v>
      </c>
      <c r="W610">
        <f t="shared" si="9"/>
        <v>1</v>
      </c>
    </row>
    <row r="611" spans="1:23" x14ac:dyDescent="0.25">
      <c r="A611" s="2" t="s">
        <v>628</v>
      </c>
      <c r="B611" s="2" t="s">
        <v>915</v>
      </c>
      <c r="C611" s="2">
        <v>540196</v>
      </c>
      <c r="D611" s="2" t="s">
        <v>843</v>
      </c>
      <c r="E611" s="2" t="s">
        <v>89</v>
      </c>
      <c r="F611" s="2" t="s">
        <v>115</v>
      </c>
      <c r="G611" s="2">
        <v>5</v>
      </c>
      <c r="H611" s="2">
        <v>0</v>
      </c>
      <c r="I611" s="2">
        <v>0</v>
      </c>
      <c r="J611" s="2">
        <v>0</v>
      </c>
      <c r="K611" s="2">
        <v>0</v>
      </c>
      <c r="L611" s="2">
        <v>0</v>
      </c>
      <c r="M611" s="2">
        <v>0</v>
      </c>
      <c r="N611" s="2">
        <v>0</v>
      </c>
      <c r="O611" s="2">
        <v>0</v>
      </c>
      <c r="P611" s="2">
        <v>0</v>
      </c>
      <c r="Q611" s="2" t="s">
        <v>488</v>
      </c>
      <c r="R611" s="2" t="s">
        <v>488</v>
      </c>
      <c r="S611" s="2" t="s">
        <v>488</v>
      </c>
      <c r="T611" s="2" t="s">
        <v>488</v>
      </c>
      <c r="U611" s="2">
        <v>0</v>
      </c>
      <c r="V611" s="2">
        <v>0</v>
      </c>
      <c r="W611">
        <f t="shared" si="9"/>
        <v>0</v>
      </c>
    </row>
    <row r="612" spans="1:23" x14ac:dyDescent="0.25">
      <c r="A612" s="2" t="s">
        <v>628</v>
      </c>
      <c r="B612" s="2" t="s">
        <v>915</v>
      </c>
      <c r="C612" s="2">
        <v>540208</v>
      </c>
      <c r="D612" s="2" t="s">
        <v>844</v>
      </c>
      <c r="E612" s="2" t="s">
        <v>89</v>
      </c>
      <c r="F612" s="2" t="s">
        <v>115</v>
      </c>
      <c r="G612" s="2">
        <v>10</v>
      </c>
      <c r="H612" s="2">
        <v>0</v>
      </c>
      <c r="I612" s="2">
        <v>1</v>
      </c>
      <c r="J612" s="2">
        <v>0</v>
      </c>
      <c r="K612" s="2">
        <v>0</v>
      </c>
      <c r="L612" s="2">
        <v>0</v>
      </c>
      <c r="M612" s="2">
        <v>1</v>
      </c>
      <c r="N612" s="2">
        <v>1</v>
      </c>
      <c r="O612" s="2">
        <v>0</v>
      </c>
      <c r="P612" s="2">
        <v>0</v>
      </c>
      <c r="Q612" s="2" t="s">
        <v>488</v>
      </c>
      <c r="R612" s="2" t="s">
        <v>488</v>
      </c>
      <c r="S612" s="2" t="s">
        <v>488</v>
      </c>
      <c r="T612" s="2" t="s">
        <v>488</v>
      </c>
      <c r="U612" s="2">
        <v>0</v>
      </c>
      <c r="V612" s="2">
        <v>0</v>
      </c>
      <c r="W612">
        <f t="shared" si="9"/>
        <v>1</v>
      </c>
    </row>
    <row r="613" spans="1:23" x14ac:dyDescent="0.25">
      <c r="A613" s="2" t="s">
        <v>628</v>
      </c>
      <c r="B613" s="2" t="s">
        <v>915</v>
      </c>
      <c r="C613" s="2">
        <v>540210</v>
      </c>
      <c r="D613" s="2" t="s">
        <v>845</v>
      </c>
      <c r="E613" s="2" t="s">
        <v>89</v>
      </c>
      <c r="F613" s="2" t="s">
        <v>115</v>
      </c>
      <c r="G613" s="2">
        <v>10</v>
      </c>
      <c r="H613" s="2">
        <v>1</v>
      </c>
      <c r="I613" s="2">
        <v>0</v>
      </c>
      <c r="J613" s="2">
        <v>0</v>
      </c>
      <c r="K613" s="2">
        <v>0</v>
      </c>
      <c r="L613" s="2">
        <v>0</v>
      </c>
      <c r="M613" s="2">
        <v>0</v>
      </c>
      <c r="N613" s="2">
        <v>1</v>
      </c>
      <c r="O613" s="2">
        <v>0</v>
      </c>
      <c r="P613" s="2">
        <v>0</v>
      </c>
      <c r="Q613" s="2" t="s">
        <v>488</v>
      </c>
      <c r="R613" s="2" t="s">
        <v>488</v>
      </c>
      <c r="S613" s="2" t="s">
        <v>488</v>
      </c>
      <c r="T613" s="2" t="s">
        <v>488</v>
      </c>
      <c r="U613" s="2">
        <v>0</v>
      </c>
      <c r="V613" s="2">
        <v>0</v>
      </c>
      <c r="W613">
        <f t="shared" si="9"/>
        <v>1</v>
      </c>
    </row>
    <row r="614" spans="1:23" x14ac:dyDescent="0.25">
      <c r="A614" s="2" t="s">
        <v>628</v>
      </c>
      <c r="B614" s="2" t="s">
        <v>915</v>
      </c>
      <c r="C614" s="2">
        <v>540256</v>
      </c>
      <c r="D614" s="2" t="s">
        <v>846</v>
      </c>
      <c r="E614" s="2" t="s">
        <v>89</v>
      </c>
      <c r="F614" s="2" t="s">
        <v>115</v>
      </c>
      <c r="G614" s="2">
        <v>10</v>
      </c>
      <c r="H614" s="2">
        <v>0</v>
      </c>
      <c r="I614" s="2">
        <v>0</v>
      </c>
      <c r="J614" s="2">
        <v>0</v>
      </c>
      <c r="K614" s="2">
        <v>0</v>
      </c>
      <c r="L614" s="2">
        <v>0</v>
      </c>
      <c r="M614" s="2">
        <v>0</v>
      </c>
      <c r="N614" s="2">
        <v>0</v>
      </c>
      <c r="O614" s="2">
        <v>0</v>
      </c>
      <c r="P614" s="2">
        <v>0</v>
      </c>
      <c r="Q614" s="2" t="s">
        <v>488</v>
      </c>
      <c r="R614" s="2" t="s">
        <v>488</v>
      </c>
      <c r="S614" s="2" t="s">
        <v>488</v>
      </c>
      <c r="T614" s="2" t="s">
        <v>488</v>
      </c>
      <c r="U614" s="2">
        <v>0</v>
      </c>
      <c r="V614" s="2">
        <v>0</v>
      </c>
      <c r="W614">
        <f t="shared" si="9"/>
        <v>0</v>
      </c>
    </row>
    <row r="615" spans="1:23" x14ac:dyDescent="0.25">
      <c r="A615" s="2" t="s">
        <v>628</v>
      </c>
      <c r="B615" s="2" t="s">
        <v>915</v>
      </c>
      <c r="C615" s="2">
        <v>540258</v>
      </c>
      <c r="D615" s="2" t="s">
        <v>847</v>
      </c>
      <c r="E615" s="2" t="s">
        <v>89</v>
      </c>
      <c r="F615" s="2" t="s">
        <v>115</v>
      </c>
      <c r="G615" s="2">
        <v>10</v>
      </c>
      <c r="H615" s="2">
        <v>0</v>
      </c>
      <c r="I615" s="2">
        <v>0</v>
      </c>
      <c r="J615" s="2">
        <v>0</v>
      </c>
      <c r="K615" s="2">
        <v>0</v>
      </c>
      <c r="L615" s="2">
        <v>0</v>
      </c>
      <c r="M615" s="2">
        <v>0</v>
      </c>
      <c r="N615" s="2">
        <v>0</v>
      </c>
      <c r="O615" s="2">
        <v>0</v>
      </c>
      <c r="P615" s="2">
        <v>0</v>
      </c>
      <c r="Q615" s="2" t="s">
        <v>488</v>
      </c>
      <c r="R615" s="2" t="s">
        <v>488</v>
      </c>
      <c r="S615" s="2" t="s">
        <v>488</v>
      </c>
      <c r="T615" s="2" t="s">
        <v>488</v>
      </c>
      <c r="U615" s="2">
        <v>0</v>
      </c>
      <c r="V615" s="2">
        <v>0</v>
      </c>
      <c r="W615">
        <f t="shared" si="9"/>
        <v>0</v>
      </c>
    </row>
    <row r="616" spans="1:23" x14ac:dyDescent="0.25">
      <c r="A616" s="255" t="s">
        <v>628</v>
      </c>
      <c r="B616" s="255" t="s">
        <v>915</v>
      </c>
      <c r="C616" s="255"/>
      <c r="D616" s="255"/>
      <c r="E616" s="255" t="s">
        <v>89</v>
      </c>
      <c r="F616" s="255"/>
      <c r="G616" s="255"/>
      <c r="H616" s="255">
        <v>2</v>
      </c>
      <c r="I616" s="255">
        <v>1</v>
      </c>
      <c r="J616" s="255">
        <v>0</v>
      </c>
      <c r="K616" s="255">
        <v>0</v>
      </c>
      <c r="L616" s="255">
        <v>0</v>
      </c>
      <c r="M616" s="255">
        <v>1</v>
      </c>
      <c r="N616" s="255">
        <v>3</v>
      </c>
      <c r="O616" s="255">
        <v>0</v>
      </c>
      <c r="P616" s="255">
        <v>0</v>
      </c>
      <c r="Q616" s="255" t="s">
        <v>488</v>
      </c>
      <c r="R616" s="255" t="s">
        <v>488</v>
      </c>
      <c r="S616" s="255" t="s">
        <v>488</v>
      </c>
      <c r="T616" s="255" t="s">
        <v>488</v>
      </c>
      <c r="U616" s="255">
        <v>0</v>
      </c>
      <c r="V616" s="255">
        <v>0</v>
      </c>
      <c r="W616">
        <f t="shared" si="9"/>
        <v>3</v>
      </c>
    </row>
    <row r="617" spans="1:23" x14ac:dyDescent="0.25">
      <c r="A617" s="2" t="s">
        <v>628</v>
      </c>
      <c r="B617" s="2" t="s">
        <v>915</v>
      </c>
      <c r="C617" s="2">
        <v>540211</v>
      </c>
      <c r="D617" s="2" t="s">
        <v>848</v>
      </c>
      <c r="E617" s="2" t="s">
        <v>91</v>
      </c>
      <c r="F617" s="2" t="s">
        <v>5</v>
      </c>
      <c r="G617" s="2">
        <v>5</v>
      </c>
      <c r="H617" s="2">
        <v>0</v>
      </c>
      <c r="I617" s="2">
        <v>0</v>
      </c>
      <c r="J617" s="2">
        <v>0</v>
      </c>
      <c r="K617" s="2">
        <v>0</v>
      </c>
      <c r="L617" s="2">
        <v>0</v>
      </c>
      <c r="M617" s="2">
        <v>0</v>
      </c>
      <c r="N617" s="2">
        <v>0</v>
      </c>
      <c r="O617" s="2">
        <v>0</v>
      </c>
      <c r="P617" s="2">
        <v>0</v>
      </c>
      <c r="Q617" s="2" t="s">
        <v>488</v>
      </c>
      <c r="R617" s="2" t="s">
        <v>488</v>
      </c>
      <c r="S617" s="2" t="s">
        <v>488</v>
      </c>
      <c r="T617" s="2" t="s">
        <v>488</v>
      </c>
      <c r="U617" s="2">
        <v>0</v>
      </c>
      <c r="V617" s="2">
        <v>0</v>
      </c>
      <c r="W617">
        <f t="shared" si="9"/>
        <v>0</v>
      </c>
    </row>
    <row r="618" spans="1:23" x14ac:dyDescent="0.25">
      <c r="A618" s="2" t="s">
        <v>628</v>
      </c>
      <c r="B618" s="2" t="s">
        <v>915</v>
      </c>
      <c r="C618" s="2">
        <v>540212</v>
      </c>
      <c r="D618" s="2" t="s">
        <v>849</v>
      </c>
      <c r="E618" s="2" t="s">
        <v>91</v>
      </c>
      <c r="F618" s="2" t="s">
        <v>115</v>
      </c>
      <c r="G618" s="2">
        <v>5</v>
      </c>
      <c r="H618" s="2">
        <v>0</v>
      </c>
      <c r="I618" s="2">
        <v>0</v>
      </c>
      <c r="J618" s="2">
        <v>0</v>
      </c>
      <c r="K618" s="2">
        <v>0</v>
      </c>
      <c r="L618" s="2">
        <v>0</v>
      </c>
      <c r="M618" s="2">
        <v>0</v>
      </c>
      <c r="N618" s="2">
        <v>0</v>
      </c>
      <c r="O618" s="2">
        <v>0</v>
      </c>
      <c r="P618" s="2">
        <v>0</v>
      </c>
      <c r="Q618" s="2" t="s">
        <v>488</v>
      </c>
      <c r="R618" s="2" t="s">
        <v>488</v>
      </c>
      <c r="S618" s="2" t="s">
        <v>488</v>
      </c>
      <c r="T618" s="2" t="s">
        <v>488</v>
      </c>
      <c r="U618" s="2">
        <v>0</v>
      </c>
      <c r="V618" s="2">
        <v>0</v>
      </c>
      <c r="W618">
        <f t="shared" si="9"/>
        <v>0</v>
      </c>
    </row>
    <row r="619" spans="1:23" x14ac:dyDescent="0.25">
      <c r="A619" s="255" t="s">
        <v>628</v>
      </c>
      <c r="B619" s="255" t="s">
        <v>915</v>
      </c>
      <c r="C619" s="255"/>
      <c r="D619" s="255"/>
      <c r="E619" s="255" t="s">
        <v>91</v>
      </c>
      <c r="F619" s="255"/>
      <c r="G619" s="255"/>
      <c r="H619" s="255">
        <v>0</v>
      </c>
      <c r="I619" s="255">
        <v>0</v>
      </c>
      <c r="J619" s="255">
        <v>0</v>
      </c>
      <c r="K619" s="255">
        <v>0</v>
      </c>
      <c r="L619" s="255">
        <v>0</v>
      </c>
      <c r="M619" s="255">
        <v>0</v>
      </c>
      <c r="N619" s="255">
        <v>0</v>
      </c>
      <c r="O619" s="255">
        <v>0</v>
      </c>
      <c r="P619" s="255">
        <v>0</v>
      </c>
      <c r="Q619" s="255" t="s">
        <v>488</v>
      </c>
      <c r="R619" s="255" t="s">
        <v>488</v>
      </c>
      <c r="S619" s="255" t="s">
        <v>488</v>
      </c>
      <c r="T619" s="255" t="s">
        <v>488</v>
      </c>
      <c r="U619" s="255">
        <v>0</v>
      </c>
      <c r="V619" s="255">
        <v>0</v>
      </c>
      <c r="W619">
        <f t="shared" si="9"/>
        <v>0</v>
      </c>
    </row>
    <row r="620" spans="1:23" x14ac:dyDescent="0.25">
      <c r="A620" s="2" t="s">
        <v>628</v>
      </c>
      <c r="B620" s="2" t="s">
        <v>915</v>
      </c>
      <c r="C620" s="2">
        <v>540213</v>
      </c>
      <c r="D620" s="2" t="s">
        <v>850</v>
      </c>
      <c r="E620" s="2" t="s">
        <v>93</v>
      </c>
      <c r="F620" s="2" t="s">
        <v>5</v>
      </c>
      <c r="G620" s="2">
        <v>5</v>
      </c>
      <c r="H620" s="2">
        <v>0</v>
      </c>
      <c r="I620" s="2">
        <v>0</v>
      </c>
      <c r="J620" s="2">
        <v>0</v>
      </c>
      <c r="K620" s="2">
        <v>0</v>
      </c>
      <c r="L620" s="2">
        <v>0</v>
      </c>
      <c r="M620" s="2">
        <v>0</v>
      </c>
      <c r="N620" s="2">
        <v>0</v>
      </c>
      <c r="O620" s="2">
        <v>0</v>
      </c>
      <c r="P620" s="2">
        <v>0</v>
      </c>
      <c r="Q620" s="2" t="s">
        <v>488</v>
      </c>
      <c r="R620" s="2" t="s">
        <v>488</v>
      </c>
      <c r="S620" s="2" t="s">
        <v>488</v>
      </c>
      <c r="T620" s="2" t="s">
        <v>488</v>
      </c>
      <c r="U620" s="2">
        <v>1</v>
      </c>
      <c r="V620" s="2">
        <v>0</v>
      </c>
      <c r="W620">
        <f t="shared" si="9"/>
        <v>1</v>
      </c>
    </row>
    <row r="621" spans="1:23" x14ac:dyDescent="0.25">
      <c r="A621" s="2" t="s">
        <v>628</v>
      </c>
      <c r="B621" s="2" t="s">
        <v>915</v>
      </c>
      <c r="C621" s="2">
        <v>540042</v>
      </c>
      <c r="D621" s="2" t="s">
        <v>851</v>
      </c>
      <c r="E621" s="2" t="s">
        <v>93</v>
      </c>
      <c r="F621" s="2" t="s">
        <v>115</v>
      </c>
      <c r="G621" s="2">
        <v>5</v>
      </c>
      <c r="H621" s="2">
        <v>0</v>
      </c>
      <c r="I621" s="2">
        <v>0</v>
      </c>
      <c r="J621" s="2">
        <v>0</v>
      </c>
      <c r="K621" s="2">
        <v>0</v>
      </c>
      <c r="L621" s="2">
        <v>0</v>
      </c>
      <c r="M621" s="2">
        <v>0</v>
      </c>
      <c r="N621" s="2">
        <v>0</v>
      </c>
      <c r="O621" s="2">
        <v>0</v>
      </c>
      <c r="P621" s="2">
        <v>0</v>
      </c>
      <c r="Q621" s="2" t="s">
        <v>488</v>
      </c>
      <c r="R621" s="2" t="s">
        <v>488</v>
      </c>
      <c r="S621" s="2" t="s">
        <v>488</v>
      </c>
      <c r="T621" s="2" t="s">
        <v>488</v>
      </c>
      <c r="U621" s="2">
        <v>0</v>
      </c>
      <c r="V621" s="2">
        <v>0</v>
      </c>
      <c r="W621">
        <f t="shared" si="9"/>
        <v>0</v>
      </c>
    </row>
    <row r="622" spans="1:23" x14ac:dyDescent="0.25">
      <c r="A622" s="2" t="s">
        <v>628</v>
      </c>
      <c r="B622" s="2" t="s">
        <v>915</v>
      </c>
      <c r="C622" s="2">
        <v>540214</v>
      </c>
      <c r="D622" s="2" t="s">
        <v>852</v>
      </c>
      <c r="E622" s="2" t="s">
        <v>93</v>
      </c>
      <c r="F622" s="2" t="s">
        <v>115</v>
      </c>
      <c r="G622" s="2">
        <v>5</v>
      </c>
      <c r="H622" s="2">
        <v>0</v>
      </c>
      <c r="I622" s="2">
        <v>0</v>
      </c>
      <c r="J622" s="2">
        <v>0</v>
      </c>
      <c r="K622" s="2">
        <v>0</v>
      </c>
      <c r="L622" s="2">
        <v>0</v>
      </c>
      <c r="M622" s="2">
        <v>0</v>
      </c>
      <c r="N622" s="2">
        <v>0</v>
      </c>
      <c r="O622" s="2">
        <v>0</v>
      </c>
      <c r="P622" s="2">
        <v>0</v>
      </c>
      <c r="Q622" s="2" t="s">
        <v>488</v>
      </c>
      <c r="R622" s="2" t="s">
        <v>488</v>
      </c>
      <c r="S622" s="2" t="s">
        <v>488</v>
      </c>
      <c r="T622" s="2" t="s">
        <v>488</v>
      </c>
      <c r="U622" s="2">
        <v>0</v>
      </c>
      <c r="V622" s="2">
        <v>0</v>
      </c>
      <c r="W622">
        <f t="shared" si="9"/>
        <v>0</v>
      </c>
    </row>
    <row r="623" spans="1:23" x14ac:dyDescent="0.25">
      <c r="A623" s="2" t="s">
        <v>628</v>
      </c>
      <c r="B623" s="2" t="s">
        <v>915</v>
      </c>
      <c r="C623" s="2">
        <v>540215</v>
      </c>
      <c r="D623" s="2" t="s">
        <v>853</v>
      </c>
      <c r="E623" s="2" t="s">
        <v>93</v>
      </c>
      <c r="F623" s="2" t="s">
        <v>115</v>
      </c>
      <c r="G623" s="2">
        <v>5</v>
      </c>
      <c r="H623" s="2">
        <v>0</v>
      </c>
      <c r="I623" s="2">
        <v>0</v>
      </c>
      <c r="J623" s="2">
        <v>0</v>
      </c>
      <c r="K623" s="2">
        <v>0</v>
      </c>
      <c r="L623" s="2">
        <v>0</v>
      </c>
      <c r="M623" s="2">
        <v>0</v>
      </c>
      <c r="N623" s="2">
        <v>0</v>
      </c>
      <c r="O623" s="2">
        <v>0</v>
      </c>
      <c r="P623" s="2">
        <v>0</v>
      </c>
      <c r="Q623" s="2" t="s">
        <v>488</v>
      </c>
      <c r="R623" s="2" t="s">
        <v>488</v>
      </c>
      <c r="S623" s="2" t="s">
        <v>488</v>
      </c>
      <c r="T623" s="2" t="s">
        <v>488</v>
      </c>
      <c r="U623" s="2">
        <v>0</v>
      </c>
      <c r="V623" s="2">
        <v>0</v>
      </c>
      <c r="W623">
        <f t="shared" si="9"/>
        <v>0</v>
      </c>
    </row>
    <row r="624" spans="1:23" x14ac:dyDescent="0.25">
      <c r="A624" s="2" t="s">
        <v>628</v>
      </c>
      <c r="B624" s="2" t="s">
        <v>915</v>
      </c>
      <c r="C624" s="2">
        <v>540216</v>
      </c>
      <c r="D624" s="2" t="s">
        <v>854</v>
      </c>
      <c r="E624" s="2" t="s">
        <v>93</v>
      </c>
      <c r="F624" s="2" t="s">
        <v>115</v>
      </c>
      <c r="G624" s="2">
        <v>5</v>
      </c>
      <c r="H624" s="2">
        <v>0</v>
      </c>
      <c r="I624" s="2">
        <v>0</v>
      </c>
      <c r="J624" s="2">
        <v>0</v>
      </c>
      <c r="K624" s="2">
        <v>0</v>
      </c>
      <c r="L624" s="2">
        <v>0</v>
      </c>
      <c r="M624" s="2">
        <v>0</v>
      </c>
      <c r="N624" s="2">
        <v>0</v>
      </c>
      <c r="O624" s="2">
        <v>0</v>
      </c>
      <c r="P624" s="2">
        <v>0</v>
      </c>
      <c r="Q624" s="2" t="s">
        <v>488</v>
      </c>
      <c r="R624" s="2" t="s">
        <v>488</v>
      </c>
      <c r="S624" s="2" t="s">
        <v>488</v>
      </c>
      <c r="T624" s="2" t="s">
        <v>488</v>
      </c>
      <c r="U624" s="2">
        <v>0</v>
      </c>
      <c r="V624" s="2">
        <v>0</v>
      </c>
      <c r="W624">
        <f t="shared" si="9"/>
        <v>0</v>
      </c>
    </row>
    <row r="625" spans="1:23" x14ac:dyDescent="0.25">
      <c r="A625" s="255" t="s">
        <v>628</v>
      </c>
      <c r="B625" s="255" t="s">
        <v>915</v>
      </c>
      <c r="C625" s="255"/>
      <c r="D625" s="255"/>
      <c r="E625" s="255" t="s">
        <v>93</v>
      </c>
      <c r="F625" s="255"/>
      <c r="G625" s="255"/>
      <c r="H625" s="255">
        <v>0</v>
      </c>
      <c r="I625" s="255">
        <v>0</v>
      </c>
      <c r="J625" s="255">
        <v>0</v>
      </c>
      <c r="K625" s="255">
        <v>0</v>
      </c>
      <c r="L625" s="255">
        <v>0</v>
      </c>
      <c r="M625" s="255">
        <v>0</v>
      </c>
      <c r="N625" s="255">
        <v>0</v>
      </c>
      <c r="O625" s="255">
        <v>0</v>
      </c>
      <c r="P625" s="255">
        <v>0</v>
      </c>
      <c r="Q625" s="255" t="s">
        <v>488</v>
      </c>
      <c r="R625" s="255" t="s">
        <v>488</v>
      </c>
      <c r="S625" s="255" t="s">
        <v>488</v>
      </c>
      <c r="T625" s="255" t="s">
        <v>488</v>
      </c>
      <c r="U625" s="255">
        <v>1</v>
      </c>
      <c r="V625" s="255">
        <v>0</v>
      </c>
      <c r="W625">
        <f t="shared" si="9"/>
        <v>1</v>
      </c>
    </row>
    <row r="626" spans="1:23" x14ac:dyDescent="0.25">
      <c r="A626" s="2" t="s">
        <v>628</v>
      </c>
      <c r="B626" s="2" t="s">
        <v>915</v>
      </c>
      <c r="C626" s="2">
        <v>540224</v>
      </c>
      <c r="D626" s="2" t="s">
        <v>855</v>
      </c>
      <c r="E626" s="2" t="s">
        <v>97</v>
      </c>
      <c r="F626" s="2" t="s">
        <v>5</v>
      </c>
      <c r="G626" s="2">
        <v>5</v>
      </c>
      <c r="H626" s="2">
        <v>0</v>
      </c>
      <c r="I626" s="2">
        <v>0</v>
      </c>
      <c r="J626" s="2">
        <v>0</v>
      </c>
      <c r="K626" s="2">
        <v>0</v>
      </c>
      <c r="L626" s="2">
        <v>0</v>
      </c>
      <c r="M626" s="2">
        <v>0</v>
      </c>
      <c r="N626" s="2">
        <v>0</v>
      </c>
      <c r="O626" s="2">
        <v>0</v>
      </c>
      <c r="P626" s="2">
        <v>0</v>
      </c>
      <c r="Q626" s="2">
        <v>0</v>
      </c>
      <c r="R626" s="2">
        <v>0</v>
      </c>
      <c r="S626" s="2" t="s">
        <v>488</v>
      </c>
      <c r="T626" s="2" t="s">
        <v>488</v>
      </c>
      <c r="U626" s="2">
        <v>0</v>
      </c>
      <c r="V626" s="2">
        <v>0</v>
      </c>
      <c r="W626">
        <f t="shared" si="9"/>
        <v>0</v>
      </c>
    </row>
    <row r="627" spans="1:23" x14ac:dyDescent="0.25">
      <c r="A627" s="2" t="s">
        <v>628</v>
      </c>
      <c r="B627" s="2" t="s">
        <v>915</v>
      </c>
      <c r="C627" s="2">
        <v>540132</v>
      </c>
      <c r="D627" s="2" t="s">
        <v>856</v>
      </c>
      <c r="E627" s="2" t="s">
        <v>97</v>
      </c>
      <c r="F627" s="2" t="s">
        <v>115</v>
      </c>
      <c r="G627" s="2">
        <v>5</v>
      </c>
      <c r="H627" s="2">
        <v>0</v>
      </c>
      <c r="I627" s="2">
        <v>0</v>
      </c>
      <c r="J627" s="2">
        <v>0</v>
      </c>
      <c r="K627" s="2">
        <v>0</v>
      </c>
      <c r="L627" s="2">
        <v>0</v>
      </c>
      <c r="M627" s="2">
        <v>0</v>
      </c>
      <c r="N627" s="2">
        <v>0</v>
      </c>
      <c r="O627" s="2">
        <v>0</v>
      </c>
      <c r="P627" s="2">
        <v>0</v>
      </c>
      <c r="Q627" s="2">
        <v>0</v>
      </c>
      <c r="R627" s="2">
        <v>0</v>
      </c>
      <c r="S627" s="2" t="s">
        <v>488</v>
      </c>
      <c r="T627" s="2" t="s">
        <v>488</v>
      </c>
      <c r="U627" s="2">
        <v>0</v>
      </c>
      <c r="V627" s="2">
        <v>0</v>
      </c>
      <c r="W627">
        <f t="shared" si="9"/>
        <v>0</v>
      </c>
    </row>
    <row r="628" spans="1:23" x14ac:dyDescent="0.25">
      <c r="A628" s="2" t="s">
        <v>628</v>
      </c>
      <c r="B628" s="2" t="s">
        <v>915</v>
      </c>
      <c r="C628" s="2">
        <v>540179</v>
      </c>
      <c r="D628" s="2" t="s">
        <v>857</v>
      </c>
      <c r="E628" s="2" t="s">
        <v>97</v>
      </c>
      <c r="F628" s="2" t="s">
        <v>115</v>
      </c>
      <c r="G628" s="2">
        <v>5</v>
      </c>
      <c r="H628" s="2">
        <v>0</v>
      </c>
      <c r="I628" s="2">
        <v>0</v>
      </c>
      <c r="J628" s="2">
        <v>0</v>
      </c>
      <c r="K628" s="2">
        <v>0</v>
      </c>
      <c r="L628" s="2">
        <v>0</v>
      </c>
      <c r="M628" s="2">
        <v>0</v>
      </c>
      <c r="N628" s="2">
        <v>0</v>
      </c>
      <c r="O628" s="2">
        <v>0</v>
      </c>
      <c r="P628" s="2">
        <v>0</v>
      </c>
      <c r="Q628" s="2">
        <v>0</v>
      </c>
      <c r="R628" s="2">
        <v>0</v>
      </c>
      <c r="S628" s="2" t="s">
        <v>488</v>
      </c>
      <c r="T628" s="2" t="s">
        <v>488</v>
      </c>
      <c r="U628" s="2">
        <v>0</v>
      </c>
      <c r="V628" s="2">
        <v>0</v>
      </c>
      <c r="W628">
        <f t="shared" si="9"/>
        <v>0</v>
      </c>
    </row>
    <row r="629" spans="1:23" x14ac:dyDescent="0.25">
      <c r="A629" s="2" t="s">
        <v>628</v>
      </c>
      <c r="B629" s="2" t="s">
        <v>915</v>
      </c>
      <c r="C629" s="2">
        <v>540180</v>
      </c>
      <c r="D629" s="2" t="s">
        <v>858</v>
      </c>
      <c r="E629" s="2" t="s">
        <v>97</v>
      </c>
      <c r="F629" s="2" t="s">
        <v>115</v>
      </c>
      <c r="G629" s="2">
        <v>5</v>
      </c>
      <c r="H629" s="2">
        <v>0</v>
      </c>
      <c r="I629" s="2">
        <v>0</v>
      </c>
      <c r="J629" s="2">
        <v>0</v>
      </c>
      <c r="K629" s="2">
        <v>0</v>
      </c>
      <c r="L629" s="2">
        <v>0</v>
      </c>
      <c r="M629" s="2">
        <v>0</v>
      </c>
      <c r="N629" s="2">
        <v>0</v>
      </c>
      <c r="O629" s="2">
        <v>0</v>
      </c>
      <c r="P629" s="2">
        <v>0</v>
      </c>
      <c r="Q629" s="2">
        <v>0</v>
      </c>
      <c r="R629" s="2">
        <v>0</v>
      </c>
      <c r="S629" s="2" t="s">
        <v>488</v>
      </c>
      <c r="T629" s="2" t="s">
        <v>488</v>
      </c>
      <c r="U629" s="2">
        <v>0</v>
      </c>
      <c r="V629" s="2">
        <v>0</v>
      </c>
      <c r="W629">
        <f t="shared" si="9"/>
        <v>0</v>
      </c>
    </row>
    <row r="630" spans="1:23" x14ac:dyDescent="0.25">
      <c r="A630" s="2" t="s">
        <v>628</v>
      </c>
      <c r="B630" s="2" t="s">
        <v>915</v>
      </c>
      <c r="C630" s="2">
        <v>540182</v>
      </c>
      <c r="D630" s="2" t="s">
        <v>859</v>
      </c>
      <c r="E630" s="2" t="s">
        <v>97</v>
      </c>
      <c r="F630" s="2" t="s">
        <v>115</v>
      </c>
      <c r="G630" s="2">
        <v>5</v>
      </c>
      <c r="H630" s="2">
        <v>0</v>
      </c>
      <c r="I630" s="2">
        <v>0</v>
      </c>
      <c r="J630" s="2">
        <v>0</v>
      </c>
      <c r="K630" s="2">
        <v>0</v>
      </c>
      <c r="L630" s="2">
        <v>0</v>
      </c>
      <c r="M630" s="2">
        <v>0</v>
      </c>
      <c r="N630" s="2">
        <v>0</v>
      </c>
      <c r="O630" s="2">
        <v>0</v>
      </c>
      <c r="P630" s="2">
        <v>0</v>
      </c>
      <c r="Q630" s="2">
        <v>0</v>
      </c>
      <c r="R630" s="2">
        <v>0</v>
      </c>
      <c r="S630" s="2" t="s">
        <v>488</v>
      </c>
      <c r="T630" s="2" t="s">
        <v>488</v>
      </c>
      <c r="U630" s="2">
        <v>0</v>
      </c>
      <c r="V630" s="2">
        <v>0</v>
      </c>
      <c r="W630">
        <f t="shared" si="9"/>
        <v>0</v>
      </c>
    </row>
    <row r="631" spans="1:23" x14ac:dyDescent="0.25">
      <c r="A631" s="2" t="s">
        <v>628</v>
      </c>
      <c r="B631" s="2" t="s">
        <v>915</v>
      </c>
      <c r="C631" s="2">
        <v>540262</v>
      </c>
      <c r="D631" s="2" t="s">
        <v>860</v>
      </c>
      <c r="E631" s="2" t="s">
        <v>97</v>
      </c>
      <c r="F631" s="2" t="s">
        <v>115</v>
      </c>
      <c r="G631" s="2">
        <v>5</v>
      </c>
      <c r="H631" s="2">
        <v>0</v>
      </c>
      <c r="I631" s="2">
        <v>0</v>
      </c>
      <c r="J631" s="2">
        <v>0</v>
      </c>
      <c r="K631" s="2">
        <v>0</v>
      </c>
      <c r="L631" s="2">
        <v>0</v>
      </c>
      <c r="M631" s="2">
        <v>0</v>
      </c>
      <c r="N631" s="2">
        <v>0</v>
      </c>
      <c r="O631" s="2">
        <v>0</v>
      </c>
      <c r="P631" s="2">
        <v>0</v>
      </c>
      <c r="Q631" s="2">
        <v>0</v>
      </c>
      <c r="R631" s="2">
        <v>0</v>
      </c>
      <c r="S631" s="2" t="s">
        <v>488</v>
      </c>
      <c r="T631" s="2" t="s">
        <v>488</v>
      </c>
      <c r="U631" s="2">
        <v>0</v>
      </c>
      <c r="V631" s="2">
        <v>0</v>
      </c>
      <c r="W631">
        <f t="shared" si="9"/>
        <v>0</v>
      </c>
    </row>
    <row r="632" spans="1:23" x14ac:dyDescent="0.25">
      <c r="A632" s="2" t="s">
        <v>628</v>
      </c>
      <c r="B632" s="2" t="s">
        <v>915</v>
      </c>
      <c r="C632" s="2">
        <v>540263</v>
      </c>
      <c r="D632" s="2" t="s">
        <v>861</v>
      </c>
      <c r="E632" s="2" t="s">
        <v>97</v>
      </c>
      <c r="F632" s="2" t="s">
        <v>115</v>
      </c>
      <c r="G632" s="2">
        <v>5</v>
      </c>
      <c r="H632" s="2">
        <v>0</v>
      </c>
      <c r="I632" s="2">
        <v>0</v>
      </c>
      <c r="J632" s="2">
        <v>0</v>
      </c>
      <c r="K632" s="2">
        <v>0</v>
      </c>
      <c r="L632" s="2">
        <v>0</v>
      </c>
      <c r="M632" s="2">
        <v>0</v>
      </c>
      <c r="N632" s="2">
        <v>0</v>
      </c>
      <c r="O632" s="2">
        <v>0</v>
      </c>
      <c r="P632" s="2">
        <v>0</v>
      </c>
      <c r="Q632" s="2">
        <v>0</v>
      </c>
      <c r="R632" s="2">
        <v>0</v>
      </c>
      <c r="S632" s="2" t="s">
        <v>488</v>
      </c>
      <c r="T632" s="2" t="s">
        <v>488</v>
      </c>
      <c r="U632" s="2">
        <v>0</v>
      </c>
      <c r="V632" s="2">
        <v>0</v>
      </c>
      <c r="W632">
        <f t="shared" si="9"/>
        <v>0</v>
      </c>
    </row>
    <row r="633" spans="1:23" x14ac:dyDescent="0.25">
      <c r="A633" s="255" t="s">
        <v>628</v>
      </c>
      <c r="B633" s="255" t="s">
        <v>915</v>
      </c>
      <c r="C633" s="255"/>
      <c r="D633" s="255"/>
      <c r="E633" s="255" t="s">
        <v>97</v>
      </c>
      <c r="F633" s="255"/>
      <c r="G633" s="255"/>
      <c r="H633" s="255">
        <v>0</v>
      </c>
      <c r="I633" s="255">
        <v>0</v>
      </c>
      <c r="J633" s="255">
        <v>0</v>
      </c>
      <c r="K633" s="255">
        <v>0</v>
      </c>
      <c r="L633" s="255">
        <v>0</v>
      </c>
      <c r="M633" s="255">
        <v>0</v>
      </c>
      <c r="N633" s="255">
        <v>0</v>
      </c>
      <c r="O633" s="255">
        <v>0</v>
      </c>
      <c r="P633" s="255">
        <v>0</v>
      </c>
      <c r="Q633" s="255">
        <v>0</v>
      </c>
      <c r="R633" s="255">
        <v>0</v>
      </c>
      <c r="S633" s="255" t="s">
        <v>488</v>
      </c>
      <c r="T633" s="255" t="s">
        <v>488</v>
      </c>
      <c r="U633" s="255">
        <v>0</v>
      </c>
      <c r="V633" s="255">
        <v>0</v>
      </c>
      <c r="W633">
        <f t="shared" si="9"/>
        <v>0</v>
      </c>
    </row>
    <row r="634" spans="1:23" x14ac:dyDescent="0.25">
      <c r="A634" s="2" t="s">
        <v>628</v>
      </c>
      <c r="B634" s="2" t="s">
        <v>915</v>
      </c>
      <c r="C634" s="2">
        <v>540225</v>
      </c>
      <c r="D634" s="2" t="s">
        <v>862</v>
      </c>
      <c r="E634" s="2" t="s">
        <v>99</v>
      </c>
      <c r="F634" s="2" t="s">
        <v>5</v>
      </c>
      <c r="G634" s="2">
        <v>5</v>
      </c>
      <c r="H634" s="2">
        <v>0</v>
      </c>
      <c r="I634" s="2">
        <v>0</v>
      </c>
      <c r="J634" s="2">
        <v>0</v>
      </c>
      <c r="K634" s="2">
        <v>0</v>
      </c>
      <c r="L634" s="2">
        <v>0</v>
      </c>
      <c r="M634" s="2">
        <v>0</v>
      </c>
      <c r="N634" s="2">
        <v>0</v>
      </c>
      <c r="O634" s="2">
        <v>0</v>
      </c>
      <c r="P634" s="2">
        <v>0</v>
      </c>
      <c r="Q634" s="2">
        <v>0</v>
      </c>
      <c r="R634" s="2">
        <v>0</v>
      </c>
      <c r="S634" s="2" t="s">
        <v>488</v>
      </c>
      <c r="T634" s="2" t="s">
        <v>488</v>
      </c>
      <c r="U634" s="2">
        <v>0</v>
      </c>
      <c r="V634" s="2">
        <v>0</v>
      </c>
      <c r="W634">
        <f t="shared" si="9"/>
        <v>0</v>
      </c>
    </row>
    <row r="635" spans="1:23" x14ac:dyDescent="0.25">
      <c r="A635" s="2" t="s">
        <v>628</v>
      </c>
      <c r="B635" s="2" t="s">
        <v>915</v>
      </c>
      <c r="C635" s="2">
        <v>540156</v>
      </c>
      <c r="D635" s="2" t="s">
        <v>863</v>
      </c>
      <c r="E635" s="2" t="s">
        <v>99</v>
      </c>
      <c r="F635" s="2" t="s">
        <v>115</v>
      </c>
      <c r="G635" s="2">
        <v>5</v>
      </c>
      <c r="H635" s="2">
        <v>0</v>
      </c>
      <c r="I635" s="2">
        <v>0</v>
      </c>
      <c r="J635" s="2">
        <v>0</v>
      </c>
      <c r="K635" s="2">
        <v>0</v>
      </c>
      <c r="L635" s="2">
        <v>0</v>
      </c>
      <c r="M635" s="2">
        <v>0</v>
      </c>
      <c r="N635" s="2">
        <v>0</v>
      </c>
      <c r="O635" s="2">
        <v>0</v>
      </c>
      <c r="P635" s="2">
        <v>0</v>
      </c>
      <c r="Q635" s="2">
        <v>0</v>
      </c>
      <c r="R635" s="2">
        <v>0</v>
      </c>
      <c r="S635" s="2" t="s">
        <v>488</v>
      </c>
      <c r="T635" s="2" t="s">
        <v>488</v>
      </c>
      <c r="U635" s="2">
        <v>0</v>
      </c>
      <c r="V635" s="2">
        <v>0</v>
      </c>
      <c r="W635">
        <f t="shared" si="9"/>
        <v>0</v>
      </c>
    </row>
    <row r="636" spans="1:23" x14ac:dyDescent="0.25">
      <c r="A636" s="2" t="s">
        <v>628</v>
      </c>
      <c r="B636" s="2" t="s">
        <v>915</v>
      </c>
      <c r="C636" s="2">
        <v>540253</v>
      </c>
      <c r="D636" s="2" t="s">
        <v>864</v>
      </c>
      <c r="E636" s="2" t="s">
        <v>99</v>
      </c>
      <c r="F636" s="2" t="s">
        <v>115</v>
      </c>
      <c r="G636" s="2">
        <v>5</v>
      </c>
      <c r="H636" s="2">
        <v>0</v>
      </c>
      <c r="I636" s="2">
        <v>0</v>
      </c>
      <c r="J636" s="2">
        <v>0</v>
      </c>
      <c r="K636" s="2">
        <v>0</v>
      </c>
      <c r="L636" s="2">
        <v>0</v>
      </c>
      <c r="M636" s="2">
        <v>0</v>
      </c>
      <c r="N636" s="2">
        <v>0</v>
      </c>
      <c r="O636" s="2">
        <v>0</v>
      </c>
      <c r="P636" s="2">
        <v>0</v>
      </c>
      <c r="Q636" s="2">
        <v>0</v>
      </c>
      <c r="R636" s="2">
        <v>0</v>
      </c>
      <c r="S636" s="2" t="s">
        <v>488</v>
      </c>
      <c r="T636" s="2" t="s">
        <v>488</v>
      </c>
      <c r="U636" s="2">
        <v>0</v>
      </c>
      <c r="V636" s="2">
        <v>0</v>
      </c>
      <c r="W636">
        <f t="shared" si="9"/>
        <v>0</v>
      </c>
    </row>
    <row r="637" spans="1:23" x14ac:dyDescent="0.25">
      <c r="A637" s="255" t="s">
        <v>628</v>
      </c>
      <c r="B637" s="255" t="s">
        <v>915</v>
      </c>
      <c r="C637" s="255"/>
      <c r="D637" s="255"/>
      <c r="E637" s="255" t="s">
        <v>99</v>
      </c>
      <c r="F637" s="255"/>
      <c r="G637" s="255"/>
      <c r="H637" s="255">
        <v>0</v>
      </c>
      <c r="I637" s="255">
        <v>0</v>
      </c>
      <c r="J637" s="255">
        <v>0</v>
      </c>
      <c r="K637" s="255">
        <v>0</v>
      </c>
      <c r="L637" s="255">
        <v>0</v>
      </c>
      <c r="M637" s="255">
        <v>0</v>
      </c>
      <c r="N637" s="255">
        <v>0</v>
      </c>
      <c r="O637" s="255">
        <v>0</v>
      </c>
      <c r="P637" s="255">
        <v>0</v>
      </c>
      <c r="Q637" s="255">
        <v>0</v>
      </c>
      <c r="R637" s="255">
        <v>0</v>
      </c>
      <c r="S637" s="255" t="s">
        <v>488</v>
      </c>
      <c r="T637" s="255" t="s">
        <v>488</v>
      </c>
      <c r="U637" s="255">
        <v>0</v>
      </c>
      <c r="V637" s="255">
        <v>0</v>
      </c>
      <c r="W637">
        <f t="shared" si="9"/>
        <v>0</v>
      </c>
    </row>
    <row r="638" spans="1:23" x14ac:dyDescent="0.25">
      <c r="A638" s="2" t="s">
        <v>628</v>
      </c>
      <c r="B638" s="2" t="s">
        <v>915</v>
      </c>
      <c r="C638" s="2">
        <v>540226</v>
      </c>
      <c r="D638" s="2" t="s">
        <v>865</v>
      </c>
      <c r="E638" s="2" t="s">
        <v>101</v>
      </c>
      <c r="F638" s="2" t="s">
        <v>5</v>
      </c>
      <c r="G638" s="2">
        <v>8</v>
      </c>
      <c r="H638" s="2">
        <v>0</v>
      </c>
      <c r="I638" s="2">
        <v>0</v>
      </c>
      <c r="J638" s="2">
        <v>0</v>
      </c>
      <c r="K638" s="2">
        <v>0</v>
      </c>
      <c r="L638" s="2">
        <v>0</v>
      </c>
      <c r="M638" s="2">
        <v>0</v>
      </c>
      <c r="N638" s="2">
        <v>0</v>
      </c>
      <c r="O638" s="2">
        <v>0</v>
      </c>
      <c r="P638" s="2">
        <v>0</v>
      </c>
      <c r="Q638" s="2" t="s">
        <v>488</v>
      </c>
      <c r="R638" s="2" t="s">
        <v>488</v>
      </c>
      <c r="S638" s="2" t="s">
        <v>488</v>
      </c>
      <c r="T638" s="2" t="s">
        <v>488</v>
      </c>
      <c r="U638" s="2">
        <v>0</v>
      </c>
      <c r="V638" s="2">
        <v>0</v>
      </c>
      <c r="W638">
        <f t="shared" si="9"/>
        <v>0</v>
      </c>
    </row>
    <row r="639" spans="1:23" x14ac:dyDescent="0.25">
      <c r="A639" s="2" t="s">
        <v>628</v>
      </c>
      <c r="B639" s="2" t="s">
        <v>915</v>
      </c>
      <c r="C639" s="2">
        <v>540046</v>
      </c>
      <c r="D639" s="2" t="s">
        <v>866</v>
      </c>
      <c r="E639" s="2" t="s">
        <v>101</v>
      </c>
      <c r="F639" s="2" t="s">
        <v>115</v>
      </c>
      <c r="G639" s="2">
        <v>8</v>
      </c>
      <c r="H639" s="2">
        <v>0</v>
      </c>
      <c r="I639" s="2">
        <v>0</v>
      </c>
      <c r="J639" s="2">
        <v>0</v>
      </c>
      <c r="K639" s="2">
        <v>0</v>
      </c>
      <c r="L639" s="2">
        <v>0</v>
      </c>
      <c r="M639" s="2">
        <v>0</v>
      </c>
      <c r="N639" s="2">
        <v>0</v>
      </c>
      <c r="O639" s="2">
        <v>0</v>
      </c>
      <c r="P639" s="2">
        <v>0</v>
      </c>
      <c r="Q639" s="2" t="s">
        <v>488</v>
      </c>
      <c r="R639" s="2" t="s">
        <v>488</v>
      </c>
      <c r="S639" s="2" t="s">
        <v>488</v>
      </c>
      <c r="T639" s="2" t="s">
        <v>488</v>
      </c>
      <c r="U639" s="2">
        <v>0</v>
      </c>
      <c r="V639" s="2">
        <v>0</v>
      </c>
      <c r="W639">
        <f t="shared" si="9"/>
        <v>0</v>
      </c>
    </row>
    <row r="640" spans="1:23" x14ac:dyDescent="0.25">
      <c r="A640" s="2" t="s">
        <v>628</v>
      </c>
      <c r="B640" s="2" t="s">
        <v>915</v>
      </c>
      <c r="C640" s="2">
        <v>540276</v>
      </c>
      <c r="D640" s="2" t="s">
        <v>867</v>
      </c>
      <c r="E640" s="2" t="s">
        <v>101</v>
      </c>
      <c r="F640" s="2" t="s">
        <v>115</v>
      </c>
      <c r="G640" s="2">
        <v>8</v>
      </c>
      <c r="H640" s="2">
        <v>0</v>
      </c>
      <c r="I640" s="2">
        <v>0</v>
      </c>
      <c r="J640" s="2">
        <v>0</v>
      </c>
      <c r="K640" s="2">
        <v>0</v>
      </c>
      <c r="L640" s="2">
        <v>0</v>
      </c>
      <c r="M640" s="2">
        <v>0</v>
      </c>
      <c r="N640" s="2">
        <v>0</v>
      </c>
      <c r="O640" s="2">
        <v>0</v>
      </c>
      <c r="P640" s="2">
        <v>0</v>
      </c>
      <c r="Q640" s="2" t="s">
        <v>488</v>
      </c>
      <c r="R640" s="2" t="s">
        <v>488</v>
      </c>
      <c r="S640" s="2" t="s">
        <v>488</v>
      </c>
      <c r="T640" s="2" t="s">
        <v>488</v>
      </c>
      <c r="U640" s="2">
        <v>0</v>
      </c>
      <c r="V640" s="2">
        <v>0</v>
      </c>
      <c r="W640">
        <f t="shared" si="9"/>
        <v>0</v>
      </c>
    </row>
    <row r="641" spans="1:23" x14ac:dyDescent="0.25">
      <c r="A641" s="255" t="s">
        <v>628</v>
      </c>
      <c r="B641" s="255" t="s">
        <v>915</v>
      </c>
      <c r="C641" s="255"/>
      <c r="D641" s="255"/>
      <c r="E641" s="255" t="s">
        <v>101</v>
      </c>
      <c r="F641" s="255"/>
      <c r="G641" s="255"/>
      <c r="H641" s="255">
        <v>0</v>
      </c>
      <c r="I641" s="255">
        <v>0</v>
      </c>
      <c r="J641" s="255">
        <v>0</v>
      </c>
      <c r="K641" s="255">
        <v>0</v>
      </c>
      <c r="L641" s="255">
        <v>0</v>
      </c>
      <c r="M641" s="255">
        <v>0</v>
      </c>
      <c r="N641" s="255">
        <v>0</v>
      </c>
      <c r="O641" s="255">
        <v>0</v>
      </c>
      <c r="P641" s="255">
        <v>0</v>
      </c>
      <c r="Q641" s="255" t="s">
        <v>488</v>
      </c>
      <c r="R641" s="255" t="s">
        <v>488</v>
      </c>
      <c r="S641" s="255" t="s">
        <v>488</v>
      </c>
      <c r="T641" s="255" t="s">
        <v>488</v>
      </c>
      <c r="U641" s="255">
        <v>0</v>
      </c>
      <c r="V641" s="255">
        <v>0</v>
      </c>
      <c r="W641">
        <f t="shared" si="9"/>
        <v>0</v>
      </c>
    </row>
    <row r="642" spans="1:23" x14ac:dyDescent="0.25">
      <c r="A642" s="2" t="s">
        <v>628</v>
      </c>
      <c r="B642" s="2" t="s">
        <v>915</v>
      </c>
      <c r="C642" s="2">
        <v>540277</v>
      </c>
      <c r="D642" s="2" t="s">
        <v>868</v>
      </c>
      <c r="E642" s="2" t="s">
        <v>103</v>
      </c>
      <c r="F642" s="2" t="s">
        <v>5</v>
      </c>
      <c r="G642" s="2">
        <v>5</v>
      </c>
      <c r="H642" s="2">
        <v>0</v>
      </c>
      <c r="I642" s="2">
        <v>0</v>
      </c>
      <c r="J642" s="2">
        <v>0</v>
      </c>
      <c r="K642" s="2">
        <v>0</v>
      </c>
      <c r="L642" s="2">
        <v>0</v>
      </c>
      <c r="M642" s="2">
        <v>0</v>
      </c>
      <c r="N642" s="2">
        <v>0</v>
      </c>
      <c r="O642" s="2">
        <v>0</v>
      </c>
      <c r="P642" s="2">
        <v>0</v>
      </c>
      <c r="Q642" s="2">
        <v>0</v>
      </c>
      <c r="R642" s="2">
        <v>0</v>
      </c>
      <c r="S642" s="2" t="s">
        <v>488</v>
      </c>
      <c r="T642" s="2" t="s">
        <v>488</v>
      </c>
      <c r="U642" s="2">
        <v>0</v>
      </c>
      <c r="V642" s="2">
        <v>0</v>
      </c>
      <c r="W642">
        <f t="shared" si="9"/>
        <v>0</v>
      </c>
    </row>
    <row r="643" spans="1:23" x14ac:dyDescent="0.25">
      <c r="A643" s="2" t="s">
        <v>628</v>
      </c>
      <c r="B643" s="2" t="s">
        <v>915</v>
      </c>
      <c r="C643" s="2">
        <v>540195</v>
      </c>
      <c r="D643" s="2" t="s">
        <v>869</v>
      </c>
      <c r="E643" s="2" t="s">
        <v>103</v>
      </c>
      <c r="F643" s="2" t="s">
        <v>115</v>
      </c>
      <c r="G643" s="2">
        <v>5</v>
      </c>
      <c r="H643" s="2">
        <v>0</v>
      </c>
      <c r="I643" s="2">
        <v>0</v>
      </c>
      <c r="J643" s="2">
        <v>0</v>
      </c>
      <c r="K643" s="2">
        <v>0</v>
      </c>
      <c r="L643" s="2">
        <v>0</v>
      </c>
      <c r="M643" s="2">
        <v>0</v>
      </c>
      <c r="N643" s="2">
        <v>0</v>
      </c>
      <c r="O643" s="2">
        <v>0</v>
      </c>
      <c r="P643" s="2">
        <v>0</v>
      </c>
      <c r="Q643" s="2">
        <v>0</v>
      </c>
      <c r="R643" s="2">
        <v>0</v>
      </c>
      <c r="S643" s="2" t="s">
        <v>488</v>
      </c>
      <c r="T643" s="2" t="s">
        <v>488</v>
      </c>
      <c r="U643" s="2">
        <v>0</v>
      </c>
      <c r="V643" s="2">
        <v>0</v>
      </c>
      <c r="W643">
        <f t="shared" ref="W643:W706" si="10">SUM(N643,P643,R643,T643,U643,V643)</f>
        <v>0</v>
      </c>
    </row>
    <row r="644" spans="1:23" x14ac:dyDescent="0.25">
      <c r="A644" s="2" t="s">
        <v>628</v>
      </c>
      <c r="B644" s="2" t="s">
        <v>915</v>
      </c>
      <c r="C644" s="2">
        <v>540196</v>
      </c>
      <c r="D644" s="2" t="s">
        <v>843</v>
      </c>
      <c r="E644" s="2" t="s">
        <v>103</v>
      </c>
      <c r="F644" s="2" t="s">
        <v>115</v>
      </c>
      <c r="G644" s="2">
        <v>5</v>
      </c>
      <c r="H644" s="2">
        <v>0</v>
      </c>
      <c r="I644" s="2">
        <v>0</v>
      </c>
      <c r="J644" s="2">
        <v>0</v>
      </c>
      <c r="K644" s="2">
        <v>0</v>
      </c>
      <c r="L644" s="2">
        <v>0</v>
      </c>
      <c r="M644" s="2">
        <v>0</v>
      </c>
      <c r="N644" s="2">
        <v>0</v>
      </c>
      <c r="O644" s="2">
        <v>0</v>
      </c>
      <c r="P644" s="2">
        <v>0</v>
      </c>
      <c r="Q644" s="2">
        <v>0</v>
      </c>
      <c r="R644" s="2">
        <v>0</v>
      </c>
      <c r="S644" s="2" t="s">
        <v>488</v>
      </c>
      <c r="T644" s="2" t="s">
        <v>488</v>
      </c>
      <c r="U644" s="2">
        <v>0</v>
      </c>
      <c r="V644" s="2">
        <v>0</v>
      </c>
      <c r="W644">
        <f t="shared" si="10"/>
        <v>0</v>
      </c>
    </row>
    <row r="645" spans="1:23" x14ac:dyDescent="0.25">
      <c r="A645" s="2" t="s">
        <v>628</v>
      </c>
      <c r="B645" s="2" t="s">
        <v>915</v>
      </c>
      <c r="C645" s="2">
        <v>540197</v>
      </c>
      <c r="D645" s="2" t="s">
        <v>870</v>
      </c>
      <c r="E645" s="2" t="s">
        <v>103</v>
      </c>
      <c r="F645" s="2" t="s">
        <v>115</v>
      </c>
      <c r="G645" s="2">
        <v>5</v>
      </c>
      <c r="H645" s="2">
        <v>0</v>
      </c>
      <c r="I645" s="2">
        <v>0</v>
      </c>
      <c r="J645" s="2">
        <v>0</v>
      </c>
      <c r="K645" s="2">
        <v>0</v>
      </c>
      <c r="L645" s="2">
        <v>0</v>
      </c>
      <c r="M645" s="2">
        <v>0</v>
      </c>
      <c r="N645" s="2">
        <v>0</v>
      </c>
      <c r="O645" s="2">
        <v>0</v>
      </c>
      <c r="P645" s="2">
        <v>0</v>
      </c>
      <c r="Q645" s="2">
        <v>0</v>
      </c>
      <c r="R645" s="2">
        <v>0</v>
      </c>
      <c r="S645" s="2" t="s">
        <v>488</v>
      </c>
      <c r="T645" s="2" t="s">
        <v>488</v>
      </c>
      <c r="U645" s="2">
        <v>0</v>
      </c>
      <c r="V645" s="2">
        <v>0</v>
      </c>
      <c r="W645">
        <f t="shared" si="10"/>
        <v>0</v>
      </c>
    </row>
    <row r="646" spans="1:23" x14ac:dyDescent="0.25">
      <c r="A646" s="2" t="s">
        <v>628</v>
      </c>
      <c r="B646" s="2" t="s">
        <v>915</v>
      </c>
      <c r="C646" s="2">
        <v>540259</v>
      </c>
      <c r="D646" s="2" t="s">
        <v>871</v>
      </c>
      <c r="E646" s="2" t="s">
        <v>103</v>
      </c>
      <c r="F646" s="2" t="s">
        <v>115</v>
      </c>
      <c r="G646" s="2">
        <v>5</v>
      </c>
      <c r="H646" s="2">
        <v>0</v>
      </c>
      <c r="I646" s="2">
        <v>0</v>
      </c>
      <c r="J646" s="2">
        <v>0</v>
      </c>
      <c r="K646" s="2">
        <v>0</v>
      </c>
      <c r="L646" s="2">
        <v>0</v>
      </c>
      <c r="M646" s="2">
        <v>0</v>
      </c>
      <c r="N646" s="2">
        <v>0</v>
      </c>
      <c r="O646" s="2">
        <v>0</v>
      </c>
      <c r="P646" s="2">
        <v>0</v>
      </c>
      <c r="Q646" s="2">
        <v>0</v>
      </c>
      <c r="R646" s="2">
        <v>0</v>
      </c>
      <c r="S646" s="2" t="s">
        <v>488</v>
      </c>
      <c r="T646" s="2" t="s">
        <v>488</v>
      </c>
      <c r="U646" s="2">
        <v>0</v>
      </c>
      <c r="V646" s="2">
        <v>0</v>
      </c>
      <c r="W646">
        <f t="shared" si="10"/>
        <v>0</v>
      </c>
    </row>
    <row r="647" spans="1:23" x14ac:dyDescent="0.25">
      <c r="A647" s="255" t="s">
        <v>628</v>
      </c>
      <c r="B647" s="255" t="s">
        <v>915</v>
      </c>
      <c r="C647" s="255"/>
      <c r="D647" s="255"/>
      <c r="E647" s="255" t="s">
        <v>103</v>
      </c>
      <c r="F647" s="255"/>
      <c r="G647" s="255"/>
      <c r="H647" s="255">
        <v>0</v>
      </c>
      <c r="I647" s="255">
        <v>0</v>
      </c>
      <c r="J647" s="255">
        <v>0</v>
      </c>
      <c r="K647" s="255">
        <v>0</v>
      </c>
      <c r="L647" s="255">
        <v>0</v>
      </c>
      <c r="M647" s="255">
        <v>0</v>
      </c>
      <c r="N647" s="255">
        <v>0</v>
      </c>
      <c r="O647" s="255">
        <v>0</v>
      </c>
      <c r="P647" s="255">
        <v>0</v>
      </c>
      <c r="Q647" s="255">
        <v>0</v>
      </c>
      <c r="R647" s="255">
        <v>0</v>
      </c>
      <c r="S647" s="255" t="s">
        <v>488</v>
      </c>
      <c r="T647" s="255" t="s">
        <v>488</v>
      </c>
      <c r="U647" s="255">
        <v>0</v>
      </c>
      <c r="V647" s="255">
        <v>0</v>
      </c>
      <c r="W647">
        <f t="shared" si="10"/>
        <v>0</v>
      </c>
    </row>
    <row r="648" spans="1:23" x14ac:dyDescent="0.25">
      <c r="A648" s="2" t="s">
        <v>628</v>
      </c>
      <c r="B648" s="2" t="s">
        <v>915</v>
      </c>
      <c r="C648" s="2">
        <v>540278</v>
      </c>
      <c r="D648" s="2" t="s">
        <v>872</v>
      </c>
      <c r="E648" s="2" t="s">
        <v>105</v>
      </c>
      <c r="F648" s="2" t="s">
        <v>5</v>
      </c>
      <c r="G648" s="2">
        <v>1</v>
      </c>
      <c r="H648" s="2">
        <v>0</v>
      </c>
      <c r="I648" s="2">
        <v>0</v>
      </c>
      <c r="J648" s="2">
        <v>0</v>
      </c>
      <c r="K648" s="2">
        <v>0</v>
      </c>
      <c r="L648" s="2">
        <v>0</v>
      </c>
      <c r="M648" s="2">
        <v>0</v>
      </c>
      <c r="N648" s="2">
        <v>0</v>
      </c>
      <c r="O648" s="2">
        <v>0</v>
      </c>
      <c r="P648" s="2">
        <v>0</v>
      </c>
      <c r="Q648" s="2">
        <v>0</v>
      </c>
      <c r="R648" s="2">
        <v>0</v>
      </c>
      <c r="S648" s="2" t="s">
        <v>488</v>
      </c>
      <c r="T648" s="2" t="s">
        <v>488</v>
      </c>
      <c r="U648" s="2">
        <v>0</v>
      </c>
      <c r="V648" s="2">
        <v>0</v>
      </c>
      <c r="W648">
        <f t="shared" si="10"/>
        <v>0</v>
      </c>
    </row>
    <row r="649" spans="1:23" x14ac:dyDescent="0.25">
      <c r="A649" s="2" t="s">
        <v>628</v>
      </c>
      <c r="B649" s="2" t="s">
        <v>915</v>
      </c>
      <c r="C649" s="2">
        <v>540041</v>
      </c>
      <c r="D649" s="2" t="s">
        <v>666</v>
      </c>
      <c r="E649" s="2" t="s">
        <v>105</v>
      </c>
      <c r="F649" s="2" t="s">
        <v>115</v>
      </c>
      <c r="G649" s="2">
        <v>1</v>
      </c>
      <c r="H649" s="2">
        <v>0</v>
      </c>
      <c r="I649" s="2">
        <v>0</v>
      </c>
      <c r="J649" s="2">
        <v>0</v>
      </c>
      <c r="K649" s="2">
        <v>0</v>
      </c>
      <c r="L649" s="2">
        <v>0</v>
      </c>
      <c r="M649" s="2">
        <v>0</v>
      </c>
      <c r="N649" s="2">
        <v>0</v>
      </c>
      <c r="O649" s="2">
        <v>0</v>
      </c>
      <c r="P649" s="2">
        <v>0</v>
      </c>
      <c r="Q649" s="2">
        <v>0</v>
      </c>
      <c r="R649" s="2">
        <v>0</v>
      </c>
      <c r="S649" s="2" t="s">
        <v>488</v>
      </c>
      <c r="T649" s="2" t="s">
        <v>488</v>
      </c>
      <c r="U649" s="2">
        <v>0</v>
      </c>
      <c r="V649" s="2">
        <v>0</v>
      </c>
      <c r="W649">
        <f t="shared" si="10"/>
        <v>0</v>
      </c>
    </row>
    <row r="650" spans="1:23" x14ac:dyDescent="0.25">
      <c r="A650" s="2" t="s">
        <v>628</v>
      </c>
      <c r="B650" s="2" t="s">
        <v>915</v>
      </c>
      <c r="C650" s="2">
        <v>540143</v>
      </c>
      <c r="D650" s="2" t="s">
        <v>873</v>
      </c>
      <c r="E650" s="2" t="s">
        <v>105</v>
      </c>
      <c r="F650" s="2" t="s">
        <v>115</v>
      </c>
      <c r="G650" s="2">
        <v>1</v>
      </c>
      <c r="H650" s="2">
        <v>0</v>
      </c>
      <c r="I650" s="2">
        <v>0</v>
      </c>
      <c r="J650" s="2">
        <v>0</v>
      </c>
      <c r="K650" s="2">
        <v>0</v>
      </c>
      <c r="L650" s="2">
        <v>0</v>
      </c>
      <c r="M650" s="2">
        <v>0</v>
      </c>
      <c r="N650" s="2">
        <v>0</v>
      </c>
      <c r="O650" s="2">
        <v>0</v>
      </c>
      <c r="P650" s="2">
        <v>0</v>
      </c>
      <c r="Q650" s="2">
        <v>0</v>
      </c>
      <c r="R650" s="2">
        <v>0</v>
      </c>
      <c r="S650" s="2" t="s">
        <v>488</v>
      </c>
      <c r="T650" s="2" t="s">
        <v>488</v>
      </c>
      <c r="U650" s="2">
        <v>0</v>
      </c>
      <c r="V650" s="2">
        <v>0</v>
      </c>
      <c r="W650">
        <f t="shared" si="10"/>
        <v>0</v>
      </c>
    </row>
    <row r="651" spans="1:23" x14ac:dyDescent="0.25">
      <c r="A651" s="2" t="s">
        <v>628</v>
      </c>
      <c r="B651" s="2" t="s">
        <v>915</v>
      </c>
      <c r="C651" s="2">
        <v>540290</v>
      </c>
      <c r="D651" s="2" t="s">
        <v>874</v>
      </c>
      <c r="E651" s="2" t="s">
        <v>105</v>
      </c>
      <c r="F651" s="2" t="s">
        <v>115</v>
      </c>
      <c r="G651" s="2">
        <v>1</v>
      </c>
      <c r="H651" s="2">
        <v>0</v>
      </c>
      <c r="I651" s="2">
        <v>0</v>
      </c>
      <c r="J651" s="2">
        <v>0</v>
      </c>
      <c r="K651" s="2">
        <v>0</v>
      </c>
      <c r="L651" s="2">
        <v>0</v>
      </c>
      <c r="M651" s="2">
        <v>0</v>
      </c>
      <c r="N651" s="2">
        <v>0</v>
      </c>
      <c r="O651" s="2">
        <v>0</v>
      </c>
      <c r="P651" s="2">
        <v>0</v>
      </c>
      <c r="Q651" s="2">
        <v>0</v>
      </c>
      <c r="R651" s="2">
        <v>0</v>
      </c>
      <c r="S651" s="2" t="s">
        <v>488</v>
      </c>
      <c r="T651" s="2" t="s">
        <v>488</v>
      </c>
      <c r="U651" s="2">
        <v>0</v>
      </c>
      <c r="V651" s="2">
        <v>0</v>
      </c>
      <c r="W651">
        <f t="shared" si="10"/>
        <v>0</v>
      </c>
    </row>
    <row r="652" spans="1:23" x14ac:dyDescent="0.25">
      <c r="A652" s="255" t="s">
        <v>628</v>
      </c>
      <c r="B652" s="255" t="s">
        <v>915</v>
      </c>
      <c r="C652" s="255"/>
      <c r="D652" s="255"/>
      <c r="E652" s="255" t="s">
        <v>105</v>
      </c>
      <c r="F652" s="255"/>
      <c r="G652" s="255"/>
      <c r="H652" s="255">
        <v>0</v>
      </c>
      <c r="I652" s="255">
        <v>0</v>
      </c>
      <c r="J652" s="255">
        <v>0</v>
      </c>
      <c r="K652" s="255">
        <v>0</v>
      </c>
      <c r="L652" s="255">
        <v>0</v>
      </c>
      <c r="M652" s="255">
        <v>0</v>
      </c>
      <c r="N652" s="255">
        <v>0</v>
      </c>
      <c r="O652" s="255">
        <v>0</v>
      </c>
      <c r="P652" s="255">
        <v>0</v>
      </c>
      <c r="Q652" s="255">
        <v>0</v>
      </c>
      <c r="R652" s="255">
        <v>0</v>
      </c>
      <c r="S652" s="255" t="s">
        <v>488</v>
      </c>
      <c r="T652" s="255" t="s">
        <v>488</v>
      </c>
      <c r="U652" s="255">
        <v>0</v>
      </c>
      <c r="V652" s="255">
        <v>0</v>
      </c>
      <c r="W652">
        <f t="shared" si="10"/>
        <v>0</v>
      </c>
    </row>
    <row r="653" spans="1:23" x14ac:dyDescent="0.25">
      <c r="A653" s="2" t="s">
        <v>628</v>
      </c>
      <c r="B653" s="2" t="s">
        <v>915</v>
      </c>
      <c r="C653" s="2">
        <v>540282</v>
      </c>
      <c r="D653" s="2" t="s">
        <v>875</v>
      </c>
      <c r="E653" s="2" t="s">
        <v>107</v>
      </c>
      <c r="F653" s="2" t="s">
        <v>5</v>
      </c>
      <c r="G653" s="2">
        <v>9</v>
      </c>
      <c r="H653" s="2">
        <v>0</v>
      </c>
      <c r="I653" s="2">
        <v>0</v>
      </c>
      <c r="J653" s="2">
        <v>0</v>
      </c>
      <c r="K653" s="2">
        <v>0</v>
      </c>
      <c r="L653" s="2">
        <v>0</v>
      </c>
      <c r="M653" s="2">
        <v>0</v>
      </c>
      <c r="N653" s="2">
        <v>0</v>
      </c>
      <c r="O653" s="2">
        <v>0</v>
      </c>
      <c r="P653" s="2">
        <v>0</v>
      </c>
      <c r="Q653" s="2">
        <v>0</v>
      </c>
      <c r="R653" s="2">
        <v>0</v>
      </c>
      <c r="S653" s="2">
        <v>0</v>
      </c>
      <c r="T653" s="2">
        <v>0</v>
      </c>
      <c r="U653" s="2">
        <v>0</v>
      </c>
      <c r="V653" s="2">
        <v>0</v>
      </c>
      <c r="W653">
        <f t="shared" si="10"/>
        <v>0</v>
      </c>
    </row>
    <row r="654" spans="1:23" x14ac:dyDescent="0.25">
      <c r="A654" s="2" t="s">
        <v>628</v>
      </c>
      <c r="B654" s="2" t="s">
        <v>915</v>
      </c>
      <c r="C654" s="2">
        <v>540006</v>
      </c>
      <c r="D654" s="2" t="s">
        <v>876</v>
      </c>
      <c r="E654" s="2" t="s">
        <v>107</v>
      </c>
      <c r="F654" s="2" t="s">
        <v>115</v>
      </c>
      <c r="G654" s="2">
        <v>9</v>
      </c>
      <c r="H654" s="2">
        <v>0</v>
      </c>
      <c r="I654" s="2">
        <v>0</v>
      </c>
      <c r="J654" s="2">
        <v>0</v>
      </c>
      <c r="K654" s="2">
        <v>0</v>
      </c>
      <c r="L654" s="2">
        <v>0</v>
      </c>
      <c r="M654" s="2">
        <v>0</v>
      </c>
      <c r="N654" s="2">
        <v>0</v>
      </c>
      <c r="O654" s="2">
        <v>0</v>
      </c>
      <c r="P654" s="2">
        <v>0</v>
      </c>
      <c r="Q654" s="2">
        <v>0</v>
      </c>
      <c r="R654" s="2">
        <v>0</v>
      </c>
      <c r="S654" s="2">
        <v>0</v>
      </c>
      <c r="T654" s="2">
        <v>0</v>
      </c>
      <c r="U654" s="2">
        <v>0</v>
      </c>
      <c r="V654" s="2">
        <v>0</v>
      </c>
      <c r="W654">
        <f t="shared" si="10"/>
        <v>0</v>
      </c>
    </row>
    <row r="655" spans="1:23" x14ac:dyDescent="0.25">
      <c r="A655" s="2" t="s">
        <v>628</v>
      </c>
      <c r="B655" s="2" t="s">
        <v>915</v>
      </c>
      <c r="C655" s="2">
        <v>545550</v>
      </c>
      <c r="D655" s="2" t="s">
        <v>877</v>
      </c>
      <c r="E655" s="2" t="s">
        <v>107</v>
      </c>
      <c r="F655" s="2" t="s">
        <v>115</v>
      </c>
      <c r="G655" s="2">
        <v>9</v>
      </c>
      <c r="H655" s="2">
        <v>0</v>
      </c>
      <c r="I655" s="2">
        <v>0</v>
      </c>
      <c r="J655" s="2">
        <v>0</v>
      </c>
      <c r="K655" s="2">
        <v>0</v>
      </c>
      <c r="L655" s="2">
        <v>0</v>
      </c>
      <c r="M655" s="2">
        <v>0</v>
      </c>
      <c r="N655" s="2">
        <v>0</v>
      </c>
      <c r="O655" s="2">
        <v>0</v>
      </c>
      <c r="P655" s="2">
        <v>0</v>
      </c>
      <c r="Q655" s="2">
        <v>0</v>
      </c>
      <c r="R655" s="2">
        <v>0</v>
      </c>
      <c r="S655" s="2">
        <v>0</v>
      </c>
      <c r="T655" s="2">
        <v>0</v>
      </c>
      <c r="U655" s="2">
        <v>0</v>
      </c>
      <c r="V655" s="2">
        <v>0</v>
      </c>
      <c r="W655">
        <f t="shared" si="10"/>
        <v>0</v>
      </c>
    </row>
    <row r="656" spans="1:23" x14ac:dyDescent="0.25">
      <c r="A656" s="255" t="s">
        <v>628</v>
      </c>
      <c r="B656" s="255" t="s">
        <v>915</v>
      </c>
      <c r="C656" s="255"/>
      <c r="D656" s="255"/>
      <c r="E656" s="255" t="s">
        <v>107</v>
      </c>
      <c r="F656" s="255"/>
      <c r="G656" s="255"/>
      <c r="H656" s="255">
        <v>0</v>
      </c>
      <c r="I656" s="255">
        <v>0</v>
      </c>
      <c r="J656" s="255">
        <v>0</v>
      </c>
      <c r="K656" s="255">
        <v>0</v>
      </c>
      <c r="L656" s="255">
        <v>0</v>
      </c>
      <c r="M656" s="255">
        <v>0</v>
      </c>
      <c r="N656" s="255">
        <v>0</v>
      </c>
      <c r="O656" s="255">
        <v>0</v>
      </c>
      <c r="P656" s="255">
        <v>0</v>
      </c>
      <c r="Q656" s="255">
        <v>0</v>
      </c>
      <c r="R656" s="255">
        <v>0</v>
      </c>
      <c r="S656" s="255">
        <v>0</v>
      </c>
      <c r="T656" s="255">
        <v>0</v>
      </c>
      <c r="U656" s="255">
        <v>0</v>
      </c>
      <c r="V656" s="255">
        <v>0</v>
      </c>
      <c r="W656">
        <f t="shared" si="10"/>
        <v>0</v>
      </c>
    </row>
    <row r="657" spans="1:23" x14ac:dyDescent="0.25">
      <c r="A657" s="2" t="s">
        <v>628</v>
      </c>
      <c r="B657" s="2" t="s">
        <v>915</v>
      </c>
      <c r="C657" s="2">
        <v>540283</v>
      </c>
      <c r="D657" s="2" t="s">
        <v>878</v>
      </c>
      <c r="E657" s="2" t="s">
        <v>109</v>
      </c>
      <c r="F657" s="2" t="s">
        <v>5</v>
      </c>
      <c r="G657" s="2">
        <v>4</v>
      </c>
      <c r="H657" s="2">
        <v>0</v>
      </c>
      <c r="I657" s="2">
        <v>0</v>
      </c>
      <c r="J657" s="2">
        <v>0</v>
      </c>
      <c r="K657" s="2">
        <v>0</v>
      </c>
      <c r="L657" s="2">
        <v>0</v>
      </c>
      <c r="M657" s="2">
        <v>0</v>
      </c>
      <c r="N657" s="2">
        <v>0</v>
      </c>
      <c r="O657" s="2">
        <v>0</v>
      </c>
      <c r="P657" s="2">
        <v>0</v>
      </c>
      <c r="Q657" s="2" t="s">
        <v>488</v>
      </c>
      <c r="R657" s="2" t="s">
        <v>488</v>
      </c>
      <c r="S657" s="2" t="s">
        <v>488</v>
      </c>
      <c r="T657" s="2" t="s">
        <v>488</v>
      </c>
      <c r="U657" s="2">
        <v>0</v>
      </c>
      <c r="V657" s="2">
        <v>0</v>
      </c>
      <c r="W657">
        <f t="shared" si="10"/>
        <v>0</v>
      </c>
    </row>
    <row r="658" spans="1:23" x14ac:dyDescent="0.25">
      <c r="A658" s="2" t="s">
        <v>628</v>
      </c>
      <c r="B658" s="2" t="s">
        <v>915</v>
      </c>
      <c r="C658" s="2">
        <v>540158</v>
      </c>
      <c r="D658" s="2" t="s">
        <v>879</v>
      </c>
      <c r="E658" s="2" t="s">
        <v>109</v>
      </c>
      <c r="F658" s="2" t="s">
        <v>115</v>
      </c>
      <c r="G658" s="2">
        <v>4</v>
      </c>
      <c r="H658" s="2">
        <v>0</v>
      </c>
      <c r="I658" s="2">
        <v>0</v>
      </c>
      <c r="J658" s="2">
        <v>0</v>
      </c>
      <c r="K658" s="2">
        <v>0</v>
      </c>
      <c r="L658" s="2">
        <v>0</v>
      </c>
      <c r="M658" s="2">
        <v>0</v>
      </c>
      <c r="N658" s="2">
        <v>0</v>
      </c>
      <c r="O658" s="2">
        <v>0</v>
      </c>
      <c r="P658" s="2">
        <v>0</v>
      </c>
      <c r="Q658" s="2" t="s">
        <v>488</v>
      </c>
      <c r="R658" s="2" t="s">
        <v>488</v>
      </c>
      <c r="S658" s="2" t="s">
        <v>488</v>
      </c>
      <c r="T658" s="2" t="s">
        <v>488</v>
      </c>
      <c r="U658" s="2">
        <v>0</v>
      </c>
      <c r="V658" s="2">
        <v>0</v>
      </c>
      <c r="W658">
        <f t="shared" si="10"/>
        <v>0</v>
      </c>
    </row>
    <row r="659" spans="1:23" x14ac:dyDescent="0.25">
      <c r="A659" s="2" t="s">
        <v>628</v>
      </c>
      <c r="B659" s="2" t="s">
        <v>915</v>
      </c>
      <c r="C659" s="2">
        <v>540159</v>
      </c>
      <c r="D659" s="2" t="s">
        <v>880</v>
      </c>
      <c r="E659" s="2" t="s">
        <v>109</v>
      </c>
      <c r="F659" s="2" t="s">
        <v>115</v>
      </c>
      <c r="G659" s="2">
        <v>4</v>
      </c>
      <c r="H659" s="2">
        <v>0</v>
      </c>
      <c r="I659" s="2">
        <v>1</v>
      </c>
      <c r="J659" s="2">
        <v>0</v>
      </c>
      <c r="K659" s="2">
        <v>0</v>
      </c>
      <c r="L659" s="2">
        <v>0</v>
      </c>
      <c r="M659" s="2">
        <v>1</v>
      </c>
      <c r="N659" s="2">
        <v>1</v>
      </c>
      <c r="O659" s="2">
        <v>0</v>
      </c>
      <c r="P659" s="2">
        <v>0</v>
      </c>
      <c r="Q659" s="2" t="s">
        <v>488</v>
      </c>
      <c r="R659" s="2" t="s">
        <v>488</v>
      </c>
      <c r="S659" s="2" t="s">
        <v>488</v>
      </c>
      <c r="T659" s="2" t="s">
        <v>488</v>
      </c>
      <c r="U659" s="2">
        <v>0</v>
      </c>
      <c r="V659" s="2">
        <v>0</v>
      </c>
      <c r="W659">
        <f t="shared" si="10"/>
        <v>1</v>
      </c>
    </row>
    <row r="660" spans="1:23" x14ac:dyDescent="0.25">
      <c r="A660" s="2" t="s">
        <v>628</v>
      </c>
      <c r="B660" s="2" t="s">
        <v>915</v>
      </c>
      <c r="C660" s="2">
        <v>540288</v>
      </c>
      <c r="D660" s="2" t="s">
        <v>881</v>
      </c>
      <c r="E660" s="2" t="s">
        <v>109</v>
      </c>
      <c r="F660" s="2" t="s">
        <v>115</v>
      </c>
      <c r="G660" s="2">
        <v>4</v>
      </c>
      <c r="H660" s="2">
        <v>0</v>
      </c>
      <c r="I660" s="2">
        <v>0</v>
      </c>
      <c r="J660" s="2">
        <v>0</v>
      </c>
      <c r="K660" s="2">
        <v>0</v>
      </c>
      <c r="L660" s="2">
        <v>0</v>
      </c>
      <c r="M660" s="2">
        <v>0</v>
      </c>
      <c r="N660" s="2">
        <v>0</v>
      </c>
      <c r="O660" s="2">
        <v>0</v>
      </c>
      <c r="P660" s="2">
        <v>0</v>
      </c>
      <c r="Q660" s="2" t="s">
        <v>488</v>
      </c>
      <c r="R660" s="2" t="s">
        <v>488</v>
      </c>
      <c r="S660" s="2" t="s">
        <v>488</v>
      </c>
      <c r="T660" s="2" t="s">
        <v>488</v>
      </c>
      <c r="U660" s="2">
        <v>0</v>
      </c>
      <c r="V660" s="2">
        <v>0</v>
      </c>
      <c r="W660">
        <f t="shared" si="10"/>
        <v>0</v>
      </c>
    </row>
    <row r="661" spans="1:23" x14ac:dyDescent="0.25">
      <c r="A661" s="255" t="s">
        <v>628</v>
      </c>
      <c r="B661" s="255" t="s">
        <v>915</v>
      </c>
      <c r="C661" s="255"/>
      <c r="D661" s="255"/>
      <c r="E661" s="255" t="s">
        <v>109</v>
      </c>
      <c r="F661" s="255"/>
      <c r="G661" s="255"/>
      <c r="H661" s="255">
        <v>0</v>
      </c>
      <c r="I661" s="255">
        <v>1</v>
      </c>
      <c r="J661" s="255">
        <v>0</v>
      </c>
      <c r="K661" s="255">
        <v>0</v>
      </c>
      <c r="L661" s="255">
        <v>0</v>
      </c>
      <c r="M661" s="255">
        <v>1</v>
      </c>
      <c r="N661" s="255">
        <v>1</v>
      </c>
      <c r="O661" s="255">
        <v>0</v>
      </c>
      <c r="P661" s="255">
        <v>0</v>
      </c>
      <c r="Q661" s="255" t="s">
        <v>488</v>
      </c>
      <c r="R661" s="255" t="s">
        <v>488</v>
      </c>
      <c r="S661" s="255" t="s">
        <v>488</v>
      </c>
      <c r="T661" s="255" t="s">
        <v>488</v>
      </c>
      <c r="U661" s="255">
        <v>0</v>
      </c>
      <c r="V661" s="255">
        <v>0</v>
      </c>
      <c r="W661">
        <f t="shared" si="10"/>
        <v>1</v>
      </c>
    </row>
    <row r="662" spans="1:23" x14ac:dyDescent="0.25">
      <c r="A662" s="2" t="s">
        <v>628</v>
      </c>
      <c r="B662" s="2" t="s">
        <v>915</v>
      </c>
      <c r="C662" s="2">
        <v>545536</v>
      </c>
      <c r="D662" s="2" t="s">
        <v>882</v>
      </c>
      <c r="E662" s="2" t="s">
        <v>111</v>
      </c>
      <c r="F662" s="2" t="s">
        <v>5</v>
      </c>
      <c r="G662" s="2">
        <v>2</v>
      </c>
      <c r="H662" s="2">
        <v>0</v>
      </c>
      <c r="I662" s="2">
        <v>3</v>
      </c>
      <c r="J662" s="2">
        <v>0</v>
      </c>
      <c r="K662" s="2">
        <v>0</v>
      </c>
      <c r="L662" s="2">
        <v>0</v>
      </c>
      <c r="M662" s="2">
        <v>3</v>
      </c>
      <c r="N662" s="2">
        <v>3</v>
      </c>
      <c r="O662" s="2">
        <v>0</v>
      </c>
      <c r="P662" s="2">
        <v>0</v>
      </c>
      <c r="Q662" s="2">
        <v>0</v>
      </c>
      <c r="R662" s="2">
        <v>0</v>
      </c>
      <c r="S662" s="2" t="s">
        <v>488</v>
      </c>
      <c r="T662" s="2" t="s">
        <v>488</v>
      </c>
      <c r="U662" s="2">
        <v>1</v>
      </c>
      <c r="V662" s="2">
        <v>0</v>
      </c>
      <c r="W662">
        <f t="shared" si="10"/>
        <v>4</v>
      </c>
    </row>
    <row r="663" spans="1:23" x14ac:dyDescent="0.25">
      <c r="A663" s="2" t="s">
        <v>628</v>
      </c>
      <c r="B663" s="2" t="s">
        <v>915</v>
      </c>
      <c r="C663" s="2">
        <v>540092</v>
      </c>
      <c r="D663" s="2" t="s">
        <v>883</v>
      </c>
      <c r="E663" s="2" t="s">
        <v>111</v>
      </c>
      <c r="F663" s="2" t="s">
        <v>115</v>
      </c>
      <c r="G663" s="2">
        <v>2</v>
      </c>
      <c r="H663" s="2">
        <v>0</v>
      </c>
      <c r="I663" s="2">
        <v>0</v>
      </c>
      <c r="J663" s="2">
        <v>0</v>
      </c>
      <c r="K663" s="2">
        <v>0</v>
      </c>
      <c r="L663" s="2">
        <v>0</v>
      </c>
      <c r="M663" s="2">
        <v>0</v>
      </c>
      <c r="N663" s="2">
        <v>0</v>
      </c>
      <c r="O663" s="2">
        <v>0</v>
      </c>
      <c r="P663" s="2">
        <v>0</v>
      </c>
      <c r="Q663" s="2">
        <v>0</v>
      </c>
      <c r="R663" s="2">
        <v>0</v>
      </c>
      <c r="S663" s="2" t="s">
        <v>488</v>
      </c>
      <c r="T663" s="2" t="s">
        <v>488</v>
      </c>
      <c r="U663" s="2">
        <v>0</v>
      </c>
      <c r="V663" s="2">
        <v>0</v>
      </c>
      <c r="W663">
        <f t="shared" si="10"/>
        <v>0</v>
      </c>
    </row>
    <row r="664" spans="1:23" x14ac:dyDescent="0.25">
      <c r="A664" s="2" t="s">
        <v>628</v>
      </c>
      <c r="B664" s="2" t="s">
        <v>915</v>
      </c>
      <c r="C664" s="2">
        <v>540095</v>
      </c>
      <c r="D664" s="2" t="s">
        <v>884</v>
      </c>
      <c r="E664" s="2" t="s">
        <v>111</v>
      </c>
      <c r="F664" s="2" t="s">
        <v>115</v>
      </c>
      <c r="G664" s="2">
        <v>2</v>
      </c>
      <c r="H664" s="2">
        <v>0</v>
      </c>
      <c r="I664" s="2">
        <v>0</v>
      </c>
      <c r="J664" s="2">
        <v>0</v>
      </c>
      <c r="K664" s="2">
        <v>0</v>
      </c>
      <c r="L664" s="2">
        <v>0</v>
      </c>
      <c r="M664" s="2">
        <v>0</v>
      </c>
      <c r="N664" s="2">
        <v>0</v>
      </c>
      <c r="O664" s="2">
        <v>0</v>
      </c>
      <c r="P664" s="2">
        <v>0</v>
      </c>
      <c r="Q664" s="2">
        <v>0</v>
      </c>
      <c r="R664" s="2">
        <v>0</v>
      </c>
      <c r="S664" s="2" t="s">
        <v>488</v>
      </c>
      <c r="T664" s="2" t="s">
        <v>488</v>
      </c>
      <c r="U664" s="2">
        <v>0</v>
      </c>
      <c r="V664" s="2">
        <v>0</v>
      </c>
      <c r="W664">
        <f t="shared" si="10"/>
        <v>0</v>
      </c>
    </row>
    <row r="665" spans="1:23" x14ac:dyDescent="0.25">
      <c r="A665" s="2" t="s">
        <v>628</v>
      </c>
      <c r="B665" s="2" t="s">
        <v>915</v>
      </c>
      <c r="C665" s="2">
        <v>545535</v>
      </c>
      <c r="D665" s="2" t="s">
        <v>885</v>
      </c>
      <c r="E665" s="2" t="s">
        <v>111</v>
      </c>
      <c r="F665" s="2" t="s">
        <v>115</v>
      </c>
      <c r="G665" s="2">
        <v>2</v>
      </c>
      <c r="H665" s="2">
        <v>0</v>
      </c>
      <c r="I665" s="2">
        <v>0</v>
      </c>
      <c r="J665" s="2">
        <v>0</v>
      </c>
      <c r="K665" s="2">
        <v>0</v>
      </c>
      <c r="L665" s="2">
        <v>0</v>
      </c>
      <c r="M665" s="2">
        <v>0</v>
      </c>
      <c r="N665" s="2">
        <v>0</v>
      </c>
      <c r="O665" s="2">
        <v>0</v>
      </c>
      <c r="P665" s="2">
        <v>0</v>
      </c>
      <c r="Q665" s="2">
        <v>0</v>
      </c>
      <c r="R665" s="2">
        <v>0</v>
      </c>
      <c r="S665" s="2" t="s">
        <v>488</v>
      </c>
      <c r="T665" s="2" t="s">
        <v>488</v>
      </c>
      <c r="U665" s="2">
        <v>0</v>
      </c>
      <c r="V665" s="2">
        <v>0</v>
      </c>
      <c r="W665">
        <f t="shared" si="10"/>
        <v>0</v>
      </c>
    </row>
    <row r="666" spans="1:23" x14ac:dyDescent="0.25">
      <c r="A666" s="2" t="s">
        <v>628</v>
      </c>
      <c r="B666" s="2" t="s">
        <v>915</v>
      </c>
      <c r="C666" s="2">
        <v>545537</v>
      </c>
      <c r="D666" s="2" t="s">
        <v>886</v>
      </c>
      <c r="E666" s="2" t="s">
        <v>111</v>
      </c>
      <c r="F666" s="2" t="s">
        <v>115</v>
      </c>
      <c r="G666" s="2">
        <v>2</v>
      </c>
      <c r="H666" s="2">
        <v>0</v>
      </c>
      <c r="I666" s="2">
        <v>0</v>
      </c>
      <c r="J666" s="2">
        <v>0</v>
      </c>
      <c r="K666" s="2">
        <v>0</v>
      </c>
      <c r="L666" s="2">
        <v>0</v>
      </c>
      <c r="M666" s="2">
        <v>0</v>
      </c>
      <c r="N666" s="2">
        <v>0</v>
      </c>
      <c r="O666" s="2">
        <v>0</v>
      </c>
      <c r="P666" s="2">
        <v>0</v>
      </c>
      <c r="Q666" s="2">
        <v>0</v>
      </c>
      <c r="R666" s="2">
        <v>0</v>
      </c>
      <c r="S666" s="2" t="s">
        <v>488</v>
      </c>
      <c r="T666" s="2" t="s">
        <v>488</v>
      </c>
      <c r="U666" s="2">
        <v>0</v>
      </c>
      <c r="V666" s="2">
        <v>0</v>
      </c>
      <c r="W666">
        <f t="shared" si="10"/>
        <v>0</v>
      </c>
    </row>
    <row r="667" spans="1:23" x14ac:dyDescent="0.25">
      <c r="A667" s="2" t="s">
        <v>628</v>
      </c>
      <c r="B667" s="2" t="s">
        <v>915</v>
      </c>
      <c r="C667" s="2">
        <v>545539</v>
      </c>
      <c r="D667" s="2" t="s">
        <v>887</v>
      </c>
      <c r="E667" s="2" t="s">
        <v>111</v>
      </c>
      <c r="F667" s="2" t="s">
        <v>115</v>
      </c>
      <c r="G667" s="2">
        <v>2</v>
      </c>
      <c r="H667" s="2">
        <v>0</v>
      </c>
      <c r="I667" s="2">
        <v>0</v>
      </c>
      <c r="J667" s="2">
        <v>0</v>
      </c>
      <c r="K667" s="2">
        <v>0</v>
      </c>
      <c r="L667" s="2">
        <v>0</v>
      </c>
      <c r="M667" s="2">
        <v>0</v>
      </c>
      <c r="N667" s="2">
        <v>0</v>
      </c>
      <c r="O667" s="2">
        <v>0</v>
      </c>
      <c r="P667" s="2">
        <v>0</v>
      </c>
      <c r="Q667" s="2">
        <v>0</v>
      </c>
      <c r="R667" s="2">
        <v>0</v>
      </c>
      <c r="S667" s="2" t="s">
        <v>488</v>
      </c>
      <c r="T667" s="2" t="s">
        <v>488</v>
      </c>
      <c r="U667" s="2">
        <v>0</v>
      </c>
      <c r="V667" s="2">
        <v>0</v>
      </c>
      <c r="W667">
        <f t="shared" si="10"/>
        <v>0</v>
      </c>
    </row>
    <row r="668" spans="1:23" x14ac:dyDescent="0.25">
      <c r="A668" s="255" t="s">
        <v>628</v>
      </c>
      <c r="B668" s="255" t="s">
        <v>915</v>
      </c>
      <c r="C668" s="255"/>
      <c r="D668" s="255"/>
      <c r="E668" s="255" t="s">
        <v>111</v>
      </c>
      <c r="F668" s="255"/>
      <c r="G668" s="255"/>
      <c r="H668" s="255">
        <v>0</v>
      </c>
      <c r="I668" s="255">
        <v>3</v>
      </c>
      <c r="J668" s="255">
        <v>0</v>
      </c>
      <c r="K668" s="255">
        <v>0</v>
      </c>
      <c r="L668" s="255">
        <v>0</v>
      </c>
      <c r="M668" s="255">
        <v>3</v>
      </c>
      <c r="N668" s="255">
        <v>3</v>
      </c>
      <c r="O668" s="255">
        <v>0</v>
      </c>
      <c r="P668" s="255">
        <v>0</v>
      </c>
      <c r="Q668" s="255">
        <v>0</v>
      </c>
      <c r="R668" s="255">
        <v>0</v>
      </c>
      <c r="S668" s="255" t="s">
        <v>488</v>
      </c>
      <c r="T668" s="255" t="s">
        <v>488</v>
      </c>
      <c r="U668" s="255">
        <v>1</v>
      </c>
      <c r="V668" s="255">
        <v>0</v>
      </c>
      <c r="W668">
        <f t="shared" si="10"/>
        <v>4</v>
      </c>
    </row>
    <row r="669" spans="1:23" x14ac:dyDescent="0.25">
      <c r="A669" s="2" t="s">
        <v>628</v>
      </c>
      <c r="B669" s="2" t="s">
        <v>915</v>
      </c>
      <c r="C669" s="2">
        <v>540191</v>
      </c>
      <c r="D669" s="2" t="s">
        <v>888</v>
      </c>
      <c r="E669" s="2" t="s">
        <v>113</v>
      </c>
      <c r="F669" s="2" t="s">
        <v>5</v>
      </c>
      <c r="G669" s="2">
        <v>7</v>
      </c>
      <c r="H669" s="2">
        <v>0</v>
      </c>
      <c r="I669" s="2">
        <v>0</v>
      </c>
      <c r="J669" s="2">
        <v>0</v>
      </c>
      <c r="K669" s="2">
        <v>0</v>
      </c>
      <c r="L669" s="2">
        <v>0</v>
      </c>
      <c r="M669" s="2">
        <v>0</v>
      </c>
      <c r="N669" s="2">
        <v>0</v>
      </c>
      <c r="O669" s="2">
        <v>0</v>
      </c>
      <c r="P669" s="2">
        <v>0</v>
      </c>
      <c r="Q669" s="2">
        <v>0</v>
      </c>
      <c r="R669" s="2">
        <v>0</v>
      </c>
      <c r="S669" s="2" t="s">
        <v>488</v>
      </c>
      <c r="T669" s="2" t="s">
        <v>488</v>
      </c>
      <c r="U669" s="2">
        <v>0</v>
      </c>
      <c r="V669" s="2">
        <v>0</v>
      </c>
      <c r="W669">
        <f t="shared" si="10"/>
        <v>0</v>
      </c>
    </row>
    <row r="670" spans="1:23" x14ac:dyDescent="0.25">
      <c r="A670" s="2" t="s">
        <v>628</v>
      </c>
      <c r="B670" s="2" t="s">
        <v>915</v>
      </c>
      <c r="C670" s="2">
        <v>540193</v>
      </c>
      <c r="D670" s="2" t="s">
        <v>889</v>
      </c>
      <c r="E670" s="2" t="s">
        <v>113</v>
      </c>
      <c r="F670" s="2" t="s">
        <v>115</v>
      </c>
      <c r="G670" s="2">
        <v>7</v>
      </c>
      <c r="H670" s="2">
        <v>0</v>
      </c>
      <c r="I670" s="2">
        <v>0</v>
      </c>
      <c r="J670" s="2">
        <v>0</v>
      </c>
      <c r="K670" s="2">
        <v>0</v>
      </c>
      <c r="L670" s="2">
        <v>0</v>
      </c>
      <c r="M670" s="2">
        <v>0</v>
      </c>
      <c r="N670" s="2">
        <v>0</v>
      </c>
      <c r="O670" s="2">
        <v>0</v>
      </c>
      <c r="P670" s="2">
        <v>0</v>
      </c>
      <c r="Q670" s="2">
        <v>0</v>
      </c>
      <c r="R670" s="2">
        <v>0</v>
      </c>
      <c r="S670" s="2" t="s">
        <v>488</v>
      </c>
      <c r="T670" s="2" t="s">
        <v>488</v>
      </c>
      <c r="U670" s="2">
        <v>0</v>
      </c>
      <c r="V670" s="2">
        <v>0</v>
      </c>
      <c r="W670">
        <f t="shared" si="10"/>
        <v>0</v>
      </c>
    </row>
    <row r="671" spans="1:23" x14ac:dyDescent="0.25">
      <c r="A671" s="2" t="s">
        <v>628</v>
      </c>
      <c r="B671" s="2" t="s">
        <v>915</v>
      </c>
      <c r="C671" s="2">
        <v>540192</v>
      </c>
      <c r="D671" s="2" t="s">
        <v>890</v>
      </c>
      <c r="E671" s="2" t="s">
        <v>113</v>
      </c>
      <c r="F671" s="2" t="s">
        <v>115</v>
      </c>
      <c r="G671" s="2">
        <v>7</v>
      </c>
      <c r="H671" s="2">
        <v>0</v>
      </c>
      <c r="I671" s="2">
        <v>0</v>
      </c>
      <c r="J671" s="2">
        <v>0</v>
      </c>
      <c r="K671" s="2">
        <v>0</v>
      </c>
      <c r="L671" s="2">
        <v>0</v>
      </c>
      <c r="M671" s="2">
        <v>0</v>
      </c>
      <c r="N671" s="2">
        <v>0</v>
      </c>
      <c r="O671" s="2">
        <v>0</v>
      </c>
      <c r="P671" s="2">
        <v>0</v>
      </c>
      <c r="Q671" s="2">
        <v>0</v>
      </c>
      <c r="R671" s="2">
        <v>0</v>
      </c>
      <c r="S671" s="2" t="s">
        <v>488</v>
      </c>
      <c r="T671" s="2" t="s">
        <v>488</v>
      </c>
      <c r="U671" s="2">
        <v>0</v>
      </c>
      <c r="V671" s="2">
        <v>0</v>
      </c>
      <c r="W671">
        <f t="shared" si="10"/>
        <v>0</v>
      </c>
    </row>
    <row r="672" spans="1:23" x14ac:dyDescent="0.25">
      <c r="A672" s="2" t="s">
        <v>628</v>
      </c>
      <c r="B672" s="2" t="s">
        <v>915</v>
      </c>
      <c r="C672" s="2">
        <v>540194</v>
      </c>
      <c r="D672" s="2" t="s">
        <v>891</v>
      </c>
      <c r="E672" s="2" t="s">
        <v>113</v>
      </c>
      <c r="F672" s="2" t="s">
        <v>115</v>
      </c>
      <c r="G672" s="2">
        <v>7</v>
      </c>
      <c r="H672" s="2">
        <v>0</v>
      </c>
      <c r="I672" s="2">
        <v>0</v>
      </c>
      <c r="J672" s="2">
        <v>0</v>
      </c>
      <c r="K672" s="2">
        <v>0</v>
      </c>
      <c r="L672" s="2">
        <v>0</v>
      </c>
      <c r="M672" s="2">
        <v>0</v>
      </c>
      <c r="N672" s="2">
        <v>0</v>
      </c>
      <c r="O672" s="2">
        <v>0</v>
      </c>
      <c r="P672" s="2">
        <v>0</v>
      </c>
      <c r="Q672" s="2">
        <v>0</v>
      </c>
      <c r="R672" s="2">
        <v>0</v>
      </c>
      <c r="S672" s="2" t="s">
        <v>488</v>
      </c>
      <c r="T672" s="2" t="s">
        <v>488</v>
      </c>
      <c r="U672" s="2">
        <v>0</v>
      </c>
      <c r="V672" s="2">
        <v>0</v>
      </c>
      <c r="W672">
        <f t="shared" si="10"/>
        <v>0</v>
      </c>
    </row>
    <row r="673" spans="1:23" x14ac:dyDescent="0.25">
      <c r="A673" s="2" t="s">
        <v>628</v>
      </c>
      <c r="B673" s="2" t="s">
        <v>915</v>
      </c>
      <c r="C673" s="2">
        <v>540261</v>
      </c>
      <c r="D673" s="2" t="s">
        <v>892</v>
      </c>
      <c r="E673" s="2" t="s">
        <v>113</v>
      </c>
      <c r="F673" s="2" t="s">
        <v>115</v>
      </c>
      <c r="G673" s="2">
        <v>7</v>
      </c>
      <c r="H673" s="2">
        <v>0</v>
      </c>
      <c r="I673" s="2">
        <v>0</v>
      </c>
      <c r="J673" s="2">
        <v>0</v>
      </c>
      <c r="K673" s="2">
        <v>0</v>
      </c>
      <c r="L673" s="2">
        <v>0</v>
      </c>
      <c r="M673" s="2">
        <v>0</v>
      </c>
      <c r="N673" s="2">
        <v>0</v>
      </c>
      <c r="O673" s="2">
        <v>0</v>
      </c>
      <c r="P673" s="2">
        <v>0</v>
      </c>
      <c r="Q673" s="2">
        <v>0</v>
      </c>
      <c r="R673" s="2">
        <v>0</v>
      </c>
      <c r="S673" s="2" t="s">
        <v>488</v>
      </c>
      <c r="T673" s="2" t="s">
        <v>488</v>
      </c>
      <c r="U673" s="2">
        <v>0</v>
      </c>
      <c r="V673" s="2">
        <v>0</v>
      </c>
      <c r="W673">
        <f t="shared" si="10"/>
        <v>0</v>
      </c>
    </row>
    <row r="674" spans="1:23" x14ac:dyDescent="0.25">
      <c r="A674" s="2" t="s">
        <v>628</v>
      </c>
      <c r="B674" s="2" t="s">
        <v>915</v>
      </c>
      <c r="C674" s="2">
        <v>540260</v>
      </c>
      <c r="D674" s="2" t="s">
        <v>893</v>
      </c>
      <c r="E674" s="2" t="s">
        <v>113</v>
      </c>
      <c r="F674" s="2" t="s">
        <v>115</v>
      </c>
      <c r="G674" s="2">
        <v>7</v>
      </c>
      <c r="H674" s="2">
        <v>0</v>
      </c>
      <c r="I674" s="2">
        <v>0</v>
      </c>
      <c r="J674" s="2">
        <v>0</v>
      </c>
      <c r="K674" s="2">
        <v>0</v>
      </c>
      <c r="L674" s="2">
        <v>0</v>
      </c>
      <c r="M674" s="2">
        <v>0</v>
      </c>
      <c r="N674" s="2">
        <v>0</v>
      </c>
      <c r="O674" s="2">
        <v>0</v>
      </c>
      <c r="P674" s="2">
        <v>0</v>
      </c>
      <c r="Q674" s="2">
        <v>0</v>
      </c>
      <c r="R674" s="2">
        <v>0</v>
      </c>
      <c r="S674" s="2" t="s">
        <v>488</v>
      </c>
      <c r="T674" s="2" t="s">
        <v>488</v>
      </c>
      <c r="U674" s="2">
        <v>0</v>
      </c>
      <c r="V674" s="2">
        <v>0</v>
      </c>
      <c r="W674">
        <f t="shared" si="10"/>
        <v>0</v>
      </c>
    </row>
    <row r="675" spans="1:23" x14ac:dyDescent="0.25">
      <c r="A675" s="255" t="s">
        <v>628</v>
      </c>
      <c r="B675" s="255" t="s">
        <v>915</v>
      </c>
      <c r="C675" s="255"/>
      <c r="D675" s="255"/>
      <c r="E675" s="255" t="s">
        <v>113</v>
      </c>
      <c r="F675" s="255"/>
      <c r="G675" s="255"/>
      <c r="H675" s="255">
        <v>0</v>
      </c>
      <c r="I675" s="255">
        <v>0</v>
      </c>
      <c r="J675" s="255">
        <v>0</v>
      </c>
      <c r="K675" s="255">
        <v>0</v>
      </c>
      <c r="L675" s="255">
        <v>0</v>
      </c>
      <c r="M675" s="255">
        <v>0</v>
      </c>
      <c r="N675" s="255">
        <v>0</v>
      </c>
      <c r="O675" s="255">
        <v>0</v>
      </c>
      <c r="P675" s="255">
        <v>0</v>
      </c>
      <c r="Q675" s="255">
        <v>0</v>
      </c>
      <c r="R675" s="255">
        <v>0</v>
      </c>
      <c r="S675" s="255" t="s">
        <v>488</v>
      </c>
      <c r="T675" s="255" t="s">
        <v>488</v>
      </c>
      <c r="U675" s="255">
        <v>0</v>
      </c>
      <c r="V675" s="255">
        <v>0</v>
      </c>
      <c r="W675">
        <f t="shared" si="10"/>
        <v>0</v>
      </c>
    </row>
    <row r="676" spans="1:23" x14ac:dyDescent="0.25">
      <c r="A676" s="2" t="s">
        <v>628</v>
      </c>
      <c r="B676" s="2" t="s">
        <v>915</v>
      </c>
      <c r="C676" s="2">
        <v>540027</v>
      </c>
      <c r="D676" s="2" t="s">
        <v>894</v>
      </c>
      <c r="E676" s="2" t="s">
        <v>21</v>
      </c>
      <c r="F676" s="2" t="s">
        <v>115</v>
      </c>
      <c r="G676" s="2">
        <v>4</v>
      </c>
      <c r="H676" s="2">
        <v>0</v>
      </c>
      <c r="I676" s="2">
        <v>0</v>
      </c>
      <c r="J676" s="2">
        <v>0</v>
      </c>
      <c r="K676" s="2">
        <v>0</v>
      </c>
      <c r="L676" s="2">
        <v>0</v>
      </c>
      <c r="M676" s="2">
        <v>0</v>
      </c>
      <c r="N676" s="2">
        <v>0</v>
      </c>
      <c r="O676" s="2">
        <v>0</v>
      </c>
      <c r="P676" s="2">
        <v>0</v>
      </c>
      <c r="Q676" s="2">
        <v>0</v>
      </c>
      <c r="R676" s="2">
        <v>0</v>
      </c>
      <c r="S676" s="2" t="s">
        <v>488</v>
      </c>
      <c r="T676" s="2" t="s">
        <v>488</v>
      </c>
      <c r="U676" s="2">
        <v>0</v>
      </c>
      <c r="V676" s="2">
        <v>0</v>
      </c>
      <c r="W676">
        <f t="shared" si="10"/>
        <v>0</v>
      </c>
    </row>
    <row r="677" spans="1:23" x14ac:dyDescent="0.25">
      <c r="A677" s="2" t="s">
        <v>628</v>
      </c>
      <c r="B677" s="2" t="s">
        <v>915</v>
      </c>
      <c r="C677" s="2">
        <v>540028</v>
      </c>
      <c r="D677" s="2" t="s">
        <v>895</v>
      </c>
      <c r="E677" s="2" t="s">
        <v>21</v>
      </c>
      <c r="F677" s="2" t="s">
        <v>115</v>
      </c>
      <c r="G677" s="2">
        <v>4</v>
      </c>
      <c r="H677" s="2">
        <v>0</v>
      </c>
      <c r="I677" s="2">
        <v>0</v>
      </c>
      <c r="J677" s="2">
        <v>0</v>
      </c>
      <c r="K677" s="2">
        <v>0</v>
      </c>
      <c r="L677" s="2">
        <v>0</v>
      </c>
      <c r="M677" s="2">
        <v>0</v>
      </c>
      <c r="N677" s="2">
        <v>0</v>
      </c>
      <c r="O677" s="2">
        <v>0</v>
      </c>
      <c r="P677" s="2">
        <v>0</v>
      </c>
      <c r="Q677" s="2">
        <v>0</v>
      </c>
      <c r="R677" s="2">
        <v>0</v>
      </c>
      <c r="S677" s="2" t="s">
        <v>488</v>
      </c>
      <c r="T677" s="2" t="s">
        <v>488</v>
      </c>
      <c r="U677" s="2">
        <v>0</v>
      </c>
      <c r="V677" s="2">
        <v>0</v>
      </c>
      <c r="W677">
        <f t="shared" si="10"/>
        <v>0</v>
      </c>
    </row>
    <row r="678" spans="1:23" x14ac:dyDescent="0.25">
      <c r="A678" s="2" t="s">
        <v>628</v>
      </c>
      <c r="B678" s="2" t="s">
        <v>915</v>
      </c>
      <c r="C678" s="2">
        <v>540029</v>
      </c>
      <c r="D678" s="2" t="s">
        <v>701</v>
      </c>
      <c r="E678" s="2" t="s">
        <v>21</v>
      </c>
      <c r="F678" s="2" t="s">
        <v>115</v>
      </c>
      <c r="G678" s="2">
        <v>4</v>
      </c>
      <c r="H678" s="2">
        <v>0</v>
      </c>
      <c r="I678" s="2">
        <v>0</v>
      </c>
      <c r="J678" s="2">
        <v>0</v>
      </c>
      <c r="K678" s="2">
        <v>0</v>
      </c>
      <c r="L678" s="2">
        <v>0</v>
      </c>
      <c r="M678" s="2">
        <v>0</v>
      </c>
      <c r="N678" s="2">
        <v>0</v>
      </c>
      <c r="O678" s="2">
        <v>0</v>
      </c>
      <c r="P678" s="2">
        <v>0</v>
      </c>
      <c r="Q678" s="2">
        <v>0</v>
      </c>
      <c r="R678" s="2">
        <v>0</v>
      </c>
      <c r="S678" s="2" t="s">
        <v>488</v>
      </c>
      <c r="T678" s="2" t="s">
        <v>488</v>
      </c>
      <c r="U678" s="2">
        <v>0</v>
      </c>
      <c r="V678" s="2">
        <v>0</v>
      </c>
      <c r="W678">
        <f t="shared" si="10"/>
        <v>0</v>
      </c>
    </row>
    <row r="679" spans="1:23" x14ac:dyDescent="0.25">
      <c r="A679" s="2" t="s">
        <v>628</v>
      </c>
      <c r="B679" s="2" t="s">
        <v>915</v>
      </c>
      <c r="C679" s="2">
        <v>540031</v>
      </c>
      <c r="D679" s="2" t="s">
        <v>896</v>
      </c>
      <c r="E679" s="2" t="s">
        <v>21</v>
      </c>
      <c r="F679" s="2" t="s">
        <v>115</v>
      </c>
      <c r="G679" s="2">
        <v>4</v>
      </c>
      <c r="H679" s="2">
        <v>0</v>
      </c>
      <c r="I679" s="2">
        <v>0</v>
      </c>
      <c r="J679" s="2">
        <v>0</v>
      </c>
      <c r="K679" s="2">
        <v>0</v>
      </c>
      <c r="L679" s="2">
        <v>0</v>
      </c>
      <c r="M679" s="2">
        <v>0</v>
      </c>
      <c r="N679" s="2">
        <v>0</v>
      </c>
      <c r="O679" s="2">
        <v>0</v>
      </c>
      <c r="P679" s="2">
        <v>0</v>
      </c>
      <c r="Q679" s="2">
        <v>0</v>
      </c>
      <c r="R679" s="2">
        <v>0</v>
      </c>
      <c r="S679" s="2" t="s">
        <v>488</v>
      </c>
      <c r="T679" s="2" t="s">
        <v>488</v>
      </c>
      <c r="U679" s="2">
        <v>0</v>
      </c>
      <c r="V679" s="2">
        <v>0</v>
      </c>
      <c r="W679">
        <f t="shared" si="10"/>
        <v>0</v>
      </c>
    </row>
    <row r="680" spans="1:23" x14ac:dyDescent="0.25">
      <c r="A680" s="2" t="s">
        <v>628</v>
      </c>
      <c r="B680" s="2" t="s">
        <v>915</v>
      </c>
      <c r="C680" s="2">
        <v>540032</v>
      </c>
      <c r="D680" s="2" t="s">
        <v>897</v>
      </c>
      <c r="E680" s="2" t="s">
        <v>21</v>
      </c>
      <c r="F680" s="2" t="s">
        <v>115</v>
      </c>
      <c r="G680" s="2">
        <v>4</v>
      </c>
      <c r="H680" s="2">
        <v>0</v>
      </c>
      <c r="I680" s="2">
        <v>0</v>
      </c>
      <c r="J680" s="2">
        <v>0</v>
      </c>
      <c r="K680" s="2">
        <v>0</v>
      </c>
      <c r="L680" s="2">
        <v>0</v>
      </c>
      <c r="M680" s="2">
        <v>0</v>
      </c>
      <c r="N680" s="2">
        <v>0</v>
      </c>
      <c r="O680" s="2">
        <v>0</v>
      </c>
      <c r="P680" s="2">
        <v>0</v>
      </c>
      <c r="Q680" s="2">
        <v>0</v>
      </c>
      <c r="R680" s="2">
        <v>0</v>
      </c>
      <c r="S680" s="2" t="s">
        <v>488</v>
      </c>
      <c r="T680" s="2" t="s">
        <v>488</v>
      </c>
      <c r="U680" s="2">
        <v>0</v>
      </c>
      <c r="V680" s="2">
        <v>0</v>
      </c>
      <c r="W680">
        <f t="shared" si="10"/>
        <v>0</v>
      </c>
    </row>
    <row r="681" spans="1:23" x14ac:dyDescent="0.25">
      <c r="A681" s="2" t="s">
        <v>628</v>
      </c>
      <c r="B681" s="2" t="s">
        <v>915</v>
      </c>
      <c r="C681" s="2">
        <v>540050</v>
      </c>
      <c r="D681" s="2" t="s">
        <v>898</v>
      </c>
      <c r="E681" s="2" t="s">
        <v>21</v>
      </c>
      <c r="F681" s="2" t="s">
        <v>115</v>
      </c>
      <c r="G681" s="2">
        <v>4</v>
      </c>
      <c r="H681" s="2">
        <v>0</v>
      </c>
      <c r="I681" s="2">
        <v>0</v>
      </c>
      <c r="J681" s="2">
        <v>0</v>
      </c>
      <c r="K681" s="2">
        <v>0</v>
      </c>
      <c r="L681" s="2">
        <v>0</v>
      </c>
      <c r="M681" s="2">
        <v>0</v>
      </c>
      <c r="N681" s="2">
        <v>0</v>
      </c>
      <c r="O681" s="2">
        <v>0</v>
      </c>
      <c r="P681" s="2">
        <v>0</v>
      </c>
      <c r="Q681" s="2">
        <v>0</v>
      </c>
      <c r="R681" s="2">
        <v>0</v>
      </c>
      <c r="S681" s="2" t="s">
        <v>488</v>
      </c>
      <c r="T681" s="2" t="s">
        <v>488</v>
      </c>
      <c r="U681" s="2">
        <v>0</v>
      </c>
      <c r="V681" s="2">
        <v>0</v>
      </c>
      <c r="W681">
        <f t="shared" si="10"/>
        <v>0</v>
      </c>
    </row>
    <row r="682" spans="1:23" x14ac:dyDescent="0.25">
      <c r="A682" s="2" t="s">
        <v>628</v>
      </c>
      <c r="B682" s="2" t="s">
        <v>915</v>
      </c>
      <c r="C682" s="2">
        <v>540293</v>
      </c>
      <c r="D682" s="2" t="s">
        <v>899</v>
      </c>
      <c r="E682" s="2" t="s">
        <v>21</v>
      </c>
      <c r="F682" s="2" t="s">
        <v>115</v>
      </c>
      <c r="G682" s="2">
        <v>4</v>
      </c>
      <c r="H682" s="2">
        <v>0</v>
      </c>
      <c r="I682" s="2">
        <v>0</v>
      </c>
      <c r="J682" s="2">
        <v>0</v>
      </c>
      <c r="K682" s="2">
        <v>0</v>
      </c>
      <c r="L682" s="2">
        <v>0</v>
      </c>
      <c r="M682" s="2">
        <v>0</v>
      </c>
      <c r="N682" s="2">
        <v>0</v>
      </c>
      <c r="O682" s="2">
        <v>0</v>
      </c>
      <c r="P682" s="2">
        <v>0</v>
      </c>
      <c r="Q682" s="2">
        <v>0</v>
      </c>
      <c r="R682" s="2">
        <v>0</v>
      </c>
      <c r="S682" s="2" t="s">
        <v>488</v>
      </c>
      <c r="T682" s="2" t="s">
        <v>488</v>
      </c>
      <c r="U682" s="2">
        <v>0</v>
      </c>
      <c r="V682" s="2">
        <v>0</v>
      </c>
      <c r="W682">
        <f t="shared" si="10"/>
        <v>0</v>
      </c>
    </row>
    <row r="683" spans="1:23" x14ac:dyDescent="0.25">
      <c r="A683" s="2" t="s">
        <v>628</v>
      </c>
      <c r="B683" s="2" t="s">
        <v>915</v>
      </c>
      <c r="C683" s="2">
        <v>540294</v>
      </c>
      <c r="D683" s="2" t="s">
        <v>900</v>
      </c>
      <c r="E683" s="2" t="s">
        <v>21</v>
      </c>
      <c r="F683" s="2" t="s">
        <v>115</v>
      </c>
      <c r="G683" s="2">
        <v>4</v>
      </c>
      <c r="H683" s="2">
        <v>0</v>
      </c>
      <c r="I683" s="2">
        <v>0</v>
      </c>
      <c r="J683" s="2">
        <v>0</v>
      </c>
      <c r="K683" s="2">
        <v>0</v>
      </c>
      <c r="L683" s="2">
        <v>0</v>
      </c>
      <c r="M683" s="2">
        <v>0</v>
      </c>
      <c r="N683" s="2">
        <v>0</v>
      </c>
      <c r="O683" s="2">
        <v>0</v>
      </c>
      <c r="P683" s="2">
        <v>0</v>
      </c>
      <c r="Q683" s="2">
        <v>0</v>
      </c>
      <c r="R683" s="2">
        <v>0</v>
      </c>
      <c r="S683" s="2" t="s">
        <v>488</v>
      </c>
      <c r="T683" s="2" t="s">
        <v>488</v>
      </c>
      <c r="U683" s="2">
        <v>0</v>
      </c>
      <c r="V683" s="2">
        <v>0</v>
      </c>
      <c r="W683">
        <f t="shared" si="10"/>
        <v>0</v>
      </c>
    </row>
    <row r="684" spans="1:23" x14ac:dyDescent="0.25">
      <c r="A684" s="2" t="s">
        <v>628</v>
      </c>
      <c r="B684" s="2" t="s">
        <v>915</v>
      </c>
      <c r="C684" s="2">
        <v>540033</v>
      </c>
      <c r="D684" s="2" t="s">
        <v>716</v>
      </c>
      <c r="E684" s="2" t="s">
        <v>21</v>
      </c>
      <c r="F684" s="2" t="s">
        <v>115</v>
      </c>
      <c r="G684" s="2">
        <v>4</v>
      </c>
      <c r="H684" s="2">
        <v>0</v>
      </c>
      <c r="I684" s="2">
        <v>0</v>
      </c>
      <c r="J684" s="2">
        <v>0</v>
      </c>
      <c r="K684" s="2">
        <v>0</v>
      </c>
      <c r="L684" s="2">
        <v>0</v>
      </c>
      <c r="M684" s="2">
        <v>0</v>
      </c>
      <c r="N684" s="2">
        <v>0</v>
      </c>
      <c r="O684" s="2">
        <v>0</v>
      </c>
      <c r="P684" s="2">
        <v>0</v>
      </c>
      <c r="Q684" s="2">
        <v>0</v>
      </c>
      <c r="R684" s="2">
        <v>0</v>
      </c>
      <c r="S684" s="2" t="s">
        <v>488</v>
      </c>
      <c r="T684" s="2" t="s">
        <v>488</v>
      </c>
      <c r="U684" s="2">
        <v>2</v>
      </c>
      <c r="V684" s="2">
        <v>0</v>
      </c>
      <c r="W684">
        <f t="shared" si="10"/>
        <v>2</v>
      </c>
    </row>
    <row r="685" spans="1:23" x14ac:dyDescent="0.25">
      <c r="A685" s="2" t="s">
        <v>628</v>
      </c>
      <c r="B685" s="2" t="s">
        <v>915</v>
      </c>
      <c r="C685" s="2">
        <v>540280</v>
      </c>
      <c r="D685" s="2" t="s">
        <v>901</v>
      </c>
      <c r="E685" s="2" t="s">
        <v>21</v>
      </c>
      <c r="F685" s="2" t="s">
        <v>115</v>
      </c>
      <c r="G685" s="2">
        <v>4</v>
      </c>
      <c r="H685" s="2">
        <v>0</v>
      </c>
      <c r="I685" s="2">
        <v>0</v>
      </c>
      <c r="J685" s="2">
        <v>0</v>
      </c>
      <c r="K685" s="2">
        <v>0</v>
      </c>
      <c r="L685" s="2">
        <v>0</v>
      </c>
      <c r="M685" s="2">
        <v>0</v>
      </c>
      <c r="N685" s="2">
        <v>0</v>
      </c>
      <c r="O685" s="2">
        <v>0</v>
      </c>
      <c r="P685" s="2">
        <v>0</v>
      </c>
      <c r="Q685" s="2">
        <v>0</v>
      </c>
      <c r="R685" s="2">
        <v>0</v>
      </c>
      <c r="S685" s="2" t="s">
        <v>488</v>
      </c>
      <c r="T685" s="2" t="s">
        <v>488</v>
      </c>
      <c r="U685" s="2">
        <v>0</v>
      </c>
      <c r="V685" s="2">
        <v>0</v>
      </c>
      <c r="W685">
        <f t="shared" si="10"/>
        <v>0</v>
      </c>
    </row>
    <row r="686" spans="1:23" x14ac:dyDescent="0.25">
      <c r="A686" s="2" t="s">
        <v>628</v>
      </c>
      <c r="B686" s="2" t="s">
        <v>915</v>
      </c>
      <c r="C686" s="2">
        <v>540026</v>
      </c>
      <c r="D686" s="2" t="s">
        <v>902</v>
      </c>
      <c r="E686" s="2" t="s">
        <v>21</v>
      </c>
      <c r="F686" s="2" t="s">
        <v>5</v>
      </c>
      <c r="G686" s="2">
        <v>4</v>
      </c>
      <c r="H686" s="2">
        <v>1</v>
      </c>
      <c r="I686" s="2">
        <v>0</v>
      </c>
      <c r="J686" s="2">
        <v>0</v>
      </c>
      <c r="K686" s="2">
        <v>0</v>
      </c>
      <c r="L686" s="2">
        <v>0</v>
      </c>
      <c r="M686" s="2">
        <v>0</v>
      </c>
      <c r="N686" s="2">
        <v>1</v>
      </c>
      <c r="O686" s="2">
        <v>0</v>
      </c>
      <c r="P686" s="2">
        <v>0</v>
      </c>
      <c r="Q686" s="2">
        <v>0</v>
      </c>
      <c r="R686" s="2">
        <v>0</v>
      </c>
      <c r="S686" s="2" t="s">
        <v>488</v>
      </c>
      <c r="T686" s="2" t="s">
        <v>488</v>
      </c>
      <c r="U686" s="2">
        <v>1</v>
      </c>
      <c r="V686" s="2">
        <v>0</v>
      </c>
      <c r="W686">
        <f t="shared" si="10"/>
        <v>2</v>
      </c>
    </row>
    <row r="687" spans="1:23" x14ac:dyDescent="0.25">
      <c r="A687" s="255" t="s">
        <v>628</v>
      </c>
      <c r="B687" s="255" t="s">
        <v>915</v>
      </c>
      <c r="C687" s="255"/>
      <c r="D687" s="255"/>
      <c r="E687" s="255" t="s">
        <v>21</v>
      </c>
      <c r="F687" s="255"/>
      <c r="G687" s="255"/>
      <c r="H687" s="255">
        <v>1</v>
      </c>
      <c r="I687" s="255">
        <v>0</v>
      </c>
      <c r="J687" s="255">
        <v>0</v>
      </c>
      <c r="K687" s="255">
        <v>0</v>
      </c>
      <c r="L687" s="255">
        <v>0</v>
      </c>
      <c r="M687" s="255">
        <v>0</v>
      </c>
      <c r="N687" s="255">
        <v>1</v>
      </c>
      <c r="O687" s="255">
        <v>0</v>
      </c>
      <c r="P687" s="255">
        <v>0</v>
      </c>
      <c r="Q687" s="255">
        <v>0</v>
      </c>
      <c r="R687" s="255">
        <v>0</v>
      </c>
      <c r="S687" s="255" t="s">
        <v>488</v>
      </c>
      <c r="T687" s="255" t="s">
        <v>488</v>
      </c>
      <c r="U687" s="255">
        <v>3</v>
      </c>
      <c r="V687" s="255">
        <v>0</v>
      </c>
      <c r="W687">
        <f t="shared" si="10"/>
        <v>4</v>
      </c>
    </row>
    <row r="688" spans="1:23" x14ac:dyDescent="0.25">
      <c r="A688" s="2" t="s">
        <v>628</v>
      </c>
      <c r="B688" s="2" t="s">
        <v>915</v>
      </c>
      <c r="C688" s="2">
        <v>540176</v>
      </c>
      <c r="D688" s="2" t="s">
        <v>903</v>
      </c>
      <c r="E688" s="2" t="s">
        <v>75</v>
      </c>
      <c r="F688" s="2" t="s">
        <v>115</v>
      </c>
      <c r="G688" s="2">
        <v>7</v>
      </c>
      <c r="H688" s="2">
        <v>0</v>
      </c>
      <c r="I688" s="2">
        <v>0</v>
      </c>
      <c r="J688" s="2">
        <v>0</v>
      </c>
      <c r="K688" s="2">
        <v>0</v>
      </c>
      <c r="L688" s="2">
        <v>0</v>
      </c>
      <c r="M688" s="2">
        <v>0</v>
      </c>
      <c r="N688" s="2">
        <v>0</v>
      </c>
      <c r="O688" s="2">
        <v>0</v>
      </c>
      <c r="P688" s="2">
        <v>0</v>
      </c>
      <c r="Q688" s="2">
        <v>0</v>
      </c>
      <c r="R688" s="2">
        <v>0</v>
      </c>
      <c r="S688" s="2" t="s">
        <v>488</v>
      </c>
      <c r="T688" s="2" t="s">
        <v>488</v>
      </c>
      <c r="U688" s="2">
        <v>0</v>
      </c>
      <c r="V688" s="2">
        <v>0</v>
      </c>
      <c r="W688">
        <f t="shared" si="10"/>
        <v>0</v>
      </c>
    </row>
    <row r="689" spans="1:23" x14ac:dyDescent="0.25">
      <c r="A689" s="2" t="s">
        <v>628</v>
      </c>
      <c r="B689" s="2" t="s">
        <v>915</v>
      </c>
      <c r="C689" s="2">
        <v>540178</v>
      </c>
      <c r="D689" s="2" t="s">
        <v>904</v>
      </c>
      <c r="E689" s="2" t="s">
        <v>75</v>
      </c>
      <c r="F689" s="2" t="s">
        <v>115</v>
      </c>
      <c r="G689" s="2">
        <v>7</v>
      </c>
      <c r="H689" s="2">
        <v>0</v>
      </c>
      <c r="I689" s="2">
        <v>0</v>
      </c>
      <c r="J689" s="2">
        <v>0</v>
      </c>
      <c r="K689" s="2">
        <v>0</v>
      </c>
      <c r="L689" s="2">
        <v>0</v>
      </c>
      <c r="M689" s="2">
        <v>0</v>
      </c>
      <c r="N689" s="2">
        <v>0</v>
      </c>
      <c r="O689" s="2">
        <v>0</v>
      </c>
      <c r="P689" s="2">
        <v>0</v>
      </c>
      <c r="Q689" s="2">
        <v>0</v>
      </c>
      <c r="R689" s="2">
        <v>0</v>
      </c>
      <c r="S689" s="2" t="s">
        <v>488</v>
      </c>
      <c r="T689" s="2" t="s">
        <v>488</v>
      </c>
      <c r="U689" s="2">
        <v>0</v>
      </c>
      <c r="V689" s="2">
        <v>0</v>
      </c>
      <c r="W689">
        <f t="shared" si="10"/>
        <v>0</v>
      </c>
    </row>
    <row r="690" spans="1:23" x14ac:dyDescent="0.25">
      <c r="A690" s="2" t="s">
        <v>628</v>
      </c>
      <c r="B690" s="2" t="s">
        <v>915</v>
      </c>
      <c r="C690" s="2">
        <v>540264</v>
      </c>
      <c r="D690" s="2" t="s">
        <v>905</v>
      </c>
      <c r="E690" s="2" t="s">
        <v>75</v>
      </c>
      <c r="F690" s="2" t="s">
        <v>115</v>
      </c>
      <c r="G690" s="2">
        <v>7</v>
      </c>
      <c r="H690" s="2">
        <v>0</v>
      </c>
      <c r="I690" s="2">
        <v>0</v>
      </c>
      <c r="J690" s="2">
        <v>0</v>
      </c>
      <c r="K690" s="2">
        <v>0</v>
      </c>
      <c r="L690" s="2">
        <v>0</v>
      </c>
      <c r="M690" s="2">
        <v>0</v>
      </c>
      <c r="N690" s="2">
        <v>0</v>
      </c>
      <c r="O690" s="2">
        <v>0</v>
      </c>
      <c r="P690" s="2">
        <v>0</v>
      </c>
      <c r="Q690" s="2">
        <v>0</v>
      </c>
      <c r="R690" s="2">
        <v>0</v>
      </c>
      <c r="S690" s="2" t="s">
        <v>488</v>
      </c>
      <c r="T690" s="2" t="s">
        <v>488</v>
      </c>
      <c r="U690" s="2">
        <v>0</v>
      </c>
      <c r="V690" s="2">
        <v>0</v>
      </c>
      <c r="W690">
        <f t="shared" si="10"/>
        <v>0</v>
      </c>
    </row>
    <row r="691" spans="1:23" x14ac:dyDescent="0.25">
      <c r="A691" s="2" t="s">
        <v>628</v>
      </c>
      <c r="B691" s="2" t="s">
        <v>915</v>
      </c>
      <c r="C691" s="2">
        <v>540265</v>
      </c>
      <c r="D691" s="2" t="s">
        <v>906</v>
      </c>
      <c r="E691" s="2" t="s">
        <v>75</v>
      </c>
      <c r="F691" s="2" t="s">
        <v>115</v>
      </c>
      <c r="G691" s="2">
        <v>7</v>
      </c>
      <c r="H691" s="2">
        <v>0</v>
      </c>
      <c r="I691" s="2">
        <v>0</v>
      </c>
      <c r="J691" s="2">
        <v>0</v>
      </c>
      <c r="K691" s="2">
        <v>0</v>
      </c>
      <c r="L691" s="2">
        <v>0</v>
      </c>
      <c r="M691" s="2">
        <v>0</v>
      </c>
      <c r="N691" s="2">
        <v>0</v>
      </c>
      <c r="O691" s="2">
        <v>0</v>
      </c>
      <c r="P691" s="2">
        <v>0</v>
      </c>
      <c r="Q691" s="2">
        <v>0</v>
      </c>
      <c r="R691" s="2">
        <v>0</v>
      </c>
      <c r="S691" s="2" t="s">
        <v>488</v>
      </c>
      <c r="T691" s="2" t="s">
        <v>488</v>
      </c>
      <c r="U691" s="2">
        <v>0</v>
      </c>
      <c r="V691" s="2">
        <v>0</v>
      </c>
      <c r="W691">
        <f t="shared" si="10"/>
        <v>0</v>
      </c>
    </row>
    <row r="692" spans="1:23" x14ac:dyDescent="0.25">
      <c r="A692" s="2" t="s">
        <v>628</v>
      </c>
      <c r="B692" s="2" t="s">
        <v>915</v>
      </c>
      <c r="C692" s="2">
        <v>540266</v>
      </c>
      <c r="D692" s="2" t="s">
        <v>907</v>
      </c>
      <c r="E692" s="2" t="s">
        <v>75</v>
      </c>
      <c r="F692" s="2" t="s">
        <v>115</v>
      </c>
      <c r="G692" s="2">
        <v>7</v>
      </c>
      <c r="H692" s="2">
        <v>0</v>
      </c>
      <c r="I692" s="2">
        <v>0</v>
      </c>
      <c r="J692" s="2">
        <v>0</v>
      </c>
      <c r="K692" s="2">
        <v>0</v>
      </c>
      <c r="L692" s="2">
        <v>0</v>
      </c>
      <c r="M692" s="2">
        <v>0</v>
      </c>
      <c r="N692" s="2">
        <v>0</v>
      </c>
      <c r="O692" s="2">
        <v>0</v>
      </c>
      <c r="P692" s="2">
        <v>0</v>
      </c>
      <c r="Q692" s="2">
        <v>0</v>
      </c>
      <c r="R692" s="2">
        <v>0</v>
      </c>
      <c r="S692" s="2" t="s">
        <v>488</v>
      </c>
      <c r="T692" s="2" t="s">
        <v>488</v>
      </c>
      <c r="U692" s="2">
        <v>0</v>
      </c>
      <c r="V692" s="2">
        <v>0</v>
      </c>
      <c r="W692">
        <f t="shared" si="10"/>
        <v>0</v>
      </c>
    </row>
    <row r="693" spans="1:23" x14ac:dyDescent="0.25">
      <c r="A693" s="2" t="s">
        <v>628</v>
      </c>
      <c r="B693" s="2" t="s">
        <v>915</v>
      </c>
      <c r="C693" s="2">
        <v>540267</v>
      </c>
      <c r="D693" s="2" t="s">
        <v>908</v>
      </c>
      <c r="E693" s="2" t="s">
        <v>75</v>
      </c>
      <c r="F693" s="2" t="s">
        <v>115</v>
      </c>
      <c r="G693" s="2">
        <v>7</v>
      </c>
      <c r="H693" s="2">
        <v>0</v>
      </c>
      <c r="I693" s="2">
        <v>0</v>
      </c>
      <c r="J693" s="2">
        <v>0</v>
      </c>
      <c r="K693" s="2">
        <v>0</v>
      </c>
      <c r="L693" s="2">
        <v>0</v>
      </c>
      <c r="M693" s="2">
        <v>0</v>
      </c>
      <c r="N693" s="2">
        <v>0</v>
      </c>
      <c r="O693" s="2">
        <v>0</v>
      </c>
      <c r="P693" s="2">
        <v>0</v>
      </c>
      <c r="Q693" s="2">
        <v>0</v>
      </c>
      <c r="R693" s="2">
        <v>0</v>
      </c>
      <c r="S693" s="2" t="s">
        <v>488</v>
      </c>
      <c r="T693" s="2" t="s">
        <v>488</v>
      </c>
      <c r="U693" s="2">
        <v>0</v>
      </c>
      <c r="V693" s="2">
        <v>0</v>
      </c>
      <c r="W693">
        <f t="shared" si="10"/>
        <v>0</v>
      </c>
    </row>
    <row r="694" spans="1:23" x14ac:dyDescent="0.25">
      <c r="A694" s="2" t="s">
        <v>628</v>
      </c>
      <c r="B694" s="2" t="s">
        <v>915</v>
      </c>
      <c r="C694" s="2">
        <v>540177</v>
      </c>
      <c r="D694" s="2" t="s">
        <v>909</v>
      </c>
      <c r="E694" s="2" t="s">
        <v>75</v>
      </c>
      <c r="F694" s="2" t="s">
        <v>115</v>
      </c>
      <c r="G694" s="2">
        <v>7</v>
      </c>
      <c r="H694" s="2">
        <v>0</v>
      </c>
      <c r="I694" s="2">
        <v>0</v>
      </c>
      <c r="J694" s="2">
        <v>0</v>
      </c>
      <c r="K694" s="2">
        <v>0</v>
      </c>
      <c r="L694" s="2">
        <v>0</v>
      </c>
      <c r="M694" s="2">
        <v>0</v>
      </c>
      <c r="N694" s="2">
        <v>0</v>
      </c>
      <c r="O694" s="2">
        <v>0</v>
      </c>
      <c r="P694" s="2">
        <v>0</v>
      </c>
      <c r="Q694" s="2">
        <v>0</v>
      </c>
      <c r="R694" s="2">
        <v>0</v>
      </c>
      <c r="S694" s="2" t="s">
        <v>488</v>
      </c>
      <c r="T694" s="2" t="s">
        <v>488</v>
      </c>
      <c r="U694" s="2">
        <v>0</v>
      </c>
      <c r="V694" s="2">
        <v>0</v>
      </c>
      <c r="W694">
        <f t="shared" si="10"/>
        <v>0</v>
      </c>
    </row>
    <row r="695" spans="1:23" x14ac:dyDescent="0.25">
      <c r="A695" s="2" t="s">
        <v>628</v>
      </c>
      <c r="B695" s="2" t="s">
        <v>915</v>
      </c>
      <c r="C695" s="2">
        <v>540175</v>
      </c>
      <c r="D695" s="2" t="s">
        <v>910</v>
      </c>
      <c r="E695" s="2" t="s">
        <v>75</v>
      </c>
      <c r="F695" s="2" t="s">
        <v>5</v>
      </c>
      <c r="G695" s="2">
        <v>7</v>
      </c>
      <c r="H695" s="2">
        <v>1</v>
      </c>
      <c r="I695" s="2">
        <v>0</v>
      </c>
      <c r="J695" s="2">
        <v>0</v>
      </c>
      <c r="K695" s="2">
        <v>0</v>
      </c>
      <c r="L695" s="2">
        <v>0</v>
      </c>
      <c r="M695" s="2">
        <v>0</v>
      </c>
      <c r="N695" s="2">
        <v>1</v>
      </c>
      <c r="O695" s="2">
        <v>0</v>
      </c>
      <c r="P695" s="2">
        <v>0</v>
      </c>
      <c r="Q695" s="2">
        <v>1</v>
      </c>
      <c r="R695" s="2">
        <v>0</v>
      </c>
      <c r="S695" s="2" t="s">
        <v>488</v>
      </c>
      <c r="T695" s="2" t="s">
        <v>488</v>
      </c>
      <c r="U695" s="2">
        <v>0</v>
      </c>
      <c r="V695" s="2">
        <v>0</v>
      </c>
      <c r="W695">
        <f t="shared" si="10"/>
        <v>1</v>
      </c>
    </row>
    <row r="696" spans="1:23" x14ac:dyDescent="0.25">
      <c r="A696" s="255" t="s">
        <v>628</v>
      </c>
      <c r="B696" s="255" t="s">
        <v>915</v>
      </c>
      <c r="C696" s="255"/>
      <c r="D696" s="255"/>
      <c r="E696" s="255" t="s">
        <v>75</v>
      </c>
      <c r="F696" s="255"/>
      <c r="G696" s="255"/>
      <c r="H696" s="255">
        <v>1</v>
      </c>
      <c r="I696" s="255">
        <v>0</v>
      </c>
      <c r="J696" s="255">
        <v>0</v>
      </c>
      <c r="K696" s="255">
        <v>0</v>
      </c>
      <c r="L696" s="255">
        <v>0</v>
      </c>
      <c r="M696" s="255">
        <v>0</v>
      </c>
      <c r="N696" s="255">
        <v>1</v>
      </c>
      <c r="O696" s="255">
        <v>0</v>
      </c>
      <c r="P696" s="255">
        <v>0</v>
      </c>
      <c r="Q696" s="255">
        <v>1</v>
      </c>
      <c r="R696" s="255">
        <v>0</v>
      </c>
      <c r="S696" s="255" t="s">
        <v>488</v>
      </c>
      <c r="T696" s="255" t="s">
        <v>488</v>
      </c>
      <c r="U696" s="255">
        <v>0</v>
      </c>
      <c r="V696" s="255">
        <v>0</v>
      </c>
      <c r="W696">
        <f t="shared" si="10"/>
        <v>1</v>
      </c>
    </row>
    <row r="697" spans="1:23" x14ac:dyDescent="0.25">
      <c r="A697" s="2" t="s">
        <v>628</v>
      </c>
      <c r="B697" s="2" t="s">
        <v>915</v>
      </c>
      <c r="C697" s="2">
        <v>540219</v>
      </c>
      <c r="D697" s="2" t="s">
        <v>911</v>
      </c>
      <c r="E697" s="2" t="s">
        <v>95</v>
      </c>
      <c r="F697" s="2" t="s">
        <v>115</v>
      </c>
      <c r="G697" s="2">
        <v>1</v>
      </c>
      <c r="H697" s="2">
        <v>0</v>
      </c>
      <c r="I697" s="2">
        <v>0</v>
      </c>
      <c r="J697" s="2">
        <v>0</v>
      </c>
      <c r="K697" s="2">
        <v>0</v>
      </c>
      <c r="L697" s="2">
        <v>0</v>
      </c>
      <c r="M697" s="2">
        <v>0</v>
      </c>
      <c r="N697" s="2">
        <v>0</v>
      </c>
      <c r="O697" s="2">
        <v>0</v>
      </c>
      <c r="P697" s="2">
        <v>0</v>
      </c>
      <c r="Q697" s="2">
        <v>0</v>
      </c>
      <c r="R697" s="2">
        <v>0</v>
      </c>
      <c r="S697" s="2">
        <v>0</v>
      </c>
      <c r="T697" s="2">
        <v>0</v>
      </c>
      <c r="U697" s="2">
        <v>0</v>
      </c>
      <c r="V697" s="2">
        <v>0</v>
      </c>
      <c r="W697">
        <f t="shared" si="10"/>
        <v>0</v>
      </c>
    </row>
    <row r="698" spans="1:23" x14ac:dyDescent="0.25">
      <c r="A698" s="2" t="s">
        <v>628</v>
      </c>
      <c r="B698" s="2" t="s">
        <v>915</v>
      </c>
      <c r="C698" s="2">
        <v>540220</v>
      </c>
      <c r="D698" s="2" t="s">
        <v>912</v>
      </c>
      <c r="E698" s="2" t="s">
        <v>95</v>
      </c>
      <c r="F698" s="2" t="s">
        <v>115</v>
      </c>
      <c r="G698" s="2">
        <v>1</v>
      </c>
      <c r="H698" s="2">
        <v>0</v>
      </c>
      <c r="I698" s="2">
        <v>0</v>
      </c>
      <c r="J698" s="2">
        <v>0</v>
      </c>
      <c r="K698" s="2">
        <v>0</v>
      </c>
      <c r="L698" s="2">
        <v>0</v>
      </c>
      <c r="M698" s="2">
        <v>0</v>
      </c>
      <c r="N698" s="2">
        <v>0</v>
      </c>
      <c r="O698" s="2">
        <v>0</v>
      </c>
      <c r="P698" s="2">
        <v>0</v>
      </c>
      <c r="Q698" s="2">
        <v>0</v>
      </c>
      <c r="R698" s="2">
        <v>0</v>
      </c>
      <c r="S698" s="2">
        <v>0</v>
      </c>
      <c r="T698" s="2">
        <v>0</v>
      </c>
      <c r="U698" s="2">
        <v>0</v>
      </c>
      <c r="V698" s="2">
        <v>0</v>
      </c>
      <c r="W698">
        <f t="shared" si="10"/>
        <v>0</v>
      </c>
    </row>
    <row r="699" spans="1:23" x14ac:dyDescent="0.25">
      <c r="A699" s="2" t="s">
        <v>628</v>
      </c>
      <c r="B699" s="2" t="s">
        <v>915</v>
      </c>
      <c r="C699" s="2">
        <v>540218</v>
      </c>
      <c r="D699" s="2" t="s">
        <v>913</v>
      </c>
      <c r="E699" s="2" t="s">
        <v>95</v>
      </c>
      <c r="F699" s="2" t="s">
        <v>115</v>
      </c>
      <c r="G699" s="2">
        <v>1</v>
      </c>
      <c r="H699" s="2">
        <v>0</v>
      </c>
      <c r="I699" s="2">
        <v>0</v>
      </c>
      <c r="J699" s="2">
        <v>0</v>
      </c>
      <c r="K699" s="2">
        <v>0</v>
      </c>
      <c r="L699" s="2">
        <v>0</v>
      </c>
      <c r="M699" s="2">
        <v>0</v>
      </c>
      <c r="N699" s="2">
        <v>0</v>
      </c>
      <c r="O699" s="2">
        <v>0</v>
      </c>
      <c r="P699" s="2">
        <v>0</v>
      </c>
      <c r="Q699" s="2">
        <v>0</v>
      </c>
      <c r="R699" s="2">
        <v>0</v>
      </c>
      <c r="S699" s="2">
        <v>0</v>
      </c>
      <c r="T699" s="2">
        <v>0</v>
      </c>
      <c r="U699" s="2">
        <v>1</v>
      </c>
      <c r="V699" s="2">
        <v>0</v>
      </c>
      <c r="W699">
        <f t="shared" si="10"/>
        <v>1</v>
      </c>
    </row>
    <row r="700" spans="1:23" x14ac:dyDescent="0.25">
      <c r="A700" s="2" t="s">
        <v>628</v>
      </c>
      <c r="B700" s="2" t="s">
        <v>915</v>
      </c>
      <c r="C700" s="2">
        <v>540217</v>
      </c>
      <c r="D700" s="2" t="s">
        <v>914</v>
      </c>
      <c r="E700" s="2" t="s">
        <v>95</v>
      </c>
      <c r="F700" s="2" t="s">
        <v>5</v>
      </c>
      <c r="G700" s="2">
        <v>1</v>
      </c>
      <c r="H700" s="2">
        <v>0</v>
      </c>
      <c r="I700" s="2">
        <v>0</v>
      </c>
      <c r="J700" s="2">
        <v>0</v>
      </c>
      <c r="K700" s="2">
        <v>0</v>
      </c>
      <c r="L700" s="2">
        <v>0</v>
      </c>
      <c r="M700" s="2">
        <v>0</v>
      </c>
      <c r="N700" s="2">
        <v>0</v>
      </c>
      <c r="O700" s="2">
        <v>0</v>
      </c>
      <c r="P700" s="2">
        <v>0</v>
      </c>
      <c r="Q700" s="2">
        <v>0</v>
      </c>
      <c r="R700" s="2">
        <v>0</v>
      </c>
      <c r="S700" s="2">
        <v>0</v>
      </c>
      <c r="T700" s="2">
        <v>1</v>
      </c>
      <c r="U700" s="2">
        <v>0</v>
      </c>
      <c r="V700" s="2">
        <v>0</v>
      </c>
      <c r="W700">
        <f t="shared" si="10"/>
        <v>1</v>
      </c>
    </row>
    <row r="701" spans="1:23" x14ac:dyDescent="0.25">
      <c r="A701" s="255" t="s">
        <v>628</v>
      </c>
      <c r="B701" s="255" t="s">
        <v>915</v>
      </c>
      <c r="C701" s="255"/>
      <c r="D701" s="255"/>
      <c r="E701" s="255" t="s">
        <v>95</v>
      </c>
      <c r="F701" s="255"/>
      <c r="G701" s="255"/>
      <c r="H701" s="255">
        <v>0</v>
      </c>
      <c r="I701" s="255">
        <v>0</v>
      </c>
      <c r="J701" s="255">
        <v>0</v>
      </c>
      <c r="K701" s="255">
        <v>0</v>
      </c>
      <c r="L701" s="255">
        <v>0</v>
      </c>
      <c r="M701" s="255">
        <v>0</v>
      </c>
      <c r="N701" s="255">
        <v>0</v>
      </c>
      <c r="O701" s="255">
        <v>0</v>
      </c>
      <c r="P701" s="255">
        <v>0</v>
      </c>
      <c r="Q701" s="255">
        <v>0</v>
      </c>
      <c r="R701" s="255">
        <v>0</v>
      </c>
      <c r="S701" s="255">
        <v>0</v>
      </c>
      <c r="T701" s="255">
        <v>1</v>
      </c>
      <c r="U701" s="255">
        <v>1</v>
      </c>
      <c r="V701" s="255">
        <v>0</v>
      </c>
      <c r="W701">
        <f t="shared" si="10"/>
        <v>2</v>
      </c>
    </row>
    <row r="702" spans="1:23" x14ac:dyDescent="0.25">
      <c r="A702" s="2" t="s">
        <v>628</v>
      </c>
      <c r="B702" s="2" t="s">
        <v>916</v>
      </c>
      <c r="C702" s="2">
        <v>540001</v>
      </c>
      <c r="D702" s="2" t="s">
        <v>627</v>
      </c>
      <c r="E702" s="2" t="s">
        <v>4</v>
      </c>
      <c r="F702" s="2" t="s">
        <v>5</v>
      </c>
      <c r="G702" s="2">
        <v>7</v>
      </c>
      <c r="H702" s="2">
        <v>0</v>
      </c>
      <c r="I702" s="2">
        <v>0</v>
      </c>
      <c r="J702" s="2">
        <v>0</v>
      </c>
      <c r="K702" s="2">
        <v>0</v>
      </c>
      <c r="L702" s="2">
        <v>0</v>
      </c>
      <c r="M702" s="2">
        <v>0</v>
      </c>
      <c r="N702" s="2">
        <v>0</v>
      </c>
      <c r="O702" s="2">
        <v>0</v>
      </c>
      <c r="P702" s="2">
        <v>0</v>
      </c>
      <c r="Q702" s="2">
        <v>0</v>
      </c>
      <c r="R702" s="2">
        <v>0</v>
      </c>
      <c r="S702" s="2" t="s">
        <v>488</v>
      </c>
      <c r="T702" s="2" t="s">
        <v>488</v>
      </c>
      <c r="U702" s="2">
        <v>0</v>
      </c>
      <c r="V702" s="2">
        <v>0</v>
      </c>
      <c r="W702">
        <f t="shared" si="10"/>
        <v>0</v>
      </c>
    </row>
    <row r="703" spans="1:23" x14ac:dyDescent="0.25">
      <c r="A703" s="2" t="s">
        <v>628</v>
      </c>
      <c r="B703" s="2" t="s">
        <v>916</v>
      </c>
      <c r="C703" s="2">
        <v>540002</v>
      </c>
      <c r="D703" s="2" t="s">
        <v>629</v>
      </c>
      <c r="E703" s="2" t="s">
        <v>4</v>
      </c>
      <c r="F703" s="2" t="s">
        <v>115</v>
      </c>
      <c r="G703" s="2">
        <v>7</v>
      </c>
      <c r="H703" s="2">
        <v>0</v>
      </c>
      <c r="I703" s="2">
        <v>1</v>
      </c>
      <c r="J703" s="2">
        <v>0</v>
      </c>
      <c r="K703" s="2">
        <v>0</v>
      </c>
      <c r="L703" s="2">
        <v>0</v>
      </c>
      <c r="M703" s="2">
        <v>1</v>
      </c>
      <c r="N703" s="2">
        <v>1</v>
      </c>
      <c r="O703" s="2">
        <v>0</v>
      </c>
      <c r="P703" s="2">
        <v>0</v>
      </c>
      <c r="Q703" s="2">
        <v>0</v>
      </c>
      <c r="R703" s="2">
        <v>0</v>
      </c>
      <c r="S703" s="2" t="s">
        <v>488</v>
      </c>
      <c r="T703" s="2" t="s">
        <v>488</v>
      </c>
      <c r="U703" s="2">
        <v>0</v>
      </c>
      <c r="V703" s="2">
        <v>0</v>
      </c>
      <c r="W703">
        <f t="shared" si="10"/>
        <v>1</v>
      </c>
    </row>
    <row r="704" spans="1:23" x14ac:dyDescent="0.25">
      <c r="A704" s="2" t="s">
        <v>628</v>
      </c>
      <c r="B704" s="2" t="s">
        <v>916</v>
      </c>
      <c r="C704" s="2">
        <v>540003</v>
      </c>
      <c r="D704" s="2" t="s">
        <v>630</v>
      </c>
      <c r="E704" s="2" t="s">
        <v>4</v>
      </c>
      <c r="F704" s="2" t="s">
        <v>115</v>
      </c>
      <c r="G704" s="2">
        <v>7</v>
      </c>
      <c r="H704" s="2">
        <v>0</v>
      </c>
      <c r="I704" s="2">
        <v>0</v>
      </c>
      <c r="J704" s="2">
        <v>0</v>
      </c>
      <c r="K704" s="2">
        <v>0</v>
      </c>
      <c r="L704" s="2">
        <v>0</v>
      </c>
      <c r="M704" s="2">
        <v>0</v>
      </c>
      <c r="N704" s="2">
        <v>0</v>
      </c>
      <c r="O704" s="2">
        <v>0</v>
      </c>
      <c r="P704" s="2">
        <v>0</v>
      </c>
      <c r="Q704" s="2">
        <v>0</v>
      </c>
      <c r="R704" s="2">
        <v>0</v>
      </c>
      <c r="S704" s="2" t="s">
        <v>488</v>
      </c>
      <c r="T704" s="2" t="s">
        <v>488</v>
      </c>
      <c r="U704" s="2">
        <v>0</v>
      </c>
      <c r="V704" s="2">
        <v>0</v>
      </c>
      <c r="W704">
        <f t="shared" si="10"/>
        <v>0</v>
      </c>
    </row>
    <row r="705" spans="1:23" x14ac:dyDescent="0.25">
      <c r="A705" s="2" t="s">
        <v>628</v>
      </c>
      <c r="B705" s="2" t="s">
        <v>916</v>
      </c>
      <c r="C705" s="2">
        <v>540004</v>
      </c>
      <c r="D705" s="2" t="s">
        <v>631</v>
      </c>
      <c r="E705" s="2" t="s">
        <v>4</v>
      </c>
      <c r="F705" s="2" t="s">
        <v>115</v>
      </c>
      <c r="G705" s="2">
        <v>7</v>
      </c>
      <c r="H705" s="2">
        <v>0</v>
      </c>
      <c r="I705" s="2">
        <v>1</v>
      </c>
      <c r="J705" s="2">
        <v>0</v>
      </c>
      <c r="K705" s="2">
        <v>0</v>
      </c>
      <c r="L705" s="2">
        <v>0</v>
      </c>
      <c r="M705" s="2">
        <v>1</v>
      </c>
      <c r="N705" s="2">
        <v>1</v>
      </c>
      <c r="O705" s="2">
        <v>0</v>
      </c>
      <c r="P705" s="2">
        <v>0</v>
      </c>
      <c r="Q705" s="2">
        <v>0</v>
      </c>
      <c r="R705" s="2">
        <v>0</v>
      </c>
      <c r="S705" s="2" t="s">
        <v>488</v>
      </c>
      <c r="T705" s="2" t="s">
        <v>488</v>
      </c>
      <c r="U705" s="2">
        <v>1</v>
      </c>
      <c r="V705" s="2">
        <v>0</v>
      </c>
      <c r="W705">
        <f t="shared" si="10"/>
        <v>2</v>
      </c>
    </row>
    <row r="706" spans="1:23" x14ac:dyDescent="0.25">
      <c r="A706" s="255" t="s">
        <v>628</v>
      </c>
      <c r="B706" s="255" t="s">
        <v>916</v>
      </c>
      <c r="C706" s="255"/>
      <c r="D706" s="255"/>
      <c r="E706" s="255" t="s">
        <v>4</v>
      </c>
      <c r="F706" s="255"/>
      <c r="G706" s="255"/>
      <c r="H706" s="255">
        <v>0</v>
      </c>
      <c r="I706" s="255">
        <v>2</v>
      </c>
      <c r="J706" s="255">
        <v>0</v>
      </c>
      <c r="K706" s="255">
        <v>0</v>
      </c>
      <c r="L706" s="255">
        <v>0</v>
      </c>
      <c r="M706" s="255">
        <v>2</v>
      </c>
      <c r="N706" s="255">
        <v>2</v>
      </c>
      <c r="O706" s="255">
        <v>0</v>
      </c>
      <c r="P706" s="255">
        <v>0</v>
      </c>
      <c r="Q706" s="255">
        <v>0</v>
      </c>
      <c r="R706" s="255">
        <v>0</v>
      </c>
      <c r="S706" s="255" t="s">
        <v>488</v>
      </c>
      <c r="T706" s="255" t="s">
        <v>488</v>
      </c>
      <c r="U706" s="255">
        <v>1</v>
      </c>
      <c r="V706" s="255">
        <v>0</v>
      </c>
      <c r="W706">
        <f t="shared" si="10"/>
        <v>3</v>
      </c>
    </row>
    <row r="707" spans="1:23" x14ac:dyDescent="0.25">
      <c r="A707" s="2" t="s">
        <v>628</v>
      </c>
      <c r="B707" s="2" t="s">
        <v>916</v>
      </c>
      <c r="C707" s="2">
        <v>540007</v>
      </c>
      <c r="D707" s="2" t="s">
        <v>632</v>
      </c>
      <c r="E707" s="2" t="s">
        <v>7</v>
      </c>
      <c r="F707" s="2" t="s">
        <v>5</v>
      </c>
      <c r="G707" s="2">
        <v>3</v>
      </c>
      <c r="H707" s="2">
        <v>0</v>
      </c>
      <c r="I707" s="2">
        <v>0</v>
      </c>
      <c r="J707" s="2">
        <v>0</v>
      </c>
      <c r="K707" s="2">
        <v>0</v>
      </c>
      <c r="L707" s="2">
        <v>0</v>
      </c>
      <c r="M707" s="2">
        <v>0</v>
      </c>
      <c r="N707" s="2">
        <v>0</v>
      </c>
      <c r="O707" s="2">
        <v>0</v>
      </c>
      <c r="P707" s="2">
        <v>0</v>
      </c>
      <c r="Q707" s="2">
        <v>0</v>
      </c>
      <c r="R707" s="2">
        <v>0</v>
      </c>
      <c r="S707" s="2" t="s">
        <v>488</v>
      </c>
      <c r="T707" s="2" t="s">
        <v>488</v>
      </c>
      <c r="U707" s="2">
        <v>0</v>
      </c>
      <c r="V707" s="2">
        <v>0</v>
      </c>
      <c r="W707">
        <f t="shared" ref="W707:W770" si="11">SUM(N707,P707,R707,T707,U707,V707)</f>
        <v>0</v>
      </c>
    </row>
    <row r="708" spans="1:23" x14ac:dyDescent="0.25">
      <c r="A708" s="2" t="s">
        <v>628</v>
      </c>
      <c r="B708" s="2" t="s">
        <v>916</v>
      </c>
      <c r="C708" s="2">
        <v>540008</v>
      </c>
      <c r="D708" s="2" t="s">
        <v>633</v>
      </c>
      <c r="E708" s="2" t="s">
        <v>7</v>
      </c>
      <c r="F708" s="2" t="s">
        <v>115</v>
      </c>
      <c r="G708" s="2">
        <v>3</v>
      </c>
      <c r="H708" s="2">
        <v>0</v>
      </c>
      <c r="I708" s="2">
        <v>0</v>
      </c>
      <c r="J708" s="2">
        <v>0</v>
      </c>
      <c r="K708" s="2">
        <v>0</v>
      </c>
      <c r="L708" s="2">
        <v>0</v>
      </c>
      <c r="M708" s="2">
        <v>0</v>
      </c>
      <c r="N708" s="2">
        <v>0</v>
      </c>
      <c r="O708" s="2">
        <v>0</v>
      </c>
      <c r="P708" s="2">
        <v>0</v>
      </c>
      <c r="Q708" s="2">
        <v>0</v>
      </c>
      <c r="R708" s="2">
        <v>0</v>
      </c>
      <c r="S708" s="2" t="s">
        <v>488</v>
      </c>
      <c r="T708" s="2" t="s">
        <v>488</v>
      </c>
      <c r="U708" s="2">
        <v>0</v>
      </c>
      <c r="V708" s="2">
        <v>0</v>
      </c>
      <c r="W708">
        <f t="shared" si="11"/>
        <v>0</v>
      </c>
    </row>
    <row r="709" spans="1:23" x14ac:dyDescent="0.25">
      <c r="A709" s="2" t="s">
        <v>628</v>
      </c>
      <c r="B709" s="2" t="s">
        <v>916</v>
      </c>
      <c r="C709" s="2">
        <v>540229</v>
      </c>
      <c r="D709" s="2" t="s">
        <v>634</v>
      </c>
      <c r="E709" s="2" t="s">
        <v>7</v>
      </c>
      <c r="F709" s="2" t="s">
        <v>115</v>
      </c>
      <c r="G709" s="2">
        <v>3</v>
      </c>
      <c r="H709" s="2">
        <v>0</v>
      </c>
      <c r="I709" s="2">
        <v>0</v>
      </c>
      <c r="J709" s="2">
        <v>0</v>
      </c>
      <c r="K709" s="2">
        <v>0</v>
      </c>
      <c r="L709" s="2">
        <v>0</v>
      </c>
      <c r="M709" s="2">
        <v>0</v>
      </c>
      <c r="N709" s="2">
        <v>0</v>
      </c>
      <c r="O709" s="2">
        <v>0</v>
      </c>
      <c r="P709" s="2">
        <v>0</v>
      </c>
      <c r="Q709" s="2">
        <v>0</v>
      </c>
      <c r="R709" s="2">
        <v>0</v>
      </c>
      <c r="S709" s="2" t="s">
        <v>488</v>
      </c>
      <c r="T709" s="2" t="s">
        <v>488</v>
      </c>
      <c r="U709" s="2">
        <v>0</v>
      </c>
      <c r="V709" s="2">
        <v>0</v>
      </c>
      <c r="W709">
        <f t="shared" si="11"/>
        <v>0</v>
      </c>
    </row>
    <row r="710" spans="1:23" x14ac:dyDescent="0.25">
      <c r="A710" s="2" t="s">
        <v>628</v>
      </c>
      <c r="B710" s="2" t="s">
        <v>916</v>
      </c>
      <c r="C710" s="2">
        <v>540230</v>
      </c>
      <c r="D710" s="2" t="s">
        <v>635</v>
      </c>
      <c r="E710" s="2" t="s">
        <v>7</v>
      </c>
      <c r="F710" s="2" t="s">
        <v>115</v>
      </c>
      <c r="G710" s="2">
        <v>3</v>
      </c>
      <c r="H710" s="2">
        <v>0</v>
      </c>
      <c r="I710" s="2">
        <v>0</v>
      </c>
      <c r="J710" s="2">
        <v>0</v>
      </c>
      <c r="K710" s="2">
        <v>0</v>
      </c>
      <c r="L710" s="2">
        <v>0</v>
      </c>
      <c r="M710" s="2">
        <v>0</v>
      </c>
      <c r="N710" s="2">
        <v>0</v>
      </c>
      <c r="O710" s="2">
        <v>0</v>
      </c>
      <c r="P710" s="2">
        <v>0</v>
      </c>
      <c r="Q710" s="2">
        <v>0</v>
      </c>
      <c r="R710" s="2">
        <v>0</v>
      </c>
      <c r="S710" s="2" t="s">
        <v>488</v>
      </c>
      <c r="T710" s="2" t="s">
        <v>488</v>
      </c>
      <c r="U710" s="2">
        <v>0</v>
      </c>
      <c r="V710" s="2">
        <v>0</v>
      </c>
      <c r="W710">
        <f t="shared" si="11"/>
        <v>0</v>
      </c>
    </row>
    <row r="711" spans="1:23" x14ac:dyDescent="0.25">
      <c r="A711" s="2" t="s">
        <v>628</v>
      </c>
      <c r="B711" s="2" t="s">
        <v>916</v>
      </c>
      <c r="C711" s="2">
        <v>540238</v>
      </c>
      <c r="D711" s="2" t="s">
        <v>636</v>
      </c>
      <c r="E711" s="2" t="s">
        <v>7</v>
      </c>
      <c r="F711" s="2" t="s">
        <v>115</v>
      </c>
      <c r="G711" s="2">
        <v>3</v>
      </c>
      <c r="H711" s="2">
        <v>0</v>
      </c>
      <c r="I711" s="2">
        <v>1</v>
      </c>
      <c r="J711" s="2">
        <v>0</v>
      </c>
      <c r="K711" s="2">
        <v>0</v>
      </c>
      <c r="L711" s="2">
        <v>0</v>
      </c>
      <c r="M711" s="2">
        <v>1</v>
      </c>
      <c r="N711" s="2">
        <v>1</v>
      </c>
      <c r="O711" s="2">
        <v>0</v>
      </c>
      <c r="P711" s="2">
        <v>0</v>
      </c>
      <c r="Q711" s="2">
        <v>0</v>
      </c>
      <c r="R711" s="2">
        <v>0</v>
      </c>
      <c r="S711" s="2" t="s">
        <v>488</v>
      </c>
      <c r="T711" s="2" t="s">
        <v>488</v>
      </c>
      <c r="U711" s="2">
        <v>0</v>
      </c>
      <c r="V711" s="2">
        <v>0</v>
      </c>
      <c r="W711">
        <f t="shared" si="11"/>
        <v>1</v>
      </c>
    </row>
    <row r="712" spans="1:23" x14ac:dyDescent="0.25">
      <c r="A712" s="255" t="s">
        <v>628</v>
      </c>
      <c r="B712" s="255" t="s">
        <v>916</v>
      </c>
      <c r="C712" s="255"/>
      <c r="D712" s="255"/>
      <c r="E712" s="255" t="s">
        <v>7</v>
      </c>
      <c r="F712" s="255"/>
      <c r="G712" s="255"/>
      <c r="H712" s="255">
        <v>0</v>
      </c>
      <c r="I712" s="255">
        <v>1</v>
      </c>
      <c r="J712" s="255">
        <v>0</v>
      </c>
      <c r="K712" s="255">
        <v>0</v>
      </c>
      <c r="L712" s="255">
        <v>0</v>
      </c>
      <c r="M712" s="255">
        <v>1</v>
      </c>
      <c r="N712" s="255">
        <v>1</v>
      </c>
      <c r="O712" s="255">
        <v>0</v>
      </c>
      <c r="P712" s="255">
        <v>0</v>
      </c>
      <c r="Q712" s="255">
        <v>0</v>
      </c>
      <c r="R712" s="255">
        <v>0</v>
      </c>
      <c r="S712" s="255" t="s">
        <v>488</v>
      </c>
      <c r="T712" s="255" t="s">
        <v>488</v>
      </c>
      <c r="U712" s="255">
        <v>0</v>
      </c>
      <c r="V712" s="255">
        <v>0</v>
      </c>
      <c r="W712">
        <f t="shared" si="11"/>
        <v>1</v>
      </c>
    </row>
    <row r="713" spans="1:23" x14ac:dyDescent="0.25">
      <c r="A713" s="2" t="s">
        <v>628</v>
      </c>
      <c r="B713" s="2" t="s">
        <v>916</v>
      </c>
      <c r="C713" s="2">
        <v>540009</v>
      </c>
      <c r="D713" s="2" t="s">
        <v>637</v>
      </c>
      <c r="E713" s="2" t="s">
        <v>9</v>
      </c>
      <c r="F713" s="2" t="s">
        <v>5</v>
      </c>
      <c r="G713" s="2">
        <v>7</v>
      </c>
      <c r="H713" s="2">
        <v>0</v>
      </c>
      <c r="I713" s="2">
        <v>0</v>
      </c>
      <c r="J713" s="2">
        <v>0</v>
      </c>
      <c r="K713" s="2">
        <v>0</v>
      </c>
      <c r="L713" s="2">
        <v>0</v>
      </c>
      <c r="M713" s="2">
        <v>0</v>
      </c>
      <c r="N713" s="2">
        <v>0</v>
      </c>
      <c r="O713" s="2">
        <v>0</v>
      </c>
      <c r="P713" s="2">
        <v>0</v>
      </c>
      <c r="Q713" s="2" t="s">
        <v>488</v>
      </c>
      <c r="R713" s="2" t="s">
        <v>488</v>
      </c>
      <c r="S713" s="2" t="s">
        <v>488</v>
      </c>
      <c r="T713" s="2" t="s">
        <v>488</v>
      </c>
      <c r="U713" s="2">
        <v>0</v>
      </c>
      <c r="V713" s="2">
        <v>0</v>
      </c>
      <c r="W713">
        <f t="shared" si="11"/>
        <v>0</v>
      </c>
    </row>
    <row r="714" spans="1:23" x14ac:dyDescent="0.25">
      <c r="A714" s="2" t="s">
        <v>628</v>
      </c>
      <c r="B714" s="2" t="s">
        <v>916</v>
      </c>
      <c r="C714" s="2">
        <v>540010</v>
      </c>
      <c r="D714" s="2" t="s">
        <v>638</v>
      </c>
      <c r="E714" s="2" t="s">
        <v>9</v>
      </c>
      <c r="F714" s="2" t="s">
        <v>115</v>
      </c>
      <c r="G714" s="2">
        <v>7</v>
      </c>
      <c r="H714" s="2">
        <v>0</v>
      </c>
      <c r="I714" s="2">
        <v>0</v>
      </c>
      <c r="J714" s="2">
        <v>0</v>
      </c>
      <c r="K714" s="2">
        <v>0</v>
      </c>
      <c r="L714" s="2">
        <v>0</v>
      </c>
      <c r="M714" s="2">
        <v>0</v>
      </c>
      <c r="N714" s="2">
        <v>0</v>
      </c>
      <c r="O714" s="2">
        <v>0</v>
      </c>
      <c r="P714" s="2">
        <v>0</v>
      </c>
      <c r="Q714" s="2" t="s">
        <v>488</v>
      </c>
      <c r="R714" s="2" t="s">
        <v>488</v>
      </c>
      <c r="S714" s="2" t="s">
        <v>488</v>
      </c>
      <c r="T714" s="2" t="s">
        <v>488</v>
      </c>
      <c r="U714" s="2">
        <v>0</v>
      </c>
      <c r="V714" s="2">
        <v>0</v>
      </c>
      <c r="W714">
        <f t="shared" si="11"/>
        <v>0</v>
      </c>
    </row>
    <row r="715" spans="1:23" x14ac:dyDescent="0.25">
      <c r="A715" s="2" t="s">
        <v>628</v>
      </c>
      <c r="B715" s="2" t="s">
        <v>916</v>
      </c>
      <c r="C715" s="2">
        <v>540235</v>
      </c>
      <c r="D715" s="2" t="s">
        <v>639</v>
      </c>
      <c r="E715" s="2" t="s">
        <v>9</v>
      </c>
      <c r="F715" s="2" t="s">
        <v>115</v>
      </c>
      <c r="G715" s="2">
        <v>7</v>
      </c>
      <c r="H715" s="2">
        <v>0</v>
      </c>
      <c r="I715" s="2">
        <v>0</v>
      </c>
      <c r="J715" s="2">
        <v>0</v>
      </c>
      <c r="K715" s="2">
        <v>0</v>
      </c>
      <c r="L715" s="2">
        <v>0</v>
      </c>
      <c r="M715" s="2">
        <v>0</v>
      </c>
      <c r="N715" s="2">
        <v>0</v>
      </c>
      <c r="O715" s="2">
        <v>0</v>
      </c>
      <c r="P715" s="2">
        <v>0</v>
      </c>
      <c r="Q715" s="2" t="s">
        <v>488</v>
      </c>
      <c r="R715" s="2" t="s">
        <v>488</v>
      </c>
      <c r="S715" s="2" t="s">
        <v>488</v>
      </c>
      <c r="T715" s="2" t="s">
        <v>488</v>
      </c>
      <c r="U715" s="2">
        <v>0</v>
      </c>
      <c r="V715" s="2">
        <v>0</v>
      </c>
      <c r="W715">
        <f t="shared" si="11"/>
        <v>0</v>
      </c>
    </row>
    <row r="716" spans="1:23" x14ac:dyDescent="0.25">
      <c r="A716" s="2" t="s">
        <v>628</v>
      </c>
      <c r="B716" s="2" t="s">
        <v>916</v>
      </c>
      <c r="C716" s="2">
        <v>540236</v>
      </c>
      <c r="D716" s="2" t="s">
        <v>640</v>
      </c>
      <c r="E716" s="2" t="s">
        <v>9</v>
      </c>
      <c r="F716" s="2" t="s">
        <v>115</v>
      </c>
      <c r="G716" s="2">
        <v>7</v>
      </c>
      <c r="H716" s="2">
        <v>0</v>
      </c>
      <c r="I716" s="2">
        <v>0</v>
      </c>
      <c r="J716" s="2">
        <v>0</v>
      </c>
      <c r="K716" s="2">
        <v>0</v>
      </c>
      <c r="L716" s="2">
        <v>0</v>
      </c>
      <c r="M716" s="2">
        <v>0</v>
      </c>
      <c r="N716" s="2">
        <v>0</v>
      </c>
      <c r="O716" s="2">
        <v>0</v>
      </c>
      <c r="P716" s="2">
        <v>0</v>
      </c>
      <c r="Q716" s="2" t="s">
        <v>488</v>
      </c>
      <c r="R716" s="2" t="s">
        <v>488</v>
      </c>
      <c r="S716" s="2" t="s">
        <v>488</v>
      </c>
      <c r="T716" s="2" t="s">
        <v>488</v>
      </c>
      <c r="U716" s="2">
        <v>0</v>
      </c>
      <c r="V716" s="2">
        <v>0</v>
      </c>
      <c r="W716">
        <f t="shared" si="11"/>
        <v>0</v>
      </c>
    </row>
    <row r="717" spans="1:23" x14ac:dyDescent="0.25">
      <c r="A717" s="2" t="s">
        <v>628</v>
      </c>
      <c r="B717" s="2" t="s">
        <v>916</v>
      </c>
      <c r="C717" s="2">
        <v>540237</v>
      </c>
      <c r="D717" s="2" t="s">
        <v>641</v>
      </c>
      <c r="E717" s="2" t="s">
        <v>9</v>
      </c>
      <c r="F717" s="2" t="s">
        <v>115</v>
      </c>
      <c r="G717" s="2">
        <v>7</v>
      </c>
      <c r="H717" s="2">
        <v>0</v>
      </c>
      <c r="I717" s="2">
        <v>0</v>
      </c>
      <c r="J717" s="2">
        <v>0</v>
      </c>
      <c r="K717" s="2">
        <v>0</v>
      </c>
      <c r="L717" s="2">
        <v>0</v>
      </c>
      <c r="M717" s="2">
        <v>0</v>
      </c>
      <c r="N717" s="2">
        <v>0</v>
      </c>
      <c r="O717" s="2">
        <v>0</v>
      </c>
      <c r="P717" s="2">
        <v>0</v>
      </c>
      <c r="Q717" s="2" t="s">
        <v>488</v>
      </c>
      <c r="R717" s="2" t="s">
        <v>488</v>
      </c>
      <c r="S717" s="2" t="s">
        <v>488</v>
      </c>
      <c r="T717" s="2" t="s">
        <v>488</v>
      </c>
      <c r="U717" s="2">
        <v>0</v>
      </c>
      <c r="V717" s="2">
        <v>0</v>
      </c>
      <c r="W717">
        <f t="shared" si="11"/>
        <v>0</v>
      </c>
    </row>
    <row r="718" spans="1:23" x14ac:dyDescent="0.25">
      <c r="A718" s="255" t="s">
        <v>628</v>
      </c>
      <c r="B718" s="255" t="s">
        <v>916</v>
      </c>
      <c r="C718" s="255"/>
      <c r="D718" s="255"/>
      <c r="E718" s="255" t="s">
        <v>9</v>
      </c>
      <c r="F718" s="255"/>
      <c r="G718" s="255"/>
      <c r="H718" s="255">
        <v>0</v>
      </c>
      <c r="I718" s="255">
        <v>0</v>
      </c>
      <c r="J718" s="255">
        <v>0</v>
      </c>
      <c r="K718" s="255">
        <v>0</v>
      </c>
      <c r="L718" s="255">
        <v>0</v>
      </c>
      <c r="M718" s="255">
        <v>0</v>
      </c>
      <c r="N718" s="255">
        <v>0</v>
      </c>
      <c r="O718" s="255">
        <v>0</v>
      </c>
      <c r="P718" s="255">
        <v>0</v>
      </c>
      <c r="Q718" s="255" t="s">
        <v>488</v>
      </c>
      <c r="R718" s="255" t="s">
        <v>488</v>
      </c>
      <c r="S718" s="255" t="s">
        <v>488</v>
      </c>
      <c r="T718" s="255" t="s">
        <v>488</v>
      </c>
      <c r="U718" s="255">
        <v>0</v>
      </c>
      <c r="V718" s="255">
        <v>0</v>
      </c>
      <c r="W718">
        <f t="shared" si="11"/>
        <v>0</v>
      </c>
    </row>
    <row r="719" spans="1:23" x14ac:dyDescent="0.25">
      <c r="A719" s="2" t="s">
        <v>628</v>
      </c>
      <c r="B719" s="2" t="s">
        <v>916</v>
      </c>
      <c r="C719" s="2">
        <v>540011</v>
      </c>
      <c r="D719" s="2" t="s">
        <v>642</v>
      </c>
      <c r="E719" s="2" t="s">
        <v>11</v>
      </c>
      <c r="F719" s="2" t="s">
        <v>5</v>
      </c>
      <c r="G719" s="2">
        <v>11</v>
      </c>
      <c r="H719" s="2">
        <v>0</v>
      </c>
      <c r="I719" s="2">
        <v>0</v>
      </c>
      <c r="J719" s="2">
        <v>0</v>
      </c>
      <c r="K719" s="2">
        <v>0</v>
      </c>
      <c r="L719" s="2">
        <v>0</v>
      </c>
      <c r="M719" s="2">
        <v>0</v>
      </c>
      <c r="N719" s="2">
        <v>0</v>
      </c>
      <c r="O719" s="2">
        <v>0</v>
      </c>
      <c r="P719" s="2">
        <v>0</v>
      </c>
      <c r="Q719" s="2">
        <v>0</v>
      </c>
      <c r="R719" s="2">
        <v>0</v>
      </c>
      <c r="S719" s="2" t="s">
        <v>488</v>
      </c>
      <c r="T719" s="2" t="s">
        <v>488</v>
      </c>
      <c r="U719" s="2">
        <v>0</v>
      </c>
      <c r="V719" s="2">
        <v>0</v>
      </c>
      <c r="W719">
        <f t="shared" si="11"/>
        <v>0</v>
      </c>
    </row>
    <row r="720" spans="1:23" x14ac:dyDescent="0.25">
      <c r="A720" s="2" t="s">
        <v>628</v>
      </c>
      <c r="B720" s="2" t="s">
        <v>916</v>
      </c>
      <c r="C720" s="2">
        <v>540012</v>
      </c>
      <c r="D720" s="2" t="s">
        <v>643</v>
      </c>
      <c r="E720" s="2" t="s">
        <v>11</v>
      </c>
      <c r="F720" s="2" t="s">
        <v>115</v>
      </c>
      <c r="G720" s="2">
        <v>11</v>
      </c>
      <c r="H720" s="2">
        <v>1</v>
      </c>
      <c r="I720" s="2">
        <v>0</v>
      </c>
      <c r="J720" s="2">
        <v>0</v>
      </c>
      <c r="K720" s="2">
        <v>0</v>
      </c>
      <c r="L720" s="2">
        <v>0</v>
      </c>
      <c r="M720" s="2">
        <v>0</v>
      </c>
      <c r="N720" s="2">
        <v>1</v>
      </c>
      <c r="O720" s="2">
        <v>0</v>
      </c>
      <c r="P720" s="2">
        <v>0</v>
      </c>
      <c r="Q720" s="2">
        <v>0</v>
      </c>
      <c r="R720" s="2">
        <v>0</v>
      </c>
      <c r="S720" s="2" t="s">
        <v>488</v>
      </c>
      <c r="T720" s="2" t="s">
        <v>488</v>
      </c>
      <c r="U720" s="2">
        <v>0</v>
      </c>
      <c r="V720" s="2">
        <v>0</v>
      </c>
      <c r="W720">
        <f t="shared" si="11"/>
        <v>1</v>
      </c>
    </row>
    <row r="721" spans="1:23" x14ac:dyDescent="0.25">
      <c r="A721" s="2" t="s">
        <v>628</v>
      </c>
      <c r="B721" s="2" t="s">
        <v>916</v>
      </c>
      <c r="C721" s="2">
        <v>540013</v>
      </c>
      <c r="D721" s="2" t="s">
        <v>644</v>
      </c>
      <c r="E721" s="2" t="s">
        <v>11</v>
      </c>
      <c r="F721" s="2" t="s">
        <v>115</v>
      </c>
      <c r="G721" s="2">
        <v>11</v>
      </c>
      <c r="H721" s="2">
        <v>0</v>
      </c>
      <c r="I721" s="2">
        <v>0</v>
      </c>
      <c r="J721" s="2">
        <v>0</v>
      </c>
      <c r="K721" s="2">
        <v>0</v>
      </c>
      <c r="L721" s="2">
        <v>0</v>
      </c>
      <c r="M721" s="2">
        <v>0</v>
      </c>
      <c r="N721" s="2">
        <v>0</v>
      </c>
      <c r="O721" s="2">
        <v>0</v>
      </c>
      <c r="P721" s="2">
        <v>0</v>
      </c>
      <c r="Q721" s="2">
        <v>0</v>
      </c>
      <c r="R721" s="2">
        <v>0</v>
      </c>
      <c r="S721" s="2" t="s">
        <v>488</v>
      </c>
      <c r="T721" s="2" t="s">
        <v>488</v>
      </c>
      <c r="U721" s="2">
        <v>1</v>
      </c>
      <c r="V721" s="2">
        <v>0</v>
      </c>
      <c r="W721">
        <f t="shared" si="11"/>
        <v>1</v>
      </c>
    </row>
    <row r="722" spans="1:23" x14ac:dyDescent="0.25">
      <c r="A722" s="2" t="s">
        <v>628</v>
      </c>
      <c r="B722" s="2" t="s">
        <v>916</v>
      </c>
      <c r="C722" s="2">
        <v>540014</v>
      </c>
      <c r="D722" s="2" t="s">
        <v>645</v>
      </c>
      <c r="E722" s="2" t="s">
        <v>11</v>
      </c>
      <c r="F722" s="2" t="s">
        <v>115</v>
      </c>
      <c r="G722" s="2">
        <v>11</v>
      </c>
      <c r="H722" s="2">
        <v>0</v>
      </c>
      <c r="I722" s="2">
        <v>0</v>
      </c>
      <c r="J722" s="2">
        <v>0</v>
      </c>
      <c r="K722" s="2">
        <v>0</v>
      </c>
      <c r="L722" s="2">
        <v>0</v>
      </c>
      <c r="M722" s="2">
        <v>0</v>
      </c>
      <c r="N722" s="2">
        <v>0</v>
      </c>
      <c r="O722" s="2">
        <v>0</v>
      </c>
      <c r="P722" s="2">
        <v>0</v>
      </c>
      <c r="Q722" s="2">
        <v>0</v>
      </c>
      <c r="R722" s="2">
        <v>0</v>
      </c>
      <c r="S722" s="2" t="s">
        <v>488</v>
      </c>
      <c r="T722" s="2" t="s">
        <v>488</v>
      </c>
      <c r="U722" s="2">
        <v>0</v>
      </c>
      <c r="V722" s="2">
        <v>0</v>
      </c>
      <c r="W722">
        <f t="shared" si="11"/>
        <v>0</v>
      </c>
    </row>
    <row r="723" spans="1:23" x14ac:dyDescent="0.25">
      <c r="A723" s="2" t="s">
        <v>628</v>
      </c>
      <c r="B723" s="2" t="s">
        <v>916</v>
      </c>
      <c r="C723" s="2">
        <v>540015</v>
      </c>
      <c r="D723" s="2" t="s">
        <v>646</v>
      </c>
      <c r="E723" s="2" t="s">
        <v>11</v>
      </c>
      <c r="F723" s="2" t="s">
        <v>115</v>
      </c>
      <c r="G723" s="2">
        <v>11</v>
      </c>
      <c r="H723" s="2">
        <v>0</v>
      </c>
      <c r="I723" s="2">
        <v>3</v>
      </c>
      <c r="J723" s="2">
        <v>0</v>
      </c>
      <c r="K723" s="2">
        <v>0</v>
      </c>
      <c r="L723" s="2">
        <v>0</v>
      </c>
      <c r="M723" s="2">
        <v>3</v>
      </c>
      <c r="N723" s="2">
        <v>3</v>
      </c>
      <c r="O723" s="2">
        <v>0</v>
      </c>
      <c r="P723" s="2">
        <v>0</v>
      </c>
      <c r="Q723" s="2">
        <v>0</v>
      </c>
      <c r="R723" s="2">
        <v>0</v>
      </c>
      <c r="S723" s="2" t="s">
        <v>488</v>
      </c>
      <c r="T723" s="2" t="s">
        <v>488</v>
      </c>
      <c r="U723" s="2">
        <v>0</v>
      </c>
      <c r="V723" s="2">
        <v>0</v>
      </c>
      <c r="W723">
        <f t="shared" si="11"/>
        <v>3</v>
      </c>
    </row>
    <row r="724" spans="1:23" x14ac:dyDescent="0.25">
      <c r="A724" s="2" t="s">
        <v>628</v>
      </c>
      <c r="B724" s="2" t="s">
        <v>916</v>
      </c>
      <c r="C724" s="2">
        <v>540093</v>
      </c>
      <c r="D724" s="2" t="s">
        <v>647</v>
      </c>
      <c r="E724" s="2" t="s">
        <v>11</v>
      </c>
      <c r="F724" s="2" t="s">
        <v>115</v>
      </c>
      <c r="G724" s="2">
        <v>11</v>
      </c>
      <c r="H724" s="2">
        <v>0</v>
      </c>
      <c r="I724" s="2">
        <v>0</v>
      </c>
      <c r="J724" s="2">
        <v>0</v>
      </c>
      <c r="K724" s="2">
        <v>0</v>
      </c>
      <c r="L724" s="2">
        <v>0</v>
      </c>
      <c r="M724" s="2">
        <v>0</v>
      </c>
      <c r="N724" s="2">
        <v>0</v>
      </c>
      <c r="O724" s="2">
        <v>0</v>
      </c>
      <c r="P724" s="2">
        <v>0</v>
      </c>
      <c r="Q724" s="2">
        <v>0</v>
      </c>
      <c r="R724" s="2">
        <v>0</v>
      </c>
      <c r="S724" s="2" t="s">
        <v>488</v>
      </c>
      <c r="T724" s="2" t="s">
        <v>488</v>
      </c>
      <c r="U724" s="2">
        <v>0</v>
      </c>
      <c r="V724" s="2">
        <v>0</v>
      </c>
      <c r="W724">
        <f t="shared" si="11"/>
        <v>0</v>
      </c>
    </row>
    <row r="725" spans="1:23" x14ac:dyDescent="0.25">
      <c r="A725" s="2" t="s">
        <v>628</v>
      </c>
      <c r="B725" s="2" t="s">
        <v>916</v>
      </c>
      <c r="C725" s="2">
        <v>540084</v>
      </c>
      <c r="D725" s="2" t="s">
        <v>648</v>
      </c>
      <c r="E725" s="2" t="s">
        <v>11</v>
      </c>
      <c r="F725" s="2" t="s">
        <v>115</v>
      </c>
      <c r="G725" s="2">
        <v>11</v>
      </c>
      <c r="H725" s="2">
        <v>0</v>
      </c>
      <c r="I725" s="2">
        <v>0</v>
      </c>
      <c r="J725" s="2">
        <v>0</v>
      </c>
      <c r="K725" s="2">
        <v>0</v>
      </c>
      <c r="L725" s="2">
        <v>0</v>
      </c>
      <c r="M725" s="2">
        <v>0</v>
      </c>
      <c r="N725" s="2">
        <v>0</v>
      </c>
      <c r="O725" s="2">
        <v>0</v>
      </c>
      <c r="P725" s="2">
        <v>0</v>
      </c>
      <c r="Q725" s="2">
        <v>0</v>
      </c>
      <c r="R725" s="2">
        <v>0</v>
      </c>
      <c r="S725" s="2" t="s">
        <v>488</v>
      </c>
      <c r="T725" s="2" t="s">
        <v>488</v>
      </c>
      <c r="U725" s="2">
        <v>0</v>
      </c>
      <c r="V725" s="2">
        <v>0</v>
      </c>
      <c r="W725">
        <f t="shared" si="11"/>
        <v>0</v>
      </c>
    </row>
    <row r="726" spans="1:23" x14ac:dyDescent="0.25">
      <c r="A726" s="255" t="s">
        <v>628</v>
      </c>
      <c r="B726" s="255" t="s">
        <v>916</v>
      </c>
      <c r="C726" s="255"/>
      <c r="D726" s="255"/>
      <c r="E726" s="255" t="s">
        <v>11</v>
      </c>
      <c r="F726" s="255"/>
      <c r="G726" s="255"/>
      <c r="H726" s="255">
        <v>1</v>
      </c>
      <c r="I726" s="255">
        <v>3</v>
      </c>
      <c r="J726" s="255">
        <v>0</v>
      </c>
      <c r="K726" s="255">
        <v>0</v>
      </c>
      <c r="L726" s="255">
        <v>0</v>
      </c>
      <c r="M726" s="255">
        <v>3</v>
      </c>
      <c r="N726" s="255">
        <v>4</v>
      </c>
      <c r="O726" s="255">
        <v>0</v>
      </c>
      <c r="P726" s="255">
        <v>0</v>
      </c>
      <c r="Q726" s="255">
        <v>0</v>
      </c>
      <c r="R726" s="255">
        <v>0</v>
      </c>
      <c r="S726" s="255" t="s">
        <v>488</v>
      </c>
      <c r="T726" s="255" t="s">
        <v>488</v>
      </c>
      <c r="U726" s="255">
        <v>1</v>
      </c>
      <c r="V726" s="255">
        <v>0</v>
      </c>
      <c r="W726">
        <f t="shared" si="11"/>
        <v>5</v>
      </c>
    </row>
    <row r="727" spans="1:23" x14ac:dyDescent="0.25">
      <c r="A727" s="2" t="s">
        <v>628</v>
      </c>
      <c r="B727" s="2" t="s">
        <v>916</v>
      </c>
      <c r="C727" s="2">
        <v>540016</v>
      </c>
      <c r="D727" s="2" t="s">
        <v>649</v>
      </c>
      <c r="E727" s="2" t="s">
        <v>13</v>
      </c>
      <c r="F727" s="2" t="s">
        <v>5</v>
      </c>
      <c r="G727" s="2">
        <v>2</v>
      </c>
      <c r="H727" s="2">
        <v>0</v>
      </c>
      <c r="I727" s="2">
        <v>0</v>
      </c>
      <c r="J727" s="2">
        <v>0</v>
      </c>
      <c r="K727" s="2">
        <v>0</v>
      </c>
      <c r="L727" s="2">
        <v>0</v>
      </c>
      <c r="M727" s="2">
        <v>0</v>
      </c>
      <c r="N727" s="2">
        <v>0</v>
      </c>
      <c r="O727" s="2">
        <v>0</v>
      </c>
      <c r="P727" s="2">
        <v>0</v>
      </c>
      <c r="Q727" s="2">
        <v>0</v>
      </c>
      <c r="R727" s="2">
        <v>0</v>
      </c>
      <c r="S727" s="2" t="s">
        <v>488</v>
      </c>
      <c r="T727" s="2" t="s">
        <v>488</v>
      </c>
      <c r="U727" s="2">
        <v>0</v>
      </c>
      <c r="V727" s="2">
        <v>0</v>
      </c>
      <c r="W727">
        <f t="shared" si="11"/>
        <v>0</v>
      </c>
    </row>
    <row r="728" spans="1:23" x14ac:dyDescent="0.25">
      <c r="A728" s="2" t="s">
        <v>628</v>
      </c>
      <c r="B728" s="2" t="s">
        <v>916</v>
      </c>
      <c r="C728" s="2">
        <v>540017</v>
      </c>
      <c r="D728" s="2" t="s">
        <v>650</v>
      </c>
      <c r="E728" s="2" t="s">
        <v>13</v>
      </c>
      <c r="F728" s="2" t="s">
        <v>115</v>
      </c>
      <c r="G728" s="2">
        <v>2</v>
      </c>
      <c r="H728" s="2">
        <v>0</v>
      </c>
      <c r="I728" s="2">
        <v>0</v>
      </c>
      <c r="J728" s="2">
        <v>0</v>
      </c>
      <c r="K728" s="2">
        <v>0</v>
      </c>
      <c r="L728" s="2">
        <v>0</v>
      </c>
      <c r="M728" s="2">
        <v>0</v>
      </c>
      <c r="N728" s="2">
        <v>0</v>
      </c>
      <c r="O728" s="2">
        <v>0</v>
      </c>
      <c r="P728" s="2">
        <v>0</v>
      </c>
      <c r="Q728" s="2">
        <v>0</v>
      </c>
      <c r="R728" s="2">
        <v>0</v>
      </c>
      <c r="S728" s="2" t="s">
        <v>488</v>
      </c>
      <c r="T728" s="2" t="s">
        <v>488</v>
      </c>
      <c r="U728" s="2">
        <v>0</v>
      </c>
      <c r="V728" s="2">
        <v>0</v>
      </c>
      <c r="W728">
        <f t="shared" si="11"/>
        <v>0</v>
      </c>
    </row>
    <row r="729" spans="1:23" x14ac:dyDescent="0.25">
      <c r="A729" s="2" t="s">
        <v>628</v>
      </c>
      <c r="B729" s="2" t="s">
        <v>916</v>
      </c>
      <c r="C729" s="2">
        <v>540018</v>
      </c>
      <c r="D729" s="2" t="s">
        <v>651</v>
      </c>
      <c r="E729" s="2" t="s">
        <v>13</v>
      </c>
      <c r="F729" s="2" t="s">
        <v>115</v>
      </c>
      <c r="G729" s="2">
        <v>2</v>
      </c>
      <c r="H729" s="2">
        <v>0</v>
      </c>
      <c r="I729" s="2">
        <v>0</v>
      </c>
      <c r="J729" s="2">
        <v>0</v>
      </c>
      <c r="K729" s="2">
        <v>0</v>
      </c>
      <c r="L729" s="2">
        <v>0</v>
      </c>
      <c r="M729" s="2">
        <v>0</v>
      </c>
      <c r="N729" s="2">
        <v>0</v>
      </c>
      <c r="O729" s="2">
        <v>0</v>
      </c>
      <c r="P729" s="2">
        <v>0</v>
      </c>
      <c r="Q729" s="2">
        <v>0</v>
      </c>
      <c r="R729" s="2">
        <v>0</v>
      </c>
      <c r="S729" s="2" t="s">
        <v>488</v>
      </c>
      <c r="T729" s="2" t="s">
        <v>488</v>
      </c>
      <c r="U729" s="2">
        <v>0</v>
      </c>
      <c r="V729" s="2">
        <v>0</v>
      </c>
      <c r="W729">
        <f t="shared" si="11"/>
        <v>0</v>
      </c>
    </row>
    <row r="730" spans="1:23" x14ac:dyDescent="0.25">
      <c r="A730" s="2" t="s">
        <v>628</v>
      </c>
      <c r="B730" s="2" t="s">
        <v>916</v>
      </c>
      <c r="C730" s="2">
        <v>540019</v>
      </c>
      <c r="D730" s="2" t="s">
        <v>652</v>
      </c>
      <c r="E730" s="2" t="s">
        <v>13</v>
      </c>
      <c r="F730" s="2" t="s">
        <v>115</v>
      </c>
      <c r="G730" s="2">
        <v>2</v>
      </c>
      <c r="H730" s="2">
        <v>0</v>
      </c>
      <c r="I730" s="2">
        <v>1</v>
      </c>
      <c r="J730" s="2">
        <v>0</v>
      </c>
      <c r="K730" s="2">
        <v>0</v>
      </c>
      <c r="L730" s="2">
        <v>0</v>
      </c>
      <c r="M730" s="2">
        <v>1</v>
      </c>
      <c r="N730" s="2">
        <v>1</v>
      </c>
      <c r="O730" s="2">
        <v>0</v>
      </c>
      <c r="P730" s="2">
        <v>0</v>
      </c>
      <c r="Q730" s="2">
        <v>0</v>
      </c>
      <c r="R730" s="2">
        <v>0</v>
      </c>
      <c r="S730" s="2" t="s">
        <v>488</v>
      </c>
      <c r="T730" s="2" t="s">
        <v>488</v>
      </c>
      <c r="U730" s="2">
        <v>0</v>
      </c>
      <c r="V730" s="2">
        <v>0</v>
      </c>
      <c r="W730">
        <f t="shared" si="11"/>
        <v>1</v>
      </c>
    </row>
    <row r="731" spans="1:23" x14ac:dyDescent="0.25">
      <c r="A731" s="255" t="s">
        <v>628</v>
      </c>
      <c r="B731" s="255" t="s">
        <v>916</v>
      </c>
      <c r="C731" s="255"/>
      <c r="D731" s="255"/>
      <c r="E731" s="255" t="s">
        <v>13</v>
      </c>
      <c r="F731" s="255"/>
      <c r="G731" s="255"/>
      <c r="H731" s="255">
        <v>0</v>
      </c>
      <c r="I731" s="255">
        <v>1</v>
      </c>
      <c r="J731" s="255">
        <v>0</v>
      </c>
      <c r="K731" s="255">
        <v>0</v>
      </c>
      <c r="L731" s="255">
        <v>0</v>
      </c>
      <c r="M731" s="255">
        <v>1</v>
      </c>
      <c r="N731" s="255">
        <v>1</v>
      </c>
      <c r="O731" s="255">
        <v>0</v>
      </c>
      <c r="P731" s="255">
        <v>0</v>
      </c>
      <c r="Q731" s="255">
        <v>0</v>
      </c>
      <c r="R731" s="255">
        <v>0</v>
      </c>
      <c r="S731" s="255" t="s">
        <v>488</v>
      </c>
      <c r="T731" s="255" t="s">
        <v>488</v>
      </c>
      <c r="U731" s="255">
        <v>0</v>
      </c>
      <c r="V731" s="255">
        <v>0</v>
      </c>
      <c r="W731">
        <f t="shared" si="11"/>
        <v>1</v>
      </c>
    </row>
    <row r="732" spans="1:23" x14ac:dyDescent="0.25">
      <c r="A732" s="2" t="s">
        <v>628</v>
      </c>
      <c r="B732" s="2" t="s">
        <v>916</v>
      </c>
      <c r="C732" s="2">
        <v>540020</v>
      </c>
      <c r="D732" s="2" t="s">
        <v>653</v>
      </c>
      <c r="E732" s="2" t="s">
        <v>15</v>
      </c>
      <c r="F732" s="2" t="s">
        <v>5</v>
      </c>
      <c r="G732" s="2">
        <v>5</v>
      </c>
      <c r="H732" s="2">
        <v>0</v>
      </c>
      <c r="I732" s="2">
        <v>0</v>
      </c>
      <c r="J732" s="2">
        <v>0</v>
      </c>
      <c r="K732" s="2">
        <v>0</v>
      </c>
      <c r="L732" s="2">
        <v>0</v>
      </c>
      <c r="M732" s="2">
        <v>0</v>
      </c>
      <c r="N732" s="2">
        <v>0</v>
      </c>
      <c r="O732" s="2">
        <v>0</v>
      </c>
      <c r="P732" s="2">
        <v>0</v>
      </c>
      <c r="Q732" s="2" t="s">
        <v>488</v>
      </c>
      <c r="R732" s="2" t="s">
        <v>488</v>
      </c>
      <c r="S732" s="2" t="s">
        <v>488</v>
      </c>
      <c r="T732" s="2" t="s">
        <v>488</v>
      </c>
      <c r="U732" s="2">
        <v>0</v>
      </c>
      <c r="V732" s="2">
        <v>0</v>
      </c>
      <c r="W732">
        <f t="shared" si="11"/>
        <v>0</v>
      </c>
    </row>
    <row r="733" spans="1:23" x14ac:dyDescent="0.25">
      <c r="A733" s="2" t="s">
        <v>628</v>
      </c>
      <c r="B733" s="2" t="s">
        <v>916</v>
      </c>
      <c r="C733" s="2">
        <v>540021</v>
      </c>
      <c r="D733" s="2" t="s">
        <v>654</v>
      </c>
      <c r="E733" s="2" t="s">
        <v>15</v>
      </c>
      <c r="F733" s="2" t="s">
        <v>115</v>
      </c>
      <c r="G733" s="2">
        <v>5</v>
      </c>
      <c r="H733" s="2">
        <v>0</v>
      </c>
      <c r="I733" s="2">
        <v>0</v>
      </c>
      <c r="J733" s="2">
        <v>0</v>
      </c>
      <c r="K733" s="2">
        <v>0</v>
      </c>
      <c r="L733" s="2">
        <v>0</v>
      </c>
      <c r="M733" s="2">
        <v>0</v>
      </c>
      <c r="N733" s="2">
        <v>0</v>
      </c>
      <c r="O733" s="2">
        <v>0</v>
      </c>
      <c r="P733" s="2">
        <v>0</v>
      </c>
      <c r="Q733" s="2" t="s">
        <v>488</v>
      </c>
      <c r="R733" s="2" t="s">
        <v>488</v>
      </c>
      <c r="S733" s="2" t="s">
        <v>488</v>
      </c>
      <c r="T733" s="2" t="s">
        <v>488</v>
      </c>
      <c r="U733" s="2">
        <v>0</v>
      </c>
      <c r="V733" s="2">
        <v>0</v>
      </c>
      <c r="W733">
        <f t="shared" si="11"/>
        <v>0</v>
      </c>
    </row>
    <row r="734" spans="1:23" x14ac:dyDescent="0.25">
      <c r="A734" s="255" t="s">
        <v>628</v>
      </c>
      <c r="B734" s="255" t="s">
        <v>916</v>
      </c>
      <c r="C734" s="255"/>
      <c r="D734" s="255"/>
      <c r="E734" s="255" t="s">
        <v>15</v>
      </c>
      <c r="F734" s="255"/>
      <c r="G734" s="255"/>
      <c r="H734" s="255">
        <v>0</v>
      </c>
      <c r="I734" s="255">
        <v>0</v>
      </c>
      <c r="J734" s="255">
        <v>0</v>
      </c>
      <c r="K734" s="255">
        <v>0</v>
      </c>
      <c r="L734" s="255">
        <v>0</v>
      </c>
      <c r="M734" s="255">
        <v>0</v>
      </c>
      <c r="N734" s="255">
        <v>0</v>
      </c>
      <c r="O734" s="255">
        <v>0</v>
      </c>
      <c r="P734" s="255">
        <v>0</v>
      </c>
      <c r="Q734" s="255" t="s">
        <v>488</v>
      </c>
      <c r="R734" s="255" t="s">
        <v>488</v>
      </c>
      <c r="S734" s="255" t="s">
        <v>488</v>
      </c>
      <c r="T734" s="255" t="s">
        <v>488</v>
      </c>
      <c r="U734" s="255">
        <v>0</v>
      </c>
      <c r="V734" s="255">
        <v>0</v>
      </c>
      <c r="W734">
        <f t="shared" si="11"/>
        <v>0</v>
      </c>
    </row>
    <row r="735" spans="1:23" x14ac:dyDescent="0.25">
      <c r="A735" s="2" t="s">
        <v>628</v>
      </c>
      <c r="B735" s="2" t="s">
        <v>916</v>
      </c>
      <c r="C735" s="2">
        <v>540022</v>
      </c>
      <c r="D735" s="2" t="s">
        <v>655</v>
      </c>
      <c r="E735" s="2" t="s">
        <v>17</v>
      </c>
      <c r="F735" s="2" t="s">
        <v>5</v>
      </c>
      <c r="G735" s="2">
        <v>3</v>
      </c>
      <c r="H735" s="2">
        <v>0</v>
      </c>
      <c r="I735" s="2">
        <v>0</v>
      </c>
      <c r="J735" s="2">
        <v>0</v>
      </c>
      <c r="K735" s="2">
        <v>0</v>
      </c>
      <c r="L735" s="2">
        <v>0</v>
      </c>
      <c r="M735" s="2">
        <v>0</v>
      </c>
      <c r="N735" s="2">
        <v>0</v>
      </c>
      <c r="O735" s="2">
        <v>0</v>
      </c>
      <c r="P735" s="2">
        <v>0</v>
      </c>
      <c r="Q735" s="2" t="s">
        <v>488</v>
      </c>
      <c r="R735" s="2" t="s">
        <v>488</v>
      </c>
      <c r="S735" s="2" t="s">
        <v>488</v>
      </c>
      <c r="T735" s="2" t="s">
        <v>488</v>
      </c>
      <c r="U735" s="2">
        <v>0</v>
      </c>
      <c r="V735" s="2">
        <v>0</v>
      </c>
      <c r="W735">
        <f t="shared" si="11"/>
        <v>0</v>
      </c>
    </row>
    <row r="736" spans="1:23" x14ac:dyDescent="0.25">
      <c r="A736" s="2" t="s">
        <v>628</v>
      </c>
      <c r="B736" s="2" t="s">
        <v>916</v>
      </c>
      <c r="C736" s="2">
        <v>540023</v>
      </c>
      <c r="D736" s="2" t="s">
        <v>656</v>
      </c>
      <c r="E736" s="2" t="s">
        <v>17</v>
      </c>
      <c r="F736" s="2" t="s">
        <v>115</v>
      </c>
      <c r="G736" s="2">
        <v>3</v>
      </c>
      <c r="H736" s="2">
        <v>0</v>
      </c>
      <c r="I736" s="2">
        <v>0</v>
      </c>
      <c r="J736" s="2">
        <v>0</v>
      </c>
      <c r="K736" s="2">
        <v>0</v>
      </c>
      <c r="L736" s="2">
        <v>0</v>
      </c>
      <c r="M736" s="2">
        <v>0</v>
      </c>
      <c r="N736" s="2">
        <v>0</v>
      </c>
      <c r="O736" s="2">
        <v>0</v>
      </c>
      <c r="P736" s="2">
        <v>0</v>
      </c>
      <c r="Q736" s="2" t="s">
        <v>488</v>
      </c>
      <c r="R736" s="2" t="s">
        <v>488</v>
      </c>
      <c r="S736" s="2" t="s">
        <v>488</v>
      </c>
      <c r="T736" s="2" t="s">
        <v>488</v>
      </c>
      <c r="U736" s="2">
        <v>0</v>
      </c>
      <c r="V736" s="2">
        <v>0</v>
      </c>
      <c r="W736">
        <f t="shared" si="11"/>
        <v>0</v>
      </c>
    </row>
    <row r="737" spans="1:23" x14ac:dyDescent="0.25">
      <c r="A737" s="255" t="s">
        <v>628</v>
      </c>
      <c r="B737" s="255" t="s">
        <v>916</v>
      </c>
      <c r="C737" s="255"/>
      <c r="D737" s="255"/>
      <c r="E737" s="255" t="s">
        <v>17</v>
      </c>
      <c r="F737" s="255"/>
      <c r="G737" s="255"/>
      <c r="H737" s="255">
        <v>0</v>
      </c>
      <c r="I737" s="255">
        <v>0</v>
      </c>
      <c r="J737" s="255">
        <v>0</v>
      </c>
      <c r="K737" s="255">
        <v>0</v>
      </c>
      <c r="L737" s="255">
        <v>0</v>
      </c>
      <c r="M737" s="255">
        <v>0</v>
      </c>
      <c r="N737" s="255">
        <v>0</v>
      </c>
      <c r="O737" s="255">
        <v>0</v>
      </c>
      <c r="P737" s="255">
        <v>0</v>
      </c>
      <c r="Q737" s="255" t="s">
        <v>488</v>
      </c>
      <c r="R737" s="255" t="s">
        <v>488</v>
      </c>
      <c r="S737" s="255" t="s">
        <v>488</v>
      </c>
      <c r="T737" s="255" t="s">
        <v>488</v>
      </c>
      <c r="U737" s="255">
        <v>0</v>
      </c>
      <c r="V737" s="255">
        <v>0</v>
      </c>
      <c r="W737">
        <f t="shared" si="11"/>
        <v>0</v>
      </c>
    </row>
    <row r="738" spans="1:23" x14ac:dyDescent="0.25">
      <c r="A738" s="2" t="s">
        <v>628</v>
      </c>
      <c r="B738" s="2" t="s">
        <v>916</v>
      </c>
      <c r="C738" s="2">
        <v>540024</v>
      </c>
      <c r="D738" s="2" t="s">
        <v>657</v>
      </c>
      <c r="E738" s="2" t="s">
        <v>19</v>
      </c>
      <c r="F738" s="2" t="s">
        <v>5</v>
      </c>
      <c r="G738" s="2">
        <v>6</v>
      </c>
      <c r="H738" s="2">
        <v>0</v>
      </c>
      <c r="I738" s="2">
        <v>0</v>
      </c>
      <c r="J738" s="2">
        <v>0</v>
      </c>
      <c r="K738" s="2">
        <v>0</v>
      </c>
      <c r="L738" s="2">
        <v>0</v>
      </c>
      <c r="M738" s="2">
        <v>0</v>
      </c>
      <c r="N738" s="2">
        <v>0</v>
      </c>
      <c r="O738" s="2">
        <v>0</v>
      </c>
      <c r="P738" s="2">
        <v>0</v>
      </c>
      <c r="Q738" s="2">
        <v>0</v>
      </c>
      <c r="R738" s="2">
        <v>0</v>
      </c>
      <c r="S738" s="2" t="s">
        <v>488</v>
      </c>
      <c r="T738" s="2" t="s">
        <v>488</v>
      </c>
      <c r="U738" s="2">
        <v>0</v>
      </c>
      <c r="V738" s="2">
        <v>0</v>
      </c>
      <c r="W738">
        <f t="shared" si="11"/>
        <v>0</v>
      </c>
    </row>
    <row r="739" spans="1:23" x14ac:dyDescent="0.25">
      <c r="A739" s="2" t="s">
        <v>628</v>
      </c>
      <c r="B739" s="2" t="s">
        <v>916</v>
      </c>
      <c r="C739" s="2">
        <v>540025</v>
      </c>
      <c r="D739" s="2" t="s">
        <v>658</v>
      </c>
      <c r="E739" s="2" t="s">
        <v>19</v>
      </c>
      <c r="F739" s="2" t="s">
        <v>115</v>
      </c>
      <c r="G739" s="2">
        <v>6</v>
      </c>
      <c r="H739" s="2">
        <v>0</v>
      </c>
      <c r="I739" s="2">
        <v>0</v>
      </c>
      <c r="J739" s="2">
        <v>0</v>
      </c>
      <c r="K739" s="2">
        <v>0</v>
      </c>
      <c r="L739" s="2">
        <v>0</v>
      </c>
      <c r="M739" s="2">
        <v>0</v>
      </c>
      <c r="N739" s="2">
        <v>0</v>
      </c>
      <c r="O739" s="2">
        <v>0</v>
      </c>
      <c r="P739" s="2">
        <v>0</v>
      </c>
      <c r="Q739" s="2">
        <v>0</v>
      </c>
      <c r="R739" s="2">
        <v>0</v>
      </c>
      <c r="S739" s="2" t="s">
        <v>488</v>
      </c>
      <c r="T739" s="2" t="s">
        <v>488</v>
      </c>
      <c r="U739" s="2">
        <v>0</v>
      </c>
      <c r="V739" s="2">
        <v>0</v>
      </c>
      <c r="W739">
        <f t="shared" si="11"/>
        <v>0</v>
      </c>
    </row>
    <row r="740" spans="1:23" x14ac:dyDescent="0.25">
      <c r="A740" s="255" t="s">
        <v>628</v>
      </c>
      <c r="B740" s="255" t="s">
        <v>916</v>
      </c>
      <c r="C740" s="255"/>
      <c r="D740" s="255"/>
      <c r="E740" s="255" t="s">
        <v>19</v>
      </c>
      <c r="F740" s="255"/>
      <c r="G740" s="255"/>
      <c r="H740" s="255">
        <v>0</v>
      </c>
      <c r="I740" s="255">
        <v>0</v>
      </c>
      <c r="J740" s="255">
        <v>0</v>
      </c>
      <c r="K740" s="255">
        <v>0</v>
      </c>
      <c r="L740" s="255">
        <v>0</v>
      </c>
      <c r="M740" s="255">
        <v>0</v>
      </c>
      <c r="N740" s="255">
        <v>0</v>
      </c>
      <c r="O740" s="255">
        <v>0</v>
      </c>
      <c r="P740" s="255">
        <v>0</v>
      </c>
      <c r="Q740" s="255">
        <v>0</v>
      </c>
      <c r="R740" s="255">
        <v>0</v>
      </c>
      <c r="S740" s="255" t="s">
        <v>488</v>
      </c>
      <c r="T740" s="255" t="s">
        <v>488</v>
      </c>
      <c r="U740" s="255">
        <v>0</v>
      </c>
      <c r="V740" s="255">
        <v>0</v>
      </c>
      <c r="W740">
        <f t="shared" si="11"/>
        <v>0</v>
      </c>
    </row>
    <row r="741" spans="1:23" x14ac:dyDescent="0.25">
      <c r="A741" s="2" t="s">
        <v>628</v>
      </c>
      <c r="B741" s="2" t="s">
        <v>916</v>
      </c>
      <c r="C741" s="2">
        <v>540035</v>
      </c>
      <c r="D741" s="2" t="s">
        <v>659</v>
      </c>
      <c r="E741" s="2" t="s">
        <v>23</v>
      </c>
      <c r="F741" s="2" t="s">
        <v>5</v>
      </c>
      <c r="G741" s="2">
        <v>7</v>
      </c>
      <c r="H741" s="2">
        <v>0</v>
      </c>
      <c r="I741" s="2">
        <v>0</v>
      </c>
      <c r="J741" s="2">
        <v>0</v>
      </c>
      <c r="K741" s="2">
        <v>0</v>
      </c>
      <c r="L741" s="2">
        <v>0</v>
      </c>
      <c r="M741" s="2">
        <v>0</v>
      </c>
      <c r="N741" s="2">
        <v>0</v>
      </c>
      <c r="O741" s="2">
        <v>0</v>
      </c>
      <c r="P741" s="2">
        <v>0</v>
      </c>
      <c r="Q741" s="2" t="s">
        <v>488</v>
      </c>
      <c r="R741" s="2" t="s">
        <v>488</v>
      </c>
      <c r="S741" s="2" t="s">
        <v>488</v>
      </c>
      <c r="T741" s="2" t="s">
        <v>488</v>
      </c>
      <c r="U741" s="2">
        <v>1</v>
      </c>
      <c r="V741" s="2">
        <v>0</v>
      </c>
      <c r="W741">
        <f t="shared" si="11"/>
        <v>1</v>
      </c>
    </row>
    <row r="742" spans="1:23" x14ac:dyDescent="0.25">
      <c r="A742" s="2" t="s">
        <v>628</v>
      </c>
      <c r="B742" s="2" t="s">
        <v>916</v>
      </c>
      <c r="C742" s="2">
        <v>540036</v>
      </c>
      <c r="D742" s="2" t="s">
        <v>660</v>
      </c>
      <c r="E742" s="2" t="s">
        <v>23</v>
      </c>
      <c r="F742" s="2" t="s">
        <v>115</v>
      </c>
      <c r="G742" s="2">
        <v>7</v>
      </c>
      <c r="H742" s="2">
        <v>0</v>
      </c>
      <c r="I742" s="2">
        <v>0</v>
      </c>
      <c r="J742" s="2">
        <v>0</v>
      </c>
      <c r="K742" s="2">
        <v>0</v>
      </c>
      <c r="L742" s="2">
        <v>0</v>
      </c>
      <c r="M742" s="2">
        <v>0</v>
      </c>
      <c r="N742" s="2">
        <v>0</v>
      </c>
      <c r="O742" s="2">
        <v>0</v>
      </c>
      <c r="P742" s="2">
        <v>0</v>
      </c>
      <c r="Q742" s="2" t="s">
        <v>488</v>
      </c>
      <c r="R742" s="2" t="s">
        <v>488</v>
      </c>
      <c r="S742" s="2" t="s">
        <v>488</v>
      </c>
      <c r="T742" s="2" t="s">
        <v>488</v>
      </c>
      <c r="U742" s="2">
        <v>0</v>
      </c>
      <c r="V742" s="2">
        <v>0</v>
      </c>
      <c r="W742">
        <f t="shared" si="11"/>
        <v>0</v>
      </c>
    </row>
    <row r="743" spans="1:23" x14ac:dyDescent="0.25">
      <c r="A743" s="2" t="s">
        <v>628</v>
      </c>
      <c r="B743" s="2" t="s">
        <v>916</v>
      </c>
      <c r="C743" s="2">
        <v>540037</v>
      </c>
      <c r="D743" s="2" t="s">
        <v>661</v>
      </c>
      <c r="E743" s="2" t="s">
        <v>23</v>
      </c>
      <c r="F743" s="2" t="s">
        <v>115</v>
      </c>
      <c r="G743" s="2">
        <v>7</v>
      </c>
      <c r="H743" s="2">
        <v>0</v>
      </c>
      <c r="I743" s="2">
        <v>0</v>
      </c>
      <c r="J743" s="2">
        <v>0</v>
      </c>
      <c r="K743" s="2">
        <v>0</v>
      </c>
      <c r="L743" s="2">
        <v>0</v>
      </c>
      <c r="M743" s="2">
        <v>0</v>
      </c>
      <c r="N743" s="2">
        <v>0</v>
      </c>
      <c r="O743" s="2">
        <v>0</v>
      </c>
      <c r="P743" s="2">
        <v>0</v>
      </c>
      <c r="Q743" s="2" t="s">
        <v>488</v>
      </c>
      <c r="R743" s="2" t="s">
        <v>488</v>
      </c>
      <c r="S743" s="2" t="s">
        <v>488</v>
      </c>
      <c r="T743" s="2" t="s">
        <v>488</v>
      </c>
      <c r="U743" s="2">
        <v>0</v>
      </c>
      <c r="V743" s="2">
        <v>0</v>
      </c>
      <c r="W743">
        <f t="shared" si="11"/>
        <v>0</v>
      </c>
    </row>
    <row r="744" spans="1:23" x14ac:dyDescent="0.25">
      <c r="A744" s="255" t="s">
        <v>628</v>
      </c>
      <c r="B744" s="255" t="s">
        <v>916</v>
      </c>
      <c r="C744" s="255"/>
      <c r="D744" s="255"/>
      <c r="E744" s="255" t="s">
        <v>23</v>
      </c>
      <c r="F744" s="255"/>
      <c r="G744" s="255"/>
      <c r="H744" s="255">
        <v>0</v>
      </c>
      <c r="I744" s="255">
        <v>0</v>
      </c>
      <c r="J744" s="255">
        <v>0</v>
      </c>
      <c r="K744" s="255">
        <v>0</v>
      </c>
      <c r="L744" s="255">
        <v>0</v>
      </c>
      <c r="M744" s="255">
        <v>0</v>
      </c>
      <c r="N744" s="255">
        <v>0</v>
      </c>
      <c r="O744" s="255">
        <v>0</v>
      </c>
      <c r="P744" s="255">
        <v>0</v>
      </c>
      <c r="Q744" s="255" t="s">
        <v>488</v>
      </c>
      <c r="R744" s="255" t="s">
        <v>488</v>
      </c>
      <c r="S744" s="255" t="s">
        <v>488</v>
      </c>
      <c r="T744" s="255" t="s">
        <v>488</v>
      </c>
      <c r="U744" s="255">
        <v>1</v>
      </c>
      <c r="V744" s="255">
        <v>0</v>
      </c>
      <c r="W744">
        <f t="shared" si="11"/>
        <v>1</v>
      </c>
    </row>
    <row r="745" spans="1:23" x14ac:dyDescent="0.25">
      <c r="A745" s="2" t="s">
        <v>628</v>
      </c>
      <c r="B745" s="2" t="s">
        <v>916</v>
      </c>
      <c r="C745" s="2">
        <v>540038</v>
      </c>
      <c r="D745" s="2" t="s">
        <v>662</v>
      </c>
      <c r="E745" s="2" t="s">
        <v>25</v>
      </c>
      <c r="F745" s="2" t="s">
        <v>5</v>
      </c>
      <c r="G745" s="2">
        <v>8</v>
      </c>
      <c r="H745" s="2">
        <v>0</v>
      </c>
      <c r="I745" s="2">
        <v>0</v>
      </c>
      <c r="J745" s="2">
        <v>0</v>
      </c>
      <c r="K745" s="2">
        <v>0</v>
      </c>
      <c r="L745" s="2">
        <v>0</v>
      </c>
      <c r="M745" s="2">
        <v>0</v>
      </c>
      <c r="N745" s="2">
        <v>0</v>
      </c>
      <c r="O745" s="2">
        <v>0</v>
      </c>
      <c r="P745" s="2">
        <v>0</v>
      </c>
      <c r="Q745" s="2" t="s">
        <v>488</v>
      </c>
      <c r="R745" s="2" t="s">
        <v>488</v>
      </c>
      <c r="S745" s="2" t="s">
        <v>488</v>
      </c>
      <c r="T745" s="2" t="s">
        <v>488</v>
      </c>
      <c r="U745" s="2">
        <v>0</v>
      </c>
      <c r="V745" s="2">
        <v>0</v>
      </c>
      <c r="W745">
        <f t="shared" si="11"/>
        <v>0</v>
      </c>
    </row>
    <row r="746" spans="1:23" x14ac:dyDescent="0.25">
      <c r="A746" s="2" t="s">
        <v>628</v>
      </c>
      <c r="B746" s="2" t="s">
        <v>916</v>
      </c>
      <c r="C746" s="2">
        <v>540039</v>
      </c>
      <c r="D746" s="2" t="s">
        <v>663</v>
      </c>
      <c r="E746" s="2" t="s">
        <v>25</v>
      </c>
      <c r="F746" s="2" t="s">
        <v>115</v>
      </c>
      <c r="G746" s="2">
        <v>8</v>
      </c>
      <c r="H746" s="2">
        <v>0</v>
      </c>
      <c r="I746" s="2">
        <v>0</v>
      </c>
      <c r="J746" s="2">
        <v>0</v>
      </c>
      <c r="K746" s="2">
        <v>0</v>
      </c>
      <c r="L746" s="2">
        <v>0</v>
      </c>
      <c r="M746" s="2">
        <v>0</v>
      </c>
      <c r="N746" s="2">
        <v>0</v>
      </c>
      <c r="O746" s="2">
        <v>0</v>
      </c>
      <c r="P746" s="2">
        <v>0</v>
      </c>
      <c r="Q746" s="2" t="s">
        <v>488</v>
      </c>
      <c r="R746" s="2" t="s">
        <v>488</v>
      </c>
      <c r="S746" s="2" t="s">
        <v>488</v>
      </c>
      <c r="T746" s="2" t="s">
        <v>488</v>
      </c>
      <c r="U746" s="2">
        <v>0</v>
      </c>
      <c r="V746" s="2">
        <v>0</v>
      </c>
      <c r="W746">
        <f t="shared" si="11"/>
        <v>0</v>
      </c>
    </row>
    <row r="747" spans="1:23" x14ac:dyDescent="0.25">
      <c r="A747" s="2" t="s">
        <v>628</v>
      </c>
      <c r="B747" s="2" t="s">
        <v>916</v>
      </c>
      <c r="C747" s="2">
        <v>540240</v>
      </c>
      <c r="D747" s="2" t="s">
        <v>664</v>
      </c>
      <c r="E747" s="2" t="s">
        <v>25</v>
      </c>
      <c r="F747" s="2" t="s">
        <v>115</v>
      </c>
      <c r="G747" s="2">
        <v>8</v>
      </c>
      <c r="H747" s="2">
        <v>0</v>
      </c>
      <c r="I747" s="2">
        <v>0</v>
      </c>
      <c r="J747" s="2">
        <v>0</v>
      </c>
      <c r="K747" s="2">
        <v>0</v>
      </c>
      <c r="L747" s="2">
        <v>0</v>
      </c>
      <c r="M747" s="2">
        <v>0</v>
      </c>
      <c r="N747" s="2">
        <v>0</v>
      </c>
      <c r="O747" s="2">
        <v>0</v>
      </c>
      <c r="P747" s="2">
        <v>0</v>
      </c>
      <c r="Q747" s="2" t="s">
        <v>488</v>
      </c>
      <c r="R747" s="2" t="s">
        <v>488</v>
      </c>
      <c r="S747" s="2" t="s">
        <v>488</v>
      </c>
      <c r="T747" s="2" t="s">
        <v>488</v>
      </c>
      <c r="U747" s="2">
        <v>0</v>
      </c>
      <c r="V747" s="2">
        <v>0</v>
      </c>
      <c r="W747">
        <f t="shared" si="11"/>
        <v>0</v>
      </c>
    </row>
    <row r="748" spans="1:23" x14ac:dyDescent="0.25">
      <c r="A748" s="255" t="s">
        <v>628</v>
      </c>
      <c r="B748" s="255" t="s">
        <v>916</v>
      </c>
      <c r="C748" s="255"/>
      <c r="D748" s="255"/>
      <c r="E748" s="255" t="s">
        <v>25</v>
      </c>
      <c r="F748" s="255"/>
      <c r="G748" s="255"/>
      <c r="H748" s="255">
        <v>0</v>
      </c>
      <c r="I748" s="255">
        <v>0</v>
      </c>
      <c r="J748" s="255">
        <v>0</v>
      </c>
      <c r="K748" s="255">
        <v>0</v>
      </c>
      <c r="L748" s="255">
        <v>0</v>
      </c>
      <c r="M748" s="255">
        <v>0</v>
      </c>
      <c r="N748" s="255">
        <v>0</v>
      </c>
      <c r="O748" s="255">
        <v>0</v>
      </c>
      <c r="P748" s="255">
        <v>0</v>
      </c>
      <c r="Q748" s="255" t="s">
        <v>488</v>
      </c>
      <c r="R748" s="255" t="s">
        <v>488</v>
      </c>
      <c r="S748" s="255" t="s">
        <v>488</v>
      </c>
      <c r="T748" s="255" t="s">
        <v>488</v>
      </c>
      <c r="U748" s="255">
        <v>0</v>
      </c>
      <c r="V748" s="255">
        <v>0</v>
      </c>
      <c r="W748">
        <f t="shared" si="11"/>
        <v>0</v>
      </c>
    </row>
    <row r="749" spans="1:23" x14ac:dyDescent="0.25">
      <c r="A749" s="2" t="s">
        <v>628</v>
      </c>
      <c r="B749" s="2" t="s">
        <v>916</v>
      </c>
      <c r="C749" s="2">
        <v>540040</v>
      </c>
      <c r="D749" s="2" t="s">
        <v>665</v>
      </c>
      <c r="E749" s="2" t="s">
        <v>27</v>
      </c>
      <c r="F749" s="2" t="s">
        <v>5</v>
      </c>
      <c r="G749" s="2">
        <v>4</v>
      </c>
      <c r="H749" s="2">
        <v>0</v>
      </c>
      <c r="I749" s="2">
        <v>0</v>
      </c>
      <c r="J749" s="2">
        <v>0</v>
      </c>
      <c r="K749" s="2">
        <v>0</v>
      </c>
      <c r="L749" s="2">
        <v>0</v>
      </c>
      <c r="M749" s="2">
        <v>0</v>
      </c>
      <c r="N749" s="2">
        <v>0</v>
      </c>
      <c r="O749" s="2">
        <v>0</v>
      </c>
      <c r="P749" s="2">
        <v>0</v>
      </c>
      <c r="Q749" s="2">
        <v>0</v>
      </c>
      <c r="R749" s="2">
        <v>0</v>
      </c>
      <c r="S749" s="2" t="s">
        <v>488</v>
      </c>
      <c r="T749" s="2" t="s">
        <v>488</v>
      </c>
      <c r="U749" s="2">
        <v>0</v>
      </c>
      <c r="V749" s="2">
        <v>0</v>
      </c>
      <c r="W749">
        <f t="shared" si="11"/>
        <v>0</v>
      </c>
    </row>
    <row r="750" spans="1:23" x14ac:dyDescent="0.25">
      <c r="A750" s="2" t="s">
        <v>628</v>
      </c>
      <c r="B750" s="2" t="s">
        <v>916</v>
      </c>
      <c r="C750" s="2">
        <v>540041</v>
      </c>
      <c r="D750" s="2" t="s">
        <v>666</v>
      </c>
      <c r="E750" s="2" t="s">
        <v>27</v>
      </c>
      <c r="F750" s="2" t="s">
        <v>115</v>
      </c>
      <c r="G750" s="2">
        <v>4</v>
      </c>
      <c r="H750" s="2">
        <v>0</v>
      </c>
      <c r="I750" s="2">
        <v>0</v>
      </c>
      <c r="J750" s="2">
        <v>0</v>
      </c>
      <c r="K750" s="2">
        <v>0</v>
      </c>
      <c r="L750" s="2">
        <v>0</v>
      </c>
      <c r="M750" s="2">
        <v>0</v>
      </c>
      <c r="N750" s="2">
        <v>0</v>
      </c>
      <c r="O750" s="2">
        <v>0</v>
      </c>
      <c r="P750" s="2">
        <v>0</v>
      </c>
      <c r="Q750" s="2">
        <v>0</v>
      </c>
      <c r="R750" s="2">
        <v>0</v>
      </c>
      <c r="S750" s="2" t="s">
        <v>488</v>
      </c>
      <c r="T750" s="2" t="s">
        <v>488</v>
      </c>
      <c r="U750" s="2">
        <v>0</v>
      </c>
      <c r="V750" s="2">
        <v>0</v>
      </c>
      <c r="W750">
        <f t="shared" si="11"/>
        <v>0</v>
      </c>
    </row>
    <row r="751" spans="1:23" x14ac:dyDescent="0.25">
      <c r="A751" s="2" t="s">
        <v>628</v>
      </c>
      <c r="B751" s="2" t="s">
        <v>916</v>
      </c>
      <c r="C751" s="2">
        <v>540043</v>
      </c>
      <c r="D751" s="2" t="s">
        <v>667</v>
      </c>
      <c r="E751" s="2" t="s">
        <v>27</v>
      </c>
      <c r="F751" s="2" t="s">
        <v>115</v>
      </c>
      <c r="G751" s="2">
        <v>4</v>
      </c>
      <c r="H751" s="2">
        <v>0</v>
      </c>
      <c r="I751" s="2">
        <v>0</v>
      </c>
      <c r="J751" s="2">
        <v>0</v>
      </c>
      <c r="K751" s="2">
        <v>0</v>
      </c>
      <c r="L751" s="2">
        <v>0</v>
      </c>
      <c r="M751" s="2">
        <v>0</v>
      </c>
      <c r="N751" s="2">
        <v>0</v>
      </c>
      <c r="O751" s="2">
        <v>0</v>
      </c>
      <c r="P751" s="2">
        <v>0</v>
      </c>
      <c r="Q751" s="2">
        <v>0</v>
      </c>
      <c r="R751" s="2">
        <v>0</v>
      </c>
      <c r="S751" s="2" t="s">
        <v>488</v>
      </c>
      <c r="T751" s="2" t="s">
        <v>488</v>
      </c>
      <c r="U751" s="2">
        <v>0</v>
      </c>
      <c r="V751" s="2">
        <v>0</v>
      </c>
      <c r="W751">
        <f t="shared" si="11"/>
        <v>0</v>
      </c>
    </row>
    <row r="752" spans="1:23" x14ac:dyDescent="0.25">
      <c r="A752" s="2" t="s">
        <v>628</v>
      </c>
      <c r="B752" s="2" t="s">
        <v>916</v>
      </c>
      <c r="C752" s="2">
        <v>540044</v>
      </c>
      <c r="D752" s="2" t="s">
        <v>668</v>
      </c>
      <c r="E752" s="2" t="s">
        <v>27</v>
      </c>
      <c r="F752" s="2" t="s">
        <v>115</v>
      </c>
      <c r="G752" s="2">
        <v>4</v>
      </c>
      <c r="H752" s="2">
        <v>0</v>
      </c>
      <c r="I752" s="2">
        <v>0</v>
      </c>
      <c r="J752" s="2">
        <v>0</v>
      </c>
      <c r="K752" s="2">
        <v>0</v>
      </c>
      <c r="L752" s="2">
        <v>0</v>
      </c>
      <c r="M752" s="2">
        <v>0</v>
      </c>
      <c r="N752" s="2">
        <v>0</v>
      </c>
      <c r="O752" s="2">
        <v>0</v>
      </c>
      <c r="P752" s="2">
        <v>0</v>
      </c>
      <c r="Q752" s="2">
        <v>0</v>
      </c>
      <c r="R752" s="2">
        <v>0</v>
      </c>
      <c r="S752" s="2" t="s">
        <v>488</v>
      </c>
      <c r="T752" s="2" t="s">
        <v>488</v>
      </c>
      <c r="U752" s="2">
        <v>0</v>
      </c>
      <c r="V752" s="2">
        <v>0</v>
      </c>
      <c r="W752">
        <f t="shared" si="11"/>
        <v>0</v>
      </c>
    </row>
    <row r="753" spans="1:23" x14ac:dyDescent="0.25">
      <c r="A753" s="2" t="s">
        <v>628</v>
      </c>
      <c r="B753" s="2" t="s">
        <v>916</v>
      </c>
      <c r="C753" s="2">
        <v>540045</v>
      </c>
      <c r="D753" s="2" t="s">
        <v>669</v>
      </c>
      <c r="E753" s="2" t="s">
        <v>27</v>
      </c>
      <c r="F753" s="2" t="s">
        <v>115</v>
      </c>
      <c r="G753" s="2">
        <v>4</v>
      </c>
      <c r="H753" s="2">
        <v>0</v>
      </c>
      <c r="I753" s="2">
        <v>0</v>
      </c>
      <c r="J753" s="2">
        <v>0</v>
      </c>
      <c r="K753" s="2">
        <v>0</v>
      </c>
      <c r="L753" s="2">
        <v>0</v>
      </c>
      <c r="M753" s="2">
        <v>0</v>
      </c>
      <c r="N753" s="2">
        <v>0</v>
      </c>
      <c r="O753" s="2">
        <v>0</v>
      </c>
      <c r="P753" s="2">
        <v>0</v>
      </c>
      <c r="Q753" s="2">
        <v>0</v>
      </c>
      <c r="R753" s="2">
        <v>0</v>
      </c>
      <c r="S753" s="2" t="s">
        <v>488</v>
      </c>
      <c r="T753" s="2" t="s">
        <v>488</v>
      </c>
      <c r="U753" s="2">
        <v>0</v>
      </c>
      <c r="V753" s="2">
        <v>0</v>
      </c>
      <c r="W753">
        <f t="shared" si="11"/>
        <v>0</v>
      </c>
    </row>
    <row r="754" spans="1:23" x14ac:dyDescent="0.25">
      <c r="A754" s="2" t="s">
        <v>628</v>
      </c>
      <c r="B754" s="2" t="s">
        <v>916</v>
      </c>
      <c r="C754" s="2">
        <v>540228</v>
      </c>
      <c r="D754" s="2" t="s">
        <v>670</v>
      </c>
      <c r="E754" s="2" t="s">
        <v>27</v>
      </c>
      <c r="F754" s="2" t="s">
        <v>115</v>
      </c>
      <c r="G754" s="2">
        <v>4</v>
      </c>
      <c r="H754" s="2">
        <v>0</v>
      </c>
      <c r="I754" s="2">
        <v>0</v>
      </c>
      <c r="J754" s="2">
        <v>0</v>
      </c>
      <c r="K754" s="2">
        <v>0</v>
      </c>
      <c r="L754" s="2">
        <v>0</v>
      </c>
      <c r="M754" s="2">
        <v>0</v>
      </c>
      <c r="N754" s="2">
        <v>0</v>
      </c>
      <c r="O754" s="2">
        <v>0</v>
      </c>
      <c r="P754" s="2">
        <v>0</v>
      </c>
      <c r="Q754" s="2">
        <v>0</v>
      </c>
      <c r="R754" s="2">
        <v>0</v>
      </c>
      <c r="S754" s="2" t="s">
        <v>488</v>
      </c>
      <c r="T754" s="2" t="s">
        <v>488</v>
      </c>
      <c r="U754" s="2">
        <v>0</v>
      </c>
      <c r="V754" s="2">
        <v>0</v>
      </c>
      <c r="W754">
        <f t="shared" si="11"/>
        <v>0</v>
      </c>
    </row>
    <row r="755" spans="1:23" x14ac:dyDescent="0.25">
      <c r="A755" s="2" t="s">
        <v>628</v>
      </c>
      <c r="B755" s="2" t="s">
        <v>916</v>
      </c>
      <c r="C755" s="2">
        <v>540243</v>
      </c>
      <c r="D755" s="2" t="s">
        <v>671</v>
      </c>
      <c r="E755" s="2" t="s">
        <v>27</v>
      </c>
      <c r="F755" s="2" t="s">
        <v>115</v>
      </c>
      <c r="G755" s="2">
        <v>4</v>
      </c>
      <c r="H755" s="2">
        <v>0</v>
      </c>
      <c r="I755" s="2">
        <v>0</v>
      </c>
      <c r="J755" s="2">
        <v>0</v>
      </c>
      <c r="K755" s="2">
        <v>0</v>
      </c>
      <c r="L755" s="2">
        <v>0</v>
      </c>
      <c r="M755" s="2">
        <v>0</v>
      </c>
      <c r="N755" s="2">
        <v>0</v>
      </c>
      <c r="O755" s="2">
        <v>0</v>
      </c>
      <c r="P755" s="2">
        <v>0</v>
      </c>
      <c r="Q755" s="2">
        <v>0</v>
      </c>
      <c r="R755" s="2">
        <v>0</v>
      </c>
      <c r="S755" s="2" t="s">
        <v>488</v>
      </c>
      <c r="T755" s="2" t="s">
        <v>488</v>
      </c>
      <c r="U755" s="2">
        <v>0</v>
      </c>
      <c r="V755" s="2">
        <v>0</v>
      </c>
      <c r="W755">
        <f t="shared" si="11"/>
        <v>0</v>
      </c>
    </row>
    <row r="756" spans="1:23" x14ac:dyDescent="0.25">
      <c r="A756" s="2" t="s">
        <v>628</v>
      </c>
      <c r="B756" s="2" t="s">
        <v>916</v>
      </c>
      <c r="C756" s="2">
        <v>540244</v>
      </c>
      <c r="D756" s="2" t="s">
        <v>672</v>
      </c>
      <c r="E756" s="2" t="s">
        <v>27</v>
      </c>
      <c r="F756" s="2" t="s">
        <v>115</v>
      </c>
      <c r="G756" s="2">
        <v>4</v>
      </c>
      <c r="H756" s="2">
        <v>0</v>
      </c>
      <c r="I756" s="2">
        <v>0</v>
      </c>
      <c r="J756" s="2">
        <v>0</v>
      </c>
      <c r="K756" s="2">
        <v>0</v>
      </c>
      <c r="L756" s="2">
        <v>0</v>
      </c>
      <c r="M756" s="2">
        <v>0</v>
      </c>
      <c r="N756" s="2">
        <v>0</v>
      </c>
      <c r="O756" s="2">
        <v>0</v>
      </c>
      <c r="P756" s="2">
        <v>0</v>
      </c>
      <c r="Q756" s="2">
        <v>0</v>
      </c>
      <c r="R756" s="2">
        <v>0</v>
      </c>
      <c r="S756" s="2" t="s">
        <v>488</v>
      </c>
      <c r="T756" s="2" t="s">
        <v>488</v>
      </c>
      <c r="U756" s="2">
        <v>0</v>
      </c>
      <c r="V756" s="2">
        <v>0</v>
      </c>
      <c r="W756">
        <f t="shared" si="11"/>
        <v>0</v>
      </c>
    </row>
    <row r="757" spans="1:23" x14ac:dyDescent="0.25">
      <c r="A757" s="2" t="s">
        <v>628</v>
      </c>
      <c r="B757" s="2" t="s">
        <v>916</v>
      </c>
      <c r="C757" s="2">
        <v>540281</v>
      </c>
      <c r="D757" s="2" t="s">
        <v>673</v>
      </c>
      <c r="E757" s="2" t="s">
        <v>27</v>
      </c>
      <c r="F757" s="2" t="s">
        <v>115</v>
      </c>
      <c r="G757" s="2">
        <v>4</v>
      </c>
      <c r="H757" s="2">
        <v>0</v>
      </c>
      <c r="I757" s="2">
        <v>0</v>
      </c>
      <c r="J757" s="2">
        <v>0</v>
      </c>
      <c r="K757" s="2">
        <v>0</v>
      </c>
      <c r="L757" s="2">
        <v>0</v>
      </c>
      <c r="M757" s="2">
        <v>0</v>
      </c>
      <c r="N757" s="2">
        <v>0</v>
      </c>
      <c r="O757" s="2">
        <v>0</v>
      </c>
      <c r="P757" s="2">
        <v>0</v>
      </c>
      <c r="Q757" s="2">
        <v>0</v>
      </c>
      <c r="R757" s="2">
        <v>0</v>
      </c>
      <c r="S757" s="2" t="s">
        <v>488</v>
      </c>
      <c r="T757" s="2" t="s">
        <v>488</v>
      </c>
      <c r="U757" s="2">
        <v>0</v>
      </c>
      <c r="V757" s="2">
        <v>0</v>
      </c>
      <c r="W757">
        <f t="shared" si="11"/>
        <v>0</v>
      </c>
    </row>
    <row r="758" spans="1:23" x14ac:dyDescent="0.25">
      <c r="A758" s="255" t="s">
        <v>628</v>
      </c>
      <c r="B758" s="255" t="s">
        <v>916</v>
      </c>
      <c r="C758" s="255"/>
      <c r="D758" s="255"/>
      <c r="E758" s="255" t="s">
        <v>27</v>
      </c>
      <c r="F758" s="255"/>
      <c r="G758" s="255"/>
      <c r="H758" s="255">
        <v>0</v>
      </c>
      <c r="I758" s="255">
        <v>0</v>
      </c>
      <c r="J758" s="255">
        <v>0</v>
      </c>
      <c r="K758" s="255">
        <v>0</v>
      </c>
      <c r="L758" s="255">
        <v>0</v>
      </c>
      <c r="M758" s="255">
        <v>0</v>
      </c>
      <c r="N758" s="255">
        <v>0</v>
      </c>
      <c r="O758" s="255">
        <v>0</v>
      </c>
      <c r="P758" s="255">
        <v>0</v>
      </c>
      <c r="Q758" s="255">
        <v>0</v>
      </c>
      <c r="R758" s="255">
        <v>0</v>
      </c>
      <c r="S758" s="255" t="s">
        <v>488</v>
      </c>
      <c r="T758" s="255" t="s">
        <v>488</v>
      </c>
      <c r="U758" s="255">
        <v>0</v>
      </c>
      <c r="V758" s="255">
        <v>0</v>
      </c>
      <c r="W758">
        <f t="shared" si="11"/>
        <v>0</v>
      </c>
    </row>
    <row r="759" spans="1:23" x14ac:dyDescent="0.25">
      <c r="A759" s="2" t="s">
        <v>628</v>
      </c>
      <c r="B759" s="2" t="s">
        <v>916</v>
      </c>
      <c r="C759" s="2">
        <v>540047</v>
      </c>
      <c r="D759" s="2" t="s">
        <v>674</v>
      </c>
      <c r="E759" s="2" t="s">
        <v>29</v>
      </c>
      <c r="F759" s="2" t="s">
        <v>5</v>
      </c>
      <c r="G759" s="2">
        <v>11</v>
      </c>
      <c r="H759" s="2">
        <v>0</v>
      </c>
      <c r="I759" s="2">
        <v>0</v>
      </c>
      <c r="J759" s="2">
        <v>0</v>
      </c>
      <c r="K759" s="2">
        <v>0</v>
      </c>
      <c r="L759" s="2">
        <v>0</v>
      </c>
      <c r="M759" s="2">
        <v>0</v>
      </c>
      <c r="N759" s="2">
        <v>0</v>
      </c>
      <c r="O759" s="2">
        <v>0</v>
      </c>
      <c r="P759" s="2">
        <v>0</v>
      </c>
      <c r="Q759" s="2">
        <v>0</v>
      </c>
      <c r="R759" s="2">
        <v>0</v>
      </c>
      <c r="S759" s="2" t="s">
        <v>488</v>
      </c>
      <c r="T759" s="2" t="s">
        <v>488</v>
      </c>
      <c r="U759" s="2">
        <v>0</v>
      </c>
      <c r="V759" s="2">
        <v>0</v>
      </c>
      <c r="W759">
        <f t="shared" si="11"/>
        <v>0</v>
      </c>
    </row>
    <row r="760" spans="1:23" x14ac:dyDescent="0.25">
      <c r="A760" s="2" t="s">
        <v>628</v>
      </c>
      <c r="B760" s="2" t="s">
        <v>916</v>
      </c>
      <c r="C760" s="2">
        <v>540014</v>
      </c>
      <c r="D760" s="2" t="s">
        <v>645</v>
      </c>
      <c r="E760" s="2" t="s">
        <v>29</v>
      </c>
      <c r="F760" s="2" t="s">
        <v>115</v>
      </c>
      <c r="G760" s="2">
        <v>11</v>
      </c>
      <c r="H760" s="2">
        <v>0</v>
      </c>
      <c r="I760" s="2">
        <v>0</v>
      </c>
      <c r="J760" s="2">
        <v>0</v>
      </c>
      <c r="K760" s="2">
        <v>0</v>
      </c>
      <c r="L760" s="2">
        <v>0</v>
      </c>
      <c r="M760" s="2">
        <v>0</v>
      </c>
      <c r="N760" s="2">
        <v>0</v>
      </c>
      <c r="O760" s="2">
        <v>0</v>
      </c>
      <c r="P760" s="2">
        <v>0</v>
      </c>
      <c r="Q760" s="2">
        <v>0</v>
      </c>
      <c r="R760" s="2">
        <v>0</v>
      </c>
      <c r="S760" s="2" t="s">
        <v>488</v>
      </c>
      <c r="T760" s="2" t="s">
        <v>488</v>
      </c>
      <c r="U760" s="2">
        <v>0</v>
      </c>
      <c r="V760" s="2">
        <v>0</v>
      </c>
      <c r="W760">
        <f t="shared" si="11"/>
        <v>0</v>
      </c>
    </row>
    <row r="761" spans="1:23" x14ac:dyDescent="0.25">
      <c r="A761" s="2" t="s">
        <v>628</v>
      </c>
      <c r="B761" s="2" t="s">
        <v>916</v>
      </c>
      <c r="C761" s="2">
        <v>540048</v>
      </c>
      <c r="D761" s="2" t="s">
        <v>675</v>
      </c>
      <c r="E761" s="2" t="s">
        <v>29</v>
      </c>
      <c r="F761" s="2" t="s">
        <v>115</v>
      </c>
      <c r="G761" s="2">
        <v>11</v>
      </c>
      <c r="H761" s="2">
        <v>0</v>
      </c>
      <c r="I761" s="2">
        <v>0</v>
      </c>
      <c r="J761" s="2">
        <v>0</v>
      </c>
      <c r="K761" s="2">
        <v>0</v>
      </c>
      <c r="L761" s="2">
        <v>0</v>
      </c>
      <c r="M761" s="2">
        <v>0</v>
      </c>
      <c r="N761" s="2">
        <v>0</v>
      </c>
      <c r="O761" s="2">
        <v>0</v>
      </c>
      <c r="P761" s="2">
        <v>0</v>
      </c>
      <c r="Q761" s="2">
        <v>0</v>
      </c>
      <c r="R761" s="2">
        <v>0</v>
      </c>
      <c r="S761" s="2" t="s">
        <v>488</v>
      </c>
      <c r="T761" s="2" t="s">
        <v>488</v>
      </c>
      <c r="U761" s="2">
        <v>0</v>
      </c>
      <c r="V761" s="2">
        <v>0</v>
      </c>
      <c r="W761">
        <f t="shared" si="11"/>
        <v>0</v>
      </c>
    </row>
    <row r="762" spans="1:23" x14ac:dyDescent="0.25">
      <c r="A762" s="2" t="s">
        <v>628</v>
      </c>
      <c r="B762" s="2" t="s">
        <v>916</v>
      </c>
      <c r="C762" s="2">
        <v>540049</v>
      </c>
      <c r="D762" s="2" t="s">
        <v>676</v>
      </c>
      <c r="E762" s="2" t="s">
        <v>29</v>
      </c>
      <c r="F762" s="2" t="s">
        <v>115</v>
      </c>
      <c r="G762" s="2">
        <v>11</v>
      </c>
      <c r="H762" s="2">
        <v>0</v>
      </c>
      <c r="I762" s="2">
        <v>0</v>
      </c>
      <c r="J762" s="2">
        <v>0</v>
      </c>
      <c r="K762" s="2">
        <v>0</v>
      </c>
      <c r="L762" s="2">
        <v>0</v>
      </c>
      <c r="M762" s="2">
        <v>0</v>
      </c>
      <c r="N762" s="2">
        <v>0</v>
      </c>
      <c r="O762" s="2">
        <v>0</v>
      </c>
      <c r="P762" s="2">
        <v>0</v>
      </c>
      <c r="Q762" s="2">
        <v>0</v>
      </c>
      <c r="R762" s="2">
        <v>0</v>
      </c>
      <c r="S762" s="2" t="s">
        <v>488</v>
      </c>
      <c r="T762" s="2" t="s">
        <v>488</v>
      </c>
      <c r="U762" s="2">
        <v>0</v>
      </c>
      <c r="V762" s="2">
        <v>0</v>
      </c>
      <c r="W762">
        <f t="shared" si="11"/>
        <v>0</v>
      </c>
    </row>
    <row r="763" spans="1:23" x14ac:dyDescent="0.25">
      <c r="A763" s="255" t="s">
        <v>628</v>
      </c>
      <c r="B763" s="255" t="s">
        <v>916</v>
      </c>
      <c r="C763" s="255"/>
      <c r="D763" s="255"/>
      <c r="E763" s="255" t="s">
        <v>29</v>
      </c>
      <c r="F763" s="255"/>
      <c r="G763" s="255"/>
      <c r="H763" s="255">
        <v>0</v>
      </c>
      <c r="I763" s="255">
        <v>0</v>
      </c>
      <c r="J763" s="255">
        <v>0</v>
      </c>
      <c r="K763" s="255">
        <v>0</v>
      </c>
      <c r="L763" s="255">
        <v>0</v>
      </c>
      <c r="M763" s="255">
        <v>0</v>
      </c>
      <c r="N763" s="255">
        <v>0</v>
      </c>
      <c r="O763" s="255">
        <v>0</v>
      </c>
      <c r="P763" s="255">
        <v>0</v>
      </c>
      <c r="Q763" s="255">
        <v>0</v>
      </c>
      <c r="R763" s="255">
        <v>0</v>
      </c>
      <c r="S763" s="255" t="s">
        <v>488</v>
      </c>
      <c r="T763" s="255" t="s">
        <v>488</v>
      </c>
      <c r="U763" s="255">
        <v>0</v>
      </c>
      <c r="V763" s="255">
        <v>0</v>
      </c>
      <c r="W763">
        <f t="shared" si="11"/>
        <v>0</v>
      </c>
    </row>
    <row r="764" spans="1:23" x14ac:dyDescent="0.25">
      <c r="A764" s="2" t="s">
        <v>628</v>
      </c>
      <c r="B764" s="2" t="s">
        <v>916</v>
      </c>
      <c r="C764" s="2">
        <v>540051</v>
      </c>
      <c r="D764" s="2" t="s">
        <v>677</v>
      </c>
      <c r="E764" s="2" t="s">
        <v>31</v>
      </c>
      <c r="F764" s="2" t="s">
        <v>5</v>
      </c>
      <c r="G764" s="2">
        <v>8</v>
      </c>
      <c r="H764" s="2">
        <v>0</v>
      </c>
      <c r="I764" s="2">
        <v>0</v>
      </c>
      <c r="J764" s="2">
        <v>0</v>
      </c>
      <c r="K764" s="2">
        <v>0</v>
      </c>
      <c r="L764" s="2">
        <v>0</v>
      </c>
      <c r="M764" s="2">
        <v>0</v>
      </c>
      <c r="N764" s="2">
        <v>0</v>
      </c>
      <c r="O764" s="2">
        <v>0</v>
      </c>
      <c r="P764" s="2">
        <v>0</v>
      </c>
      <c r="Q764" s="2" t="s">
        <v>488</v>
      </c>
      <c r="R764" s="2" t="s">
        <v>488</v>
      </c>
      <c r="S764" s="2" t="s">
        <v>488</v>
      </c>
      <c r="T764" s="2" t="s">
        <v>488</v>
      </c>
      <c r="U764" s="2">
        <v>0</v>
      </c>
      <c r="V764" s="2">
        <v>0</v>
      </c>
      <c r="W764">
        <f t="shared" si="11"/>
        <v>0</v>
      </c>
    </row>
    <row r="765" spans="1:23" x14ac:dyDescent="0.25">
      <c r="A765" s="2" t="s">
        <v>628</v>
      </c>
      <c r="B765" s="2" t="s">
        <v>916</v>
      </c>
      <c r="C765" s="2">
        <v>540052</v>
      </c>
      <c r="D765" s="2" t="s">
        <v>678</v>
      </c>
      <c r="E765" s="2" t="s">
        <v>31</v>
      </c>
      <c r="F765" s="2" t="s">
        <v>115</v>
      </c>
      <c r="G765" s="2">
        <v>8</v>
      </c>
      <c r="H765" s="2">
        <v>0</v>
      </c>
      <c r="I765" s="2">
        <v>0</v>
      </c>
      <c r="J765" s="2">
        <v>0</v>
      </c>
      <c r="K765" s="2">
        <v>0</v>
      </c>
      <c r="L765" s="2">
        <v>0</v>
      </c>
      <c r="M765" s="2">
        <v>0</v>
      </c>
      <c r="N765" s="2">
        <v>0</v>
      </c>
      <c r="O765" s="2">
        <v>0</v>
      </c>
      <c r="P765" s="2">
        <v>0</v>
      </c>
      <c r="Q765" s="2" t="s">
        <v>488</v>
      </c>
      <c r="R765" s="2" t="s">
        <v>488</v>
      </c>
      <c r="S765" s="2" t="s">
        <v>488</v>
      </c>
      <c r="T765" s="2" t="s">
        <v>488</v>
      </c>
      <c r="U765" s="2">
        <v>0</v>
      </c>
      <c r="V765" s="2">
        <v>0</v>
      </c>
      <c r="W765">
        <f t="shared" si="11"/>
        <v>0</v>
      </c>
    </row>
    <row r="766" spans="1:23" x14ac:dyDescent="0.25">
      <c r="A766" s="2" t="s">
        <v>628</v>
      </c>
      <c r="B766" s="2" t="s">
        <v>916</v>
      </c>
      <c r="C766" s="2">
        <v>540245</v>
      </c>
      <c r="D766" s="2" t="s">
        <v>679</v>
      </c>
      <c r="E766" s="2" t="s">
        <v>31</v>
      </c>
      <c r="F766" s="2" t="s">
        <v>115</v>
      </c>
      <c r="G766" s="2">
        <v>8</v>
      </c>
      <c r="H766" s="2">
        <v>0</v>
      </c>
      <c r="I766" s="2">
        <v>0</v>
      </c>
      <c r="J766" s="2">
        <v>0</v>
      </c>
      <c r="K766" s="2">
        <v>0</v>
      </c>
      <c r="L766" s="2">
        <v>0</v>
      </c>
      <c r="M766" s="2">
        <v>0</v>
      </c>
      <c r="N766" s="2">
        <v>0</v>
      </c>
      <c r="O766" s="2">
        <v>0</v>
      </c>
      <c r="P766" s="2">
        <v>0</v>
      </c>
      <c r="Q766" s="2" t="s">
        <v>488</v>
      </c>
      <c r="R766" s="2" t="s">
        <v>488</v>
      </c>
      <c r="S766" s="2" t="s">
        <v>488</v>
      </c>
      <c r="T766" s="2" t="s">
        <v>488</v>
      </c>
      <c r="U766" s="2">
        <v>0</v>
      </c>
      <c r="V766" s="2">
        <v>0</v>
      </c>
      <c r="W766">
        <f t="shared" si="11"/>
        <v>0</v>
      </c>
    </row>
    <row r="767" spans="1:23" x14ac:dyDescent="0.25">
      <c r="A767" s="255" t="s">
        <v>628</v>
      </c>
      <c r="B767" s="255" t="s">
        <v>916</v>
      </c>
      <c r="C767" s="255"/>
      <c r="D767" s="255"/>
      <c r="E767" s="255" t="s">
        <v>31</v>
      </c>
      <c r="F767" s="255"/>
      <c r="G767" s="255"/>
      <c r="H767" s="255">
        <v>0</v>
      </c>
      <c r="I767" s="255">
        <v>0</v>
      </c>
      <c r="J767" s="255">
        <v>0</v>
      </c>
      <c r="K767" s="255">
        <v>0</v>
      </c>
      <c r="L767" s="255">
        <v>0</v>
      </c>
      <c r="M767" s="255">
        <v>0</v>
      </c>
      <c r="N767" s="255">
        <v>0</v>
      </c>
      <c r="O767" s="255">
        <v>0</v>
      </c>
      <c r="P767" s="255">
        <v>0</v>
      </c>
      <c r="Q767" s="255" t="s">
        <v>488</v>
      </c>
      <c r="R767" s="255" t="s">
        <v>488</v>
      </c>
      <c r="S767" s="255" t="s">
        <v>488</v>
      </c>
      <c r="T767" s="255" t="s">
        <v>488</v>
      </c>
      <c r="U767" s="255">
        <v>0</v>
      </c>
      <c r="V767" s="255">
        <v>0</v>
      </c>
      <c r="W767">
        <f t="shared" si="11"/>
        <v>0</v>
      </c>
    </row>
    <row r="768" spans="1:23" x14ac:dyDescent="0.25">
      <c r="A768" s="2" t="s">
        <v>628</v>
      </c>
      <c r="B768" s="2" t="s">
        <v>916</v>
      </c>
      <c r="C768" s="2">
        <v>540053</v>
      </c>
      <c r="D768" s="2" t="s">
        <v>680</v>
      </c>
      <c r="E768" s="2" t="s">
        <v>33</v>
      </c>
      <c r="F768" s="2" t="s">
        <v>5</v>
      </c>
      <c r="G768" s="2">
        <v>6</v>
      </c>
      <c r="H768" s="2">
        <v>0</v>
      </c>
      <c r="I768" s="2">
        <v>0</v>
      </c>
      <c r="J768" s="2">
        <v>0</v>
      </c>
      <c r="K768" s="2">
        <v>0</v>
      </c>
      <c r="L768" s="2">
        <v>0</v>
      </c>
      <c r="M768" s="2">
        <v>0</v>
      </c>
      <c r="N768" s="2">
        <v>0</v>
      </c>
      <c r="O768" s="2">
        <v>0</v>
      </c>
      <c r="P768" s="2">
        <v>0</v>
      </c>
      <c r="Q768" s="2">
        <v>0</v>
      </c>
      <c r="R768" s="2">
        <v>0</v>
      </c>
      <c r="S768" s="2" t="s">
        <v>488</v>
      </c>
      <c r="T768" s="2" t="s">
        <v>488</v>
      </c>
      <c r="U768" s="2">
        <v>0</v>
      </c>
      <c r="V768" s="2">
        <v>0</v>
      </c>
      <c r="W768">
        <f t="shared" si="11"/>
        <v>0</v>
      </c>
    </row>
    <row r="769" spans="1:23" x14ac:dyDescent="0.25">
      <c r="A769" s="2" t="s">
        <v>628</v>
      </c>
      <c r="B769" s="2" t="s">
        <v>916</v>
      </c>
      <c r="C769" s="2">
        <v>540054</v>
      </c>
      <c r="D769" s="2" t="s">
        <v>681</v>
      </c>
      <c r="E769" s="2" t="s">
        <v>33</v>
      </c>
      <c r="F769" s="2" t="s">
        <v>115</v>
      </c>
      <c r="G769" s="2">
        <v>6</v>
      </c>
      <c r="H769" s="2">
        <v>0</v>
      </c>
      <c r="I769" s="2">
        <v>0</v>
      </c>
      <c r="J769" s="2">
        <v>0</v>
      </c>
      <c r="K769" s="2">
        <v>0</v>
      </c>
      <c r="L769" s="2">
        <v>0</v>
      </c>
      <c r="M769" s="2">
        <v>0</v>
      </c>
      <c r="N769" s="2">
        <v>0</v>
      </c>
      <c r="O769" s="2">
        <v>0</v>
      </c>
      <c r="P769" s="2">
        <v>0</v>
      </c>
      <c r="Q769" s="2">
        <v>0</v>
      </c>
      <c r="R769" s="2">
        <v>0</v>
      </c>
      <c r="S769" s="2" t="s">
        <v>488</v>
      </c>
      <c r="T769" s="2" t="s">
        <v>488</v>
      </c>
      <c r="U769" s="2">
        <v>0</v>
      </c>
      <c r="V769" s="2">
        <v>0</v>
      </c>
      <c r="W769">
        <f t="shared" si="11"/>
        <v>0</v>
      </c>
    </row>
    <row r="770" spans="1:23" x14ac:dyDescent="0.25">
      <c r="A770" s="2" t="s">
        <v>628</v>
      </c>
      <c r="B770" s="2" t="s">
        <v>916</v>
      </c>
      <c r="C770" s="2">
        <v>540055</v>
      </c>
      <c r="D770" s="2" t="s">
        <v>682</v>
      </c>
      <c r="E770" s="2" t="s">
        <v>33</v>
      </c>
      <c r="F770" s="2" t="s">
        <v>115</v>
      </c>
      <c r="G770" s="2">
        <v>6</v>
      </c>
      <c r="H770" s="2">
        <v>0</v>
      </c>
      <c r="I770" s="2">
        <v>0</v>
      </c>
      <c r="J770" s="2">
        <v>0</v>
      </c>
      <c r="K770" s="2">
        <v>0</v>
      </c>
      <c r="L770" s="2">
        <v>0</v>
      </c>
      <c r="M770" s="2">
        <v>0</v>
      </c>
      <c r="N770" s="2">
        <v>0</v>
      </c>
      <c r="O770" s="2">
        <v>0</v>
      </c>
      <c r="P770" s="2">
        <v>0</v>
      </c>
      <c r="Q770" s="2">
        <v>0</v>
      </c>
      <c r="R770" s="2">
        <v>0</v>
      </c>
      <c r="S770" s="2" t="s">
        <v>488</v>
      </c>
      <c r="T770" s="2" t="s">
        <v>488</v>
      </c>
      <c r="U770" s="2">
        <v>0</v>
      </c>
      <c r="V770" s="2">
        <v>0</v>
      </c>
      <c r="W770">
        <f t="shared" si="11"/>
        <v>0</v>
      </c>
    </row>
    <row r="771" spans="1:23" x14ac:dyDescent="0.25">
      <c r="A771" s="2" t="s">
        <v>628</v>
      </c>
      <c r="B771" s="2" t="s">
        <v>916</v>
      </c>
      <c r="C771" s="2">
        <v>540056</v>
      </c>
      <c r="D771" s="2" t="s">
        <v>683</v>
      </c>
      <c r="E771" s="2" t="s">
        <v>33</v>
      </c>
      <c r="F771" s="2" t="s">
        <v>115</v>
      </c>
      <c r="G771" s="2">
        <v>6</v>
      </c>
      <c r="H771" s="2">
        <v>0</v>
      </c>
      <c r="I771" s="2">
        <v>0</v>
      </c>
      <c r="J771" s="2">
        <v>0</v>
      </c>
      <c r="K771" s="2">
        <v>0</v>
      </c>
      <c r="L771" s="2">
        <v>0</v>
      </c>
      <c r="M771" s="2">
        <v>0</v>
      </c>
      <c r="N771" s="2">
        <v>0</v>
      </c>
      <c r="O771" s="2">
        <v>0</v>
      </c>
      <c r="P771" s="2">
        <v>0</v>
      </c>
      <c r="Q771" s="2">
        <v>0</v>
      </c>
      <c r="R771" s="2">
        <v>0</v>
      </c>
      <c r="S771" s="2" t="s">
        <v>488</v>
      </c>
      <c r="T771" s="2" t="s">
        <v>488</v>
      </c>
      <c r="U771" s="2">
        <v>0</v>
      </c>
      <c r="V771" s="2">
        <v>0</v>
      </c>
      <c r="W771">
        <f t="shared" ref="W771:W834" si="12">SUM(N771,P771,R771,T771,U771,V771)</f>
        <v>0</v>
      </c>
    </row>
    <row r="772" spans="1:23" x14ac:dyDescent="0.25">
      <c r="A772" s="2" t="s">
        <v>628</v>
      </c>
      <c r="B772" s="2" t="s">
        <v>916</v>
      </c>
      <c r="C772" s="2">
        <v>540057</v>
      </c>
      <c r="D772" s="2" t="s">
        <v>684</v>
      </c>
      <c r="E772" s="2" t="s">
        <v>33</v>
      </c>
      <c r="F772" s="2" t="s">
        <v>115</v>
      </c>
      <c r="G772" s="2">
        <v>6</v>
      </c>
      <c r="H772" s="2">
        <v>0</v>
      </c>
      <c r="I772" s="2">
        <v>0</v>
      </c>
      <c r="J772" s="2">
        <v>0</v>
      </c>
      <c r="K772" s="2">
        <v>0</v>
      </c>
      <c r="L772" s="2">
        <v>0</v>
      </c>
      <c r="M772" s="2">
        <v>0</v>
      </c>
      <c r="N772" s="2">
        <v>0</v>
      </c>
      <c r="O772" s="2">
        <v>0</v>
      </c>
      <c r="P772" s="2">
        <v>0</v>
      </c>
      <c r="Q772" s="2">
        <v>0</v>
      </c>
      <c r="R772" s="2">
        <v>0</v>
      </c>
      <c r="S772" s="2" t="s">
        <v>488</v>
      </c>
      <c r="T772" s="2" t="s">
        <v>488</v>
      </c>
      <c r="U772" s="2">
        <v>0</v>
      </c>
      <c r="V772" s="2">
        <v>0</v>
      </c>
      <c r="W772">
        <f t="shared" si="12"/>
        <v>0</v>
      </c>
    </row>
    <row r="773" spans="1:23" x14ac:dyDescent="0.25">
      <c r="A773" s="2" t="s">
        <v>628</v>
      </c>
      <c r="B773" s="2" t="s">
        <v>916</v>
      </c>
      <c r="C773" s="2">
        <v>540058</v>
      </c>
      <c r="D773" s="2" t="s">
        <v>685</v>
      </c>
      <c r="E773" s="2" t="s">
        <v>33</v>
      </c>
      <c r="F773" s="2" t="s">
        <v>115</v>
      </c>
      <c r="G773" s="2">
        <v>6</v>
      </c>
      <c r="H773" s="2">
        <v>0</v>
      </c>
      <c r="I773" s="2">
        <v>0</v>
      </c>
      <c r="J773" s="2">
        <v>0</v>
      </c>
      <c r="K773" s="2">
        <v>0</v>
      </c>
      <c r="L773" s="2">
        <v>0</v>
      </c>
      <c r="M773" s="2">
        <v>0</v>
      </c>
      <c r="N773" s="2">
        <v>0</v>
      </c>
      <c r="O773" s="2">
        <v>0</v>
      </c>
      <c r="P773" s="2">
        <v>0</v>
      </c>
      <c r="Q773" s="2">
        <v>0</v>
      </c>
      <c r="R773" s="2">
        <v>0</v>
      </c>
      <c r="S773" s="2" t="s">
        <v>488</v>
      </c>
      <c r="T773" s="2" t="s">
        <v>488</v>
      </c>
      <c r="U773" s="2">
        <v>0</v>
      </c>
      <c r="V773" s="2">
        <v>0</v>
      </c>
      <c r="W773">
        <f t="shared" si="12"/>
        <v>0</v>
      </c>
    </row>
    <row r="774" spans="1:23" x14ac:dyDescent="0.25">
      <c r="A774" s="2" t="s">
        <v>628</v>
      </c>
      <c r="B774" s="2" t="s">
        <v>916</v>
      </c>
      <c r="C774" s="2">
        <v>540059</v>
      </c>
      <c r="D774" s="2" t="s">
        <v>686</v>
      </c>
      <c r="E774" s="2" t="s">
        <v>33</v>
      </c>
      <c r="F774" s="2" t="s">
        <v>115</v>
      </c>
      <c r="G774" s="2">
        <v>6</v>
      </c>
      <c r="H774" s="2">
        <v>0</v>
      </c>
      <c r="I774" s="2">
        <v>0</v>
      </c>
      <c r="J774" s="2">
        <v>0</v>
      </c>
      <c r="K774" s="2">
        <v>0</v>
      </c>
      <c r="L774" s="2">
        <v>0</v>
      </c>
      <c r="M774" s="2">
        <v>0</v>
      </c>
      <c r="N774" s="2">
        <v>0</v>
      </c>
      <c r="O774" s="2">
        <v>0</v>
      </c>
      <c r="P774" s="2">
        <v>0</v>
      </c>
      <c r="Q774" s="2">
        <v>0</v>
      </c>
      <c r="R774" s="2">
        <v>0</v>
      </c>
      <c r="S774" s="2" t="s">
        <v>488</v>
      </c>
      <c r="T774" s="2" t="s">
        <v>488</v>
      </c>
      <c r="U774" s="2">
        <v>0</v>
      </c>
      <c r="V774" s="2">
        <v>0</v>
      </c>
      <c r="W774">
        <f t="shared" si="12"/>
        <v>0</v>
      </c>
    </row>
    <row r="775" spans="1:23" x14ac:dyDescent="0.25">
      <c r="A775" s="2" t="s">
        <v>628</v>
      </c>
      <c r="B775" s="2" t="s">
        <v>916</v>
      </c>
      <c r="C775" s="2">
        <v>540060</v>
      </c>
      <c r="D775" s="2" t="s">
        <v>687</v>
      </c>
      <c r="E775" s="2" t="s">
        <v>33</v>
      </c>
      <c r="F775" s="2" t="s">
        <v>115</v>
      </c>
      <c r="G775" s="2">
        <v>6</v>
      </c>
      <c r="H775" s="2">
        <v>0</v>
      </c>
      <c r="I775" s="2">
        <v>0</v>
      </c>
      <c r="J775" s="2">
        <v>0</v>
      </c>
      <c r="K775" s="2">
        <v>0</v>
      </c>
      <c r="L775" s="2">
        <v>0</v>
      </c>
      <c r="M775" s="2">
        <v>0</v>
      </c>
      <c r="N775" s="2">
        <v>0</v>
      </c>
      <c r="O775" s="2">
        <v>0</v>
      </c>
      <c r="P775" s="2">
        <v>0</v>
      </c>
      <c r="Q775" s="2">
        <v>0</v>
      </c>
      <c r="R775" s="2">
        <v>0</v>
      </c>
      <c r="S775" s="2" t="s">
        <v>488</v>
      </c>
      <c r="T775" s="2" t="s">
        <v>488</v>
      </c>
      <c r="U775" s="2">
        <v>0</v>
      </c>
      <c r="V775" s="2">
        <v>0</v>
      </c>
      <c r="W775">
        <f t="shared" si="12"/>
        <v>0</v>
      </c>
    </row>
    <row r="776" spans="1:23" x14ac:dyDescent="0.25">
      <c r="A776" s="2" t="s">
        <v>628</v>
      </c>
      <c r="B776" s="2" t="s">
        <v>916</v>
      </c>
      <c r="C776" s="2">
        <v>540061</v>
      </c>
      <c r="D776" s="2" t="s">
        <v>688</v>
      </c>
      <c r="E776" s="2" t="s">
        <v>33</v>
      </c>
      <c r="F776" s="2" t="s">
        <v>115</v>
      </c>
      <c r="G776" s="2">
        <v>6</v>
      </c>
      <c r="H776" s="2">
        <v>0</v>
      </c>
      <c r="I776" s="2">
        <v>0</v>
      </c>
      <c r="J776" s="2">
        <v>0</v>
      </c>
      <c r="K776" s="2">
        <v>0</v>
      </c>
      <c r="L776" s="2">
        <v>0</v>
      </c>
      <c r="M776" s="2">
        <v>0</v>
      </c>
      <c r="N776" s="2">
        <v>0</v>
      </c>
      <c r="O776" s="2">
        <v>0</v>
      </c>
      <c r="P776" s="2">
        <v>0</v>
      </c>
      <c r="Q776" s="2">
        <v>0</v>
      </c>
      <c r="R776" s="2">
        <v>0</v>
      </c>
      <c r="S776" s="2" t="s">
        <v>488</v>
      </c>
      <c r="T776" s="2" t="s">
        <v>488</v>
      </c>
      <c r="U776" s="2">
        <v>0</v>
      </c>
      <c r="V776" s="2">
        <v>0</v>
      </c>
      <c r="W776">
        <f t="shared" si="12"/>
        <v>0</v>
      </c>
    </row>
    <row r="777" spans="1:23" x14ac:dyDescent="0.25">
      <c r="A777" s="2" t="s">
        <v>628</v>
      </c>
      <c r="B777" s="2" t="s">
        <v>916</v>
      </c>
      <c r="C777" s="2">
        <v>540062</v>
      </c>
      <c r="D777" s="2" t="s">
        <v>689</v>
      </c>
      <c r="E777" s="2" t="s">
        <v>33</v>
      </c>
      <c r="F777" s="2" t="s">
        <v>115</v>
      </c>
      <c r="G777" s="2">
        <v>6</v>
      </c>
      <c r="H777" s="2">
        <v>0</v>
      </c>
      <c r="I777" s="2">
        <v>0</v>
      </c>
      <c r="J777" s="2">
        <v>0</v>
      </c>
      <c r="K777" s="2">
        <v>0</v>
      </c>
      <c r="L777" s="2">
        <v>0</v>
      </c>
      <c r="M777" s="2">
        <v>0</v>
      </c>
      <c r="N777" s="2">
        <v>0</v>
      </c>
      <c r="O777" s="2">
        <v>0</v>
      </c>
      <c r="P777" s="2">
        <v>0</v>
      </c>
      <c r="Q777" s="2">
        <v>0</v>
      </c>
      <c r="R777" s="2">
        <v>0</v>
      </c>
      <c r="S777" s="2" t="s">
        <v>488</v>
      </c>
      <c r="T777" s="2" t="s">
        <v>488</v>
      </c>
      <c r="U777" s="2">
        <v>0</v>
      </c>
      <c r="V777" s="2">
        <v>0</v>
      </c>
      <c r="W777">
        <f t="shared" si="12"/>
        <v>0</v>
      </c>
    </row>
    <row r="778" spans="1:23" x14ac:dyDescent="0.25">
      <c r="A778" s="2" t="s">
        <v>628</v>
      </c>
      <c r="B778" s="2" t="s">
        <v>916</v>
      </c>
      <c r="C778" s="2">
        <v>540242</v>
      </c>
      <c r="D778" s="2" t="s">
        <v>690</v>
      </c>
      <c r="E778" s="2" t="s">
        <v>33</v>
      </c>
      <c r="F778" s="2" t="s">
        <v>115</v>
      </c>
      <c r="G778" s="2">
        <v>6</v>
      </c>
      <c r="H778" s="2">
        <v>0</v>
      </c>
      <c r="I778" s="2">
        <v>0</v>
      </c>
      <c r="J778" s="2">
        <v>0</v>
      </c>
      <c r="K778" s="2">
        <v>0</v>
      </c>
      <c r="L778" s="2">
        <v>0</v>
      </c>
      <c r="M778" s="2">
        <v>0</v>
      </c>
      <c r="N778" s="2">
        <v>0</v>
      </c>
      <c r="O778" s="2">
        <v>0</v>
      </c>
      <c r="P778" s="2">
        <v>0</v>
      </c>
      <c r="Q778" s="2">
        <v>0</v>
      </c>
      <c r="R778" s="2">
        <v>0</v>
      </c>
      <c r="S778" s="2" t="s">
        <v>488</v>
      </c>
      <c r="T778" s="2" t="s">
        <v>488</v>
      </c>
      <c r="U778" s="2">
        <v>0</v>
      </c>
      <c r="V778" s="2">
        <v>0</v>
      </c>
      <c r="W778">
        <f t="shared" si="12"/>
        <v>0</v>
      </c>
    </row>
    <row r="779" spans="1:23" x14ac:dyDescent="0.25">
      <c r="A779" s="255" t="s">
        <v>628</v>
      </c>
      <c r="B779" s="255" t="s">
        <v>916</v>
      </c>
      <c r="C779" s="255"/>
      <c r="D779" s="255"/>
      <c r="E779" s="255" t="s">
        <v>33</v>
      </c>
      <c r="F779" s="255"/>
      <c r="G779" s="255"/>
      <c r="H779" s="255">
        <v>0</v>
      </c>
      <c r="I779" s="255">
        <v>0</v>
      </c>
      <c r="J779" s="255">
        <v>0</v>
      </c>
      <c r="K779" s="255">
        <v>0</v>
      </c>
      <c r="L779" s="255">
        <v>0</v>
      </c>
      <c r="M779" s="255">
        <v>0</v>
      </c>
      <c r="N779" s="255">
        <v>0</v>
      </c>
      <c r="O779" s="255">
        <v>0</v>
      </c>
      <c r="P779" s="255">
        <v>0</v>
      </c>
      <c r="Q779" s="255">
        <v>0</v>
      </c>
      <c r="R779" s="255">
        <v>0</v>
      </c>
      <c r="S779" s="255" t="s">
        <v>488</v>
      </c>
      <c r="T779" s="255" t="s">
        <v>488</v>
      </c>
      <c r="U779" s="255">
        <v>0</v>
      </c>
      <c r="V779" s="255">
        <v>0</v>
      </c>
      <c r="W779">
        <f t="shared" si="12"/>
        <v>0</v>
      </c>
    </row>
    <row r="780" spans="1:23" x14ac:dyDescent="0.25">
      <c r="A780" s="2" t="s">
        <v>628</v>
      </c>
      <c r="B780" s="2" t="s">
        <v>916</v>
      </c>
      <c r="C780" s="2">
        <v>540063</v>
      </c>
      <c r="D780" s="2" t="s">
        <v>691</v>
      </c>
      <c r="E780" s="2" t="s">
        <v>35</v>
      </c>
      <c r="F780" s="2" t="s">
        <v>5</v>
      </c>
      <c r="G780" s="2">
        <v>5</v>
      </c>
      <c r="H780" s="2">
        <v>0</v>
      </c>
      <c r="I780" s="2">
        <v>0</v>
      </c>
      <c r="J780" s="2">
        <v>0</v>
      </c>
      <c r="K780" s="2">
        <v>0</v>
      </c>
      <c r="L780" s="2">
        <v>0</v>
      </c>
      <c r="M780" s="2">
        <v>0</v>
      </c>
      <c r="N780" s="2">
        <v>0</v>
      </c>
      <c r="O780" s="2">
        <v>0</v>
      </c>
      <c r="P780" s="2">
        <v>0</v>
      </c>
      <c r="Q780" s="2" t="s">
        <v>488</v>
      </c>
      <c r="R780" s="2" t="s">
        <v>488</v>
      </c>
      <c r="S780" s="2" t="s">
        <v>488</v>
      </c>
      <c r="T780" s="2" t="s">
        <v>488</v>
      </c>
      <c r="U780" s="2">
        <v>0</v>
      </c>
      <c r="V780" s="2">
        <v>0</v>
      </c>
      <c r="W780">
        <f t="shared" si="12"/>
        <v>0</v>
      </c>
    </row>
    <row r="781" spans="1:23" x14ac:dyDescent="0.25">
      <c r="A781" s="2" t="s">
        <v>628</v>
      </c>
      <c r="B781" s="2" t="s">
        <v>916</v>
      </c>
      <c r="C781" s="2">
        <v>540064</v>
      </c>
      <c r="D781" s="2" t="s">
        <v>692</v>
      </c>
      <c r="E781" s="2" t="s">
        <v>35</v>
      </c>
      <c r="F781" s="2" t="s">
        <v>115</v>
      </c>
      <c r="G781" s="2">
        <v>5</v>
      </c>
      <c r="H781" s="2">
        <v>0</v>
      </c>
      <c r="I781" s="2">
        <v>0</v>
      </c>
      <c r="J781" s="2">
        <v>0</v>
      </c>
      <c r="K781" s="2">
        <v>0</v>
      </c>
      <c r="L781" s="2">
        <v>0</v>
      </c>
      <c r="M781" s="2">
        <v>0</v>
      </c>
      <c r="N781" s="2">
        <v>0</v>
      </c>
      <c r="O781" s="2">
        <v>0</v>
      </c>
      <c r="P781" s="2">
        <v>0</v>
      </c>
      <c r="Q781" s="2" t="s">
        <v>488</v>
      </c>
      <c r="R781" s="2" t="s">
        <v>488</v>
      </c>
      <c r="S781" s="2" t="s">
        <v>488</v>
      </c>
      <c r="T781" s="2" t="s">
        <v>488</v>
      </c>
      <c r="U781" s="2">
        <v>0</v>
      </c>
      <c r="V781" s="2">
        <v>0</v>
      </c>
      <c r="W781">
        <f t="shared" si="12"/>
        <v>0</v>
      </c>
    </row>
    <row r="782" spans="1:23" x14ac:dyDescent="0.25">
      <c r="A782" s="2" t="s">
        <v>628</v>
      </c>
      <c r="B782" s="2" t="s">
        <v>916</v>
      </c>
      <c r="C782" s="2">
        <v>540241</v>
      </c>
      <c r="D782" s="2" t="s">
        <v>693</v>
      </c>
      <c r="E782" s="2" t="s">
        <v>35</v>
      </c>
      <c r="F782" s="2" t="s">
        <v>115</v>
      </c>
      <c r="G782" s="2">
        <v>5</v>
      </c>
      <c r="H782" s="2">
        <v>0</v>
      </c>
      <c r="I782" s="2">
        <v>0</v>
      </c>
      <c r="J782" s="2">
        <v>0</v>
      </c>
      <c r="K782" s="2">
        <v>0</v>
      </c>
      <c r="L782" s="2">
        <v>0</v>
      </c>
      <c r="M782" s="2">
        <v>0</v>
      </c>
      <c r="N782" s="2">
        <v>0</v>
      </c>
      <c r="O782" s="2">
        <v>0</v>
      </c>
      <c r="P782" s="2">
        <v>0</v>
      </c>
      <c r="Q782" s="2" t="s">
        <v>488</v>
      </c>
      <c r="R782" s="2" t="s">
        <v>488</v>
      </c>
      <c r="S782" s="2" t="s">
        <v>488</v>
      </c>
      <c r="T782" s="2" t="s">
        <v>488</v>
      </c>
      <c r="U782" s="2">
        <v>0</v>
      </c>
      <c r="V782" s="2">
        <v>0</v>
      </c>
      <c r="W782">
        <f t="shared" si="12"/>
        <v>0</v>
      </c>
    </row>
    <row r="783" spans="1:23" x14ac:dyDescent="0.25">
      <c r="A783" s="255" t="s">
        <v>628</v>
      </c>
      <c r="B783" s="255" t="s">
        <v>916</v>
      </c>
      <c r="C783" s="255"/>
      <c r="D783" s="255"/>
      <c r="E783" s="255" t="s">
        <v>35</v>
      </c>
      <c r="F783" s="255"/>
      <c r="G783" s="255"/>
      <c r="H783" s="255">
        <v>0</v>
      </c>
      <c r="I783" s="255">
        <v>0</v>
      </c>
      <c r="J783" s="255">
        <v>0</v>
      </c>
      <c r="K783" s="255">
        <v>0</v>
      </c>
      <c r="L783" s="255">
        <v>0</v>
      </c>
      <c r="M783" s="255">
        <v>0</v>
      </c>
      <c r="N783" s="255">
        <v>0</v>
      </c>
      <c r="O783" s="255">
        <v>0</v>
      </c>
      <c r="P783" s="255">
        <v>0</v>
      </c>
      <c r="Q783" s="255" t="s">
        <v>488</v>
      </c>
      <c r="R783" s="255" t="s">
        <v>488</v>
      </c>
      <c r="S783" s="255" t="s">
        <v>488</v>
      </c>
      <c r="T783" s="255" t="s">
        <v>488</v>
      </c>
      <c r="U783" s="255">
        <v>0</v>
      </c>
      <c r="V783" s="255">
        <v>0</v>
      </c>
      <c r="W783">
        <f t="shared" si="12"/>
        <v>0</v>
      </c>
    </row>
    <row r="784" spans="1:23" x14ac:dyDescent="0.25">
      <c r="A784" s="2" t="s">
        <v>628</v>
      </c>
      <c r="B784" s="2" t="s">
        <v>916</v>
      </c>
      <c r="C784" s="2">
        <v>540065</v>
      </c>
      <c r="D784" s="2" t="s">
        <v>694</v>
      </c>
      <c r="E784" s="2" t="s">
        <v>37</v>
      </c>
      <c r="F784" s="2" t="s">
        <v>5</v>
      </c>
      <c r="G784" s="2">
        <v>9</v>
      </c>
      <c r="H784" s="2">
        <v>0</v>
      </c>
      <c r="I784" s="2">
        <v>0</v>
      </c>
      <c r="J784" s="2">
        <v>0</v>
      </c>
      <c r="K784" s="2">
        <v>0</v>
      </c>
      <c r="L784" s="2">
        <v>0</v>
      </c>
      <c r="M784" s="2">
        <v>0</v>
      </c>
      <c r="N784" s="2">
        <v>0</v>
      </c>
      <c r="O784" s="2">
        <v>0</v>
      </c>
      <c r="P784" s="2">
        <v>0</v>
      </c>
      <c r="Q784" s="2">
        <v>0</v>
      </c>
      <c r="R784" s="2">
        <v>0</v>
      </c>
      <c r="S784" s="2">
        <v>0</v>
      </c>
      <c r="T784" s="2">
        <v>0</v>
      </c>
      <c r="U784" s="2">
        <v>0</v>
      </c>
      <c r="V784" s="2">
        <v>0</v>
      </c>
      <c r="W784">
        <f t="shared" si="12"/>
        <v>0</v>
      </c>
    </row>
    <row r="785" spans="1:23" x14ac:dyDescent="0.25">
      <c r="A785" s="2" t="s">
        <v>628</v>
      </c>
      <c r="B785" s="2" t="s">
        <v>916</v>
      </c>
      <c r="C785" s="2">
        <v>540030</v>
      </c>
      <c r="D785" s="2" t="s">
        <v>695</v>
      </c>
      <c r="E785" s="2" t="s">
        <v>37</v>
      </c>
      <c r="F785" s="2" t="s">
        <v>115</v>
      </c>
      <c r="G785" s="2">
        <v>9</v>
      </c>
      <c r="H785" s="2">
        <v>0</v>
      </c>
      <c r="I785" s="2">
        <v>0</v>
      </c>
      <c r="J785" s="2">
        <v>0</v>
      </c>
      <c r="K785" s="2">
        <v>0</v>
      </c>
      <c r="L785" s="2">
        <v>0</v>
      </c>
      <c r="M785" s="2">
        <v>0</v>
      </c>
      <c r="N785" s="2">
        <v>0</v>
      </c>
      <c r="O785" s="2">
        <v>0</v>
      </c>
      <c r="P785" s="2">
        <v>0</v>
      </c>
      <c r="Q785" s="2">
        <v>0</v>
      </c>
      <c r="R785" s="2">
        <v>0</v>
      </c>
      <c r="S785" s="2">
        <v>0</v>
      </c>
      <c r="T785" s="2">
        <v>0</v>
      </c>
      <c r="U785" s="2">
        <v>0</v>
      </c>
      <c r="V785" s="2">
        <v>0</v>
      </c>
      <c r="W785">
        <f t="shared" si="12"/>
        <v>0</v>
      </c>
    </row>
    <row r="786" spans="1:23" x14ac:dyDescent="0.25">
      <c r="A786" s="2" t="s">
        <v>628</v>
      </c>
      <c r="B786" s="2" t="s">
        <v>916</v>
      </c>
      <c r="C786" s="2">
        <v>540066</v>
      </c>
      <c r="D786" s="2" t="s">
        <v>696</v>
      </c>
      <c r="E786" s="2" t="s">
        <v>37</v>
      </c>
      <c r="F786" s="2" t="s">
        <v>115</v>
      </c>
      <c r="G786" s="2">
        <v>9</v>
      </c>
      <c r="H786" s="2">
        <v>0</v>
      </c>
      <c r="I786" s="2">
        <v>0</v>
      </c>
      <c r="J786" s="2">
        <v>0</v>
      </c>
      <c r="K786" s="2">
        <v>0</v>
      </c>
      <c r="L786" s="2">
        <v>0</v>
      </c>
      <c r="M786" s="2">
        <v>0</v>
      </c>
      <c r="N786" s="2">
        <v>0</v>
      </c>
      <c r="O786" s="2">
        <v>0</v>
      </c>
      <c r="P786" s="2">
        <v>0</v>
      </c>
      <c r="Q786" s="2">
        <v>0</v>
      </c>
      <c r="R786" s="2">
        <v>0</v>
      </c>
      <c r="S786" s="2">
        <v>0</v>
      </c>
      <c r="T786" s="2">
        <v>0</v>
      </c>
      <c r="U786" s="2">
        <v>0</v>
      </c>
      <c r="V786" s="2">
        <v>0</v>
      </c>
      <c r="W786">
        <f t="shared" si="12"/>
        <v>0</v>
      </c>
    </row>
    <row r="787" spans="1:23" x14ac:dyDescent="0.25">
      <c r="A787" s="2" t="s">
        <v>628</v>
      </c>
      <c r="B787" s="2" t="s">
        <v>916</v>
      </c>
      <c r="C787" s="2">
        <v>540067</v>
      </c>
      <c r="D787" s="2" t="s">
        <v>697</v>
      </c>
      <c r="E787" s="2" t="s">
        <v>37</v>
      </c>
      <c r="F787" s="2" t="s">
        <v>115</v>
      </c>
      <c r="G787" s="2">
        <v>9</v>
      </c>
      <c r="H787" s="2">
        <v>0</v>
      </c>
      <c r="I787" s="2">
        <v>0</v>
      </c>
      <c r="J787" s="2">
        <v>0</v>
      </c>
      <c r="K787" s="2">
        <v>0</v>
      </c>
      <c r="L787" s="2">
        <v>0</v>
      </c>
      <c r="M787" s="2">
        <v>0</v>
      </c>
      <c r="N787" s="2">
        <v>0</v>
      </c>
      <c r="O787" s="2">
        <v>0</v>
      </c>
      <c r="P787" s="2">
        <v>0</v>
      </c>
      <c r="Q787" s="2">
        <v>0</v>
      </c>
      <c r="R787" s="2">
        <v>0</v>
      </c>
      <c r="S787" s="2">
        <v>0</v>
      </c>
      <c r="T787" s="2">
        <v>0</v>
      </c>
      <c r="U787" s="2">
        <v>0</v>
      </c>
      <c r="V787" s="2">
        <v>0</v>
      </c>
      <c r="W787">
        <f t="shared" si="12"/>
        <v>0</v>
      </c>
    </row>
    <row r="788" spans="1:23" x14ac:dyDescent="0.25">
      <c r="A788" s="2" t="s">
        <v>628</v>
      </c>
      <c r="B788" s="2" t="s">
        <v>916</v>
      </c>
      <c r="C788" s="2">
        <v>540068</v>
      </c>
      <c r="D788" s="2" t="s">
        <v>698</v>
      </c>
      <c r="E788" s="2" t="s">
        <v>37</v>
      </c>
      <c r="F788" s="2" t="s">
        <v>115</v>
      </c>
      <c r="G788" s="2">
        <v>9</v>
      </c>
      <c r="H788" s="2">
        <v>0</v>
      </c>
      <c r="I788" s="2">
        <v>0</v>
      </c>
      <c r="J788" s="2">
        <v>0</v>
      </c>
      <c r="K788" s="2">
        <v>0</v>
      </c>
      <c r="L788" s="2">
        <v>0</v>
      </c>
      <c r="M788" s="2">
        <v>0</v>
      </c>
      <c r="N788" s="2">
        <v>0</v>
      </c>
      <c r="O788" s="2">
        <v>0</v>
      </c>
      <c r="P788" s="2">
        <v>0</v>
      </c>
      <c r="Q788" s="2">
        <v>0</v>
      </c>
      <c r="R788" s="2">
        <v>0</v>
      </c>
      <c r="S788" s="2">
        <v>0</v>
      </c>
      <c r="T788" s="2">
        <v>0</v>
      </c>
      <c r="U788" s="2">
        <v>0</v>
      </c>
      <c r="V788" s="2">
        <v>0</v>
      </c>
      <c r="W788">
        <f t="shared" si="12"/>
        <v>0</v>
      </c>
    </row>
    <row r="789" spans="1:23" x14ac:dyDescent="0.25">
      <c r="A789" s="2" t="s">
        <v>628</v>
      </c>
      <c r="B789" s="2" t="s">
        <v>916</v>
      </c>
      <c r="C789" s="2">
        <v>540069</v>
      </c>
      <c r="D789" s="2" t="s">
        <v>699</v>
      </c>
      <c r="E789" s="2" t="s">
        <v>37</v>
      </c>
      <c r="F789" s="2" t="s">
        <v>115</v>
      </c>
      <c r="G789" s="2">
        <v>9</v>
      </c>
      <c r="H789" s="2">
        <v>0</v>
      </c>
      <c r="I789" s="2">
        <v>0</v>
      </c>
      <c r="J789" s="2">
        <v>0</v>
      </c>
      <c r="K789" s="2">
        <v>0</v>
      </c>
      <c r="L789" s="2">
        <v>0</v>
      </c>
      <c r="M789" s="2">
        <v>0</v>
      </c>
      <c r="N789" s="2">
        <v>0</v>
      </c>
      <c r="O789" s="2">
        <v>0</v>
      </c>
      <c r="P789" s="2">
        <v>0</v>
      </c>
      <c r="Q789" s="2">
        <v>0</v>
      </c>
      <c r="R789" s="2">
        <v>0</v>
      </c>
      <c r="S789" s="2">
        <v>0</v>
      </c>
      <c r="T789" s="2">
        <v>0</v>
      </c>
      <c r="U789" s="2">
        <v>0</v>
      </c>
      <c r="V789" s="2">
        <v>0</v>
      </c>
      <c r="W789">
        <f t="shared" si="12"/>
        <v>0</v>
      </c>
    </row>
    <row r="790" spans="1:23" x14ac:dyDescent="0.25">
      <c r="A790" s="255" t="s">
        <v>628</v>
      </c>
      <c r="B790" s="255" t="s">
        <v>916</v>
      </c>
      <c r="C790" s="255"/>
      <c r="D790" s="255"/>
      <c r="E790" s="255" t="s">
        <v>37</v>
      </c>
      <c r="F790" s="255"/>
      <c r="G790" s="255"/>
      <c r="H790" s="255">
        <v>0</v>
      </c>
      <c r="I790" s="255">
        <v>0</v>
      </c>
      <c r="J790" s="255">
        <v>0</v>
      </c>
      <c r="K790" s="255">
        <v>0</v>
      </c>
      <c r="L790" s="255">
        <v>0</v>
      </c>
      <c r="M790" s="255">
        <v>0</v>
      </c>
      <c r="N790" s="255">
        <v>0</v>
      </c>
      <c r="O790" s="255">
        <v>0</v>
      </c>
      <c r="P790" s="255">
        <v>0</v>
      </c>
      <c r="Q790" s="255">
        <v>0</v>
      </c>
      <c r="R790" s="255">
        <v>0</v>
      </c>
      <c r="S790" s="255">
        <v>0</v>
      </c>
      <c r="T790" s="255">
        <v>0</v>
      </c>
      <c r="U790" s="255">
        <v>0</v>
      </c>
      <c r="V790" s="255">
        <v>0</v>
      </c>
      <c r="W790">
        <f t="shared" si="12"/>
        <v>0</v>
      </c>
    </row>
    <row r="791" spans="1:23" x14ac:dyDescent="0.25">
      <c r="A791" s="2" t="s">
        <v>628</v>
      </c>
      <c r="B791" s="2" t="s">
        <v>916</v>
      </c>
      <c r="C791" s="2">
        <v>540070</v>
      </c>
      <c r="D791" s="2" t="s">
        <v>700</v>
      </c>
      <c r="E791" s="2" t="s">
        <v>39</v>
      </c>
      <c r="F791" s="2" t="s">
        <v>5</v>
      </c>
      <c r="G791" s="2">
        <v>3</v>
      </c>
      <c r="H791" s="2">
        <v>0</v>
      </c>
      <c r="I791" s="2">
        <v>0</v>
      </c>
      <c r="J791" s="2">
        <v>1</v>
      </c>
      <c r="K791" s="2">
        <v>0</v>
      </c>
      <c r="L791" s="2">
        <v>0</v>
      </c>
      <c r="M791" s="2">
        <v>1</v>
      </c>
      <c r="N791" s="2">
        <v>1</v>
      </c>
      <c r="O791" s="2">
        <v>1</v>
      </c>
      <c r="P791" s="2">
        <v>0</v>
      </c>
      <c r="Q791" s="2">
        <v>0</v>
      </c>
      <c r="R791" s="2">
        <v>0</v>
      </c>
      <c r="S791" s="2" t="s">
        <v>488</v>
      </c>
      <c r="T791" s="2" t="s">
        <v>488</v>
      </c>
      <c r="U791" s="2">
        <v>1</v>
      </c>
      <c r="V791" s="2">
        <v>0</v>
      </c>
      <c r="W791">
        <f t="shared" si="12"/>
        <v>2</v>
      </c>
    </row>
    <row r="792" spans="1:23" x14ac:dyDescent="0.25">
      <c r="A792" s="2" t="s">
        <v>628</v>
      </c>
      <c r="B792" s="2" t="s">
        <v>916</v>
      </c>
      <c r="C792" s="2">
        <v>540029</v>
      </c>
      <c r="D792" s="2" t="s">
        <v>701</v>
      </c>
      <c r="E792" s="2" t="s">
        <v>39</v>
      </c>
      <c r="F792" s="2" t="s">
        <v>115</v>
      </c>
      <c r="G792" s="2">
        <v>3</v>
      </c>
      <c r="H792" s="2">
        <v>0</v>
      </c>
      <c r="I792" s="2">
        <v>0</v>
      </c>
      <c r="J792" s="2">
        <v>0</v>
      </c>
      <c r="K792" s="2">
        <v>0</v>
      </c>
      <c r="L792" s="2">
        <v>0</v>
      </c>
      <c r="M792" s="2">
        <v>0</v>
      </c>
      <c r="N792" s="2">
        <v>0</v>
      </c>
      <c r="O792" s="2">
        <v>0</v>
      </c>
      <c r="P792" s="2">
        <v>0</v>
      </c>
      <c r="Q792" s="2">
        <v>0</v>
      </c>
      <c r="R792" s="2">
        <v>0</v>
      </c>
      <c r="S792" s="2" t="s">
        <v>488</v>
      </c>
      <c r="T792" s="2" t="s">
        <v>488</v>
      </c>
      <c r="U792" s="2">
        <v>0</v>
      </c>
      <c r="V792" s="2">
        <v>0</v>
      </c>
      <c r="W792">
        <f t="shared" si="12"/>
        <v>0</v>
      </c>
    </row>
    <row r="793" spans="1:23" x14ac:dyDescent="0.25">
      <c r="A793" s="2" t="s">
        <v>628</v>
      </c>
      <c r="B793" s="2" t="s">
        <v>916</v>
      </c>
      <c r="C793" s="2">
        <v>540071</v>
      </c>
      <c r="D793" s="2" t="s">
        <v>702</v>
      </c>
      <c r="E793" s="2" t="s">
        <v>39</v>
      </c>
      <c r="F793" s="2" t="s">
        <v>115</v>
      </c>
      <c r="G793" s="2">
        <v>3</v>
      </c>
      <c r="H793" s="2">
        <v>0</v>
      </c>
      <c r="I793" s="2">
        <v>0</v>
      </c>
      <c r="J793" s="2">
        <v>0</v>
      </c>
      <c r="K793" s="2">
        <v>0</v>
      </c>
      <c r="L793" s="2">
        <v>0</v>
      </c>
      <c r="M793" s="2">
        <v>0</v>
      </c>
      <c r="N793" s="2">
        <v>0</v>
      </c>
      <c r="O793" s="2">
        <v>0</v>
      </c>
      <c r="P793" s="2">
        <v>0</v>
      </c>
      <c r="Q793" s="2">
        <v>0</v>
      </c>
      <c r="R793" s="2">
        <v>0</v>
      </c>
      <c r="S793" s="2" t="s">
        <v>488</v>
      </c>
      <c r="T793" s="2" t="s">
        <v>488</v>
      </c>
      <c r="U793" s="2">
        <v>1</v>
      </c>
      <c r="V793" s="2">
        <v>0</v>
      </c>
      <c r="W793">
        <f t="shared" si="12"/>
        <v>1</v>
      </c>
    </row>
    <row r="794" spans="1:23" x14ac:dyDescent="0.25">
      <c r="A794" s="2" t="s">
        <v>628</v>
      </c>
      <c r="B794" s="2" t="s">
        <v>916</v>
      </c>
      <c r="C794" s="2">
        <v>540072</v>
      </c>
      <c r="D794" s="2" t="s">
        <v>703</v>
      </c>
      <c r="E794" s="2" t="s">
        <v>39</v>
      </c>
      <c r="F794" s="2" t="s">
        <v>115</v>
      </c>
      <c r="G794" s="2">
        <v>3</v>
      </c>
      <c r="H794" s="2">
        <v>0</v>
      </c>
      <c r="I794" s="2">
        <v>0</v>
      </c>
      <c r="J794" s="2">
        <v>0</v>
      </c>
      <c r="K794" s="2">
        <v>0</v>
      </c>
      <c r="L794" s="2">
        <v>0</v>
      </c>
      <c r="M794" s="2">
        <v>0</v>
      </c>
      <c r="N794" s="2">
        <v>0</v>
      </c>
      <c r="O794" s="2">
        <v>0</v>
      </c>
      <c r="P794" s="2">
        <v>0</v>
      </c>
      <c r="Q794" s="2">
        <v>0</v>
      </c>
      <c r="R794" s="2">
        <v>0</v>
      </c>
      <c r="S794" s="2" t="s">
        <v>488</v>
      </c>
      <c r="T794" s="2" t="s">
        <v>488</v>
      </c>
      <c r="U794" s="2">
        <v>1</v>
      </c>
      <c r="V794" s="2">
        <v>0</v>
      </c>
      <c r="W794">
        <f t="shared" si="12"/>
        <v>1</v>
      </c>
    </row>
    <row r="795" spans="1:23" x14ac:dyDescent="0.25">
      <c r="A795" s="2" t="s">
        <v>628</v>
      </c>
      <c r="B795" s="2" t="s">
        <v>916</v>
      </c>
      <c r="C795" s="2">
        <v>540073</v>
      </c>
      <c r="D795" s="2" t="s">
        <v>704</v>
      </c>
      <c r="E795" s="2" t="s">
        <v>39</v>
      </c>
      <c r="F795" s="2" t="s">
        <v>115</v>
      </c>
      <c r="G795" s="2">
        <v>3</v>
      </c>
      <c r="H795" s="2">
        <v>0</v>
      </c>
      <c r="I795" s="2">
        <v>1</v>
      </c>
      <c r="J795" s="2">
        <v>0</v>
      </c>
      <c r="K795" s="2">
        <v>0</v>
      </c>
      <c r="L795" s="2">
        <v>0</v>
      </c>
      <c r="M795" s="2">
        <v>1</v>
      </c>
      <c r="N795" s="2">
        <v>1</v>
      </c>
      <c r="O795" s="2">
        <v>0</v>
      </c>
      <c r="P795" s="2">
        <v>0</v>
      </c>
      <c r="Q795" s="2">
        <v>0</v>
      </c>
      <c r="R795" s="2">
        <v>0</v>
      </c>
      <c r="S795" s="2" t="s">
        <v>488</v>
      </c>
      <c r="T795" s="2" t="s">
        <v>488</v>
      </c>
      <c r="U795" s="2">
        <v>2</v>
      </c>
      <c r="V795" s="2">
        <v>0</v>
      </c>
      <c r="W795">
        <f t="shared" si="12"/>
        <v>3</v>
      </c>
    </row>
    <row r="796" spans="1:23" x14ac:dyDescent="0.25">
      <c r="A796" s="2" t="s">
        <v>628</v>
      </c>
      <c r="B796" s="2" t="s">
        <v>916</v>
      </c>
      <c r="C796" s="2">
        <v>540074</v>
      </c>
      <c r="D796" s="2" t="s">
        <v>705</v>
      </c>
      <c r="E796" s="2" t="s">
        <v>39</v>
      </c>
      <c r="F796" s="2" t="s">
        <v>115</v>
      </c>
      <c r="G796" s="2">
        <v>3</v>
      </c>
      <c r="H796" s="2">
        <v>0</v>
      </c>
      <c r="I796" s="2">
        <v>1</v>
      </c>
      <c r="J796" s="2">
        <v>0</v>
      </c>
      <c r="K796" s="2">
        <v>0</v>
      </c>
      <c r="L796" s="2">
        <v>0</v>
      </c>
      <c r="M796" s="2">
        <v>1</v>
      </c>
      <c r="N796" s="2">
        <v>1</v>
      </c>
      <c r="O796" s="2">
        <v>0</v>
      </c>
      <c r="P796" s="2">
        <v>0</v>
      </c>
      <c r="Q796" s="2">
        <v>0</v>
      </c>
      <c r="R796" s="2">
        <v>0</v>
      </c>
      <c r="S796" s="2" t="s">
        <v>488</v>
      </c>
      <c r="T796" s="2" t="s">
        <v>488</v>
      </c>
      <c r="U796" s="2">
        <v>0</v>
      </c>
      <c r="V796" s="2">
        <v>0</v>
      </c>
      <c r="W796">
        <f t="shared" si="12"/>
        <v>1</v>
      </c>
    </row>
    <row r="797" spans="1:23" x14ac:dyDescent="0.25">
      <c r="A797" s="2" t="s">
        <v>628</v>
      </c>
      <c r="B797" s="2" t="s">
        <v>916</v>
      </c>
      <c r="C797" s="2">
        <v>540075</v>
      </c>
      <c r="D797" s="2" t="s">
        <v>706</v>
      </c>
      <c r="E797" s="2" t="s">
        <v>39</v>
      </c>
      <c r="F797" s="2" t="s">
        <v>115</v>
      </c>
      <c r="G797" s="2">
        <v>3</v>
      </c>
      <c r="H797" s="2">
        <v>0</v>
      </c>
      <c r="I797" s="2">
        <v>1</v>
      </c>
      <c r="J797" s="2">
        <v>0</v>
      </c>
      <c r="K797" s="2">
        <v>0</v>
      </c>
      <c r="L797" s="2">
        <v>0</v>
      </c>
      <c r="M797" s="2">
        <v>1</v>
      </c>
      <c r="N797" s="2">
        <v>1</v>
      </c>
      <c r="O797" s="2">
        <v>1</v>
      </c>
      <c r="P797" s="2">
        <v>0</v>
      </c>
      <c r="Q797" s="2">
        <v>0</v>
      </c>
      <c r="R797" s="2">
        <v>0</v>
      </c>
      <c r="S797" s="2" t="s">
        <v>488</v>
      </c>
      <c r="T797" s="2" t="s">
        <v>488</v>
      </c>
      <c r="U797" s="2">
        <v>0</v>
      </c>
      <c r="V797" s="2">
        <v>0</v>
      </c>
      <c r="W797">
        <f t="shared" si="12"/>
        <v>1</v>
      </c>
    </row>
    <row r="798" spans="1:23" x14ac:dyDescent="0.25">
      <c r="A798" s="2" t="s">
        <v>628</v>
      </c>
      <c r="B798" s="2" t="s">
        <v>916</v>
      </c>
      <c r="C798" s="2">
        <v>540076</v>
      </c>
      <c r="D798" s="2" t="s">
        <v>707</v>
      </c>
      <c r="E798" s="2" t="s">
        <v>39</v>
      </c>
      <c r="F798" s="2" t="s">
        <v>115</v>
      </c>
      <c r="G798" s="2">
        <v>3</v>
      </c>
      <c r="H798" s="2">
        <v>0</v>
      </c>
      <c r="I798" s="2">
        <v>0</v>
      </c>
      <c r="J798" s="2">
        <v>0</v>
      </c>
      <c r="K798" s="2">
        <v>0</v>
      </c>
      <c r="L798" s="2">
        <v>0</v>
      </c>
      <c r="M798" s="2">
        <v>0</v>
      </c>
      <c r="N798" s="2">
        <v>0</v>
      </c>
      <c r="O798" s="2">
        <v>0</v>
      </c>
      <c r="P798" s="2">
        <v>0</v>
      </c>
      <c r="Q798" s="2">
        <v>0</v>
      </c>
      <c r="R798" s="2">
        <v>0</v>
      </c>
      <c r="S798" s="2" t="s">
        <v>488</v>
      </c>
      <c r="T798" s="2" t="s">
        <v>488</v>
      </c>
      <c r="U798" s="2">
        <v>1</v>
      </c>
      <c r="V798" s="2">
        <v>0</v>
      </c>
      <c r="W798">
        <f t="shared" si="12"/>
        <v>1</v>
      </c>
    </row>
    <row r="799" spans="1:23" x14ac:dyDescent="0.25">
      <c r="A799" s="2" t="s">
        <v>628</v>
      </c>
      <c r="B799" s="2" t="s">
        <v>916</v>
      </c>
      <c r="C799" s="2">
        <v>540077</v>
      </c>
      <c r="D799" s="2" t="s">
        <v>708</v>
      </c>
      <c r="E799" s="2" t="s">
        <v>39</v>
      </c>
      <c r="F799" s="2" t="s">
        <v>115</v>
      </c>
      <c r="G799" s="2">
        <v>3</v>
      </c>
      <c r="H799" s="2">
        <v>0</v>
      </c>
      <c r="I799" s="2">
        <v>0</v>
      </c>
      <c r="J799" s="2">
        <v>0</v>
      </c>
      <c r="K799" s="2">
        <v>0</v>
      </c>
      <c r="L799" s="2">
        <v>0</v>
      </c>
      <c r="M799" s="2">
        <v>0</v>
      </c>
      <c r="N799" s="2">
        <v>0</v>
      </c>
      <c r="O799" s="2">
        <v>0</v>
      </c>
      <c r="P799" s="2">
        <v>0</v>
      </c>
      <c r="Q799" s="2">
        <v>0</v>
      </c>
      <c r="R799" s="2">
        <v>0</v>
      </c>
      <c r="S799" s="2" t="s">
        <v>488</v>
      </c>
      <c r="T799" s="2" t="s">
        <v>488</v>
      </c>
      <c r="U799" s="2">
        <v>0</v>
      </c>
      <c r="V799" s="2">
        <v>0</v>
      </c>
      <c r="W799">
        <f t="shared" si="12"/>
        <v>0</v>
      </c>
    </row>
    <row r="800" spans="1:23" x14ac:dyDescent="0.25">
      <c r="A800" s="2" t="s">
        <v>628</v>
      </c>
      <c r="B800" s="2" t="s">
        <v>916</v>
      </c>
      <c r="C800" s="2">
        <v>540078</v>
      </c>
      <c r="D800" s="2" t="s">
        <v>709</v>
      </c>
      <c r="E800" s="2" t="s">
        <v>39</v>
      </c>
      <c r="F800" s="2" t="s">
        <v>115</v>
      </c>
      <c r="G800" s="2">
        <v>3</v>
      </c>
      <c r="H800" s="2">
        <v>0</v>
      </c>
      <c r="I800" s="2">
        <v>0</v>
      </c>
      <c r="J800" s="2">
        <v>0</v>
      </c>
      <c r="K800" s="2">
        <v>0</v>
      </c>
      <c r="L800" s="2">
        <v>0</v>
      </c>
      <c r="M800" s="2">
        <v>0</v>
      </c>
      <c r="N800" s="2">
        <v>0</v>
      </c>
      <c r="O800" s="2">
        <v>0</v>
      </c>
      <c r="P800" s="2">
        <v>0</v>
      </c>
      <c r="Q800" s="2">
        <v>0</v>
      </c>
      <c r="R800" s="2">
        <v>0</v>
      </c>
      <c r="S800" s="2" t="s">
        <v>488</v>
      </c>
      <c r="T800" s="2" t="s">
        <v>488</v>
      </c>
      <c r="U800" s="2">
        <v>0</v>
      </c>
      <c r="V800" s="2">
        <v>0</v>
      </c>
      <c r="W800">
        <f t="shared" si="12"/>
        <v>0</v>
      </c>
    </row>
    <row r="801" spans="1:23" x14ac:dyDescent="0.25">
      <c r="A801" s="2" t="s">
        <v>628</v>
      </c>
      <c r="B801" s="2" t="s">
        <v>916</v>
      </c>
      <c r="C801" s="2">
        <v>540079</v>
      </c>
      <c r="D801" s="2" t="s">
        <v>710</v>
      </c>
      <c r="E801" s="2" t="s">
        <v>39</v>
      </c>
      <c r="F801" s="2" t="s">
        <v>115</v>
      </c>
      <c r="G801" s="2">
        <v>3</v>
      </c>
      <c r="H801" s="2">
        <v>0</v>
      </c>
      <c r="I801" s="2">
        <v>0</v>
      </c>
      <c r="J801" s="2">
        <v>0</v>
      </c>
      <c r="K801" s="2">
        <v>0</v>
      </c>
      <c r="L801" s="2">
        <v>0</v>
      </c>
      <c r="M801" s="2">
        <v>0</v>
      </c>
      <c r="N801" s="2">
        <v>0</v>
      </c>
      <c r="O801" s="2">
        <v>0</v>
      </c>
      <c r="P801" s="2">
        <v>0</v>
      </c>
      <c r="Q801" s="2">
        <v>0</v>
      </c>
      <c r="R801" s="2">
        <v>0</v>
      </c>
      <c r="S801" s="2" t="s">
        <v>488</v>
      </c>
      <c r="T801" s="2" t="s">
        <v>488</v>
      </c>
      <c r="U801" s="2">
        <v>0</v>
      </c>
      <c r="V801" s="2">
        <v>0</v>
      </c>
      <c r="W801">
        <f t="shared" si="12"/>
        <v>0</v>
      </c>
    </row>
    <row r="802" spans="1:23" x14ac:dyDescent="0.25">
      <c r="A802" s="2" t="s">
        <v>628</v>
      </c>
      <c r="B802" s="2" t="s">
        <v>916</v>
      </c>
      <c r="C802" s="2">
        <v>540081</v>
      </c>
      <c r="D802" s="2" t="s">
        <v>711</v>
      </c>
      <c r="E802" s="2" t="s">
        <v>39</v>
      </c>
      <c r="F802" s="2" t="s">
        <v>115</v>
      </c>
      <c r="G802" s="2">
        <v>3</v>
      </c>
      <c r="H802" s="2">
        <v>0</v>
      </c>
      <c r="I802" s="2">
        <v>0</v>
      </c>
      <c r="J802" s="2">
        <v>0</v>
      </c>
      <c r="K802" s="2">
        <v>0</v>
      </c>
      <c r="L802" s="2">
        <v>0</v>
      </c>
      <c r="M802" s="2">
        <v>0</v>
      </c>
      <c r="N802" s="2">
        <v>0</v>
      </c>
      <c r="O802" s="2">
        <v>0</v>
      </c>
      <c r="P802" s="2">
        <v>0</v>
      </c>
      <c r="Q802" s="2">
        <v>0</v>
      </c>
      <c r="R802" s="2">
        <v>0</v>
      </c>
      <c r="S802" s="2" t="s">
        <v>488</v>
      </c>
      <c r="T802" s="2" t="s">
        <v>488</v>
      </c>
      <c r="U802" s="2">
        <v>0</v>
      </c>
      <c r="V802" s="2">
        <v>0</v>
      </c>
      <c r="W802">
        <f t="shared" si="12"/>
        <v>0</v>
      </c>
    </row>
    <row r="803" spans="1:23" x14ac:dyDescent="0.25">
      <c r="A803" s="2" t="s">
        <v>628</v>
      </c>
      <c r="B803" s="2" t="s">
        <v>916</v>
      </c>
      <c r="C803" s="2">
        <v>540082</v>
      </c>
      <c r="D803" s="2" t="s">
        <v>712</v>
      </c>
      <c r="E803" s="2" t="s">
        <v>39</v>
      </c>
      <c r="F803" s="2" t="s">
        <v>115</v>
      </c>
      <c r="G803" s="2">
        <v>3</v>
      </c>
      <c r="H803" s="2">
        <v>0</v>
      </c>
      <c r="I803" s="2">
        <v>0</v>
      </c>
      <c r="J803" s="2">
        <v>0</v>
      </c>
      <c r="K803" s="2">
        <v>0</v>
      </c>
      <c r="L803" s="2">
        <v>0</v>
      </c>
      <c r="M803" s="2">
        <v>0</v>
      </c>
      <c r="N803" s="2">
        <v>0</v>
      </c>
      <c r="O803" s="2">
        <v>0</v>
      </c>
      <c r="P803" s="2">
        <v>0</v>
      </c>
      <c r="Q803" s="2">
        <v>0</v>
      </c>
      <c r="R803" s="2">
        <v>0</v>
      </c>
      <c r="S803" s="2" t="s">
        <v>488</v>
      </c>
      <c r="T803" s="2" t="s">
        <v>488</v>
      </c>
      <c r="U803" s="2">
        <v>0</v>
      </c>
      <c r="V803" s="2">
        <v>0</v>
      </c>
      <c r="W803">
        <f t="shared" si="12"/>
        <v>0</v>
      </c>
    </row>
    <row r="804" spans="1:23" x14ac:dyDescent="0.25">
      <c r="A804" s="2" t="s">
        <v>628</v>
      </c>
      <c r="B804" s="2" t="s">
        <v>916</v>
      </c>
      <c r="C804" s="2">
        <v>540083</v>
      </c>
      <c r="D804" s="2" t="s">
        <v>713</v>
      </c>
      <c r="E804" s="2" t="s">
        <v>39</v>
      </c>
      <c r="F804" s="2" t="s">
        <v>115</v>
      </c>
      <c r="G804" s="2">
        <v>3</v>
      </c>
      <c r="H804" s="2">
        <v>0</v>
      </c>
      <c r="I804" s="2">
        <v>0</v>
      </c>
      <c r="J804" s="2">
        <v>0</v>
      </c>
      <c r="K804" s="2">
        <v>0</v>
      </c>
      <c r="L804" s="2">
        <v>0</v>
      </c>
      <c r="M804" s="2">
        <v>0</v>
      </c>
      <c r="N804" s="2">
        <v>0</v>
      </c>
      <c r="O804" s="2">
        <v>0</v>
      </c>
      <c r="P804" s="2">
        <v>0</v>
      </c>
      <c r="Q804" s="2">
        <v>0</v>
      </c>
      <c r="R804" s="2">
        <v>0</v>
      </c>
      <c r="S804" s="2" t="s">
        <v>488</v>
      </c>
      <c r="T804" s="2" t="s">
        <v>488</v>
      </c>
      <c r="U804" s="2">
        <v>1</v>
      </c>
      <c r="V804" s="2">
        <v>0</v>
      </c>
      <c r="W804">
        <f t="shared" si="12"/>
        <v>1</v>
      </c>
    </row>
    <row r="805" spans="1:23" x14ac:dyDescent="0.25">
      <c r="A805" s="2" t="s">
        <v>628</v>
      </c>
      <c r="B805" s="2" t="s">
        <v>916</v>
      </c>
      <c r="C805" s="2">
        <v>540223</v>
      </c>
      <c r="D805" s="2" t="s">
        <v>714</v>
      </c>
      <c r="E805" s="2" t="s">
        <v>39</v>
      </c>
      <c r="F805" s="2" t="s">
        <v>115</v>
      </c>
      <c r="G805" s="2">
        <v>3</v>
      </c>
      <c r="H805" s="2">
        <v>0</v>
      </c>
      <c r="I805" s="2">
        <v>0</v>
      </c>
      <c r="J805" s="2">
        <v>0</v>
      </c>
      <c r="K805" s="2">
        <v>0</v>
      </c>
      <c r="L805" s="2">
        <v>0</v>
      </c>
      <c r="M805" s="2">
        <v>0</v>
      </c>
      <c r="N805" s="2">
        <v>0</v>
      </c>
      <c r="O805" s="2">
        <v>0</v>
      </c>
      <c r="P805" s="2">
        <v>0</v>
      </c>
      <c r="Q805" s="2">
        <v>0</v>
      </c>
      <c r="R805" s="2">
        <v>0</v>
      </c>
      <c r="S805" s="2" t="s">
        <v>488</v>
      </c>
      <c r="T805" s="2" t="s">
        <v>488</v>
      </c>
      <c r="U805" s="2">
        <v>2</v>
      </c>
      <c r="V805" s="2">
        <v>0</v>
      </c>
      <c r="W805">
        <f t="shared" si="12"/>
        <v>2</v>
      </c>
    </row>
    <row r="806" spans="1:23" x14ac:dyDescent="0.25">
      <c r="A806" s="2" t="s">
        <v>628</v>
      </c>
      <c r="B806" s="2" t="s">
        <v>916</v>
      </c>
      <c r="C806" s="2">
        <v>540279</v>
      </c>
      <c r="D806" s="2" t="s">
        <v>715</v>
      </c>
      <c r="E806" s="2" t="s">
        <v>39</v>
      </c>
      <c r="F806" s="2" t="s">
        <v>115</v>
      </c>
      <c r="G806" s="2">
        <v>3</v>
      </c>
      <c r="H806" s="2">
        <v>0</v>
      </c>
      <c r="I806" s="2">
        <v>0</v>
      </c>
      <c r="J806" s="2">
        <v>0</v>
      </c>
      <c r="K806" s="2">
        <v>0</v>
      </c>
      <c r="L806" s="2">
        <v>0</v>
      </c>
      <c r="M806" s="2">
        <v>0</v>
      </c>
      <c r="N806" s="2">
        <v>0</v>
      </c>
      <c r="O806" s="2">
        <v>0</v>
      </c>
      <c r="P806" s="2">
        <v>0</v>
      </c>
      <c r="Q806" s="2">
        <v>0</v>
      </c>
      <c r="R806" s="2">
        <v>0</v>
      </c>
      <c r="S806" s="2" t="s">
        <v>488</v>
      </c>
      <c r="T806" s="2" t="s">
        <v>488</v>
      </c>
      <c r="U806" s="2">
        <v>0</v>
      </c>
      <c r="V806" s="2">
        <v>0</v>
      </c>
      <c r="W806">
        <f t="shared" si="12"/>
        <v>0</v>
      </c>
    </row>
    <row r="807" spans="1:23" x14ac:dyDescent="0.25">
      <c r="A807" s="2" t="s">
        <v>628</v>
      </c>
      <c r="B807" s="2" t="s">
        <v>916</v>
      </c>
      <c r="C807" s="2">
        <v>540033</v>
      </c>
      <c r="D807" s="2" t="s">
        <v>716</v>
      </c>
      <c r="E807" s="2" t="s">
        <v>39</v>
      </c>
      <c r="F807" s="2" t="s">
        <v>115</v>
      </c>
      <c r="G807" s="2">
        <v>3</v>
      </c>
      <c r="H807" s="2">
        <v>0</v>
      </c>
      <c r="I807" s="2">
        <v>0</v>
      </c>
      <c r="J807" s="2">
        <v>0</v>
      </c>
      <c r="K807" s="2">
        <v>0</v>
      </c>
      <c r="L807" s="2">
        <v>0</v>
      </c>
      <c r="M807" s="2">
        <v>0</v>
      </c>
      <c r="N807" s="2">
        <v>0</v>
      </c>
      <c r="O807" s="2">
        <v>0</v>
      </c>
      <c r="P807" s="2">
        <v>0</v>
      </c>
      <c r="Q807" s="2">
        <v>0</v>
      </c>
      <c r="R807" s="2">
        <v>0</v>
      </c>
      <c r="S807" s="2" t="s">
        <v>488</v>
      </c>
      <c r="T807" s="2" t="s">
        <v>488</v>
      </c>
      <c r="U807" s="2">
        <v>0</v>
      </c>
      <c r="V807" s="2">
        <v>0</v>
      </c>
      <c r="W807">
        <f t="shared" si="12"/>
        <v>0</v>
      </c>
    </row>
    <row r="808" spans="1:23" x14ac:dyDescent="0.25">
      <c r="A808" s="255" t="s">
        <v>628</v>
      </c>
      <c r="B808" s="255" t="s">
        <v>916</v>
      </c>
      <c r="C808" s="255"/>
      <c r="D808" s="255"/>
      <c r="E808" s="255" t="s">
        <v>39</v>
      </c>
      <c r="F808" s="255"/>
      <c r="G808" s="255"/>
      <c r="H808" s="255">
        <v>0</v>
      </c>
      <c r="I808" s="255">
        <v>3</v>
      </c>
      <c r="J808" s="255">
        <v>1</v>
      </c>
      <c r="K808" s="255">
        <v>0</v>
      </c>
      <c r="L808" s="255">
        <v>0</v>
      </c>
      <c r="M808" s="255">
        <v>4</v>
      </c>
      <c r="N808" s="255">
        <v>4</v>
      </c>
      <c r="O808" s="255">
        <v>2</v>
      </c>
      <c r="P808" s="255">
        <v>0</v>
      </c>
      <c r="Q808" s="255">
        <v>0</v>
      </c>
      <c r="R808" s="255">
        <v>0</v>
      </c>
      <c r="S808" s="255" t="s">
        <v>488</v>
      </c>
      <c r="T808" s="255" t="s">
        <v>488</v>
      </c>
      <c r="U808" s="255">
        <v>9</v>
      </c>
      <c r="V808" s="255">
        <v>0</v>
      </c>
      <c r="W808">
        <f t="shared" si="12"/>
        <v>13</v>
      </c>
    </row>
    <row r="809" spans="1:23" x14ac:dyDescent="0.25">
      <c r="A809" s="2" t="s">
        <v>628</v>
      </c>
      <c r="B809" s="2" t="s">
        <v>916</v>
      </c>
      <c r="C809" s="2">
        <v>540085</v>
      </c>
      <c r="D809" s="2" t="s">
        <v>717</v>
      </c>
      <c r="E809" s="2" t="s">
        <v>41</v>
      </c>
      <c r="F809" s="2" t="s">
        <v>5</v>
      </c>
      <c r="G809" s="2">
        <v>7</v>
      </c>
      <c r="H809" s="2">
        <v>1</v>
      </c>
      <c r="I809" s="2">
        <v>0</v>
      </c>
      <c r="J809" s="2">
        <v>0</v>
      </c>
      <c r="K809" s="2">
        <v>0</v>
      </c>
      <c r="L809" s="2">
        <v>0</v>
      </c>
      <c r="M809" s="2">
        <v>0</v>
      </c>
      <c r="N809" s="2">
        <v>1</v>
      </c>
      <c r="O809" s="2">
        <v>0</v>
      </c>
      <c r="P809" s="2">
        <v>0</v>
      </c>
      <c r="Q809" s="2">
        <v>1</v>
      </c>
      <c r="R809" s="2">
        <v>0</v>
      </c>
      <c r="S809" s="2" t="s">
        <v>488</v>
      </c>
      <c r="T809" s="2" t="s">
        <v>488</v>
      </c>
      <c r="U809" s="2">
        <v>0</v>
      </c>
      <c r="V809" s="2">
        <v>0</v>
      </c>
      <c r="W809">
        <f t="shared" si="12"/>
        <v>1</v>
      </c>
    </row>
    <row r="810" spans="1:23" x14ac:dyDescent="0.25">
      <c r="A810" s="2" t="s">
        <v>628</v>
      </c>
      <c r="B810" s="2" t="s">
        <v>916</v>
      </c>
      <c r="C810" s="2">
        <v>540086</v>
      </c>
      <c r="D810" s="2" t="s">
        <v>718</v>
      </c>
      <c r="E810" s="2" t="s">
        <v>41</v>
      </c>
      <c r="F810" s="2" t="s">
        <v>115</v>
      </c>
      <c r="G810" s="2">
        <v>7</v>
      </c>
      <c r="H810" s="2">
        <v>0</v>
      </c>
      <c r="I810" s="2">
        <v>0</v>
      </c>
      <c r="J810" s="2">
        <v>0</v>
      </c>
      <c r="K810" s="2">
        <v>0</v>
      </c>
      <c r="L810" s="2">
        <v>0</v>
      </c>
      <c r="M810" s="2">
        <v>0</v>
      </c>
      <c r="N810" s="2">
        <v>0</v>
      </c>
      <c r="O810" s="2">
        <v>0</v>
      </c>
      <c r="P810" s="2">
        <v>0</v>
      </c>
      <c r="Q810" s="2">
        <v>0</v>
      </c>
      <c r="R810" s="2">
        <v>0</v>
      </c>
      <c r="S810" s="2" t="s">
        <v>488</v>
      </c>
      <c r="T810" s="2" t="s">
        <v>488</v>
      </c>
      <c r="U810" s="2">
        <v>0</v>
      </c>
      <c r="V810" s="2">
        <v>0</v>
      </c>
      <c r="W810">
        <f t="shared" si="12"/>
        <v>0</v>
      </c>
    </row>
    <row r="811" spans="1:23" x14ac:dyDescent="0.25">
      <c r="A811" s="2" t="s">
        <v>628</v>
      </c>
      <c r="B811" s="2" t="s">
        <v>916</v>
      </c>
      <c r="C811" s="2">
        <v>540087</v>
      </c>
      <c r="D811" s="2" t="s">
        <v>719</v>
      </c>
      <c r="E811" s="2" t="s">
        <v>41</v>
      </c>
      <c r="F811" s="2" t="s">
        <v>115</v>
      </c>
      <c r="G811" s="2">
        <v>7</v>
      </c>
      <c r="H811" s="2">
        <v>0</v>
      </c>
      <c r="I811" s="2">
        <v>0</v>
      </c>
      <c r="J811" s="2">
        <v>0</v>
      </c>
      <c r="K811" s="2">
        <v>0</v>
      </c>
      <c r="L811" s="2">
        <v>0</v>
      </c>
      <c r="M811" s="2">
        <v>0</v>
      </c>
      <c r="N811" s="2">
        <v>0</v>
      </c>
      <c r="O811" s="2">
        <v>0</v>
      </c>
      <c r="P811" s="2">
        <v>0</v>
      </c>
      <c r="Q811" s="2">
        <v>0</v>
      </c>
      <c r="R811" s="2">
        <v>0</v>
      </c>
      <c r="S811" s="2" t="s">
        <v>488</v>
      </c>
      <c r="T811" s="2" t="s">
        <v>488</v>
      </c>
      <c r="U811" s="2">
        <v>0</v>
      </c>
      <c r="V811" s="2">
        <v>0</v>
      </c>
      <c r="W811">
        <f t="shared" si="12"/>
        <v>0</v>
      </c>
    </row>
    <row r="812" spans="1:23" x14ac:dyDescent="0.25">
      <c r="A812" s="255" t="s">
        <v>628</v>
      </c>
      <c r="B812" s="255" t="s">
        <v>916</v>
      </c>
      <c r="C812" s="255"/>
      <c r="D812" s="255"/>
      <c r="E812" s="255" t="s">
        <v>41</v>
      </c>
      <c r="F812" s="255"/>
      <c r="G812" s="255"/>
      <c r="H812" s="255">
        <v>1</v>
      </c>
      <c r="I812" s="255">
        <v>0</v>
      </c>
      <c r="J812" s="255">
        <v>0</v>
      </c>
      <c r="K812" s="255">
        <v>0</v>
      </c>
      <c r="L812" s="255">
        <v>0</v>
      </c>
      <c r="M812" s="255">
        <v>0</v>
      </c>
      <c r="N812" s="255">
        <v>1</v>
      </c>
      <c r="O812" s="255">
        <v>0</v>
      </c>
      <c r="P812" s="255">
        <v>0</v>
      </c>
      <c r="Q812" s="255">
        <v>1</v>
      </c>
      <c r="R812" s="255">
        <v>0</v>
      </c>
      <c r="S812" s="255" t="s">
        <v>488</v>
      </c>
      <c r="T812" s="255" t="s">
        <v>488</v>
      </c>
      <c r="U812" s="255">
        <v>0</v>
      </c>
      <c r="V812" s="255">
        <v>0</v>
      </c>
      <c r="W812">
        <f t="shared" si="12"/>
        <v>1</v>
      </c>
    </row>
    <row r="813" spans="1:23" x14ac:dyDescent="0.25">
      <c r="A813" s="2" t="s">
        <v>628</v>
      </c>
      <c r="B813" s="2" t="s">
        <v>916</v>
      </c>
      <c r="C813" s="2">
        <v>540088</v>
      </c>
      <c r="D813" s="2" t="s">
        <v>720</v>
      </c>
      <c r="E813" s="2" t="s">
        <v>43</v>
      </c>
      <c r="F813" s="2" t="s">
        <v>5</v>
      </c>
      <c r="G813" s="2">
        <v>2</v>
      </c>
      <c r="H813" s="2">
        <v>0</v>
      </c>
      <c r="I813" s="2">
        <v>0</v>
      </c>
      <c r="J813" s="2">
        <v>0</v>
      </c>
      <c r="K813" s="2">
        <v>0</v>
      </c>
      <c r="L813" s="2">
        <v>0</v>
      </c>
      <c r="M813" s="2">
        <v>0</v>
      </c>
      <c r="N813" s="2">
        <v>0</v>
      </c>
      <c r="O813" s="2">
        <v>0</v>
      </c>
      <c r="P813" s="2">
        <v>0</v>
      </c>
      <c r="Q813" s="2" t="s">
        <v>488</v>
      </c>
      <c r="R813" s="2" t="s">
        <v>488</v>
      </c>
      <c r="S813" s="2" t="s">
        <v>488</v>
      </c>
      <c r="T813" s="2" t="s">
        <v>488</v>
      </c>
      <c r="U813" s="2">
        <v>0</v>
      </c>
      <c r="V813" s="2">
        <v>0</v>
      </c>
      <c r="W813">
        <f t="shared" si="12"/>
        <v>0</v>
      </c>
    </row>
    <row r="814" spans="1:23" x14ac:dyDescent="0.25">
      <c r="A814" s="2" t="s">
        <v>628</v>
      </c>
      <c r="B814" s="2" t="s">
        <v>916</v>
      </c>
      <c r="C814" s="2">
        <v>540089</v>
      </c>
      <c r="D814" s="2" t="s">
        <v>721</v>
      </c>
      <c r="E814" s="2" t="s">
        <v>43</v>
      </c>
      <c r="F814" s="2" t="s">
        <v>115</v>
      </c>
      <c r="G814" s="2">
        <v>2</v>
      </c>
      <c r="H814" s="2">
        <v>0</v>
      </c>
      <c r="I814" s="2">
        <v>0</v>
      </c>
      <c r="J814" s="2">
        <v>0</v>
      </c>
      <c r="K814" s="2">
        <v>0</v>
      </c>
      <c r="L814" s="2">
        <v>0</v>
      </c>
      <c r="M814" s="2">
        <v>0</v>
      </c>
      <c r="N814" s="2">
        <v>0</v>
      </c>
      <c r="O814" s="2">
        <v>0</v>
      </c>
      <c r="P814" s="2">
        <v>0</v>
      </c>
      <c r="Q814" s="2" t="s">
        <v>488</v>
      </c>
      <c r="R814" s="2" t="s">
        <v>488</v>
      </c>
      <c r="S814" s="2" t="s">
        <v>488</v>
      </c>
      <c r="T814" s="2" t="s">
        <v>488</v>
      </c>
      <c r="U814" s="2">
        <v>0</v>
      </c>
      <c r="V814" s="2">
        <v>0</v>
      </c>
      <c r="W814">
        <f t="shared" si="12"/>
        <v>0</v>
      </c>
    </row>
    <row r="815" spans="1:23" x14ac:dyDescent="0.25">
      <c r="A815" s="223" t="s">
        <v>628</v>
      </c>
      <c r="B815" s="223" t="s">
        <v>916</v>
      </c>
      <c r="C815" s="223">
        <v>540090</v>
      </c>
      <c r="D815" s="223" t="s">
        <v>722</v>
      </c>
      <c r="E815" s="223" t="s">
        <v>43</v>
      </c>
      <c r="F815" s="223" t="s">
        <v>115</v>
      </c>
      <c r="G815" s="223">
        <v>2</v>
      </c>
      <c r="H815" s="223">
        <v>0</v>
      </c>
      <c r="I815" s="223">
        <v>0</v>
      </c>
      <c r="J815" s="223">
        <v>0</v>
      </c>
      <c r="K815" s="223">
        <v>0</v>
      </c>
      <c r="L815" s="223">
        <v>0</v>
      </c>
      <c r="M815" s="223">
        <v>0</v>
      </c>
      <c r="N815" s="223">
        <v>0</v>
      </c>
      <c r="O815" s="223">
        <v>0</v>
      </c>
      <c r="P815" s="223">
        <v>0</v>
      </c>
      <c r="Q815" s="223" t="s">
        <v>488</v>
      </c>
      <c r="R815" s="223" t="s">
        <v>488</v>
      </c>
      <c r="S815" s="223" t="s">
        <v>488</v>
      </c>
      <c r="T815" s="223" t="s">
        <v>488</v>
      </c>
      <c r="U815" s="223">
        <v>0</v>
      </c>
      <c r="V815" s="223">
        <v>0</v>
      </c>
      <c r="W815">
        <f t="shared" si="12"/>
        <v>0</v>
      </c>
    </row>
    <row r="816" spans="1:23" x14ac:dyDescent="0.25">
      <c r="A816" s="255" t="s">
        <v>628</v>
      </c>
      <c r="B816" s="255" t="s">
        <v>916</v>
      </c>
      <c r="C816" s="255"/>
      <c r="D816" s="255"/>
      <c r="E816" s="255" t="s">
        <v>43</v>
      </c>
      <c r="F816" s="255"/>
      <c r="G816" s="255"/>
      <c r="H816" s="255">
        <v>0</v>
      </c>
      <c r="I816" s="255">
        <v>0</v>
      </c>
      <c r="J816" s="255">
        <v>0</v>
      </c>
      <c r="K816" s="255">
        <v>0</v>
      </c>
      <c r="L816" s="255">
        <v>0</v>
      </c>
      <c r="M816" s="255">
        <v>0</v>
      </c>
      <c r="N816" s="255">
        <v>0</v>
      </c>
      <c r="O816" s="255">
        <v>0</v>
      </c>
      <c r="P816" s="255">
        <v>0</v>
      </c>
      <c r="Q816" s="255" t="s">
        <v>488</v>
      </c>
      <c r="R816" s="255" t="s">
        <v>488</v>
      </c>
      <c r="S816" s="255" t="s">
        <v>488</v>
      </c>
      <c r="T816" s="255" t="s">
        <v>488</v>
      </c>
      <c r="U816" s="255">
        <v>0</v>
      </c>
      <c r="V816" s="255">
        <v>0</v>
      </c>
      <c r="W816">
        <f t="shared" si="12"/>
        <v>0</v>
      </c>
    </row>
    <row r="817" spans="1:23" x14ac:dyDescent="0.25">
      <c r="A817" s="257" t="s">
        <v>628</v>
      </c>
      <c r="B817" s="257" t="s">
        <v>916</v>
      </c>
      <c r="C817" s="257">
        <v>540097</v>
      </c>
      <c r="D817" s="257" t="s">
        <v>723</v>
      </c>
      <c r="E817" s="257" t="s">
        <v>45</v>
      </c>
      <c r="F817" s="257" t="s">
        <v>5</v>
      </c>
      <c r="G817" s="257">
        <v>6</v>
      </c>
      <c r="H817" s="257">
        <v>0</v>
      </c>
      <c r="I817" s="257">
        <v>0</v>
      </c>
      <c r="J817" s="257">
        <v>0</v>
      </c>
      <c r="K817" s="257">
        <v>0</v>
      </c>
      <c r="L817" s="257">
        <v>0</v>
      </c>
      <c r="M817" s="257">
        <v>0</v>
      </c>
      <c r="N817" s="257">
        <v>0</v>
      </c>
      <c r="O817" s="257">
        <v>0</v>
      </c>
      <c r="P817" s="257">
        <v>0</v>
      </c>
      <c r="Q817" s="257">
        <v>0</v>
      </c>
      <c r="R817" s="257">
        <v>0</v>
      </c>
      <c r="S817" s="257" t="s">
        <v>488</v>
      </c>
      <c r="T817" s="257" t="s">
        <v>488</v>
      </c>
      <c r="U817" s="257">
        <v>0</v>
      </c>
      <c r="V817" s="257">
        <v>0</v>
      </c>
      <c r="W817">
        <f t="shared" si="12"/>
        <v>0</v>
      </c>
    </row>
    <row r="818" spans="1:23" x14ac:dyDescent="0.25">
      <c r="A818" s="2" t="s">
        <v>628</v>
      </c>
      <c r="B818" s="2" t="s">
        <v>916</v>
      </c>
      <c r="C818" s="2">
        <v>540098</v>
      </c>
      <c r="D818" s="2" t="s">
        <v>724</v>
      </c>
      <c r="E818" s="2" t="s">
        <v>45</v>
      </c>
      <c r="F818" s="2" t="s">
        <v>115</v>
      </c>
      <c r="G818" s="2">
        <v>6</v>
      </c>
      <c r="H818" s="2">
        <v>0</v>
      </c>
      <c r="I818" s="2">
        <v>0</v>
      </c>
      <c r="J818" s="2">
        <v>0</v>
      </c>
      <c r="K818" s="2">
        <v>0</v>
      </c>
      <c r="L818" s="2">
        <v>0</v>
      </c>
      <c r="M818" s="2">
        <v>0</v>
      </c>
      <c r="N818" s="2">
        <v>0</v>
      </c>
      <c r="O818" s="2">
        <v>0</v>
      </c>
      <c r="P818" s="2">
        <v>0</v>
      </c>
      <c r="Q818" s="2">
        <v>0</v>
      </c>
      <c r="R818" s="2">
        <v>0</v>
      </c>
      <c r="S818" s="2" t="s">
        <v>488</v>
      </c>
      <c r="T818" s="2" t="s">
        <v>488</v>
      </c>
      <c r="U818" s="2">
        <v>0</v>
      </c>
      <c r="V818" s="2">
        <v>0</v>
      </c>
      <c r="W818">
        <f t="shared" si="12"/>
        <v>0</v>
      </c>
    </row>
    <row r="819" spans="1:23" x14ac:dyDescent="0.25">
      <c r="A819" s="2" t="s">
        <v>628</v>
      </c>
      <c r="B819" s="2" t="s">
        <v>916</v>
      </c>
      <c r="C819" s="2">
        <v>540099</v>
      </c>
      <c r="D819" s="2" t="s">
        <v>725</v>
      </c>
      <c r="E819" s="2" t="s">
        <v>45</v>
      </c>
      <c r="F819" s="2" t="s">
        <v>115</v>
      </c>
      <c r="G819" s="2">
        <v>6</v>
      </c>
      <c r="H819" s="2">
        <v>0</v>
      </c>
      <c r="I819" s="2">
        <v>0</v>
      </c>
      <c r="J819" s="2">
        <v>0</v>
      </c>
      <c r="K819" s="2">
        <v>0</v>
      </c>
      <c r="L819" s="2">
        <v>0</v>
      </c>
      <c r="M819" s="2">
        <v>0</v>
      </c>
      <c r="N819" s="2">
        <v>0</v>
      </c>
      <c r="O819" s="2">
        <v>0</v>
      </c>
      <c r="P819" s="2">
        <v>0</v>
      </c>
      <c r="Q819" s="2">
        <v>0</v>
      </c>
      <c r="R819" s="2">
        <v>0</v>
      </c>
      <c r="S819" s="2" t="s">
        <v>488</v>
      </c>
      <c r="T819" s="2" t="s">
        <v>488</v>
      </c>
      <c r="U819" s="2">
        <v>0</v>
      </c>
      <c r="V819" s="2">
        <v>0</v>
      </c>
      <c r="W819">
        <f t="shared" si="12"/>
        <v>0</v>
      </c>
    </row>
    <row r="820" spans="1:23" x14ac:dyDescent="0.25">
      <c r="A820" s="2" t="s">
        <v>628</v>
      </c>
      <c r="B820" s="2" t="s">
        <v>916</v>
      </c>
      <c r="C820" s="2">
        <v>540100</v>
      </c>
      <c r="D820" s="2" t="s">
        <v>726</v>
      </c>
      <c r="E820" s="2" t="s">
        <v>45</v>
      </c>
      <c r="F820" s="2" t="s">
        <v>115</v>
      </c>
      <c r="G820" s="2">
        <v>6</v>
      </c>
      <c r="H820" s="2">
        <v>0</v>
      </c>
      <c r="I820" s="2">
        <v>0</v>
      </c>
      <c r="J820" s="2">
        <v>0</v>
      </c>
      <c r="K820" s="2">
        <v>0</v>
      </c>
      <c r="L820" s="2">
        <v>0</v>
      </c>
      <c r="M820" s="2">
        <v>0</v>
      </c>
      <c r="N820" s="2">
        <v>0</v>
      </c>
      <c r="O820" s="2">
        <v>0</v>
      </c>
      <c r="P820" s="2">
        <v>0</v>
      </c>
      <c r="Q820" s="2">
        <v>0</v>
      </c>
      <c r="R820" s="2">
        <v>0</v>
      </c>
      <c r="S820" s="2" t="s">
        <v>488</v>
      </c>
      <c r="T820" s="2" t="s">
        <v>488</v>
      </c>
      <c r="U820" s="2">
        <v>0</v>
      </c>
      <c r="V820" s="2">
        <v>0</v>
      </c>
      <c r="W820">
        <f t="shared" si="12"/>
        <v>0</v>
      </c>
    </row>
    <row r="821" spans="1:23" x14ac:dyDescent="0.25">
      <c r="A821" s="2" t="s">
        <v>628</v>
      </c>
      <c r="B821" s="2" t="s">
        <v>916</v>
      </c>
      <c r="C821" s="2">
        <v>540101</v>
      </c>
      <c r="D821" s="2" t="s">
        <v>727</v>
      </c>
      <c r="E821" s="2" t="s">
        <v>45</v>
      </c>
      <c r="F821" s="2" t="s">
        <v>115</v>
      </c>
      <c r="G821" s="2">
        <v>6</v>
      </c>
      <c r="H821" s="2">
        <v>0</v>
      </c>
      <c r="I821" s="2">
        <v>0</v>
      </c>
      <c r="J821" s="2">
        <v>0</v>
      </c>
      <c r="K821" s="2">
        <v>0</v>
      </c>
      <c r="L821" s="2">
        <v>0</v>
      </c>
      <c r="M821" s="2">
        <v>0</v>
      </c>
      <c r="N821" s="2">
        <v>0</v>
      </c>
      <c r="O821" s="2">
        <v>0</v>
      </c>
      <c r="P821" s="2">
        <v>0</v>
      </c>
      <c r="Q821" s="2">
        <v>0</v>
      </c>
      <c r="R821" s="2">
        <v>0</v>
      </c>
      <c r="S821" s="2" t="s">
        <v>488</v>
      </c>
      <c r="T821" s="2" t="s">
        <v>488</v>
      </c>
      <c r="U821" s="2">
        <v>0</v>
      </c>
      <c r="V821" s="2">
        <v>0</v>
      </c>
      <c r="W821">
        <f t="shared" si="12"/>
        <v>0</v>
      </c>
    </row>
    <row r="822" spans="1:23" x14ac:dyDescent="0.25">
      <c r="A822" s="2" t="s">
        <v>628</v>
      </c>
      <c r="B822" s="2" t="s">
        <v>916</v>
      </c>
      <c r="C822" s="2">
        <v>540102</v>
      </c>
      <c r="D822" s="2" t="s">
        <v>728</v>
      </c>
      <c r="E822" s="2" t="s">
        <v>45</v>
      </c>
      <c r="F822" s="2" t="s">
        <v>115</v>
      </c>
      <c r="G822" s="2">
        <v>6</v>
      </c>
      <c r="H822" s="2">
        <v>0</v>
      </c>
      <c r="I822" s="2">
        <v>0</v>
      </c>
      <c r="J822" s="2">
        <v>0</v>
      </c>
      <c r="K822" s="2">
        <v>0</v>
      </c>
      <c r="L822" s="2">
        <v>0</v>
      </c>
      <c r="M822" s="2">
        <v>0</v>
      </c>
      <c r="N822" s="2">
        <v>0</v>
      </c>
      <c r="O822" s="2">
        <v>0</v>
      </c>
      <c r="P822" s="2">
        <v>0</v>
      </c>
      <c r="Q822" s="2">
        <v>0</v>
      </c>
      <c r="R822" s="2">
        <v>0</v>
      </c>
      <c r="S822" s="2" t="s">
        <v>488</v>
      </c>
      <c r="T822" s="2" t="s">
        <v>488</v>
      </c>
      <c r="U822" s="2">
        <v>0</v>
      </c>
      <c r="V822" s="2">
        <v>0</v>
      </c>
      <c r="W822">
        <f t="shared" si="12"/>
        <v>0</v>
      </c>
    </row>
    <row r="823" spans="1:23" x14ac:dyDescent="0.25">
      <c r="A823" s="2" t="s">
        <v>628</v>
      </c>
      <c r="B823" s="2" t="s">
        <v>916</v>
      </c>
      <c r="C823" s="2">
        <v>540103</v>
      </c>
      <c r="D823" s="2" t="s">
        <v>729</v>
      </c>
      <c r="E823" s="2" t="s">
        <v>45</v>
      </c>
      <c r="F823" s="2" t="s">
        <v>115</v>
      </c>
      <c r="G823" s="2">
        <v>6</v>
      </c>
      <c r="H823" s="2">
        <v>0</v>
      </c>
      <c r="I823" s="2">
        <v>0</v>
      </c>
      <c r="J823" s="2">
        <v>0</v>
      </c>
      <c r="K823" s="2">
        <v>0</v>
      </c>
      <c r="L823" s="2">
        <v>0</v>
      </c>
      <c r="M823" s="2">
        <v>0</v>
      </c>
      <c r="N823" s="2">
        <v>0</v>
      </c>
      <c r="O823" s="2">
        <v>0</v>
      </c>
      <c r="P823" s="2">
        <v>0</v>
      </c>
      <c r="Q823" s="2">
        <v>0</v>
      </c>
      <c r="R823" s="2">
        <v>0</v>
      </c>
      <c r="S823" s="2" t="s">
        <v>488</v>
      </c>
      <c r="T823" s="2" t="s">
        <v>488</v>
      </c>
      <c r="U823" s="2">
        <v>1</v>
      </c>
      <c r="V823" s="2">
        <v>0</v>
      </c>
      <c r="W823">
        <f t="shared" si="12"/>
        <v>1</v>
      </c>
    </row>
    <row r="824" spans="1:23" x14ac:dyDescent="0.25">
      <c r="A824" s="2" t="s">
        <v>628</v>
      </c>
      <c r="B824" s="2" t="s">
        <v>916</v>
      </c>
      <c r="C824" s="2">
        <v>540104</v>
      </c>
      <c r="D824" s="2" t="s">
        <v>730</v>
      </c>
      <c r="E824" s="2" t="s">
        <v>45</v>
      </c>
      <c r="F824" s="2" t="s">
        <v>115</v>
      </c>
      <c r="G824" s="2">
        <v>6</v>
      </c>
      <c r="H824" s="2">
        <v>0</v>
      </c>
      <c r="I824" s="2">
        <v>0</v>
      </c>
      <c r="J824" s="2">
        <v>0</v>
      </c>
      <c r="K824" s="2">
        <v>0</v>
      </c>
      <c r="L824" s="2">
        <v>0</v>
      </c>
      <c r="M824" s="2">
        <v>0</v>
      </c>
      <c r="N824" s="2">
        <v>0</v>
      </c>
      <c r="O824" s="2">
        <v>0</v>
      </c>
      <c r="P824" s="2">
        <v>0</v>
      </c>
      <c r="Q824" s="2">
        <v>0</v>
      </c>
      <c r="R824" s="2">
        <v>0</v>
      </c>
      <c r="S824" s="2" t="s">
        <v>488</v>
      </c>
      <c r="T824" s="2" t="s">
        <v>488</v>
      </c>
      <c r="U824" s="2">
        <v>0</v>
      </c>
      <c r="V824" s="2">
        <v>0</v>
      </c>
      <c r="W824">
        <f t="shared" si="12"/>
        <v>0</v>
      </c>
    </row>
    <row r="825" spans="1:23" x14ac:dyDescent="0.25">
      <c r="A825" s="2" t="s">
        <v>628</v>
      </c>
      <c r="B825" s="2" t="s">
        <v>916</v>
      </c>
      <c r="C825" s="2">
        <v>540105</v>
      </c>
      <c r="D825" s="2" t="s">
        <v>731</v>
      </c>
      <c r="E825" s="2" t="s">
        <v>45</v>
      </c>
      <c r="F825" s="2" t="s">
        <v>115</v>
      </c>
      <c r="G825" s="2">
        <v>6</v>
      </c>
      <c r="H825" s="2">
        <v>0</v>
      </c>
      <c r="I825" s="2">
        <v>1</v>
      </c>
      <c r="J825" s="2">
        <v>0</v>
      </c>
      <c r="K825" s="2">
        <v>0</v>
      </c>
      <c r="L825" s="2">
        <v>0</v>
      </c>
      <c r="M825" s="2">
        <v>1</v>
      </c>
      <c r="N825" s="2">
        <v>1</v>
      </c>
      <c r="O825" s="2">
        <v>0</v>
      </c>
      <c r="P825" s="2">
        <v>0</v>
      </c>
      <c r="Q825" s="2">
        <v>0</v>
      </c>
      <c r="R825" s="2">
        <v>0</v>
      </c>
      <c r="S825" s="2" t="s">
        <v>488</v>
      </c>
      <c r="T825" s="2" t="s">
        <v>488</v>
      </c>
      <c r="U825" s="2">
        <v>0</v>
      </c>
      <c r="V825" s="2">
        <v>0</v>
      </c>
      <c r="W825">
        <f t="shared" si="12"/>
        <v>1</v>
      </c>
    </row>
    <row r="826" spans="1:23" x14ac:dyDescent="0.25">
      <c r="A826" s="2" t="s">
        <v>628</v>
      </c>
      <c r="B826" s="2" t="s">
        <v>916</v>
      </c>
      <c r="C826" s="2">
        <v>540106</v>
      </c>
      <c r="D826" s="2" t="s">
        <v>732</v>
      </c>
      <c r="E826" s="2" t="s">
        <v>45</v>
      </c>
      <c r="F826" s="2" t="s">
        <v>115</v>
      </c>
      <c r="G826" s="2">
        <v>6</v>
      </c>
      <c r="H826" s="2">
        <v>0</v>
      </c>
      <c r="I826" s="2">
        <v>0</v>
      </c>
      <c r="J826" s="2">
        <v>0</v>
      </c>
      <c r="K826" s="2">
        <v>0</v>
      </c>
      <c r="L826" s="2">
        <v>0</v>
      </c>
      <c r="M826" s="2">
        <v>0</v>
      </c>
      <c r="N826" s="2">
        <v>0</v>
      </c>
      <c r="O826" s="2">
        <v>0</v>
      </c>
      <c r="P826" s="2">
        <v>0</v>
      </c>
      <c r="Q826" s="2">
        <v>0</v>
      </c>
      <c r="R826" s="2">
        <v>0</v>
      </c>
      <c r="S826" s="2" t="s">
        <v>488</v>
      </c>
      <c r="T826" s="2" t="s">
        <v>488</v>
      </c>
      <c r="U826" s="2">
        <v>0</v>
      </c>
      <c r="V826" s="2">
        <v>0</v>
      </c>
      <c r="W826">
        <f t="shared" si="12"/>
        <v>0</v>
      </c>
    </row>
    <row r="827" spans="1:23" x14ac:dyDescent="0.25">
      <c r="A827" s="2" t="s">
        <v>628</v>
      </c>
      <c r="B827" s="2" t="s">
        <v>916</v>
      </c>
      <c r="C827" s="2">
        <v>540292</v>
      </c>
      <c r="D827" s="2" t="s">
        <v>733</v>
      </c>
      <c r="E827" s="2" t="s">
        <v>45</v>
      </c>
      <c r="F827" s="2" t="s">
        <v>115</v>
      </c>
      <c r="G827" s="2">
        <v>6</v>
      </c>
      <c r="H827" s="2">
        <v>0</v>
      </c>
      <c r="I827" s="2">
        <v>0</v>
      </c>
      <c r="J827" s="2">
        <v>0</v>
      </c>
      <c r="K827" s="2">
        <v>0</v>
      </c>
      <c r="L827" s="2">
        <v>0</v>
      </c>
      <c r="M827" s="2">
        <v>0</v>
      </c>
      <c r="N827" s="2">
        <v>0</v>
      </c>
      <c r="O827" s="2">
        <v>0</v>
      </c>
      <c r="P827" s="2">
        <v>0</v>
      </c>
      <c r="Q827" s="2">
        <v>0</v>
      </c>
      <c r="R827" s="2">
        <v>0</v>
      </c>
      <c r="S827" s="2" t="s">
        <v>488</v>
      </c>
      <c r="T827" s="2" t="s">
        <v>488</v>
      </c>
      <c r="U827" s="2">
        <v>0</v>
      </c>
      <c r="V827" s="2">
        <v>0</v>
      </c>
      <c r="W827">
        <f t="shared" si="12"/>
        <v>0</v>
      </c>
    </row>
    <row r="828" spans="1:23" x14ac:dyDescent="0.25">
      <c r="A828" s="2" t="s">
        <v>628</v>
      </c>
      <c r="B828" s="2" t="s">
        <v>916</v>
      </c>
      <c r="C828" s="2">
        <v>545556</v>
      </c>
      <c r="D828" s="2" t="s">
        <v>734</v>
      </c>
      <c r="E828" s="2" t="s">
        <v>45</v>
      </c>
      <c r="F828" s="2" t="s">
        <v>115</v>
      </c>
      <c r="G828" s="2">
        <v>6</v>
      </c>
      <c r="H828" s="2">
        <v>0</v>
      </c>
      <c r="I828" s="2">
        <v>0</v>
      </c>
      <c r="J828" s="2">
        <v>0</v>
      </c>
      <c r="K828" s="2">
        <v>0</v>
      </c>
      <c r="L828" s="2">
        <v>0</v>
      </c>
      <c r="M828" s="2">
        <v>0</v>
      </c>
      <c r="N828" s="2">
        <v>0</v>
      </c>
      <c r="O828" s="2">
        <v>0</v>
      </c>
      <c r="P828" s="2">
        <v>0</v>
      </c>
      <c r="Q828" s="2">
        <v>0</v>
      </c>
      <c r="R828" s="2">
        <v>0</v>
      </c>
      <c r="S828" s="2" t="s">
        <v>488</v>
      </c>
      <c r="T828" s="2" t="s">
        <v>488</v>
      </c>
      <c r="U828" s="2">
        <v>0</v>
      </c>
      <c r="V828" s="2">
        <v>0</v>
      </c>
      <c r="W828">
        <f t="shared" si="12"/>
        <v>0</v>
      </c>
    </row>
    <row r="829" spans="1:23" x14ac:dyDescent="0.25">
      <c r="A829" s="255" t="s">
        <v>628</v>
      </c>
      <c r="B829" s="255" t="s">
        <v>916</v>
      </c>
      <c r="C829" s="255"/>
      <c r="D829" s="255"/>
      <c r="E829" s="255" t="s">
        <v>45</v>
      </c>
      <c r="F829" s="255"/>
      <c r="G829" s="255"/>
      <c r="H829" s="255">
        <v>0</v>
      </c>
      <c r="I829" s="255">
        <v>1</v>
      </c>
      <c r="J829" s="255">
        <v>0</v>
      </c>
      <c r="K829" s="255">
        <v>0</v>
      </c>
      <c r="L829" s="255">
        <v>0</v>
      </c>
      <c r="M829" s="255">
        <v>1</v>
      </c>
      <c r="N829" s="255">
        <v>1</v>
      </c>
      <c r="O829" s="255">
        <v>0</v>
      </c>
      <c r="P829" s="255">
        <v>0</v>
      </c>
      <c r="Q829" s="255">
        <v>0</v>
      </c>
      <c r="R829" s="255">
        <v>0</v>
      </c>
      <c r="S829" s="255" t="s">
        <v>488</v>
      </c>
      <c r="T829" s="255" t="s">
        <v>488</v>
      </c>
      <c r="U829" s="255">
        <v>1</v>
      </c>
      <c r="V829" s="255">
        <v>0</v>
      </c>
      <c r="W829">
        <f t="shared" si="12"/>
        <v>2</v>
      </c>
    </row>
    <row r="830" spans="1:23" x14ac:dyDescent="0.25">
      <c r="A830" s="2" t="s">
        <v>628</v>
      </c>
      <c r="B830" s="2" t="s">
        <v>916</v>
      </c>
      <c r="C830" s="2">
        <v>540107</v>
      </c>
      <c r="D830" s="2" t="s">
        <v>735</v>
      </c>
      <c r="E830" s="2" t="s">
        <v>47</v>
      </c>
      <c r="F830" s="2" t="s">
        <v>5</v>
      </c>
      <c r="G830" s="2">
        <v>10</v>
      </c>
      <c r="H830" s="2">
        <v>0</v>
      </c>
      <c r="I830" s="2">
        <v>0</v>
      </c>
      <c r="J830" s="2">
        <v>0</v>
      </c>
      <c r="K830" s="2">
        <v>0</v>
      </c>
      <c r="L830" s="2">
        <v>0</v>
      </c>
      <c r="M830" s="2">
        <v>0</v>
      </c>
      <c r="N830" s="2">
        <v>0</v>
      </c>
      <c r="O830" s="2">
        <v>0</v>
      </c>
      <c r="P830" s="2">
        <v>0</v>
      </c>
      <c r="Q830" s="2" t="s">
        <v>488</v>
      </c>
      <c r="R830" s="2" t="s">
        <v>488</v>
      </c>
      <c r="S830" s="2" t="s">
        <v>488</v>
      </c>
      <c r="T830" s="2" t="s">
        <v>488</v>
      </c>
      <c r="U830" s="2">
        <v>0</v>
      </c>
      <c r="V830" s="2">
        <v>0</v>
      </c>
      <c r="W830">
        <f t="shared" si="12"/>
        <v>0</v>
      </c>
    </row>
    <row r="831" spans="1:23" x14ac:dyDescent="0.25">
      <c r="A831" s="2" t="s">
        <v>628</v>
      </c>
      <c r="B831" s="2" t="s">
        <v>916</v>
      </c>
      <c r="C831" s="2">
        <v>540108</v>
      </c>
      <c r="D831" s="2" t="s">
        <v>736</v>
      </c>
      <c r="E831" s="2" t="s">
        <v>47</v>
      </c>
      <c r="F831" s="2" t="s">
        <v>115</v>
      </c>
      <c r="G831" s="2">
        <v>10</v>
      </c>
      <c r="H831" s="2">
        <v>0</v>
      </c>
      <c r="I831" s="2">
        <v>1</v>
      </c>
      <c r="J831" s="2">
        <v>0</v>
      </c>
      <c r="K831" s="2">
        <v>0</v>
      </c>
      <c r="L831" s="2">
        <v>0</v>
      </c>
      <c r="M831" s="2">
        <v>1</v>
      </c>
      <c r="N831" s="2">
        <v>1</v>
      </c>
      <c r="O831" s="2">
        <v>0</v>
      </c>
      <c r="P831" s="2">
        <v>0</v>
      </c>
      <c r="Q831" s="2" t="s">
        <v>488</v>
      </c>
      <c r="R831" s="2" t="s">
        <v>488</v>
      </c>
      <c r="S831" s="2" t="s">
        <v>488</v>
      </c>
      <c r="T831" s="2" t="s">
        <v>488</v>
      </c>
      <c r="U831" s="2">
        <v>0</v>
      </c>
      <c r="V831" s="2">
        <v>0</v>
      </c>
      <c r="W831">
        <f t="shared" si="12"/>
        <v>1</v>
      </c>
    </row>
    <row r="832" spans="1:23" x14ac:dyDescent="0.25">
      <c r="A832" s="2" t="s">
        <v>628</v>
      </c>
      <c r="B832" s="2" t="s">
        <v>916</v>
      </c>
      <c r="C832" s="2">
        <v>540109</v>
      </c>
      <c r="D832" s="2" t="s">
        <v>737</v>
      </c>
      <c r="E832" s="2" t="s">
        <v>47</v>
      </c>
      <c r="F832" s="2" t="s">
        <v>115</v>
      </c>
      <c r="G832" s="2">
        <v>10</v>
      </c>
      <c r="H832" s="2">
        <v>0</v>
      </c>
      <c r="I832" s="2">
        <v>0</v>
      </c>
      <c r="J832" s="2">
        <v>0</v>
      </c>
      <c r="K832" s="2">
        <v>0</v>
      </c>
      <c r="L832" s="2">
        <v>0</v>
      </c>
      <c r="M832" s="2">
        <v>0</v>
      </c>
      <c r="N832" s="2">
        <v>0</v>
      </c>
      <c r="O832" s="2">
        <v>0</v>
      </c>
      <c r="P832" s="2">
        <v>0</v>
      </c>
      <c r="Q832" s="2" t="s">
        <v>488</v>
      </c>
      <c r="R832" s="2" t="s">
        <v>488</v>
      </c>
      <c r="S832" s="2" t="s">
        <v>488</v>
      </c>
      <c r="T832" s="2" t="s">
        <v>488</v>
      </c>
      <c r="U832" s="2">
        <v>0</v>
      </c>
      <c r="V832" s="2">
        <v>0</v>
      </c>
      <c r="W832">
        <f t="shared" si="12"/>
        <v>0</v>
      </c>
    </row>
    <row r="833" spans="1:23" x14ac:dyDescent="0.25">
      <c r="A833" s="2" t="s">
        <v>628</v>
      </c>
      <c r="B833" s="2" t="s">
        <v>916</v>
      </c>
      <c r="C833" s="2">
        <v>540110</v>
      </c>
      <c r="D833" s="2" t="s">
        <v>738</v>
      </c>
      <c r="E833" s="2" t="s">
        <v>47</v>
      </c>
      <c r="F833" s="2" t="s">
        <v>115</v>
      </c>
      <c r="G833" s="2">
        <v>10</v>
      </c>
      <c r="H833" s="2">
        <v>0</v>
      </c>
      <c r="I833" s="2">
        <v>0</v>
      </c>
      <c r="J833" s="2">
        <v>0</v>
      </c>
      <c r="K833" s="2">
        <v>0</v>
      </c>
      <c r="L833" s="2">
        <v>0</v>
      </c>
      <c r="M833" s="2">
        <v>0</v>
      </c>
      <c r="N833" s="2">
        <v>0</v>
      </c>
      <c r="O833" s="2">
        <v>0</v>
      </c>
      <c r="P833" s="2">
        <v>0</v>
      </c>
      <c r="Q833" s="2" t="s">
        <v>488</v>
      </c>
      <c r="R833" s="2" t="s">
        <v>488</v>
      </c>
      <c r="S833" s="2" t="s">
        <v>488</v>
      </c>
      <c r="T833" s="2" t="s">
        <v>488</v>
      </c>
      <c r="U833" s="2">
        <v>0</v>
      </c>
      <c r="V833" s="2">
        <v>0</v>
      </c>
      <c r="W833">
        <f t="shared" si="12"/>
        <v>0</v>
      </c>
    </row>
    <row r="834" spans="1:23" x14ac:dyDescent="0.25">
      <c r="A834" s="2" t="s">
        <v>628</v>
      </c>
      <c r="B834" s="2" t="s">
        <v>916</v>
      </c>
      <c r="C834" s="2">
        <v>540111</v>
      </c>
      <c r="D834" s="2" t="s">
        <v>739</v>
      </c>
      <c r="E834" s="2" t="s">
        <v>47</v>
      </c>
      <c r="F834" s="2" t="s">
        <v>115</v>
      </c>
      <c r="G834" s="2">
        <v>10</v>
      </c>
      <c r="H834" s="2">
        <v>0</v>
      </c>
      <c r="I834" s="2">
        <v>0</v>
      </c>
      <c r="J834" s="2">
        <v>0</v>
      </c>
      <c r="K834" s="2">
        <v>0</v>
      </c>
      <c r="L834" s="2">
        <v>0</v>
      </c>
      <c r="M834" s="2">
        <v>0</v>
      </c>
      <c r="N834" s="2">
        <v>0</v>
      </c>
      <c r="O834" s="2">
        <v>0</v>
      </c>
      <c r="P834" s="2">
        <v>0</v>
      </c>
      <c r="Q834" s="2" t="s">
        <v>488</v>
      </c>
      <c r="R834" s="2" t="s">
        <v>488</v>
      </c>
      <c r="S834" s="2" t="s">
        <v>488</v>
      </c>
      <c r="T834" s="2" t="s">
        <v>488</v>
      </c>
      <c r="U834" s="2">
        <v>0</v>
      </c>
      <c r="V834" s="2">
        <v>0</v>
      </c>
      <c r="W834">
        <f t="shared" si="12"/>
        <v>0</v>
      </c>
    </row>
    <row r="835" spans="1:23" x14ac:dyDescent="0.25">
      <c r="A835" s="2" t="s">
        <v>628</v>
      </c>
      <c r="B835" s="2" t="s">
        <v>916</v>
      </c>
      <c r="C835" s="2">
        <v>540287</v>
      </c>
      <c r="D835" s="2" t="s">
        <v>740</v>
      </c>
      <c r="E835" s="2" t="s">
        <v>47</v>
      </c>
      <c r="F835" s="2" t="s">
        <v>115</v>
      </c>
      <c r="G835" s="2">
        <v>10</v>
      </c>
      <c r="H835" s="2">
        <v>0</v>
      </c>
      <c r="I835" s="2">
        <v>0</v>
      </c>
      <c r="J835" s="2">
        <v>0</v>
      </c>
      <c r="K835" s="2">
        <v>0</v>
      </c>
      <c r="L835" s="2">
        <v>0</v>
      </c>
      <c r="M835" s="2">
        <v>0</v>
      </c>
      <c r="N835" s="2">
        <v>0</v>
      </c>
      <c r="O835" s="2">
        <v>0</v>
      </c>
      <c r="P835" s="2">
        <v>0</v>
      </c>
      <c r="Q835" s="2" t="s">
        <v>488</v>
      </c>
      <c r="R835" s="2" t="s">
        <v>488</v>
      </c>
      <c r="S835" s="2" t="s">
        <v>488</v>
      </c>
      <c r="T835" s="2" t="s">
        <v>488</v>
      </c>
      <c r="U835" s="2">
        <v>0</v>
      </c>
      <c r="V835" s="2">
        <v>0</v>
      </c>
      <c r="W835">
        <f t="shared" ref="W835:W898" si="13">SUM(N835,P835,R835,T835,U835,V835)</f>
        <v>0</v>
      </c>
    </row>
    <row r="836" spans="1:23" x14ac:dyDescent="0.25">
      <c r="A836" s="2" t="s">
        <v>628</v>
      </c>
      <c r="B836" s="2" t="s">
        <v>916</v>
      </c>
      <c r="C836" s="2">
        <v>540152</v>
      </c>
      <c r="D836" s="2" t="s">
        <v>741</v>
      </c>
      <c r="E836" s="2" t="s">
        <v>47</v>
      </c>
      <c r="F836" s="2" t="s">
        <v>115</v>
      </c>
      <c r="G836" s="2">
        <v>10</v>
      </c>
      <c r="H836" s="2">
        <v>0</v>
      </c>
      <c r="I836" s="2">
        <v>0</v>
      </c>
      <c r="J836" s="2">
        <v>0</v>
      </c>
      <c r="K836" s="2">
        <v>0</v>
      </c>
      <c r="L836" s="2">
        <v>0</v>
      </c>
      <c r="M836" s="2">
        <v>0</v>
      </c>
      <c r="N836" s="2">
        <v>0</v>
      </c>
      <c r="O836" s="2">
        <v>0</v>
      </c>
      <c r="P836" s="2">
        <v>0</v>
      </c>
      <c r="Q836" s="2" t="s">
        <v>488</v>
      </c>
      <c r="R836" s="2" t="s">
        <v>488</v>
      </c>
      <c r="S836" s="2" t="s">
        <v>488</v>
      </c>
      <c r="T836" s="2" t="s">
        <v>488</v>
      </c>
      <c r="U836" s="2">
        <v>0</v>
      </c>
      <c r="V836" s="2">
        <v>0</v>
      </c>
      <c r="W836">
        <f t="shared" si="13"/>
        <v>0</v>
      </c>
    </row>
    <row r="837" spans="1:23" x14ac:dyDescent="0.25">
      <c r="A837" s="255" t="s">
        <v>628</v>
      </c>
      <c r="B837" s="255" t="s">
        <v>916</v>
      </c>
      <c r="C837" s="255"/>
      <c r="D837" s="255"/>
      <c r="E837" s="255" t="s">
        <v>47</v>
      </c>
      <c r="F837" s="255"/>
      <c r="G837" s="255"/>
      <c r="H837" s="255">
        <v>0</v>
      </c>
      <c r="I837" s="255">
        <v>1</v>
      </c>
      <c r="J837" s="255">
        <v>0</v>
      </c>
      <c r="K837" s="255">
        <v>0</v>
      </c>
      <c r="L837" s="255">
        <v>0</v>
      </c>
      <c r="M837" s="255">
        <v>1</v>
      </c>
      <c r="N837" s="255">
        <v>1</v>
      </c>
      <c r="O837" s="255">
        <v>0</v>
      </c>
      <c r="P837" s="255">
        <v>0</v>
      </c>
      <c r="Q837" s="255" t="s">
        <v>488</v>
      </c>
      <c r="R837" s="255" t="s">
        <v>488</v>
      </c>
      <c r="S837" s="255" t="s">
        <v>488</v>
      </c>
      <c r="T837" s="255" t="s">
        <v>488</v>
      </c>
      <c r="U837" s="255">
        <v>0</v>
      </c>
      <c r="V837" s="255">
        <v>0</v>
      </c>
      <c r="W837">
        <f t="shared" si="13"/>
        <v>1</v>
      </c>
    </row>
    <row r="838" spans="1:23" x14ac:dyDescent="0.25">
      <c r="A838" s="2" t="s">
        <v>628</v>
      </c>
      <c r="B838" s="2" t="s">
        <v>916</v>
      </c>
      <c r="C838" s="2">
        <v>540112</v>
      </c>
      <c r="D838" s="2" t="s">
        <v>742</v>
      </c>
      <c r="E838" s="2" t="s">
        <v>49</v>
      </c>
      <c r="F838" s="2" t="s">
        <v>5</v>
      </c>
      <c r="G838" s="2">
        <v>2</v>
      </c>
      <c r="H838" s="2">
        <v>0</v>
      </c>
      <c r="I838" s="2">
        <v>0</v>
      </c>
      <c r="J838" s="2">
        <v>0</v>
      </c>
      <c r="K838" s="2">
        <v>0</v>
      </c>
      <c r="L838" s="2">
        <v>0</v>
      </c>
      <c r="M838" s="2">
        <v>0</v>
      </c>
      <c r="N838" s="2">
        <v>0</v>
      </c>
      <c r="O838" s="2">
        <v>0</v>
      </c>
      <c r="P838" s="2">
        <v>0</v>
      </c>
      <c r="Q838" s="2" t="s">
        <v>488</v>
      </c>
      <c r="R838" s="2" t="s">
        <v>488</v>
      </c>
      <c r="S838" s="2" t="s">
        <v>488</v>
      </c>
      <c r="T838" s="2" t="s">
        <v>488</v>
      </c>
      <c r="U838" s="2">
        <v>0</v>
      </c>
      <c r="V838" s="2">
        <v>0</v>
      </c>
      <c r="W838">
        <f t="shared" si="13"/>
        <v>0</v>
      </c>
    </row>
    <row r="839" spans="1:23" x14ac:dyDescent="0.25">
      <c r="A839" s="2" t="s">
        <v>628</v>
      </c>
      <c r="B839" s="2" t="s">
        <v>916</v>
      </c>
      <c r="C839" s="2">
        <v>540113</v>
      </c>
      <c r="D839" s="2" t="s">
        <v>743</v>
      </c>
      <c r="E839" s="2" t="s">
        <v>49</v>
      </c>
      <c r="F839" s="2" t="s">
        <v>115</v>
      </c>
      <c r="G839" s="2">
        <v>2</v>
      </c>
      <c r="H839" s="2">
        <v>0</v>
      </c>
      <c r="I839" s="2">
        <v>0</v>
      </c>
      <c r="J839" s="2">
        <v>0</v>
      </c>
      <c r="K839" s="2">
        <v>0</v>
      </c>
      <c r="L839" s="2">
        <v>0</v>
      </c>
      <c r="M839" s="2">
        <v>0</v>
      </c>
      <c r="N839" s="2">
        <v>0</v>
      </c>
      <c r="O839" s="2">
        <v>0</v>
      </c>
      <c r="P839" s="2">
        <v>0</v>
      </c>
      <c r="Q839" s="2" t="s">
        <v>488</v>
      </c>
      <c r="R839" s="2" t="s">
        <v>488</v>
      </c>
      <c r="S839" s="2" t="s">
        <v>488</v>
      </c>
      <c r="T839" s="2" t="s">
        <v>488</v>
      </c>
      <c r="U839" s="2">
        <v>0</v>
      </c>
      <c r="V839" s="2">
        <v>0</v>
      </c>
      <c r="W839">
        <f t="shared" si="13"/>
        <v>0</v>
      </c>
    </row>
    <row r="840" spans="1:23" x14ac:dyDescent="0.25">
      <c r="A840" s="2" t="s">
        <v>628</v>
      </c>
      <c r="B840" s="2" t="s">
        <v>916</v>
      </c>
      <c r="C840" s="2">
        <v>540247</v>
      </c>
      <c r="D840" s="2" t="s">
        <v>744</v>
      </c>
      <c r="E840" s="2" t="s">
        <v>49</v>
      </c>
      <c r="F840" s="2" t="s">
        <v>115</v>
      </c>
      <c r="G840" s="2">
        <v>2</v>
      </c>
      <c r="H840" s="2">
        <v>0</v>
      </c>
      <c r="I840" s="2">
        <v>1</v>
      </c>
      <c r="J840" s="2">
        <v>0</v>
      </c>
      <c r="K840" s="2">
        <v>0</v>
      </c>
      <c r="L840" s="2">
        <v>0</v>
      </c>
      <c r="M840" s="2">
        <v>1</v>
      </c>
      <c r="N840" s="2">
        <v>1</v>
      </c>
      <c r="O840" s="2">
        <v>0</v>
      </c>
      <c r="P840" s="2">
        <v>0</v>
      </c>
      <c r="Q840" s="2" t="s">
        <v>488</v>
      </c>
      <c r="R840" s="2" t="s">
        <v>488</v>
      </c>
      <c r="S840" s="2" t="s">
        <v>488</v>
      </c>
      <c r="T840" s="2" t="s">
        <v>488</v>
      </c>
      <c r="U840" s="2">
        <v>0</v>
      </c>
      <c r="V840" s="2">
        <v>0</v>
      </c>
      <c r="W840">
        <f t="shared" si="13"/>
        <v>1</v>
      </c>
    </row>
    <row r="841" spans="1:23" x14ac:dyDescent="0.25">
      <c r="A841" s="2" t="s">
        <v>628</v>
      </c>
      <c r="B841" s="2" t="s">
        <v>916</v>
      </c>
      <c r="C841" s="2">
        <v>540248</v>
      </c>
      <c r="D841" s="2" t="s">
        <v>745</v>
      </c>
      <c r="E841" s="2" t="s">
        <v>49</v>
      </c>
      <c r="F841" s="2" t="s">
        <v>115</v>
      </c>
      <c r="G841" s="2">
        <v>2</v>
      </c>
      <c r="H841" s="2">
        <v>0</v>
      </c>
      <c r="I841" s="2">
        <v>0</v>
      </c>
      <c r="J841" s="2">
        <v>0</v>
      </c>
      <c r="K841" s="2">
        <v>0</v>
      </c>
      <c r="L841" s="2">
        <v>0</v>
      </c>
      <c r="M841" s="2">
        <v>0</v>
      </c>
      <c r="N841" s="2">
        <v>0</v>
      </c>
      <c r="O841" s="2">
        <v>0</v>
      </c>
      <c r="P841" s="2">
        <v>0</v>
      </c>
      <c r="Q841" s="2" t="s">
        <v>488</v>
      </c>
      <c r="R841" s="2" t="s">
        <v>488</v>
      </c>
      <c r="S841" s="2" t="s">
        <v>488</v>
      </c>
      <c r="T841" s="2" t="s">
        <v>488</v>
      </c>
      <c r="U841" s="2">
        <v>0</v>
      </c>
      <c r="V841" s="2">
        <v>0</v>
      </c>
      <c r="W841">
        <f t="shared" si="13"/>
        <v>0</v>
      </c>
    </row>
    <row r="842" spans="1:23" x14ac:dyDescent="0.25">
      <c r="A842" s="2" t="s">
        <v>628</v>
      </c>
      <c r="B842" s="2" t="s">
        <v>916</v>
      </c>
      <c r="C842" s="2">
        <v>540249</v>
      </c>
      <c r="D842" s="2" t="s">
        <v>746</v>
      </c>
      <c r="E842" s="2" t="s">
        <v>49</v>
      </c>
      <c r="F842" s="2" t="s">
        <v>115</v>
      </c>
      <c r="G842" s="2">
        <v>2</v>
      </c>
      <c r="H842" s="2">
        <v>0</v>
      </c>
      <c r="I842" s="2">
        <v>0</v>
      </c>
      <c r="J842" s="2">
        <v>0</v>
      </c>
      <c r="K842" s="2">
        <v>0</v>
      </c>
      <c r="L842" s="2">
        <v>0</v>
      </c>
      <c r="M842" s="2">
        <v>0</v>
      </c>
      <c r="N842" s="2">
        <v>0</v>
      </c>
      <c r="O842" s="2">
        <v>0</v>
      </c>
      <c r="P842" s="2">
        <v>0</v>
      </c>
      <c r="Q842" s="2" t="s">
        <v>488</v>
      </c>
      <c r="R842" s="2" t="s">
        <v>488</v>
      </c>
      <c r="S842" s="2" t="s">
        <v>488</v>
      </c>
      <c r="T842" s="2" t="s">
        <v>488</v>
      </c>
      <c r="U842" s="2">
        <v>0</v>
      </c>
      <c r="V842" s="2">
        <v>0</v>
      </c>
      <c r="W842">
        <f t="shared" si="13"/>
        <v>0</v>
      </c>
    </row>
    <row r="843" spans="1:23" x14ac:dyDescent="0.25">
      <c r="A843" s="2" t="s">
        <v>628</v>
      </c>
      <c r="B843" s="2" t="s">
        <v>916</v>
      </c>
      <c r="C843" s="2">
        <v>540250</v>
      </c>
      <c r="D843" s="2" t="s">
        <v>747</v>
      </c>
      <c r="E843" s="2" t="s">
        <v>49</v>
      </c>
      <c r="F843" s="2" t="s">
        <v>115</v>
      </c>
      <c r="G843" s="2">
        <v>2</v>
      </c>
      <c r="H843" s="2">
        <v>0</v>
      </c>
      <c r="I843" s="2">
        <v>0</v>
      </c>
      <c r="J843" s="2">
        <v>0</v>
      </c>
      <c r="K843" s="2">
        <v>0</v>
      </c>
      <c r="L843" s="2">
        <v>0</v>
      </c>
      <c r="M843" s="2">
        <v>0</v>
      </c>
      <c r="N843" s="2">
        <v>0</v>
      </c>
      <c r="O843" s="2">
        <v>0</v>
      </c>
      <c r="P843" s="2">
        <v>0</v>
      </c>
      <c r="Q843" s="2" t="s">
        <v>488</v>
      </c>
      <c r="R843" s="2" t="s">
        <v>488</v>
      </c>
      <c r="S843" s="2" t="s">
        <v>488</v>
      </c>
      <c r="T843" s="2" t="s">
        <v>488</v>
      </c>
      <c r="U843" s="2">
        <v>0</v>
      </c>
      <c r="V843" s="2">
        <v>2</v>
      </c>
      <c r="W843">
        <f t="shared" si="13"/>
        <v>2</v>
      </c>
    </row>
    <row r="844" spans="1:23" x14ac:dyDescent="0.25">
      <c r="A844" s="2" t="s">
        <v>628</v>
      </c>
      <c r="B844" s="2" t="s">
        <v>916</v>
      </c>
      <c r="C844" s="2">
        <v>540251</v>
      </c>
      <c r="D844" s="2" t="s">
        <v>748</v>
      </c>
      <c r="E844" s="2" t="s">
        <v>49</v>
      </c>
      <c r="F844" s="2" t="s">
        <v>115</v>
      </c>
      <c r="G844" s="2">
        <v>2</v>
      </c>
      <c r="H844" s="2">
        <v>0</v>
      </c>
      <c r="I844" s="2">
        <v>0</v>
      </c>
      <c r="J844" s="2">
        <v>0</v>
      </c>
      <c r="K844" s="2">
        <v>0</v>
      </c>
      <c r="L844" s="2">
        <v>0</v>
      </c>
      <c r="M844" s="2">
        <v>0</v>
      </c>
      <c r="N844" s="2">
        <v>0</v>
      </c>
      <c r="O844" s="2">
        <v>0</v>
      </c>
      <c r="P844" s="2">
        <v>0</v>
      </c>
      <c r="Q844" s="2" t="s">
        <v>488</v>
      </c>
      <c r="R844" s="2" t="s">
        <v>488</v>
      </c>
      <c r="S844" s="2" t="s">
        <v>488</v>
      </c>
      <c r="T844" s="2" t="s">
        <v>488</v>
      </c>
      <c r="U844" s="2">
        <v>0</v>
      </c>
      <c r="V844" s="2">
        <v>0</v>
      </c>
      <c r="W844">
        <f t="shared" si="13"/>
        <v>0</v>
      </c>
    </row>
    <row r="845" spans="1:23" x14ac:dyDescent="0.25">
      <c r="A845" s="255" t="s">
        <v>628</v>
      </c>
      <c r="B845" s="255" t="s">
        <v>916</v>
      </c>
      <c r="C845" s="255"/>
      <c r="D845" s="255"/>
      <c r="E845" s="255" t="s">
        <v>49</v>
      </c>
      <c r="F845" s="255"/>
      <c r="G845" s="255"/>
      <c r="H845" s="255">
        <v>0</v>
      </c>
      <c r="I845" s="255">
        <v>1</v>
      </c>
      <c r="J845" s="255">
        <v>0</v>
      </c>
      <c r="K845" s="255">
        <v>0</v>
      </c>
      <c r="L845" s="255">
        <v>0</v>
      </c>
      <c r="M845" s="255">
        <v>1</v>
      </c>
      <c r="N845" s="255">
        <v>1</v>
      </c>
      <c r="O845" s="255">
        <v>0</v>
      </c>
      <c r="P845" s="255">
        <v>0</v>
      </c>
      <c r="Q845" s="255" t="s">
        <v>488</v>
      </c>
      <c r="R845" s="255" t="s">
        <v>488</v>
      </c>
      <c r="S845" s="255" t="s">
        <v>488</v>
      </c>
      <c r="T845" s="255" t="s">
        <v>488</v>
      </c>
      <c r="U845" s="255">
        <v>0</v>
      </c>
      <c r="V845" s="255">
        <v>2</v>
      </c>
      <c r="W845">
        <f t="shared" si="13"/>
        <v>3</v>
      </c>
    </row>
    <row r="846" spans="1:23" x14ac:dyDescent="0.25">
      <c r="A846" s="2" t="s">
        <v>628</v>
      </c>
      <c r="B846" s="2" t="s">
        <v>916</v>
      </c>
      <c r="C846" s="2">
        <v>540114</v>
      </c>
      <c r="D846" s="2" t="s">
        <v>749</v>
      </c>
      <c r="E846" s="2" t="s">
        <v>51</v>
      </c>
      <c r="F846" s="2" t="s">
        <v>5</v>
      </c>
      <c r="G846" s="2">
        <v>1</v>
      </c>
      <c r="H846" s="2">
        <v>0</v>
      </c>
      <c r="I846" s="2">
        <v>0</v>
      </c>
      <c r="J846" s="2">
        <v>0</v>
      </c>
      <c r="K846" s="2">
        <v>0</v>
      </c>
      <c r="L846" s="2">
        <v>0</v>
      </c>
      <c r="M846" s="2">
        <v>0</v>
      </c>
      <c r="N846" s="2">
        <v>0</v>
      </c>
      <c r="O846" s="2">
        <v>0</v>
      </c>
      <c r="P846" s="2">
        <v>0</v>
      </c>
      <c r="Q846" s="2">
        <v>0</v>
      </c>
      <c r="R846" s="2">
        <v>0</v>
      </c>
      <c r="S846" s="2">
        <v>0</v>
      </c>
      <c r="T846" s="2">
        <v>0</v>
      </c>
      <c r="U846" s="2">
        <v>0</v>
      </c>
      <c r="V846" s="2">
        <v>0</v>
      </c>
      <c r="W846">
        <f t="shared" si="13"/>
        <v>0</v>
      </c>
    </row>
    <row r="847" spans="1:23" x14ac:dyDescent="0.25">
      <c r="A847" s="2" t="s">
        <v>628</v>
      </c>
      <c r="B847" s="2" t="s">
        <v>916</v>
      </c>
      <c r="C847" s="2">
        <v>540115</v>
      </c>
      <c r="D847" s="2" t="s">
        <v>750</v>
      </c>
      <c r="E847" s="2" t="s">
        <v>51</v>
      </c>
      <c r="F847" s="2" t="s">
        <v>115</v>
      </c>
      <c r="G847" s="2">
        <v>1</v>
      </c>
      <c r="H847" s="2">
        <v>0</v>
      </c>
      <c r="I847" s="2">
        <v>0</v>
      </c>
      <c r="J847" s="2">
        <v>0</v>
      </c>
      <c r="K847" s="2">
        <v>0</v>
      </c>
      <c r="L847" s="2">
        <v>0</v>
      </c>
      <c r="M847" s="2">
        <v>0</v>
      </c>
      <c r="N847" s="2">
        <v>0</v>
      </c>
      <c r="O847" s="2">
        <v>0</v>
      </c>
      <c r="P847" s="2">
        <v>0</v>
      </c>
      <c r="Q847" s="2">
        <v>0</v>
      </c>
      <c r="R847" s="2">
        <v>0</v>
      </c>
      <c r="S847" s="2">
        <v>0</v>
      </c>
      <c r="T847" s="2">
        <v>0</v>
      </c>
      <c r="U847" s="2">
        <v>0</v>
      </c>
      <c r="V847" s="2">
        <v>0</v>
      </c>
      <c r="W847">
        <f t="shared" si="13"/>
        <v>0</v>
      </c>
    </row>
    <row r="848" spans="1:23" x14ac:dyDescent="0.25">
      <c r="A848" s="2" t="s">
        <v>628</v>
      </c>
      <c r="B848" s="2" t="s">
        <v>916</v>
      </c>
      <c r="C848" s="2">
        <v>540116</v>
      </c>
      <c r="D848" s="2" t="s">
        <v>751</v>
      </c>
      <c r="E848" s="2" t="s">
        <v>51</v>
      </c>
      <c r="F848" s="2" t="s">
        <v>115</v>
      </c>
      <c r="G848" s="2">
        <v>1</v>
      </c>
      <c r="H848" s="2">
        <v>0</v>
      </c>
      <c r="I848" s="2">
        <v>1</v>
      </c>
      <c r="J848" s="2">
        <v>0</v>
      </c>
      <c r="K848" s="2">
        <v>0</v>
      </c>
      <c r="L848" s="2">
        <v>0</v>
      </c>
      <c r="M848" s="2">
        <v>1</v>
      </c>
      <c r="N848" s="2">
        <v>1</v>
      </c>
      <c r="O848" s="2">
        <v>0</v>
      </c>
      <c r="P848" s="2">
        <v>0</v>
      </c>
      <c r="Q848" s="2">
        <v>0</v>
      </c>
      <c r="R848" s="2">
        <v>0</v>
      </c>
      <c r="S848" s="2">
        <v>0</v>
      </c>
      <c r="T848" s="2">
        <v>0</v>
      </c>
      <c r="U848" s="2">
        <v>0</v>
      </c>
      <c r="V848" s="2">
        <v>0</v>
      </c>
      <c r="W848">
        <f t="shared" si="13"/>
        <v>1</v>
      </c>
    </row>
    <row r="849" spans="1:23" x14ac:dyDescent="0.25">
      <c r="A849" s="2" t="s">
        <v>628</v>
      </c>
      <c r="B849" s="2" t="s">
        <v>916</v>
      </c>
      <c r="C849" s="2">
        <v>540117</v>
      </c>
      <c r="D849" s="2" t="s">
        <v>752</v>
      </c>
      <c r="E849" s="2" t="s">
        <v>51</v>
      </c>
      <c r="F849" s="2" t="s">
        <v>115</v>
      </c>
      <c r="G849" s="2">
        <v>1</v>
      </c>
      <c r="H849" s="2">
        <v>0</v>
      </c>
      <c r="I849" s="2">
        <v>1</v>
      </c>
      <c r="J849" s="2">
        <v>0</v>
      </c>
      <c r="K849" s="2">
        <v>0</v>
      </c>
      <c r="L849" s="2">
        <v>0</v>
      </c>
      <c r="M849" s="2">
        <v>1</v>
      </c>
      <c r="N849" s="2">
        <v>1</v>
      </c>
      <c r="O849" s="2">
        <v>0</v>
      </c>
      <c r="P849" s="2">
        <v>0</v>
      </c>
      <c r="Q849" s="2">
        <v>0</v>
      </c>
      <c r="R849" s="2">
        <v>0</v>
      </c>
      <c r="S849" s="2">
        <v>0</v>
      </c>
      <c r="T849" s="2">
        <v>0</v>
      </c>
      <c r="U849" s="2">
        <v>0</v>
      </c>
      <c r="V849" s="2">
        <v>0</v>
      </c>
      <c r="W849">
        <f t="shared" si="13"/>
        <v>1</v>
      </c>
    </row>
    <row r="850" spans="1:23" x14ac:dyDescent="0.25">
      <c r="A850" s="2" t="s">
        <v>628</v>
      </c>
      <c r="B850" s="2" t="s">
        <v>916</v>
      </c>
      <c r="C850" s="2">
        <v>540118</v>
      </c>
      <c r="D850" s="2" t="s">
        <v>753</v>
      </c>
      <c r="E850" s="2" t="s">
        <v>51</v>
      </c>
      <c r="F850" s="2" t="s">
        <v>115</v>
      </c>
      <c r="G850" s="2">
        <v>1</v>
      </c>
      <c r="H850" s="2">
        <v>0</v>
      </c>
      <c r="I850" s="2">
        <v>1</v>
      </c>
      <c r="J850" s="2">
        <v>0</v>
      </c>
      <c r="K850" s="2">
        <v>0</v>
      </c>
      <c r="L850" s="2">
        <v>0</v>
      </c>
      <c r="M850" s="2">
        <v>1</v>
      </c>
      <c r="N850" s="2">
        <v>1</v>
      </c>
      <c r="O850" s="2">
        <v>0</v>
      </c>
      <c r="P850" s="2">
        <v>0</v>
      </c>
      <c r="Q850" s="2">
        <v>0</v>
      </c>
      <c r="R850" s="2">
        <v>0</v>
      </c>
      <c r="S850" s="2">
        <v>0</v>
      </c>
      <c r="T850" s="2">
        <v>0</v>
      </c>
      <c r="U850" s="2">
        <v>0</v>
      </c>
      <c r="V850" s="2">
        <v>0</v>
      </c>
      <c r="W850">
        <f t="shared" si="13"/>
        <v>1</v>
      </c>
    </row>
    <row r="851" spans="1:23" x14ac:dyDescent="0.25">
      <c r="A851" s="2" t="s">
        <v>628</v>
      </c>
      <c r="B851" s="2" t="s">
        <v>916</v>
      </c>
      <c r="C851" s="2">
        <v>540119</v>
      </c>
      <c r="D851" s="2" t="s">
        <v>754</v>
      </c>
      <c r="E851" s="2" t="s">
        <v>51</v>
      </c>
      <c r="F851" s="2" t="s">
        <v>115</v>
      </c>
      <c r="G851" s="2">
        <v>1</v>
      </c>
      <c r="H851" s="2">
        <v>0</v>
      </c>
      <c r="I851" s="2">
        <v>1</v>
      </c>
      <c r="J851" s="2">
        <v>0</v>
      </c>
      <c r="K851" s="2">
        <v>0</v>
      </c>
      <c r="L851" s="2">
        <v>0</v>
      </c>
      <c r="M851" s="2">
        <v>1</v>
      </c>
      <c r="N851" s="2">
        <v>1</v>
      </c>
      <c r="O851" s="2">
        <v>0</v>
      </c>
      <c r="P851" s="2">
        <v>0</v>
      </c>
      <c r="Q851" s="2">
        <v>0</v>
      </c>
      <c r="R851" s="2">
        <v>0</v>
      </c>
      <c r="S851" s="2">
        <v>0</v>
      </c>
      <c r="T851" s="2">
        <v>0</v>
      </c>
      <c r="U851" s="2">
        <v>0</v>
      </c>
      <c r="V851" s="2">
        <v>0</v>
      </c>
      <c r="W851">
        <f t="shared" si="13"/>
        <v>1</v>
      </c>
    </row>
    <row r="852" spans="1:23" x14ac:dyDescent="0.25">
      <c r="A852" s="2" t="s">
        <v>628</v>
      </c>
      <c r="B852" s="2" t="s">
        <v>916</v>
      </c>
      <c r="C852" s="2">
        <v>540120</v>
      </c>
      <c r="D852" s="2" t="s">
        <v>755</v>
      </c>
      <c r="E852" s="2" t="s">
        <v>51</v>
      </c>
      <c r="F852" s="2" t="s">
        <v>115</v>
      </c>
      <c r="G852" s="2">
        <v>1</v>
      </c>
      <c r="H852" s="2">
        <v>0</v>
      </c>
      <c r="I852" s="2">
        <v>1</v>
      </c>
      <c r="J852" s="2">
        <v>0</v>
      </c>
      <c r="K852" s="2">
        <v>0</v>
      </c>
      <c r="L852" s="2">
        <v>0</v>
      </c>
      <c r="M852" s="2">
        <v>1</v>
      </c>
      <c r="N852" s="2">
        <v>1</v>
      </c>
      <c r="O852" s="2">
        <v>0</v>
      </c>
      <c r="P852" s="2">
        <v>0</v>
      </c>
      <c r="Q852" s="2">
        <v>0</v>
      </c>
      <c r="R852" s="2">
        <v>0</v>
      </c>
      <c r="S852" s="2">
        <v>0</v>
      </c>
      <c r="T852" s="2">
        <v>0</v>
      </c>
      <c r="U852" s="2">
        <v>0</v>
      </c>
      <c r="V852" s="2">
        <v>0</v>
      </c>
      <c r="W852">
        <f t="shared" si="13"/>
        <v>1</v>
      </c>
    </row>
    <row r="853" spans="1:23" x14ac:dyDescent="0.25">
      <c r="A853" s="2" t="s">
        <v>628</v>
      </c>
      <c r="B853" s="2" t="s">
        <v>916</v>
      </c>
      <c r="C853" s="2">
        <v>540121</v>
      </c>
      <c r="D853" s="2" t="s">
        <v>756</v>
      </c>
      <c r="E853" s="2" t="s">
        <v>51</v>
      </c>
      <c r="F853" s="2" t="s">
        <v>115</v>
      </c>
      <c r="G853" s="2">
        <v>1</v>
      </c>
      <c r="H853" s="2">
        <v>0</v>
      </c>
      <c r="I853" s="2">
        <v>1</v>
      </c>
      <c r="J853" s="2">
        <v>0</v>
      </c>
      <c r="K853" s="2">
        <v>0</v>
      </c>
      <c r="L853" s="2">
        <v>0</v>
      </c>
      <c r="M853" s="2">
        <v>1</v>
      </c>
      <c r="N853" s="2">
        <v>1</v>
      </c>
      <c r="O853" s="2">
        <v>0</v>
      </c>
      <c r="P853" s="2">
        <v>0</v>
      </c>
      <c r="Q853" s="2">
        <v>0</v>
      </c>
      <c r="R853" s="2">
        <v>0</v>
      </c>
      <c r="S853" s="2">
        <v>0</v>
      </c>
      <c r="T853" s="2">
        <v>0</v>
      </c>
      <c r="U853" s="2">
        <v>0</v>
      </c>
      <c r="V853" s="2">
        <v>0</v>
      </c>
      <c r="W853">
        <f t="shared" si="13"/>
        <v>1</v>
      </c>
    </row>
    <row r="854" spans="1:23" x14ac:dyDescent="0.25">
      <c r="A854" s="2" t="s">
        <v>628</v>
      </c>
      <c r="B854" s="2" t="s">
        <v>916</v>
      </c>
      <c r="C854" s="2">
        <v>540122</v>
      </c>
      <c r="D854" s="2" t="s">
        <v>757</v>
      </c>
      <c r="E854" s="2" t="s">
        <v>51</v>
      </c>
      <c r="F854" s="2" t="s">
        <v>115</v>
      </c>
      <c r="G854" s="2">
        <v>1</v>
      </c>
      <c r="H854" s="2">
        <v>0</v>
      </c>
      <c r="I854" s="2">
        <v>1</v>
      </c>
      <c r="J854" s="2">
        <v>0</v>
      </c>
      <c r="K854" s="2">
        <v>0</v>
      </c>
      <c r="L854" s="2">
        <v>0</v>
      </c>
      <c r="M854" s="2">
        <v>1</v>
      </c>
      <c r="N854" s="2">
        <v>1</v>
      </c>
      <c r="O854" s="2">
        <v>0</v>
      </c>
      <c r="P854" s="2">
        <v>0</v>
      </c>
      <c r="Q854" s="2">
        <v>0</v>
      </c>
      <c r="R854" s="2">
        <v>0</v>
      </c>
      <c r="S854" s="2">
        <v>0</v>
      </c>
      <c r="T854" s="2">
        <v>0</v>
      </c>
      <c r="U854" s="2">
        <v>0</v>
      </c>
      <c r="V854" s="2">
        <v>0</v>
      </c>
      <c r="W854">
        <f t="shared" si="13"/>
        <v>1</v>
      </c>
    </row>
    <row r="855" spans="1:23" x14ac:dyDescent="0.25">
      <c r="A855" s="2" t="s">
        <v>628</v>
      </c>
      <c r="B855" s="2" t="s">
        <v>916</v>
      </c>
      <c r="C855" s="2">
        <v>540123</v>
      </c>
      <c r="D855" s="2" t="s">
        <v>758</v>
      </c>
      <c r="E855" s="2" t="s">
        <v>51</v>
      </c>
      <c r="F855" s="2" t="s">
        <v>115</v>
      </c>
      <c r="G855" s="2">
        <v>1</v>
      </c>
      <c r="H855" s="2">
        <v>0</v>
      </c>
      <c r="I855" s="2">
        <v>1</v>
      </c>
      <c r="J855" s="2">
        <v>0</v>
      </c>
      <c r="K855" s="2">
        <v>0</v>
      </c>
      <c r="L855" s="2">
        <v>0</v>
      </c>
      <c r="M855" s="2">
        <v>1</v>
      </c>
      <c r="N855" s="2">
        <v>1</v>
      </c>
      <c r="O855" s="2">
        <v>0</v>
      </c>
      <c r="P855" s="2">
        <v>0</v>
      </c>
      <c r="Q855" s="2">
        <v>0</v>
      </c>
      <c r="R855" s="2">
        <v>0</v>
      </c>
      <c r="S855" s="2">
        <v>0</v>
      </c>
      <c r="T855" s="2">
        <v>0</v>
      </c>
      <c r="U855" s="2">
        <v>0</v>
      </c>
      <c r="V855" s="2">
        <v>0</v>
      </c>
      <c r="W855">
        <f t="shared" si="13"/>
        <v>1</v>
      </c>
    </row>
    <row r="856" spans="1:23" x14ac:dyDescent="0.25">
      <c r="A856" s="2" t="s">
        <v>628</v>
      </c>
      <c r="B856" s="2" t="s">
        <v>916</v>
      </c>
      <c r="C856" s="2">
        <v>540291</v>
      </c>
      <c r="D856" s="2" t="s">
        <v>759</v>
      </c>
      <c r="E856" s="2" t="s">
        <v>51</v>
      </c>
      <c r="F856" s="2" t="s">
        <v>115</v>
      </c>
      <c r="G856" s="2">
        <v>1</v>
      </c>
      <c r="H856" s="2">
        <v>0</v>
      </c>
      <c r="I856" s="2">
        <v>0</v>
      </c>
      <c r="J856" s="2">
        <v>0</v>
      </c>
      <c r="K856" s="2">
        <v>0</v>
      </c>
      <c r="L856" s="2">
        <v>0</v>
      </c>
      <c r="M856" s="2">
        <v>0</v>
      </c>
      <c r="N856" s="2">
        <v>0</v>
      </c>
      <c r="O856" s="2">
        <v>0</v>
      </c>
      <c r="P856" s="2">
        <v>0</v>
      </c>
      <c r="Q856" s="2">
        <v>0</v>
      </c>
      <c r="R856" s="2">
        <v>0</v>
      </c>
      <c r="S856" s="2">
        <v>0</v>
      </c>
      <c r="T856" s="2">
        <v>0</v>
      </c>
      <c r="U856" s="2">
        <v>1</v>
      </c>
      <c r="V856" s="2">
        <v>0</v>
      </c>
      <c r="W856">
        <f t="shared" si="13"/>
        <v>1</v>
      </c>
    </row>
    <row r="857" spans="1:23" x14ac:dyDescent="0.25">
      <c r="A857" s="255" t="s">
        <v>628</v>
      </c>
      <c r="B857" s="255" t="s">
        <v>916</v>
      </c>
      <c r="C857" s="255"/>
      <c r="D857" s="255"/>
      <c r="E857" s="255" t="s">
        <v>51</v>
      </c>
      <c r="F857" s="255"/>
      <c r="G857" s="255"/>
      <c r="H857" s="255">
        <v>0</v>
      </c>
      <c r="I857" s="255">
        <v>8</v>
      </c>
      <c r="J857" s="255">
        <v>0</v>
      </c>
      <c r="K857" s="255">
        <v>0</v>
      </c>
      <c r="L857" s="255">
        <v>0</v>
      </c>
      <c r="M857" s="255">
        <v>8</v>
      </c>
      <c r="N857" s="255">
        <v>8</v>
      </c>
      <c r="O857" s="255">
        <v>0</v>
      </c>
      <c r="P857" s="255">
        <v>0</v>
      </c>
      <c r="Q857" s="255">
        <v>0</v>
      </c>
      <c r="R857" s="255">
        <v>0</v>
      </c>
      <c r="S857" s="255">
        <v>0</v>
      </c>
      <c r="T857" s="255">
        <v>0</v>
      </c>
      <c r="U857" s="255">
        <v>1</v>
      </c>
      <c r="V857" s="255">
        <v>0</v>
      </c>
      <c r="W857">
        <f t="shared" si="13"/>
        <v>9</v>
      </c>
    </row>
    <row r="858" spans="1:23" x14ac:dyDescent="0.25">
      <c r="A858" s="2" t="s">
        <v>628</v>
      </c>
      <c r="B858" s="2" t="s">
        <v>916</v>
      </c>
      <c r="C858" s="2">
        <v>540124</v>
      </c>
      <c r="D858" s="2" t="s">
        <v>760</v>
      </c>
      <c r="E858" s="2" t="s">
        <v>53</v>
      </c>
      <c r="F858" s="2" t="s">
        <v>5</v>
      </c>
      <c r="G858" s="2">
        <v>1</v>
      </c>
      <c r="H858" s="2">
        <v>0</v>
      </c>
      <c r="I858" s="2">
        <v>0</v>
      </c>
      <c r="J858" s="2">
        <v>0</v>
      </c>
      <c r="K858" s="2">
        <v>0</v>
      </c>
      <c r="L858" s="2">
        <v>0</v>
      </c>
      <c r="M858" s="2">
        <v>0</v>
      </c>
      <c r="N858" s="2">
        <v>0</v>
      </c>
      <c r="O858" s="2">
        <v>0</v>
      </c>
      <c r="P858" s="2">
        <v>0</v>
      </c>
      <c r="Q858" s="2">
        <v>0</v>
      </c>
      <c r="R858" s="2">
        <v>0</v>
      </c>
      <c r="S858" s="2" t="s">
        <v>488</v>
      </c>
      <c r="T858" s="2" t="s">
        <v>488</v>
      </c>
      <c r="U858" s="2">
        <v>0</v>
      </c>
      <c r="V858" s="2">
        <v>0</v>
      </c>
      <c r="W858">
        <f t="shared" si="13"/>
        <v>0</v>
      </c>
    </row>
    <row r="859" spans="1:23" x14ac:dyDescent="0.25">
      <c r="A859" s="2" t="s">
        <v>628</v>
      </c>
      <c r="B859" s="2" t="s">
        <v>916</v>
      </c>
      <c r="C859" s="2">
        <v>540125</v>
      </c>
      <c r="D859" s="2" t="s">
        <v>761</v>
      </c>
      <c r="E859" s="2" t="s">
        <v>53</v>
      </c>
      <c r="F859" s="2" t="s">
        <v>115</v>
      </c>
      <c r="G859" s="2">
        <v>1</v>
      </c>
      <c r="H859" s="2">
        <v>0</v>
      </c>
      <c r="I859" s="2">
        <v>0</v>
      </c>
      <c r="J859" s="2">
        <v>0</v>
      </c>
      <c r="K859" s="2">
        <v>0</v>
      </c>
      <c r="L859" s="2">
        <v>0</v>
      </c>
      <c r="M859" s="2">
        <v>0</v>
      </c>
      <c r="N859" s="2">
        <v>0</v>
      </c>
      <c r="O859" s="2">
        <v>0</v>
      </c>
      <c r="P859" s="2">
        <v>0</v>
      </c>
      <c r="Q859" s="2">
        <v>0</v>
      </c>
      <c r="R859" s="2">
        <v>0</v>
      </c>
      <c r="S859" s="2" t="s">
        <v>488</v>
      </c>
      <c r="T859" s="2" t="s">
        <v>488</v>
      </c>
      <c r="U859" s="2">
        <v>0</v>
      </c>
      <c r="V859" s="2">
        <v>0</v>
      </c>
      <c r="W859">
        <f t="shared" si="13"/>
        <v>0</v>
      </c>
    </row>
    <row r="860" spans="1:23" x14ac:dyDescent="0.25">
      <c r="A860" s="2" t="s">
        <v>628</v>
      </c>
      <c r="B860" s="2" t="s">
        <v>916</v>
      </c>
      <c r="C860" s="2">
        <v>540126</v>
      </c>
      <c r="D860" s="2" t="s">
        <v>762</v>
      </c>
      <c r="E860" s="2" t="s">
        <v>53</v>
      </c>
      <c r="F860" s="2" t="s">
        <v>115</v>
      </c>
      <c r="G860" s="2">
        <v>1</v>
      </c>
      <c r="H860" s="2">
        <v>0</v>
      </c>
      <c r="I860" s="2">
        <v>1</v>
      </c>
      <c r="J860" s="2">
        <v>0</v>
      </c>
      <c r="K860" s="2">
        <v>0</v>
      </c>
      <c r="L860" s="2">
        <v>0</v>
      </c>
      <c r="M860" s="2">
        <v>1</v>
      </c>
      <c r="N860" s="2">
        <v>1</v>
      </c>
      <c r="O860" s="2">
        <v>0</v>
      </c>
      <c r="P860" s="2">
        <v>0</v>
      </c>
      <c r="Q860" s="2">
        <v>0</v>
      </c>
      <c r="R860" s="2">
        <v>0</v>
      </c>
      <c r="S860" s="2" t="s">
        <v>488</v>
      </c>
      <c r="T860" s="2" t="s">
        <v>488</v>
      </c>
      <c r="U860" s="2">
        <v>0</v>
      </c>
      <c r="V860" s="2">
        <v>0</v>
      </c>
      <c r="W860">
        <f t="shared" si="13"/>
        <v>1</v>
      </c>
    </row>
    <row r="861" spans="1:23" x14ac:dyDescent="0.25">
      <c r="A861" s="2" t="s">
        <v>628</v>
      </c>
      <c r="B861" s="2" t="s">
        <v>916</v>
      </c>
      <c r="C861" s="2">
        <v>540127</v>
      </c>
      <c r="D861" s="2" t="s">
        <v>763</v>
      </c>
      <c r="E861" s="2" t="s">
        <v>53</v>
      </c>
      <c r="F861" s="2" t="s">
        <v>115</v>
      </c>
      <c r="G861" s="2">
        <v>1</v>
      </c>
      <c r="H861" s="2">
        <v>0</v>
      </c>
      <c r="I861" s="2">
        <v>0</v>
      </c>
      <c r="J861" s="2">
        <v>0</v>
      </c>
      <c r="K861" s="2">
        <v>0</v>
      </c>
      <c r="L861" s="2">
        <v>0</v>
      </c>
      <c r="M861" s="2">
        <v>0</v>
      </c>
      <c r="N861" s="2">
        <v>0</v>
      </c>
      <c r="O861" s="2">
        <v>0</v>
      </c>
      <c r="P861" s="2">
        <v>0</v>
      </c>
      <c r="Q861" s="2">
        <v>0</v>
      </c>
      <c r="R861" s="2">
        <v>0</v>
      </c>
      <c r="S861" s="2" t="s">
        <v>488</v>
      </c>
      <c r="T861" s="2" t="s">
        <v>488</v>
      </c>
      <c r="U861" s="2">
        <v>0</v>
      </c>
      <c r="V861" s="2">
        <v>0</v>
      </c>
      <c r="W861">
        <f t="shared" si="13"/>
        <v>0</v>
      </c>
    </row>
    <row r="862" spans="1:23" x14ac:dyDescent="0.25">
      <c r="A862" s="2" t="s">
        <v>628</v>
      </c>
      <c r="B862" s="2" t="s">
        <v>916</v>
      </c>
      <c r="C862" s="2">
        <v>540128</v>
      </c>
      <c r="D862" s="2" t="s">
        <v>764</v>
      </c>
      <c r="E862" s="2" t="s">
        <v>53</v>
      </c>
      <c r="F862" s="2" t="s">
        <v>115</v>
      </c>
      <c r="G862" s="2">
        <v>1</v>
      </c>
      <c r="H862" s="2">
        <v>0</v>
      </c>
      <c r="I862" s="2">
        <v>1</v>
      </c>
      <c r="J862" s="2">
        <v>0</v>
      </c>
      <c r="K862" s="2">
        <v>0</v>
      </c>
      <c r="L862" s="2">
        <v>0</v>
      </c>
      <c r="M862" s="2">
        <v>1</v>
      </c>
      <c r="N862" s="2">
        <v>1</v>
      </c>
      <c r="O862" s="2">
        <v>0</v>
      </c>
      <c r="P862" s="2">
        <v>0</v>
      </c>
      <c r="Q862" s="2">
        <v>0</v>
      </c>
      <c r="R862" s="2">
        <v>0</v>
      </c>
      <c r="S862" s="2" t="s">
        <v>488</v>
      </c>
      <c r="T862" s="2" t="s">
        <v>488</v>
      </c>
      <c r="U862" s="2">
        <v>0</v>
      </c>
      <c r="V862" s="2">
        <v>0</v>
      </c>
      <c r="W862">
        <f t="shared" si="13"/>
        <v>1</v>
      </c>
    </row>
    <row r="863" spans="1:23" x14ac:dyDescent="0.25">
      <c r="A863" s="2" t="s">
        <v>628</v>
      </c>
      <c r="B863" s="2" t="s">
        <v>916</v>
      </c>
      <c r="C863" s="2">
        <v>540172</v>
      </c>
      <c r="D863" s="2" t="s">
        <v>765</v>
      </c>
      <c r="E863" s="2" t="s">
        <v>53</v>
      </c>
      <c r="F863" s="2" t="s">
        <v>115</v>
      </c>
      <c r="G863" s="2">
        <v>1</v>
      </c>
      <c r="H863" s="2">
        <v>0</v>
      </c>
      <c r="I863" s="2">
        <v>0</v>
      </c>
      <c r="J863" s="2">
        <v>0</v>
      </c>
      <c r="K863" s="2">
        <v>0</v>
      </c>
      <c r="L863" s="2">
        <v>0</v>
      </c>
      <c r="M863" s="2">
        <v>0</v>
      </c>
      <c r="N863" s="2">
        <v>0</v>
      </c>
      <c r="O863" s="2">
        <v>0</v>
      </c>
      <c r="P863" s="2">
        <v>0</v>
      </c>
      <c r="Q863" s="2">
        <v>0</v>
      </c>
      <c r="R863" s="2">
        <v>0</v>
      </c>
      <c r="S863" s="2" t="s">
        <v>488</v>
      </c>
      <c r="T863" s="2" t="s">
        <v>488</v>
      </c>
      <c r="U863" s="2">
        <v>0</v>
      </c>
      <c r="V863" s="2">
        <v>0</v>
      </c>
      <c r="W863">
        <f t="shared" si="13"/>
        <v>0</v>
      </c>
    </row>
    <row r="864" spans="1:23" x14ac:dyDescent="0.25">
      <c r="A864" s="2" t="s">
        <v>628</v>
      </c>
      <c r="B864" s="2" t="s">
        <v>916</v>
      </c>
      <c r="C864" s="2">
        <v>540285</v>
      </c>
      <c r="D864" s="2" t="s">
        <v>766</v>
      </c>
      <c r="E864" s="2" t="s">
        <v>53</v>
      </c>
      <c r="F864" s="2" t="s">
        <v>115</v>
      </c>
      <c r="G864" s="2">
        <v>1</v>
      </c>
      <c r="H864" s="2">
        <v>0</v>
      </c>
      <c r="I864" s="2">
        <v>0</v>
      </c>
      <c r="J864" s="2">
        <v>0</v>
      </c>
      <c r="K864" s="2">
        <v>0</v>
      </c>
      <c r="L864" s="2">
        <v>0</v>
      </c>
      <c r="M864" s="2">
        <v>0</v>
      </c>
      <c r="N864" s="2">
        <v>0</v>
      </c>
      <c r="O864" s="2">
        <v>0</v>
      </c>
      <c r="P864" s="2">
        <v>0</v>
      </c>
      <c r="Q864" s="2">
        <v>0</v>
      </c>
      <c r="R864" s="2">
        <v>0</v>
      </c>
      <c r="S864" s="2" t="s">
        <v>488</v>
      </c>
      <c r="T864" s="2" t="s">
        <v>488</v>
      </c>
      <c r="U864" s="2">
        <v>0</v>
      </c>
      <c r="V864" s="2">
        <v>0</v>
      </c>
      <c r="W864">
        <f t="shared" si="13"/>
        <v>0</v>
      </c>
    </row>
    <row r="865" spans="1:23" x14ac:dyDescent="0.25">
      <c r="A865" s="255" t="s">
        <v>628</v>
      </c>
      <c r="B865" s="255" t="s">
        <v>916</v>
      </c>
      <c r="C865" s="255"/>
      <c r="D865" s="255"/>
      <c r="E865" s="255" t="s">
        <v>53</v>
      </c>
      <c r="F865" s="255"/>
      <c r="G865" s="255"/>
      <c r="H865" s="255">
        <v>0</v>
      </c>
      <c r="I865" s="255">
        <v>2</v>
      </c>
      <c r="J865" s="255">
        <v>0</v>
      </c>
      <c r="K865" s="255">
        <v>0</v>
      </c>
      <c r="L865" s="255">
        <v>0</v>
      </c>
      <c r="M865" s="255">
        <v>2</v>
      </c>
      <c r="N865" s="255">
        <v>2</v>
      </c>
      <c r="O865" s="255">
        <v>0</v>
      </c>
      <c r="P865" s="255">
        <v>0</v>
      </c>
      <c r="Q865" s="255">
        <v>0</v>
      </c>
      <c r="R865" s="255">
        <v>0</v>
      </c>
      <c r="S865" s="255" t="s">
        <v>488</v>
      </c>
      <c r="T865" s="255" t="s">
        <v>488</v>
      </c>
      <c r="U865" s="255">
        <v>0</v>
      </c>
      <c r="V865" s="255">
        <v>0</v>
      </c>
      <c r="W865">
        <f t="shared" si="13"/>
        <v>2</v>
      </c>
    </row>
    <row r="866" spans="1:23" x14ac:dyDescent="0.25">
      <c r="A866" s="2" t="s">
        <v>628</v>
      </c>
      <c r="B866" s="2" t="s">
        <v>916</v>
      </c>
      <c r="C866" s="2">
        <v>540129</v>
      </c>
      <c r="D866" s="2" t="s">
        <v>767</v>
      </c>
      <c r="E866" s="2" t="s">
        <v>55</v>
      </c>
      <c r="F866" s="2" t="s">
        <v>5</v>
      </c>
      <c r="G866" s="2">
        <v>8</v>
      </c>
      <c r="H866" s="2">
        <v>0</v>
      </c>
      <c r="I866" s="2">
        <v>0</v>
      </c>
      <c r="J866" s="2">
        <v>0</v>
      </c>
      <c r="K866" s="2">
        <v>0</v>
      </c>
      <c r="L866" s="2">
        <v>0</v>
      </c>
      <c r="M866" s="2">
        <v>0</v>
      </c>
      <c r="N866" s="2">
        <v>0</v>
      </c>
      <c r="O866" s="2">
        <v>0</v>
      </c>
      <c r="P866" s="2">
        <v>0</v>
      </c>
      <c r="Q866" s="2">
        <v>0</v>
      </c>
      <c r="R866" s="2">
        <v>0</v>
      </c>
      <c r="S866" s="2" t="s">
        <v>488</v>
      </c>
      <c r="T866" s="2" t="s">
        <v>488</v>
      </c>
      <c r="U866" s="2">
        <v>0</v>
      </c>
      <c r="V866" s="2">
        <v>0</v>
      </c>
      <c r="W866">
        <f t="shared" si="13"/>
        <v>0</v>
      </c>
    </row>
    <row r="867" spans="1:23" x14ac:dyDescent="0.25">
      <c r="A867" s="2" t="s">
        <v>628</v>
      </c>
      <c r="B867" s="2" t="s">
        <v>916</v>
      </c>
      <c r="C867" s="2">
        <v>540130</v>
      </c>
      <c r="D867" s="2" t="s">
        <v>768</v>
      </c>
      <c r="E867" s="2" t="s">
        <v>55</v>
      </c>
      <c r="F867" s="2" t="s">
        <v>115</v>
      </c>
      <c r="G867" s="2">
        <v>8</v>
      </c>
      <c r="H867" s="2">
        <v>0</v>
      </c>
      <c r="I867" s="2">
        <v>1</v>
      </c>
      <c r="J867" s="2">
        <v>0</v>
      </c>
      <c r="K867" s="2">
        <v>0</v>
      </c>
      <c r="L867" s="2">
        <v>0</v>
      </c>
      <c r="M867" s="2">
        <v>1</v>
      </c>
      <c r="N867" s="2">
        <v>1</v>
      </c>
      <c r="O867" s="2">
        <v>0</v>
      </c>
      <c r="P867" s="2">
        <v>0</v>
      </c>
      <c r="Q867" s="2">
        <v>0</v>
      </c>
      <c r="R867" s="2">
        <v>0</v>
      </c>
      <c r="S867" s="2" t="s">
        <v>488</v>
      </c>
      <c r="T867" s="2" t="s">
        <v>488</v>
      </c>
      <c r="U867" s="2">
        <v>0</v>
      </c>
      <c r="V867" s="2">
        <v>0</v>
      </c>
      <c r="W867">
        <f t="shared" si="13"/>
        <v>1</v>
      </c>
    </row>
    <row r="868" spans="1:23" x14ac:dyDescent="0.25">
      <c r="A868" s="2" t="s">
        <v>628</v>
      </c>
      <c r="B868" s="2" t="s">
        <v>916</v>
      </c>
      <c r="C868" s="2">
        <v>540131</v>
      </c>
      <c r="D868" s="2" t="s">
        <v>769</v>
      </c>
      <c r="E868" s="2" t="s">
        <v>55</v>
      </c>
      <c r="F868" s="2" t="s">
        <v>115</v>
      </c>
      <c r="G868" s="2">
        <v>8</v>
      </c>
      <c r="H868" s="2">
        <v>0</v>
      </c>
      <c r="I868" s="2">
        <v>0</v>
      </c>
      <c r="J868" s="2">
        <v>0</v>
      </c>
      <c r="K868" s="2">
        <v>0</v>
      </c>
      <c r="L868" s="2">
        <v>0</v>
      </c>
      <c r="M868" s="2">
        <v>0</v>
      </c>
      <c r="N868" s="2">
        <v>0</v>
      </c>
      <c r="O868" s="2">
        <v>0</v>
      </c>
      <c r="P868" s="2">
        <v>0</v>
      </c>
      <c r="Q868" s="2">
        <v>0</v>
      </c>
      <c r="R868" s="2">
        <v>0</v>
      </c>
      <c r="S868" s="2" t="s">
        <v>488</v>
      </c>
      <c r="T868" s="2" t="s">
        <v>488</v>
      </c>
      <c r="U868" s="2">
        <v>0</v>
      </c>
      <c r="V868" s="2">
        <v>0</v>
      </c>
      <c r="W868">
        <f t="shared" si="13"/>
        <v>0</v>
      </c>
    </row>
    <row r="869" spans="1:23" x14ac:dyDescent="0.25">
      <c r="A869" s="2" t="s">
        <v>628</v>
      </c>
      <c r="B869" s="2" t="s">
        <v>916</v>
      </c>
      <c r="C869" s="2">
        <v>540155</v>
      </c>
      <c r="D869" s="2" t="s">
        <v>770</v>
      </c>
      <c r="E869" s="2" t="s">
        <v>55</v>
      </c>
      <c r="F869" s="2" t="s">
        <v>115</v>
      </c>
      <c r="G869" s="2">
        <v>8</v>
      </c>
      <c r="H869" s="2">
        <v>0</v>
      </c>
      <c r="I869" s="2">
        <v>0</v>
      </c>
      <c r="J869" s="2">
        <v>0</v>
      </c>
      <c r="K869" s="2">
        <v>0</v>
      </c>
      <c r="L869" s="2">
        <v>0</v>
      </c>
      <c r="M869" s="2">
        <v>0</v>
      </c>
      <c r="N869" s="2">
        <v>0</v>
      </c>
      <c r="O869" s="2">
        <v>0</v>
      </c>
      <c r="P869" s="2">
        <v>0</v>
      </c>
      <c r="Q869" s="2">
        <v>0</v>
      </c>
      <c r="R869" s="2">
        <v>0</v>
      </c>
      <c r="S869" s="2" t="s">
        <v>488</v>
      </c>
      <c r="T869" s="2" t="s">
        <v>488</v>
      </c>
      <c r="U869" s="2">
        <v>0</v>
      </c>
      <c r="V869" s="2">
        <v>0</v>
      </c>
      <c r="W869">
        <f t="shared" si="13"/>
        <v>0</v>
      </c>
    </row>
    <row r="870" spans="1:23" x14ac:dyDescent="0.25">
      <c r="A870" s="2" t="s">
        <v>628</v>
      </c>
      <c r="B870" s="2" t="s">
        <v>916</v>
      </c>
      <c r="C870" s="2">
        <v>545555</v>
      </c>
      <c r="D870" s="2" t="s">
        <v>771</v>
      </c>
      <c r="E870" s="2" t="s">
        <v>55</v>
      </c>
      <c r="F870" s="2" t="s">
        <v>115</v>
      </c>
      <c r="G870" s="2">
        <v>8</v>
      </c>
      <c r="H870" s="2">
        <v>0</v>
      </c>
      <c r="I870" s="2">
        <v>0</v>
      </c>
      <c r="J870" s="2">
        <v>0</v>
      </c>
      <c r="K870" s="2">
        <v>0</v>
      </c>
      <c r="L870" s="2">
        <v>0</v>
      </c>
      <c r="M870" s="2">
        <v>0</v>
      </c>
      <c r="N870" s="2">
        <v>0</v>
      </c>
      <c r="O870" s="2">
        <v>0</v>
      </c>
      <c r="P870" s="2">
        <v>0</v>
      </c>
      <c r="Q870" s="2">
        <v>0</v>
      </c>
      <c r="R870" s="2">
        <v>0</v>
      </c>
      <c r="S870" s="2" t="s">
        <v>488</v>
      </c>
      <c r="T870" s="2" t="s">
        <v>488</v>
      </c>
      <c r="U870" s="2">
        <v>0</v>
      </c>
      <c r="V870" s="2">
        <v>0</v>
      </c>
      <c r="W870">
        <f t="shared" si="13"/>
        <v>0</v>
      </c>
    </row>
    <row r="871" spans="1:23" x14ac:dyDescent="0.25">
      <c r="A871" s="2" t="s">
        <v>628</v>
      </c>
      <c r="B871" s="2" t="s">
        <v>916</v>
      </c>
      <c r="C871" s="2">
        <v>540091</v>
      </c>
      <c r="D871" s="2" t="s">
        <v>772</v>
      </c>
      <c r="E871" s="2" t="s">
        <v>55</v>
      </c>
      <c r="F871" s="2" t="s">
        <v>115</v>
      </c>
      <c r="G871" s="2">
        <v>8</v>
      </c>
      <c r="H871" s="2">
        <v>0</v>
      </c>
      <c r="I871" s="2">
        <v>0</v>
      </c>
      <c r="J871" s="2">
        <v>0</v>
      </c>
      <c r="K871" s="2">
        <v>0</v>
      </c>
      <c r="L871" s="2">
        <v>0</v>
      </c>
      <c r="M871" s="2">
        <v>0</v>
      </c>
      <c r="N871" s="2">
        <v>0</v>
      </c>
      <c r="O871" s="2">
        <v>0</v>
      </c>
      <c r="P871" s="2">
        <v>0</v>
      </c>
      <c r="Q871" s="2">
        <v>0</v>
      </c>
      <c r="R871" s="2">
        <v>0</v>
      </c>
      <c r="S871" s="2" t="s">
        <v>488</v>
      </c>
      <c r="T871" s="2" t="s">
        <v>488</v>
      </c>
      <c r="U871" s="2">
        <v>0</v>
      </c>
      <c r="V871" s="2">
        <v>0</v>
      </c>
      <c r="W871">
        <f t="shared" si="13"/>
        <v>0</v>
      </c>
    </row>
    <row r="872" spans="1:23" x14ac:dyDescent="0.25">
      <c r="A872" s="255" t="s">
        <v>628</v>
      </c>
      <c r="B872" s="255" t="s">
        <v>916</v>
      </c>
      <c r="C872" s="255"/>
      <c r="D872" s="255"/>
      <c r="E872" s="255" t="s">
        <v>55</v>
      </c>
      <c r="F872" s="255"/>
      <c r="G872" s="255"/>
      <c r="H872" s="255">
        <v>0</v>
      </c>
      <c r="I872" s="255">
        <v>1</v>
      </c>
      <c r="J872" s="255">
        <v>0</v>
      </c>
      <c r="K872" s="255">
        <v>0</v>
      </c>
      <c r="L872" s="255">
        <v>0</v>
      </c>
      <c r="M872" s="255">
        <v>1</v>
      </c>
      <c r="N872" s="255">
        <v>1</v>
      </c>
      <c r="O872" s="255">
        <v>0</v>
      </c>
      <c r="P872" s="255">
        <v>0</v>
      </c>
      <c r="Q872" s="255">
        <v>0</v>
      </c>
      <c r="R872" s="255">
        <v>0</v>
      </c>
      <c r="S872" s="255" t="s">
        <v>488</v>
      </c>
      <c r="T872" s="255" t="s">
        <v>488</v>
      </c>
      <c r="U872" s="255">
        <v>0</v>
      </c>
      <c r="V872" s="255">
        <v>0</v>
      </c>
      <c r="W872">
        <f t="shared" si="13"/>
        <v>1</v>
      </c>
    </row>
    <row r="873" spans="1:23" x14ac:dyDescent="0.25">
      <c r="A873" s="2" t="s">
        <v>628</v>
      </c>
      <c r="B873" s="2" t="s">
        <v>916</v>
      </c>
      <c r="C873" s="2">
        <v>540133</v>
      </c>
      <c r="D873" s="2" t="s">
        <v>773</v>
      </c>
      <c r="E873" s="2" t="s">
        <v>57</v>
      </c>
      <c r="F873" s="2" t="s">
        <v>5</v>
      </c>
      <c r="G873" s="2">
        <v>2</v>
      </c>
      <c r="H873" s="2">
        <v>0</v>
      </c>
      <c r="I873" s="2">
        <v>0</v>
      </c>
      <c r="J873" s="2">
        <v>0</v>
      </c>
      <c r="K873" s="2">
        <v>0</v>
      </c>
      <c r="L873" s="2">
        <v>0</v>
      </c>
      <c r="M873" s="2">
        <v>0</v>
      </c>
      <c r="N873" s="2">
        <v>0</v>
      </c>
      <c r="O873" s="2">
        <v>0</v>
      </c>
      <c r="P873" s="2">
        <v>0</v>
      </c>
      <c r="Q873" s="2">
        <v>0</v>
      </c>
      <c r="R873" s="2">
        <v>0</v>
      </c>
      <c r="S873" s="2" t="s">
        <v>488</v>
      </c>
      <c r="T873" s="2" t="s">
        <v>488</v>
      </c>
      <c r="U873" s="2">
        <v>0</v>
      </c>
      <c r="V873" s="2">
        <v>0</v>
      </c>
      <c r="W873">
        <f t="shared" si="13"/>
        <v>0</v>
      </c>
    </row>
    <row r="874" spans="1:23" x14ac:dyDescent="0.25">
      <c r="A874" s="2" t="s">
        <v>628</v>
      </c>
      <c r="B874" s="2" t="s">
        <v>916</v>
      </c>
      <c r="C874" s="2">
        <v>540134</v>
      </c>
      <c r="D874" s="2" t="s">
        <v>774</v>
      </c>
      <c r="E874" s="2" t="s">
        <v>57</v>
      </c>
      <c r="F874" s="2" t="s">
        <v>115</v>
      </c>
      <c r="G874" s="2">
        <v>2</v>
      </c>
      <c r="H874" s="2">
        <v>0</v>
      </c>
      <c r="I874" s="2">
        <v>1</v>
      </c>
      <c r="J874" s="2">
        <v>0</v>
      </c>
      <c r="K874" s="2">
        <v>0</v>
      </c>
      <c r="L874" s="2">
        <v>0</v>
      </c>
      <c r="M874" s="2">
        <v>1</v>
      </c>
      <c r="N874" s="2">
        <v>1</v>
      </c>
      <c r="O874" s="2">
        <v>0</v>
      </c>
      <c r="P874" s="2">
        <v>0</v>
      </c>
      <c r="Q874" s="2">
        <v>0</v>
      </c>
      <c r="R874" s="2">
        <v>0</v>
      </c>
      <c r="S874" s="2" t="s">
        <v>488</v>
      </c>
      <c r="T874" s="2" t="s">
        <v>488</v>
      </c>
      <c r="U874" s="2">
        <v>0</v>
      </c>
      <c r="V874" s="2">
        <v>0</v>
      </c>
      <c r="W874">
        <f t="shared" si="13"/>
        <v>1</v>
      </c>
    </row>
    <row r="875" spans="1:23" x14ac:dyDescent="0.25">
      <c r="A875" s="2" t="s">
        <v>628</v>
      </c>
      <c r="B875" s="2" t="s">
        <v>916</v>
      </c>
      <c r="C875" s="2">
        <v>540135</v>
      </c>
      <c r="D875" s="2" t="s">
        <v>775</v>
      </c>
      <c r="E875" s="2" t="s">
        <v>57</v>
      </c>
      <c r="F875" s="2" t="s">
        <v>115</v>
      </c>
      <c r="G875" s="2">
        <v>2</v>
      </c>
      <c r="H875" s="2">
        <v>0</v>
      </c>
      <c r="I875" s="2">
        <v>0</v>
      </c>
      <c r="J875" s="2">
        <v>0</v>
      </c>
      <c r="K875" s="2">
        <v>0</v>
      </c>
      <c r="L875" s="2">
        <v>0</v>
      </c>
      <c r="M875" s="2">
        <v>0</v>
      </c>
      <c r="N875" s="2">
        <v>0</v>
      </c>
      <c r="O875" s="2">
        <v>0</v>
      </c>
      <c r="P875" s="2">
        <v>0</v>
      </c>
      <c r="Q875" s="2">
        <v>0</v>
      </c>
      <c r="R875" s="2">
        <v>0</v>
      </c>
      <c r="S875" s="2" t="s">
        <v>488</v>
      </c>
      <c r="T875" s="2" t="s">
        <v>488</v>
      </c>
      <c r="U875" s="2">
        <v>0</v>
      </c>
      <c r="V875" s="2">
        <v>0</v>
      </c>
      <c r="W875">
        <f t="shared" si="13"/>
        <v>0</v>
      </c>
    </row>
    <row r="876" spans="1:23" x14ac:dyDescent="0.25">
      <c r="A876" s="2" t="s">
        <v>628</v>
      </c>
      <c r="B876" s="2" t="s">
        <v>916</v>
      </c>
      <c r="C876" s="2">
        <v>540136</v>
      </c>
      <c r="D876" s="2" t="s">
        <v>776</v>
      </c>
      <c r="E876" s="2" t="s">
        <v>57</v>
      </c>
      <c r="F876" s="2" t="s">
        <v>115</v>
      </c>
      <c r="G876" s="2">
        <v>2</v>
      </c>
      <c r="H876" s="2">
        <v>0</v>
      </c>
      <c r="I876" s="2">
        <v>0</v>
      </c>
      <c r="J876" s="2">
        <v>0</v>
      </c>
      <c r="K876" s="2">
        <v>0</v>
      </c>
      <c r="L876" s="2">
        <v>0</v>
      </c>
      <c r="M876" s="2">
        <v>0</v>
      </c>
      <c r="N876" s="2">
        <v>0</v>
      </c>
      <c r="O876" s="2">
        <v>0</v>
      </c>
      <c r="P876" s="2">
        <v>0</v>
      </c>
      <c r="Q876" s="2">
        <v>0</v>
      </c>
      <c r="R876" s="2">
        <v>0</v>
      </c>
      <c r="S876" s="2" t="s">
        <v>488</v>
      </c>
      <c r="T876" s="2" t="s">
        <v>488</v>
      </c>
      <c r="U876" s="2">
        <v>0</v>
      </c>
      <c r="V876" s="2">
        <v>0</v>
      </c>
      <c r="W876">
        <f t="shared" si="13"/>
        <v>0</v>
      </c>
    </row>
    <row r="877" spans="1:23" x14ac:dyDescent="0.25">
      <c r="A877" s="2" t="s">
        <v>628</v>
      </c>
      <c r="B877" s="2" t="s">
        <v>916</v>
      </c>
      <c r="C877" s="2">
        <v>540138</v>
      </c>
      <c r="D877" s="2" t="s">
        <v>777</v>
      </c>
      <c r="E877" s="2" t="s">
        <v>57</v>
      </c>
      <c r="F877" s="2" t="s">
        <v>115</v>
      </c>
      <c r="G877" s="2">
        <v>2</v>
      </c>
      <c r="H877" s="2">
        <v>0</v>
      </c>
      <c r="I877" s="2">
        <v>0</v>
      </c>
      <c r="J877" s="2">
        <v>0</v>
      </c>
      <c r="K877" s="2">
        <v>0</v>
      </c>
      <c r="L877" s="2">
        <v>0</v>
      </c>
      <c r="M877" s="2">
        <v>0</v>
      </c>
      <c r="N877" s="2">
        <v>0</v>
      </c>
      <c r="O877" s="2">
        <v>0</v>
      </c>
      <c r="P877" s="2">
        <v>0</v>
      </c>
      <c r="Q877" s="2">
        <v>0</v>
      </c>
      <c r="R877" s="2">
        <v>0</v>
      </c>
      <c r="S877" s="2" t="s">
        <v>488</v>
      </c>
      <c r="T877" s="2" t="s">
        <v>488</v>
      </c>
      <c r="U877" s="2">
        <v>3</v>
      </c>
      <c r="V877" s="2">
        <v>0</v>
      </c>
      <c r="W877">
        <f t="shared" si="13"/>
        <v>3</v>
      </c>
    </row>
    <row r="878" spans="1:23" x14ac:dyDescent="0.25">
      <c r="A878" s="2" t="s">
        <v>628</v>
      </c>
      <c r="B878" s="2" t="s">
        <v>916</v>
      </c>
      <c r="C878" s="2">
        <v>545538</v>
      </c>
      <c r="D878" s="2" t="s">
        <v>778</v>
      </c>
      <c r="E878" s="2" t="s">
        <v>57</v>
      </c>
      <c r="F878" s="2" t="s">
        <v>115</v>
      </c>
      <c r="G878" s="2">
        <v>2</v>
      </c>
      <c r="H878" s="2">
        <v>0</v>
      </c>
      <c r="I878" s="2">
        <v>0</v>
      </c>
      <c r="J878" s="2">
        <v>0</v>
      </c>
      <c r="K878" s="2">
        <v>0</v>
      </c>
      <c r="L878" s="2">
        <v>0</v>
      </c>
      <c r="M878" s="2">
        <v>0</v>
      </c>
      <c r="N878" s="2">
        <v>0</v>
      </c>
      <c r="O878" s="2">
        <v>0</v>
      </c>
      <c r="P878" s="2">
        <v>0</v>
      </c>
      <c r="Q878" s="2">
        <v>0</v>
      </c>
      <c r="R878" s="2">
        <v>0</v>
      </c>
      <c r="S878" s="2" t="s">
        <v>488</v>
      </c>
      <c r="T878" s="2" t="s">
        <v>488</v>
      </c>
      <c r="U878" s="2">
        <v>0</v>
      </c>
      <c r="V878" s="2">
        <v>1</v>
      </c>
      <c r="W878">
        <f t="shared" si="13"/>
        <v>1</v>
      </c>
    </row>
    <row r="879" spans="1:23" x14ac:dyDescent="0.25">
      <c r="A879" s="255" t="s">
        <v>628</v>
      </c>
      <c r="B879" s="255" t="s">
        <v>916</v>
      </c>
      <c r="C879" s="255"/>
      <c r="D879" s="255"/>
      <c r="E879" s="255" t="s">
        <v>57</v>
      </c>
      <c r="F879" s="255"/>
      <c r="G879" s="255"/>
      <c r="H879" s="255">
        <v>0</v>
      </c>
      <c r="I879" s="255">
        <v>1</v>
      </c>
      <c r="J879" s="255">
        <v>0</v>
      </c>
      <c r="K879" s="255">
        <v>0</v>
      </c>
      <c r="L879" s="255">
        <v>0</v>
      </c>
      <c r="M879" s="255">
        <v>1</v>
      </c>
      <c r="N879" s="255">
        <v>1</v>
      </c>
      <c r="O879" s="255">
        <v>0</v>
      </c>
      <c r="P879" s="255">
        <v>0</v>
      </c>
      <c r="Q879" s="255">
        <v>0</v>
      </c>
      <c r="R879" s="255">
        <v>0</v>
      </c>
      <c r="S879" s="255" t="s">
        <v>488</v>
      </c>
      <c r="T879" s="255" t="s">
        <v>488</v>
      </c>
      <c r="U879" s="255">
        <v>3</v>
      </c>
      <c r="V879" s="255">
        <v>1</v>
      </c>
      <c r="W879">
        <f t="shared" si="13"/>
        <v>5</v>
      </c>
    </row>
    <row r="880" spans="1:23" x14ac:dyDescent="0.25">
      <c r="A880" s="2" t="s">
        <v>628</v>
      </c>
      <c r="B880" s="2" t="s">
        <v>916</v>
      </c>
      <c r="C880" s="2">
        <v>540139</v>
      </c>
      <c r="D880" s="2" t="s">
        <v>779</v>
      </c>
      <c r="E880" s="2" t="s">
        <v>59</v>
      </c>
      <c r="F880" s="2" t="s">
        <v>5</v>
      </c>
      <c r="G880" s="2">
        <v>6</v>
      </c>
      <c r="H880" s="2">
        <v>0</v>
      </c>
      <c r="I880" s="2">
        <v>0</v>
      </c>
      <c r="J880" s="2">
        <v>0</v>
      </c>
      <c r="K880" s="2">
        <v>0</v>
      </c>
      <c r="L880" s="2">
        <v>0</v>
      </c>
      <c r="M880" s="2">
        <v>0</v>
      </c>
      <c r="N880" s="2">
        <v>0</v>
      </c>
      <c r="O880" s="2">
        <v>0</v>
      </c>
      <c r="P880" s="2">
        <v>0</v>
      </c>
      <c r="Q880" s="2">
        <v>0</v>
      </c>
      <c r="R880" s="2">
        <v>0</v>
      </c>
      <c r="S880" s="2" t="s">
        <v>488</v>
      </c>
      <c r="T880" s="2" t="s">
        <v>488</v>
      </c>
      <c r="U880" s="2">
        <v>0</v>
      </c>
      <c r="V880" s="2">
        <v>0</v>
      </c>
      <c r="W880">
        <f t="shared" si="13"/>
        <v>0</v>
      </c>
    </row>
    <row r="881" spans="1:23" x14ac:dyDescent="0.25">
      <c r="A881" s="2" t="s">
        <v>628</v>
      </c>
      <c r="B881" s="2" t="s">
        <v>916</v>
      </c>
      <c r="C881" s="2">
        <v>540140</v>
      </c>
      <c r="D881" s="2" t="s">
        <v>780</v>
      </c>
      <c r="E881" s="2" t="s">
        <v>59</v>
      </c>
      <c r="F881" s="2" t="s">
        <v>115</v>
      </c>
      <c r="G881" s="2">
        <v>6</v>
      </c>
      <c r="H881" s="2">
        <v>0</v>
      </c>
      <c r="I881" s="2">
        <v>0</v>
      </c>
      <c r="J881" s="2">
        <v>0</v>
      </c>
      <c r="K881" s="2">
        <v>0</v>
      </c>
      <c r="L881" s="2">
        <v>0</v>
      </c>
      <c r="M881" s="2">
        <v>0</v>
      </c>
      <c r="N881" s="2">
        <v>0</v>
      </c>
      <c r="O881" s="2">
        <v>0</v>
      </c>
      <c r="P881" s="2">
        <v>0</v>
      </c>
      <c r="Q881" s="2">
        <v>0</v>
      </c>
      <c r="R881" s="2">
        <v>0</v>
      </c>
      <c r="S881" s="2" t="s">
        <v>488</v>
      </c>
      <c r="T881" s="2" t="s">
        <v>488</v>
      </c>
      <c r="U881" s="2">
        <v>0</v>
      </c>
      <c r="V881" s="2">
        <v>0</v>
      </c>
      <c r="W881">
        <f t="shared" si="13"/>
        <v>0</v>
      </c>
    </row>
    <row r="882" spans="1:23" x14ac:dyDescent="0.25">
      <c r="A882" s="2" t="s">
        <v>628</v>
      </c>
      <c r="B882" s="2" t="s">
        <v>916</v>
      </c>
      <c r="C882" s="2">
        <v>540141</v>
      </c>
      <c r="D882" s="2" t="s">
        <v>781</v>
      </c>
      <c r="E882" s="2" t="s">
        <v>59</v>
      </c>
      <c r="F882" s="2" t="s">
        <v>115</v>
      </c>
      <c r="G882" s="2">
        <v>6</v>
      </c>
      <c r="H882" s="2">
        <v>0</v>
      </c>
      <c r="I882" s="2">
        <v>0</v>
      </c>
      <c r="J882" s="2">
        <v>0</v>
      </c>
      <c r="K882" s="2">
        <v>0</v>
      </c>
      <c r="L882" s="2">
        <v>0</v>
      </c>
      <c r="M882" s="2">
        <v>0</v>
      </c>
      <c r="N882" s="2">
        <v>0</v>
      </c>
      <c r="O882" s="2">
        <v>0</v>
      </c>
      <c r="P882" s="2">
        <v>0</v>
      </c>
      <c r="Q882" s="2">
        <v>0</v>
      </c>
      <c r="R882" s="2">
        <v>0</v>
      </c>
      <c r="S882" s="2" t="s">
        <v>488</v>
      </c>
      <c r="T882" s="2" t="s">
        <v>488</v>
      </c>
      <c r="U882" s="2">
        <v>0</v>
      </c>
      <c r="V882" s="2">
        <v>0</v>
      </c>
      <c r="W882">
        <f t="shared" si="13"/>
        <v>0</v>
      </c>
    </row>
    <row r="883" spans="1:23" x14ac:dyDescent="0.25">
      <c r="A883" s="2" t="s">
        <v>628</v>
      </c>
      <c r="B883" s="2" t="s">
        <v>916</v>
      </c>
      <c r="C883" s="2">
        <v>540272</v>
      </c>
      <c r="D883" s="2" t="s">
        <v>782</v>
      </c>
      <c r="E883" s="2" t="s">
        <v>59</v>
      </c>
      <c r="F883" s="2" t="s">
        <v>115</v>
      </c>
      <c r="G883" s="2">
        <v>6</v>
      </c>
      <c r="H883" s="2">
        <v>0</v>
      </c>
      <c r="I883" s="2">
        <v>0</v>
      </c>
      <c r="J883" s="2">
        <v>0</v>
      </c>
      <c r="K883" s="2">
        <v>0</v>
      </c>
      <c r="L883" s="2">
        <v>0</v>
      </c>
      <c r="M883" s="2">
        <v>0</v>
      </c>
      <c r="N883" s="2">
        <v>0</v>
      </c>
      <c r="O883" s="2">
        <v>0</v>
      </c>
      <c r="P883" s="2">
        <v>0</v>
      </c>
      <c r="Q883" s="2">
        <v>0</v>
      </c>
      <c r="R883" s="2">
        <v>0</v>
      </c>
      <c r="S883" s="2" t="s">
        <v>488</v>
      </c>
      <c r="T883" s="2" t="s">
        <v>488</v>
      </c>
      <c r="U883" s="2">
        <v>1</v>
      </c>
      <c r="V883" s="2">
        <v>0</v>
      </c>
      <c r="W883">
        <f t="shared" si="13"/>
        <v>1</v>
      </c>
    </row>
    <row r="884" spans="1:23" x14ac:dyDescent="0.25">
      <c r="A884" s="2" t="s">
        <v>628</v>
      </c>
      <c r="B884" s="2" t="s">
        <v>916</v>
      </c>
      <c r="C884" s="2">
        <v>540273</v>
      </c>
      <c r="D884" s="2" t="s">
        <v>783</v>
      </c>
      <c r="E884" s="2" t="s">
        <v>59</v>
      </c>
      <c r="F884" s="2" t="s">
        <v>115</v>
      </c>
      <c r="G884" s="2">
        <v>6</v>
      </c>
      <c r="H884" s="2">
        <v>0</v>
      </c>
      <c r="I884" s="2">
        <v>0</v>
      </c>
      <c r="J884" s="2">
        <v>0</v>
      </c>
      <c r="K884" s="2">
        <v>0</v>
      </c>
      <c r="L884" s="2">
        <v>0</v>
      </c>
      <c r="M884" s="2">
        <v>0</v>
      </c>
      <c r="N884" s="2">
        <v>0</v>
      </c>
      <c r="O884" s="2">
        <v>0</v>
      </c>
      <c r="P884" s="2">
        <v>0</v>
      </c>
      <c r="Q884" s="2">
        <v>0</v>
      </c>
      <c r="R884" s="2">
        <v>0</v>
      </c>
      <c r="S884" s="2" t="s">
        <v>488</v>
      </c>
      <c r="T884" s="2" t="s">
        <v>488</v>
      </c>
      <c r="U884" s="2">
        <v>0</v>
      </c>
      <c r="V884" s="2">
        <v>0</v>
      </c>
      <c r="W884">
        <f t="shared" si="13"/>
        <v>0</v>
      </c>
    </row>
    <row r="885" spans="1:23" x14ac:dyDescent="0.25">
      <c r="A885" s="2" t="s">
        <v>628</v>
      </c>
      <c r="B885" s="2" t="s">
        <v>916</v>
      </c>
      <c r="C885" s="2">
        <v>540274</v>
      </c>
      <c r="D885" s="2" t="s">
        <v>784</v>
      </c>
      <c r="E885" s="2" t="s">
        <v>59</v>
      </c>
      <c r="F885" s="2" t="s">
        <v>115</v>
      </c>
      <c r="G885" s="2">
        <v>6</v>
      </c>
      <c r="H885" s="2">
        <v>0</v>
      </c>
      <c r="I885" s="2">
        <v>0</v>
      </c>
      <c r="J885" s="2">
        <v>0</v>
      </c>
      <c r="K885" s="2">
        <v>0</v>
      </c>
      <c r="L885" s="2">
        <v>0</v>
      </c>
      <c r="M885" s="2">
        <v>0</v>
      </c>
      <c r="N885" s="2">
        <v>0</v>
      </c>
      <c r="O885" s="2">
        <v>0</v>
      </c>
      <c r="P885" s="2">
        <v>0</v>
      </c>
      <c r="Q885" s="2">
        <v>0</v>
      </c>
      <c r="R885" s="2">
        <v>0</v>
      </c>
      <c r="S885" s="2" t="s">
        <v>488</v>
      </c>
      <c r="T885" s="2" t="s">
        <v>488</v>
      </c>
      <c r="U885" s="2">
        <v>0</v>
      </c>
      <c r="V885" s="2">
        <v>0</v>
      </c>
      <c r="W885">
        <f t="shared" si="13"/>
        <v>0</v>
      </c>
    </row>
    <row r="886" spans="1:23" x14ac:dyDescent="0.25">
      <c r="A886" s="255" t="s">
        <v>628</v>
      </c>
      <c r="B886" s="255" t="s">
        <v>916</v>
      </c>
      <c r="C886" s="255"/>
      <c r="D886" s="255"/>
      <c r="E886" s="255" t="s">
        <v>59</v>
      </c>
      <c r="F886" s="255"/>
      <c r="G886" s="255"/>
      <c r="H886" s="255">
        <v>0</v>
      </c>
      <c r="I886" s="255">
        <v>0</v>
      </c>
      <c r="J886" s="255">
        <v>0</v>
      </c>
      <c r="K886" s="255">
        <v>0</v>
      </c>
      <c r="L886" s="255">
        <v>0</v>
      </c>
      <c r="M886" s="255">
        <v>0</v>
      </c>
      <c r="N886" s="255">
        <v>0</v>
      </c>
      <c r="O886" s="255">
        <v>0</v>
      </c>
      <c r="P886" s="255">
        <v>0</v>
      </c>
      <c r="Q886" s="255">
        <v>0</v>
      </c>
      <c r="R886" s="255">
        <v>0</v>
      </c>
      <c r="S886" s="255" t="s">
        <v>488</v>
      </c>
      <c r="T886" s="255" t="s">
        <v>488</v>
      </c>
      <c r="U886" s="255">
        <v>1</v>
      </c>
      <c r="V886" s="255">
        <v>0</v>
      </c>
      <c r="W886">
        <f t="shared" si="13"/>
        <v>1</v>
      </c>
    </row>
    <row r="887" spans="1:23" x14ac:dyDescent="0.25">
      <c r="A887" s="2" t="s">
        <v>628</v>
      </c>
      <c r="B887" s="2" t="s">
        <v>916</v>
      </c>
      <c r="C887" s="2">
        <v>540144</v>
      </c>
      <c r="D887" s="2" t="s">
        <v>785</v>
      </c>
      <c r="E887" s="2" t="s">
        <v>61</v>
      </c>
      <c r="F887" s="2" t="s">
        <v>5</v>
      </c>
      <c r="G887" s="2">
        <v>9</v>
      </c>
      <c r="H887" s="2">
        <v>0</v>
      </c>
      <c r="I887" s="2">
        <v>0</v>
      </c>
      <c r="J887" s="2">
        <v>0</v>
      </c>
      <c r="K887" s="2">
        <v>0</v>
      </c>
      <c r="L887" s="2">
        <v>0</v>
      </c>
      <c r="M887" s="2">
        <v>0</v>
      </c>
      <c r="N887" s="2">
        <v>0</v>
      </c>
      <c r="O887" s="2">
        <v>0</v>
      </c>
      <c r="P887" s="2">
        <v>0</v>
      </c>
      <c r="Q887" s="2">
        <v>0</v>
      </c>
      <c r="R887" s="2">
        <v>0</v>
      </c>
      <c r="S887" s="2">
        <v>0</v>
      </c>
      <c r="T887" s="2">
        <v>0</v>
      </c>
      <c r="U887" s="2">
        <v>0</v>
      </c>
      <c r="V887" s="2">
        <v>0</v>
      </c>
      <c r="W887">
        <f t="shared" si="13"/>
        <v>0</v>
      </c>
    </row>
    <row r="888" spans="1:23" x14ac:dyDescent="0.25">
      <c r="A888" s="2" t="s">
        <v>628</v>
      </c>
      <c r="B888" s="2" t="s">
        <v>916</v>
      </c>
      <c r="C888" s="2">
        <v>540005</v>
      </c>
      <c r="D888" s="2" t="s">
        <v>786</v>
      </c>
      <c r="E888" s="2" t="s">
        <v>61</v>
      </c>
      <c r="F888" s="2" t="s">
        <v>115</v>
      </c>
      <c r="G888" s="2">
        <v>9</v>
      </c>
      <c r="H888" s="2">
        <v>0</v>
      </c>
      <c r="I888" s="2">
        <v>0</v>
      </c>
      <c r="J888" s="2">
        <v>0</v>
      </c>
      <c r="K888" s="2">
        <v>0</v>
      </c>
      <c r="L888" s="2">
        <v>0</v>
      </c>
      <c r="M888" s="2">
        <v>0</v>
      </c>
      <c r="N888" s="2">
        <v>0</v>
      </c>
      <c r="O888" s="2">
        <v>0</v>
      </c>
      <c r="P888" s="2">
        <v>0</v>
      </c>
      <c r="Q888" s="2">
        <v>0</v>
      </c>
      <c r="R888" s="2">
        <v>0</v>
      </c>
      <c r="S888" s="2">
        <v>0</v>
      </c>
      <c r="T888" s="2">
        <v>0</v>
      </c>
      <c r="U888" s="2">
        <v>0</v>
      </c>
      <c r="V888" s="2">
        <v>0</v>
      </c>
      <c r="W888">
        <f t="shared" si="13"/>
        <v>0</v>
      </c>
    </row>
    <row r="889" spans="1:23" x14ac:dyDescent="0.25">
      <c r="A889" s="2" t="s">
        <v>628</v>
      </c>
      <c r="B889" s="2" t="s">
        <v>916</v>
      </c>
      <c r="C889" s="2">
        <v>540252</v>
      </c>
      <c r="D889" s="2" t="s">
        <v>787</v>
      </c>
      <c r="E889" s="2" t="s">
        <v>61</v>
      </c>
      <c r="F889" s="2" t="s">
        <v>115</v>
      </c>
      <c r="G889" s="2">
        <v>9</v>
      </c>
      <c r="H889" s="2">
        <v>0</v>
      </c>
      <c r="I889" s="2">
        <v>0</v>
      </c>
      <c r="J889" s="2">
        <v>0</v>
      </c>
      <c r="K889" s="2">
        <v>0</v>
      </c>
      <c r="L889" s="2">
        <v>0</v>
      </c>
      <c r="M889" s="2">
        <v>0</v>
      </c>
      <c r="N889" s="2">
        <v>0</v>
      </c>
      <c r="O889" s="2">
        <v>0</v>
      </c>
      <c r="P889" s="2">
        <v>0</v>
      </c>
      <c r="Q889" s="2">
        <v>0</v>
      </c>
      <c r="R889" s="2">
        <v>0</v>
      </c>
      <c r="S889" s="2">
        <v>0</v>
      </c>
      <c r="T889" s="2">
        <v>0</v>
      </c>
      <c r="U889" s="2">
        <v>0</v>
      </c>
      <c r="V889" s="2">
        <v>0</v>
      </c>
      <c r="W889">
        <f t="shared" si="13"/>
        <v>0</v>
      </c>
    </row>
    <row r="890" spans="1:23" x14ac:dyDescent="0.25">
      <c r="A890" s="255" t="s">
        <v>628</v>
      </c>
      <c r="B890" s="255" t="s">
        <v>916</v>
      </c>
      <c r="C890" s="255"/>
      <c r="D890" s="255"/>
      <c r="E890" s="255" t="s">
        <v>61</v>
      </c>
      <c r="F890" s="255"/>
      <c r="G890" s="255"/>
      <c r="H890" s="255">
        <v>0</v>
      </c>
      <c r="I890" s="255">
        <v>0</v>
      </c>
      <c r="J890" s="255">
        <v>0</v>
      </c>
      <c r="K890" s="255">
        <v>0</v>
      </c>
      <c r="L890" s="255">
        <v>0</v>
      </c>
      <c r="M890" s="255">
        <v>0</v>
      </c>
      <c r="N890" s="255">
        <v>0</v>
      </c>
      <c r="O890" s="255">
        <v>0</v>
      </c>
      <c r="P890" s="255">
        <v>0</v>
      </c>
      <c r="Q890" s="255">
        <v>0</v>
      </c>
      <c r="R890" s="255">
        <v>0</v>
      </c>
      <c r="S890" s="255">
        <v>0</v>
      </c>
      <c r="T890" s="255">
        <v>0</v>
      </c>
      <c r="U890" s="255">
        <v>0</v>
      </c>
      <c r="V890" s="255">
        <v>0</v>
      </c>
      <c r="W890">
        <f t="shared" si="13"/>
        <v>0</v>
      </c>
    </row>
    <row r="891" spans="1:23" x14ac:dyDescent="0.25">
      <c r="A891" s="2" t="s">
        <v>628</v>
      </c>
      <c r="B891" s="2" t="s">
        <v>916</v>
      </c>
      <c r="C891" s="2">
        <v>540146</v>
      </c>
      <c r="D891" s="2" t="s">
        <v>788</v>
      </c>
      <c r="E891" s="2" t="s">
        <v>63</v>
      </c>
      <c r="F891" s="2" t="s">
        <v>5</v>
      </c>
      <c r="G891" s="2">
        <v>4</v>
      </c>
      <c r="H891" s="2">
        <v>0</v>
      </c>
      <c r="I891" s="2">
        <v>0</v>
      </c>
      <c r="J891" s="2">
        <v>0</v>
      </c>
      <c r="K891" s="2">
        <v>0</v>
      </c>
      <c r="L891" s="2">
        <v>0</v>
      </c>
      <c r="M891" s="2">
        <v>0</v>
      </c>
      <c r="N891" s="2">
        <v>0</v>
      </c>
      <c r="O891" s="2">
        <v>0</v>
      </c>
      <c r="P891" s="2">
        <v>0</v>
      </c>
      <c r="Q891" s="2" t="s">
        <v>488</v>
      </c>
      <c r="R891" s="2" t="s">
        <v>488</v>
      </c>
      <c r="S891" s="2" t="s">
        <v>488</v>
      </c>
      <c r="T891" s="2" t="s">
        <v>488</v>
      </c>
      <c r="U891" s="2">
        <v>0</v>
      </c>
      <c r="V891" s="2">
        <v>0</v>
      </c>
      <c r="W891">
        <f t="shared" si="13"/>
        <v>0</v>
      </c>
    </row>
    <row r="892" spans="1:23" x14ac:dyDescent="0.25">
      <c r="A892" s="2" t="s">
        <v>628</v>
      </c>
      <c r="B892" s="2" t="s">
        <v>916</v>
      </c>
      <c r="C892" s="2">
        <v>540147</v>
      </c>
      <c r="D892" s="2" t="s">
        <v>789</v>
      </c>
      <c r="E892" s="2" t="s">
        <v>63</v>
      </c>
      <c r="F892" s="2" t="s">
        <v>115</v>
      </c>
      <c r="G892" s="2">
        <v>4</v>
      </c>
      <c r="H892" s="2">
        <v>0</v>
      </c>
      <c r="I892" s="2">
        <v>2</v>
      </c>
      <c r="J892" s="2">
        <v>0</v>
      </c>
      <c r="K892" s="2">
        <v>0</v>
      </c>
      <c r="L892" s="2">
        <v>0</v>
      </c>
      <c r="M892" s="2">
        <v>2</v>
      </c>
      <c r="N892" s="2">
        <v>2</v>
      </c>
      <c r="O892" s="2">
        <v>0</v>
      </c>
      <c r="P892" s="2">
        <v>0</v>
      </c>
      <c r="Q892" s="2" t="s">
        <v>488</v>
      </c>
      <c r="R892" s="2" t="s">
        <v>488</v>
      </c>
      <c r="S892" s="2" t="s">
        <v>488</v>
      </c>
      <c r="T892" s="2" t="s">
        <v>488</v>
      </c>
      <c r="U892" s="2">
        <v>0</v>
      </c>
      <c r="V892" s="2">
        <v>0</v>
      </c>
      <c r="W892">
        <f t="shared" si="13"/>
        <v>2</v>
      </c>
    </row>
    <row r="893" spans="1:23" x14ac:dyDescent="0.25">
      <c r="A893" s="2" t="s">
        <v>628</v>
      </c>
      <c r="B893" s="2" t="s">
        <v>916</v>
      </c>
      <c r="C893" s="2">
        <v>540148</v>
      </c>
      <c r="D893" s="2" t="s">
        <v>790</v>
      </c>
      <c r="E893" s="2" t="s">
        <v>63</v>
      </c>
      <c r="F893" s="2" t="s">
        <v>115</v>
      </c>
      <c r="G893" s="2">
        <v>4</v>
      </c>
      <c r="H893" s="2">
        <v>0</v>
      </c>
      <c r="I893" s="2">
        <v>0</v>
      </c>
      <c r="J893" s="2">
        <v>0</v>
      </c>
      <c r="K893" s="2">
        <v>0</v>
      </c>
      <c r="L893" s="2">
        <v>0</v>
      </c>
      <c r="M893" s="2">
        <v>0</v>
      </c>
      <c r="N893" s="2">
        <v>0</v>
      </c>
      <c r="O893" s="2">
        <v>0</v>
      </c>
      <c r="P893" s="2">
        <v>0</v>
      </c>
      <c r="Q893" s="2" t="s">
        <v>488</v>
      </c>
      <c r="R893" s="2" t="s">
        <v>488</v>
      </c>
      <c r="S893" s="2" t="s">
        <v>488</v>
      </c>
      <c r="T893" s="2" t="s">
        <v>488</v>
      </c>
      <c r="U893" s="2">
        <v>0</v>
      </c>
      <c r="V893" s="2">
        <v>0</v>
      </c>
      <c r="W893">
        <f t="shared" si="13"/>
        <v>0</v>
      </c>
    </row>
    <row r="894" spans="1:23" x14ac:dyDescent="0.25">
      <c r="A894" s="255" t="s">
        <v>628</v>
      </c>
      <c r="B894" s="255" t="s">
        <v>916</v>
      </c>
      <c r="C894" s="255"/>
      <c r="D894" s="255"/>
      <c r="E894" s="255" t="s">
        <v>63</v>
      </c>
      <c r="F894" s="255"/>
      <c r="G894" s="255"/>
      <c r="H894" s="255">
        <v>0</v>
      </c>
      <c r="I894" s="255">
        <v>2</v>
      </c>
      <c r="J894" s="255">
        <v>0</v>
      </c>
      <c r="K894" s="255">
        <v>0</v>
      </c>
      <c r="L894" s="255">
        <v>0</v>
      </c>
      <c r="M894" s="255">
        <v>2</v>
      </c>
      <c r="N894" s="255">
        <v>2</v>
      </c>
      <c r="O894" s="255">
        <v>0</v>
      </c>
      <c r="P894" s="255">
        <v>0</v>
      </c>
      <c r="Q894" s="255" t="s">
        <v>488</v>
      </c>
      <c r="R894" s="255" t="s">
        <v>488</v>
      </c>
      <c r="S894" s="255" t="s">
        <v>488</v>
      </c>
      <c r="T894" s="255" t="s">
        <v>488</v>
      </c>
      <c r="U894" s="255">
        <v>0</v>
      </c>
      <c r="V894" s="255">
        <v>0</v>
      </c>
      <c r="W894">
        <f t="shared" si="13"/>
        <v>2</v>
      </c>
    </row>
    <row r="895" spans="1:23" x14ac:dyDescent="0.25">
      <c r="A895" s="2" t="s">
        <v>628</v>
      </c>
      <c r="B895" s="2" t="s">
        <v>916</v>
      </c>
      <c r="C895" s="2">
        <v>540149</v>
      </c>
      <c r="D895" s="2" t="s">
        <v>791</v>
      </c>
      <c r="E895" s="2" t="s">
        <v>65</v>
      </c>
      <c r="F895" s="2" t="s">
        <v>5</v>
      </c>
      <c r="G895" s="2">
        <v>10</v>
      </c>
      <c r="H895" s="2">
        <v>0</v>
      </c>
      <c r="I895" s="2">
        <v>0</v>
      </c>
      <c r="J895" s="2">
        <v>0</v>
      </c>
      <c r="K895" s="2">
        <v>0</v>
      </c>
      <c r="L895" s="2">
        <v>0</v>
      </c>
      <c r="M895" s="2">
        <v>0</v>
      </c>
      <c r="N895" s="2">
        <v>0</v>
      </c>
      <c r="O895" s="2">
        <v>0</v>
      </c>
      <c r="P895" s="2">
        <v>0</v>
      </c>
      <c r="Q895" s="2">
        <v>0</v>
      </c>
      <c r="R895" s="2">
        <v>0</v>
      </c>
      <c r="S895" s="2" t="s">
        <v>488</v>
      </c>
      <c r="T895" s="2" t="s">
        <v>488</v>
      </c>
      <c r="U895" s="2">
        <v>0</v>
      </c>
      <c r="V895" s="2">
        <v>0</v>
      </c>
      <c r="W895">
        <f t="shared" si="13"/>
        <v>0</v>
      </c>
    </row>
    <row r="896" spans="1:23" x14ac:dyDescent="0.25">
      <c r="A896" s="2" t="s">
        <v>628</v>
      </c>
      <c r="B896" s="2" t="s">
        <v>916</v>
      </c>
      <c r="C896" s="2">
        <v>540080</v>
      </c>
      <c r="D896" s="2" t="s">
        <v>792</v>
      </c>
      <c r="E896" s="2" t="s">
        <v>65</v>
      </c>
      <c r="F896" s="2" t="s">
        <v>115</v>
      </c>
      <c r="G896" s="2">
        <v>10</v>
      </c>
      <c r="H896" s="2">
        <v>0</v>
      </c>
      <c r="I896" s="2">
        <v>0</v>
      </c>
      <c r="J896" s="2">
        <v>0</v>
      </c>
      <c r="K896" s="2">
        <v>0</v>
      </c>
      <c r="L896" s="2">
        <v>0</v>
      </c>
      <c r="M896" s="2">
        <v>0</v>
      </c>
      <c r="N896" s="2">
        <v>0</v>
      </c>
      <c r="O896" s="2">
        <v>0</v>
      </c>
      <c r="P896" s="2">
        <v>0</v>
      </c>
      <c r="Q896" s="2">
        <v>0</v>
      </c>
      <c r="R896" s="2">
        <v>0</v>
      </c>
      <c r="S896" s="2" t="s">
        <v>488</v>
      </c>
      <c r="T896" s="2" t="s">
        <v>488</v>
      </c>
      <c r="U896" s="2">
        <v>0</v>
      </c>
      <c r="V896" s="2">
        <v>0</v>
      </c>
      <c r="W896">
        <f t="shared" si="13"/>
        <v>0</v>
      </c>
    </row>
    <row r="897" spans="1:23" x14ac:dyDescent="0.25">
      <c r="A897" s="2" t="s">
        <v>628</v>
      </c>
      <c r="B897" s="2" t="s">
        <v>916</v>
      </c>
      <c r="C897" s="2">
        <v>540094</v>
      </c>
      <c r="D897" s="2" t="s">
        <v>793</v>
      </c>
      <c r="E897" s="2" t="s">
        <v>65</v>
      </c>
      <c r="F897" s="2" t="s">
        <v>115</v>
      </c>
      <c r="G897" s="2">
        <v>10</v>
      </c>
      <c r="H897" s="2">
        <v>0</v>
      </c>
      <c r="I897" s="2">
        <v>0</v>
      </c>
      <c r="J897" s="2">
        <v>0</v>
      </c>
      <c r="K897" s="2">
        <v>0</v>
      </c>
      <c r="L897" s="2">
        <v>0</v>
      </c>
      <c r="M897" s="2">
        <v>0</v>
      </c>
      <c r="N897" s="2">
        <v>0</v>
      </c>
      <c r="O897" s="2">
        <v>0</v>
      </c>
      <c r="P897" s="2">
        <v>0</v>
      </c>
      <c r="Q897" s="2">
        <v>0</v>
      </c>
      <c r="R897" s="2">
        <v>0</v>
      </c>
      <c r="S897" s="2" t="s">
        <v>488</v>
      </c>
      <c r="T897" s="2" t="s">
        <v>488</v>
      </c>
      <c r="U897" s="2">
        <v>0</v>
      </c>
      <c r="V897" s="2">
        <v>0</v>
      </c>
      <c r="W897">
        <f t="shared" si="13"/>
        <v>0</v>
      </c>
    </row>
    <row r="898" spans="1:23" x14ac:dyDescent="0.25">
      <c r="A898" s="2" t="s">
        <v>628</v>
      </c>
      <c r="B898" s="2" t="s">
        <v>916</v>
      </c>
      <c r="C898" s="2">
        <v>540150</v>
      </c>
      <c r="D898" s="2" t="s">
        <v>794</v>
      </c>
      <c r="E898" s="2" t="s">
        <v>65</v>
      </c>
      <c r="F898" s="2" t="s">
        <v>115</v>
      </c>
      <c r="G898" s="2">
        <v>10</v>
      </c>
      <c r="H898" s="2">
        <v>0</v>
      </c>
      <c r="I898" s="2">
        <v>0</v>
      </c>
      <c r="J898" s="2">
        <v>0</v>
      </c>
      <c r="K898" s="2">
        <v>0</v>
      </c>
      <c r="L898" s="2">
        <v>0</v>
      </c>
      <c r="M898" s="2">
        <v>0</v>
      </c>
      <c r="N898" s="2">
        <v>0</v>
      </c>
      <c r="O898" s="2">
        <v>0</v>
      </c>
      <c r="P898" s="2">
        <v>0</v>
      </c>
      <c r="Q898" s="2">
        <v>0</v>
      </c>
      <c r="R898" s="2">
        <v>0</v>
      </c>
      <c r="S898" s="2" t="s">
        <v>488</v>
      </c>
      <c r="T898" s="2" t="s">
        <v>488</v>
      </c>
      <c r="U898" s="2">
        <v>0</v>
      </c>
      <c r="V898" s="2">
        <v>0</v>
      </c>
      <c r="W898">
        <f t="shared" si="13"/>
        <v>0</v>
      </c>
    </row>
    <row r="899" spans="1:23" x14ac:dyDescent="0.25">
      <c r="A899" s="2" t="s">
        <v>628</v>
      </c>
      <c r="B899" s="2" t="s">
        <v>916</v>
      </c>
      <c r="C899" s="2">
        <v>540151</v>
      </c>
      <c r="D899" s="2" t="s">
        <v>795</v>
      </c>
      <c r="E899" s="2" t="s">
        <v>65</v>
      </c>
      <c r="F899" s="2" t="s">
        <v>115</v>
      </c>
      <c r="G899" s="2">
        <v>10</v>
      </c>
      <c r="H899" s="2">
        <v>0</v>
      </c>
      <c r="I899" s="2">
        <v>0</v>
      </c>
      <c r="J899" s="2">
        <v>0</v>
      </c>
      <c r="K899" s="2">
        <v>0</v>
      </c>
      <c r="L899" s="2">
        <v>0</v>
      </c>
      <c r="M899" s="2">
        <v>0</v>
      </c>
      <c r="N899" s="2">
        <v>0</v>
      </c>
      <c r="O899" s="2">
        <v>0</v>
      </c>
      <c r="P899" s="2">
        <v>0</v>
      </c>
      <c r="Q899" s="2">
        <v>0</v>
      </c>
      <c r="R899" s="2">
        <v>0</v>
      </c>
      <c r="S899" s="2" t="s">
        <v>488</v>
      </c>
      <c r="T899" s="2" t="s">
        <v>488</v>
      </c>
      <c r="U899" s="2">
        <v>0</v>
      </c>
      <c r="V899" s="2">
        <v>0</v>
      </c>
      <c r="W899">
        <f t="shared" ref="W899:W962" si="14">SUM(N899,P899,R899,T899,U899,V899)</f>
        <v>0</v>
      </c>
    </row>
    <row r="900" spans="1:23" x14ac:dyDescent="0.25">
      <c r="A900" s="2" t="s">
        <v>628</v>
      </c>
      <c r="B900" s="2" t="s">
        <v>916</v>
      </c>
      <c r="C900" s="2">
        <v>540152</v>
      </c>
      <c r="D900" s="2" t="s">
        <v>741</v>
      </c>
      <c r="E900" s="2" t="s">
        <v>65</v>
      </c>
      <c r="F900" s="2" t="s">
        <v>115</v>
      </c>
      <c r="G900" s="2">
        <v>10</v>
      </c>
      <c r="H900" s="2">
        <v>0</v>
      </c>
      <c r="I900" s="2">
        <v>0</v>
      </c>
      <c r="J900" s="2">
        <v>0</v>
      </c>
      <c r="K900" s="2">
        <v>0</v>
      </c>
      <c r="L900" s="2">
        <v>0</v>
      </c>
      <c r="M900" s="2">
        <v>0</v>
      </c>
      <c r="N900" s="2">
        <v>0</v>
      </c>
      <c r="O900" s="2">
        <v>0</v>
      </c>
      <c r="P900" s="2">
        <v>0</v>
      </c>
      <c r="Q900" s="2">
        <v>0</v>
      </c>
      <c r="R900" s="2">
        <v>0</v>
      </c>
      <c r="S900" s="2" t="s">
        <v>488</v>
      </c>
      <c r="T900" s="2" t="s">
        <v>488</v>
      </c>
      <c r="U900" s="2">
        <v>0</v>
      </c>
      <c r="V900" s="2">
        <v>0</v>
      </c>
      <c r="W900">
        <f t="shared" si="14"/>
        <v>0</v>
      </c>
    </row>
    <row r="901" spans="1:23" x14ac:dyDescent="0.25">
      <c r="A901" s="2" t="s">
        <v>628</v>
      </c>
      <c r="B901" s="2" t="s">
        <v>916</v>
      </c>
      <c r="C901" s="2">
        <v>540275</v>
      </c>
      <c r="D901" s="2" t="s">
        <v>796</v>
      </c>
      <c r="E901" s="2" t="s">
        <v>65</v>
      </c>
      <c r="F901" s="2" t="s">
        <v>115</v>
      </c>
      <c r="G901" s="2">
        <v>10</v>
      </c>
      <c r="H901" s="2">
        <v>0</v>
      </c>
      <c r="I901" s="2">
        <v>0</v>
      </c>
      <c r="J901" s="2">
        <v>0</v>
      </c>
      <c r="K901" s="2">
        <v>0</v>
      </c>
      <c r="L901" s="2">
        <v>0</v>
      </c>
      <c r="M901" s="2">
        <v>0</v>
      </c>
      <c r="N901" s="2">
        <v>0</v>
      </c>
      <c r="O901" s="2">
        <v>0</v>
      </c>
      <c r="P901" s="2">
        <v>0</v>
      </c>
      <c r="Q901" s="2">
        <v>0</v>
      </c>
      <c r="R901" s="2">
        <v>0</v>
      </c>
      <c r="S901" s="2" t="s">
        <v>488</v>
      </c>
      <c r="T901" s="2" t="s">
        <v>488</v>
      </c>
      <c r="U901" s="2">
        <v>0</v>
      </c>
      <c r="V901" s="2">
        <v>0</v>
      </c>
      <c r="W901">
        <f t="shared" si="14"/>
        <v>0</v>
      </c>
    </row>
    <row r="902" spans="1:23" x14ac:dyDescent="0.25">
      <c r="A902" s="255" t="s">
        <v>628</v>
      </c>
      <c r="B902" s="255" t="s">
        <v>916</v>
      </c>
      <c r="C902" s="255"/>
      <c r="D902" s="255"/>
      <c r="E902" s="255" t="s">
        <v>65</v>
      </c>
      <c r="F902" s="255"/>
      <c r="G902" s="255"/>
      <c r="H902" s="255">
        <v>0</v>
      </c>
      <c r="I902" s="255">
        <v>0</v>
      </c>
      <c r="J902" s="255">
        <v>0</v>
      </c>
      <c r="K902" s="255">
        <v>0</v>
      </c>
      <c r="L902" s="255">
        <v>0</v>
      </c>
      <c r="M902" s="255">
        <v>0</v>
      </c>
      <c r="N902" s="255">
        <v>0</v>
      </c>
      <c r="O902" s="255">
        <v>0</v>
      </c>
      <c r="P902" s="255">
        <v>0</v>
      </c>
      <c r="Q902" s="255">
        <v>0</v>
      </c>
      <c r="R902" s="255">
        <v>0</v>
      </c>
      <c r="S902" s="255" t="s">
        <v>488</v>
      </c>
      <c r="T902" s="255" t="s">
        <v>488</v>
      </c>
      <c r="U902" s="255">
        <v>0</v>
      </c>
      <c r="V902" s="255">
        <v>0</v>
      </c>
      <c r="W902">
        <f t="shared" si="14"/>
        <v>0</v>
      </c>
    </row>
    <row r="903" spans="1:23" x14ac:dyDescent="0.25">
      <c r="A903" s="2" t="s">
        <v>628</v>
      </c>
      <c r="B903" s="2" t="s">
        <v>916</v>
      </c>
      <c r="C903" s="2">
        <v>540153</v>
      </c>
      <c r="D903" s="2" t="s">
        <v>797</v>
      </c>
      <c r="E903" s="2" t="s">
        <v>67</v>
      </c>
      <c r="F903" s="2" t="s">
        <v>5</v>
      </c>
      <c r="G903" s="2">
        <v>8</v>
      </c>
      <c r="H903" s="2">
        <v>0</v>
      </c>
      <c r="I903" s="2">
        <v>0</v>
      </c>
      <c r="J903" s="2">
        <v>0</v>
      </c>
      <c r="K903" s="2">
        <v>0</v>
      </c>
      <c r="L903" s="2">
        <v>0</v>
      </c>
      <c r="M903" s="2">
        <v>0</v>
      </c>
      <c r="N903" s="2">
        <v>0</v>
      </c>
      <c r="O903" s="2">
        <v>0</v>
      </c>
      <c r="P903" s="2">
        <v>0</v>
      </c>
      <c r="Q903" s="2" t="s">
        <v>488</v>
      </c>
      <c r="R903" s="2" t="s">
        <v>488</v>
      </c>
      <c r="S903" s="2" t="s">
        <v>488</v>
      </c>
      <c r="T903" s="2" t="s">
        <v>488</v>
      </c>
      <c r="U903" s="2">
        <v>0</v>
      </c>
      <c r="V903" s="2">
        <v>0</v>
      </c>
      <c r="W903">
        <f t="shared" si="14"/>
        <v>0</v>
      </c>
    </row>
    <row r="904" spans="1:23" x14ac:dyDescent="0.25">
      <c r="A904" s="2" t="s">
        <v>628</v>
      </c>
      <c r="B904" s="2" t="s">
        <v>916</v>
      </c>
      <c r="C904" s="2">
        <v>540154</v>
      </c>
      <c r="D904" s="2" t="s">
        <v>798</v>
      </c>
      <c r="E904" s="2" t="s">
        <v>67</v>
      </c>
      <c r="F904" s="2" t="s">
        <v>115</v>
      </c>
      <c r="G904" s="2">
        <v>8</v>
      </c>
      <c r="H904" s="2">
        <v>0</v>
      </c>
      <c r="I904" s="2">
        <v>0</v>
      </c>
      <c r="J904" s="2">
        <v>0</v>
      </c>
      <c r="K904" s="2">
        <v>0</v>
      </c>
      <c r="L904" s="2">
        <v>0</v>
      </c>
      <c r="M904" s="2">
        <v>0</v>
      </c>
      <c r="N904" s="2">
        <v>0</v>
      </c>
      <c r="O904" s="2">
        <v>0</v>
      </c>
      <c r="P904" s="2">
        <v>0</v>
      </c>
      <c r="Q904" s="2" t="s">
        <v>488</v>
      </c>
      <c r="R904" s="2" t="s">
        <v>488</v>
      </c>
      <c r="S904" s="2" t="s">
        <v>488</v>
      </c>
      <c r="T904" s="2" t="s">
        <v>488</v>
      </c>
      <c r="U904" s="2">
        <v>0</v>
      </c>
      <c r="V904" s="2">
        <v>0</v>
      </c>
      <c r="W904">
        <f t="shared" si="14"/>
        <v>0</v>
      </c>
    </row>
    <row r="905" spans="1:23" x14ac:dyDescent="0.25">
      <c r="A905" s="255" t="s">
        <v>628</v>
      </c>
      <c r="B905" s="255" t="s">
        <v>916</v>
      </c>
      <c r="C905" s="255"/>
      <c r="D905" s="255"/>
      <c r="E905" s="255" t="s">
        <v>67</v>
      </c>
      <c r="F905" s="255"/>
      <c r="G905" s="255"/>
      <c r="H905" s="255">
        <v>0</v>
      </c>
      <c r="I905" s="255">
        <v>0</v>
      </c>
      <c r="J905" s="255">
        <v>0</v>
      </c>
      <c r="K905" s="255">
        <v>0</v>
      </c>
      <c r="L905" s="255">
        <v>0</v>
      </c>
      <c r="M905" s="255">
        <v>0</v>
      </c>
      <c r="N905" s="255">
        <v>0</v>
      </c>
      <c r="O905" s="255">
        <v>0</v>
      </c>
      <c r="P905" s="255">
        <v>0</v>
      </c>
      <c r="Q905" s="255" t="s">
        <v>488</v>
      </c>
      <c r="R905" s="255" t="s">
        <v>488</v>
      </c>
      <c r="S905" s="255" t="s">
        <v>488</v>
      </c>
      <c r="T905" s="255" t="s">
        <v>488</v>
      </c>
      <c r="U905" s="255">
        <v>0</v>
      </c>
      <c r="V905" s="255">
        <v>0</v>
      </c>
      <c r="W905">
        <f t="shared" si="14"/>
        <v>0</v>
      </c>
    </row>
    <row r="906" spans="1:23" x14ac:dyDescent="0.25">
      <c r="A906" s="2" t="s">
        <v>628</v>
      </c>
      <c r="B906" s="2" t="s">
        <v>916</v>
      </c>
      <c r="C906" s="2">
        <v>540160</v>
      </c>
      <c r="D906" s="2" t="s">
        <v>799</v>
      </c>
      <c r="E906" s="2" t="s">
        <v>69</v>
      </c>
      <c r="F906" s="2" t="s">
        <v>5</v>
      </c>
      <c r="G906" s="2">
        <v>6</v>
      </c>
      <c r="H906" s="2">
        <v>0</v>
      </c>
      <c r="I906" s="2">
        <v>0</v>
      </c>
      <c r="J906" s="2">
        <v>0</v>
      </c>
      <c r="K906" s="2">
        <v>0</v>
      </c>
      <c r="L906" s="2">
        <v>0</v>
      </c>
      <c r="M906" s="2">
        <v>0</v>
      </c>
      <c r="N906" s="2">
        <v>0</v>
      </c>
      <c r="O906" s="2">
        <v>0</v>
      </c>
      <c r="P906" s="2">
        <v>0</v>
      </c>
      <c r="Q906" s="2">
        <v>0</v>
      </c>
      <c r="R906" s="2">
        <v>0</v>
      </c>
      <c r="S906" s="2" t="s">
        <v>488</v>
      </c>
      <c r="T906" s="2" t="s">
        <v>488</v>
      </c>
      <c r="U906" s="2">
        <v>0</v>
      </c>
      <c r="V906" s="2">
        <v>0</v>
      </c>
      <c r="W906">
        <f t="shared" si="14"/>
        <v>0</v>
      </c>
    </row>
    <row r="907" spans="1:23" x14ac:dyDescent="0.25">
      <c r="A907" s="2" t="s">
        <v>628</v>
      </c>
      <c r="B907" s="2" t="s">
        <v>916</v>
      </c>
      <c r="C907" s="2">
        <v>540137</v>
      </c>
      <c r="D907" s="2" t="s">
        <v>800</v>
      </c>
      <c r="E907" s="2" t="s">
        <v>69</v>
      </c>
      <c r="F907" s="2" t="s">
        <v>115</v>
      </c>
      <c r="G907" s="2">
        <v>6</v>
      </c>
      <c r="H907" s="2">
        <v>0</v>
      </c>
      <c r="I907" s="2">
        <v>0</v>
      </c>
      <c r="J907" s="2">
        <v>0</v>
      </c>
      <c r="K907" s="2">
        <v>0</v>
      </c>
      <c r="L907" s="2">
        <v>0</v>
      </c>
      <c r="M907" s="2">
        <v>0</v>
      </c>
      <c r="N907" s="2">
        <v>0</v>
      </c>
      <c r="O907" s="2">
        <v>0</v>
      </c>
      <c r="P907" s="2">
        <v>0</v>
      </c>
      <c r="Q907" s="2">
        <v>0</v>
      </c>
      <c r="R907" s="2">
        <v>0</v>
      </c>
      <c r="S907" s="2" t="s">
        <v>488</v>
      </c>
      <c r="T907" s="2" t="s">
        <v>488</v>
      </c>
      <c r="U907" s="2">
        <v>0</v>
      </c>
      <c r="V907" s="2">
        <v>0</v>
      </c>
      <c r="W907">
        <f t="shared" si="14"/>
        <v>0</v>
      </c>
    </row>
    <row r="908" spans="1:23" x14ac:dyDescent="0.25">
      <c r="A908" s="2" t="s">
        <v>628</v>
      </c>
      <c r="B908" s="2" t="s">
        <v>916</v>
      </c>
      <c r="C908" s="2">
        <v>540161</v>
      </c>
      <c r="D908" s="2" t="s">
        <v>801</v>
      </c>
      <c r="E908" s="2" t="s">
        <v>69</v>
      </c>
      <c r="F908" s="2" t="s">
        <v>115</v>
      </c>
      <c r="G908" s="2">
        <v>6</v>
      </c>
      <c r="H908" s="2">
        <v>0</v>
      </c>
      <c r="I908" s="2">
        <v>0</v>
      </c>
      <c r="J908" s="2">
        <v>0</v>
      </c>
      <c r="K908" s="2">
        <v>0</v>
      </c>
      <c r="L908" s="2">
        <v>0</v>
      </c>
      <c r="M908" s="2">
        <v>0</v>
      </c>
      <c r="N908" s="2">
        <v>0</v>
      </c>
      <c r="O908" s="2">
        <v>0</v>
      </c>
      <c r="P908" s="2">
        <v>0</v>
      </c>
      <c r="Q908" s="2">
        <v>0</v>
      </c>
      <c r="R908" s="2">
        <v>0</v>
      </c>
      <c r="S908" s="2" t="s">
        <v>488</v>
      </c>
      <c r="T908" s="2" t="s">
        <v>488</v>
      </c>
      <c r="U908" s="2">
        <v>0</v>
      </c>
      <c r="V908" s="2">
        <v>0</v>
      </c>
      <c r="W908">
        <f t="shared" si="14"/>
        <v>0</v>
      </c>
    </row>
    <row r="909" spans="1:23" x14ac:dyDescent="0.25">
      <c r="A909" s="2" t="s">
        <v>628</v>
      </c>
      <c r="B909" s="2" t="s">
        <v>916</v>
      </c>
      <c r="C909" s="2">
        <v>540162</v>
      </c>
      <c r="D909" s="2" t="s">
        <v>802</v>
      </c>
      <c r="E909" s="2" t="s">
        <v>69</v>
      </c>
      <c r="F909" s="2" t="s">
        <v>115</v>
      </c>
      <c r="G909" s="2">
        <v>6</v>
      </c>
      <c r="H909" s="2">
        <v>0</v>
      </c>
      <c r="I909" s="2">
        <v>0</v>
      </c>
      <c r="J909" s="2">
        <v>0</v>
      </c>
      <c r="K909" s="2">
        <v>0</v>
      </c>
      <c r="L909" s="2">
        <v>0</v>
      </c>
      <c r="M909" s="2">
        <v>0</v>
      </c>
      <c r="N909" s="2">
        <v>0</v>
      </c>
      <c r="O909" s="2">
        <v>0</v>
      </c>
      <c r="P909" s="2">
        <v>0</v>
      </c>
      <c r="Q909" s="2">
        <v>0</v>
      </c>
      <c r="R909" s="2">
        <v>0</v>
      </c>
      <c r="S909" s="2" t="s">
        <v>488</v>
      </c>
      <c r="T909" s="2" t="s">
        <v>488</v>
      </c>
      <c r="U909" s="2">
        <v>0</v>
      </c>
      <c r="V909" s="2">
        <v>0</v>
      </c>
      <c r="W909">
        <f t="shared" si="14"/>
        <v>0</v>
      </c>
    </row>
    <row r="910" spans="1:23" x14ac:dyDescent="0.25">
      <c r="A910" s="2" t="s">
        <v>628</v>
      </c>
      <c r="B910" s="2" t="s">
        <v>916</v>
      </c>
      <c r="C910" s="2">
        <v>540163</v>
      </c>
      <c r="D910" s="2" t="s">
        <v>803</v>
      </c>
      <c r="E910" s="2" t="s">
        <v>69</v>
      </c>
      <c r="F910" s="2" t="s">
        <v>115</v>
      </c>
      <c r="G910" s="2">
        <v>6</v>
      </c>
      <c r="H910" s="2">
        <v>0</v>
      </c>
      <c r="I910" s="2">
        <v>0</v>
      </c>
      <c r="J910" s="2">
        <v>0</v>
      </c>
      <c r="K910" s="2">
        <v>0</v>
      </c>
      <c r="L910" s="2">
        <v>0</v>
      </c>
      <c r="M910" s="2">
        <v>0</v>
      </c>
      <c r="N910" s="2">
        <v>0</v>
      </c>
      <c r="O910" s="2">
        <v>0</v>
      </c>
      <c r="P910" s="2">
        <v>0</v>
      </c>
      <c r="Q910" s="2">
        <v>0</v>
      </c>
      <c r="R910" s="2">
        <v>0</v>
      </c>
      <c r="S910" s="2" t="s">
        <v>488</v>
      </c>
      <c r="T910" s="2" t="s">
        <v>488</v>
      </c>
      <c r="U910" s="2">
        <v>0</v>
      </c>
      <c r="V910" s="2">
        <v>0</v>
      </c>
      <c r="W910">
        <f t="shared" si="14"/>
        <v>0</v>
      </c>
    </row>
    <row r="911" spans="1:23" x14ac:dyDescent="0.25">
      <c r="A911" s="2" t="s">
        <v>628</v>
      </c>
      <c r="B911" s="2" t="s">
        <v>916</v>
      </c>
      <c r="C911" s="2">
        <v>540254</v>
      </c>
      <c r="D911" s="2" t="s">
        <v>804</v>
      </c>
      <c r="E911" s="2" t="s">
        <v>69</v>
      </c>
      <c r="F911" s="2" t="s">
        <v>115</v>
      </c>
      <c r="G911" s="2">
        <v>6</v>
      </c>
      <c r="H911" s="2">
        <v>0</v>
      </c>
      <c r="I911" s="2">
        <v>0</v>
      </c>
      <c r="J911" s="2">
        <v>0</v>
      </c>
      <c r="K911" s="2">
        <v>0</v>
      </c>
      <c r="L911" s="2">
        <v>0</v>
      </c>
      <c r="M911" s="2">
        <v>0</v>
      </c>
      <c r="N911" s="2">
        <v>0</v>
      </c>
      <c r="O911" s="2">
        <v>0</v>
      </c>
      <c r="P911" s="2">
        <v>0</v>
      </c>
      <c r="Q911" s="2">
        <v>0</v>
      </c>
      <c r="R911" s="2">
        <v>0</v>
      </c>
      <c r="S911" s="2" t="s">
        <v>488</v>
      </c>
      <c r="T911" s="2" t="s">
        <v>488</v>
      </c>
      <c r="U911" s="2">
        <v>0</v>
      </c>
      <c r="V911" s="2">
        <v>0</v>
      </c>
      <c r="W911">
        <f t="shared" si="14"/>
        <v>0</v>
      </c>
    </row>
    <row r="912" spans="1:23" x14ac:dyDescent="0.25">
      <c r="A912" s="2" t="s">
        <v>628</v>
      </c>
      <c r="B912" s="2" t="s">
        <v>916</v>
      </c>
      <c r="C912" s="2">
        <v>540257</v>
      </c>
      <c r="D912" s="2" t="s">
        <v>805</v>
      </c>
      <c r="E912" s="2" t="s">
        <v>69</v>
      </c>
      <c r="F912" s="2" t="s">
        <v>115</v>
      </c>
      <c r="G912" s="2">
        <v>6</v>
      </c>
      <c r="H912" s="2">
        <v>0</v>
      </c>
      <c r="I912" s="2">
        <v>0</v>
      </c>
      <c r="J912" s="2">
        <v>0</v>
      </c>
      <c r="K912" s="2">
        <v>0</v>
      </c>
      <c r="L912" s="2">
        <v>0</v>
      </c>
      <c r="M912" s="2">
        <v>0</v>
      </c>
      <c r="N912" s="2">
        <v>0</v>
      </c>
      <c r="O912" s="2">
        <v>0</v>
      </c>
      <c r="P912" s="2">
        <v>0</v>
      </c>
      <c r="Q912" s="2">
        <v>0</v>
      </c>
      <c r="R912" s="2">
        <v>0</v>
      </c>
      <c r="S912" s="2" t="s">
        <v>488</v>
      </c>
      <c r="T912" s="2" t="s">
        <v>488</v>
      </c>
      <c r="U912" s="2">
        <v>0</v>
      </c>
      <c r="V912" s="2">
        <v>0</v>
      </c>
      <c r="W912">
        <f t="shared" si="14"/>
        <v>0</v>
      </c>
    </row>
    <row r="913" spans="1:23" x14ac:dyDescent="0.25">
      <c r="A913" s="2" t="s">
        <v>628</v>
      </c>
      <c r="B913" s="2" t="s">
        <v>916</v>
      </c>
      <c r="C913" s="2">
        <v>540268</v>
      </c>
      <c r="D913" s="2" t="s">
        <v>806</v>
      </c>
      <c r="E913" s="2" t="s">
        <v>69</v>
      </c>
      <c r="F913" s="2" t="s">
        <v>115</v>
      </c>
      <c r="G913" s="2">
        <v>6</v>
      </c>
      <c r="H913" s="2">
        <v>0</v>
      </c>
      <c r="I913" s="2">
        <v>0</v>
      </c>
      <c r="J913" s="2">
        <v>0</v>
      </c>
      <c r="K913" s="2">
        <v>0</v>
      </c>
      <c r="L913" s="2">
        <v>0</v>
      </c>
      <c r="M913" s="2">
        <v>0</v>
      </c>
      <c r="N913" s="2">
        <v>0</v>
      </c>
      <c r="O913" s="2">
        <v>0</v>
      </c>
      <c r="P913" s="2">
        <v>0</v>
      </c>
      <c r="Q913" s="2">
        <v>0</v>
      </c>
      <c r="R913" s="2">
        <v>0</v>
      </c>
      <c r="S913" s="2" t="s">
        <v>488</v>
      </c>
      <c r="T913" s="2" t="s">
        <v>488</v>
      </c>
      <c r="U913" s="2">
        <v>0</v>
      </c>
      <c r="V913" s="2">
        <v>0</v>
      </c>
      <c r="W913">
        <f t="shared" si="14"/>
        <v>0</v>
      </c>
    </row>
    <row r="914" spans="1:23" x14ac:dyDescent="0.25">
      <c r="A914" s="2" t="s">
        <v>628</v>
      </c>
      <c r="B914" s="2" t="s">
        <v>916</v>
      </c>
      <c r="C914" s="2">
        <v>540269</v>
      </c>
      <c r="D914" s="2" t="s">
        <v>807</v>
      </c>
      <c r="E914" s="2" t="s">
        <v>69</v>
      </c>
      <c r="F914" s="2" t="s">
        <v>115</v>
      </c>
      <c r="G914" s="2">
        <v>6</v>
      </c>
      <c r="H914" s="2">
        <v>0</v>
      </c>
      <c r="I914" s="2">
        <v>0</v>
      </c>
      <c r="J914" s="2">
        <v>0</v>
      </c>
      <c r="K914" s="2">
        <v>0</v>
      </c>
      <c r="L914" s="2">
        <v>0</v>
      </c>
      <c r="M914" s="2">
        <v>0</v>
      </c>
      <c r="N914" s="2">
        <v>0</v>
      </c>
      <c r="O914" s="2">
        <v>0</v>
      </c>
      <c r="P914" s="2">
        <v>0</v>
      </c>
      <c r="Q914" s="2">
        <v>0</v>
      </c>
      <c r="R914" s="2">
        <v>0</v>
      </c>
      <c r="S914" s="2" t="s">
        <v>488</v>
      </c>
      <c r="T914" s="2" t="s">
        <v>488</v>
      </c>
      <c r="U914" s="2">
        <v>0</v>
      </c>
      <c r="V914" s="2">
        <v>0</v>
      </c>
      <c r="W914">
        <f t="shared" si="14"/>
        <v>0</v>
      </c>
    </row>
    <row r="915" spans="1:23" x14ac:dyDescent="0.25">
      <c r="A915" s="2" t="s">
        <v>628</v>
      </c>
      <c r="B915" s="2" t="s">
        <v>916</v>
      </c>
      <c r="C915" s="2">
        <v>540270</v>
      </c>
      <c r="D915" s="2" t="s">
        <v>808</v>
      </c>
      <c r="E915" s="2" t="s">
        <v>69</v>
      </c>
      <c r="F915" s="2" t="s">
        <v>115</v>
      </c>
      <c r="G915" s="2">
        <v>6</v>
      </c>
      <c r="H915" s="2">
        <v>0</v>
      </c>
      <c r="I915" s="2">
        <v>0</v>
      </c>
      <c r="J915" s="2">
        <v>0</v>
      </c>
      <c r="K915" s="2">
        <v>0</v>
      </c>
      <c r="L915" s="2">
        <v>0</v>
      </c>
      <c r="M915" s="2">
        <v>0</v>
      </c>
      <c r="N915" s="2">
        <v>0</v>
      </c>
      <c r="O915" s="2">
        <v>0</v>
      </c>
      <c r="P915" s="2">
        <v>0</v>
      </c>
      <c r="Q915" s="2">
        <v>0</v>
      </c>
      <c r="R915" s="2">
        <v>0</v>
      </c>
      <c r="S915" s="2" t="s">
        <v>488</v>
      </c>
      <c r="T915" s="2" t="s">
        <v>488</v>
      </c>
      <c r="U915" s="2">
        <v>0</v>
      </c>
      <c r="V915" s="2">
        <v>0</v>
      </c>
      <c r="W915">
        <f t="shared" si="14"/>
        <v>0</v>
      </c>
    </row>
    <row r="916" spans="1:23" x14ac:dyDescent="0.25">
      <c r="A916" s="2" t="s">
        <v>628</v>
      </c>
      <c r="B916" s="2" t="s">
        <v>916</v>
      </c>
      <c r="C916" s="2">
        <v>540284</v>
      </c>
      <c r="D916" s="2" t="s">
        <v>809</v>
      </c>
      <c r="E916" s="2" t="s">
        <v>69</v>
      </c>
      <c r="F916" s="2" t="s">
        <v>115</v>
      </c>
      <c r="G916" s="2">
        <v>6</v>
      </c>
      <c r="H916" s="2">
        <v>0</v>
      </c>
      <c r="I916" s="2">
        <v>0</v>
      </c>
      <c r="J916" s="2">
        <v>0</v>
      </c>
      <c r="K916" s="2">
        <v>0</v>
      </c>
      <c r="L916" s="2">
        <v>0</v>
      </c>
      <c r="M916" s="2">
        <v>0</v>
      </c>
      <c r="N916" s="2">
        <v>0</v>
      </c>
      <c r="O916" s="2">
        <v>0</v>
      </c>
      <c r="P916" s="2">
        <v>0</v>
      </c>
      <c r="Q916" s="2">
        <v>0</v>
      </c>
      <c r="R916" s="2">
        <v>0</v>
      </c>
      <c r="S916" s="2" t="s">
        <v>488</v>
      </c>
      <c r="T916" s="2" t="s">
        <v>488</v>
      </c>
      <c r="U916" s="2">
        <v>0</v>
      </c>
      <c r="V916" s="2">
        <v>0</v>
      </c>
      <c r="W916">
        <f t="shared" si="14"/>
        <v>0</v>
      </c>
    </row>
    <row r="917" spans="1:23" x14ac:dyDescent="0.25">
      <c r="A917" s="255" t="s">
        <v>628</v>
      </c>
      <c r="B917" s="255" t="s">
        <v>916</v>
      </c>
      <c r="C917" s="255"/>
      <c r="D917" s="255"/>
      <c r="E917" s="255" t="s">
        <v>69</v>
      </c>
      <c r="F917" s="255"/>
      <c r="G917" s="255"/>
      <c r="H917" s="255">
        <v>0</v>
      </c>
      <c r="I917" s="255">
        <v>0</v>
      </c>
      <c r="J917" s="255">
        <v>0</v>
      </c>
      <c r="K917" s="255">
        <v>0</v>
      </c>
      <c r="L917" s="255">
        <v>0</v>
      </c>
      <c r="M917" s="255">
        <v>0</v>
      </c>
      <c r="N917" s="255">
        <v>0</v>
      </c>
      <c r="O917" s="255">
        <v>0</v>
      </c>
      <c r="P917" s="255">
        <v>0</v>
      </c>
      <c r="Q917" s="255">
        <v>0</v>
      </c>
      <c r="R917" s="255">
        <v>0</v>
      </c>
      <c r="S917" s="255" t="s">
        <v>488</v>
      </c>
      <c r="T917" s="255" t="s">
        <v>488</v>
      </c>
      <c r="U917" s="255">
        <v>0</v>
      </c>
      <c r="V917" s="255">
        <v>0</v>
      </c>
      <c r="W917">
        <f t="shared" si="14"/>
        <v>0</v>
      </c>
    </row>
    <row r="918" spans="1:23" x14ac:dyDescent="0.25">
      <c r="A918" s="2" t="s">
        <v>628</v>
      </c>
      <c r="B918" s="2" t="s">
        <v>916</v>
      </c>
      <c r="C918" s="2">
        <v>540164</v>
      </c>
      <c r="D918" s="2" t="s">
        <v>810</v>
      </c>
      <c r="E918" s="2" t="s">
        <v>71</v>
      </c>
      <c r="F918" s="2" t="s">
        <v>5</v>
      </c>
      <c r="G918" s="2">
        <v>3</v>
      </c>
      <c r="H918" s="2">
        <v>0</v>
      </c>
      <c r="I918" s="2">
        <v>0</v>
      </c>
      <c r="J918" s="2">
        <v>0</v>
      </c>
      <c r="K918" s="2">
        <v>0</v>
      </c>
      <c r="L918" s="2">
        <v>0</v>
      </c>
      <c r="M918" s="2">
        <v>0</v>
      </c>
      <c r="N918" s="2">
        <v>0</v>
      </c>
      <c r="O918" s="2">
        <v>0</v>
      </c>
      <c r="P918" s="2">
        <v>0</v>
      </c>
      <c r="Q918" s="2">
        <v>0</v>
      </c>
      <c r="R918" s="2">
        <v>0</v>
      </c>
      <c r="S918" s="2" t="s">
        <v>488</v>
      </c>
      <c r="T918" s="2" t="s">
        <v>488</v>
      </c>
      <c r="U918" s="2">
        <v>0</v>
      </c>
      <c r="V918" s="2">
        <v>0</v>
      </c>
      <c r="W918">
        <f t="shared" si="14"/>
        <v>0</v>
      </c>
    </row>
    <row r="919" spans="1:23" x14ac:dyDescent="0.25">
      <c r="A919" s="2" t="s">
        <v>628</v>
      </c>
      <c r="B919" s="2" t="s">
        <v>916</v>
      </c>
      <c r="C919" s="2">
        <v>540081</v>
      </c>
      <c r="D919" s="2" t="s">
        <v>711</v>
      </c>
      <c r="E919" s="2" t="s">
        <v>71</v>
      </c>
      <c r="F919" s="2" t="s">
        <v>115</v>
      </c>
      <c r="G919" s="2">
        <v>3</v>
      </c>
      <c r="H919" s="2">
        <v>0</v>
      </c>
      <c r="I919" s="2">
        <v>0</v>
      </c>
      <c r="J919" s="2">
        <v>0</v>
      </c>
      <c r="K919" s="2">
        <v>0</v>
      </c>
      <c r="L919" s="2">
        <v>0</v>
      </c>
      <c r="M919" s="2">
        <v>0</v>
      </c>
      <c r="N919" s="2">
        <v>0</v>
      </c>
      <c r="O919" s="2">
        <v>0</v>
      </c>
      <c r="P919" s="2">
        <v>0</v>
      </c>
      <c r="Q919" s="2">
        <v>0</v>
      </c>
      <c r="R919" s="2">
        <v>0</v>
      </c>
      <c r="S919" s="2" t="s">
        <v>488</v>
      </c>
      <c r="T919" s="2" t="s">
        <v>488</v>
      </c>
      <c r="U919" s="2">
        <v>0</v>
      </c>
      <c r="V919" s="2">
        <v>0</v>
      </c>
      <c r="W919">
        <f t="shared" si="14"/>
        <v>0</v>
      </c>
    </row>
    <row r="920" spans="1:23" x14ac:dyDescent="0.25">
      <c r="A920" s="2" t="s">
        <v>628</v>
      </c>
      <c r="B920" s="2" t="s">
        <v>916</v>
      </c>
      <c r="C920" s="2">
        <v>540165</v>
      </c>
      <c r="D920" s="2" t="s">
        <v>811</v>
      </c>
      <c r="E920" s="2" t="s">
        <v>71</v>
      </c>
      <c r="F920" s="2" t="s">
        <v>115</v>
      </c>
      <c r="G920" s="2">
        <v>3</v>
      </c>
      <c r="H920" s="2">
        <v>0</v>
      </c>
      <c r="I920" s="2">
        <v>0</v>
      </c>
      <c r="J920" s="2">
        <v>0</v>
      </c>
      <c r="K920" s="2">
        <v>0</v>
      </c>
      <c r="L920" s="2">
        <v>0</v>
      </c>
      <c r="M920" s="2">
        <v>0</v>
      </c>
      <c r="N920" s="2">
        <v>0</v>
      </c>
      <c r="O920" s="2">
        <v>0</v>
      </c>
      <c r="P920" s="2">
        <v>0</v>
      </c>
      <c r="Q920" s="2">
        <v>0</v>
      </c>
      <c r="R920" s="2">
        <v>0</v>
      </c>
      <c r="S920" s="2" t="s">
        <v>488</v>
      </c>
      <c r="T920" s="2" t="s">
        <v>488</v>
      </c>
      <c r="U920" s="2">
        <v>0</v>
      </c>
      <c r="V920" s="2">
        <v>0</v>
      </c>
      <c r="W920">
        <f t="shared" si="14"/>
        <v>0</v>
      </c>
    </row>
    <row r="921" spans="1:23" x14ac:dyDescent="0.25">
      <c r="A921" s="2" t="s">
        <v>628</v>
      </c>
      <c r="B921" s="2" t="s">
        <v>916</v>
      </c>
      <c r="C921" s="2">
        <v>540166</v>
      </c>
      <c r="D921" s="2" t="s">
        <v>812</v>
      </c>
      <c r="E921" s="2" t="s">
        <v>71</v>
      </c>
      <c r="F921" s="2" t="s">
        <v>115</v>
      </c>
      <c r="G921" s="2">
        <v>3</v>
      </c>
      <c r="H921" s="2">
        <v>0</v>
      </c>
      <c r="I921" s="2">
        <v>1</v>
      </c>
      <c r="J921" s="2">
        <v>0</v>
      </c>
      <c r="K921" s="2">
        <v>0</v>
      </c>
      <c r="L921" s="2">
        <v>0</v>
      </c>
      <c r="M921" s="2">
        <v>1</v>
      </c>
      <c r="N921" s="2">
        <v>1</v>
      </c>
      <c r="O921" s="2">
        <v>0</v>
      </c>
      <c r="P921" s="2">
        <v>0</v>
      </c>
      <c r="Q921" s="2">
        <v>0</v>
      </c>
      <c r="R921" s="2">
        <v>0</v>
      </c>
      <c r="S921" s="2" t="s">
        <v>488</v>
      </c>
      <c r="T921" s="2" t="s">
        <v>488</v>
      </c>
      <c r="U921" s="2">
        <v>0</v>
      </c>
      <c r="V921" s="2">
        <v>0</v>
      </c>
      <c r="W921">
        <f t="shared" si="14"/>
        <v>1</v>
      </c>
    </row>
    <row r="922" spans="1:23" x14ac:dyDescent="0.25">
      <c r="A922" s="2" t="s">
        <v>628</v>
      </c>
      <c r="B922" s="2" t="s">
        <v>916</v>
      </c>
      <c r="C922" s="2">
        <v>540167</v>
      </c>
      <c r="D922" s="2" t="s">
        <v>813</v>
      </c>
      <c r="E922" s="2" t="s">
        <v>71</v>
      </c>
      <c r="F922" s="2" t="s">
        <v>115</v>
      </c>
      <c r="G922" s="2">
        <v>3</v>
      </c>
      <c r="H922" s="2">
        <v>0</v>
      </c>
      <c r="I922" s="2">
        <v>0</v>
      </c>
      <c r="J922" s="2">
        <v>0</v>
      </c>
      <c r="K922" s="2">
        <v>0</v>
      </c>
      <c r="L922" s="2">
        <v>0</v>
      </c>
      <c r="M922" s="2">
        <v>0</v>
      </c>
      <c r="N922" s="2">
        <v>0</v>
      </c>
      <c r="O922" s="2">
        <v>0</v>
      </c>
      <c r="P922" s="2">
        <v>0</v>
      </c>
      <c r="Q922" s="2">
        <v>0</v>
      </c>
      <c r="R922" s="2">
        <v>0</v>
      </c>
      <c r="S922" s="2" t="s">
        <v>488</v>
      </c>
      <c r="T922" s="2" t="s">
        <v>488</v>
      </c>
      <c r="U922" s="2">
        <v>0</v>
      </c>
      <c r="V922" s="2">
        <v>0</v>
      </c>
      <c r="W922">
        <f t="shared" si="14"/>
        <v>0</v>
      </c>
    </row>
    <row r="923" spans="1:23" x14ac:dyDescent="0.25">
      <c r="A923" s="2" t="s">
        <v>628</v>
      </c>
      <c r="B923" s="2" t="s">
        <v>916</v>
      </c>
      <c r="C923" s="2">
        <v>540168</v>
      </c>
      <c r="D923" s="2" t="s">
        <v>814</v>
      </c>
      <c r="E923" s="2" t="s">
        <v>71</v>
      </c>
      <c r="F923" s="2" t="s">
        <v>115</v>
      </c>
      <c r="G923" s="2">
        <v>3</v>
      </c>
      <c r="H923" s="2">
        <v>0</v>
      </c>
      <c r="I923" s="2">
        <v>0</v>
      </c>
      <c r="J923" s="2">
        <v>0</v>
      </c>
      <c r="K923" s="2">
        <v>0</v>
      </c>
      <c r="L923" s="2">
        <v>0</v>
      </c>
      <c r="M923" s="2">
        <v>0</v>
      </c>
      <c r="N923" s="2">
        <v>0</v>
      </c>
      <c r="O923" s="2">
        <v>0</v>
      </c>
      <c r="P923" s="2">
        <v>0</v>
      </c>
      <c r="Q923" s="2">
        <v>0</v>
      </c>
      <c r="R923" s="2">
        <v>0</v>
      </c>
      <c r="S923" s="2" t="s">
        <v>488</v>
      </c>
      <c r="T923" s="2" t="s">
        <v>488</v>
      </c>
      <c r="U923" s="2">
        <v>1</v>
      </c>
      <c r="V923" s="2">
        <v>0</v>
      </c>
      <c r="W923">
        <f t="shared" si="14"/>
        <v>1</v>
      </c>
    </row>
    <row r="924" spans="1:23" x14ac:dyDescent="0.25">
      <c r="A924" s="2" t="s">
        <v>628</v>
      </c>
      <c r="B924" s="2" t="s">
        <v>916</v>
      </c>
      <c r="C924" s="2">
        <v>540222</v>
      </c>
      <c r="D924" s="2" t="s">
        <v>815</v>
      </c>
      <c r="E924" s="2" t="s">
        <v>71</v>
      </c>
      <c r="F924" s="2" t="s">
        <v>115</v>
      </c>
      <c r="G924" s="2">
        <v>3</v>
      </c>
      <c r="H924" s="2">
        <v>0</v>
      </c>
      <c r="I924" s="2">
        <v>0</v>
      </c>
      <c r="J924" s="2">
        <v>0</v>
      </c>
      <c r="K924" s="2">
        <v>0</v>
      </c>
      <c r="L924" s="2">
        <v>0</v>
      </c>
      <c r="M924" s="2">
        <v>0</v>
      </c>
      <c r="N924" s="2">
        <v>0</v>
      </c>
      <c r="O924" s="2">
        <v>0</v>
      </c>
      <c r="P924" s="2">
        <v>0</v>
      </c>
      <c r="Q924" s="2">
        <v>0</v>
      </c>
      <c r="R924" s="2">
        <v>0</v>
      </c>
      <c r="S924" s="2" t="s">
        <v>488</v>
      </c>
      <c r="T924" s="2" t="s">
        <v>488</v>
      </c>
      <c r="U924" s="2">
        <v>0</v>
      </c>
      <c r="V924" s="2">
        <v>0</v>
      </c>
      <c r="W924">
        <f t="shared" si="14"/>
        <v>0</v>
      </c>
    </row>
    <row r="925" spans="1:23" x14ac:dyDescent="0.25">
      <c r="A925" s="2" t="s">
        <v>628</v>
      </c>
      <c r="B925" s="2" t="s">
        <v>916</v>
      </c>
      <c r="C925" s="2">
        <v>540271</v>
      </c>
      <c r="D925" s="2" t="s">
        <v>816</v>
      </c>
      <c r="E925" s="2" t="s">
        <v>71</v>
      </c>
      <c r="F925" s="2" t="s">
        <v>115</v>
      </c>
      <c r="G925" s="2">
        <v>3</v>
      </c>
      <c r="H925" s="2">
        <v>0</v>
      </c>
      <c r="I925" s="2">
        <v>0</v>
      </c>
      <c r="J925" s="2">
        <v>0</v>
      </c>
      <c r="K925" s="2">
        <v>0</v>
      </c>
      <c r="L925" s="2">
        <v>0</v>
      </c>
      <c r="M925" s="2">
        <v>0</v>
      </c>
      <c r="N925" s="2">
        <v>0</v>
      </c>
      <c r="O925" s="2">
        <v>0</v>
      </c>
      <c r="P925" s="2">
        <v>0</v>
      </c>
      <c r="Q925" s="2">
        <v>0</v>
      </c>
      <c r="R925" s="2">
        <v>0</v>
      </c>
      <c r="S925" s="2" t="s">
        <v>488</v>
      </c>
      <c r="T925" s="2" t="s">
        <v>488</v>
      </c>
      <c r="U925" s="2">
        <v>0</v>
      </c>
      <c r="V925" s="2">
        <v>0</v>
      </c>
      <c r="W925">
        <f t="shared" si="14"/>
        <v>0</v>
      </c>
    </row>
    <row r="926" spans="1:23" x14ac:dyDescent="0.25">
      <c r="A926" s="255" t="s">
        <v>628</v>
      </c>
      <c r="B926" s="255" t="s">
        <v>916</v>
      </c>
      <c r="C926" s="255"/>
      <c r="D926" s="255"/>
      <c r="E926" s="255" t="s">
        <v>71</v>
      </c>
      <c r="F926" s="255"/>
      <c r="G926" s="255"/>
      <c r="H926" s="255">
        <v>0</v>
      </c>
      <c r="I926" s="255">
        <v>1</v>
      </c>
      <c r="J926" s="255">
        <v>0</v>
      </c>
      <c r="K926" s="255">
        <v>0</v>
      </c>
      <c r="L926" s="255">
        <v>0</v>
      </c>
      <c r="M926" s="255">
        <v>1</v>
      </c>
      <c r="N926" s="255">
        <v>1</v>
      </c>
      <c r="O926" s="255">
        <v>0</v>
      </c>
      <c r="P926" s="255">
        <v>0</v>
      </c>
      <c r="Q926" s="255">
        <v>0</v>
      </c>
      <c r="R926" s="255">
        <v>0</v>
      </c>
      <c r="S926" s="255" t="s">
        <v>488</v>
      </c>
      <c r="T926" s="255" t="s">
        <v>488</v>
      </c>
      <c r="U926" s="255">
        <v>1</v>
      </c>
      <c r="V926" s="255">
        <v>0</v>
      </c>
      <c r="W926">
        <f t="shared" si="14"/>
        <v>2</v>
      </c>
    </row>
    <row r="927" spans="1:23" x14ac:dyDescent="0.25">
      <c r="A927" s="2" t="s">
        <v>628</v>
      </c>
      <c r="B927" s="2" t="s">
        <v>916</v>
      </c>
      <c r="C927" s="2">
        <v>540169</v>
      </c>
      <c r="D927" s="2" t="s">
        <v>817</v>
      </c>
      <c r="E927" s="2" t="s">
        <v>73</v>
      </c>
      <c r="F927" s="2" t="s">
        <v>5</v>
      </c>
      <c r="G927" s="2">
        <v>1</v>
      </c>
      <c r="H927" s="2">
        <v>1</v>
      </c>
      <c r="I927" s="2">
        <v>0</v>
      </c>
      <c r="J927" s="2">
        <v>0</v>
      </c>
      <c r="K927" s="2">
        <v>0</v>
      </c>
      <c r="L927" s="2">
        <v>0</v>
      </c>
      <c r="M927" s="2">
        <v>0</v>
      </c>
      <c r="N927" s="2">
        <v>1</v>
      </c>
      <c r="O927" s="2">
        <v>0</v>
      </c>
      <c r="P927" s="2">
        <v>0</v>
      </c>
      <c r="Q927" s="2">
        <v>0</v>
      </c>
      <c r="R927" s="2">
        <v>0</v>
      </c>
      <c r="S927" s="2" t="s">
        <v>488</v>
      </c>
      <c r="T927" s="2" t="s">
        <v>488</v>
      </c>
      <c r="U927" s="2">
        <v>0</v>
      </c>
      <c r="V927" s="2">
        <v>0</v>
      </c>
      <c r="W927">
        <f t="shared" si="14"/>
        <v>1</v>
      </c>
    </row>
    <row r="928" spans="1:23" x14ac:dyDescent="0.25">
      <c r="A928" s="2" t="s">
        <v>628</v>
      </c>
      <c r="B928" s="2" t="s">
        <v>916</v>
      </c>
      <c r="C928" s="2">
        <v>540170</v>
      </c>
      <c r="D928" s="2" t="s">
        <v>818</v>
      </c>
      <c r="E928" s="2" t="s">
        <v>73</v>
      </c>
      <c r="F928" s="2" t="s">
        <v>115</v>
      </c>
      <c r="G928" s="2">
        <v>1</v>
      </c>
      <c r="H928" s="2">
        <v>0</v>
      </c>
      <c r="I928" s="2">
        <v>0</v>
      </c>
      <c r="J928" s="2">
        <v>0</v>
      </c>
      <c r="K928" s="2">
        <v>0</v>
      </c>
      <c r="L928" s="2">
        <v>0</v>
      </c>
      <c r="M928" s="2">
        <v>0</v>
      </c>
      <c r="N928" s="2">
        <v>0</v>
      </c>
      <c r="O928" s="2">
        <v>0</v>
      </c>
      <c r="P928" s="2">
        <v>0</v>
      </c>
      <c r="Q928" s="2">
        <v>0</v>
      </c>
      <c r="R928" s="2">
        <v>0</v>
      </c>
      <c r="S928" s="2" t="s">
        <v>488</v>
      </c>
      <c r="T928" s="2" t="s">
        <v>488</v>
      </c>
      <c r="U928" s="2">
        <v>0</v>
      </c>
      <c r="V928" s="2">
        <v>0</v>
      </c>
      <c r="W928">
        <f t="shared" si="14"/>
        <v>0</v>
      </c>
    </row>
    <row r="929" spans="1:23" x14ac:dyDescent="0.25">
      <c r="A929" s="2" t="s">
        <v>628</v>
      </c>
      <c r="B929" s="2" t="s">
        <v>916</v>
      </c>
      <c r="C929" s="2">
        <v>540171</v>
      </c>
      <c r="D929" s="2" t="s">
        <v>819</v>
      </c>
      <c r="E929" s="2" t="s">
        <v>73</v>
      </c>
      <c r="F929" s="2" t="s">
        <v>115</v>
      </c>
      <c r="G929" s="2">
        <v>1</v>
      </c>
      <c r="H929" s="2">
        <v>0</v>
      </c>
      <c r="I929" s="2">
        <v>0</v>
      </c>
      <c r="J929" s="2">
        <v>0</v>
      </c>
      <c r="K929" s="2">
        <v>0</v>
      </c>
      <c r="L929" s="2">
        <v>0</v>
      </c>
      <c r="M929" s="2">
        <v>0</v>
      </c>
      <c r="N929" s="2">
        <v>0</v>
      </c>
      <c r="O929" s="2">
        <v>0</v>
      </c>
      <c r="P929" s="2">
        <v>0</v>
      </c>
      <c r="Q929" s="2">
        <v>0</v>
      </c>
      <c r="R929" s="2">
        <v>0</v>
      </c>
      <c r="S929" s="2" t="s">
        <v>488</v>
      </c>
      <c r="T929" s="2" t="s">
        <v>488</v>
      </c>
      <c r="U929" s="2">
        <v>0</v>
      </c>
      <c r="V929" s="2">
        <v>0</v>
      </c>
      <c r="W929">
        <f t="shared" si="14"/>
        <v>0</v>
      </c>
    </row>
    <row r="930" spans="1:23" x14ac:dyDescent="0.25">
      <c r="A930" s="2" t="s">
        <v>628</v>
      </c>
      <c r="B930" s="2" t="s">
        <v>916</v>
      </c>
      <c r="C930" s="2">
        <v>540173</v>
      </c>
      <c r="D930" s="2" t="s">
        <v>820</v>
      </c>
      <c r="E930" s="2" t="s">
        <v>73</v>
      </c>
      <c r="F930" s="2" t="s">
        <v>115</v>
      </c>
      <c r="G930" s="2">
        <v>1</v>
      </c>
      <c r="H930" s="2">
        <v>1</v>
      </c>
      <c r="I930" s="2">
        <v>0</v>
      </c>
      <c r="J930" s="2">
        <v>0</v>
      </c>
      <c r="K930" s="2">
        <v>0</v>
      </c>
      <c r="L930" s="2">
        <v>0</v>
      </c>
      <c r="M930" s="2">
        <v>0</v>
      </c>
      <c r="N930" s="2">
        <v>1</v>
      </c>
      <c r="O930" s="2">
        <v>0</v>
      </c>
      <c r="P930" s="2">
        <v>0</v>
      </c>
      <c r="Q930" s="2">
        <v>0</v>
      </c>
      <c r="R930" s="2">
        <v>0</v>
      </c>
      <c r="S930" s="2" t="s">
        <v>488</v>
      </c>
      <c r="T930" s="2" t="s">
        <v>488</v>
      </c>
      <c r="U930" s="2">
        <v>0</v>
      </c>
      <c r="V930" s="2">
        <v>0</v>
      </c>
      <c r="W930">
        <f t="shared" si="14"/>
        <v>1</v>
      </c>
    </row>
    <row r="931" spans="1:23" x14ac:dyDescent="0.25">
      <c r="A931" s="2" t="s">
        <v>628</v>
      </c>
      <c r="B931" s="2" t="s">
        <v>916</v>
      </c>
      <c r="C931" s="2">
        <v>540174</v>
      </c>
      <c r="D931" s="2" t="s">
        <v>821</v>
      </c>
      <c r="E931" s="2" t="s">
        <v>73</v>
      </c>
      <c r="F931" s="2" t="s">
        <v>115</v>
      </c>
      <c r="G931" s="2">
        <v>1</v>
      </c>
      <c r="H931" s="2">
        <v>0</v>
      </c>
      <c r="I931" s="2">
        <v>0</v>
      </c>
      <c r="J931" s="2">
        <v>0</v>
      </c>
      <c r="K931" s="2">
        <v>0</v>
      </c>
      <c r="L931" s="2">
        <v>0</v>
      </c>
      <c r="M931" s="2">
        <v>0</v>
      </c>
      <c r="N931" s="2">
        <v>0</v>
      </c>
      <c r="O931" s="2">
        <v>0</v>
      </c>
      <c r="P931" s="2">
        <v>0</v>
      </c>
      <c r="Q931" s="2">
        <v>0</v>
      </c>
      <c r="R931" s="2">
        <v>0</v>
      </c>
      <c r="S931" s="2" t="s">
        <v>488</v>
      </c>
      <c r="T931" s="2" t="s">
        <v>488</v>
      </c>
      <c r="U931" s="2">
        <v>0</v>
      </c>
      <c r="V931" s="2">
        <v>0</v>
      </c>
      <c r="W931">
        <f t="shared" si="14"/>
        <v>0</v>
      </c>
    </row>
    <row r="932" spans="1:23" x14ac:dyDescent="0.25">
      <c r="A932" s="2" t="s">
        <v>628</v>
      </c>
      <c r="B932" s="2" t="s">
        <v>916</v>
      </c>
      <c r="C932" s="2">
        <v>540286</v>
      </c>
      <c r="D932" s="2" t="s">
        <v>822</v>
      </c>
      <c r="E932" s="2" t="s">
        <v>73</v>
      </c>
      <c r="F932" s="2" t="s">
        <v>115</v>
      </c>
      <c r="G932" s="2">
        <v>1</v>
      </c>
      <c r="H932" s="2">
        <v>0</v>
      </c>
      <c r="I932" s="2">
        <v>0</v>
      </c>
      <c r="J932" s="2">
        <v>0</v>
      </c>
      <c r="K932" s="2">
        <v>0</v>
      </c>
      <c r="L932" s="2">
        <v>0</v>
      </c>
      <c r="M932" s="2">
        <v>0</v>
      </c>
      <c r="N932" s="2">
        <v>0</v>
      </c>
      <c r="O932" s="2">
        <v>0</v>
      </c>
      <c r="P932" s="2">
        <v>0</v>
      </c>
      <c r="Q932" s="2">
        <v>0</v>
      </c>
      <c r="R932" s="2">
        <v>0</v>
      </c>
      <c r="S932" s="2" t="s">
        <v>488</v>
      </c>
      <c r="T932" s="2" t="s">
        <v>488</v>
      </c>
      <c r="U932" s="2">
        <v>0</v>
      </c>
      <c r="V932" s="2">
        <v>0</v>
      </c>
      <c r="W932">
        <f t="shared" si="14"/>
        <v>0</v>
      </c>
    </row>
    <row r="933" spans="1:23" x14ac:dyDescent="0.25">
      <c r="A933" s="255" t="s">
        <v>628</v>
      </c>
      <c r="B933" s="255" t="s">
        <v>916</v>
      </c>
      <c r="C933" s="255"/>
      <c r="D933" s="255"/>
      <c r="E933" s="255" t="s">
        <v>73</v>
      </c>
      <c r="F933" s="255"/>
      <c r="G933" s="255"/>
      <c r="H933" s="255">
        <v>2</v>
      </c>
      <c r="I933" s="255">
        <v>0</v>
      </c>
      <c r="J933" s="255">
        <v>0</v>
      </c>
      <c r="K933" s="255">
        <v>0</v>
      </c>
      <c r="L933" s="255">
        <v>0</v>
      </c>
      <c r="M933" s="255">
        <v>0</v>
      </c>
      <c r="N933" s="255">
        <v>2</v>
      </c>
      <c r="O933" s="255">
        <v>0</v>
      </c>
      <c r="P933" s="255">
        <v>0</v>
      </c>
      <c r="Q933" s="255">
        <v>0</v>
      </c>
      <c r="R933" s="255">
        <v>0</v>
      </c>
      <c r="S933" s="255" t="s">
        <v>488</v>
      </c>
      <c r="T933" s="255" t="s">
        <v>488</v>
      </c>
      <c r="U933" s="255">
        <v>0</v>
      </c>
      <c r="V933" s="255">
        <v>0</v>
      </c>
      <c r="W933">
        <f t="shared" si="14"/>
        <v>2</v>
      </c>
    </row>
    <row r="934" spans="1:23" x14ac:dyDescent="0.25">
      <c r="A934" s="2" t="s">
        <v>628</v>
      </c>
      <c r="B934" s="2" t="s">
        <v>916</v>
      </c>
      <c r="C934" s="2">
        <v>540183</v>
      </c>
      <c r="D934" s="2" t="s">
        <v>823</v>
      </c>
      <c r="E934" s="2" t="s">
        <v>77</v>
      </c>
      <c r="F934" s="2" t="s">
        <v>5</v>
      </c>
      <c r="G934" s="2">
        <v>5</v>
      </c>
      <c r="H934" s="2">
        <v>0</v>
      </c>
      <c r="I934" s="2">
        <v>0</v>
      </c>
      <c r="J934" s="2">
        <v>0</v>
      </c>
      <c r="K934" s="2">
        <v>0</v>
      </c>
      <c r="L934" s="2">
        <v>0</v>
      </c>
      <c r="M934" s="2">
        <v>0</v>
      </c>
      <c r="N934" s="2">
        <v>0</v>
      </c>
      <c r="O934" s="2">
        <v>0</v>
      </c>
      <c r="P934" s="2">
        <v>0</v>
      </c>
      <c r="Q934" s="2">
        <v>0</v>
      </c>
      <c r="R934" s="2">
        <v>0</v>
      </c>
      <c r="S934" s="2" t="s">
        <v>488</v>
      </c>
      <c r="T934" s="2" t="s">
        <v>488</v>
      </c>
      <c r="U934" s="2">
        <v>0</v>
      </c>
      <c r="V934" s="2">
        <v>0</v>
      </c>
      <c r="W934">
        <f t="shared" si="14"/>
        <v>0</v>
      </c>
    </row>
    <row r="935" spans="1:23" x14ac:dyDescent="0.25">
      <c r="A935" s="2" t="s">
        <v>628</v>
      </c>
      <c r="B935" s="2" t="s">
        <v>916</v>
      </c>
      <c r="C935" s="2">
        <v>540184</v>
      </c>
      <c r="D935" s="2" t="s">
        <v>824</v>
      </c>
      <c r="E935" s="2" t="s">
        <v>77</v>
      </c>
      <c r="F935" s="2" t="s">
        <v>115</v>
      </c>
      <c r="G935" s="2">
        <v>5</v>
      </c>
      <c r="H935" s="2">
        <v>0</v>
      </c>
      <c r="I935" s="2">
        <v>0</v>
      </c>
      <c r="J935" s="2">
        <v>0</v>
      </c>
      <c r="K935" s="2">
        <v>0</v>
      </c>
      <c r="L935" s="2">
        <v>0</v>
      </c>
      <c r="M935" s="2">
        <v>0</v>
      </c>
      <c r="N935" s="2">
        <v>0</v>
      </c>
      <c r="O935" s="2">
        <v>0</v>
      </c>
      <c r="P935" s="2">
        <v>0</v>
      </c>
      <c r="Q935" s="2">
        <v>0</v>
      </c>
      <c r="R935" s="2">
        <v>0</v>
      </c>
      <c r="S935" s="2" t="s">
        <v>488</v>
      </c>
      <c r="T935" s="2" t="s">
        <v>488</v>
      </c>
      <c r="U935" s="2">
        <v>0</v>
      </c>
      <c r="V935" s="2">
        <v>0</v>
      </c>
      <c r="W935">
        <f t="shared" si="14"/>
        <v>0</v>
      </c>
    </row>
    <row r="936" spans="1:23" x14ac:dyDescent="0.25">
      <c r="A936" s="2" t="s">
        <v>628</v>
      </c>
      <c r="B936" s="2" t="s">
        <v>916</v>
      </c>
      <c r="C936" s="2">
        <v>540185</v>
      </c>
      <c r="D936" s="2" t="s">
        <v>825</v>
      </c>
      <c r="E936" s="2" t="s">
        <v>77</v>
      </c>
      <c r="F936" s="2" t="s">
        <v>115</v>
      </c>
      <c r="G936" s="2">
        <v>5</v>
      </c>
      <c r="H936" s="2">
        <v>0</v>
      </c>
      <c r="I936" s="2">
        <v>0</v>
      </c>
      <c r="J936" s="2">
        <v>0</v>
      </c>
      <c r="K936" s="2">
        <v>0</v>
      </c>
      <c r="L936" s="2">
        <v>0</v>
      </c>
      <c r="M936" s="2">
        <v>0</v>
      </c>
      <c r="N936" s="2">
        <v>0</v>
      </c>
      <c r="O936" s="2">
        <v>0</v>
      </c>
      <c r="P936" s="2">
        <v>0</v>
      </c>
      <c r="Q936" s="2">
        <v>0</v>
      </c>
      <c r="R936" s="2">
        <v>0</v>
      </c>
      <c r="S936" s="2" t="s">
        <v>488</v>
      </c>
      <c r="T936" s="2" t="s">
        <v>488</v>
      </c>
      <c r="U936" s="2">
        <v>0</v>
      </c>
      <c r="V936" s="2">
        <v>0</v>
      </c>
      <c r="W936">
        <f t="shared" si="14"/>
        <v>0</v>
      </c>
    </row>
    <row r="937" spans="1:23" x14ac:dyDescent="0.25">
      <c r="A937" s="255" t="s">
        <v>628</v>
      </c>
      <c r="B937" s="255" t="s">
        <v>916</v>
      </c>
      <c r="C937" s="255"/>
      <c r="D937" s="255"/>
      <c r="E937" s="255" t="s">
        <v>77</v>
      </c>
      <c r="F937" s="255"/>
      <c r="G937" s="255"/>
      <c r="H937" s="255">
        <v>0</v>
      </c>
      <c r="I937" s="255">
        <v>0</v>
      </c>
      <c r="J937" s="255">
        <v>0</v>
      </c>
      <c r="K937" s="255">
        <v>0</v>
      </c>
      <c r="L937" s="255">
        <v>0</v>
      </c>
      <c r="M937" s="255">
        <v>0</v>
      </c>
      <c r="N937" s="255">
        <v>0</v>
      </c>
      <c r="O937" s="255">
        <v>0</v>
      </c>
      <c r="P937" s="255">
        <v>0</v>
      </c>
      <c r="Q937" s="255">
        <v>0</v>
      </c>
      <c r="R937" s="255">
        <v>0</v>
      </c>
      <c r="S937" s="255" t="s">
        <v>488</v>
      </c>
      <c r="T937" s="255" t="s">
        <v>488</v>
      </c>
      <c r="U937" s="255">
        <v>0</v>
      </c>
      <c r="V937" s="255">
        <v>0</v>
      </c>
      <c r="W937">
        <f t="shared" si="14"/>
        <v>0</v>
      </c>
    </row>
    <row r="938" spans="1:23" x14ac:dyDescent="0.25">
      <c r="A938" s="2" t="s">
        <v>628</v>
      </c>
      <c r="B938" s="2" t="s">
        <v>916</v>
      </c>
      <c r="C938" s="2">
        <v>540186</v>
      </c>
      <c r="D938" s="2" t="s">
        <v>826</v>
      </c>
      <c r="E938" s="2" t="s">
        <v>79</v>
      </c>
      <c r="F938" s="2" t="s">
        <v>5</v>
      </c>
      <c r="G938" s="2">
        <v>1</v>
      </c>
      <c r="H938" s="2">
        <v>0</v>
      </c>
      <c r="I938" s="2">
        <v>0</v>
      </c>
      <c r="J938" s="2">
        <v>0</v>
      </c>
      <c r="K938" s="2">
        <v>0</v>
      </c>
      <c r="L938" s="2">
        <v>0</v>
      </c>
      <c r="M938" s="2">
        <v>0</v>
      </c>
      <c r="N938" s="2">
        <v>0</v>
      </c>
      <c r="O938" s="2">
        <v>0</v>
      </c>
      <c r="P938" s="2">
        <v>0</v>
      </c>
      <c r="Q938" s="2">
        <v>0</v>
      </c>
      <c r="R938" s="2">
        <v>0</v>
      </c>
      <c r="S938" s="2" t="s">
        <v>488</v>
      </c>
      <c r="T938" s="2" t="s">
        <v>488</v>
      </c>
      <c r="U938" s="2">
        <v>1</v>
      </c>
      <c r="V938" s="2">
        <v>0</v>
      </c>
      <c r="W938">
        <f t="shared" si="14"/>
        <v>1</v>
      </c>
    </row>
    <row r="939" spans="1:23" x14ac:dyDescent="0.25">
      <c r="A939" s="2" t="s">
        <v>628</v>
      </c>
      <c r="B939" s="2" t="s">
        <v>916</v>
      </c>
      <c r="C939" s="2">
        <v>540187</v>
      </c>
      <c r="D939" s="2" t="s">
        <v>827</v>
      </c>
      <c r="E939" s="2" t="s">
        <v>79</v>
      </c>
      <c r="F939" s="2" t="s">
        <v>115</v>
      </c>
      <c r="G939" s="2">
        <v>1</v>
      </c>
      <c r="H939" s="2">
        <v>0</v>
      </c>
      <c r="I939" s="2">
        <v>0</v>
      </c>
      <c r="J939" s="2">
        <v>0</v>
      </c>
      <c r="K939" s="2">
        <v>0</v>
      </c>
      <c r="L939" s="2">
        <v>0</v>
      </c>
      <c r="M939" s="2">
        <v>0</v>
      </c>
      <c r="N939" s="2">
        <v>0</v>
      </c>
      <c r="O939" s="2">
        <v>0</v>
      </c>
      <c r="P939" s="2">
        <v>0</v>
      </c>
      <c r="Q939" s="2">
        <v>0</v>
      </c>
      <c r="R939" s="2">
        <v>0</v>
      </c>
      <c r="S939" s="2" t="s">
        <v>488</v>
      </c>
      <c r="T939" s="2" t="s">
        <v>488</v>
      </c>
      <c r="U939" s="2">
        <v>0</v>
      </c>
      <c r="V939" s="2">
        <v>0</v>
      </c>
      <c r="W939">
        <f t="shared" si="14"/>
        <v>0</v>
      </c>
    </row>
    <row r="940" spans="1:23" x14ac:dyDescent="0.25">
      <c r="A940" s="255" t="s">
        <v>628</v>
      </c>
      <c r="B940" s="255" t="s">
        <v>916</v>
      </c>
      <c r="C940" s="255"/>
      <c r="D940" s="255"/>
      <c r="E940" s="255" t="s">
        <v>79</v>
      </c>
      <c r="F940" s="255"/>
      <c r="G940" s="255"/>
      <c r="H940" s="255">
        <v>0</v>
      </c>
      <c r="I940" s="255">
        <v>0</v>
      </c>
      <c r="J940" s="255">
        <v>0</v>
      </c>
      <c r="K940" s="255">
        <v>0</v>
      </c>
      <c r="L940" s="255">
        <v>0</v>
      </c>
      <c r="M940" s="255">
        <v>0</v>
      </c>
      <c r="N940" s="255">
        <v>0</v>
      </c>
      <c r="O940" s="255">
        <v>0</v>
      </c>
      <c r="P940" s="255">
        <v>0</v>
      </c>
      <c r="Q940" s="255">
        <v>0</v>
      </c>
      <c r="R940" s="255">
        <v>0</v>
      </c>
      <c r="S940" s="255" t="s">
        <v>488</v>
      </c>
      <c r="T940" s="255" t="s">
        <v>488</v>
      </c>
      <c r="U940" s="255">
        <v>1</v>
      </c>
      <c r="V940" s="255">
        <v>0</v>
      </c>
      <c r="W940">
        <f t="shared" si="14"/>
        <v>1</v>
      </c>
    </row>
    <row r="941" spans="1:23" x14ac:dyDescent="0.25">
      <c r="A941" s="2" t="s">
        <v>628</v>
      </c>
      <c r="B941" s="2" t="s">
        <v>916</v>
      </c>
      <c r="C941" s="2">
        <v>540188</v>
      </c>
      <c r="D941" s="2" t="s">
        <v>828</v>
      </c>
      <c r="E941" s="2" t="s">
        <v>81</v>
      </c>
      <c r="F941" s="2" t="s">
        <v>5</v>
      </c>
      <c r="G941" s="2">
        <v>6</v>
      </c>
      <c r="H941" s="2">
        <v>0</v>
      </c>
      <c r="I941" s="2">
        <v>0</v>
      </c>
      <c r="J941" s="2">
        <v>0</v>
      </c>
      <c r="K941" s="2">
        <v>0</v>
      </c>
      <c r="L941" s="2">
        <v>0</v>
      </c>
      <c r="M941" s="2">
        <v>0</v>
      </c>
      <c r="N941" s="2">
        <v>0</v>
      </c>
      <c r="O941" s="2">
        <v>0</v>
      </c>
      <c r="P941" s="2">
        <v>0</v>
      </c>
      <c r="Q941" s="2">
        <v>0</v>
      </c>
      <c r="R941" s="2">
        <v>0</v>
      </c>
      <c r="S941" s="2" t="s">
        <v>488</v>
      </c>
      <c r="T941" s="2" t="s">
        <v>488</v>
      </c>
      <c r="U941" s="2">
        <v>0</v>
      </c>
      <c r="V941" s="2">
        <v>0</v>
      </c>
      <c r="W941">
        <f t="shared" si="14"/>
        <v>0</v>
      </c>
    </row>
    <row r="942" spans="1:23" x14ac:dyDescent="0.25">
      <c r="A942" s="2" t="s">
        <v>628</v>
      </c>
      <c r="B942" s="2" t="s">
        <v>916</v>
      </c>
      <c r="C942" s="2">
        <v>540189</v>
      </c>
      <c r="D942" s="2" t="s">
        <v>829</v>
      </c>
      <c r="E942" s="2" t="s">
        <v>81</v>
      </c>
      <c r="F942" s="2" t="s">
        <v>115</v>
      </c>
      <c r="G942" s="2">
        <v>6</v>
      </c>
      <c r="H942" s="2">
        <v>0</v>
      </c>
      <c r="I942" s="2">
        <v>0</v>
      </c>
      <c r="J942" s="2">
        <v>0</v>
      </c>
      <c r="K942" s="2">
        <v>0</v>
      </c>
      <c r="L942" s="2">
        <v>0</v>
      </c>
      <c r="M942" s="2">
        <v>0</v>
      </c>
      <c r="N942" s="2">
        <v>0</v>
      </c>
      <c r="O942" s="2">
        <v>0</v>
      </c>
      <c r="P942" s="2">
        <v>0</v>
      </c>
      <c r="Q942" s="2">
        <v>0</v>
      </c>
      <c r="R942" s="2">
        <v>0</v>
      </c>
      <c r="S942" s="2" t="s">
        <v>488</v>
      </c>
      <c r="T942" s="2" t="s">
        <v>488</v>
      </c>
      <c r="U942" s="2">
        <v>0</v>
      </c>
      <c r="V942" s="2">
        <v>0</v>
      </c>
      <c r="W942">
        <f t="shared" si="14"/>
        <v>0</v>
      </c>
    </row>
    <row r="943" spans="1:23" x14ac:dyDescent="0.25">
      <c r="A943" s="2" t="s">
        <v>628</v>
      </c>
      <c r="B943" s="2" t="s">
        <v>916</v>
      </c>
      <c r="C943" s="2">
        <v>540190</v>
      </c>
      <c r="D943" s="2" t="s">
        <v>830</v>
      </c>
      <c r="E943" s="2" t="s">
        <v>81</v>
      </c>
      <c r="F943" s="2" t="s">
        <v>115</v>
      </c>
      <c r="G943" s="2">
        <v>6</v>
      </c>
      <c r="H943" s="2">
        <v>0</v>
      </c>
      <c r="I943" s="2">
        <v>0</v>
      </c>
      <c r="J943" s="2">
        <v>0</v>
      </c>
      <c r="K943" s="2">
        <v>0</v>
      </c>
      <c r="L943" s="2">
        <v>0</v>
      </c>
      <c r="M943" s="2">
        <v>0</v>
      </c>
      <c r="N943" s="2">
        <v>0</v>
      </c>
      <c r="O943" s="2">
        <v>0</v>
      </c>
      <c r="P943" s="2">
        <v>0</v>
      </c>
      <c r="Q943" s="2">
        <v>0</v>
      </c>
      <c r="R943" s="2">
        <v>0</v>
      </c>
      <c r="S943" s="2" t="s">
        <v>488</v>
      </c>
      <c r="T943" s="2" t="s">
        <v>488</v>
      </c>
      <c r="U943" s="2">
        <v>0</v>
      </c>
      <c r="V943" s="2">
        <v>0</v>
      </c>
      <c r="W943">
        <f t="shared" si="14"/>
        <v>0</v>
      </c>
    </row>
    <row r="944" spans="1:23" x14ac:dyDescent="0.25">
      <c r="A944" s="255" t="s">
        <v>628</v>
      </c>
      <c r="B944" s="255" t="s">
        <v>916</v>
      </c>
      <c r="C944" s="255"/>
      <c r="D944" s="255"/>
      <c r="E944" s="255" t="s">
        <v>81</v>
      </c>
      <c r="F944" s="255"/>
      <c r="G944" s="255"/>
      <c r="H944" s="255">
        <v>0</v>
      </c>
      <c r="I944" s="255">
        <v>0</v>
      </c>
      <c r="J944" s="255">
        <v>0</v>
      </c>
      <c r="K944" s="255">
        <v>0</v>
      </c>
      <c r="L944" s="255">
        <v>0</v>
      </c>
      <c r="M944" s="255">
        <v>0</v>
      </c>
      <c r="N944" s="255">
        <v>0</v>
      </c>
      <c r="O944" s="255">
        <v>0</v>
      </c>
      <c r="P944" s="255">
        <v>0</v>
      </c>
      <c r="Q944" s="255">
        <v>0</v>
      </c>
      <c r="R944" s="255">
        <v>0</v>
      </c>
      <c r="S944" s="255" t="s">
        <v>488</v>
      </c>
      <c r="T944" s="255" t="s">
        <v>488</v>
      </c>
      <c r="U944" s="255">
        <v>0</v>
      </c>
      <c r="V944" s="255">
        <v>0</v>
      </c>
      <c r="W944">
        <f t="shared" si="14"/>
        <v>0</v>
      </c>
    </row>
    <row r="945" spans="1:23" x14ac:dyDescent="0.25">
      <c r="A945" s="2" t="s">
        <v>628</v>
      </c>
      <c r="B945" s="2" t="s">
        <v>916</v>
      </c>
      <c r="C945" s="2">
        <v>540198</v>
      </c>
      <c r="D945" s="2" t="s">
        <v>831</v>
      </c>
      <c r="E945" s="2" t="s">
        <v>83</v>
      </c>
      <c r="F945" s="2" t="s">
        <v>5</v>
      </c>
      <c r="G945" s="2">
        <v>7</v>
      </c>
      <c r="H945" s="2">
        <v>0</v>
      </c>
      <c r="I945" s="2">
        <v>0</v>
      </c>
      <c r="J945" s="2">
        <v>0</v>
      </c>
      <c r="K945" s="2">
        <v>0</v>
      </c>
      <c r="L945" s="2">
        <v>0</v>
      </c>
      <c r="M945" s="2">
        <v>0</v>
      </c>
      <c r="N945" s="2">
        <v>0</v>
      </c>
      <c r="O945" s="2">
        <v>0</v>
      </c>
      <c r="P945" s="2">
        <v>0</v>
      </c>
      <c r="Q945" s="2" t="s">
        <v>488</v>
      </c>
      <c r="R945" s="2" t="s">
        <v>488</v>
      </c>
      <c r="S945" s="2" t="s">
        <v>488</v>
      </c>
      <c r="T945" s="2" t="s">
        <v>488</v>
      </c>
      <c r="U945" s="2">
        <v>0</v>
      </c>
      <c r="V945" s="2">
        <v>0</v>
      </c>
      <c r="W945">
        <f t="shared" si="14"/>
        <v>0</v>
      </c>
    </row>
    <row r="946" spans="1:23" x14ac:dyDescent="0.25">
      <c r="A946" s="2" t="s">
        <v>628</v>
      </c>
      <c r="B946" s="2" t="s">
        <v>916</v>
      </c>
      <c r="C946" s="2">
        <v>540199</v>
      </c>
      <c r="D946" s="2" t="s">
        <v>832</v>
      </c>
      <c r="E946" s="2" t="s">
        <v>83</v>
      </c>
      <c r="F946" s="2" t="s">
        <v>115</v>
      </c>
      <c r="G946" s="2">
        <v>7</v>
      </c>
      <c r="H946" s="2">
        <v>0</v>
      </c>
      <c r="I946" s="2">
        <v>0</v>
      </c>
      <c r="J946" s="2">
        <v>0</v>
      </c>
      <c r="K946" s="2">
        <v>0</v>
      </c>
      <c r="L946" s="2">
        <v>0</v>
      </c>
      <c r="M946" s="2">
        <v>0</v>
      </c>
      <c r="N946" s="2">
        <v>0</v>
      </c>
      <c r="O946" s="2">
        <v>0</v>
      </c>
      <c r="P946" s="2">
        <v>0</v>
      </c>
      <c r="Q946" s="2" t="s">
        <v>488</v>
      </c>
      <c r="R946" s="2" t="s">
        <v>488</v>
      </c>
      <c r="S946" s="2" t="s">
        <v>488</v>
      </c>
      <c r="T946" s="2" t="s">
        <v>488</v>
      </c>
      <c r="U946" s="2">
        <v>0</v>
      </c>
      <c r="V946" s="2">
        <v>0</v>
      </c>
      <c r="W946">
        <f t="shared" si="14"/>
        <v>0</v>
      </c>
    </row>
    <row r="947" spans="1:23" x14ac:dyDescent="0.25">
      <c r="A947" s="255" t="s">
        <v>628</v>
      </c>
      <c r="B947" s="255" t="s">
        <v>916</v>
      </c>
      <c r="C947" s="255"/>
      <c r="D947" s="255"/>
      <c r="E947" s="255" t="s">
        <v>83</v>
      </c>
      <c r="F947" s="255"/>
      <c r="G947" s="255"/>
      <c r="H947" s="255">
        <v>0</v>
      </c>
      <c r="I947" s="255">
        <v>0</v>
      </c>
      <c r="J947" s="255">
        <v>0</v>
      </c>
      <c r="K947" s="255">
        <v>0</v>
      </c>
      <c r="L947" s="255">
        <v>0</v>
      </c>
      <c r="M947" s="255">
        <v>0</v>
      </c>
      <c r="N947" s="255">
        <v>0</v>
      </c>
      <c r="O947" s="255">
        <v>0</v>
      </c>
      <c r="P947" s="255">
        <v>0</v>
      </c>
      <c r="Q947" s="255" t="s">
        <v>488</v>
      </c>
      <c r="R947" s="255" t="s">
        <v>488</v>
      </c>
      <c r="S947" s="255" t="s">
        <v>488</v>
      </c>
      <c r="T947" s="255" t="s">
        <v>488</v>
      </c>
      <c r="U947" s="255">
        <v>0</v>
      </c>
      <c r="V947" s="255">
        <v>0</v>
      </c>
      <c r="W947">
        <f t="shared" si="14"/>
        <v>0</v>
      </c>
    </row>
    <row r="948" spans="1:23" x14ac:dyDescent="0.25">
      <c r="A948" s="2" t="s">
        <v>628</v>
      </c>
      <c r="B948" s="2" t="s">
        <v>916</v>
      </c>
      <c r="C948" s="2">
        <v>540200</v>
      </c>
      <c r="D948" s="2" t="s">
        <v>833</v>
      </c>
      <c r="E948" s="2" t="s">
        <v>85</v>
      </c>
      <c r="F948" s="2" t="s">
        <v>5</v>
      </c>
      <c r="G948" s="2">
        <v>2</v>
      </c>
      <c r="H948" s="2">
        <v>0</v>
      </c>
      <c r="I948" s="2">
        <v>0</v>
      </c>
      <c r="J948" s="2">
        <v>0</v>
      </c>
      <c r="K948" s="2">
        <v>0</v>
      </c>
      <c r="L948" s="2">
        <v>0</v>
      </c>
      <c r="M948" s="2">
        <v>0</v>
      </c>
      <c r="N948" s="2">
        <v>0</v>
      </c>
      <c r="O948" s="2">
        <v>0</v>
      </c>
      <c r="P948" s="2">
        <v>0</v>
      </c>
      <c r="Q948" s="2">
        <v>0</v>
      </c>
      <c r="R948" s="2">
        <v>0</v>
      </c>
      <c r="S948" s="2" t="s">
        <v>488</v>
      </c>
      <c r="T948" s="2" t="s">
        <v>488</v>
      </c>
      <c r="U948" s="2">
        <v>0</v>
      </c>
      <c r="V948" s="2">
        <v>0</v>
      </c>
      <c r="W948">
        <f t="shared" si="14"/>
        <v>0</v>
      </c>
    </row>
    <row r="949" spans="1:23" x14ac:dyDescent="0.25">
      <c r="A949" s="2" t="s">
        <v>628</v>
      </c>
      <c r="B949" s="2" t="s">
        <v>916</v>
      </c>
      <c r="C949" s="2">
        <v>540018</v>
      </c>
      <c r="D949" s="2" t="s">
        <v>651</v>
      </c>
      <c r="E949" s="2" t="s">
        <v>85</v>
      </c>
      <c r="F949" s="2" t="s">
        <v>115</v>
      </c>
      <c r="G949" s="2">
        <v>2</v>
      </c>
      <c r="H949" s="2">
        <v>0</v>
      </c>
      <c r="I949" s="2">
        <v>0</v>
      </c>
      <c r="J949" s="2">
        <v>0</v>
      </c>
      <c r="K949" s="2">
        <v>0</v>
      </c>
      <c r="L949" s="2">
        <v>0</v>
      </c>
      <c r="M949" s="2">
        <v>0</v>
      </c>
      <c r="N949" s="2">
        <v>0</v>
      </c>
      <c r="O949" s="2">
        <v>0</v>
      </c>
      <c r="P949" s="2">
        <v>0</v>
      </c>
      <c r="Q949" s="2">
        <v>0</v>
      </c>
      <c r="R949" s="2">
        <v>0</v>
      </c>
      <c r="S949" s="2" t="s">
        <v>488</v>
      </c>
      <c r="T949" s="2" t="s">
        <v>488</v>
      </c>
      <c r="U949" s="2">
        <v>0</v>
      </c>
      <c r="V949" s="2">
        <v>0</v>
      </c>
      <c r="W949">
        <f t="shared" si="14"/>
        <v>0</v>
      </c>
    </row>
    <row r="950" spans="1:23" x14ac:dyDescent="0.25">
      <c r="A950" s="2" t="s">
        <v>628</v>
      </c>
      <c r="B950" s="2" t="s">
        <v>916</v>
      </c>
      <c r="C950" s="2">
        <v>540202</v>
      </c>
      <c r="D950" s="2" t="s">
        <v>834</v>
      </c>
      <c r="E950" s="2" t="s">
        <v>85</v>
      </c>
      <c r="F950" s="2" t="s">
        <v>115</v>
      </c>
      <c r="G950" s="2">
        <v>2</v>
      </c>
      <c r="H950" s="2">
        <v>0</v>
      </c>
      <c r="I950" s="2">
        <v>1</v>
      </c>
      <c r="J950" s="2">
        <v>0</v>
      </c>
      <c r="K950" s="2">
        <v>0</v>
      </c>
      <c r="L950" s="2">
        <v>0</v>
      </c>
      <c r="M950" s="2">
        <v>1</v>
      </c>
      <c r="N950" s="2">
        <v>1</v>
      </c>
      <c r="O950" s="2">
        <v>0</v>
      </c>
      <c r="P950" s="2">
        <v>0</v>
      </c>
      <c r="Q950" s="2">
        <v>0</v>
      </c>
      <c r="R950" s="2">
        <v>0</v>
      </c>
      <c r="S950" s="2" t="s">
        <v>488</v>
      </c>
      <c r="T950" s="2" t="s">
        <v>488</v>
      </c>
      <c r="U950" s="2">
        <v>0</v>
      </c>
      <c r="V950" s="2">
        <v>0</v>
      </c>
      <c r="W950">
        <f t="shared" si="14"/>
        <v>1</v>
      </c>
    </row>
    <row r="951" spans="1:23" x14ac:dyDescent="0.25">
      <c r="A951" s="2" t="s">
        <v>628</v>
      </c>
      <c r="B951" s="2" t="s">
        <v>916</v>
      </c>
      <c r="C951" s="2">
        <v>540221</v>
      </c>
      <c r="D951" s="2" t="s">
        <v>835</v>
      </c>
      <c r="E951" s="2" t="s">
        <v>85</v>
      </c>
      <c r="F951" s="2" t="s">
        <v>115</v>
      </c>
      <c r="G951" s="2">
        <v>2</v>
      </c>
      <c r="H951" s="2">
        <v>0</v>
      </c>
      <c r="I951" s="2">
        <v>0</v>
      </c>
      <c r="J951" s="2">
        <v>0</v>
      </c>
      <c r="K951" s="2">
        <v>0</v>
      </c>
      <c r="L951" s="2">
        <v>0</v>
      </c>
      <c r="M951" s="2">
        <v>0</v>
      </c>
      <c r="N951" s="2">
        <v>0</v>
      </c>
      <c r="O951" s="2">
        <v>0</v>
      </c>
      <c r="P951" s="2">
        <v>0</v>
      </c>
      <c r="Q951" s="2">
        <v>0</v>
      </c>
      <c r="R951" s="2">
        <v>0</v>
      </c>
      <c r="S951" s="2" t="s">
        <v>488</v>
      </c>
      <c r="T951" s="2" t="s">
        <v>488</v>
      </c>
      <c r="U951" s="2">
        <v>0</v>
      </c>
      <c r="V951" s="2">
        <v>0</v>
      </c>
      <c r="W951">
        <f t="shared" si="14"/>
        <v>0</v>
      </c>
    </row>
    <row r="952" spans="1:23" x14ac:dyDescent="0.25">
      <c r="A952" s="2" t="s">
        <v>628</v>
      </c>
      <c r="B952" s="2" t="s">
        <v>916</v>
      </c>
      <c r="C952" s="2">
        <v>540231</v>
      </c>
      <c r="D952" s="2" t="s">
        <v>836</v>
      </c>
      <c r="E952" s="2" t="s">
        <v>85</v>
      </c>
      <c r="F952" s="2" t="s">
        <v>115</v>
      </c>
      <c r="G952" s="2">
        <v>2</v>
      </c>
      <c r="H952" s="2">
        <v>0</v>
      </c>
      <c r="I952" s="2">
        <v>0</v>
      </c>
      <c r="J952" s="2">
        <v>0</v>
      </c>
      <c r="K952" s="2">
        <v>0</v>
      </c>
      <c r="L952" s="2">
        <v>0</v>
      </c>
      <c r="M952" s="2">
        <v>0</v>
      </c>
      <c r="N952" s="2">
        <v>0</v>
      </c>
      <c r="O952" s="2">
        <v>0</v>
      </c>
      <c r="P952" s="2">
        <v>0</v>
      </c>
      <c r="Q952" s="2">
        <v>0</v>
      </c>
      <c r="R952" s="2">
        <v>0</v>
      </c>
      <c r="S952" s="2" t="s">
        <v>488</v>
      </c>
      <c r="T952" s="2" t="s">
        <v>488</v>
      </c>
      <c r="U952" s="2">
        <v>1</v>
      </c>
      <c r="V952" s="2">
        <v>0</v>
      </c>
      <c r="W952">
        <f t="shared" si="14"/>
        <v>1</v>
      </c>
    </row>
    <row r="953" spans="1:23" x14ac:dyDescent="0.25">
      <c r="A953" s="2" t="s">
        <v>628</v>
      </c>
      <c r="B953" s="2" t="s">
        <v>916</v>
      </c>
      <c r="C953" s="2">
        <v>540232</v>
      </c>
      <c r="D953" s="2" t="s">
        <v>837</v>
      </c>
      <c r="E953" s="2" t="s">
        <v>85</v>
      </c>
      <c r="F953" s="2" t="s">
        <v>115</v>
      </c>
      <c r="G953" s="2">
        <v>2</v>
      </c>
      <c r="H953" s="2">
        <v>0</v>
      </c>
      <c r="I953" s="2">
        <v>0</v>
      </c>
      <c r="J953" s="2">
        <v>0</v>
      </c>
      <c r="K953" s="2">
        <v>0</v>
      </c>
      <c r="L953" s="2">
        <v>0</v>
      </c>
      <c r="M953" s="2">
        <v>0</v>
      </c>
      <c r="N953" s="2">
        <v>0</v>
      </c>
      <c r="O953" s="2">
        <v>0</v>
      </c>
      <c r="P953" s="2">
        <v>0</v>
      </c>
      <c r="Q953" s="2">
        <v>0</v>
      </c>
      <c r="R953" s="2">
        <v>0</v>
      </c>
      <c r="S953" s="2" t="s">
        <v>488</v>
      </c>
      <c r="T953" s="2" t="s">
        <v>488</v>
      </c>
      <c r="U953" s="2">
        <v>0</v>
      </c>
      <c r="V953" s="2">
        <v>1</v>
      </c>
      <c r="W953">
        <f t="shared" si="14"/>
        <v>1</v>
      </c>
    </row>
    <row r="954" spans="1:23" x14ac:dyDescent="0.25">
      <c r="A954" s="255" t="s">
        <v>628</v>
      </c>
      <c r="B954" s="255" t="s">
        <v>916</v>
      </c>
      <c r="C954" s="255"/>
      <c r="D954" s="255"/>
      <c r="E954" s="255" t="s">
        <v>85</v>
      </c>
      <c r="F954" s="255"/>
      <c r="G954" s="255"/>
      <c r="H954" s="255">
        <v>0</v>
      </c>
      <c r="I954" s="255">
        <v>1</v>
      </c>
      <c r="J954" s="255">
        <v>0</v>
      </c>
      <c r="K954" s="255">
        <v>0</v>
      </c>
      <c r="L954" s="255">
        <v>0</v>
      </c>
      <c r="M954" s="255">
        <v>1</v>
      </c>
      <c r="N954" s="255">
        <v>1</v>
      </c>
      <c r="O954" s="255">
        <v>0</v>
      </c>
      <c r="P954" s="255">
        <v>0</v>
      </c>
      <c r="Q954" s="255">
        <v>0</v>
      </c>
      <c r="R954" s="255">
        <v>0</v>
      </c>
      <c r="S954" s="255" t="s">
        <v>488</v>
      </c>
      <c r="T954" s="255" t="s">
        <v>488</v>
      </c>
      <c r="U954" s="255">
        <v>1</v>
      </c>
      <c r="V954" s="255">
        <v>1</v>
      </c>
      <c r="W954">
        <f t="shared" si="14"/>
        <v>3</v>
      </c>
    </row>
    <row r="955" spans="1:23" x14ac:dyDescent="0.25">
      <c r="A955" s="2" t="s">
        <v>628</v>
      </c>
      <c r="B955" s="2" t="s">
        <v>916</v>
      </c>
      <c r="C955" s="2">
        <v>540203</v>
      </c>
      <c r="D955" s="2" t="s">
        <v>838</v>
      </c>
      <c r="E955" s="2" t="s">
        <v>87</v>
      </c>
      <c r="F955" s="2" t="s">
        <v>5</v>
      </c>
      <c r="G955" s="2">
        <v>4</v>
      </c>
      <c r="H955" s="2">
        <v>0</v>
      </c>
      <c r="I955" s="2">
        <v>0</v>
      </c>
      <c r="J955" s="2">
        <v>0</v>
      </c>
      <c r="K955" s="2">
        <v>0</v>
      </c>
      <c r="L955" s="2">
        <v>0</v>
      </c>
      <c r="M955" s="2">
        <v>0</v>
      </c>
      <c r="N955" s="2">
        <v>0</v>
      </c>
      <c r="O955" s="2">
        <v>0</v>
      </c>
      <c r="P955" s="2">
        <v>0</v>
      </c>
      <c r="Q955" s="2" t="s">
        <v>488</v>
      </c>
      <c r="R955" s="2" t="s">
        <v>488</v>
      </c>
      <c r="S955" s="2" t="s">
        <v>488</v>
      </c>
      <c r="T955" s="2" t="s">
        <v>488</v>
      </c>
      <c r="U955" s="2">
        <v>0</v>
      </c>
      <c r="V955" s="2">
        <v>0</v>
      </c>
      <c r="W955">
        <f t="shared" si="14"/>
        <v>0</v>
      </c>
    </row>
    <row r="956" spans="1:23" x14ac:dyDescent="0.25">
      <c r="A956" s="2" t="s">
        <v>628</v>
      </c>
      <c r="B956" s="2" t="s">
        <v>916</v>
      </c>
      <c r="C956" s="2">
        <v>540204</v>
      </c>
      <c r="D956" s="2" t="s">
        <v>839</v>
      </c>
      <c r="E956" s="2" t="s">
        <v>87</v>
      </c>
      <c r="F956" s="2" t="s">
        <v>115</v>
      </c>
      <c r="G956" s="2">
        <v>4</v>
      </c>
      <c r="H956" s="2">
        <v>0</v>
      </c>
      <c r="I956" s="2">
        <v>1</v>
      </c>
      <c r="J956" s="2">
        <v>0</v>
      </c>
      <c r="K956" s="2">
        <v>0</v>
      </c>
      <c r="L956" s="2">
        <v>0</v>
      </c>
      <c r="M956" s="2">
        <v>1</v>
      </c>
      <c r="N956" s="2">
        <v>1</v>
      </c>
      <c r="O956" s="2">
        <v>0</v>
      </c>
      <c r="P956" s="2">
        <v>0</v>
      </c>
      <c r="Q956" s="2" t="s">
        <v>488</v>
      </c>
      <c r="R956" s="2" t="s">
        <v>488</v>
      </c>
      <c r="S956" s="2" t="s">
        <v>488</v>
      </c>
      <c r="T956" s="2" t="s">
        <v>488</v>
      </c>
      <c r="U956" s="2">
        <v>0</v>
      </c>
      <c r="V956" s="2">
        <v>0</v>
      </c>
      <c r="W956">
        <f t="shared" si="14"/>
        <v>1</v>
      </c>
    </row>
    <row r="957" spans="1:23" x14ac:dyDescent="0.25">
      <c r="A957" s="2" t="s">
        <v>628</v>
      </c>
      <c r="B957" s="2" t="s">
        <v>916</v>
      </c>
      <c r="C957" s="2">
        <v>540205</v>
      </c>
      <c r="D957" s="2" t="s">
        <v>840</v>
      </c>
      <c r="E957" s="2" t="s">
        <v>87</v>
      </c>
      <c r="F957" s="2" t="s">
        <v>115</v>
      </c>
      <c r="G957" s="2">
        <v>4</v>
      </c>
      <c r="H957" s="2">
        <v>0</v>
      </c>
      <c r="I957" s="2">
        <v>1</v>
      </c>
      <c r="J957" s="2">
        <v>0</v>
      </c>
      <c r="K957" s="2">
        <v>0</v>
      </c>
      <c r="L957" s="2">
        <v>0</v>
      </c>
      <c r="M957" s="2">
        <v>1</v>
      </c>
      <c r="N957" s="2">
        <v>1</v>
      </c>
      <c r="O957" s="2">
        <v>1</v>
      </c>
      <c r="P957" s="2">
        <v>0</v>
      </c>
      <c r="Q957" s="2" t="s">
        <v>488</v>
      </c>
      <c r="R957" s="2" t="s">
        <v>488</v>
      </c>
      <c r="S957" s="2" t="s">
        <v>488</v>
      </c>
      <c r="T957" s="2" t="s">
        <v>488</v>
      </c>
      <c r="U957" s="2">
        <v>0</v>
      </c>
      <c r="V957" s="2">
        <v>0</v>
      </c>
      <c r="W957">
        <f t="shared" si="14"/>
        <v>1</v>
      </c>
    </row>
    <row r="958" spans="1:23" x14ac:dyDescent="0.25">
      <c r="A958" s="2" t="s">
        <v>628</v>
      </c>
      <c r="B958" s="2" t="s">
        <v>916</v>
      </c>
      <c r="C958" s="2">
        <v>540206</v>
      </c>
      <c r="D958" s="2" t="s">
        <v>841</v>
      </c>
      <c r="E958" s="2" t="s">
        <v>87</v>
      </c>
      <c r="F958" s="2" t="s">
        <v>115</v>
      </c>
      <c r="G958" s="2">
        <v>4</v>
      </c>
      <c r="H958" s="2">
        <v>0</v>
      </c>
      <c r="I958" s="2">
        <v>0</v>
      </c>
      <c r="J958" s="2">
        <v>0</v>
      </c>
      <c r="K958" s="2">
        <v>0</v>
      </c>
      <c r="L958" s="2">
        <v>0</v>
      </c>
      <c r="M958" s="2">
        <v>0</v>
      </c>
      <c r="N958" s="2">
        <v>0</v>
      </c>
      <c r="O958" s="2">
        <v>0</v>
      </c>
      <c r="P958" s="2">
        <v>0</v>
      </c>
      <c r="Q958" s="2" t="s">
        <v>488</v>
      </c>
      <c r="R958" s="2" t="s">
        <v>488</v>
      </c>
      <c r="S958" s="2" t="s">
        <v>488</v>
      </c>
      <c r="T958" s="2" t="s">
        <v>488</v>
      </c>
      <c r="U958" s="2">
        <v>0</v>
      </c>
      <c r="V958" s="2">
        <v>0</v>
      </c>
      <c r="W958">
        <f t="shared" si="14"/>
        <v>0</v>
      </c>
    </row>
    <row r="959" spans="1:23" x14ac:dyDescent="0.25">
      <c r="A959" s="255" t="s">
        <v>628</v>
      </c>
      <c r="B959" s="255" t="s">
        <v>916</v>
      </c>
      <c r="C959" s="255"/>
      <c r="D959" s="255"/>
      <c r="E959" s="255" t="s">
        <v>87</v>
      </c>
      <c r="F959" s="255"/>
      <c r="G959" s="255"/>
      <c r="H959" s="255">
        <v>0</v>
      </c>
      <c r="I959" s="255">
        <v>2</v>
      </c>
      <c r="J959" s="255">
        <v>0</v>
      </c>
      <c r="K959" s="255">
        <v>0</v>
      </c>
      <c r="L959" s="255">
        <v>0</v>
      </c>
      <c r="M959" s="255">
        <v>2</v>
      </c>
      <c r="N959" s="255">
        <v>2</v>
      </c>
      <c r="O959" s="255">
        <v>1</v>
      </c>
      <c r="P959" s="255">
        <v>0</v>
      </c>
      <c r="Q959" s="255" t="s">
        <v>488</v>
      </c>
      <c r="R959" s="255" t="s">
        <v>488</v>
      </c>
      <c r="S959" s="255" t="s">
        <v>488</v>
      </c>
      <c r="T959" s="255" t="s">
        <v>488</v>
      </c>
      <c r="U959" s="255">
        <v>0</v>
      </c>
      <c r="V959" s="255">
        <v>0</v>
      </c>
      <c r="W959">
        <f t="shared" si="14"/>
        <v>2</v>
      </c>
    </row>
    <row r="960" spans="1:23" x14ac:dyDescent="0.25">
      <c r="A960" s="2" t="s">
        <v>628</v>
      </c>
      <c r="B960" s="2" t="s">
        <v>916</v>
      </c>
      <c r="C960" s="2">
        <v>540207</v>
      </c>
      <c r="D960" s="2" t="s">
        <v>842</v>
      </c>
      <c r="E960" s="2" t="s">
        <v>89</v>
      </c>
      <c r="F960" s="2" t="s">
        <v>5</v>
      </c>
      <c r="G960" s="2">
        <v>10</v>
      </c>
      <c r="H960" s="2">
        <v>0</v>
      </c>
      <c r="I960" s="2">
        <v>0</v>
      </c>
      <c r="J960" s="2">
        <v>0</v>
      </c>
      <c r="K960" s="2">
        <v>0</v>
      </c>
      <c r="L960" s="2">
        <v>0</v>
      </c>
      <c r="M960" s="2">
        <v>0</v>
      </c>
      <c r="N960" s="2">
        <v>0</v>
      </c>
      <c r="O960" s="2">
        <v>0</v>
      </c>
      <c r="P960" s="2">
        <v>0</v>
      </c>
      <c r="Q960" s="2" t="s">
        <v>488</v>
      </c>
      <c r="R960" s="2" t="s">
        <v>488</v>
      </c>
      <c r="S960" s="2" t="s">
        <v>488</v>
      </c>
      <c r="T960" s="2" t="s">
        <v>488</v>
      </c>
      <c r="U960" s="2">
        <v>0</v>
      </c>
      <c r="V960" s="2">
        <v>0</v>
      </c>
      <c r="W960">
        <f t="shared" si="14"/>
        <v>0</v>
      </c>
    </row>
    <row r="961" spans="1:23" x14ac:dyDescent="0.25">
      <c r="A961" s="2" t="s">
        <v>628</v>
      </c>
      <c r="B961" s="2" t="s">
        <v>916</v>
      </c>
      <c r="C961" s="2">
        <v>540196</v>
      </c>
      <c r="D961" s="2" t="s">
        <v>843</v>
      </c>
      <c r="E961" s="2" t="s">
        <v>89</v>
      </c>
      <c r="F961" s="2" t="s">
        <v>115</v>
      </c>
      <c r="G961" s="2">
        <v>5</v>
      </c>
      <c r="H961" s="2">
        <v>0</v>
      </c>
      <c r="I961" s="2">
        <v>0</v>
      </c>
      <c r="J961" s="2">
        <v>0</v>
      </c>
      <c r="K961" s="2">
        <v>0</v>
      </c>
      <c r="L961" s="2">
        <v>0</v>
      </c>
      <c r="M961" s="2">
        <v>0</v>
      </c>
      <c r="N961" s="2">
        <v>0</v>
      </c>
      <c r="O961" s="2">
        <v>0</v>
      </c>
      <c r="P961" s="2">
        <v>0</v>
      </c>
      <c r="Q961" s="2" t="s">
        <v>488</v>
      </c>
      <c r="R961" s="2" t="s">
        <v>488</v>
      </c>
      <c r="S961" s="2" t="s">
        <v>488</v>
      </c>
      <c r="T961" s="2" t="s">
        <v>488</v>
      </c>
      <c r="U961" s="2">
        <v>0</v>
      </c>
      <c r="V961" s="2">
        <v>0</v>
      </c>
      <c r="W961">
        <f t="shared" si="14"/>
        <v>0</v>
      </c>
    </row>
    <row r="962" spans="1:23" x14ac:dyDescent="0.25">
      <c r="A962" s="2" t="s">
        <v>628</v>
      </c>
      <c r="B962" s="2" t="s">
        <v>916</v>
      </c>
      <c r="C962" s="2">
        <v>540208</v>
      </c>
      <c r="D962" s="2" t="s">
        <v>844</v>
      </c>
      <c r="E962" s="2" t="s">
        <v>89</v>
      </c>
      <c r="F962" s="2" t="s">
        <v>115</v>
      </c>
      <c r="G962" s="2">
        <v>10</v>
      </c>
      <c r="H962" s="2">
        <v>0</v>
      </c>
      <c r="I962" s="2">
        <v>1</v>
      </c>
      <c r="J962" s="2">
        <v>1</v>
      </c>
      <c r="K962" s="2">
        <v>0</v>
      </c>
      <c r="L962" s="2">
        <v>0</v>
      </c>
      <c r="M962" s="2">
        <v>2</v>
      </c>
      <c r="N962" s="2">
        <v>2</v>
      </c>
      <c r="O962" s="2">
        <v>0</v>
      </c>
      <c r="P962" s="2">
        <v>0</v>
      </c>
      <c r="Q962" s="2" t="s">
        <v>488</v>
      </c>
      <c r="R962" s="2" t="s">
        <v>488</v>
      </c>
      <c r="S962" s="2" t="s">
        <v>488</v>
      </c>
      <c r="T962" s="2" t="s">
        <v>488</v>
      </c>
      <c r="U962" s="2">
        <v>0</v>
      </c>
      <c r="V962" s="2">
        <v>0</v>
      </c>
      <c r="W962">
        <f t="shared" si="14"/>
        <v>2</v>
      </c>
    </row>
    <row r="963" spans="1:23" x14ac:dyDescent="0.25">
      <c r="A963" s="2" t="s">
        <v>628</v>
      </c>
      <c r="B963" s="2" t="s">
        <v>916</v>
      </c>
      <c r="C963" s="2">
        <v>540210</v>
      </c>
      <c r="D963" s="2" t="s">
        <v>845</v>
      </c>
      <c r="E963" s="2" t="s">
        <v>89</v>
      </c>
      <c r="F963" s="2" t="s">
        <v>115</v>
      </c>
      <c r="G963" s="2">
        <v>10</v>
      </c>
      <c r="H963" s="2">
        <v>0</v>
      </c>
      <c r="I963" s="2">
        <v>0</v>
      </c>
      <c r="J963" s="2">
        <v>0</v>
      </c>
      <c r="K963" s="2">
        <v>0</v>
      </c>
      <c r="L963" s="2">
        <v>0</v>
      </c>
      <c r="M963" s="2">
        <v>0</v>
      </c>
      <c r="N963" s="2">
        <v>0</v>
      </c>
      <c r="O963" s="2">
        <v>0</v>
      </c>
      <c r="P963" s="2">
        <v>0</v>
      </c>
      <c r="Q963" s="2" t="s">
        <v>488</v>
      </c>
      <c r="R963" s="2" t="s">
        <v>488</v>
      </c>
      <c r="S963" s="2" t="s">
        <v>488</v>
      </c>
      <c r="T963" s="2" t="s">
        <v>488</v>
      </c>
      <c r="U963" s="2">
        <v>0</v>
      </c>
      <c r="V963" s="2">
        <v>0</v>
      </c>
      <c r="W963">
        <f t="shared" ref="W963:W1026" si="15">SUM(N963,P963,R963,T963,U963,V963)</f>
        <v>0</v>
      </c>
    </row>
    <row r="964" spans="1:23" x14ac:dyDescent="0.25">
      <c r="A964" s="2" t="s">
        <v>628</v>
      </c>
      <c r="B964" s="2" t="s">
        <v>916</v>
      </c>
      <c r="C964" s="2">
        <v>540256</v>
      </c>
      <c r="D964" s="2" t="s">
        <v>846</v>
      </c>
      <c r="E964" s="2" t="s">
        <v>89</v>
      </c>
      <c r="F964" s="2" t="s">
        <v>115</v>
      </c>
      <c r="G964" s="2">
        <v>10</v>
      </c>
      <c r="H964" s="2">
        <v>1</v>
      </c>
      <c r="I964" s="2">
        <v>0</v>
      </c>
      <c r="J964" s="2">
        <v>0</v>
      </c>
      <c r="K964" s="2">
        <v>0</v>
      </c>
      <c r="L964" s="2">
        <v>0</v>
      </c>
      <c r="M964" s="2">
        <v>0</v>
      </c>
      <c r="N964" s="2">
        <v>1</v>
      </c>
      <c r="O964" s="2">
        <v>0</v>
      </c>
      <c r="P964" s="2">
        <v>0</v>
      </c>
      <c r="Q964" s="2" t="s">
        <v>488</v>
      </c>
      <c r="R964" s="2" t="s">
        <v>488</v>
      </c>
      <c r="S964" s="2" t="s">
        <v>488</v>
      </c>
      <c r="T964" s="2" t="s">
        <v>488</v>
      </c>
      <c r="U964" s="2">
        <v>0</v>
      </c>
      <c r="V964" s="2">
        <v>0</v>
      </c>
      <c r="W964">
        <f t="shared" si="15"/>
        <v>1</v>
      </c>
    </row>
    <row r="965" spans="1:23" x14ac:dyDescent="0.25">
      <c r="A965" s="2" t="s">
        <v>628</v>
      </c>
      <c r="B965" s="2" t="s">
        <v>916</v>
      </c>
      <c r="C965" s="2">
        <v>540258</v>
      </c>
      <c r="D965" s="2" t="s">
        <v>847</v>
      </c>
      <c r="E965" s="2" t="s">
        <v>89</v>
      </c>
      <c r="F965" s="2" t="s">
        <v>115</v>
      </c>
      <c r="G965" s="2">
        <v>10</v>
      </c>
      <c r="H965" s="2">
        <v>0</v>
      </c>
      <c r="I965" s="2">
        <v>0</v>
      </c>
      <c r="J965" s="2">
        <v>0</v>
      </c>
      <c r="K965" s="2">
        <v>0</v>
      </c>
      <c r="L965" s="2">
        <v>0</v>
      </c>
      <c r="M965" s="2">
        <v>0</v>
      </c>
      <c r="N965" s="2">
        <v>0</v>
      </c>
      <c r="O965" s="2">
        <v>0</v>
      </c>
      <c r="P965" s="2">
        <v>0</v>
      </c>
      <c r="Q965" s="2" t="s">
        <v>488</v>
      </c>
      <c r="R965" s="2" t="s">
        <v>488</v>
      </c>
      <c r="S965" s="2" t="s">
        <v>488</v>
      </c>
      <c r="T965" s="2" t="s">
        <v>488</v>
      </c>
      <c r="U965" s="2">
        <v>0</v>
      </c>
      <c r="V965" s="2">
        <v>0</v>
      </c>
      <c r="W965">
        <f t="shared" si="15"/>
        <v>0</v>
      </c>
    </row>
    <row r="966" spans="1:23" x14ac:dyDescent="0.25">
      <c r="A966" s="255" t="s">
        <v>628</v>
      </c>
      <c r="B966" s="255" t="s">
        <v>916</v>
      </c>
      <c r="C966" s="255"/>
      <c r="D966" s="255"/>
      <c r="E966" s="255" t="s">
        <v>89</v>
      </c>
      <c r="F966" s="255"/>
      <c r="G966" s="255"/>
      <c r="H966" s="255">
        <v>1</v>
      </c>
      <c r="I966" s="255">
        <v>1</v>
      </c>
      <c r="J966" s="255">
        <v>1</v>
      </c>
      <c r="K966" s="255">
        <v>0</v>
      </c>
      <c r="L966" s="255">
        <v>0</v>
      </c>
      <c r="M966" s="255">
        <v>2</v>
      </c>
      <c r="N966" s="255">
        <v>3</v>
      </c>
      <c r="O966" s="255">
        <v>0</v>
      </c>
      <c r="P966" s="255">
        <v>0</v>
      </c>
      <c r="Q966" s="255" t="s">
        <v>488</v>
      </c>
      <c r="R966" s="255" t="s">
        <v>488</v>
      </c>
      <c r="S966" s="255" t="s">
        <v>488</v>
      </c>
      <c r="T966" s="255" t="s">
        <v>488</v>
      </c>
      <c r="U966" s="255">
        <v>0</v>
      </c>
      <c r="V966" s="255">
        <v>0</v>
      </c>
      <c r="W966">
        <f t="shared" si="15"/>
        <v>3</v>
      </c>
    </row>
    <row r="967" spans="1:23" x14ac:dyDescent="0.25">
      <c r="A967" s="2" t="s">
        <v>628</v>
      </c>
      <c r="B967" s="2" t="s">
        <v>916</v>
      </c>
      <c r="C967" s="2">
        <v>540211</v>
      </c>
      <c r="D967" s="2" t="s">
        <v>848</v>
      </c>
      <c r="E967" s="2" t="s">
        <v>91</v>
      </c>
      <c r="F967" s="2" t="s">
        <v>5</v>
      </c>
      <c r="G967" s="2">
        <v>5</v>
      </c>
      <c r="H967" s="2">
        <v>0</v>
      </c>
      <c r="I967" s="2">
        <v>0</v>
      </c>
      <c r="J967" s="2">
        <v>0</v>
      </c>
      <c r="K967" s="2">
        <v>0</v>
      </c>
      <c r="L967" s="2">
        <v>0</v>
      </c>
      <c r="M967" s="2">
        <v>0</v>
      </c>
      <c r="N967" s="2">
        <v>0</v>
      </c>
      <c r="O967" s="2">
        <v>0</v>
      </c>
      <c r="P967" s="2">
        <v>0</v>
      </c>
      <c r="Q967" s="2" t="s">
        <v>488</v>
      </c>
      <c r="R967" s="2" t="s">
        <v>488</v>
      </c>
      <c r="S967" s="2" t="s">
        <v>488</v>
      </c>
      <c r="T967" s="2" t="s">
        <v>488</v>
      </c>
      <c r="U967" s="2">
        <v>0</v>
      </c>
      <c r="V967" s="2">
        <v>0</v>
      </c>
      <c r="W967">
        <f t="shared" si="15"/>
        <v>0</v>
      </c>
    </row>
    <row r="968" spans="1:23" x14ac:dyDescent="0.25">
      <c r="A968" s="2" t="s">
        <v>628</v>
      </c>
      <c r="B968" s="2" t="s">
        <v>916</v>
      </c>
      <c r="C968" s="2">
        <v>540212</v>
      </c>
      <c r="D968" s="2" t="s">
        <v>849</v>
      </c>
      <c r="E968" s="2" t="s">
        <v>91</v>
      </c>
      <c r="F968" s="2" t="s">
        <v>115</v>
      </c>
      <c r="G968" s="2">
        <v>5</v>
      </c>
      <c r="H968" s="2">
        <v>0</v>
      </c>
      <c r="I968" s="2">
        <v>0</v>
      </c>
      <c r="J968" s="2">
        <v>0</v>
      </c>
      <c r="K968" s="2">
        <v>0</v>
      </c>
      <c r="L968" s="2">
        <v>0</v>
      </c>
      <c r="M968" s="2">
        <v>0</v>
      </c>
      <c r="N968" s="2">
        <v>0</v>
      </c>
      <c r="O968" s="2">
        <v>0</v>
      </c>
      <c r="P968" s="2">
        <v>0</v>
      </c>
      <c r="Q968" s="2" t="s">
        <v>488</v>
      </c>
      <c r="R968" s="2" t="s">
        <v>488</v>
      </c>
      <c r="S968" s="2" t="s">
        <v>488</v>
      </c>
      <c r="T968" s="2" t="s">
        <v>488</v>
      </c>
      <c r="U968" s="2">
        <v>0</v>
      </c>
      <c r="V968" s="2">
        <v>0</v>
      </c>
      <c r="W968">
        <f t="shared" si="15"/>
        <v>0</v>
      </c>
    </row>
    <row r="969" spans="1:23" x14ac:dyDescent="0.25">
      <c r="A969" s="255" t="s">
        <v>628</v>
      </c>
      <c r="B969" s="255" t="s">
        <v>916</v>
      </c>
      <c r="C969" s="255"/>
      <c r="D969" s="255"/>
      <c r="E969" s="255" t="s">
        <v>91</v>
      </c>
      <c r="F969" s="255"/>
      <c r="G969" s="255"/>
      <c r="H969" s="255">
        <v>0</v>
      </c>
      <c r="I969" s="255">
        <v>0</v>
      </c>
      <c r="J969" s="255">
        <v>0</v>
      </c>
      <c r="K969" s="255">
        <v>0</v>
      </c>
      <c r="L969" s="255">
        <v>0</v>
      </c>
      <c r="M969" s="255">
        <v>0</v>
      </c>
      <c r="N969" s="255">
        <v>0</v>
      </c>
      <c r="O969" s="255">
        <v>0</v>
      </c>
      <c r="P969" s="255">
        <v>0</v>
      </c>
      <c r="Q969" s="255" t="s">
        <v>488</v>
      </c>
      <c r="R969" s="255" t="s">
        <v>488</v>
      </c>
      <c r="S969" s="255" t="s">
        <v>488</v>
      </c>
      <c r="T969" s="255" t="s">
        <v>488</v>
      </c>
      <c r="U969" s="255">
        <v>0</v>
      </c>
      <c r="V969" s="255">
        <v>0</v>
      </c>
      <c r="W969">
        <f t="shared" si="15"/>
        <v>0</v>
      </c>
    </row>
    <row r="970" spans="1:23" x14ac:dyDescent="0.25">
      <c r="A970" s="2" t="s">
        <v>628</v>
      </c>
      <c r="B970" s="2" t="s">
        <v>916</v>
      </c>
      <c r="C970" s="2">
        <v>540213</v>
      </c>
      <c r="D970" s="2" t="s">
        <v>850</v>
      </c>
      <c r="E970" s="2" t="s">
        <v>93</v>
      </c>
      <c r="F970" s="2" t="s">
        <v>5</v>
      </c>
      <c r="G970" s="2">
        <v>5</v>
      </c>
      <c r="H970" s="2">
        <v>0</v>
      </c>
      <c r="I970" s="2">
        <v>0</v>
      </c>
      <c r="J970" s="2">
        <v>0</v>
      </c>
      <c r="K970" s="2">
        <v>0</v>
      </c>
      <c r="L970" s="2">
        <v>0</v>
      </c>
      <c r="M970" s="2">
        <v>0</v>
      </c>
      <c r="N970" s="2">
        <v>0</v>
      </c>
      <c r="O970" s="2">
        <v>0</v>
      </c>
      <c r="P970" s="2">
        <v>0</v>
      </c>
      <c r="Q970" s="2" t="s">
        <v>488</v>
      </c>
      <c r="R970" s="2" t="s">
        <v>488</v>
      </c>
      <c r="S970" s="2" t="s">
        <v>488</v>
      </c>
      <c r="T970" s="2" t="s">
        <v>488</v>
      </c>
      <c r="U970" s="2">
        <v>0</v>
      </c>
      <c r="V970" s="2">
        <v>0</v>
      </c>
      <c r="W970">
        <f t="shared" si="15"/>
        <v>0</v>
      </c>
    </row>
    <row r="971" spans="1:23" x14ac:dyDescent="0.25">
      <c r="A971" s="2" t="s">
        <v>628</v>
      </c>
      <c r="B971" s="2" t="s">
        <v>916</v>
      </c>
      <c r="C971" s="2">
        <v>540042</v>
      </c>
      <c r="D971" s="2" t="s">
        <v>851</v>
      </c>
      <c r="E971" s="2" t="s">
        <v>93</v>
      </c>
      <c r="F971" s="2" t="s">
        <v>115</v>
      </c>
      <c r="G971" s="2">
        <v>5</v>
      </c>
      <c r="H971" s="2">
        <v>0</v>
      </c>
      <c r="I971" s="2">
        <v>0</v>
      </c>
      <c r="J971" s="2">
        <v>0</v>
      </c>
      <c r="K971" s="2">
        <v>0</v>
      </c>
      <c r="L971" s="2">
        <v>0</v>
      </c>
      <c r="M971" s="2">
        <v>0</v>
      </c>
      <c r="N971" s="2">
        <v>0</v>
      </c>
      <c r="O971" s="2">
        <v>0</v>
      </c>
      <c r="P971" s="2">
        <v>0</v>
      </c>
      <c r="Q971" s="2" t="s">
        <v>488</v>
      </c>
      <c r="R971" s="2" t="s">
        <v>488</v>
      </c>
      <c r="S971" s="2" t="s">
        <v>488</v>
      </c>
      <c r="T971" s="2" t="s">
        <v>488</v>
      </c>
      <c r="U971" s="2">
        <v>0</v>
      </c>
      <c r="V971" s="2">
        <v>0</v>
      </c>
      <c r="W971">
        <f t="shared" si="15"/>
        <v>0</v>
      </c>
    </row>
    <row r="972" spans="1:23" x14ac:dyDescent="0.25">
      <c r="A972" s="2" t="s">
        <v>628</v>
      </c>
      <c r="B972" s="2" t="s">
        <v>916</v>
      </c>
      <c r="C972" s="2">
        <v>540214</v>
      </c>
      <c r="D972" s="2" t="s">
        <v>852</v>
      </c>
      <c r="E972" s="2" t="s">
        <v>93</v>
      </c>
      <c r="F972" s="2" t="s">
        <v>115</v>
      </c>
      <c r="G972" s="2">
        <v>5</v>
      </c>
      <c r="H972" s="2">
        <v>0</v>
      </c>
      <c r="I972" s="2">
        <v>0</v>
      </c>
      <c r="J972" s="2">
        <v>0</v>
      </c>
      <c r="K972" s="2">
        <v>0</v>
      </c>
      <c r="L972" s="2">
        <v>0</v>
      </c>
      <c r="M972" s="2">
        <v>0</v>
      </c>
      <c r="N972" s="2">
        <v>0</v>
      </c>
      <c r="O972" s="2">
        <v>0</v>
      </c>
      <c r="P972" s="2">
        <v>0</v>
      </c>
      <c r="Q972" s="2" t="s">
        <v>488</v>
      </c>
      <c r="R972" s="2" t="s">
        <v>488</v>
      </c>
      <c r="S972" s="2" t="s">
        <v>488</v>
      </c>
      <c r="T972" s="2" t="s">
        <v>488</v>
      </c>
      <c r="U972" s="2">
        <v>0</v>
      </c>
      <c r="V972" s="2">
        <v>2</v>
      </c>
      <c r="W972">
        <f t="shared" si="15"/>
        <v>2</v>
      </c>
    </row>
    <row r="973" spans="1:23" x14ac:dyDescent="0.25">
      <c r="A973" s="2" t="s">
        <v>628</v>
      </c>
      <c r="B973" s="2" t="s">
        <v>916</v>
      </c>
      <c r="C973" s="2">
        <v>540215</v>
      </c>
      <c r="D973" s="2" t="s">
        <v>853</v>
      </c>
      <c r="E973" s="2" t="s">
        <v>93</v>
      </c>
      <c r="F973" s="2" t="s">
        <v>115</v>
      </c>
      <c r="G973" s="2">
        <v>5</v>
      </c>
      <c r="H973" s="2">
        <v>0</v>
      </c>
      <c r="I973" s="2">
        <v>0</v>
      </c>
      <c r="J973" s="2">
        <v>0</v>
      </c>
      <c r="K973" s="2">
        <v>0</v>
      </c>
      <c r="L973" s="2">
        <v>0</v>
      </c>
      <c r="M973" s="2">
        <v>0</v>
      </c>
      <c r="N973" s="2">
        <v>0</v>
      </c>
      <c r="O973" s="2">
        <v>0</v>
      </c>
      <c r="P973" s="2">
        <v>0</v>
      </c>
      <c r="Q973" s="2" t="s">
        <v>488</v>
      </c>
      <c r="R973" s="2" t="s">
        <v>488</v>
      </c>
      <c r="S973" s="2" t="s">
        <v>488</v>
      </c>
      <c r="T973" s="2" t="s">
        <v>488</v>
      </c>
      <c r="U973" s="2">
        <v>0</v>
      </c>
      <c r="V973" s="2">
        <v>0</v>
      </c>
      <c r="W973">
        <f t="shared" si="15"/>
        <v>0</v>
      </c>
    </row>
    <row r="974" spans="1:23" x14ac:dyDescent="0.25">
      <c r="A974" s="2" t="s">
        <v>628</v>
      </c>
      <c r="B974" s="2" t="s">
        <v>916</v>
      </c>
      <c r="C974" s="2">
        <v>540216</v>
      </c>
      <c r="D974" s="2" t="s">
        <v>854</v>
      </c>
      <c r="E974" s="2" t="s">
        <v>93</v>
      </c>
      <c r="F974" s="2" t="s">
        <v>115</v>
      </c>
      <c r="G974" s="2">
        <v>5</v>
      </c>
      <c r="H974" s="2">
        <v>0</v>
      </c>
      <c r="I974" s="2">
        <v>0</v>
      </c>
      <c r="J974" s="2">
        <v>0</v>
      </c>
      <c r="K974" s="2">
        <v>0</v>
      </c>
      <c r="L974" s="2">
        <v>0</v>
      </c>
      <c r="M974" s="2">
        <v>0</v>
      </c>
      <c r="N974" s="2">
        <v>0</v>
      </c>
      <c r="O974" s="2">
        <v>0</v>
      </c>
      <c r="P974" s="2">
        <v>0</v>
      </c>
      <c r="Q974" s="2" t="s">
        <v>488</v>
      </c>
      <c r="R974" s="2" t="s">
        <v>488</v>
      </c>
      <c r="S974" s="2" t="s">
        <v>488</v>
      </c>
      <c r="T974" s="2" t="s">
        <v>488</v>
      </c>
      <c r="U974" s="2">
        <v>0</v>
      </c>
      <c r="V974" s="2">
        <v>0</v>
      </c>
      <c r="W974">
        <f t="shared" si="15"/>
        <v>0</v>
      </c>
    </row>
    <row r="975" spans="1:23" x14ac:dyDescent="0.25">
      <c r="A975" s="255" t="s">
        <v>628</v>
      </c>
      <c r="B975" s="255" t="s">
        <v>916</v>
      </c>
      <c r="C975" s="255"/>
      <c r="D975" s="255"/>
      <c r="E975" s="255" t="s">
        <v>93</v>
      </c>
      <c r="F975" s="255"/>
      <c r="G975" s="255"/>
      <c r="H975" s="255">
        <v>0</v>
      </c>
      <c r="I975" s="255">
        <v>0</v>
      </c>
      <c r="J975" s="255">
        <v>0</v>
      </c>
      <c r="K975" s="255">
        <v>0</v>
      </c>
      <c r="L975" s="255">
        <v>0</v>
      </c>
      <c r="M975" s="255">
        <v>0</v>
      </c>
      <c r="N975" s="255">
        <v>0</v>
      </c>
      <c r="O975" s="255">
        <v>0</v>
      </c>
      <c r="P975" s="255">
        <v>0</v>
      </c>
      <c r="Q975" s="255" t="s">
        <v>488</v>
      </c>
      <c r="R975" s="255" t="s">
        <v>488</v>
      </c>
      <c r="S975" s="255" t="s">
        <v>488</v>
      </c>
      <c r="T975" s="255" t="s">
        <v>488</v>
      </c>
      <c r="U975" s="255">
        <v>0</v>
      </c>
      <c r="V975" s="255">
        <v>2</v>
      </c>
      <c r="W975">
        <f t="shared" si="15"/>
        <v>2</v>
      </c>
    </row>
    <row r="976" spans="1:23" x14ac:dyDescent="0.25">
      <c r="A976" s="2" t="s">
        <v>628</v>
      </c>
      <c r="B976" s="2" t="s">
        <v>916</v>
      </c>
      <c r="C976" s="2">
        <v>540224</v>
      </c>
      <c r="D976" s="2" t="s">
        <v>855</v>
      </c>
      <c r="E976" s="2" t="s">
        <v>97</v>
      </c>
      <c r="F976" s="2" t="s">
        <v>5</v>
      </c>
      <c r="G976" s="2">
        <v>5</v>
      </c>
      <c r="H976" s="2">
        <v>0</v>
      </c>
      <c r="I976" s="2">
        <v>0</v>
      </c>
      <c r="J976" s="2">
        <v>0</v>
      </c>
      <c r="K976" s="2">
        <v>0</v>
      </c>
      <c r="L976" s="2">
        <v>0</v>
      </c>
      <c r="M976" s="2">
        <v>0</v>
      </c>
      <c r="N976" s="2">
        <v>0</v>
      </c>
      <c r="O976" s="2">
        <v>0</v>
      </c>
      <c r="P976" s="2">
        <v>0</v>
      </c>
      <c r="Q976" s="2">
        <v>0</v>
      </c>
      <c r="R976" s="2">
        <v>0</v>
      </c>
      <c r="S976" s="2" t="s">
        <v>488</v>
      </c>
      <c r="T976" s="2" t="s">
        <v>488</v>
      </c>
      <c r="U976" s="2">
        <v>0</v>
      </c>
      <c r="V976" s="2">
        <v>0</v>
      </c>
      <c r="W976">
        <f t="shared" si="15"/>
        <v>0</v>
      </c>
    </row>
    <row r="977" spans="1:23" x14ac:dyDescent="0.25">
      <c r="A977" s="2" t="s">
        <v>628</v>
      </c>
      <c r="B977" s="2" t="s">
        <v>916</v>
      </c>
      <c r="C977" s="2">
        <v>540132</v>
      </c>
      <c r="D977" s="2" t="s">
        <v>856</v>
      </c>
      <c r="E977" s="2" t="s">
        <v>97</v>
      </c>
      <c r="F977" s="2" t="s">
        <v>115</v>
      </c>
      <c r="G977" s="2">
        <v>5</v>
      </c>
      <c r="H977" s="2">
        <v>0</v>
      </c>
      <c r="I977" s="2">
        <v>0</v>
      </c>
      <c r="J977" s="2">
        <v>0</v>
      </c>
      <c r="K977" s="2">
        <v>0</v>
      </c>
      <c r="L977" s="2">
        <v>0</v>
      </c>
      <c r="M977" s="2">
        <v>0</v>
      </c>
      <c r="N977" s="2">
        <v>0</v>
      </c>
      <c r="O977" s="2">
        <v>0</v>
      </c>
      <c r="P977" s="2">
        <v>0</v>
      </c>
      <c r="Q977" s="2">
        <v>0</v>
      </c>
      <c r="R977" s="2">
        <v>0</v>
      </c>
      <c r="S977" s="2" t="s">
        <v>488</v>
      </c>
      <c r="T977" s="2" t="s">
        <v>488</v>
      </c>
      <c r="U977" s="2">
        <v>0</v>
      </c>
      <c r="V977" s="2">
        <v>0</v>
      </c>
      <c r="W977">
        <f t="shared" si="15"/>
        <v>0</v>
      </c>
    </row>
    <row r="978" spans="1:23" x14ac:dyDescent="0.25">
      <c r="A978" s="2" t="s">
        <v>628</v>
      </c>
      <c r="B978" s="2" t="s">
        <v>916</v>
      </c>
      <c r="C978" s="2">
        <v>540179</v>
      </c>
      <c r="D978" s="2" t="s">
        <v>857</v>
      </c>
      <c r="E978" s="2" t="s">
        <v>97</v>
      </c>
      <c r="F978" s="2" t="s">
        <v>115</v>
      </c>
      <c r="G978" s="2">
        <v>5</v>
      </c>
      <c r="H978" s="2">
        <v>0</v>
      </c>
      <c r="I978" s="2">
        <v>0</v>
      </c>
      <c r="J978" s="2">
        <v>0</v>
      </c>
      <c r="K978" s="2">
        <v>0</v>
      </c>
      <c r="L978" s="2">
        <v>0</v>
      </c>
      <c r="M978" s="2">
        <v>0</v>
      </c>
      <c r="N978" s="2">
        <v>0</v>
      </c>
      <c r="O978" s="2">
        <v>0</v>
      </c>
      <c r="P978" s="2">
        <v>0</v>
      </c>
      <c r="Q978" s="2">
        <v>0</v>
      </c>
      <c r="R978" s="2">
        <v>0</v>
      </c>
      <c r="S978" s="2" t="s">
        <v>488</v>
      </c>
      <c r="T978" s="2" t="s">
        <v>488</v>
      </c>
      <c r="U978" s="2">
        <v>0</v>
      </c>
      <c r="V978" s="2">
        <v>0</v>
      </c>
      <c r="W978">
        <f t="shared" si="15"/>
        <v>0</v>
      </c>
    </row>
    <row r="979" spans="1:23" x14ac:dyDescent="0.25">
      <c r="A979" s="2" t="s">
        <v>628</v>
      </c>
      <c r="B979" s="2" t="s">
        <v>916</v>
      </c>
      <c r="C979" s="2">
        <v>540180</v>
      </c>
      <c r="D979" s="2" t="s">
        <v>858</v>
      </c>
      <c r="E979" s="2" t="s">
        <v>97</v>
      </c>
      <c r="F979" s="2" t="s">
        <v>115</v>
      </c>
      <c r="G979" s="2">
        <v>5</v>
      </c>
      <c r="H979" s="2">
        <v>0</v>
      </c>
      <c r="I979" s="2">
        <v>0</v>
      </c>
      <c r="J979" s="2">
        <v>0</v>
      </c>
      <c r="K979" s="2">
        <v>0</v>
      </c>
      <c r="L979" s="2">
        <v>0</v>
      </c>
      <c r="M979" s="2">
        <v>0</v>
      </c>
      <c r="N979" s="2">
        <v>0</v>
      </c>
      <c r="O979" s="2">
        <v>0</v>
      </c>
      <c r="P979" s="2">
        <v>0</v>
      </c>
      <c r="Q979" s="2">
        <v>0</v>
      </c>
      <c r="R979" s="2">
        <v>0</v>
      </c>
      <c r="S979" s="2" t="s">
        <v>488</v>
      </c>
      <c r="T979" s="2" t="s">
        <v>488</v>
      </c>
      <c r="U979" s="2">
        <v>0</v>
      </c>
      <c r="V979" s="2">
        <v>0</v>
      </c>
      <c r="W979">
        <f t="shared" si="15"/>
        <v>0</v>
      </c>
    </row>
    <row r="980" spans="1:23" x14ac:dyDescent="0.25">
      <c r="A980" s="2" t="s">
        <v>628</v>
      </c>
      <c r="B980" s="2" t="s">
        <v>916</v>
      </c>
      <c r="C980" s="2">
        <v>540182</v>
      </c>
      <c r="D980" s="2" t="s">
        <v>859</v>
      </c>
      <c r="E980" s="2" t="s">
        <v>97</v>
      </c>
      <c r="F980" s="2" t="s">
        <v>115</v>
      </c>
      <c r="G980" s="2">
        <v>5</v>
      </c>
      <c r="H980" s="2">
        <v>0</v>
      </c>
      <c r="I980" s="2">
        <v>0</v>
      </c>
      <c r="J980" s="2">
        <v>0</v>
      </c>
      <c r="K980" s="2">
        <v>0</v>
      </c>
      <c r="L980" s="2">
        <v>0</v>
      </c>
      <c r="M980" s="2">
        <v>0</v>
      </c>
      <c r="N980" s="2">
        <v>0</v>
      </c>
      <c r="O980" s="2">
        <v>0</v>
      </c>
      <c r="P980" s="2">
        <v>0</v>
      </c>
      <c r="Q980" s="2">
        <v>0</v>
      </c>
      <c r="R980" s="2">
        <v>0</v>
      </c>
      <c r="S980" s="2" t="s">
        <v>488</v>
      </c>
      <c r="T980" s="2" t="s">
        <v>488</v>
      </c>
      <c r="U980" s="2">
        <v>0</v>
      </c>
      <c r="V980" s="2">
        <v>0</v>
      </c>
      <c r="W980">
        <f t="shared" si="15"/>
        <v>0</v>
      </c>
    </row>
    <row r="981" spans="1:23" x14ac:dyDescent="0.25">
      <c r="A981" s="2" t="s">
        <v>628</v>
      </c>
      <c r="B981" s="2" t="s">
        <v>916</v>
      </c>
      <c r="C981" s="2">
        <v>540262</v>
      </c>
      <c r="D981" s="2" t="s">
        <v>860</v>
      </c>
      <c r="E981" s="2" t="s">
        <v>97</v>
      </c>
      <c r="F981" s="2" t="s">
        <v>115</v>
      </c>
      <c r="G981" s="2">
        <v>5</v>
      </c>
      <c r="H981" s="2">
        <v>0</v>
      </c>
      <c r="I981" s="2">
        <v>0</v>
      </c>
      <c r="J981" s="2">
        <v>0</v>
      </c>
      <c r="K981" s="2">
        <v>0</v>
      </c>
      <c r="L981" s="2">
        <v>0</v>
      </c>
      <c r="M981" s="2">
        <v>0</v>
      </c>
      <c r="N981" s="2">
        <v>0</v>
      </c>
      <c r="O981" s="2">
        <v>0</v>
      </c>
      <c r="P981" s="2">
        <v>0</v>
      </c>
      <c r="Q981" s="2">
        <v>0</v>
      </c>
      <c r="R981" s="2">
        <v>0</v>
      </c>
      <c r="S981" s="2" t="s">
        <v>488</v>
      </c>
      <c r="T981" s="2" t="s">
        <v>488</v>
      </c>
      <c r="U981" s="2">
        <v>0</v>
      </c>
      <c r="V981" s="2">
        <v>0</v>
      </c>
      <c r="W981">
        <f t="shared" si="15"/>
        <v>0</v>
      </c>
    </row>
    <row r="982" spans="1:23" x14ac:dyDescent="0.25">
      <c r="A982" s="2" t="s">
        <v>628</v>
      </c>
      <c r="B982" s="2" t="s">
        <v>916</v>
      </c>
      <c r="C982" s="2">
        <v>540263</v>
      </c>
      <c r="D982" s="2" t="s">
        <v>861</v>
      </c>
      <c r="E982" s="2" t="s">
        <v>97</v>
      </c>
      <c r="F982" s="2" t="s">
        <v>115</v>
      </c>
      <c r="G982" s="2">
        <v>5</v>
      </c>
      <c r="H982" s="2">
        <v>0</v>
      </c>
      <c r="I982" s="2">
        <v>0</v>
      </c>
      <c r="J982" s="2">
        <v>0</v>
      </c>
      <c r="K982" s="2">
        <v>0</v>
      </c>
      <c r="L982" s="2">
        <v>0</v>
      </c>
      <c r="M982" s="2">
        <v>0</v>
      </c>
      <c r="N982" s="2">
        <v>0</v>
      </c>
      <c r="O982" s="2">
        <v>0</v>
      </c>
      <c r="P982" s="2">
        <v>0</v>
      </c>
      <c r="Q982" s="2">
        <v>0</v>
      </c>
      <c r="R982" s="2">
        <v>0</v>
      </c>
      <c r="S982" s="2" t="s">
        <v>488</v>
      </c>
      <c r="T982" s="2" t="s">
        <v>488</v>
      </c>
      <c r="U982" s="2">
        <v>0</v>
      </c>
      <c r="V982" s="2">
        <v>0</v>
      </c>
      <c r="W982">
        <f t="shared" si="15"/>
        <v>0</v>
      </c>
    </row>
    <row r="983" spans="1:23" x14ac:dyDescent="0.25">
      <c r="A983" s="255" t="s">
        <v>628</v>
      </c>
      <c r="B983" s="255" t="s">
        <v>916</v>
      </c>
      <c r="C983" s="255"/>
      <c r="D983" s="255"/>
      <c r="E983" s="255" t="s">
        <v>97</v>
      </c>
      <c r="F983" s="255"/>
      <c r="G983" s="255"/>
      <c r="H983" s="255">
        <v>0</v>
      </c>
      <c r="I983" s="255">
        <v>0</v>
      </c>
      <c r="J983" s="255">
        <v>0</v>
      </c>
      <c r="K983" s="255">
        <v>0</v>
      </c>
      <c r="L983" s="255">
        <v>0</v>
      </c>
      <c r="M983" s="255">
        <v>0</v>
      </c>
      <c r="N983" s="255">
        <v>0</v>
      </c>
      <c r="O983" s="255">
        <v>0</v>
      </c>
      <c r="P983" s="255">
        <v>0</v>
      </c>
      <c r="Q983" s="255">
        <v>0</v>
      </c>
      <c r="R983" s="255">
        <v>0</v>
      </c>
      <c r="S983" s="255" t="s">
        <v>488</v>
      </c>
      <c r="T983" s="255" t="s">
        <v>488</v>
      </c>
      <c r="U983" s="255">
        <v>0</v>
      </c>
      <c r="V983" s="255">
        <v>0</v>
      </c>
      <c r="W983">
        <f t="shared" si="15"/>
        <v>0</v>
      </c>
    </row>
    <row r="984" spans="1:23" x14ac:dyDescent="0.25">
      <c r="A984" s="2" t="s">
        <v>628</v>
      </c>
      <c r="B984" s="2" t="s">
        <v>916</v>
      </c>
      <c r="C984" s="2">
        <v>540225</v>
      </c>
      <c r="D984" s="2" t="s">
        <v>862</v>
      </c>
      <c r="E984" s="2" t="s">
        <v>99</v>
      </c>
      <c r="F984" s="2" t="s">
        <v>5</v>
      </c>
      <c r="G984" s="2">
        <v>5</v>
      </c>
      <c r="H984" s="2">
        <v>0</v>
      </c>
      <c r="I984" s="2">
        <v>0</v>
      </c>
      <c r="J984" s="2">
        <v>0</v>
      </c>
      <c r="K984" s="2">
        <v>0</v>
      </c>
      <c r="L984" s="2">
        <v>0</v>
      </c>
      <c r="M984" s="2">
        <v>0</v>
      </c>
      <c r="N984" s="2">
        <v>0</v>
      </c>
      <c r="O984" s="2">
        <v>0</v>
      </c>
      <c r="P984" s="2">
        <v>0</v>
      </c>
      <c r="Q984" s="2">
        <v>0</v>
      </c>
      <c r="R984" s="2">
        <v>0</v>
      </c>
      <c r="S984" s="2" t="s">
        <v>488</v>
      </c>
      <c r="T984" s="2" t="s">
        <v>488</v>
      </c>
      <c r="U984" s="2">
        <v>0</v>
      </c>
      <c r="V984" s="2">
        <v>0</v>
      </c>
      <c r="W984">
        <f t="shared" si="15"/>
        <v>0</v>
      </c>
    </row>
    <row r="985" spans="1:23" x14ac:dyDescent="0.25">
      <c r="A985" s="2" t="s">
        <v>628</v>
      </c>
      <c r="B985" s="2" t="s">
        <v>916</v>
      </c>
      <c r="C985" s="2">
        <v>540156</v>
      </c>
      <c r="D985" s="2" t="s">
        <v>863</v>
      </c>
      <c r="E985" s="2" t="s">
        <v>99</v>
      </c>
      <c r="F985" s="2" t="s">
        <v>115</v>
      </c>
      <c r="G985" s="2">
        <v>5</v>
      </c>
      <c r="H985" s="2">
        <v>0</v>
      </c>
      <c r="I985" s="2">
        <v>0</v>
      </c>
      <c r="J985" s="2">
        <v>0</v>
      </c>
      <c r="K985" s="2">
        <v>0</v>
      </c>
      <c r="L985" s="2">
        <v>0</v>
      </c>
      <c r="M985" s="2">
        <v>0</v>
      </c>
      <c r="N985" s="2">
        <v>0</v>
      </c>
      <c r="O985" s="2">
        <v>0</v>
      </c>
      <c r="P985" s="2">
        <v>0</v>
      </c>
      <c r="Q985" s="2">
        <v>0</v>
      </c>
      <c r="R985" s="2">
        <v>0</v>
      </c>
      <c r="S985" s="2" t="s">
        <v>488</v>
      </c>
      <c r="T985" s="2" t="s">
        <v>488</v>
      </c>
      <c r="U985" s="2">
        <v>1</v>
      </c>
      <c r="V985" s="2">
        <v>0</v>
      </c>
      <c r="W985">
        <f t="shared" si="15"/>
        <v>1</v>
      </c>
    </row>
    <row r="986" spans="1:23" x14ac:dyDescent="0.25">
      <c r="A986" s="2" t="s">
        <v>628</v>
      </c>
      <c r="B986" s="2" t="s">
        <v>916</v>
      </c>
      <c r="C986" s="2">
        <v>540253</v>
      </c>
      <c r="D986" s="2" t="s">
        <v>864</v>
      </c>
      <c r="E986" s="2" t="s">
        <v>99</v>
      </c>
      <c r="F986" s="2" t="s">
        <v>115</v>
      </c>
      <c r="G986" s="2">
        <v>5</v>
      </c>
      <c r="H986" s="2">
        <v>0</v>
      </c>
      <c r="I986" s="2">
        <v>0</v>
      </c>
      <c r="J986" s="2">
        <v>0</v>
      </c>
      <c r="K986" s="2">
        <v>0</v>
      </c>
      <c r="L986" s="2">
        <v>0</v>
      </c>
      <c r="M986" s="2">
        <v>0</v>
      </c>
      <c r="N986" s="2">
        <v>0</v>
      </c>
      <c r="O986" s="2">
        <v>0</v>
      </c>
      <c r="P986" s="2">
        <v>0</v>
      </c>
      <c r="Q986" s="2">
        <v>0</v>
      </c>
      <c r="R986" s="2">
        <v>0</v>
      </c>
      <c r="S986" s="2" t="s">
        <v>488</v>
      </c>
      <c r="T986" s="2" t="s">
        <v>488</v>
      </c>
      <c r="U986" s="2">
        <v>0</v>
      </c>
      <c r="V986" s="2">
        <v>0</v>
      </c>
      <c r="W986">
        <f t="shared" si="15"/>
        <v>0</v>
      </c>
    </row>
    <row r="987" spans="1:23" x14ac:dyDescent="0.25">
      <c r="A987" s="255" t="s">
        <v>628</v>
      </c>
      <c r="B987" s="255" t="s">
        <v>916</v>
      </c>
      <c r="C987" s="255"/>
      <c r="D987" s="255"/>
      <c r="E987" s="255" t="s">
        <v>99</v>
      </c>
      <c r="F987" s="255"/>
      <c r="G987" s="255"/>
      <c r="H987" s="255">
        <v>0</v>
      </c>
      <c r="I987" s="255">
        <v>0</v>
      </c>
      <c r="J987" s="255">
        <v>0</v>
      </c>
      <c r="K987" s="255">
        <v>0</v>
      </c>
      <c r="L987" s="255">
        <v>0</v>
      </c>
      <c r="M987" s="255">
        <v>0</v>
      </c>
      <c r="N987" s="255">
        <v>0</v>
      </c>
      <c r="O987" s="255">
        <v>0</v>
      </c>
      <c r="P987" s="255">
        <v>0</v>
      </c>
      <c r="Q987" s="255">
        <v>0</v>
      </c>
      <c r="R987" s="255">
        <v>0</v>
      </c>
      <c r="S987" s="255" t="s">
        <v>488</v>
      </c>
      <c r="T987" s="255" t="s">
        <v>488</v>
      </c>
      <c r="U987" s="255">
        <v>1</v>
      </c>
      <c r="V987" s="255">
        <v>0</v>
      </c>
      <c r="W987">
        <f t="shared" si="15"/>
        <v>1</v>
      </c>
    </row>
    <row r="988" spans="1:23" x14ac:dyDescent="0.25">
      <c r="A988" s="2" t="s">
        <v>628</v>
      </c>
      <c r="B988" s="2" t="s">
        <v>916</v>
      </c>
      <c r="C988" s="2">
        <v>540226</v>
      </c>
      <c r="D988" s="2" t="s">
        <v>865</v>
      </c>
      <c r="E988" s="2" t="s">
        <v>101</v>
      </c>
      <c r="F988" s="2" t="s">
        <v>5</v>
      </c>
      <c r="G988" s="2">
        <v>8</v>
      </c>
      <c r="H988" s="2">
        <v>0</v>
      </c>
      <c r="I988" s="2">
        <v>0</v>
      </c>
      <c r="J988" s="2">
        <v>0</v>
      </c>
      <c r="K988" s="2">
        <v>0</v>
      </c>
      <c r="L988" s="2">
        <v>0</v>
      </c>
      <c r="M988" s="2">
        <v>0</v>
      </c>
      <c r="N988" s="2">
        <v>0</v>
      </c>
      <c r="O988" s="2">
        <v>0</v>
      </c>
      <c r="P988" s="2">
        <v>0</v>
      </c>
      <c r="Q988" s="2" t="s">
        <v>488</v>
      </c>
      <c r="R988" s="2" t="s">
        <v>488</v>
      </c>
      <c r="S988" s="2" t="s">
        <v>488</v>
      </c>
      <c r="T988" s="2" t="s">
        <v>488</v>
      </c>
      <c r="U988" s="2">
        <v>0</v>
      </c>
      <c r="V988" s="2">
        <v>0</v>
      </c>
      <c r="W988">
        <f t="shared" si="15"/>
        <v>0</v>
      </c>
    </row>
    <row r="989" spans="1:23" x14ac:dyDescent="0.25">
      <c r="A989" s="2" t="s">
        <v>628</v>
      </c>
      <c r="B989" s="2" t="s">
        <v>916</v>
      </c>
      <c r="C989" s="2">
        <v>540046</v>
      </c>
      <c r="D989" s="2" t="s">
        <v>866</v>
      </c>
      <c r="E989" s="2" t="s">
        <v>101</v>
      </c>
      <c r="F989" s="2" t="s">
        <v>115</v>
      </c>
      <c r="G989" s="2">
        <v>8</v>
      </c>
      <c r="H989" s="2">
        <v>0</v>
      </c>
      <c r="I989" s="2">
        <v>0</v>
      </c>
      <c r="J989" s="2">
        <v>0</v>
      </c>
      <c r="K989" s="2">
        <v>0</v>
      </c>
      <c r="L989" s="2">
        <v>0</v>
      </c>
      <c r="M989" s="2">
        <v>0</v>
      </c>
      <c r="N989" s="2">
        <v>0</v>
      </c>
      <c r="O989" s="2">
        <v>0</v>
      </c>
      <c r="P989" s="2">
        <v>0</v>
      </c>
      <c r="Q989" s="2" t="s">
        <v>488</v>
      </c>
      <c r="R989" s="2" t="s">
        <v>488</v>
      </c>
      <c r="S989" s="2" t="s">
        <v>488</v>
      </c>
      <c r="T989" s="2" t="s">
        <v>488</v>
      </c>
      <c r="U989" s="2">
        <v>0</v>
      </c>
      <c r="V989" s="2">
        <v>0</v>
      </c>
      <c r="W989">
        <f t="shared" si="15"/>
        <v>0</v>
      </c>
    </row>
    <row r="990" spans="1:23" x14ac:dyDescent="0.25">
      <c r="A990" s="2" t="s">
        <v>628</v>
      </c>
      <c r="B990" s="2" t="s">
        <v>916</v>
      </c>
      <c r="C990" s="2">
        <v>540276</v>
      </c>
      <c r="D990" s="2" t="s">
        <v>867</v>
      </c>
      <c r="E990" s="2" t="s">
        <v>101</v>
      </c>
      <c r="F990" s="2" t="s">
        <v>115</v>
      </c>
      <c r="G990" s="2">
        <v>8</v>
      </c>
      <c r="H990" s="2">
        <v>0</v>
      </c>
      <c r="I990" s="2">
        <v>0</v>
      </c>
      <c r="J990" s="2">
        <v>0</v>
      </c>
      <c r="K990" s="2">
        <v>0</v>
      </c>
      <c r="L990" s="2">
        <v>0</v>
      </c>
      <c r="M990" s="2">
        <v>0</v>
      </c>
      <c r="N990" s="2">
        <v>0</v>
      </c>
      <c r="O990" s="2">
        <v>0</v>
      </c>
      <c r="P990" s="2">
        <v>0</v>
      </c>
      <c r="Q990" s="2" t="s">
        <v>488</v>
      </c>
      <c r="R990" s="2" t="s">
        <v>488</v>
      </c>
      <c r="S990" s="2" t="s">
        <v>488</v>
      </c>
      <c r="T990" s="2" t="s">
        <v>488</v>
      </c>
      <c r="U990" s="2">
        <v>0</v>
      </c>
      <c r="V990" s="2">
        <v>0</v>
      </c>
      <c r="W990">
        <f t="shared" si="15"/>
        <v>0</v>
      </c>
    </row>
    <row r="991" spans="1:23" x14ac:dyDescent="0.25">
      <c r="A991" s="255" t="s">
        <v>628</v>
      </c>
      <c r="B991" s="255" t="s">
        <v>916</v>
      </c>
      <c r="C991" s="255"/>
      <c r="D991" s="255"/>
      <c r="E991" s="255" t="s">
        <v>101</v>
      </c>
      <c r="F991" s="255"/>
      <c r="G991" s="255"/>
      <c r="H991" s="255">
        <v>0</v>
      </c>
      <c r="I991" s="255">
        <v>0</v>
      </c>
      <c r="J991" s="255">
        <v>0</v>
      </c>
      <c r="K991" s="255">
        <v>0</v>
      </c>
      <c r="L991" s="255">
        <v>0</v>
      </c>
      <c r="M991" s="255">
        <v>0</v>
      </c>
      <c r="N991" s="255">
        <v>0</v>
      </c>
      <c r="O991" s="255">
        <v>0</v>
      </c>
      <c r="P991" s="255">
        <v>0</v>
      </c>
      <c r="Q991" s="255" t="s">
        <v>488</v>
      </c>
      <c r="R991" s="255" t="s">
        <v>488</v>
      </c>
      <c r="S991" s="255" t="s">
        <v>488</v>
      </c>
      <c r="T991" s="255" t="s">
        <v>488</v>
      </c>
      <c r="U991" s="255">
        <v>0</v>
      </c>
      <c r="V991" s="255">
        <v>0</v>
      </c>
      <c r="W991">
        <f t="shared" si="15"/>
        <v>0</v>
      </c>
    </row>
    <row r="992" spans="1:23" x14ac:dyDescent="0.25">
      <c r="A992" s="2" t="s">
        <v>628</v>
      </c>
      <c r="B992" s="2" t="s">
        <v>916</v>
      </c>
      <c r="C992" s="2">
        <v>540277</v>
      </c>
      <c r="D992" s="2" t="s">
        <v>868</v>
      </c>
      <c r="E992" s="2" t="s">
        <v>103</v>
      </c>
      <c r="F992" s="2" t="s">
        <v>5</v>
      </c>
      <c r="G992" s="2">
        <v>5</v>
      </c>
      <c r="H992" s="2">
        <v>0</v>
      </c>
      <c r="I992" s="2">
        <v>0</v>
      </c>
      <c r="J992" s="2">
        <v>0</v>
      </c>
      <c r="K992" s="2">
        <v>0</v>
      </c>
      <c r="L992" s="2">
        <v>0</v>
      </c>
      <c r="M992" s="2">
        <v>0</v>
      </c>
      <c r="N992" s="2">
        <v>0</v>
      </c>
      <c r="O992" s="2">
        <v>0</v>
      </c>
      <c r="P992" s="2">
        <v>0</v>
      </c>
      <c r="Q992" s="2">
        <v>0</v>
      </c>
      <c r="R992" s="2">
        <v>0</v>
      </c>
      <c r="S992" s="2" t="s">
        <v>488</v>
      </c>
      <c r="T992" s="2" t="s">
        <v>488</v>
      </c>
      <c r="U992" s="2">
        <v>0</v>
      </c>
      <c r="V992" s="2">
        <v>0</v>
      </c>
      <c r="W992">
        <f t="shared" si="15"/>
        <v>0</v>
      </c>
    </row>
    <row r="993" spans="1:23" x14ac:dyDescent="0.25">
      <c r="A993" s="2" t="s">
        <v>628</v>
      </c>
      <c r="B993" s="2" t="s">
        <v>916</v>
      </c>
      <c r="C993" s="2">
        <v>540195</v>
      </c>
      <c r="D993" s="2" t="s">
        <v>869</v>
      </c>
      <c r="E993" s="2" t="s">
        <v>103</v>
      </c>
      <c r="F993" s="2" t="s">
        <v>115</v>
      </c>
      <c r="G993" s="2">
        <v>5</v>
      </c>
      <c r="H993" s="2">
        <v>0</v>
      </c>
      <c r="I993" s="2">
        <v>0</v>
      </c>
      <c r="J993" s="2">
        <v>0</v>
      </c>
      <c r="K993" s="2">
        <v>0</v>
      </c>
      <c r="L993" s="2">
        <v>0</v>
      </c>
      <c r="M993" s="2">
        <v>0</v>
      </c>
      <c r="N993" s="2">
        <v>0</v>
      </c>
      <c r="O993" s="2">
        <v>0</v>
      </c>
      <c r="P993" s="2">
        <v>0</v>
      </c>
      <c r="Q993" s="2">
        <v>0</v>
      </c>
      <c r="R993" s="2">
        <v>0</v>
      </c>
      <c r="S993" s="2" t="s">
        <v>488</v>
      </c>
      <c r="T993" s="2" t="s">
        <v>488</v>
      </c>
      <c r="U993" s="2">
        <v>0</v>
      </c>
      <c r="V993" s="2">
        <v>0</v>
      </c>
      <c r="W993">
        <f t="shared" si="15"/>
        <v>0</v>
      </c>
    </row>
    <row r="994" spans="1:23" x14ac:dyDescent="0.25">
      <c r="A994" s="2" t="s">
        <v>628</v>
      </c>
      <c r="B994" s="2" t="s">
        <v>916</v>
      </c>
      <c r="C994" s="2">
        <v>540196</v>
      </c>
      <c r="D994" s="2" t="s">
        <v>843</v>
      </c>
      <c r="E994" s="2" t="s">
        <v>103</v>
      </c>
      <c r="F994" s="2" t="s">
        <v>115</v>
      </c>
      <c r="G994" s="2">
        <v>5</v>
      </c>
      <c r="H994" s="2">
        <v>0</v>
      </c>
      <c r="I994" s="2">
        <v>0</v>
      </c>
      <c r="J994" s="2">
        <v>0</v>
      </c>
      <c r="K994" s="2">
        <v>0</v>
      </c>
      <c r="L994" s="2">
        <v>0</v>
      </c>
      <c r="M994" s="2">
        <v>0</v>
      </c>
      <c r="N994" s="2">
        <v>0</v>
      </c>
      <c r="O994" s="2">
        <v>0</v>
      </c>
      <c r="P994" s="2">
        <v>0</v>
      </c>
      <c r="Q994" s="2">
        <v>0</v>
      </c>
      <c r="R994" s="2">
        <v>0</v>
      </c>
      <c r="S994" s="2" t="s">
        <v>488</v>
      </c>
      <c r="T994" s="2" t="s">
        <v>488</v>
      </c>
      <c r="U994" s="2">
        <v>0</v>
      </c>
      <c r="V994" s="2">
        <v>0</v>
      </c>
      <c r="W994">
        <f t="shared" si="15"/>
        <v>0</v>
      </c>
    </row>
    <row r="995" spans="1:23" x14ac:dyDescent="0.25">
      <c r="A995" s="2" t="s">
        <v>628</v>
      </c>
      <c r="B995" s="2" t="s">
        <v>916</v>
      </c>
      <c r="C995" s="2">
        <v>540197</v>
      </c>
      <c r="D995" s="2" t="s">
        <v>870</v>
      </c>
      <c r="E995" s="2" t="s">
        <v>103</v>
      </c>
      <c r="F995" s="2" t="s">
        <v>115</v>
      </c>
      <c r="G995" s="2">
        <v>5</v>
      </c>
      <c r="H995" s="2">
        <v>0</v>
      </c>
      <c r="I995" s="2">
        <v>0</v>
      </c>
      <c r="J995" s="2">
        <v>0</v>
      </c>
      <c r="K995" s="2">
        <v>0</v>
      </c>
      <c r="L995" s="2">
        <v>0</v>
      </c>
      <c r="M995" s="2">
        <v>0</v>
      </c>
      <c r="N995" s="2">
        <v>0</v>
      </c>
      <c r="O995" s="2">
        <v>0</v>
      </c>
      <c r="P995" s="2">
        <v>0</v>
      </c>
      <c r="Q995" s="2">
        <v>0</v>
      </c>
      <c r="R995" s="2">
        <v>0</v>
      </c>
      <c r="S995" s="2" t="s">
        <v>488</v>
      </c>
      <c r="T995" s="2" t="s">
        <v>488</v>
      </c>
      <c r="U995" s="2">
        <v>0</v>
      </c>
      <c r="V995" s="2">
        <v>0</v>
      </c>
      <c r="W995">
        <f t="shared" si="15"/>
        <v>0</v>
      </c>
    </row>
    <row r="996" spans="1:23" x14ac:dyDescent="0.25">
      <c r="A996" s="2" t="s">
        <v>628</v>
      </c>
      <c r="B996" s="2" t="s">
        <v>916</v>
      </c>
      <c r="C996" s="2">
        <v>540259</v>
      </c>
      <c r="D996" s="2" t="s">
        <v>871</v>
      </c>
      <c r="E996" s="2" t="s">
        <v>103</v>
      </c>
      <c r="F996" s="2" t="s">
        <v>115</v>
      </c>
      <c r="G996" s="2">
        <v>5</v>
      </c>
      <c r="H996" s="2">
        <v>0</v>
      </c>
      <c r="I996" s="2">
        <v>0</v>
      </c>
      <c r="J996" s="2">
        <v>0</v>
      </c>
      <c r="K996" s="2">
        <v>0</v>
      </c>
      <c r="L996" s="2">
        <v>0</v>
      </c>
      <c r="M996" s="2">
        <v>0</v>
      </c>
      <c r="N996" s="2">
        <v>0</v>
      </c>
      <c r="O996" s="2">
        <v>0</v>
      </c>
      <c r="P996" s="2">
        <v>0</v>
      </c>
      <c r="Q996" s="2">
        <v>0</v>
      </c>
      <c r="R996" s="2">
        <v>0</v>
      </c>
      <c r="S996" s="2" t="s">
        <v>488</v>
      </c>
      <c r="T996" s="2" t="s">
        <v>488</v>
      </c>
      <c r="U996" s="2">
        <v>0</v>
      </c>
      <c r="V996" s="2">
        <v>0</v>
      </c>
      <c r="W996">
        <f t="shared" si="15"/>
        <v>0</v>
      </c>
    </row>
    <row r="997" spans="1:23" x14ac:dyDescent="0.25">
      <c r="A997" s="255" t="s">
        <v>628</v>
      </c>
      <c r="B997" s="255" t="s">
        <v>916</v>
      </c>
      <c r="C997" s="255"/>
      <c r="D997" s="255"/>
      <c r="E997" s="255" t="s">
        <v>103</v>
      </c>
      <c r="F997" s="255"/>
      <c r="G997" s="255"/>
      <c r="H997" s="255">
        <v>0</v>
      </c>
      <c r="I997" s="255">
        <v>0</v>
      </c>
      <c r="J997" s="255">
        <v>0</v>
      </c>
      <c r="K997" s="255">
        <v>0</v>
      </c>
      <c r="L997" s="255">
        <v>0</v>
      </c>
      <c r="M997" s="255">
        <v>0</v>
      </c>
      <c r="N997" s="255">
        <v>0</v>
      </c>
      <c r="O997" s="255">
        <v>0</v>
      </c>
      <c r="P997" s="255">
        <v>0</v>
      </c>
      <c r="Q997" s="255">
        <v>0</v>
      </c>
      <c r="R997" s="255">
        <v>0</v>
      </c>
      <c r="S997" s="255" t="s">
        <v>488</v>
      </c>
      <c r="T997" s="255" t="s">
        <v>488</v>
      </c>
      <c r="U997" s="255">
        <v>0</v>
      </c>
      <c r="V997" s="255">
        <v>0</v>
      </c>
      <c r="W997">
        <f t="shared" si="15"/>
        <v>0</v>
      </c>
    </row>
    <row r="998" spans="1:23" x14ac:dyDescent="0.25">
      <c r="A998" s="2" t="s">
        <v>628</v>
      </c>
      <c r="B998" s="2" t="s">
        <v>916</v>
      </c>
      <c r="C998" s="2">
        <v>540278</v>
      </c>
      <c r="D998" s="2" t="s">
        <v>872</v>
      </c>
      <c r="E998" s="2" t="s">
        <v>105</v>
      </c>
      <c r="F998" s="2" t="s">
        <v>5</v>
      </c>
      <c r="G998" s="2">
        <v>1</v>
      </c>
      <c r="H998" s="2">
        <v>0</v>
      </c>
      <c r="I998" s="2">
        <v>0</v>
      </c>
      <c r="J998" s="2">
        <v>0</v>
      </c>
      <c r="K998" s="2">
        <v>0</v>
      </c>
      <c r="L998" s="2">
        <v>0</v>
      </c>
      <c r="M998" s="2">
        <v>0</v>
      </c>
      <c r="N998" s="2">
        <v>0</v>
      </c>
      <c r="O998" s="2">
        <v>0</v>
      </c>
      <c r="P998" s="2">
        <v>0</v>
      </c>
      <c r="Q998" s="2">
        <v>0</v>
      </c>
      <c r="R998" s="2">
        <v>0</v>
      </c>
      <c r="S998" s="2" t="s">
        <v>488</v>
      </c>
      <c r="T998" s="2" t="s">
        <v>488</v>
      </c>
      <c r="U998" s="2">
        <v>0</v>
      </c>
      <c r="V998" s="2">
        <v>0</v>
      </c>
      <c r="W998">
        <f t="shared" si="15"/>
        <v>0</v>
      </c>
    </row>
    <row r="999" spans="1:23" x14ac:dyDescent="0.25">
      <c r="A999" s="2" t="s">
        <v>628</v>
      </c>
      <c r="B999" s="2" t="s">
        <v>916</v>
      </c>
      <c r="C999" s="2">
        <v>540041</v>
      </c>
      <c r="D999" s="2" t="s">
        <v>666</v>
      </c>
      <c r="E999" s="2" t="s">
        <v>105</v>
      </c>
      <c r="F999" s="2" t="s">
        <v>115</v>
      </c>
      <c r="G999" s="2">
        <v>1</v>
      </c>
      <c r="H999" s="2">
        <v>0</v>
      </c>
      <c r="I999" s="2">
        <v>0</v>
      </c>
      <c r="J999" s="2">
        <v>0</v>
      </c>
      <c r="K999" s="2">
        <v>0</v>
      </c>
      <c r="L999" s="2">
        <v>0</v>
      </c>
      <c r="M999" s="2">
        <v>0</v>
      </c>
      <c r="N999" s="2">
        <v>0</v>
      </c>
      <c r="O999" s="2">
        <v>0</v>
      </c>
      <c r="P999" s="2">
        <v>0</v>
      </c>
      <c r="Q999" s="2">
        <v>0</v>
      </c>
      <c r="R999" s="2">
        <v>0</v>
      </c>
      <c r="S999" s="2" t="s">
        <v>488</v>
      </c>
      <c r="T999" s="2" t="s">
        <v>488</v>
      </c>
      <c r="U999" s="2">
        <v>1</v>
      </c>
      <c r="V999" s="2">
        <v>0</v>
      </c>
      <c r="W999">
        <f t="shared" si="15"/>
        <v>1</v>
      </c>
    </row>
    <row r="1000" spans="1:23" x14ac:dyDescent="0.25">
      <c r="A1000" s="2" t="s">
        <v>628</v>
      </c>
      <c r="B1000" s="2" t="s">
        <v>916</v>
      </c>
      <c r="C1000" s="2">
        <v>540143</v>
      </c>
      <c r="D1000" s="2" t="s">
        <v>873</v>
      </c>
      <c r="E1000" s="2" t="s">
        <v>105</v>
      </c>
      <c r="F1000" s="2" t="s">
        <v>115</v>
      </c>
      <c r="G1000" s="2">
        <v>1</v>
      </c>
      <c r="H1000" s="2">
        <v>0</v>
      </c>
      <c r="I1000" s="2">
        <v>0</v>
      </c>
      <c r="J1000" s="2">
        <v>0</v>
      </c>
      <c r="K1000" s="2">
        <v>0</v>
      </c>
      <c r="L1000" s="2">
        <v>0</v>
      </c>
      <c r="M1000" s="2">
        <v>0</v>
      </c>
      <c r="N1000" s="2">
        <v>0</v>
      </c>
      <c r="O1000" s="2">
        <v>0</v>
      </c>
      <c r="P1000" s="2">
        <v>0</v>
      </c>
      <c r="Q1000" s="2">
        <v>0</v>
      </c>
      <c r="R1000" s="2">
        <v>0</v>
      </c>
      <c r="S1000" s="2" t="s">
        <v>488</v>
      </c>
      <c r="T1000" s="2" t="s">
        <v>488</v>
      </c>
      <c r="U1000" s="2">
        <v>0</v>
      </c>
      <c r="V1000" s="2">
        <v>0</v>
      </c>
      <c r="W1000">
        <f t="shared" si="15"/>
        <v>0</v>
      </c>
    </row>
    <row r="1001" spans="1:23" x14ac:dyDescent="0.25">
      <c r="A1001" s="2" t="s">
        <v>628</v>
      </c>
      <c r="B1001" s="2" t="s">
        <v>916</v>
      </c>
      <c r="C1001" s="2">
        <v>540290</v>
      </c>
      <c r="D1001" s="2" t="s">
        <v>874</v>
      </c>
      <c r="E1001" s="2" t="s">
        <v>105</v>
      </c>
      <c r="F1001" s="2" t="s">
        <v>115</v>
      </c>
      <c r="G1001" s="2">
        <v>1</v>
      </c>
      <c r="H1001" s="2">
        <v>0</v>
      </c>
      <c r="I1001" s="2">
        <v>0</v>
      </c>
      <c r="J1001" s="2">
        <v>0</v>
      </c>
      <c r="K1001" s="2">
        <v>0</v>
      </c>
      <c r="L1001" s="2">
        <v>0</v>
      </c>
      <c r="M1001" s="2">
        <v>0</v>
      </c>
      <c r="N1001" s="2">
        <v>0</v>
      </c>
      <c r="O1001" s="2">
        <v>0</v>
      </c>
      <c r="P1001" s="2">
        <v>0</v>
      </c>
      <c r="Q1001" s="2">
        <v>0</v>
      </c>
      <c r="R1001" s="2">
        <v>0</v>
      </c>
      <c r="S1001" s="2" t="s">
        <v>488</v>
      </c>
      <c r="T1001" s="2" t="s">
        <v>488</v>
      </c>
      <c r="U1001" s="2">
        <v>0</v>
      </c>
      <c r="V1001" s="2">
        <v>0</v>
      </c>
      <c r="W1001">
        <f t="shared" si="15"/>
        <v>0</v>
      </c>
    </row>
    <row r="1002" spans="1:23" x14ac:dyDescent="0.25">
      <c r="A1002" s="255" t="s">
        <v>628</v>
      </c>
      <c r="B1002" s="255" t="s">
        <v>916</v>
      </c>
      <c r="C1002" s="255"/>
      <c r="D1002" s="255"/>
      <c r="E1002" s="255" t="s">
        <v>105</v>
      </c>
      <c r="F1002" s="255"/>
      <c r="G1002" s="255"/>
      <c r="H1002" s="255">
        <v>0</v>
      </c>
      <c r="I1002" s="255">
        <v>0</v>
      </c>
      <c r="J1002" s="255">
        <v>0</v>
      </c>
      <c r="K1002" s="255">
        <v>0</v>
      </c>
      <c r="L1002" s="255">
        <v>0</v>
      </c>
      <c r="M1002" s="255">
        <v>0</v>
      </c>
      <c r="N1002" s="255">
        <v>0</v>
      </c>
      <c r="O1002" s="255">
        <v>0</v>
      </c>
      <c r="P1002" s="255">
        <v>0</v>
      </c>
      <c r="Q1002" s="255">
        <v>0</v>
      </c>
      <c r="R1002" s="255">
        <v>0</v>
      </c>
      <c r="S1002" s="255" t="s">
        <v>488</v>
      </c>
      <c r="T1002" s="255" t="s">
        <v>488</v>
      </c>
      <c r="U1002" s="255">
        <v>1</v>
      </c>
      <c r="V1002" s="255">
        <v>0</v>
      </c>
      <c r="W1002">
        <f t="shared" si="15"/>
        <v>1</v>
      </c>
    </row>
    <row r="1003" spans="1:23" x14ac:dyDescent="0.25">
      <c r="A1003" s="2" t="s">
        <v>628</v>
      </c>
      <c r="B1003" s="2" t="s">
        <v>916</v>
      </c>
      <c r="C1003" s="2">
        <v>540282</v>
      </c>
      <c r="D1003" s="2" t="s">
        <v>875</v>
      </c>
      <c r="E1003" s="2" t="s">
        <v>107</v>
      </c>
      <c r="F1003" s="2" t="s">
        <v>5</v>
      </c>
      <c r="G1003" s="2">
        <v>9</v>
      </c>
      <c r="H1003" s="2">
        <v>0</v>
      </c>
      <c r="I1003" s="2">
        <v>0</v>
      </c>
      <c r="J1003" s="2">
        <v>0</v>
      </c>
      <c r="K1003" s="2">
        <v>0</v>
      </c>
      <c r="L1003" s="2">
        <v>0</v>
      </c>
      <c r="M1003" s="2">
        <v>0</v>
      </c>
      <c r="N1003" s="2">
        <v>0</v>
      </c>
      <c r="O1003" s="2">
        <v>0</v>
      </c>
      <c r="P1003" s="2">
        <v>0</v>
      </c>
      <c r="Q1003" s="2">
        <v>0</v>
      </c>
      <c r="R1003" s="2">
        <v>0</v>
      </c>
      <c r="S1003" s="2">
        <v>0</v>
      </c>
      <c r="T1003" s="2">
        <v>0</v>
      </c>
      <c r="U1003" s="2">
        <v>0</v>
      </c>
      <c r="V1003" s="2">
        <v>0</v>
      </c>
      <c r="W1003">
        <f t="shared" si="15"/>
        <v>0</v>
      </c>
    </row>
    <row r="1004" spans="1:23" x14ac:dyDescent="0.25">
      <c r="A1004" s="2" t="s">
        <v>628</v>
      </c>
      <c r="B1004" s="2" t="s">
        <v>916</v>
      </c>
      <c r="C1004" s="2">
        <v>540006</v>
      </c>
      <c r="D1004" s="2" t="s">
        <v>876</v>
      </c>
      <c r="E1004" s="2" t="s">
        <v>107</v>
      </c>
      <c r="F1004" s="2" t="s">
        <v>115</v>
      </c>
      <c r="G1004" s="2">
        <v>9</v>
      </c>
      <c r="H1004" s="2">
        <v>0</v>
      </c>
      <c r="I1004" s="2">
        <v>0</v>
      </c>
      <c r="J1004" s="2">
        <v>0</v>
      </c>
      <c r="K1004" s="2">
        <v>0</v>
      </c>
      <c r="L1004" s="2">
        <v>0</v>
      </c>
      <c r="M1004" s="2">
        <v>0</v>
      </c>
      <c r="N1004" s="2">
        <v>0</v>
      </c>
      <c r="O1004" s="2">
        <v>0</v>
      </c>
      <c r="P1004" s="2">
        <v>0</v>
      </c>
      <c r="Q1004" s="2">
        <v>0</v>
      </c>
      <c r="R1004" s="2">
        <v>0</v>
      </c>
      <c r="S1004" s="2">
        <v>0</v>
      </c>
      <c r="T1004" s="2">
        <v>0</v>
      </c>
      <c r="U1004" s="2">
        <v>0</v>
      </c>
      <c r="V1004" s="2">
        <v>0</v>
      </c>
      <c r="W1004">
        <f t="shared" si="15"/>
        <v>0</v>
      </c>
    </row>
    <row r="1005" spans="1:23" x14ac:dyDescent="0.25">
      <c r="A1005" s="2" t="s">
        <v>628</v>
      </c>
      <c r="B1005" s="2" t="s">
        <v>916</v>
      </c>
      <c r="C1005" s="2">
        <v>545550</v>
      </c>
      <c r="D1005" s="2" t="s">
        <v>877</v>
      </c>
      <c r="E1005" s="2" t="s">
        <v>107</v>
      </c>
      <c r="F1005" s="2" t="s">
        <v>115</v>
      </c>
      <c r="G1005" s="2">
        <v>9</v>
      </c>
      <c r="H1005" s="2">
        <v>0</v>
      </c>
      <c r="I1005" s="2">
        <v>0</v>
      </c>
      <c r="J1005" s="2">
        <v>0</v>
      </c>
      <c r="K1005" s="2">
        <v>0</v>
      </c>
      <c r="L1005" s="2">
        <v>0</v>
      </c>
      <c r="M1005" s="2">
        <v>0</v>
      </c>
      <c r="N1005" s="2">
        <v>0</v>
      </c>
      <c r="O1005" s="2">
        <v>0</v>
      </c>
      <c r="P1005" s="2">
        <v>0</v>
      </c>
      <c r="Q1005" s="2">
        <v>0</v>
      </c>
      <c r="R1005" s="2">
        <v>0</v>
      </c>
      <c r="S1005" s="2">
        <v>0</v>
      </c>
      <c r="T1005" s="2">
        <v>0</v>
      </c>
      <c r="U1005" s="2">
        <v>0</v>
      </c>
      <c r="V1005" s="2">
        <v>0</v>
      </c>
      <c r="W1005">
        <f t="shared" si="15"/>
        <v>0</v>
      </c>
    </row>
    <row r="1006" spans="1:23" x14ac:dyDescent="0.25">
      <c r="A1006" s="255" t="s">
        <v>628</v>
      </c>
      <c r="B1006" s="255" t="s">
        <v>916</v>
      </c>
      <c r="C1006" s="255"/>
      <c r="D1006" s="255"/>
      <c r="E1006" s="255" t="s">
        <v>107</v>
      </c>
      <c r="F1006" s="255"/>
      <c r="G1006" s="255"/>
      <c r="H1006" s="255">
        <v>0</v>
      </c>
      <c r="I1006" s="255">
        <v>0</v>
      </c>
      <c r="J1006" s="255">
        <v>0</v>
      </c>
      <c r="K1006" s="255">
        <v>0</v>
      </c>
      <c r="L1006" s="255">
        <v>0</v>
      </c>
      <c r="M1006" s="255">
        <v>0</v>
      </c>
      <c r="N1006" s="255">
        <v>0</v>
      </c>
      <c r="O1006" s="255">
        <v>0</v>
      </c>
      <c r="P1006" s="255">
        <v>0</v>
      </c>
      <c r="Q1006" s="255">
        <v>0</v>
      </c>
      <c r="R1006" s="255">
        <v>0</v>
      </c>
      <c r="S1006" s="255">
        <v>0</v>
      </c>
      <c r="T1006" s="255">
        <v>0</v>
      </c>
      <c r="U1006" s="255">
        <v>0</v>
      </c>
      <c r="V1006" s="255">
        <v>0</v>
      </c>
      <c r="W1006">
        <f t="shared" si="15"/>
        <v>0</v>
      </c>
    </row>
    <row r="1007" spans="1:23" x14ac:dyDescent="0.25">
      <c r="A1007" s="2" t="s">
        <v>628</v>
      </c>
      <c r="B1007" s="2" t="s">
        <v>916</v>
      </c>
      <c r="C1007" s="2">
        <v>540283</v>
      </c>
      <c r="D1007" s="2" t="s">
        <v>878</v>
      </c>
      <c r="E1007" s="2" t="s">
        <v>109</v>
      </c>
      <c r="F1007" s="2" t="s">
        <v>5</v>
      </c>
      <c r="G1007" s="2">
        <v>4</v>
      </c>
      <c r="H1007" s="2">
        <v>0</v>
      </c>
      <c r="I1007" s="2">
        <v>0</v>
      </c>
      <c r="J1007" s="2">
        <v>0</v>
      </c>
      <c r="K1007" s="2">
        <v>0</v>
      </c>
      <c r="L1007" s="2">
        <v>0</v>
      </c>
      <c r="M1007" s="2">
        <v>0</v>
      </c>
      <c r="N1007" s="2">
        <v>0</v>
      </c>
      <c r="O1007" s="2">
        <v>0</v>
      </c>
      <c r="P1007" s="2">
        <v>0</v>
      </c>
      <c r="Q1007" s="2" t="s">
        <v>488</v>
      </c>
      <c r="R1007" s="2" t="s">
        <v>488</v>
      </c>
      <c r="S1007" s="2" t="s">
        <v>488</v>
      </c>
      <c r="T1007" s="2" t="s">
        <v>488</v>
      </c>
      <c r="U1007" s="2">
        <v>0</v>
      </c>
      <c r="V1007" s="2">
        <v>0</v>
      </c>
      <c r="W1007">
        <f t="shared" si="15"/>
        <v>0</v>
      </c>
    </row>
    <row r="1008" spans="1:23" x14ac:dyDescent="0.25">
      <c r="A1008" s="2" t="s">
        <v>628</v>
      </c>
      <c r="B1008" s="2" t="s">
        <v>916</v>
      </c>
      <c r="C1008" s="2">
        <v>540158</v>
      </c>
      <c r="D1008" s="2" t="s">
        <v>879</v>
      </c>
      <c r="E1008" s="2" t="s">
        <v>109</v>
      </c>
      <c r="F1008" s="2" t="s">
        <v>115</v>
      </c>
      <c r="G1008" s="2">
        <v>4</v>
      </c>
      <c r="H1008" s="2">
        <v>0</v>
      </c>
      <c r="I1008" s="2">
        <v>0</v>
      </c>
      <c r="J1008" s="2">
        <v>0</v>
      </c>
      <c r="K1008" s="2">
        <v>0</v>
      </c>
      <c r="L1008" s="2">
        <v>0</v>
      </c>
      <c r="M1008" s="2">
        <v>0</v>
      </c>
      <c r="N1008" s="2">
        <v>0</v>
      </c>
      <c r="O1008" s="2">
        <v>0</v>
      </c>
      <c r="P1008" s="2">
        <v>0</v>
      </c>
      <c r="Q1008" s="2" t="s">
        <v>488</v>
      </c>
      <c r="R1008" s="2" t="s">
        <v>488</v>
      </c>
      <c r="S1008" s="2" t="s">
        <v>488</v>
      </c>
      <c r="T1008" s="2" t="s">
        <v>488</v>
      </c>
      <c r="U1008" s="2">
        <v>0</v>
      </c>
      <c r="V1008" s="2">
        <v>0</v>
      </c>
      <c r="W1008">
        <f t="shared" si="15"/>
        <v>0</v>
      </c>
    </row>
    <row r="1009" spans="1:23" x14ac:dyDescent="0.25">
      <c r="A1009" s="2" t="s">
        <v>628</v>
      </c>
      <c r="B1009" s="2" t="s">
        <v>916</v>
      </c>
      <c r="C1009" s="2">
        <v>540159</v>
      </c>
      <c r="D1009" s="2" t="s">
        <v>880</v>
      </c>
      <c r="E1009" s="2" t="s">
        <v>109</v>
      </c>
      <c r="F1009" s="2" t="s">
        <v>115</v>
      </c>
      <c r="G1009" s="2">
        <v>4</v>
      </c>
      <c r="H1009" s="2">
        <v>0</v>
      </c>
      <c r="I1009" s="2">
        <v>2</v>
      </c>
      <c r="J1009" s="2">
        <v>0</v>
      </c>
      <c r="K1009" s="2">
        <v>0</v>
      </c>
      <c r="L1009" s="2">
        <v>0</v>
      </c>
      <c r="M1009" s="2">
        <v>2</v>
      </c>
      <c r="N1009" s="2">
        <v>2</v>
      </c>
      <c r="O1009" s="2">
        <v>0</v>
      </c>
      <c r="P1009" s="2">
        <v>0</v>
      </c>
      <c r="Q1009" s="2" t="s">
        <v>488</v>
      </c>
      <c r="R1009" s="2" t="s">
        <v>488</v>
      </c>
      <c r="S1009" s="2" t="s">
        <v>488</v>
      </c>
      <c r="T1009" s="2" t="s">
        <v>488</v>
      </c>
      <c r="U1009" s="2">
        <v>0</v>
      </c>
      <c r="V1009" s="2">
        <v>0</v>
      </c>
      <c r="W1009">
        <f t="shared" si="15"/>
        <v>2</v>
      </c>
    </row>
    <row r="1010" spans="1:23" x14ac:dyDescent="0.25">
      <c r="A1010" s="2" t="s">
        <v>628</v>
      </c>
      <c r="B1010" s="2" t="s">
        <v>916</v>
      </c>
      <c r="C1010" s="2">
        <v>540288</v>
      </c>
      <c r="D1010" s="2" t="s">
        <v>881</v>
      </c>
      <c r="E1010" s="2" t="s">
        <v>109</v>
      </c>
      <c r="F1010" s="2" t="s">
        <v>115</v>
      </c>
      <c r="G1010" s="2">
        <v>4</v>
      </c>
      <c r="H1010" s="2">
        <v>0</v>
      </c>
      <c r="I1010" s="2">
        <v>0</v>
      </c>
      <c r="J1010" s="2">
        <v>0</v>
      </c>
      <c r="K1010" s="2">
        <v>0</v>
      </c>
      <c r="L1010" s="2">
        <v>0</v>
      </c>
      <c r="M1010" s="2">
        <v>0</v>
      </c>
      <c r="N1010" s="2">
        <v>0</v>
      </c>
      <c r="O1010" s="2">
        <v>0</v>
      </c>
      <c r="P1010" s="2">
        <v>0</v>
      </c>
      <c r="Q1010" s="2" t="s">
        <v>488</v>
      </c>
      <c r="R1010" s="2" t="s">
        <v>488</v>
      </c>
      <c r="S1010" s="2" t="s">
        <v>488</v>
      </c>
      <c r="T1010" s="2" t="s">
        <v>488</v>
      </c>
      <c r="U1010" s="2">
        <v>0</v>
      </c>
      <c r="V1010" s="2">
        <v>0</v>
      </c>
      <c r="W1010">
        <f t="shared" si="15"/>
        <v>0</v>
      </c>
    </row>
    <row r="1011" spans="1:23" x14ac:dyDescent="0.25">
      <c r="A1011" s="255" t="s">
        <v>628</v>
      </c>
      <c r="B1011" s="255" t="s">
        <v>916</v>
      </c>
      <c r="C1011" s="255"/>
      <c r="D1011" s="255"/>
      <c r="E1011" s="255" t="s">
        <v>109</v>
      </c>
      <c r="F1011" s="255"/>
      <c r="G1011" s="255"/>
      <c r="H1011" s="255">
        <v>0</v>
      </c>
      <c r="I1011" s="255">
        <v>2</v>
      </c>
      <c r="J1011" s="255">
        <v>0</v>
      </c>
      <c r="K1011" s="255">
        <v>0</v>
      </c>
      <c r="L1011" s="255">
        <v>0</v>
      </c>
      <c r="M1011" s="255">
        <v>2</v>
      </c>
      <c r="N1011" s="255">
        <v>2</v>
      </c>
      <c r="O1011" s="255">
        <v>0</v>
      </c>
      <c r="P1011" s="255">
        <v>0</v>
      </c>
      <c r="Q1011" s="255" t="s">
        <v>488</v>
      </c>
      <c r="R1011" s="255" t="s">
        <v>488</v>
      </c>
      <c r="S1011" s="255" t="s">
        <v>488</v>
      </c>
      <c r="T1011" s="255" t="s">
        <v>488</v>
      </c>
      <c r="U1011" s="255">
        <v>0</v>
      </c>
      <c r="V1011" s="255">
        <v>0</v>
      </c>
      <c r="W1011">
        <f t="shared" si="15"/>
        <v>2</v>
      </c>
    </row>
    <row r="1012" spans="1:23" x14ac:dyDescent="0.25">
      <c r="A1012" s="2" t="s">
        <v>628</v>
      </c>
      <c r="B1012" s="2" t="s">
        <v>916</v>
      </c>
      <c r="C1012" s="2">
        <v>545536</v>
      </c>
      <c r="D1012" s="2" t="s">
        <v>882</v>
      </c>
      <c r="E1012" s="2" t="s">
        <v>111</v>
      </c>
      <c r="F1012" s="2" t="s">
        <v>5</v>
      </c>
      <c r="G1012" s="2">
        <v>2</v>
      </c>
      <c r="H1012" s="2">
        <v>0</v>
      </c>
      <c r="I1012" s="2">
        <v>0</v>
      </c>
      <c r="J1012" s="2">
        <v>0</v>
      </c>
      <c r="K1012" s="2">
        <v>0</v>
      </c>
      <c r="L1012" s="2">
        <v>0</v>
      </c>
      <c r="M1012" s="2">
        <v>0</v>
      </c>
      <c r="N1012" s="2">
        <v>0</v>
      </c>
      <c r="O1012" s="2">
        <v>0</v>
      </c>
      <c r="P1012" s="2">
        <v>0</v>
      </c>
      <c r="Q1012" s="2">
        <v>0</v>
      </c>
      <c r="R1012" s="2">
        <v>0</v>
      </c>
      <c r="S1012" s="2" t="s">
        <v>488</v>
      </c>
      <c r="T1012" s="2" t="s">
        <v>488</v>
      </c>
      <c r="U1012" s="2">
        <v>0</v>
      </c>
      <c r="V1012" s="2">
        <v>0</v>
      </c>
      <c r="W1012">
        <f t="shared" si="15"/>
        <v>0</v>
      </c>
    </row>
    <row r="1013" spans="1:23" x14ac:dyDescent="0.25">
      <c r="A1013" s="2" t="s">
        <v>628</v>
      </c>
      <c r="B1013" s="2" t="s">
        <v>916</v>
      </c>
      <c r="C1013" s="2">
        <v>540092</v>
      </c>
      <c r="D1013" s="2" t="s">
        <v>883</v>
      </c>
      <c r="E1013" s="2" t="s">
        <v>111</v>
      </c>
      <c r="F1013" s="2" t="s">
        <v>115</v>
      </c>
      <c r="G1013" s="2">
        <v>2</v>
      </c>
      <c r="H1013" s="2">
        <v>0</v>
      </c>
      <c r="I1013" s="2">
        <v>0</v>
      </c>
      <c r="J1013" s="2">
        <v>0</v>
      </c>
      <c r="K1013" s="2">
        <v>0</v>
      </c>
      <c r="L1013" s="2">
        <v>0</v>
      </c>
      <c r="M1013" s="2">
        <v>0</v>
      </c>
      <c r="N1013" s="2">
        <v>0</v>
      </c>
      <c r="O1013" s="2">
        <v>0</v>
      </c>
      <c r="P1013" s="2">
        <v>0</v>
      </c>
      <c r="Q1013" s="2">
        <v>0</v>
      </c>
      <c r="R1013" s="2">
        <v>0</v>
      </c>
      <c r="S1013" s="2" t="s">
        <v>488</v>
      </c>
      <c r="T1013" s="2" t="s">
        <v>488</v>
      </c>
      <c r="U1013" s="2">
        <v>1</v>
      </c>
      <c r="V1013" s="2">
        <v>0</v>
      </c>
      <c r="W1013">
        <f t="shared" si="15"/>
        <v>1</v>
      </c>
    </row>
    <row r="1014" spans="1:23" x14ac:dyDescent="0.25">
      <c r="A1014" s="2" t="s">
        <v>628</v>
      </c>
      <c r="B1014" s="2" t="s">
        <v>916</v>
      </c>
      <c r="C1014" s="2">
        <v>540095</v>
      </c>
      <c r="D1014" s="2" t="s">
        <v>884</v>
      </c>
      <c r="E1014" s="2" t="s">
        <v>111</v>
      </c>
      <c r="F1014" s="2" t="s">
        <v>115</v>
      </c>
      <c r="G1014" s="2">
        <v>2</v>
      </c>
      <c r="H1014" s="2">
        <v>0</v>
      </c>
      <c r="I1014" s="2">
        <v>0</v>
      </c>
      <c r="J1014" s="2">
        <v>0</v>
      </c>
      <c r="K1014" s="2">
        <v>0</v>
      </c>
      <c r="L1014" s="2">
        <v>0</v>
      </c>
      <c r="M1014" s="2">
        <v>0</v>
      </c>
      <c r="N1014" s="2">
        <v>0</v>
      </c>
      <c r="O1014" s="2">
        <v>0</v>
      </c>
      <c r="P1014" s="2">
        <v>0</v>
      </c>
      <c r="Q1014" s="2">
        <v>0</v>
      </c>
      <c r="R1014" s="2">
        <v>0</v>
      </c>
      <c r="S1014" s="2" t="s">
        <v>488</v>
      </c>
      <c r="T1014" s="2" t="s">
        <v>488</v>
      </c>
      <c r="U1014" s="2">
        <v>0</v>
      </c>
      <c r="V1014" s="2">
        <v>0</v>
      </c>
      <c r="W1014">
        <f t="shared" si="15"/>
        <v>0</v>
      </c>
    </row>
    <row r="1015" spans="1:23" x14ac:dyDescent="0.25">
      <c r="A1015" s="2" t="s">
        <v>628</v>
      </c>
      <c r="B1015" s="2" t="s">
        <v>916</v>
      </c>
      <c r="C1015" s="2">
        <v>545535</v>
      </c>
      <c r="D1015" s="2" t="s">
        <v>885</v>
      </c>
      <c r="E1015" s="2" t="s">
        <v>111</v>
      </c>
      <c r="F1015" s="2" t="s">
        <v>115</v>
      </c>
      <c r="G1015" s="2">
        <v>2</v>
      </c>
      <c r="H1015" s="2">
        <v>0</v>
      </c>
      <c r="I1015" s="2">
        <v>0</v>
      </c>
      <c r="J1015" s="2">
        <v>0</v>
      </c>
      <c r="K1015" s="2">
        <v>0</v>
      </c>
      <c r="L1015" s="2">
        <v>0</v>
      </c>
      <c r="M1015" s="2">
        <v>0</v>
      </c>
      <c r="N1015" s="2">
        <v>0</v>
      </c>
      <c r="O1015" s="2">
        <v>0</v>
      </c>
      <c r="P1015" s="2">
        <v>0</v>
      </c>
      <c r="Q1015" s="2">
        <v>0</v>
      </c>
      <c r="R1015" s="2">
        <v>0</v>
      </c>
      <c r="S1015" s="2" t="s">
        <v>488</v>
      </c>
      <c r="T1015" s="2" t="s">
        <v>488</v>
      </c>
      <c r="U1015" s="2">
        <v>0</v>
      </c>
      <c r="V1015" s="2">
        <v>0</v>
      </c>
      <c r="W1015">
        <f t="shared" si="15"/>
        <v>0</v>
      </c>
    </row>
    <row r="1016" spans="1:23" x14ac:dyDescent="0.25">
      <c r="A1016" s="2" t="s">
        <v>628</v>
      </c>
      <c r="B1016" s="2" t="s">
        <v>916</v>
      </c>
      <c r="C1016" s="2">
        <v>545537</v>
      </c>
      <c r="D1016" s="2" t="s">
        <v>886</v>
      </c>
      <c r="E1016" s="2" t="s">
        <v>111</v>
      </c>
      <c r="F1016" s="2" t="s">
        <v>115</v>
      </c>
      <c r="G1016" s="2">
        <v>2</v>
      </c>
      <c r="H1016" s="2">
        <v>0</v>
      </c>
      <c r="I1016" s="2">
        <v>1</v>
      </c>
      <c r="J1016" s="2">
        <v>0</v>
      </c>
      <c r="K1016" s="2">
        <v>0</v>
      </c>
      <c r="L1016" s="2">
        <v>0</v>
      </c>
      <c r="M1016" s="2">
        <v>1</v>
      </c>
      <c r="N1016" s="2">
        <v>1</v>
      </c>
      <c r="O1016" s="2">
        <v>0</v>
      </c>
      <c r="P1016" s="2">
        <v>0</v>
      </c>
      <c r="Q1016" s="2">
        <v>0</v>
      </c>
      <c r="R1016" s="2">
        <v>0</v>
      </c>
      <c r="S1016" s="2" t="s">
        <v>488</v>
      </c>
      <c r="T1016" s="2" t="s">
        <v>488</v>
      </c>
      <c r="U1016" s="2">
        <v>0</v>
      </c>
      <c r="V1016" s="2">
        <v>0</v>
      </c>
      <c r="W1016">
        <f t="shared" si="15"/>
        <v>1</v>
      </c>
    </row>
    <row r="1017" spans="1:23" x14ac:dyDescent="0.25">
      <c r="A1017" s="2" t="s">
        <v>628</v>
      </c>
      <c r="B1017" s="2" t="s">
        <v>916</v>
      </c>
      <c r="C1017" s="2">
        <v>545539</v>
      </c>
      <c r="D1017" s="2" t="s">
        <v>887</v>
      </c>
      <c r="E1017" s="2" t="s">
        <v>111</v>
      </c>
      <c r="F1017" s="2" t="s">
        <v>115</v>
      </c>
      <c r="G1017" s="2">
        <v>2</v>
      </c>
      <c r="H1017" s="2">
        <v>0</v>
      </c>
      <c r="I1017" s="2">
        <v>0</v>
      </c>
      <c r="J1017" s="2">
        <v>0</v>
      </c>
      <c r="K1017" s="2">
        <v>0</v>
      </c>
      <c r="L1017" s="2">
        <v>0</v>
      </c>
      <c r="M1017" s="2">
        <v>0</v>
      </c>
      <c r="N1017" s="2">
        <v>0</v>
      </c>
      <c r="O1017" s="2">
        <v>0</v>
      </c>
      <c r="P1017" s="2">
        <v>0</v>
      </c>
      <c r="Q1017" s="2">
        <v>0</v>
      </c>
      <c r="R1017" s="2">
        <v>0</v>
      </c>
      <c r="S1017" s="2" t="s">
        <v>488</v>
      </c>
      <c r="T1017" s="2" t="s">
        <v>488</v>
      </c>
      <c r="U1017" s="2">
        <v>0</v>
      </c>
      <c r="V1017" s="2">
        <v>0</v>
      </c>
      <c r="W1017">
        <f t="shared" si="15"/>
        <v>0</v>
      </c>
    </row>
    <row r="1018" spans="1:23" x14ac:dyDescent="0.25">
      <c r="A1018" s="255" t="s">
        <v>628</v>
      </c>
      <c r="B1018" s="255" t="s">
        <v>916</v>
      </c>
      <c r="C1018" s="255"/>
      <c r="D1018" s="255"/>
      <c r="E1018" s="255" t="s">
        <v>111</v>
      </c>
      <c r="F1018" s="255"/>
      <c r="G1018" s="255"/>
      <c r="H1018" s="255">
        <v>0</v>
      </c>
      <c r="I1018" s="255">
        <v>1</v>
      </c>
      <c r="J1018" s="255">
        <v>0</v>
      </c>
      <c r="K1018" s="255">
        <v>0</v>
      </c>
      <c r="L1018" s="255">
        <v>0</v>
      </c>
      <c r="M1018" s="255">
        <v>1</v>
      </c>
      <c r="N1018" s="255">
        <v>1</v>
      </c>
      <c r="O1018" s="255">
        <v>0</v>
      </c>
      <c r="P1018" s="255">
        <v>0</v>
      </c>
      <c r="Q1018" s="255">
        <v>0</v>
      </c>
      <c r="R1018" s="255">
        <v>0</v>
      </c>
      <c r="S1018" s="255" t="s">
        <v>488</v>
      </c>
      <c r="T1018" s="255" t="s">
        <v>488</v>
      </c>
      <c r="U1018" s="255">
        <v>1</v>
      </c>
      <c r="V1018" s="255">
        <v>0</v>
      </c>
      <c r="W1018">
        <f t="shared" si="15"/>
        <v>2</v>
      </c>
    </row>
    <row r="1019" spans="1:23" x14ac:dyDescent="0.25">
      <c r="A1019" s="2" t="s">
        <v>628</v>
      </c>
      <c r="B1019" s="2" t="s">
        <v>916</v>
      </c>
      <c r="C1019" s="2">
        <v>540191</v>
      </c>
      <c r="D1019" s="2" t="s">
        <v>888</v>
      </c>
      <c r="E1019" s="2" t="s">
        <v>113</v>
      </c>
      <c r="F1019" s="2" t="s">
        <v>5</v>
      </c>
      <c r="G1019" s="2">
        <v>7</v>
      </c>
      <c r="H1019" s="2">
        <v>0</v>
      </c>
      <c r="I1019" s="2">
        <v>0</v>
      </c>
      <c r="J1019" s="2">
        <v>0</v>
      </c>
      <c r="K1019" s="2">
        <v>0</v>
      </c>
      <c r="L1019" s="2">
        <v>0</v>
      </c>
      <c r="M1019" s="2">
        <v>0</v>
      </c>
      <c r="N1019" s="2">
        <v>0</v>
      </c>
      <c r="O1019" s="2">
        <v>0</v>
      </c>
      <c r="P1019" s="2">
        <v>0</v>
      </c>
      <c r="Q1019" s="2">
        <v>0</v>
      </c>
      <c r="R1019" s="2">
        <v>0</v>
      </c>
      <c r="S1019" s="2" t="s">
        <v>488</v>
      </c>
      <c r="T1019" s="2" t="s">
        <v>488</v>
      </c>
      <c r="U1019" s="2">
        <v>0</v>
      </c>
      <c r="V1019" s="2">
        <v>0</v>
      </c>
      <c r="W1019">
        <f t="shared" si="15"/>
        <v>0</v>
      </c>
    </row>
    <row r="1020" spans="1:23" x14ac:dyDescent="0.25">
      <c r="A1020" s="2" t="s">
        <v>628</v>
      </c>
      <c r="B1020" s="2" t="s">
        <v>916</v>
      </c>
      <c r="C1020" s="2">
        <v>540193</v>
      </c>
      <c r="D1020" s="2" t="s">
        <v>889</v>
      </c>
      <c r="E1020" s="2" t="s">
        <v>113</v>
      </c>
      <c r="F1020" s="2" t="s">
        <v>115</v>
      </c>
      <c r="G1020" s="2">
        <v>7</v>
      </c>
      <c r="H1020" s="2">
        <v>0</v>
      </c>
      <c r="I1020" s="2">
        <v>0</v>
      </c>
      <c r="J1020" s="2">
        <v>0</v>
      </c>
      <c r="K1020" s="2">
        <v>0</v>
      </c>
      <c r="L1020" s="2">
        <v>0</v>
      </c>
      <c r="M1020" s="2">
        <v>0</v>
      </c>
      <c r="N1020" s="2">
        <v>0</v>
      </c>
      <c r="O1020" s="2">
        <v>0</v>
      </c>
      <c r="P1020" s="2">
        <v>0</v>
      </c>
      <c r="Q1020" s="2">
        <v>0</v>
      </c>
      <c r="R1020" s="2">
        <v>0</v>
      </c>
      <c r="S1020" s="2" t="s">
        <v>488</v>
      </c>
      <c r="T1020" s="2" t="s">
        <v>488</v>
      </c>
      <c r="U1020" s="2">
        <v>0</v>
      </c>
      <c r="V1020" s="2">
        <v>0</v>
      </c>
      <c r="W1020">
        <f t="shared" si="15"/>
        <v>0</v>
      </c>
    </row>
    <row r="1021" spans="1:23" x14ac:dyDescent="0.25">
      <c r="A1021" s="2" t="s">
        <v>628</v>
      </c>
      <c r="B1021" s="2" t="s">
        <v>916</v>
      </c>
      <c r="C1021" s="2">
        <v>540192</v>
      </c>
      <c r="D1021" s="2" t="s">
        <v>890</v>
      </c>
      <c r="E1021" s="2" t="s">
        <v>113</v>
      </c>
      <c r="F1021" s="2" t="s">
        <v>115</v>
      </c>
      <c r="G1021" s="2">
        <v>7</v>
      </c>
      <c r="H1021" s="2">
        <v>0</v>
      </c>
      <c r="I1021" s="2">
        <v>0</v>
      </c>
      <c r="J1021" s="2">
        <v>0</v>
      </c>
      <c r="K1021" s="2">
        <v>0</v>
      </c>
      <c r="L1021" s="2">
        <v>0</v>
      </c>
      <c r="M1021" s="2">
        <v>0</v>
      </c>
      <c r="N1021" s="2">
        <v>0</v>
      </c>
      <c r="O1021" s="2">
        <v>0</v>
      </c>
      <c r="P1021" s="2">
        <v>0</v>
      </c>
      <c r="Q1021" s="2">
        <v>0</v>
      </c>
      <c r="R1021" s="2">
        <v>0</v>
      </c>
      <c r="S1021" s="2" t="s">
        <v>488</v>
      </c>
      <c r="T1021" s="2" t="s">
        <v>488</v>
      </c>
      <c r="U1021" s="2">
        <v>0</v>
      </c>
      <c r="V1021" s="2">
        <v>0</v>
      </c>
      <c r="W1021">
        <f t="shared" si="15"/>
        <v>0</v>
      </c>
    </row>
    <row r="1022" spans="1:23" x14ac:dyDescent="0.25">
      <c r="A1022" s="2" t="s">
        <v>628</v>
      </c>
      <c r="B1022" s="2" t="s">
        <v>916</v>
      </c>
      <c r="C1022" s="2">
        <v>540194</v>
      </c>
      <c r="D1022" s="2" t="s">
        <v>891</v>
      </c>
      <c r="E1022" s="2" t="s">
        <v>113</v>
      </c>
      <c r="F1022" s="2" t="s">
        <v>115</v>
      </c>
      <c r="G1022" s="2">
        <v>7</v>
      </c>
      <c r="H1022" s="2">
        <v>0</v>
      </c>
      <c r="I1022" s="2">
        <v>2</v>
      </c>
      <c r="J1022" s="2">
        <v>0</v>
      </c>
      <c r="K1022" s="2">
        <v>0</v>
      </c>
      <c r="L1022" s="2">
        <v>0</v>
      </c>
      <c r="M1022" s="2">
        <v>2</v>
      </c>
      <c r="N1022" s="2">
        <v>2</v>
      </c>
      <c r="O1022" s="2">
        <v>0</v>
      </c>
      <c r="P1022" s="2">
        <v>0</v>
      </c>
      <c r="Q1022" s="2">
        <v>0</v>
      </c>
      <c r="R1022" s="2">
        <v>0</v>
      </c>
      <c r="S1022" s="2" t="s">
        <v>488</v>
      </c>
      <c r="T1022" s="2" t="s">
        <v>488</v>
      </c>
      <c r="U1022" s="2">
        <v>0</v>
      </c>
      <c r="V1022" s="2">
        <v>0</v>
      </c>
      <c r="W1022">
        <f t="shared" si="15"/>
        <v>2</v>
      </c>
    </row>
    <row r="1023" spans="1:23" x14ac:dyDescent="0.25">
      <c r="A1023" s="2" t="s">
        <v>628</v>
      </c>
      <c r="B1023" s="2" t="s">
        <v>916</v>
      </c>
      <c r="C1023" s="2">
        <v>540261</v>
      </c>
      <c r="D1023" s="2" t="s">
        <v>892</v>
      </c>
      <c r="E1023" s="2" t="s">
        <v>113</v>
      </c>
      <c r="F1023" s="2" t="s">
        <v>115</v>
      </c>
      <c r="G1023" s="2">
        <v>7</v>
      </c>
      <c r="H1023" s="2">
        <v>0</v>
      </c>
      <c r="I1023" s="2">
        <v>0</v>
      </c>
      <c r="J1023" s="2">
        <v>0</v>
      </c>
      <c r="K1023" s="2">
        <v>0</v>
      </c>
      <c r="L1023" s="2">
        <v>0</v>
      </c>
      <c r="M1023" s="2">
        <v>0</v>
      </c>
      <c r="N1023" s="2">
        <v>0</v>
      </c>
      <c r="O1023" s="2">
        <v>0</v>
      </c>
      <c r="P1023" s="2">
        <v>0</v>
      </c>
      <c r="Q1023" s="2">
        <v>0</v>
      </c>
      <c r="R1023" s="2">
        <v>0</v>
      </c>
      <c r="S1023" s="2" t="s">
        <v>488</v>
      </c>
      <c r="T1023" s="2" t="s">
        <v>488</v>
      </c>
      <c r="U1023" s="2">
        <v>0</v>
      </c>
      <c r="V1023" s="2">
        <v>0</v>
      </c>
      <c r="W1023">
        <f t="shared" si="15"/>
        <v>0</v>
      </c>
    </row>
    <row r="1024" spans="1:23" x14ac:dyDescent="0.25">
      <c r="A1024" s="2" t="s">
        <v>628</v>
      </c>
      <c r="B1024" s="2" t="s">
        <v>916</v>
      </c>
      <c r="C1024" s="2">
        <v>540260</v>
      </c>
      <c r="D1024" s="2" t="s">
        <v>893</v>
      </c>
      <c r="E1024" s="2" t="s">
        <v>113</v>
      </c>
      <c r="F1024" s="2" t="s">
        <v>115</v>
      </c>
      <c r="G1024" s="2">
        <v>7</v>
      </c>
      <c r="H1024" s="2">
        <v>0</v>
      </c>
      <c r="I1024" s="2">
        <v>0</v>
      </c>
      <c r="J1024" s="2">
        <v>0</v>
      </c>
      <c r="K1024" s="2">
        <v>0</v>
      </c>
      <c r="L1024" s="2">
        <v>0</v>
      </c>
      <c r="M1024" s="2">
        <v>0</v>
      </c>
      <c r="N1024" s="2">
        <v>0</v>
      </c>
      <c r="O1024" s="2">
        <v>0</v>
      </c>
      <c r="P1024" s="2">
        <v>0</v>
      </c>
      <c r="Q1024" s="2">
        <v>0</v>
      </c>
      <c r="R1024" s="2">
        <v>0</v>
      </c>
      <c r="S1024" s="2" t="s">
        <v>488</v>
      </c>
      <c r="T1024" s="2" t="s">
        <v>488</v>
      </c>
      <c r="U1024" s="2">
        <v>0</v>
      </c>
      <c r="V1024" s="2">
        <v>0</v>
      </c>
      <c r="W1024">
        <f t="shared" si="15"/>
        <v>0</v>
      </c>
    </row>
    <row r="1025" spans="1:23" x14ac:dyDescent="0.25">
      <c r="A1025" s="255" t="s">
        <v>628</v>
      </c>
      <c r="B1025" s="255" t="s">
        <v>916</v>
      </c>
      <c r="C1025" s="255"/>
      <c r="D1025" s="255"/>
      <c r="E1025" s="255" t="s">
        <v>113</v>
      </c>
      <c r="F1025" s="255"/>
      <c r="G1025" s="255"/>
      <c r="H1025" s="255">
        <v>0</v>
      </c>
      <c r="I1025" s="255">
        <v>2</v>
      </c>
      <c r="J1025" s="255">
        <v>0</v>
      </c>
      <c r="K1025" s="255">
        <v>0</v>
      </c>
      <c r="L1025" s="255">
        <v>0</v>
      </c>
      <c r="M1025" s="255">
        <v>2</v>
      </c>
      <c r="N1025" s="255">
        <v>2</v>
      </c>
      <c r="O1025" s="255">
        <v>0</v>
      </c>
      <c r="P1025" s="255">
        <v>0</v>
      </c>
      <c r="Q1025" s="255">
        <v>0</v>
      </c>
      <c r="R1025" s="255">
        <v>0</v>
      </c>
      <c r="S1025" s="255" t="s">
        <v>488</v>
      </c>
      <c r="T1025" s="255" t="s">
        <v>488</v>
      </c>
      <c r="U1025" s="255">
        <v>0</v>
      </c>
      <c r="V1025" s="255">
        <v>0</v>
      </c>
      <c r="W1025">
        <f t="shared" si="15"/>
        <v>2</v>
      </c>
    </row>
    <row r="1026" spans="1:23" x14ac:dyDescent="0.25">
      <c r="A1026" s="2" t="s">
        <v>628</v>
      </c>
      <c r="B1026" s="2" t="s">
        <v>916</v>
      </c>
      <c r="C1026" s="2">
        <v>540027</v>
      </c>
      <c r="D1026" s="2" t="s">
        <v>894</v>
      </c>
      <c r="E1026" s="2" t="s">
        <v>21</v>
      </c>
      <c r="F1026" s="2" t="s">
        <v>115</v>
      </c>
      <c r="G1026" s="2">
        <v>4</v>
      </c>
      <c r="H1026" s="2">
        <v>0</v>
      </c>
      <c r="I1026" s="2">
        <v>0</v>
      </c>
      <c r="J1026" s="2">
        <v>0</v>
      </c>
      <c r="K1026" s="2">
        <v>0</v>
      </c>
      <c r="L1026" s="2">
        <v>0</v>
      </c>
      <c r="M1026" s="2">
        <v>0</v>
      </c>
      <c r="N1026" s="2">
        <v>0</v>
      </c>
      <c r="O1026" s="2">
        <v>0</v>
      </c>
      <c r="P1026" s="2">
        <v>0</v>
      </c>
      <c r="Q1026" s="2">
        <v>0</v>
      </c>
      <c r="R1026" s="2">
        <v>0</v>
      </c>
      <c r="S1026" s="2" t="s">
        <v>488</v>
      </c>
      <c r="T1026" s="2" t="s">
        <v>488</v>
      </c>
      <c r="U1026" s="2">
        <v>0</v>
      </c>
      <c r="V1026" s="2">
        <v>0</v>
      </c>
      <c r="W1026">
        <f t="shared" si="15"/>
        <v>0</v>
      </c>
    </row>
    <row r="1027" spans="1:23" x14ac:dyDescent="0.25">
      <c r="A1027" s="2" t="s">
        <v>628</v>
      </c>
      <c r="B1027" s="2" t="s">
        <v>916</v>
      </c>
      <c r="C1027" s="2">
        <v>540028</v>
      </c>
      <c r="D1027" s="2" t="s">
        <v>895</v>
      </c>
      <c r="E1027" s="2" t="s">
        <v>21</v>
      </c>
      <c r="F1027" s="2" t="s">
        <v>115</v>
      </c>
      <c r="G1027" s="2">
        <v>4</v>
      </c>
      <c r="H1027" s="2">
        <v>0</v>
      </c>
      <c r="I1027" s="2">
        <v>0</v>
      </c>
      <c r="J1027" s="2">
        <v>0</v>
      </c>
      <c r="K1027" s="2">
        <v>0</v>
      </c>
      <c r="L1027" s="2">
        <v>0</v>
      </c>
      <c r="M1027" s="2">
        <v>0</v>
      </c>
      <c r="N1027" s="2">
        <v>0</v>
      </c>
      <c r="O1027" s="2">
        <v>0</v>
      </c>
      <c r="P1027" s="2">
        <v>0</v>
      </c>
      <c r="Q1027" s="2">
        <v>0</v>
      </c>
      <c r="R1027" s="2">
        <v>0</v>
      </c>
      <c r="S1027" s="2" t="s">
        <v>488</v>
      </c>
      <c r="T1027" s="2" t="s">
        <v>488</v>
      </c>
      <c r="U1027" s="2">
        <v>0</v>
      </c>
      <c r="V1027" s="2">
        <v>0</v>
      </c>
      <c r="W1027">
        <f t="shared" ref="W1027:W1090" si="16">SUM(N1027,P1027,R1027,T1027,U1027,V1027)</f>
        <v>0</v>
      </c>
    </row>
    <row r="1028" spans="1:23" x14ac:dyDescent="0.25">
      <c r="A1028" s="2" t="s">
        <v>628</v>
      </c>
      <c r="B1028" s="2" t="s">
        <v>916</v>
      </c>
      <c r="C1028" s="2">
        <v>540029</v>
      </c>
      <c r="D1028" s="2" t="s">
        <v>701</v>
      </c>
      <c r="E1028" s="2" t="s">
        <v>21</v>
      </c>
      <c r="F1028" s="2" t="s">
        <v>115</v>
      </c>
      <c r="G1028" s="2">
        <v>4</v>
      </c>
      <c r="H1028" s="2">
        <v>0</v>
      </c>
      <c r="I1028" s="2">
        <v>0</v>
      </c>
      <c r="J1028" s="2">
        <v>0</v>
      </c>
      <c r="K1028" s="2">
        <v>0</v>
      </c>
      <c r="L1028" s="2">
        <v>0</v>
      </c>
      <c r="M1028" s="2">
        <v>0</v>
      </c>
      <c r="N1028" s="2">
        <v>0</v>
      </c>
      <c r="O1028" s="2">
        <v>0</v>
      </c>
      <c r="P1028" s="2">
        <v>0</v>
      </c>
      <c r="Q1028" s="2">
        <v>0</v>
      </c>
      <c r="R1028" s="2">
        <v>0</v>
      </c>
      <c r="S1028" s="2" t="s">
        <v>488</v>
      </c>
      <c r="T1028" s="2" t="s">
        <v>488</v>
      </c>
      <c r="U1028" s="2">
        <v>1</v>
      </c>
      <c r="V1028" s="2">
        <v>0</v>
      </c>
      <c r="W1028">
        <f t="shared" si="16"/>
        <v>1</v>
      </c>
    </row>
    <row r="1029" spans="1:23" x14ac:dyDescent="0.25">
      <c r="A1029" s="2" t="s">
        <v>628</v>
      </c>
      <c r="B1029" s="2" t="s">
        <v>916</v>
      </c>
      <c r="C1029" s="2">
        <v>540031</v>
      </c>
      <c r="D1029" s="2" t="s">
        <v>896</v>
      </c>
      <c r="E1029" s="2" t="s">
        <v>21</v>
      </c>
      <c r="F1029" s="2" t="s">
        <v>115</v>
      </c>
      <c r="G1029" s="2">
        <v>4</v>
      </c>
      <c r="H1029" s="2">
        <v>0</v>
      </c>
      <c r="I1029" s="2">
        <v>0</v>
      </c>
      <c r="J1029" s="2">
        <v>0</v>
      </c>
      <c r="K1029" s="2">
        <v>0</v>
      </c>
      <c r="L1029" s="2">
        <v>0</v>
      </c>
      <c r="M1029" s="2">
        <v>0</v>
      </c>
      <c r="N1029" s="2">
        <v>0</v>
      </c>
      <c r="O1029" s="2">
        <v>0</v>
      </c>
      <c r="P1029" s="2">
        <v>0</v>
      </c>
      <c r="Q1029" s="2">
        <v>0</v>
      </c>
      <c r="R1029" s="2">
        <v>0</v>
      </c>
      <c r="S1029" s="2" t="s">
        <v>488</v>
      </c>
      <c r="T1029" s="2" t="s">
        <v>488</v>
      </c>
      <c r="U1029" s="2">
        <v>0</v>
      </c>
      <c r="V1029" s="2">
        <v>0</v>
      </c>
      <c r="W1029">
        <f t="shared" si="16"/>
        <v>0</v>
      </c>
    </row>
    <row r="1030" spans="1:23" x14ac:dyDescent="0.25">
      <c r="A1030" s="2" t="s">
        <v>628</v>
      </c>
      <c r="B1030" s="2" t="s">
        <v>916</v>
      </c>
      <c r="C1030" s="2">
        <v>540032</v>
      </c>
      <c r="D1030" s="2" t="s">
        <v>897</v>
      </c>
      <c r="E1030" s="2" t="s">
        <v>21</v>
      </c>
      <c r="F1030" s="2" t="s">
        <v>115</v>
      </c>
      <c r="G1030" s="2">
        <v>4</v>
      </c>
      <c r="H1030" s="2">
        <v>0</v>
      </c>
      <c r="I1030" s="2">
        <v>0</v>
      </c>
      <c r="J1030" s="2">
        <v>0</v>
      </c>
      <c r="K1030" s="2">
        <v>0</v>
      </c>
      <c r="L1030" s="2">
        <v>0</v>
      </c>
      <c r="M1030" s="2">
        <v>0</v>
      </c>
      <c r="N1030" s="2">
        <v>0</v>
      </c>
      <c r="O1030" s="2">
        <v>0</v>
      </c>
      <c r="P1030" s="2">
        <v>0</v>
      </c>
      <c r="Q1030" s="2">
        <v>0</v>
      </c>
      <c r="R1030" s="2">
        <v>0</v>
      </c>
      <c r="S1030" s="2" t="s">
        <v>488</v>
      </c>
      <c r="T1030" s="2" t="s">
        <v>488</v>
      </c>
      <c r="U1030" s="2">
        <v>0</v>
      </c>
      <c r="V1030" s="2">
        <v>0</v>
      </c>
      <c r="W1030">
        <f t="shared" si="16"/>
        <v>0</v>
      </c>
    </row>
    <row r="1031" spans="1:23" x14ac:dyDescent="0.25">
      <c r="A1031" s="2" t="s">
        <v>628</v>
      </c>
      <c r="B1031" s="2" t="s">
        <v>916</v>
      </c>
      <c r="C1031" s="2">
        <v>540050</v>
      </c>
      <c r="D1031" s="2" t="s">
        <v>898</v>
      </c>
      <c r="E1031" s="2" t="s">
        <v>21</v>
      </c>
      <c r="F1031" s="2" t="s">
        <v>115</v>
      </c>
      <c r="G1031" s="2">
        <v>4</v>
      </c>
      <c r="H1031" s="2">
        <v>0</v>
      </c>
      <c r="I1031" s="2">
        <v>0</v>
      </c>
      <c r="J1031" s="2">
        <v>0</v>
      </c>
      <c r="K1031" s="2">
        <v>0</v>
      </c>
      <c r="L1031" s="2">
        <v>0</v>
      </c>
      <c r="M1031" s="2">
        <v>0</v>
      </c>
      <c r="N1031" s="2">
        <v>0</v>
      </c>
      <c r="O1031" s="2">
        <v>0</v>
      </c>
      <c r="P1031" s="2">
        <v>0</v>
      </c>
      <c r="Q1031" s="2">
        <v>0</v>
      </c>
      <c r="R1031" s="2">
        <v>0</v>
      </c>
      <c r="S1031" s="2" t="s">
        <v>488</v>
      </c>
      <c r="T1031" s="2" t="s">
        <v>488</v>
      </c>
      <c r="U1031" s="2">
        <v>0</v>
      </c>
      <c r="V1031" s="2">
        <v>0</v>
      </c>
      <c r="W1031">
        <f t="shared" si="16"/>
        <v>0</v>
      </c>
    </row>
    <row r="1032" spans="1:23" x14ac:dyDescent="0.25">
      <c r="A1032" s="2" t="s">
        <v>628</v>
      </c>
      <c r="B1032" s="2" t="s">
        <v>916</v>
      </c>
      <c r="C1032" s="2">
        <v>540293</v>
      </c>
      <c r="D1032" s="2" t="s">
        <v>899</v>
      </c>
      <c r="E1032" s="2" t="s">
        <v>21</v>
      </c>
      <c r="F1032" s="2" t="s">
        <v>115</v>
      </c>
      <c r="G1032" s="2">
        <v>4</v>
      </c>
      <c r="H1032" s="2">
        <v>0</v>
      </c>
      <c r="I1032" s="2">
        <v>0</v>
      </c>
      <c r="J1032" s="2">
        <v>0</v>
      </c>
      <c r="K1032" s="2">
        <v>0</v>
      </c>
      <c r="L1032" s="2">
        <v>0</v>
      </c>
      <c r="M1032" s="2">
        <v>0</v>
      </c>
      <c r="N1032" s="2">
        <v>0</v>
      </c>
      <c r="O1032" s="2">
        <v>0</v>
      </c>
      <c r="P1032" s="2">
        <v>0</v>
      </c>
      <c r="Q1032" s="2">
        <v>0</v>
      </c>
      <c r="R1032" s="2">
        <v>0</v>
      </c>
      <c r="S1032" s="2" t="s">
        <v>488</v>
      </c>
      <c r="T1032" s="2" t="s">
        <v>488</v>
      </c>
      <c r="U1032" s="2">
        <v>0</v>
      </c>
      <c r="V1032" s="2">
        <v>0</v>
      </c>
      <c r="W1032">
        <f t="shared" si="16"/>
        <v>0</v>
      </c>
    </row>
    <row r="1033" spans="1:23" x14ac:dyDescent="0.25">
      <c r="A1033" s="2" t="s">
        <v>628</v>
      </c>
      <c r="B1033" s="2" t="s">
        <v>916</v>
      </c>
      <c r="C1033" s="2">
        <v>540294</v>
      </c>
      <c r="D1033" s="2" t="s">
        <v>900</v>
      </c>
      <c r="E1033" s="2" t="s">
        <v>21</v>
      </c>
      <c r="F1033" s="2" t="s">
        <v>115</v>
      </c>
      <c r="G1033" s="2">
        <v>4</v>
      </c>
      <c r="H1033" s="2">
        <v>0</v>
      </c>
      <c r="I1033" s="2">
        <v>0</v>
      </c>
      <c r="J1033" s="2">
        <v>0</v>
      </c>
      <c r="K1033" s="2">
        <v>0</v>
      </c>
      <c r="L1033" s="2">
        <v>0</v>
      </c>
      <c r="M1033" s="2">
        <v>0</v>
      </c>
      <c r="N1033" s="2">
        <v>0</v>
      </c>
      <c r="O1033" s="2">
        <v>0</v>
      </c>
      <c r="P1033" s="2">
        <v>0</v>
      </c>
      <c r="Q1033" s="2">
        <v>0</v>
      </c>
      <c r="R1033" s="2">
        <v>0</v>
      </c>
      <c r="S1033" s="2" t="s">
        <v>488</v>
      </c>
      <c r="T1033" s="2" t="s">
        <v>488</v>
      </c>
      <c r="U1033" s="2">
        <v>1</v>
      </c>
      <c r="V1033" s="2">
        <v>0</v>
      </c>
      <c r="W1033">
        <f t="shared" si="16"/>
        <v>1</v>
      </c>
    </row>
    <row r="1034" spans="1:23" x14ac:dyDescent="0.25">
      <c r="A1034" s="2" t="s">
        <v>628</v>
      </c>
      <c r="B1034" s="2" t="s">
        <v>916</v>
      </c>
      <c r="C1034" s="2">
        <v>540033</v>
      </c>
      <c r="D1034" s="2" t="s">
        <v>716</v>
      </c>
      <c r="E1034" s="2" t="s">
        <v>21</v>
      </c>
      <c r="F1034" s="2" t="s">
        <v>115</v>
      </c>
      <c r="G1034" s="2">
        <v>4</v>
      </c>
      <c r="H1034" s="2">
        <v>0</v>
      </c>
      <c r="I1034" s="2">
        <v>0</v>
      </c>
      <c r="J1034" s="2">
        <v>0</v>
      </c>
      <c r="K1034" s="2">
        <v>0</v>
      </c>
      <c r="L1034" s="2">
        <v>0</v>
      </c>
      <c r="M1034" s="2">
        <v>0</v>
      </c>
      <c r="N1034" s="2">
        <v>0</v>
      </c>
      <c r="O1034" s="2">
        <v>0</v>
      </c>
      <c r="P1034" s="2">
        <v>0</v>
      </c>
      <c r="Q1034" s="2">
        <v>0</v>
      </c>
      <c r="R1034" s="2">
        <v>0</v>
      </c>
      <c r="S1034" s="2" t="s">
        <v>488</v>
      </c>
      <c r="T1034" s="2" t="s">
        <v>488</v>
      </c>
      <c r="U1034" s="2">
        <v>2</v>
      </c>
      <c r="V1034" s="2">
        <v>0</v>
      </c>
      <c r="W1034">
        <f t="shared" si="16"/>
        <v>2</v>
      </c>
    </row>
    <row r="1035" spans="1:23" x14ac:dyDescent="0.25">
      <c r="A1035" s="2" t="s">
        <v>628</v>
      </c>
      <c r="B1035" s="2" t="s">
        <v>916</v>
      </c>
      <c r="C1035" s="2">
        <v>540280</v>
      </c>
      <c r="D1035" s="2" t="s">
        <v>901</v>
      </c>
      <c r="E1035" s="2" t="s">
        <v>21</v>
      </c>
      <c r="F1035" s="2" t="s">
        <v>115</v>
      </c>
      <c r="G1035" s="2">
        <v>4</v>
      </c>
      <c r="H1035" s="2">
        <v>0</v>
      </c>
      <c r="I1035" s="2">
        <v>0</v>
      </c>
      <c r="J1035" s="2">
        <v>0</v>
      </c>
      <c r="K1035" s="2">
        <v>0</v>
      </c>
      <c r="L1035" s="2">
        <v>0</v>
      </c>
      <c r="M1035" s="2">
        <v>0</v>
      </c>
      <c r="N1035" s="2">
        <v>0</v>
      </c>
      <c r="O1035" s="2">
        <v>0</v>
      </c>
      <c r="P1035" s="2">
        <v>0</v>
      </c>
      <c r="Q1035" s="2">
        <v>0</v>
      </c>
      <c r="R1035" s="2">
        <v>0</v>
      </c>
      <c r="S1035" s="2" t="s">
        <v>488</v>
      </c>
      <c r="T1035" s="2" t="s">
        <v>488</v>
      </c>
      <c r="U1035" s="2">
        <v>0</v>
      </c>
      <c r="V1035" s="2">
        <v>0</v>
      </c>
      <c r="W1035">
        <f t="shared" si="16"/>
        <v>0</v>
      </c>
    </row>
    <row r="1036" spans="1:23" x14ac:dyDescent="0.25">
      <c r="A1036" s="2" t="s">
        <v>628</v>
      </c>
      <c r="B1036" s="2" t="s">
        <v>916</v>
      </c>
      <c r="C1036" s="2">
        <v>540026</v>
      </c>
      <c r="D1036" s="2" t="s">
        <v>902</v>
      </c>
      <c r="E1036" s="2" t="s">
        <v>21</v>
      </c>
      <c r="F1036" s="2" t="s">
        <v>5</v>
      </c>
      <c r="G1036" s="2">
        <v>4</v>
      </c>
      <c r="H1036" s="2">
        <v>0</v>
      </c>
      <c r="I1036" s="2">
        <v>0</v>
      </c>
      <c r="J1036" s="2">
        <v>0</v>
      </c>
      <c r="K1036" s="2">
        <v>0</v>
      </c>
      <c r="L1036" s="2">
        <v>0</v>
      </c>
      <c r="M1036" s="2">
        <v>0</v>
      </c>
      <c r="N1036" s="2">
        <v>0</v>
      </c>
      <c r="O1036" s="2">
        <v>0</v>
      </c>
      <c r="P1036" s="2">
        <v>0</v>
      </c>
      <c r="Q1036" s="2">
        <v>0</v>
      </c>
      <c r="R1036" s="2">
        <v>0</v>
      </c>
      <c r="S1036" s="2" t="s">
        <v>488</v>
      </c>
      <c r="T1036" s="2" t="s">
        <v>488</v>
      </c>
      <c r="U1036" s="2">
        <v>0</v>
      </c>
      <c r="V1036" s="2">
        <v>0</v>
      </c>
      <c r="W1036">
        <f t="shared" si="16"/>
        <v>0</v>
      </c>
    </row>
    <row r="1037" spans="1:23" x14ac:dyDescent="0.25">
      <c r="A1037" s="255" t="s">
        <v>628</v>
      </c>
      <c r="B1037" s="255" t="s">
        <v>916</v>
      </c>
      <c r="C1037" s="255"/>
      <c r="D1037" s="255"/>
      <c r="E1037" s="255" t="s">
        <v>21</v>
      </c>
      <c r="F1037" s="255"/>
      <c r="G1037" s="255"/>
      <c r="H1037" s="255">
        <v>0</v>
      </c>
      <c r="I1037" s="255">
        <v>0</v>
      </c>
      <c r="J1037" s="255">
        <v>0</v>
      </c>
      <c r="K1037" s="255">
        <v>0</v>
      </c>
      <c r="L1037" s="255">
        <v>0</v>
      </c>
      <c r="M1037" s="255">
        <v>0</v>
      </c>
      <c r="N1037" s="255">
        <v>0</v>
      </c>
      <c r="O1037" s="255">
        <v>0</v>
      </c>
      <c r="P1037" s="255">
        <v>0</v>
      </c>
      <c r="Q1037" s="255">
        <v>0</v>
      </c>
      <c r="R1037" s="255">
        <v>0</v>
      </c>
      <c r="S1037" s="255" t="s">
        <v>488</v>
      </c>
      <c r="T1037" s="255" t="s">
        <v>488</v>
      </c>
      <c r="U1037" s="255">
        <v>4</v>
      </c>
      <c r="V1037" s="255">
        <v>0</v>
      </c>
      <c r="W1037">
        <f t="shared" si="16"/>
        <v>4</v>
      </c>
    </row>
    <row r="1038" spans="1:23" x14ac:dyDescent="0.25">
      <c r="A1038" s="2" t="s">
        <v>628</v>
      </c>
      <c r="B1038" s="2" t="s">
        <v>916</v>
      </c>
      <c r="C1038" s="2">
        <v>540176</v>
      </c>
      <c r="D1038" s="2" t="s">
        <v>903</v>
      </c>
      <c r="E1038" s="2" t="s">
        <v>75</v>
      </c>
      <c r="F1038" s="2" t="s">
        <v>115</v>
      </c>
      <c r="G1038" s="2">
        <v>7</v>
      </c>
      <c r="H1038" s="2">
        <v>0</v>
      </c>
      <c r="I1038" s="2">
        <v>0</v>
      </c>
      <c r="J1038" s="2">
        <v>0</v>
      </c>
      <c r="K1038" s="2">
        <v>0</v>
      </c>
      <c r="L1038" s="2">
        <v>0</v>
      </c>
      <c r="M1038" s="2">
        <v>0</v>
      </c>
      <c r="N1038" s="2">
        <v>0</v>
      </c>
      <c r="O1038" s="2">
        <v>0</v>
      </c>
      <c r="P1038" s="2">
        <v>0</v>
      </c>
      <c r="Q1038" s="2">
        <v>0</v>
      </c>
      <c r="R1038" s="2">
        <v>0</v>
      </c>
      <c r="S1038" s="2" t="s">
        <v>488</v>
      </c>
      <c r="T1038" s="2" t="s">
        <v>488</v>
      </c>
      <c r="U1038" s="2">
        <v>0</v>
      </c>
      <c r="V1038" s="2">
        <v>0</v>
      </c>
      <c r="W1038">
        <f t="shared" si="16"/>
        <v>0</v>
      </c>
    </row>
    <row r="1039" spans="1:23" x14ac:dyDescent="0.25">
      <c r="A1039" s="2" t="s">
        <v>628</v>
      </c>
      <c r="B1039" s="2" t="s">
        <v>916</v>
      </c>
      <c r="C1039" s="2">
        <v>540178</v>
      </c>
      <c r="D1039" s="2" t="s">
        <v>904</v>
      </c>
      <c r="E1039" s="2" t="s">
        <v>75</v>
      </c>
      <c r="F1039" s="2" t="s">
        <v>115</v>
      </c>
      <c r="G1039" s="2">
        <v>7</v>
      </c>
      <c r="H1039" s="2">
        <v>0</v>
      </c>
      <c r="I1039" s="2">
        <v>0</v>
      </c>
      <c r="J1039" s="2">
        <v>0</v>
      </c>
      <c r="K1039" s="2">
        <v>0</v>
      </c>
      <c r="L1039" s="2">
        <v>0</v>
      </c>
      <c r="M1039" s="2">
        <v>0</v>
      </c>
      <c r="N1039" s="2">
        <v>0</v>
      </c>
      <c r="O1039" s="2">
        <v>0</v>
      </c>
      <c r="P1039" s="2">
        <v>0</v>
      </c>
      <c r="Q1039" s="2">
        <v>0</v>
      </c>
      <c r="R1039" s="2">
        <v>0</v>
      </c>
      <c r="S1039" s="2" t="s">
        <v>488</v>
      </c>
      <c r="T1039" s="2" t="s">
        <v>488</v>
      </c>
      <c r="U1039" s="2">
        <v>0</v>
      </c>
      <c r="V1039" s="2">
        <v>0</v>
      </c>
      <c r="W1039">
        <f t="shared" si="16"/>
        <v>0</v>
      </c>
    </row>
    <row r="1040" spans="1:23" x14ac:dyDescent="0.25">
      <c r="A1040" s="2" t="s">
        <v>628</v>
      </c>
      <c r="B1040" s="2" t="s">
        <v>916</v>
      </c>
      <c r="C1040" s="2">
        <v>540264</v>
      </c>
      <c r="D1040" s="2" t="s">
        <v>905</v>
      </c>
      <c r="E1040" s="2" t="s">
        <v>75</v>
      </c>
      <c r="F1040" s="2" t="s">
        <v>115</v>
      </c>
      <c r="G1040" s="2">
        <v>7</v>
      </c>
      <c r="H1040" s="2">
        <v>0</v>
      </c>
      <c r="I1040" s="2">
        <v>0</v>
      </c>
      <c r="J1040" s="2">
        <v>0</v>
      </c>
      <c r="K1040" s="2">
        <v>0</v>
      </c>
      <c r="L1040" s="2">
        <v>0</v>
      </c>
      <c r="M1040" s="2">
        <v>0</v>
      </c>
      <c r="N1040" s="2">
        <v>0</v>
      </c>
      <c r="O1040" s="2">
        <v>0</v>
      </c>
      <c r="P1040" s="2">
        <v>0</v>
      </c>
      <c r="Q1040" s="2">
        <v>0</v>
      </c>
      <c r="R1040" s="2">
        <v>0</v>
      </c>
      <c r="S1040" s="2" t="s">
        <v>488</v>
      </c>
      <c r="T1040" s="2" t="s">
        <v>488</v>
      </c>
      <c r="U1040" s="2">
        <v>0</v>
      </c>
      <c r="V1040" s="2">
        <v>0</v>
      </c>
      <c r="W1040">
        <f t="shared" si="16"/>
        <v>0</v>
      </c>
    </row>
    <row r="1041" spans="1:23" x14ac:dyDescent="0.25">
      <c r="A1041" s="2" t="s">
        <v>628</v>
      </c>
      <c r="B1041" s="2" t="s">
        <v>916</v>
      </c>
      <c r="C1041" s="2">
        <v>540265</v>
      </c>
      <c r="D1041" s="2" t="s">
        <v>906</v>
      </c>
      <c r="E1041" s="2" t="s">
        <v>75</v>
      </c>
      <c r="F1041" s="2" t="s">
        <v>115</v>
      </c>
      <c r="G1041" s="2">
        <v>7</v>
      </c>
      <c r="H1041" s="2">
        <v>0</v>
      </c>
      <c r="I1041" s="2">
        <v>0</v>
      </c>
      <c r="J1041" s="2">
        <v>0</v>
      </c>
      <c r="K1041" s="2">
        <v>0</v>
      </c>
      <c r="L1041" s="2">
        <v>0</v>
      </c>
      <c r="M1041" s="2">
        <v>0</v>
      </c>
      <c r="N1041" s="2">
        <v>0</v>
      </c>
      <c r="O1041" s="2">
        <v>0</v>
      </c>
      <c r="P1041" s="2">
        <v>0</v>
      </c>
      <c r="Q1041" s="2">
        <v>0</v>
      </c>
      <c r="R1041" s="2">
        <v>0</v>
      </c>
      <c r="S1041" s="2" t="s">
        <v>488</v>
      </c>
      <c r="T1041" s="2" t="s">
        <v>488</v>
      </c>
      <c r="U1041" s="2">
        <v>0</v>
      </c>
      <c r="V1041" s="2">
        <v>0</v>
      </c>
      <c r="W1041">
        <f t="shared" si="16"/>
        <v>0</v>
      </c>
    </row>
    <row r="1042" spans="1:23" x14ac:dyDescent="0.25">
      <c r="A1042" s="2" t="s">
        <v>628</v>
      </c>
      <c r="B1042" s="2" t="s">
        <v>916</v>
      </c>
      <c r="C1042" s="2">
        <v>540266</v>
      </c>
      <c r="D1042" s="2" t="s">
        <v>907</v>
      </c>
      <c r="E1042" s="2" t="s">
        <v>75</v>
      </c>
      <c r="F1042" s="2" t="s">
        <v>115</v>
      </c>
      <c r="G1042" s="2">
        <v>7</v>
      </c>
      <c r="H1042" s="2">
        <v>0</v>
      </c>
      <c r="I1042" s="2">
        <v>0</v>
      </c>
      <c r="J1042" s="2">
        <v>0</v>
      </c>
      <c r="K1042" s="2">
        <v>0</v>
      </c>
      <c r="L1042" s="2">
        <v>0</v>
      </c>
      <c r="M1042" s="2">
        <v>0</v>
      </c>
      <c r="N1042" s="2">
        <v>0</v>
      </c>
      <c r="O1042" s="2">
        <v>0</v>
      </c>
      <c r="P1042" s="2">
        <v>0</v>
      </c>
      <c r="Q1042" s="2">
        <v>0</v>
      </c>
      <c r="R1042" s="2">
        <v>0</v>
      </c>
      <c r="S1042" s="2" t="s">
        <v>488</v>
      </c>
      <c r="T1042" s="2" t="s">
        <v>488</v>
      </c>
      <c r="U1042" s="2">
        <v>0</v>
      </c>
      <c r="V1042" s="2">
        <v>0</v>
      </c>
      <c r="W1042">
        <f t="shared" si="16"/>
        <v>0</v>
      </c>
    </row>
    <row r="1043" spans="1:23" x14ac:dyDescent="0.25">
      <c r="A1043" s="2" t="s">
        <v>628</v>
      </c>
      <c r="B1043" s="2" t="s">
        <v>916</v>
      </c>
      <c r="C1043" s="2">
        <v>540267</v>
      </c>
      <c r="D1043" s="2" t="s">
        <v>908</v>
      </c>
      <c r="E1043" s="2" t="s">
        <v>75</v>
      </c>
      <c r="F1043" s="2" t="s">
        <v>115</v>
      </c>
      <c r="G1043" s="2">
        <v>7</v>
      </c>
      <c r="H1043" s="2">
        <v>0</v>
      </c>
      <c r="I1043" s="2">
        <v>0</v>
      </c>
      <c r="J1043" s="2">
        <v>0</v>
      </c>
      <c r="K1043" s="2">
        <v>0</v>
      </c>
      <c r="L1043" s="2">
        <v>0</v>
      </c>
      <c r="M1043" s="2">
        <v>0</v>
      </c>
      <c r="N1043" s="2">
        <v>0</v>
      </c>
      <c r="O1043" s="2">
        <v>0</v>
      </c>
      <c r="P1043" s="2">
        <v>0</v>
      </c>
      <c r="Q1043" s="2">
        <v>0</v>
      </c>
      <c r="R1043" s="2">
        <v>0</v>
      </c>
      <c r="S1043" s="2" t="s">
        <v>488</v>
      </c>
      <c r="T1043" s="2" t="s">
        <v>488</v>
      </c>
      <c r="U1043" s="2">
        <v>0</v>
      </c>
      <c r="V1043" s="2">
        <v>0</v>
      </c>
      <c r="W1043">
        <f t="shared" si="16"/>
        <v>0</v>
      </c>
    </row>
    <row r="1044" spans="1:23" x14ac:dyDescent="0.25">
      <c r="A1044" s="2" t="s">
        <v>628</v>
      </c>
      <c r="B1044" s="2" t="s">
        <v>916</v>
      </c>
      <c r="C1044" s="2">
        <v>540177</v>
      </c>
      <c r="D1044" s="2" t="s">
        <v>909</v>
      </c>
      <c r="E1044" s="2" t="s">
        <v>75</v>
      </c>
      <c r="F1044" s="2" t="s">
        <v>115</v>
      </c>
      <c r="G1044" s="2">
        <v>7</v>
      </c>
      <c r="H1044" s="2">
        <v>0</v>
      </c>
      <c r="I1044" s="2">
        <v>0</v>
      </c>
      <c r="J1044" s="2">
        <v>0</v>
      </c>
      <c r="K1044" s="2">
        <v>0</v>
      </c>
      <c r="L1044" s="2">
        <v>0</v>
      </c>
      <c r="M1044" s="2">
        <v>0</v>
      </c>
      <c r="N1044" s="2">
        <v>0</v>
      </c>
      <c r="O1044" s="2">
        <v>0</v>
      </c>
      <c r="P1044" s="2">
        <v>0</v>
      </c>
      <c r="Q1044" s="2">
        <v>0</v>
      </c>
      <c r="R1044" s="2">
        <v>0</v>
      </c>
      <c r="S1044" s="2" t="s">
        <v>488</v>
      </c>
      <c r="T1044" s="2" t="s">
        <v>488</v>
      </c>
      <c r="U1044" s="2">
        <v>0</v>
      </c>
      <c r="V1044" s="2">
        <v>0</v>
      </c>
      <c r="W1044">
        <f t="shared" si="16"/>
        <v>0</v>
      </c>
    </row>
    <row r="1045" spans="1:23" x14ac:dyDescent="0.25">
      <c r="A1045" s="2" t="s">
        <v>628</v>
      </c>
      <c r="B1045" s="2" t="s">
        <v>916</v>
      </c>
      <c r="C1045" s="2">
        <v>540175</v>
      </c>
      <c r="D1045" s="2" t="s">
        <v>910</v>
      </c>
      <c r="E1045" s="2" t="s">
        <v>75</v>
      </c>
      <c r="F1045" s="2" t="s">
        <v>5</v>
      </c>
      <c r="G1045" s="2">
        <v>7</v>
      </c>
      <c r="H1045" s="2">
        <v>0</v>
      </c>
      <c r="I1045" s="2">
        <v>0</v>
      </c>
      <c r="J1045" s="2">
        <v>0</v>
      </c>
      <c r="K1045" s="2">
        <v>0</v>
      </c>
      <c r="L1045" s="2">
        <v>0</v>
      </c>
      <c r="M1045" s="2">
        <v>0</v>
      </c>
      <c r="N1045" s="2">
        <v>0</v>
      </c>
      <c r="O1045" s="2">
        <v>0</v>
      </c>
      <c r="P1045" s="2">
        <v>0</v>
      </c>
      <c r="Q1045" s="2">
        <v>0</v>
      </c>
      <c r="R1045" s="2">
        <v>0</v>
      </c>
      <c r="S1045" s="2" t="s">
        <v>488</v>
      </c>
      <c r="T1045" s="2" t="s">
        <v>488</v>
      </c>
      <c r="U1045" s="2">
        <v>0</v>
      </c>
      <c r="V1045" s="2">
        <v>0</v>
      </c>
      <c r="W1045">
        <f t="shared" si="16"/>
        <v>0</v>
      </c>
    </row>
    <row r="1046" spans="1:23" x14ac:dyDescent="0.25">
      <c r="A1046" s="255" t="s">
        <v>628</v>
      </c>
      <c r="B1046" s="255" t="s">
        <v>916</v>
      </c>
      <c r="C1046" s="255"/>
      <c r="D1046" s="255"/>
      <c r="E1046" s="255" t="s">
        <v>75</v>
      </c>
      <c r="F1046" s="255"/>
      <c r="G1046" s="255"/>
      <c r="H1046" s="255">
        <v>0</v>
      </c>
      <c r="I1046" s="255">
        <v>0</v>
      </c>
      <c r="J1046" s="255">
        <v>0</v>
      </c>
      <c r="K1046" s="255">
        <v>0</v>
      </c>
      <c r="L1046" s="255">
        <v>0</v>
      </c>
      <c r="M1046" s="255">
        <v>0</v>
      </c>
      <c r="N1046" s="255">
        <v>0</v>
      </c>
      <c r="O1046" s="255">
        <v>0</v>
      </c>
      <c r="P1046" s="255">
        <v>0</v>
      </c>
      <c r="Q1046" s="255">
        <v>0</v>
      </c>
      <c r="R1046" s="255">
        <v>0</v>
      </c>
      <c r="S1046" s="255" t="s">
        <v>488</v>
      </c>
      <c r="T1046" s="255" t="s">
        <v>488</v>
      </c>
      <c r="U1046" s="255">
        <v>0</v>
      </c>
      <c r="V1046" s="255">
        <v>0</v>
      </c>
      <c r="W1046">
        <f t="shared" si="16"/>
        <v>0</v>
      </c>
    </row>
    <row r="1047" spans="1:23" x14ac:dyDescent="0.25">
      <c r="A1047" s="2" t="s">
        <v>628</v>
      </c>
      <c r="B1047" s="2" t="s">
        <v>916</v>
      </c>
      <c r="C1047" s="2">
        <v>540219</v>
      </c>
      <c r="D1047" s="2" t="s">
        <v>911</v>
      </c>
      <c r="E1047" s="2" t="s">
        <v>95</v>
      </c>
      <c r="F1047" s="2" t="s">
        <v>115</v>
      </c>
      <c r="G1047" s="2">
        <v>1</v>
      </c>
      <c r="H1047" s="2">
        <v>0</v>
      </c>
      <c r="I1047" s="2">
        <v>0</v>
      </c>
      <c r="J1047" s="2">
        <v>0</v>
      </c>
      <c r="K1047" s="2">
        <v>0</v>
      </c>
      <c r="L1047" s="2">
        <v>0</v>
      </c>
      <c r="M1047" s="2">
        <v>0</v>
      </c>
      <c r="N1047" s="2">
        <v>0</v>
      </c>
      <c r="O1047" s="2">
        <v>0</v>
      </c>
      <c r="P1047" s="2">
        <v>0</v>
      </c>
      <c r="Q1047" s="2">
        <v>0</v>
      </c>
      <c r="R1047" s="2">
        <v>0</v>
      </c>
      <c r="S1047" s="2">
        <v>0</v>
      </c>
      <c r="T1047" s="2">
        <v>0</v>
      </c>
      <c r="U1047" s="2">
        <v>0</v>
      </c>
      <c r="V1047" s="2">
        <v>0</v>
      </c>
      <c r="W1047">
        <f t="shared" si="16"/>
        <v>0</v>
      </c>
    </row>
    <row r="1048" spans="1:23" x14ac:dyDescent="0.25">
      <c r="A1048" s="2" t="s">
        <v>628</v>
      </c>
      <c r="B1048" s="2" t="s">
        <v>916</v>
      </c>
      <c r="C1048" s="2">
        <v>540220</v>
      </c>
      <c r="D1048" s="2" t="s">
        <v>912</v>
      </c>
      <c r="E1048" s="2" t="s">
        <v>95</v>
      </c>
      <c r="F1048" s="2" t="s">
        <v>115</v>
      </c>
      <c r="G1048" s="2">
        <v>1</v>
      </c>
      <c r="H1048" s="2">
        <v>0</v>
      </c>
      <c r="I1048" s="2">
        <v>0</v>
      </c>
      <c r="J1048" s="2">
        <v>0</v>
      </c>
      <c r="K1048" s="2">
        <v>0</v>
      </c>
      <c r="L1048" s="2">
        <v>0</v>
      </c>
      <c r="M1048" s="2">
        <v>0</v>
      </c>
      <c r="N1048" s="2">
        <v>0</v>
      </c>
      <c r="O1048" s="2">
        <v>0</v>
      </c>
      <c r="P1048" s="2">
        <v>0</v>
      </c>
      <c r="Q1048" s="2">
        <v>0</v>
      </c>
      <c r="R1048" s="2">
        <v>0</v>
      </c>
      <c r="S1048" s="2">
        <v>0</v>
      </c>
      <c r="T1048" s="2">
        <v>0</v>
      </c>
      <c r="U1048" s="2">
        <v>0</v>
      </c>
      <c r="V1048" s="2">
        <v>0</v>
      </c>
      <c r="W1048">
        <f t="shared" si="16"/>
        <v>0</v>
      </c>
    </row>
    <row r="1049" spans="1:23" x14ac:dyDescent="0.25">
      <c r="A1049" s="2" t="s">
        <v>628</v>
      </c>
      <c r="B1049" s="2" t="s">
        <v>916</v>
      </c>
      <c r="C1049" s="2">
        <v>540218</v>
      </c>
      <c r="D1049" s="2" t="s">
        <v>913</v>
      </c>
      <c r="E1049" s="2" t="s">
        <v>95</v>
      </c>
      <c r="F1049" s="2" t="s">
        <v>115</v>
      </c>
      <c r="G1049" s="2">
        <v>1</v>
      </c>
      <c r="H1049" s="2">
        <v>0</v>
      </c>
      <c r="I1049" s="2">
        <v>1</v>
      </c>
      <c r="J1049" s="2">
        <v>0</v>
      </c>
      <c r="K1049" s="2">
        <v>0</v>
      </c>
      <c r="L1049" s="2">
        <v>0</v>
      </c>
      <c r="M1049" s="2">
        <v>1</v>
      </c>
      <c r="N1049" s="2">
        <v>1</v>
      </c>
      <c r="O1049" s="2">
        <v>0</v>
      </c>
      <c r="P1049" s="2">
        <v>0</v>
      </c>
      <c r="Q1049" s="2">
        <v>0</v>
      </c>
      <c r="R1049" s="2">
        <v>0</v>
      </c>
      <c r="S1049" s="2">
        <v>0</v>
      </c>
      <c r="T1049" s="2">
        <v>0</v>
      </c>
      <c r="U1049" s="2">
        <v>0</v>
      </c>
      <c r="V1049" s="2">
        <v>0</v>
      </c>
      <c r="W1049">
        <f t="shared" si="16"/>
        <v>1</v>
      </c>
    </row>
    <row r="1050" spans="1:23" x14ac:dyDescent="0.25">
      <c r="A1050" s="2" t="s">
        <v>628</v>
      </c>
      <c r="B1050" s="2" t="s">
        <v>916</v>
      </c>
      <c r="C1050" s="2">
        <v>540217</v>
      </c>
      <c r="D1050" s="2" t="s">
        <v>914</v>
      </c>
      <c r="E1050" s="2" t="s">
        <v>95</v>
      </c>
      <c r="F1050" s="2" t="s">
        <v>5</v>
      </c>
      <c r="G1050" s="2">
        <v>1</v>
      </c>
      <c r="H1050" s="2">
        <v>0</v>
      </c>
      <c r="I1050" s="2">
        <v>0</v>
      </c>
      <c r="J1050" s="2">
        <v>0</v>
      </c>
      <c r="K1050" s="2">
        <v>0</v>
      </c>
      <c r="L1050" s="2">
        <v>0</v>
      </c>
      <c r="M1050" s="2">
        <v>0</v>
      </c>
      <c r="N1050" s="2">
        <v>0</v>
      </c>
      <c r="O1050" s="2">
        <v>0</v>
      </c>
      <c r="P1050" s="2">
        <v>0</v>
      </c>
      <c r="Q1050" s="2">
        <v>0</v>
      </c>
      <c r="R1050" s="2">
        <v>0</v>
      </c>
      <c r="S1050" s="2">
        <v>0</v>
      </c>
      <c r="T1050" s="2">
        <v>0</v>
      </c>
      <c r="U1050" s="2">
        <v>0</v>
      </c>
      <c r="V1050" s="2">
        <v>0</v>
      </c>
      <c r="W1050">
        <f t="shared" si="16"/>
        <v>0</v>
      </c>
    </row>
    <row r="1051" spans="1:23" x14ac:dyDescent="0.25">
      <c r="A1051" s="255" t="s">
        <v>628</v>
      </c>
      <c r="B1051" s="255" t="s">
        <v>916</v>
      </c>
      <c r="C1051" s="255"/>
      <c r="D1051" s="255"/>
      <c r="E1051" s="255" t="s">
        <v>95</v>
      </c>
      <c r="F1051" s="255"/>
      <c r="G1051" s="255"/>
      <c r="H1051" s="255">
        <v>0</v>
      </c>
      <c r="I1051" s="255">
        <v>1</v>
      </c>
      <c r="J1051" s="255">
        <v>0</v>
      </c>
      <c r="K1051" s="255">
        <v>0</v>
      </c>
      <c r="L1051" s="255">
        <v>0</v>
      </c>
      <c r="M1051" s="255">
        <v>1</v>
      </c>
      <c r="N1051" s="255">
        <v>1</v>
      </c>
      <c r="O1051" s="255">
        <v>0</v>
      </c>
      <c r="P1051" s="255">
        <v>0</v>
      </c>
      <c r="Q1051" s="255">
        <v>0</v>
      </c>
      <c r="R1051" s="255">
        <v>0</v>
      </c>
      <c r="S1051" s="255">
        <v>0</v>
      </c>
      <c r="T1051" s="255">
        <v>0</v>
      </c>
      <c r="U1051" s="255">
        <v>0</v>
      </c>
      <c r="V1051" s="255">
        <v>0</v>
      </c>
      <c r="W1051">
        <f t="shared" si="16"/>
        <v>1</v>
      </c>
    </row>
    <row r="1052" spans="1:23" x14ac:dyDescent="0.25">
      <c r="A1052" s="2" t="s">
        <v>628</v>
      </c>
      <c r="B1052" s="2" t="s">
        <v>917</v>
      </c>
      <c r="C1052" s="2">
        <v>540001</v>
      </c>
      <c r="D1052" s="2" t="s">
        <v>627</v>
      </c>
      <c r="E1052" s="2" t="s">
        <v>4</v>
      </c>
      <c r="F1052" s="2" t="s">
        <v>5</v>
      </c>
      <c r="G1052" s="2">
        <v>7</v>
      </c>
      <c r="H1052" s="2">
        <v>0</v>
      </c>
      <c r="I1052" s="2">
        <v>0</v>
      </c>
      <c r="J1052" s="2">
        <v>0</v>
      </c>
      <c r="K1052" s="2">
        <v>0</v>
      </c>
      <c r="L1052" s="2">
        <v>0</v>
      </c>
      <c r="M1052" s="2">
        <v>0</v>
      </c>
      <c r="N1052" s="2">
        <v>0</v>
      </c>
      <c r="O1052" s="2">
        <v>0</v>
      </c>
      <c r="P1052" s="2">
        <v>0</v>
      </c>
      <c r="Q1052" s="2">
        <v>0</v>
      </c>
      <c r="R1052" s="2">
        <v>0</v>
      </c>
      <c r="S1052" s="2" t="s">
        <v>488</v>
      </c>
      <c r="T1052" s="2" t="s">
        <v>488</v>
      </c>
      <c r="U1052" s="2">
        <v>0</v>
      </c>
      <c r="V1052" s="2">
        <v>0</v>
      </c>
      <c r="W1052">
        <f t="shared" si="16"/>
        <v>0</v>
      </c>
    </row>
    <row r="1053" spans="1:23" x14ac:dyDescent="0.25">
      <c r="A1053" s="2" t="s">
        <v>628</v>
      </c>
      <c r="B1053" s="2" t="s">
        <v>917</v>
      </c>
      <c r="C1053" s="2">
        <v>540002</v>
      </c>
      <c r="D1053" s="2" t="s">
        <v>629</v>
      </c>
      <c r="E1053" s="2" t="s">
        <v>4</v>
      </c>
      <c r="F1053" s="2" t="s">
        <v>115</v>
      </c>
      <c r="G1053" s="2">
        <v>7</v>
      </c>
      <c r="H1053" s="2">
        <v>0</v>
      </c>
      <c r="I1053" s="2">
        <v>0</v>
      </c>
      <c r="J1053" s="2">
        <v>0</v>
      </c>
      <c r="K1053" s="2">
        <v>0</v>
      </c>
      <c r="L1053" s="2">
        <v>0</v>
      </c>
      <c r="M1053" s="2">
        <v>0</v>
      </c>
      <c r="N1053" s="2">
        <v>0</v>
      </c>
      <c r="O1053" s="2">
        <v>0</v>
      </c>
      <c r="P1053" s="2">
        <v>0</v>
      </c>
      <c r="Q1053" s="2">
        <v>0</v>
      </c>
      <c r="R1053" s="2">
        <v>0</v>
      </c>
      <c r="S1053" s="2" t="s">
        <v>488</v>
      </c>
      <c r="T1053" s="2" t="s">
        <v>488</v>
      </c>
      <c r="U1053" s="2">
        <v>0</v>
      </c>
      <c r="V1053" s="2">
        <v>0</v>
      </c>
      <c r="W1053">
        <f t="shared" si="16"/>
        <v>0</v>
      </c>
    </row>
    <row r="1054" spans="1:23" x14ac:dyDescent="0.25">
      <c r="A1054" s="2" t="s">
        <v>628</v>
      </c>
      <c r="B1054" s="2" t="s">
        <v>917</v>
      </c>
      <c r="C1054" s="2">
        <v>540003</v>
      </c>
      <c r="D1054" s="2" t="s">
        <v>630</v>
      </c>
      <c r="E1054" s="2" t="s">
        <v>4</v>
      </c>
      <c r="F1054" s="2" t="s">
        <v>115</v>
      </c>
      <c r="G1054" s="2">
        <v>7</v>
      </c>
      <c r="H1054" s="2">
        <v>0</v>
      </c>
      <c r="I1054" s="2">
        <v>0</v>
      </c>
      <c r="J1054" s="2">
        <v>0</v>
      </c>
      <c r="K1054" s="2">
        <v>0</v>
      </c>
      <c r="L1054" s="2">
        <v>0</v>
      </c>
      <c r="M1054" s="2">
        <v>0</v>
      </c>
      <c r="N1054" s="2">
        <v>0</v>
      </c>
      <c r="O1054" s="2">
        <v>0</v>
      </c>
      <c r="P1054" s="2">
        <v>0</v>
      </c>
      <c r="Q1054" s="2">
        <v>0</v>
      </c>
      <c r="R1054" s="2">
        <v>0</v>
      </c>
      <c r="S1054" s="2" t="s">
        <v>488</v>
      </c>
      <c r="T1054" s="2" t="s">
        <v>488</v>
      </c>
      <c r="U1054" s="2">
        <v>0</v>
      </c>
      <c r="V1054" s="2">
        <v>0</v>
      </c>
      <c r="W1054">
        <f t="shared" si="16"/>
        <v>0</v>
      </c>
    </row>
    <row r="1055" spans="1:23" x14ac:dyDescent="0.25">
      <c r="A1055" s="2" t="s">
        <v>628</v>
      </c>
      <c r="B1055" s="2" t="s">
        <v>917</v>
      </c>
      <c r="C1055" s="2">
        <v>540004</v>
      </c>
      <c r="D1055" s="2" t="s">
        <v>631</v>
      </c>
      <c r="E1055" s="2" t="s">
        <v>4</v>
      </c>
      <c r="F1055" s="2" t="s">
        <v>115</v>
      </c>
      <c r="G1055" s="2">
        <v>7</v>
      </c>
      <c r="H1055" s="2">
        <v>0</v>
      </c>
      <c r="I1055" s="2">
        <v>0</v>
      </c>
      <c r="J1055" s="2">
        <v>0</v>
      </c>
      <c r="K1055" s="2">
        <v>0</v>
      </c>
      <c r="L1055" s="2">
        <v>0</v>
      </c>
      <c r="M1055" s="2">
        <v>0</v>
      </c>
      <c r="N1055" s="2">
        <v>0</v>
      </c>
      <c r="O1055" s="2">
        <v>0</v>
      </c>
      <c r="P1055" s="2">
        <v>0</v>
      </c>
      <c r="Q1055" s="2">
        <v>0</v>
      </c>
      <c r="R1055" s="2">
        <v>0</v>
      </c>
      <c r="S1055" s="2" t="s">
        <v>488</v>
      </c>
      <c r="T1055" s="2" t="s">
        <v>488</v>
      </c>
      <c r="U1055" s="2">
        <v>0</v>
      </c>
      <c r="V1055" s="2">
        <v>0</v>
      </c>
      <c r="W1055">
        <f t="shared" si="16"/>
        <v>0</v>
      </c>
    </row>
    <row r="1056" spans="1:23" x14ac:dyDescent="0.25">
      <c r="A1056" s="255" t="s">
        <v>628</v>
      </c>
      <c r="B1056" s="255" t="s">
        <v>917</v>
      </c>
      <c r="C1056" s="255"/>
      <c r="D1056" s="255"/>
      <c r="E1056" s="255" t="s">
        <v>4</v>
      </c>
      <c r="F1056" s="255"/>
      <c r="G1056" s="255"/>
      <c r="H1056" s="255">
        <v>0</v>
      </c>
      <c r="I1056" s="255">
        <v>0</v>
      </c>
      <c r="J1056" s="255">
        <v>0</v>
      </c>
      <c r="K1056" s="255">
        <v>0</v>
      </c>
      <c r="L1056" s="255">
        <v>0</v>
      </c>
      <c r="M1056" s="255">
        <v>0</v>
      </c>
      <c r="N1056" s="255">
        <v>0</v>
      </c>
      <c r="O1056" s="255">
        <v>0</v>
      </c>
      <c r="P1056" s="255">
        <v>0</v>
      </c>
      <c r="Q1056" s="255">
        <v>0</v>
      </c>
      <c r="R1056" s="255">
        <v>0</v>
      </c>
      <c r="S1056" s="255" t="s">
        <v>488</v>
      </c>
      <c r="T1056" s="255" t="s">
        <v>488</v>
      </c>
      <c r="U1056" s="255">
        <v>0</v>
      </c>
      <c r="V1056" s="255">
        <v>0</v>
      </c>
      <c r="W1056">
        <f t="shared" si="16"/>
        <v>0</v>
      </c>
    </row>
    <row r="1057" spans="1:23" x14ac:dyDescent="0.25">
      <c r="A1057" s="2" t="s">
        <v>628</v>
      </c>
      <c r="B1057" s="2" t="s">
        <v>917</v>
      </c>
      <c r="C1057" s="2">
        <v>540007</v>
      </c>
      <c r="D1057" s="2" t="s">
        <v>632</v>
      </c>
      <c r="E1057" s="2" t="s">
        <v>7</v>
      </c>
      <c r="F1057" s="2" t="s">
        <v>5</v>
      </c>
      <c r="G1057" s="2">
        <v>3</v>
      </c>
      <c r="H1057" s="2">
        <v>0</v>
      </c>
      <c r="I1057" s="2">
        <v>0</v>
      </c>
      <c r="J1057" s="2">
        <v>0</v>
      </c>
      <c r="K1057" s="2">
        <v>0</v>
      </c>
      <c r="L1057" s="2">
        <v>0</v>
      </c>
      <c r="M1057" s="2">
        <v>0</v>
      </c>
      <c r="N1057" s="2">
        <v>0</v>
      </c>
      <c r="O1057" s="2">
        <v>0</v>
      </c>
      <c r="P1057" s="2">
        <v>0</v>
      </c>
      <c r="Q1057" s="2">
        <v>0</v>
      </c>
      <c r="R1057" s="2">
        <v>0</v>
      </c>
      <c r="S1057" s="2" t="s">
        <v>488</v>
      </c>
      <c r="T1057" s="2" t="s">
        <v>488</v>
      </c>
      <c r="U1057" s="2">
        <v>0</v>
      </c>
      <c r="V1057" s="2">
        <v>0</v>
      </c>
      <c r="W1057">
        <f t="shared" si="16"/>
        <v>0</v>
      </c>
    </row>
    <row r="1058" spans="1:23" x14ac:dyDescent="0.25">
      <c r="A1058" s="2" t="s">
        <v>628</v>
      </c>
      <c r="B1058" s="2" t="s">
        <v>917</v>
      </c>
      <c r="C1058" s="2">
        <v>540008</v>
      </c>
      <c r="D1058" s="2" t="s">
        <v>633</v>
      </c>
      <c r="E1058" s="2" t="s">
        <v>7</v>
      </c>
      <c r="F1058" s="2" t="s">
        <v>115</v>
      </c>
      <c r="G1058" s="2">
        <v>3</v>
      </c>
      <c r="H1058" s="2">
        <v>0</v>
      </c>
      <c r="I1058" s="2">
        <v>0</v>
      </c>
      <c r="J1058" s="2">
        <v>0</v>
      </c>
      <c r="K1058" s="2">
        <v>0</v>
      </c>
      <c r="L1058" s="2">
        <v>0</v>
      </c>
      <c r="M1058" s="2">
        <v>0</v>
      </c>
      <c r="N1058" s="2">
        <v>0</v>
      </c>
      <c r="O1058" s="2">
        <v>0</v>
      </c>
      <c r="P1058" s="2">
        <v>0</v>
      </c>
      <c r="Q1058" s="2">
        <v>0</v>
      </c>
      <c r="R1058" s="2">
        <v>0</v>
      </c>
      <c r="S1058" s="2" t="s">
        <v>488</v>
      </c>
      <c r="T1058" s="2" t="s">
        <v>488</v>
      </c>
      <c r="U1058" s="2">
        <v>0</v>
      </c>
      <c r="V1058" s="2">
        <v>0</v>
      </c>
      <c r="W1058">
        <f t="shared" si="16"/>
        <v>0</v>
      </c>
    </row>
    <row r="1059" spans="1:23" x14ac:dyDescent="0.25">
      <c r="A1059" s="2" t="s">
        <v>628</v>
      </c>
      <c r="B1059" s="2" t="s">
        <v>917</v>
      </c>
      <c r="C1059" s="2">
        <v>540229</v>
      </c>
      <c r="D1059" s="2" t="s">
        <v>634</v>
      </c>
      <c r="E1059" s="2" t="s">
        <v>7</v>
      </c>
      <c r="F1059" s="2" t="s">
        <v>115</v>
      </c>
      <c r="G1059" s="2">
        <v>3</v>
      </c>
      <c r="H1059" s="2">
        <v>0</v>
      </c>
      <c r="I1059" s="2">
        <v>0</v>
      </c>
      <c r="J1059" s="2">
        <v>0</v>
      </c>
      <c r="K1059" s="2">
        <v>0</v>
      </c>
      <c r="L1059" s="2">
        <v>0</v>
      </c>
      <c r="M1059" s="2">
        <v>0</v>
      </c>
      <c r="N1059" s="2">
        <v>0</v>
      </c>
      <c r="O1059" s="2">
        <v>0</v>
      </c>
      <c r="P1059" s="2">
        <v>0</v>
      </c>
      <c r="Q1059" s="2">
        <v>0</v>
      </c>
      <c r="R1059" s="2">
        <v>0</v>
      </c>
      <c r="S1059" s="2" t="s">
        <v>488</v>
      </c>
      <c r="T1059" s="2" t="s">
        <v>488</v>
      </c>
      <c r="U1059" s="2">
        <v>0</v>
      </c>
      <c r="V1059" s="2">
        <v>0</v>
      </c>
      <c r="W1059">
        <f t="shared" si="16"/>
        <v>0</v>
      </c>
    </row>
    <row r="1060" spans="1:23" x14ac:dyDescent="0.25">
      <c r="A1060" s="2" t="s">
        <v>628</v>
      </c>
      <c r="B1060" s="2" t="s">
        <v>917</v>
      </c>
      <c r="C1060" s="2">
        <v>540230</v>
      </c>
      <c r="D1060" s="2" t="s">
        <v>635</v>
      </c>
      <c r="E1060" s="2" t="s">
        <v>7</v>
      </c>
      <c r="F1060" s="2" t="s">
        <v>115</v>
      </c>
      <c r="G1060" s="2">
        <v>3</v>
      </c>
      <c r="H1060" s="2">
        <v>0</v>
      </c>
      <c r="I1060" s="2">
        <v>0</v>
      </c>
      <c r="J1060" s="2">
        <v>0</v>
      </c>
      <c r="K1060" s="2">
        <v>0</v>
      </c>
      <c r="L1060" s="2">
        <v>0</v>
      </c>
      <c r="M1060" s="2">
        <v>0</v>
      </c>
      <c r="N1060" s="2">
        <v>0</v>
      </c>
      <c r="O1060" s="2">
        <v>0</v>
      </c>
      <c r="P1060" s="2">
        <v>0</v>
      </c>
      <c r="Q1060" s="2">
        <v>0</v>
      </c>
      <c r="R1060" s="2">
        <v>0</v>
      </c>
      <c r="S1060" s="2" t="s">
        <v>488</v>
      </c>
      <c r="T1060" s="2" t="s">
        <v>488</v>
      </c>
      <c r="U1060" s="2">
        <v>0</v>
      </c>
      <c r="V1060" s="2">
        <v>0</v>
      </c>
      <c r="W1060">
        <f t="shared" si="16"/>
        <v>0</v>
      </c>
    </row>
    <row r="1061" spans="1:23" x14ac:dyDescent="0.25">
      <c r="A1061" s="2" t="s">
        <v>628</v>
      </c>
      <c r="B1061" s="2" t="s">
        <v>917</v>
      </c>
      <c r="C1061" s="2">
        <v>540238</v>
      </c>
      <c r="D1061" s="2" t="s">
        <v>636</v>
      </c>
      <c r="E1061" s="2" t="s">
        <v>7</v>
      </c>
      <c r="F1061" s="2" t="s">
        <v>115</v>
      </c>
      <c r="G1061" s="2">
        <v>3</v>
      </c>
      <c r="H1061" s="2">
        <v>0</v>
      </c>
      <c r="I1061" s="2">
        <v>0</v>
      </c>
      <c r="J1061" s="2">
        <v>0</v>
      </c>
      <c r="K1061" s="2">
        <v>0</v>
      </c>
      <c r="L1061" s="2">
        <v>0</v>
      </c>
      <c r="M1061" s="2">
        <v>0</v>
      </c>
      <c r="N1061" s="2">
        <v>0</v>
      </c>
      <c r="O1061" s="2">
        <v>0</v>
      </c>
      <c r="P1061" s="2">
        <v>0</v>
      </c>
      <c r="Q1061" s="2">
        <v>0</v>
      </c>
      <c r="R1061" s="2">
        <v>0</v>
      </c>
      <c r="S1061" s="2" t="s">
        <v>488</v>
      </c>
      <c r="T1061" s="2" t="s">
        <v>488</v>
      </c>
      <c r="U1061" s="2">
        <v>0</v>
      </c>
      <c r="V1061" s="2">
        <v>0</v>
      </c>
      <c r="W1061">
        <f t="shared" si="16"/>
        <v>0</v>
      </c>
    </row>
    <row r="1062" spans="1:23" x14ac:dyDescent="0.25">
      <c r="A1062" s="255" t="s">
        <v>628</v>
      </c>
      <c r="B1062" s="255" t="s">
        <v>917</v>
      </c>
      <c r="C1062" s="255"/>
      <c r="D1062" s="255"/>
      <c r="E1062" s="255" t="s">
        <v>7</v>
      </c>
      <c r="F1062" s="255"/>
      <c r="G1062" s="255"/>
      <c r="H1062" s="255">
        <v>0</v>
      </c>
      <c r="I1062" s="255">
        <v>0</v>
      </c>
      <c r="J1062" s="255">
        <v>0</v>
      </c>
      <c r="K1062" s="255">
        <v>0</v>
      </c>
      <c r="L1062" s="255">
        <v>0</v>
      </c>
      <c r="M1062" s="255">
        <v>0</v>
      </c>
      <c r="N1062" s="255">
        <v>0</v>
      </c>
      <c r="O1062" s="255">
        <v>0</v>
      </c>
      <c r="P1062" s="255">
        <v>0</v>
      </c>
      <c r="Q1062" s="255">
        <v>0</v>
      </c>
      <c r="R1062" s="255">
        <v>0</v>
      </c>
      <c r="S1062" s="255" t="s">
        <v>488</v>
      </c>
      <c r="T1062" s="255" t="s">
        <v>488</v>
      </c>
      <c r="U1062" s="255">
        <v>0</v>
      </c>
      <c r="V1062" s="255">
        <v>0</v>
      </c>
      <c r="W1062">
        <f t="shared" si="16"/>
        <v>0</v>
      </c>
    </row>
    <row r="1063" spans="1:23" x14ac:dyDescent="0.25">
      <c r="A1063" s="2" t="s">
        <v>628</v>
      </c>
      <c r="B1063" s="2" t="s">
        <v>917</v>
      </c>
      <c r="C1063" s="2">
        <v>540009</v>
      </c>
      <c r="D1063" s="2" t="s">
        <v>637</v>
      </c>
      <c r="E1063" s="2" t="s">
        <v>9</v>
      </c>
      <c r="F1063" s="2" t="s">
        <v>5</v>
      </c>
      <c r="G1063" s="2">
        <v>7</v>
      </c>
      <c r="H1063" s="2">
        <v>0</v>
      </c>
      <c r="I1063" s="2">
        <v>0</v>
      </c>
      <c r="J1063" s="2">
        <v>0</v>
      </c>
      <c r="K1063" s="2">
        <v>0</v>
      </c>
      <c r="L1063" s="2">
        <v>0</v>
      </c>
      <c r="M1063" s="2">
        <v>0</v>
      </c>
      <c r="N1063" s="2">
        <v>0</v>
      </c>
      <c r="O1063" s="2">
        <v>0</v>
      </c>
      <c r="P1063" s="2">
        <v>0</v>
      </c>
      <c r="Q1063" s="2" t="s">
        <v>488</v>
      </c>
      <c r="R1063" s="2" t="s">
        <v>488</v>
      </c>
      <c r="S1063" s="2" t="s">
        <v>488</v>
      </c>
      <c r="T1063" s="2" t="s">
        <v>488</v>
      </c>
      <c r="U1063" s="2">
        <v>0</v>
      </c>
      <c r="V1063" s="2">
        <v>0</v>
      </c>
      <c r="W1063">
        <f t="shared" si="16"/>
        <v>0</v>
      </c>
    </row>
    <row r="1064" spans="1:23" x14ac:dyDescent="0.25">
      <c r="A1064" s="2" t="s">
        <v>628</v>
      </c>
      <c r="B1064" s="2" t="s">
        <v>917</v>
      </c>
      <c r="C1064" s="2">
        <v>540010</v>
      </c>
      <c r="D1064" s="2" t="s">
        <v>638</v>
      </c>
      <c r="E1064" s="2" t="s">
        <v>9</v>
      </c>
      <c r="F1064" s="2" t="s">
        <v>115</v>
      </c>
      <c r="G1064" s="2">
        <v>7</v>
      </c>
      <c r="H1064" s="2">
        <v>0</v>
      </c>
      <c r="I1064" s="2">
        <v>0</v>
      </c>
      <c r="J1064" s="2">
        <v>0</v>
      </c>
      <c r="K1064" s="2">
        <v>0</v>
      </c>
      <c r="L1064" s="2">
        <v>0</v>
      </c>
      <c r="M1064" s="2">
        <v>0</v>
      </c>
      <c r="N1064" s="2">
        <v>0</v>
      </c>
      <c r="O1064" s="2">
        <v>0</v>
      </c>
      <c r="P1064" s="2">
        <v>0</v>
      </c>
      <c r="Q1064" s="2" t="s">
        <v>488</v>
      </c>
      <c r="R1064" s="2" t="s">
        <v>488</v>
      </c>
      <c r="S1064" s="2" t="s">
        <v>488</v>
      </c>
      <c r="T1064" s="2" t="s">
        <v>488</v>
      </c>
      <c r="U1064" s="2">
        <v>0</v>
      </c>
      <c r="V1064" s="2">
        <v>0</v>
      </c>
      <c r="W1064">
        <f t="shared" si="16"/>
        <v>0</v>
      </c>
    </row>
    <row r="1065" spans="1:23" x14ac:dyDescent="0.25">
      <c r="A1065" s="2" t="s">
        <v>628</v>
      </c>
      <c r="B1065" s="2" t="s">
        <v>917</v>
      </c>
      <c r="C1065" s="2">
        <v>540235</v>
      </c>
      <c r="D1065" s="2" t="s">
        <v>639</v>
      </c>
      <c r="E1065" s="2" t="s">
        <v>9</v>
      </c>
      <c r="F1065" s="2" t="s">
        <v>115</v>
      </c>
      <c r="G1065" s="2">
        <v>7</v>
      </c>
      <c r="H1065" s="2">
        <v>0</v>
      </c>
      <c r="I1065" s="2">
        <v>0</v>
      </c>
      <c r="J1065" s="2">
        <v>0</v>
      </c>
      <c r="K1065" s="2">
        <v>0</v>
      </c>
      <c r="L1065" s="2">
        <v>0</v>
      </c>
      <c r="M1065" s="2">
        <v>0</v>
      </c>
      <c r="N1065" s="2">
        <v>0</v>
      </c>
      <c r="O1065" s="2">
        <v>0</v>
      </c>
      <c r="P1065" s="2">
        <v>0</v>
      </c>
      <c r="Q1065" s="2" t="s">
        <v>488</v>
      </c>
      <c r="R1065" s="2" t="s">
        <v>488</v>
      </c>
      <c r="S1065" s="2" t="s">
        <v>488</v>
      </c>
      <c r="T1065" s="2" t="s">
        <v>488</v>
      </c>
      <c r="U1065" s="2">
        <v>0</v>
      </c>
      <c r="V1065" s="2">
        <v>0</v>
      </c>
      <c r="W1065">
        <f t="shared" si="16"/>
        <v>0</v>
      </c>
    </row>
    <row r="1066" spans="1:23" x14ac:dyDescent="0.25">
      <c r="A1066" s="2" t="s">
        <v>628</v>
      </c>
      <c r="B1066" s="2" t="s">
        <v>917</v>
      </c>
      <c r="C1066" s="2">
        <v>540236</v>
      </c>
      <c r="D1066" s="2" t="s">
        <v>640</v>
      </c>
      <c r="E1066" s="2" t="s">
        <v>9</v>
      </c>
      <c r="F1066" s="2" t="s">
        <v>115</v>
      </c>
      <c r="G1066" s="2">
        <v>7</v>
      </c>
      <c r="H1066" s="2">
        <v>0</v>
      </c>
      <c r="I1066" s="2">
        <v>0</v>
      </c>
      <c r="J1066" s="2">
        <v>0</v>
      </c>
      <c r="K1066" s="2">
        <v>0</v>
      </c>
      <c r="L1066" s="2">
        <v>0</v>
      </c>
      <c r="M1066" s="2">
        <v>0</v>
      </c>
      <c r="N1066" s="2">
        <v>0</v>
      </c>
      <c r="O1066" s="2">
        <v>0</v>
      </c>
      <c r="P1066" s="2">
        <v>0</v>
      </c>
      <c r="Q1066" s="2" t="s">
        <v>488</v>
      </c>
      <c r="R1066" s="2" t="s">
        <v>488</v>
      </c>
      <c r="S1066" s="2" t="s">
        <v>488</v>
      </c>
      <c r="T1066" s="2" t="s">
        <v>488</v>
      </c>
      <c r="U1066" s="2">
        <v>0</v>
      </c>
      <c r="V1066" s="2">
        <v>0</v>
      </c>
      <c r="W1066">
        <f t="shared" si="16"/>
        <v>0</v>
      </c>
    </row>
    <row r="1067" spans="1:23" x14ac:dyDescent="0.25">
      <c r="A1067" s="2" t="s">
        <v>628</v>
      </c>
      <c r="B1067" s="2" t="s">
        <v>917</v>
      </c>
      <c r="C1067" s="2">
        <v>540237</v>
      </c>
      <c r="D1067" s="2" t="s">
        <v>641</v>
      </c>
      <c r="E1067" s="2" t="s">
        <v>9</v>
      </c>
      <c r="F1067" s="2" t="s">
        <v>115</v>
      </c>
      <c r="G1067" s="2">
        <v>7</v>
      </c>
      <c r="H1067" s="2">
        <v>0</v>
      </c>
      <c r="I1067" s="2">
        <v>0</v>
      </c>
      <c r="J1067" s="2">
        <v>0</v>
      </c>
      <c r="K1067" s="2">
        <v>0</v>
      </c>
      <c r="L1067" s="2">
        <v>0</v>
      </c>
      <c r="M1067" s="2">
        <v>0</v>
      </c>
      <c r="N1067" s="2">
        <v>0</v>
      </c>
      <c r="O1067" s="2">
        <v>0</v>
      </c>
      <c r="P1067" s="2">
        <v>0</v>
      </c>
      <c r="Q1067" s="2" t="s">
        <v>488</v>
      </c>
      <c r="R1067" s="2" t="s">
        <v>488</v>
      </c>
      <c r="S1067" s="2" t="s">
        <v>488</v>
      </c>
      <c r="T1067" s="2" t="s">
        <v>488</v>
      </c>
      <c r="U1067" s="2">
        <v>0</v>
      </c>
      <c r="V1067" s="2">
        <v>0</v>
      </c>
      <c r="W1067">
        <f t="shared" si="16"/>
        <v>0</v>
      </c>
    </row>
    <row r="1068" spans="1:23" x14ac:dyDescent="0.25">
      <c r="A1068" s="255" t="s">
        <v>628</v>
      </c>
      <c r="B1068" s="255" t="s">
        <v>917</v>
      </c>
      <c r="C1068" s="255"/>
      <c r="D1068" s="255"/>
      <c r="E1068" s="255" t="s">
        <v>9</v>
      </c>
      <c r="F1068" s="255"/>
      <c r="G1068" s="255"/>
      <c r="H1068" s="255">
        <v>0</v>
      </c>
      <c r="I1068" s="255">
        <v>0</v>
      </c>
      <c r="J1068" s="255">
        <v>0</v>
      </c>
      <c r="K1068" s="255">
        <v>0</v>
      </c>
      <c r="L1068" s="255">
        <v>0</v>
      </c>
      <c r="M1068" s="255">
        <v>0</v>
      </c>
      <c r="N1068" s="255">
        <v>0</v>
      </c>
      <c r="O1068" s="255">
        <v>0</v>
      </c>
      <c r="P1068" s="255">
        <v>0</v>
      </c>
      <c r="Q1068" s="255" t="s">
        <v>488</v>
      </c>
      <c r="R1068" s="255" t="s">
        <v>488</v>
      </c>
      <c r="S1068" s="255" t="s">
        <v>488</v>
      </c>
      <c r="T1068" s="255" t="s">
        <v>488</v>
      </c>
      <c r="U1068" s="255">
        <v>0</v>
      </c>
      <c r="V1068" s="255">
        <v>0</v>
      </c>
      <c r="W1068">
        <f t="shared" si="16"/>
        <v>0</v>
      </c>
    </row>
    <row r="1069" spans="1:23" x14ac:dyDescent="0.25">
      <c r="A1069" s="2" t="s">
        <v>628</v>
      </c>
      <c r="B1069" s="2" t="s">
        <v>917</v>
      </c>
      <c r="C1069" s="2">
        <v>540011</v>
      </c>
      <c r="D1069" s="2" t="s">
        <v>642</v>
      </c>
      <c r="E1069" s="2" t="s">
        <v>11</v>
      </c>
      <c r="F1069" s="2" t="s">
        <v>5</v>
      </c>
      <c r="G1069" s="2">
        <v>11</v>
      </c>
      <c r="H1069" s="2">
        <v>0</v>
      </c>
      <c r="I1069" s="2">
        <v>0</v>
      </c>
      <c r="J1069" s="2">
        <v>0</v>
      </c>
      <c r="K1069" s="2">
        <v>0</v>
      </c>
      <c r="L1069" s="2">
        <v>0</v>
      </c>
      <c r="M1069" s="2">
        <v>0</v>
      </c>
      <c r="N1069" s="2">
        <v>0</v>
      </c>
      <c r="O1069" s="2">
        <v>0</v>
      </c>
      <c r="P1069" s="2">
        <v>0</v>
      </c>
      <c r="Q1069" s="2">
        <v>0</v>
      </c>
      <c r="R1069" s="2">
        <v>0</v>
      </c>
      <c r="S1069" s="2" t="s">
        <v>488</v>
      </c>
      <c r="T1069" s="2" t="s">
        <v>488</v>
      </c>
      <c r="U1069" s="2">
        <v>0</v>
      </c>
      <c r="V1069" s="2">
        <v>0</v>
      </c>
      <c r="W1069">
        <f t="shared" si="16"/>
        <v>0</v>
      </c>
    </row>
    <row r="1070" spans="1:23" x14ac:dyDescent="0.25">
      <c r="A1070" s="2" t="s">
        <v>628</v>
      </c>
      <c r="B1070" s="2" t="s">
        <v>917</v>
      </c>
      <c r="C1070" s="2">
        <v>540012</v>
      </c>
      <c r="D1070" s="2" t="s">
        <v>643</v>
      </c>
      <c r="E1070" s="2" t="s">
        <v>11</v>
      </c>
      <c r="F1070" s="2" t="s">
        <v>115</v>
      </c>
      <c r="G1070" s="2">
        <v>11</v>
      </c>
      <c r="H1070" s="2">
        <v>0</v>
      </c>
      <c r="I1070" s="2">
        <v>0</v>
      </c>
      <c r="J1070" s="2">
        <v>0</v>
      </c>
      <c r="K1070" s="2">
        <v>0</v>
      </c>
      <c r="L1070" s="2">
        <v>0</v>
      </c>
      <c r="M1070" s="2">
        <v>0</v>
      </c>
      <c r="N1070" s="2">
        <v>0</v>
      </c>
      <c r="O1070" s="2">
        <v>0</v>
      </c>
      <c r="P1070" s="2">
        <v>0</v>
      </c>
      <c r="Q1070" s="2">
        <v>0</v>
      </c>
      <c r="R1070" s="2">
        <v>0</v>
      </c>
      <c r="S1070" s="2" t="s">
        <v>488</v>
      </c>
      <c r="T1070" s="2" t="s">
        <v>488</v>
      </c>
      <c r="U1070" s="2">
        <v>0</v>
      </c>
      <c r="V1070" s="2">
        <v>0</v>
      </c>
      <c r="W1070">
        <f t="shared" si="16"/>
        <v>0</v>
      </c>
    </row>
    <row r="1071" spans="1:23" x14ac:dyDescent="0.25">
      <c r="A1071" s="2" t="s">
        <v>628</v>
      </c>
      <c r="B1071" s="2" t="s">
        <v>917</v>
      </c>
      <c r="C1071" s="2">
        <v>540013</v>
      </c>
      <c r="D1071" s="2" t="s">
        <v>644</v>
      </c>
      <c r="E1071" s="2" t="s">
        <v>11</v>
      </c>
      <c r="F1071" s="2" t="s">
        <v>115</v>
      </c>
      <c r="G1071" s="2">
        <v>11</v>
      </c>
      <c r="H1071" s="2">
        <v>0</v>
      </c>
      <c r="I1071" s="2">
        <v>0</v>
      </c>
      <c r="J1071" s="2">
        <v>0</v>
      </c>
      <c r="K1071" s="2">
        <v>0</v>
      </c>
      <c r="L1071" s="2">
        <v>0</v>
      </c>
      <c r="M1071" s="2">
        <v>0</v>
      </c>
      <c r="N1071" s="2">
        <v>0</v>
      </c>
      <c r="O1071" s="2">
        <v>0</v>
      </c>
      <c r="P1071" s="2">
        <v>0</v>
      </c>
      <c r="Q1071" s="2">
        <v>0</v>
      </c>
      <c r="R1071" s="2">
        <v>0</v>
      </c>
      <c r="S1071" s="2" t="s">
        <v>488</v>
      </c>
      <c r="T1071" s="2" t="s">
        <v>488</v>
      </c>
      <c r="U1071" s="2">
        <v>0</v>
      </c>
      <c r="V1071" s="2">
        <v>0</v>
      </c>
      <c r="W1071">
        <f t="shared" si="16"/>
        <v>0</v>
      </c>
    </row>
    <row r="1072" spans="1:23" x14ac:dyDescent="0.25">
      <c r="A1072" s="2" t="s">
        <v>628</v>
      </c>
      <c r="B1072" s="2" t="s">
        <v>917</v>
      </c>
      <c r="C1072" s="2">
        <v>540014</v>
      </c>
      <c r="D1072" s="2" t="s">
        <v>645</v>
      </c>
      <c r="E1072" s="2" t="s">
        <v>11</v>
      </c>
      <c r="F1072" s="2" t="s">
        <v>115</v>
      </c>
      <c r="G1072" s="2">
        <v>11</v>
      </c>
      <c r="H1072" s="2">
        <v>0</v>
      </c>
      <c r="I1072" s="2">
        <v>0</v>
      </c>
      <c r="J1072" s="2">
        <v>0</v>
      </c>
      <c r="K1072" s="2">
        <v>0</v>
      </c>
      <c r="L1072" s="2">
        <v>0</v>
      </c>
      <c r="M1072" s="2">
        <v>0</v>
      </c>
      <c r="N1072" s="2">
        <v>0</v>
      </c>
      <c r="O1072" s="2">
        <v>0</v>
      </c>
      <c r="P1072" s="2">
        <v>0</v>
      </c>
      <c r="Q1072" s="2">
        <v>0</v>
      </c>
      <c r="R1072" s="2">
        <v>0</v>
      </c>
      <c r="S1072" s="2" t="s">
        <v>488</v>
      </c>
      <c r="T1072" s="2" t="s">
        <v>488</v>
      </c>
      <c r="U1072" s="2">
        <v>0</v>
      </c>
      <c r="V1072" s="2">
        <v>0</v>
      </c>
      <c r="W1072">
        <f t="shared" si="16"/>
        <v>0</v>
      </c>
    </row>
    <row r="1073" spans="1:23" x14ac:dyDescent="0.25">
      <c r="A1073" s="2" t="s">
        <v>628</v>
      </c>
      <c r="B1073" s="2" t="s">
        <v>917</v>
      </c>
      <c r="C1073" s="2">
        <v>540015</v>
      </c>
      <c r="D1073" s="2" t="s">
        <v>646</v>
      </c>
      <c r="E1073" s="2" t="s">
        <v>11</v>
      </c>
      <c r="F1073" s="2" t="s">
        <v>115</v>
      </c>
      <c r="G1073" s="2">
        <v>11</v>
      </c>
      <c r="H1073" s="2">
        <v>0</v>
      </c>
      <c r="I1073" s="2">
        <v>0</v>
      </c>
      <c r="J1073" s="2">
        <v>0</v>
      </c>
      <c r="K1073" s="2">
        <v>0</v>
      </c>
      <c r="L1073" s="2">
        <v>0</v>
      </c>
      <c r="M1073" s="2">
        <v>0</v>
      </c>
      <c r="N1073" s="2">
        <v>0</v>
      </c>
      <c r="O1073" s="2">
        <v>0</v>
      </c>
      <c r="P1073" s="2">
        <v>0</v>
      </c>
      <c r="Q1073" s="2">
        <v>0</v>
      </c>
      <c r="R1073" s="2">
        <v>0</v>
      </c>
      <c r="S1073" s="2" t="s">
        <v>488</v>
      </c>
      <c r="T1073" s="2" t="s">
        <v>488</v>
      </c>
      <c r="U1073" s="2">
        <v>0</v>
      </c>
      <c r="V1073" s="2">
        <v>0</v>
      </c>
      <c r="W1073">
        <f t="shared" si="16"/>
        <v>0</v>
      </c>
    </row>
    <row r="1074" spans="1:23" x14ac:dyDescent="0.25">
      <c r="A1074" s="2" t="s">
        <v>628</v>
      </c>
      <c r="B1074" s="2" t="s">
        <v>917</v>
      </c>
      <c r="C1074" s="2">
        <v>540093</v>
      </c>
      <c r="D1074" s="2" t="s">
        <v>647</v>
      </c>
      <c r="E1074" s="2" t="s">
        <v>11</v>
      </c>
      <c r="F1074" s="2" t="s">
        <v>115</v>
      </c>
      <c r="G1074" s="2">
        <v>11</v>
      </c>
      <c r="H1074" s="2">
        <v>0</v>
      </c>
      <c r="I1074" s="2">
        <v>0</v>
      </c>
      <c r="J1074" s="2">
        <v>0</v>
      </c>
      <c r="K1074" s="2">
        <v>0</v>
      </c>
      <c r="L1074" s="2">
        <v>0</v>
      </c>
      <c r="M1074" s="2">
        <v>0</v>
      </c>
      <c r="N1074" s="2">
        <v>0</v>
      </c>
      <c r="O1074" s="2">
        <v>0</v>
      </c>
      <c r="P1074" s="2">
        <v>0</v>
      </c>
      <c r="Q1074" s="2">
        <v>0</v>
      </c>
      <c r="R1074" s="2">
        <v>0</v>
      </c>
      <c r="S1074" s="2" t="s">
        <v>488</v>
      </c>
      <c r="T1074" s="2" t="s">
        <v>488</v>
      </c>
      <c r="U1074" s="2">
        <v>0</v>
      </c>
      <c r="V1074" s="2">
        <v>0</v>
      </c>
      <c r="W1074">
        <f t="shared" si="16"/>
        <v>0</v>
      </c>
    </row>
    <row r="1075" spans="1:23" x14ac:dyDescent="0.25">
      <c r="A1075" s="2" t="s">
        <v>628</v>
      </c>
      <c r="B1075" s="2" t="s">
        <v>917</v>
      </c>
      <c r="C1075" s="2">
        <v>540084</v>
      </c>
      <c r="D1075" s="2" t="s">
        <v>648</v>
      </c>
      <c r="E1075" s="2" t="s">
        <v>11</v>
      </c>
      <c r="F1075" s="2" t="s">
        <v>115</v>
      </c>
      <c r="G1075" s="2">
        <v>11</v>
      </c>
      <c r="H1075" s="2">
        <v>0</v>
      </c>
      <c r="I1075" s="2">
        <v>0</v>
      </c>
      <c r="J1075" s="2">
        <v>0</v>
      </c>
      <c r="K1075" s="2">
        <v>0</v>
      </c>
      <c r="L1075" s="2">
        <v>0</v>
      </c>
      <c r="M1075" s="2">
        <v>0</v>
      </c>
      <c r="N1075" s="2">
        <v>0</v>
      </c>
      <c r="O1075" s="2">
        <v>0</v>
      </c>
      <c r="P1075" s="2">
        <v>0</v>
      </c>
      <c r="Q1075" s="2">
        <v>0</v>
      </c>
      <c r="R1075" s="2">
        <v>0</v>
      </c>
      <c r="S1075" s="2" t="s">
        <v>488</v>
      </c>
      <c r="T1075" s="2" t="s">
        <v>488</v>
      </c>
      <c r="U1075" s="2">
        <v>0</v>
      </c>
      <c r="V1075" s="2">
        <v>0</v>
      </c>
      <c r="W1075">
        <f t="shared" si="16"/>
        <v>0</v>
      </c>
    </row>
    <row r="1076" spans="1:23" x14ac:dyDescent="0.25">
      <c r="A1076" s="255" t="s">
        <v>628</v>
      </c>
      <c r="B1076" s="255" t="s">
        <v>917</v>
      </c>
      <c r="C1076" s="255"/>
      <c r="D1076" s="255"/>
      <c r="E1076" s="255" t="s">
        <v>11</v>
      </c>
      <c r="F1076" s="255"/>
      <c r="G1076" s="255"/>
      <c r="H1076" s="255">
        <v>0</v>
      </c>
      <c r="I1076" s="255">
        <v>0</v>
      </c>
      <c r="J1076" s="255">
        <v>0</v>
      </c>
      <c r="K1076" s="255">
        <v>0</v>
      </c>
      <c r="L1076" s="255">
        <v>0</v>
      </c>
      <c r="M1076" s="255">
        <v>0</v>
      </c>
      <c r="N1076" s="255">
        <v>0</v>
      </c>
      <c r="O1076" s="255">
        <v>0</v>
      </c>
      <c r="P1076" s="255">
        <v>0</v>
      </c>
      <c r="Q1076" s="255">
        <v>0</v>
      </c>
      <c r="R1076" s="255">
        <v>0</v>
      </c>
      <c r="S1076" s="255" t="s">
        <v>488</v>
      </c>
      <c r="T1076" s="255" t="s">
        <v>488</v>
      </c>
      <c r="U1076" s="255">
        <v>0</v>
      </c>
      <c r="V1076" s="255">
        <v>0</v>
      </c>
      <c r="W1076">
        <f t="shared" si="16"/>
        <v>0</v>
      </c>
    </row>
    <row r="1077" spans="1:23" x14ac:dyDescent="0.25">
      <c r="A1077" s="2" t="s">
        <v>628</v>
      </c>
      <c r="B1077" s="2" t="s">
        <v>917</v>
      </c>
      <c r="C1077" s="2">
        <v>540016</v>
      </c>
      <c r="D1077" s="2" t="s">
        <v>649</v>
      </c>
      <c r="E1077" s="2" t="s">
        <v>13</v>
      </c>
      <c r="F1077" s="2" t="s">
        <v>5</v>
      </c>
      <c r="G1077" s="2">
        <v>2</v>
      </c>
      <c r="H1077" s="2">
        <v>0</v>
      </c>
      <c r="I1077" s="2">
        <v>0</v>
      </c>
      <c r="J1077" s="2">
        <v>0</v>
      </c>
      <c r="K1077" s="2">
        <v>0</v>
      </c>
      <c r="L1077" s="2">
        <v>0</v>
      </c>
      <c r="M1077" s="2">
        <v>0</v>
      </c>
      <c r="N1077" s="2">
        <v>0</v>
      </c>
      <c r="O1077" s="2">
        <v>0</v>
      </c>
      <c r="P1077" s="2">
        <v>0</v>
      </c>
      <c r="Q1077" s="2">
        <v>0</v>
      </c>
      <c r="R1077" s="2">
        <v>0</v>
      </c>
      <c r="S1077" s="2" t="s">
        <v>488</v>
      </c>
      <c r="T1077" s="2" t="s">
        <v>488</v>
      </c>
      <c r="U1077" s="2">
        <v>0</v>
      </c>
      <c r="V1077" s="2">
        <v>0</v>
      </c>
      <c r="W1077">
        <f t="shared" si="16"/>
        <v>0</v>
      </c>
    </row>
    <row r="1078" spans="1:23" x14ac:dyDescent="0.25">
      <c r="A1078" s="2" t="s">
        <v>628</v>
      </c>
      <c r="B1078" s="2" t="s">
        <v>917</v>
      </c>
      <c r="C1078" s="2">
        <v>540017</v>
      </c>
      <c r="D1078" s="2" t="s">
        <v>650</v>
      </c>
      <c r="E1078" s="2" t="s">
        <v>13</v>
      </c>
      <c r="F1078" s="2" t="s">
        <v>115</v>
      </c>
      <c r="G1078" s="2">
        <v>2</v>
      </c>
      <c r="H1078" s="2">
        <v>0</v>
      </c>
      <c r="I1078" s="2">
        <v>0</v>
      </c>
      <c r="J1078" s="2">
        <v>0</v>
      </c>
      <c r="K1078" s="2">
        <v>0</v>
      </c>
      <c r="L1078" s="2">
        <v>0</v>
      </c>
      <c r="M1078" s="2">
        <v>0</v>
      </c>
      <c r="N1078" s="2">
        <v>0</v>
      </c>
      <c r="O1078" s="2">
        <v>0</v>
      </c>
      <c r="P1078" s="2">
        <v>0</v>
      </c>
      <c r="Q1078" s="2">
        <v>0</v>
      </c>
      <c r="R1078" s="2">
        <v>0</v>
      </c>
      <c r="S1078" s="2" t="s">
        <v>488</v>
      </c>
      <c r="T1078" s="2" t="s">
        <v>488</v>
      </c>
      <c r="U1078" s="2">
        <v>0</v>
      </c>
      <c r="V1078" s="2">
        <v>0</v>
      </c>
      <c r="W1078">
        <f t="shared" si="16"/>
        <v>0</v>
      </c>
    </row>
    <row r="1079" spans="1:23" x14ac:dyDescent="0.25">
      <c r="A1079" s="2" t="s">
        <v>628</v>
      </c>
      <c r="B1079" s="2" t="s">
        <v>917</v>
      </c>
      <c r="C1079" s="2">
        <v>540018</v>
      </c>
      <c r="D1079" s="2" t="s">
        <v>651</v>
      </c>
      <c r="E1079" s="2" t="s">
        <v>13</v>
      </c>
      <c r="F1079" s="2" t="s">
        <v>115</v>
      </c>
      <c r="G1079" s="2">
        <v>2</v>
      </c>
      <c r="H1079" s="2">
        <v>0</v>
      </c>
      <c r="I1079" s="2">
        <v>0</v>
      </c>
      <c r="J1079" s="2">
        <v>0</v>
      </c>
      <c r="K1079" s="2">
        <v>0</v>
      </c>
      <c r="L1079" s="2">
        <v>0</v>
      </c>
      <c r="M1079" s="2">
        <v>0</v>
      </c>
      <c r="N1079" s="2">
        <v>0</v>
      </c>
      <c r="O1079" s="2">
        <v>0</v>
      </c>
      <c r="P1079" s="2">
        <v>0</v>
      </c>
      <c r="Q1079" s="2">
        <v>0</v>
      </c>
      <c r="R1079" s="2">
        <v>0</v>
      </c>
      <c r="S1079" s="2" t="s">
        <v>488</v>
      </c>
      <c r="T1079" s="2" t="s">
        <v>488</v>
      </c>
      <c r="U1079" s="2">
        <v>0</v>
      </c>
      <c r="V1079" s="2">
        <v>1</v>
      </c>
      <c r="W1079">
        <f t="shared" si="16"/>
        <v>1</v>
      </c>
    </row>
    <row r="1080" spans="1:23" x14ac:dyDescent="0.25">
      <c r="A1080" s="2" t="s">
        <v>628</v>
      </c>
      <c r="B1080" s="2" t="s">
        <v>917</v>
      </c>
      <c r="C1080" s="2">
        <v>540019</v>
      </c>
      <c r="D1080" s="2" t="s">
        <v>652</v>
      </c>
      <c r="E1080" s="2" t="s">
        <v>13</v>
      </c>
      <c r="F1080" s="2" t="s">
        <v>115</v>
      </c>
      <c r="G1080" s="2">
        <v>2</v>
      </c>
      <c r="H1080" s="2">
        <v>0</v>
      </c>
      <c r="I1080" s="2">
        <v>0</v>
      </c>
      <c r="J1080" s="2">
        <v>0</v>
      </c>
      <c r="K1080" s="2">
        <v>0</v>
      </c>
      <c r="L1080" s="2">
        <v>0</v>
      </c>
      <c r="M1080" s="2">
        <v>0</v>
      </c>
      <c r="N1080" s="2">
        <v>0</v>
      </c>
      <c r="O1080" s="2">
        <v>0</v>
      </c>
      <c r="P1080" s="2">
        <v>0</v>
      </c>
      <c r="Q1080" s="2">
        <v>0</v>
      </c>
      <c r="R1080" s="2">
        <v>0</v>
      </c>
      <c r="S1080" s="2" t="s">
        <v>488</v>
      </c>
      <c r="T1080" s="2" t="s">
        <v>488</v>
      </c>
      <c r="U1080" s="2">
        <v>0</v>
      </c>
      <c r="V1080" s="2">
        <v>0</v>
      </c>
      <c r="W1080">
        <f t="shared" si="16"/>
        <v>0</v>
      </c>
    </row>
    <row r="1081" spans="1:23" x14ac:dyDescent="0.25">
      <c r="A1081" s="255" t="s">
        <v>628</v>
      </c>
      <c r="B1081" s="255" t="s">
        <v>917</v>
      </c>
      <c r="C1081" s="255"/>
      <c r="D1081" s="255"/>
      <c r="E1081" s="255" t="s">
        <v>13</v>
      </c>
      <c r="F1081" s="255"/>
      <c r="G1081" s="255"/>
      <c r="H1081" s="255">
        <v>0</v>
      </c>
      <c r="I1081" s="255">
        <v>0</v>
      </c>
      <c r="J1081" s="255">
        <v>0</v>
      </c>
      <c r="K1081" s="255">
        <v>0</v>
      </c>
      <c r="L1081" s="255">
        <v>0</v>
      </c>
      <c r="M1081" s="255">
        <v>0</v>
      </c>
      <c r="N1081" s="255">
        <v>0</v>
      </c>
      <c r="O1081" s="255">
        <v>0</v>
      </c>
      <c r="P1081" s="255">
        <v>0</v>
      </c>
      <c r="Q1081" s="255">
        <v>0</v>
      </c>
      <c r="R1081" s="255">
        <v>0</v>
      </c>
      <c r="S1081" s="255" t="s">
        <v>488</v>
      </c>
      <c r="T1081" s="255" t="s">
        <v>488</v>
      </c>
      <c r="U1081" s="255">
        <v>0</v>
      </c>
      <c r="V1081" s="255">
        <v>1</v>
      </c>
      <c r="W1081">
        <f t="shared" si="16"/>
        <v>1</v>
      </c>
    </row>
    <row r="1082" spans="1:23" x14ac:dyDescent="0.25">
      <c r="A1082" s="2" t="s">
        <v>628</v>
      </c>
      <c r="B1082" s="2" t="s">
        <v>917</v>
      </c>
      <c r="C1082" s="2">
        <v>540020</v>
      </c>
      <c r="D1082" s="2" t="s">
        <v>653</v>
      </c>
      <c r="E1082" s="2" t="s">
        <v>15</v>
      </c>
      <c r="F1082" s="2" t="s">
        <v>5</v>
      </c>
      <c r="G1082" s="2">
        <v>5</v>
      </c>
      <c r="H1082" s="2">
        <v>0</v>
      </c>
      <c r="I1082" s="2">
        <v>0</v>
      </c>
      <c r="J1082" s="2">
        <v>0</v>
      </c>
      <c r="K1082" s="2">
        <v>0</v>
      </c>
      <c r="L1082" s="2">
        <v>0</v>
      </c>
      <c r="M1082" s="2">
        <v>0</v>
      </c>
      <c r="N1082" s="2">
        <v>0</v>
      </c>
      <c r="O1082" s="2">
        <v>0</v>
      </c>
      <c r="P1082" s="2">
        <v>0</v>
      </c>
      <c r="Q1082" s="2" t="s">
        <v>488</v>
      </c>
      <c r="R1082" s="2" t="s">
        <v>488</v>
      </c>
      <c r="S1082" s="2" t="s">
        <v>488</v>
      </c>
      <c r="T1082" s="2" t="s">
        <v>488</v>
      </c>
      <c r="U1082" s="2">
        <v>0</v>
      </c>
      <c r="V1082" s="2">
        <v>0</v>
      </c>
      <c r="W1082">
        <f t="shared" si="16"/>
        <v>0</v>
      </c>
    </row>
    <row r="1083" spans="1:23" x14ac:dyDescent="0.25">
      <c r="A1083" s="2" t="s">
        <v>628</v>
      </c>
      <c r="B1083" s="2" t="s">
        <v>917</v>
      </c>
      <c r="C1083" s="2">
        <v>540021</v>
      </c>
      <c r="D1083" s="2" t="s">
        <v>654</v>
      </c>
      <c r="E1083" s="2" t="s">
        <v>15</v>
      </c>
      <c r="F1083" s="2" t="s">
        <v>115</v>
      </c>
      <c r="G1083" s="2">
        <v>5</v>
      </c>
      <c r="H1083" s="2">
        <v>0</v>
      </c>
      <c r="I1083" s="2">
        <v>0</v>
      </c>
      <c r="J1083" s="2">
        <v>0</v>
      </c>
      <c r="K1083" s="2">
        <v>0</v>
      </c>
      <c r="L1083" s="2">
        <v>0</v>
      </c>
      <c r="M1083" s="2">
        <v>0</v>
      </c>
      <c r="N1083" s="2">
        <v>0</v>
      </c>
      <c r="O1083" s="2">
        <v>0</v>
      </c>
      <c r="P1083" s="2">
        <v>0</v>
      </c>
      <c r="Q1083" s="2" t="s">
        <v>488</v>
      </c>
      <c r="R1083" s="2" t="s">
        <v>488</v>
      </c>
      <c r="S1083" s="2" t="s">
        <v>488</v>
      </c>
      <c r="T1083" s="2" t="s">
        <v>488</v>
      </c>
      <c r="U1083" s="2">
        <v>0</v>
      </c>
      <c r="V1083" s="2">
        <v>0</v>
      </c>
      <c r="W1083">
        <f t="shared" si="16"/>
        <v>0</v>
      </c>
    </row>
    <row r="1084" spans="1:23" x14ac:dyDescent="0.25">
      <c r="A1084" s="255" t="s">
        <v>628</v>
      </c>
      <c r="B1084" s="255" t="s">
        <v>917</v>
      </c>
      <c r="C1084" s="255"/>
      <c r="D1084" s="255"/>
      <c r="E1084" s="255" t="s">
        <v>15</v>
      </c>
      <c r="F1084" s="255"/>
      <c r="G1084" s="255"/>
      <c r="H1084" s="255">
        <v>0</v>
      </c>
      <c r="I1084" s="255">
        <v>0</v>
      </c>
      <c r="J1084" s="255">
        <v>0</v>
      </c>
      <c r="K1084" s="255">
        <v>0</v>
      </c>
      <c r="L1084" s="255">
        <v>0</v>
      </c>
      <c r="M1084" s="255">
        <v>0</v>
      </c>
      <c r="N1084" s="255">
        <v>0</v>
      </c>
      <c r="O1084" s="255">
        <v>0</v>
      </c>
      <c r="P1084" s="255">
        <v>0</v>
      </c>
      <c r="Q1084" s="255" t="s">
        <v>488</v>
      </c>
      <c r="R1084" s="255" t="s">
        <v>488</v>
      </c>
      <c r="S1084" s="255" t="s">
        <v>488</v>
      </c>
      <c r="T1084" s="255" t="s">
        <v>488</v>
      </c>
      <c r="U1084" s="255">
        <v>0</v>
      </c>
      <c r="V1084" s="255">
        <v>0</v>
      </c>
      <c r="W1084">
        <f t="shared" si="16"/>
        <v>0</v>
      </c>
    </row>
    <row r="1085" spans="1:23" x14ac:dyDescent="0.25">
      <c r="A1085" s="2" t="s">
        <v>628</v>
      </c>
      <c r="B1085" s="2" t="s">
        <v>917</v>
      </c>
      <c r="C1085" s="2">
        <v>540022</v>
      </c>
      <c r="D1085" s="2" t="s">
        <v>655</v>
      </c>
      <c r="E1085" s="2" t="s">
        <v>17</v>
      </c>
      <c r="F1085" s="2" t="s">
        <v>5</v>
      </c>
      <c r="G1085" s="2">
        <v>3</v>
      </c>
      <c r="H1085" s="2">
        <v>0</v>
      </c>
      <c r="I1085" s="2">
        <v>0</v>
      </c>
      <c r="J1085" s="2">
        <v>0</v>
      </c>
      <c r="K1085" s="2">
        <v>0</v>
      </c>
      <c r="L1085" s="2">
        <v>0</v>
      </c>
      <c r="M1085" s="2">
        <v>0</v>
      </c>
      <c r="N1085" s="2">
        <v>0</v>
      </c>
      <c r="O1085" s="2">
        <v>0</v>
      </c>
      <c r="P1085" s="2">
        <v>0</v>
      </c>
      <c r="Q1085" s="2" t="s">
        <v>488</v>
      </c>
      <c r="R1085" s="2" t="s">
        <v>488</v>
      </c>
      <c r="S1085" s="2" t="s">
        <v>488</v>
      </c>
      <c r="T1085" s="2" t="s">
        <v>488</v>
      </c>
      <c r="U1085" s="2">
        <v>0</v>
      </c>
      <c r="V1085" s="2">
        <v>0</v>
      </c>
      <c r="W1085">
        <f t="shared" si="16"/>
        <v>0</v>
      </c>
    </row>
    <row r="1086" spans="1:23" x14ac:dyDescent="0.25">
      <c r="A1086" s="2" t="s">
        <v>628</v>
      </c>
      <c r="B1086" s="2" t="s">
        <v>917</v>
      </c>
      <c r="C1086" s="2">
        <v>540023</v>
      </c>
      <c r="D1086" s="2" t="s">
        <v>656</v>
      </c>
      <c r="E1086" s="2" t="s">
        <v>17</v>
      </c>
      <c r="F1086" s="2" t="s">
        <v>115</v>
      </c>
      <c r="G1086" s="2">
        <v>3</v>
      </c>
      <c r="H1086" s="2">
        <v>0</v>
      </c>
      <c r="I1086" s="2">
        <v>0</v>
      </c>
      <c r="J1086" s="2">
        <v>0</v>
      </c>
      <c r="K1086" s="2">
        <v>0</v>
      </c>
      <c r="L1086" s="2">
        <v>0</v>
      </c>
      <c r="M1086" s="2">
        <v>0</v>
      </c>
      <c r="N1086" s="2">
        <v>0</v>
      </c>
      <c r="O1086" s="2">
        <v>0</v>
      </c>
      <c r="P1086" s="2">
        <v>0</v>
      </c>
      <c r="Q1086" s="2" t="s">
        <v>488</v>
      </c>
      <c r="R1086" s="2" t="s">
        <v>488</v>
      </c>
      <c r="S1086" s="2" t="s">
        <v>488</v>
      </c>
      <c r="T1086" s="2" t="s">
        <v>488</v>
      </c>
      <c r="U1086" s="2">
        <v>0</v>
      </c>
      <c r="V1086" s="2">
        <v>0</v>
      </c>
      <c r="W1086">
        <f t="shared" si="16"/>
        <v>0</v>
      </c>
    </row>
    <row r="1087" spans="1:23" x14ac:dyDescent="0.25">
      <c r="A1087" s="255" t="s">
        <v>628</v>
      </c>
      <c r="B1087" s="255" t="s">
        <v>917</v>
      </c>
      <c r="C1087" s="255"/>
      <c r="D1087" s="255"/>
      <c r="E1087" s="255" t="s">
        <v>17</v>
      </c>
      <c r="F1087" s="255"/>
      <c r="G1087" s="255"/>
      <c r="H1087" s="255">
        <v>0</v>
      </c>
      <c r="I1087" s="255">
        <v>0</v>
      </c>
      <c r="J1087" s="255">
        <v>0</v>
      </c>
      <c r="K1087" s="255">
        <v>0</v>
      </c>
      <c r="L1087" s="255">
        <v>0</v>
      </c>
      <c r="M1087" s="255">
        <v>0</v>
      </c>
      <c r="N1087" s="255">
        <v>0</v>
      </c>
      <c r="O1087" s="255">
        <v>0</v>
      </c>
      <c r="P1087" s="255">
        <v>0</v>
      </c>
      <c r="Q1087" s="255" t="s">
        <v>488</v>
      </c>
      <c r="R1087" s="255" t="s">
        <v>488</v>
      </c>
      <c r="S1087" s="255" t="s">
        <v>488</v>
      </c>
      <c r="T1087" s="255" t="s">
        <v>488</v>
      </c>
      <c r="U1087" s="255">
        <v>0</v>
      </c>
      <c r="V1087" s="255">
        <v>0</v>
      </c>
      <c r="W1087">
        <f t="shared" si="16"/>
        <v>0</v>
      </c>
    </row>
    <row r="1088" spans="1:23" x14ac:dyDescent="0.25">
      <c r="A1088" s="2" t="s">
        <v>628</v>
      </c>
      <c r="B1088" s="2" t="s">
        <v>917</v>
      </c>
      <c r="C1088" s="2">
        <v>540024</v>
      </c>
      <c r="D1088" s="2" t="s">
        <v>657</v>
      </c>
      <c r="E1088" s="2" t="s">
        <v>19</v>
      </c>
      <c r="F1088" s="2" t="s">
        <v>5</v>
      </c>
      <c r="G1088" s="2">
        <v>6</v>
      </c>
      <c r="H1088" s="2">
        <v>0</v>
      </c>
      <c r="I1088" s="2">
        <v>0</v>
      </c>
      <c r="J1088" s="2">
        <v>0</v>
      </c>
      <c r="K1088" s="2">
        <v>0</v>
      </c>
      <c r="L1088" s="2">
        <v>0</v>
      </c>
      <c r="M1088" s="2">
        <v>0</v>
      </c>
      <c r="N1088" s="2">
        <v>0</v>
      </c>
      <c r="O1088" s="2">
        <v>0</v>
      </c>
      <c r="P1088" s="2">
        <v>0</v>
      </c>
      <c r="Q1088" s="2">
        <v>0</v>
      </c>
      <c r="R1088" s="2">
        <v>0</v>
      </c>
      <c r="S1088" s="2" t="s">
        <v>488</v>
      </c>
      <c r="T1088" s="2" t="s">
        <v>488</v>
      </c>
      <c r="U1088" s="2">
        <v>0</v>
      </c>
      <c r="V1088" s="2">
        <v>0</v>
      </c>
      <c r="W1088">
        <f t="shared" si="16"/>
        <v>0</v>
      </c>
    </row>
    <row r="1089" spans="1:23" x14ac:dyDescent="0.25">
      <c r="A1089" s="2" t="s">
        <v>628</v>
      </c>
      <c r="B1089" s="2" t="s">
        <v>917</v>
      </c>
      <c r="C1089" s="2">
        <v>540025</v>
      </c>
      <c r="D1089" s="2" t="s">
        <v>658</v>
      </c>
      <c r="E1089" s="2" t="s">
        <v>19</v>
      </c>
      <c r="F1089" s="2" t="s">
        <v>115</v>
      </c>
      <c r="G1089" s="2">
        <v>6</v>
      </c>
      <c r="H1089" s="2">
        <v>0</v>
      </c>
      <c r="I1089" s="2">
        <v>0</v>
      </c>
      <c r="J1089" s="2">
        <v>0</v>
      </c>
      <c r="K1089" s="2">
        <v>0</v>
      </c>
      <c r="L1089" s="2">
        <v>0</v>
      </c>
      <c r="M1089" s="2">
        <v>0</v>
      </c>
      <c r="N1089" s="2">
        <v>0</v>
      </c>
      <c r="O1089" s="2">
        <v>0</v>
      </c>
      <c r="P1089" s="2">
        <v>0</v>
      </c>
      <c r="Q1089" s="2">
        <v>0</v>
      </c>
      <c r="R1089" s="2">
        <v>0</v>
      </c>
      <c r="S1089" s="2" t="s">
        <v>488</v>
      </c>
      <c r="T1089" s="2" t="s">
        <v>488</v>
      </c>
      <c r="U1089" s="2">
        <v>0</v>
      </c>
      <c r="V1089" s="2">
        <v>0</v>
      </c>
      <c r="W1089">
        <f t="shared" si="16"/>
        <v>0</v>
      </c>
    </row>
    <row r="1090" spans="1:23" x14ac:dyDescent="0.25">
      <c r="A1090" s="255" t="s">
        <v>628</v>
      </c>
      <c r="B1090" s="255" t="s">
        <v>917</v>
      </c>
      <c r="C1090" s="255"/>
      <c r="D1090" s="255"/>
      <c r="E1090" s="255" t="s">
        <v>19</v>
      </c>
      <c r="F1090" s="255"/>
      <c r="G1090" s="255"/>
      <c r="H1090" s="255">
        <v>0</v>
      </c>
      <c r="I1090" s="255">
        <v>0</v>
      </c>
      <c r="J1090" s="255">
        <v>0</v>
      </c>
      <c r="K1090" s="255">
        <v>0</v>
      </c>
      <c r="L1090" s="255">
        <v>0</v>
      </c>
      <c r="M1090" s="255">
        <v>0</v>
      </c>
      <c r="N1090" s="255">
        <v>0</v>
      </c>
      <c r="O1090" s="255">
        <v>0</v>
      </c>
      <c r="P1090" s="255">
        <v>0</v>
      </c>
      <c r="Q1090" s="255">
        <v>0</v>
      </c>
      <c r="R1090" s="255">
        <v>0</v>
      </c>
      <c r="S1090" s="255" t="s">
        <v>488</v>
      </c>
      <c r="T1090" s="255" t="s">
        <v>488</v>
      </c>
      <c r="U1090" s="255">
        <v>0</v>
      </c>
      <c r="V1090" s="255">
        <v>0</v>
      </c>
      <c r="W1090">
        <f t="shared" si="16"/>
        <v>0</v>
      </c>
    </row>
    <row r="1091" spans="1:23" x14ac:dyDescent="0.25">
      <c r="A1091" s="2" t="s">
        <v>628</v>
      </c>
      <c r="B1091" s="2" t="s">
        <v>917</v>
      </c>
      <c r="C1091" s="2">
        <v>540035</v>
      </c>
      <c r="D1091" s="2" t="s">
        <v>659</v>
      </c>
      <c r="E1091" s="2" t="s">
        <v>23</v>
      </c>
      <c r="F1091" s="2" t="s">
        <v>5</v>
      </c>
      <c r="G1091" s="2">
        <v>7</v>
      </c>
      <c r="H1091" s="2">
        <v>0</v>
      </c>
      <c r="I1091" s="2">
        <v>0</v>
      </c>
      <c r="J1091" s="2">
        <v>0</v>
      </c>
      <c r="K1091" s="2">
        <v>0</v>
      </c>
      <c r="L1091" s="2">
        <v>0</v>
      </c>
      <c r="M1091" s="2">
        <v>0</v>
      </c>
      <c r="N1091" s="2">
        <v>0</v>
      </c>
      <c r="O1091" s="2">
        <v>0</v>
      </c>
      <c r="P1091" s="2">
        <v>0</v>
      </c>
      <c r="Q1091" s="2" t="s">
        <v>488</v>
      </c>
      <c r="R1091" s="2" t="s">
        <v>488</v>
      </c>
      <c r="S1091" s="2" t="s">
        <v>488</v>
      </c>
      <c r="T1091" s="2" t="s">
        <v>488</v>
      </c>
      <c r="U1091" s="2">
        <v>0</v>
      </c>
      <c r="V1091" s="2">
        <v>0</v>
      </c>
      <c r="W1091">
        <f t="shared" ref="W1091:W1154" si="17">SUM(N1091,P1091,R1091,T1091,U1091,V1091)</f>
        <v>0</v>
      </c>
    </row>
    <row r="1092" spans="1:23" x14ac:dyDescent="0.25">
      <c r="A1092" s="2" t="s">
        <v>628</v>
      </c>
      <c r="B1092" s="2" t="s">
        <v>917</v>
      </c>
      <c r="C1092" s="2">
        <v>540036</v>
      </c>
      <c r="D1092" s="2" t="s">
        <v>660</v>
      </c>
      <c r="E1092" s="2" t="s">
        <v>23</v>
      </c>
      <c r="F1092" s="2" t="s">
        <v>115</v>
      </c>
      <c r="G1092" s="2">
        <v>7</v>
      </c>
      <c r="H1092" s="2">
        <v>0</v>
      </c>
      <c r="I1092" s="2">
        <v>0</v>
      </c>
      <c r="J1092" s="2">
        <v>0</v>
      </c>
      <c r="K1092" s="2">
        <v>0</v>
      </c>
      <c r="L1092" s="2">
        <v>0</v>
      </c>
      <c r="M1092" s="2">
        <v>0</v>
      </c>
      <c r="N1092" s="2">
        <v>0</v>
      </c>
      <c r="O1092" s="2">
        <v>0</v>
      </c>
      <c r="P1092" s="2">
        <v>0</v>
      </c>
      <c r="Q1092" s="2" t="s">
        <v>488</v>
      </c>
      <c r="R1092" s="2" t="s">
        <v>488</v>
      </c>
      <c r="S1092" s="2" t="s">
        <v>488</v>
      </c>
      <c r="T1092" s="2" t="s">
        <v>488</v>
      </c>
      <c r="U1092" s="2">
        <v>1</v>
      </c>
      <c r="V1092" s="2">
        <v>0</v>
      </c>
      <c r="W1092">
        <f t="shared" si="17"/>
        <v>1</v>
      </c>
    </row>
    <row r="1093" spans="1:23" x14ac:dyDescent="0.25">
      <c r="A1093" s="2" t="s">
        <v>628</v>
      </c>
      <c r="B1093" s="2" t="s">
        <v>917</v>
      </c>
      <c r="C1093" s="2">
        <v>540037</v>
      </c>
      <c r="D1093" s="2" t="s">
        <v>661</v>
      </c>
      <c r="E1093" s="2" t="s">
        <v>23</v>
      </c>
      <c r="F1093" s="2" t="s">
        <v>115</v>
      </c>
      <c r="G1093" s="2">
        <v>7</v>
      </c>
      <c r="H1093" s="2">
        <v>0</v>
      </c>
      <c r="I1093" s="2">
        <v>0</v>
      </c>
      <c r="J1093" s="2">
        <v>0</v>
      </c>
      <c r="K1093" s="2">
        <v>0</v>
      </c>
      <c r="L1093" s="2">
        <v>0</v>
      </c>
      <c r="M1093" s="2">
        <v>0</v>
      </c>
      <c r="N1093" s="2">
        <v>0</v>
      </c>
      <c r="O1093" s="2">
        <v>0</v>
      </c>
      <c r="P1093" s="2">
        <v>0</v>
      </c>
      <c r="Q1093" s="2" t="s">
        <v>488</v>
      </c>
      <c r="R1093" s="2" t="s">
        <v>488</v>
      </c>
      <c r="S1093" s="2" t="s">
        <v>488</v>
      </c>
      <c r="T1093" s="2" t="s">
        <v>488</v>
      </c>
      <c r="U1093" s="2">
        <v>0</v>
      </c>
      <c r="V1093" s="2">
        <v>0</v>
      </c>
      <c r="W1093">
        <f t="shared" si="17"/>
        <v>0</v>
      </c>
    </row>
    <row r="1094" spans="1:23" x14ac:dyDescent="0.25">
      <c r="A1094" s="255" t="s">
        <v>628</v>
      </c>
      <c r="B1094" s="255" t="s">
        <v>917</v>
      </c>
      <c r="C1094" s="255"/>
      <c r="D1094" s="255"/>
      <c r="E1094" s="255" t="s">
        <v>23</v>
      </c>
      <c r="F1094" s="255"/>
      <c r="G1094" s="255"/>
      <c r="H1094" s="255">
        <v>0</v>
      </c>
      <c r="I1094" s="255">
        <v>0</v>
      </c>
      <c r="J1094" s="255">
        <v>0</v>
      </c>
      <c r="K1094" s="255">
        <v>0</v>
      </c>
      <c r="L1094" s="255">
        <v>0</v>
      </c>
      <c r="M1094" s="255">
        <v>0</v>
      </c>
      <c r="N1094" s="255">
        <v>0</v>
      </c>
      <c r="O1094" s="255">
        <v>0</v>
      </c>
      <c r="P1094" s="255">
        <v>0</v>
      </c>
      <c r="Q1094" s="255" t="s">
        <v>488</v>
      </c>
      <c r="R1094" s="255" t="s">
        <v>488</v>
      </c>
      <c r="S1094" s="255" t="s">
        <v>488</v>
      </c>
      <c r="T1094" s="255" t="s">
        <v>488</v>
      </c>
      <c r="U1094" s="255">
        <v>1</v>
      </c>
      <c r="V1094" s="255">
        <v>0</v>
      </c>
      <c r="W1094">
        <f t="shared" si="17"/>
        <v>1</v>
      </c>
    </row>
    <row r="1095" spans="1:23" x14ac:dyDescent="0.25">
      <c r="A1095" s="2" t="s">
        <v>628</v>
      </c>
      <c r="B1095" s="2" t="s">
        <v>917</v>
      </c>
      <c r="C1095" s="2">
        <v>540038</v>
      </c>
      <c r="D1095" s="2" t="s">
        <v>662</v>
      </c>
      <c r="E1095" s="2" t="s">
        <v>25</v>
      </c>
      <c r="F1095" s="2" t="s">
        <v>5</v>
      </c>
      <c r="G1095" s="2">
        <v>8</v>
      </c>
      <c r="H1095" s="2">
        <v>0</v>
      </c>
      <c r="I1095" s="2">
        <v>0</v>
      </c>
      <c r="J1095" s="2">
        <v>0</v>
      </c>
      <c r="K1095" s="2">
        <v>0</v>
      </c>
      <c r="L1095" s="2">
        <v>0</v>
      </c>
      <c r="M1095" s="2">
        <v>0</v>
      </c>
      <c r="N1095" s="2">
        <v>0</v>
      </c>
      <c r="O1095" s="2">
        <v>0</v>
      </c>
      <c r="P1095" s="2">
        <v>0</v>
      </c>
      <c r="Q1095" s="2" t="s">
        <v>488</v>
      </c>
      <c r="R1095" s="2" t="s">
        <v>488</v>
      </c>
      <c r="S1095" s="2" t="s">
        <v>488</v>
      </c>
      <c r="T1095" s="2" t="s">
        <v>488</v>
      </c>
      <c r="U1095" s="2">
        <v>0</v>
      </c>
      <c r="V1095" s="2">
        <v>0</v>
      </c>
      <c r="W1095">
        <f t="shared" si="17"/>
        <v>0</v>
      </c>
    </row>
    <row r="1096" spans="1:23" x14ac:dyDescent="0.25">
      <c r="A1096" s="2" t="s">
        <v>628</v>
      </c>
      <c r="B1096" s="2" t="s">
        <v>917</v>
      </c>
      <c r="C1096" s="2">
        <v>540039</v>
      </c>
      <c r="D1096" s="2" t="s">
        <v>663</v>
      </c>
      <c r="E1096" s="2" t="s">
        <v>25</v>
      </c>
      <c r="F1096" s="2" t="s">
        <v>115</v>
      </c>
      <c r="G1096" s="2">
        <v>8</v>
      </c>
      <c r="H1096" s="2">
        <v>0</v>
      </c>
      <c r="I1096" s="2">
        <v>0</v>
      </c>
      <c r="J1096" s="2">
        <v>0</v>
      </c>
      <c r="K1096" s="2">
        <v>0</v>
      </c>
      <c r="L1096" s="2">
        <v>0</v>
      </c>
      <c r="M1096" s="2">
        <v>0</v>
      </c>
      <c r="N1096" s="2">
        <v>0</v>
      </c>
      <c r="O1096" s="2">
        <v>0</v>
      </c>
      <c r="P1096" s="2">
        <v>0</v>
      </c>
      <c r="Q1096" s="2" t="s">
        <v>488</v>
      </c>
      <c r="R1096" s="2" t="s">
        <v>488</v>
      </c>
      <c r="S1096" s="2" t="s">
        <v>488</v>
      </c>
      <c r="T1096" s="2" t="s">
        <v>488</v>
      </c>
      <c r="U1096" s="2">
        <v>0</v>
      </c>
      <c r="V1096" s="2">
        <v>0</v>
      </c>
      <c r="W1096">
        <f t="shared" si="17"/>
        <v>0</v>
      </c>
    </row>
    <row r="1097" spans="1:23" x14ac:dyDescent="0.25">
      <c r="A1097" s="2" t="s">
        <v>628</v>
      </c>
      <c r="B1097" s="2" t="s">
        <v>917</v>
      </c>
      <c r="C1097" s="2">
        <v>540240</v>
      </c>
      <c r="D1097" s="2" t="s">
        <v>664</v>
      </c>
      <c r="E1097" s="2" t="s">
        <v>25</v>
      </c>
      <c r="F1097" s="2" t="s">
        <v>115</v>
      </c>
      <c r="G1097" s="2">
        <v>8</v>
      </c>
      <c r="H1097" s="2">
        <v>0</v>
      </c>
      <c r="I1097" s="2">
        <v>0</v>
      </c>
      <c r="J1097" s="2">
        <v>0</v>
      </c>
      <c r="K1097" s="2">
        <v>0</v>
      </c>
      <c r="L1097" s="2">
        <v>0</v>
      </c>
      <c r="M1097" s="2">
        <v>0</v>
      </c>
      <c r="N1097" s="2">
        <v>0</v>
      </c>
      <c r="O1097" s="2">
        <v>0</v>
      </c>
      <c r="P1097" s="2">
        <v>0</v>
      </c>
      <c r="Q1097" s="2" t="s">
        <v>488</v>
      </c>
      <c r="R1097" s="2" t="s">
        <v>488</v>
      </c>
      <c r="S1097" s="2" t="s">
        <v>488</v>
      </c>
      <c r="T1097" s="2" t="s">
        <v>488</v>
      </c>
      <c r="U1097" s="2">
        <v>0</v>
      </c>
      <c r="V1097" s="2">
        <v>0</v>
      </c>
      <c r="W1097">
        <f t="shared" si="17"/>
        <v>0</v>
      </c>
    </row>
    <row r="1098" spans="1:23" x14ac:dyDescent="0.25">
      <c r="A1098" s="255" t="s">
        <v>628</v>
      </c>
      <c r="B1098" s="255" t="s">
        <v>917</v>
      </c>
      <c r="C1098" s="255"/>
      <c r="D1098" s="255"/>
      <c r="E1098" s="255" t="s">
        <v>25</v>
      </c>
      <c r="F1098" s="255"/>
      <c r="G1098" s="255"/>
      <c r="H1098" s="255">
        <v>0</v>
      </c>
      <c r="I1098" s="255">
        <v>0</v>
      </c>
      <c r="J1098" s="255">
        <v>0</v>
      </c>
      <c r="K1098" s="255">
        <v>0</v>
      </c>
      <c r="L1098" s="255">
        <v>0</v>
      </c>
      <c r="M1098" s="255">
        <v>0</v>
      </c>
      <c r="N1098" s="255">
        <v>0</v>
      </c>
      <c r="O1098" s="255">
        <v>0</v>
      </c>
      <c r="P1098" s="255">
        <v>0</v>
      </c>
      <c r="Q1098" s="255" t="s">
        <v>488</v>
      </c>
      <c r="R1098" s="255" t="s">
        <v>488</v>
      </c>
      <c r="S1098" s="255" t="s">
        <v>488</v>
      </c>
      <c r="T1098" s="255" t="s">
        <v>488</v>
      </c>
      <c r="U1098" s="255">
        <v>0</v>
      </c>
      <c r="V1098" s="255">
        <v>0</v>
      </c>
      <c r="W1098">
        <f t="shared" si="17"/>
        <v>0</v>
      </c>
    </row>
    <row r="1099" spans="1:23" x14ac:dyDescent="0.25">
      <c r="A1099" s="2" t="s">
        <v>628</v>
      </c>
      <c r="B1099" s="2" t="s">
        <v>917</v>
      </c>
      <c r="C1099" s="2">
        <v>540040</v>
      </c>
      <c r="D1099" s="2" t="s">
        <v>665</v>
      </c>
      <c r="E1099" s="2" t="s">
        <v>27</v>
      </c>
      <c r="F1099" s="2" t="s">
        <v>5</v>
      </c>
      <c r="G1099" s="2">
        <v>4</v>
      </c>
      <c r="H1099" s="2">
        <v>0</v>
      </c>
      <c r="I1099" s="2">
        <v>0</v>
      </c>
      <c r="J1099" s="2">
        <v>0</v>
      </c>
      <c r="K1099" s="2">
        <v>0</v>
      </c>
      <c r="L1099" s="2">
        <v>0</v>
      </c>
      <c r="M1099" s="2">
        <v>0</v>
      </c>
      <c r="N1099" s="2">
        <v>0</v>
      </c>
      <c r="O1099" s="2">
        <v>0</v>
      </c>
      <c r="P1099" s="2">
        <v>0</v>
      </c>
      <c r="Q1099" s="2">
        <v>0</v>
      </c>
      <c r="R1099" s="2">
        <v>0</v>
      </c>
      <c r="S1099" s="2" t="s">
        <v>488</v>
      </c>
      <c r="T1099" s="2" t="s">
        <v>488</v>
      </c>
      <c r="U1099" s="2">
        <v>0</v>
      </c>
      <c r="V1099" s="2">
        <v>0</v>
      </c>
      <c r="W1099">
        <f t="shared" si="17"/>
        <v>0</v>
      </c>
    </row>
    <row r="1100" spans="1:23" x14ac:dyDescent="0.25">
      <c r="A1100" s="2" t="s">
        <v>628</v>
      </c>
      <c r="B1100" s="2" t="s">
        <v>917</v>
      </c>
      <c r="C1100" s="2">
        <v>540041</v>
      </c>
      <c r="D1100" s="2" t="s">
        <v>666</v>
      </c>
      <c r="E1100" s="2" t="s">
        <v>27</v>
      </c>
      <c r="F1100" s="2" t="s">
        <v>115</v>
      </c>
      <c r="G1100" s="2">
        <v>4</v>
      </c>
      <c r="H1100" s="2">
        <v>0</v>
      </c>
      <c r="I1100" s="2">
        <v>0</v>
      </c>
      <c r="J1100" s="2">
        <v>0</v>
      </c>
      <c r="K1100" s="2">
        <v>0</v>
      </c>
      <c r="L1100" s="2">
        <v>0</v>
      </c>
      <c r="M1100" s="2">
        <v>0</v>
      </c>
      <c r="N1100" s="2">
        <v>0</v>
      </c>
      <c r="O1100" s="2">
        <v>0</v>
      </c>
      <c r="P1100" s="2">
        <v>0</v>
      </c>
      <c r="Q1100" s="2">
        <v>0</v>
      </c>
      <c r="R1100" s="2">
        <v>0</v>
      </c>
      <c r="S1100" s="2" t="s">
        <v>488</v>
      </c>
      <c r="T1100" s="2" t="s">
        <v>488</v>
      </c>
      <c r="U1100" s="2">
        <v>0</v>
      </c>
      <c r="V1100" s="2">
        <v>0</v>
      </c>
      <c r="W1100">
        <f t="shared" si="17"/>
        <v>0</v>
      </c>
    </row>
    <row r="1101" spans="1:23" x14ac:dyDescent="0.25">
      <c r="A1101" s="2" t="s">
        <v>628</v>
      </c>
      <c r="B1101" s="2" t="s">
        <v>917</v>
      </c>
      <c r="C1101" s="2">
        <v>540043</v>
      </c>
      <c r="D1101" s="2" t="s">
        <v>667</v>
      </c>
      <c r="E1101" s="2" t="s">
        <v>27</v>
      </c>
      <c r="F1101" s="2" t="s">
        <v>115</v>
      </c>
      <c r="G1101" s="2">
        <v>4</v>
      </c>
      <c r="H1101" s="2">
        <v>0</v>
      </c>
      <c r="I1101" s="2">
        <v>0</v>
      </c>
      <c r="J1101" s="2">
        <v>0</v>
      </c>
      <c r="K1101" s="2">
        <v>0</v>
      </c>
      <c r="L1101" s="2">
        <v>0</v>
      </c>
      <c r="M1101" s="2">
        <v>0</v>
      </c>
      <c r="N1101" s="2">
        <v>0</v>
      </c>
      <c r="O1101" s="2">
        <v>0</v>
      </c>
      <c r="P1101" s="2">
        <v>0</v>
      </c>
      <c r="Q1101" s="2">
        <v>0</v>
      </c>
      <c r="R1101" s="2">
        <v>0</v>
      </c>
      <c r="S1101" s="2" t="s">
        <v>488</v>
      </c>
      <c r="T1101" s="2" t="s">
        <v>488</v>
      </c>
      <c r="U1101" s="2">
        <v>0</v>
      </c>
      <c r="V1101" s="2">
        <v>0</v>
      </c>
      <c r="W1101">
        <f t="shared" si="17"/>
        <v>0</v>
      </c>
    </row>
    <row r="1102" spans="1:23" x14ac:dyDescent="0.25">
      <c r="A1102" s="2" t="s">
        <v>628</v>
      </c>
      <c r="B1102" s="2" t="s">
        <v>917</v>
      </c>
      <c r="C1102" s="2">
        <v>540044</v>
      </c>
      <c r="D1102" s="2" t="s">
        <v>668</v>
      </c>
      <c r="E1102" s="2" t="s">
        <v>27</v>
      </c>
      <c r="F1102" s="2" t="s">
        <v>115</v>
      </c>
      <c r="G1102" s="2">
        <v>4</v>
      </c>
      <c r="H1102" s="2">
        <v>0</v>
      </c>
      <c r="I1102" s="2">
        <v>0</v>
      </c>
      <c r="J1102" s="2">
        <v>0</v>
      </c>
      <c r="K1102" s="2">
        <v>0</v>
      </c>
      <c r="L1102" s="2">
        <v>0</v>
      </c>
      <c r="M1102" s="2">
        <v>0</v>
      </c>
      <c r="N1102" s="2">
        <v>0</v>
      </c>
      <c r="O1102" s="2">
        <v>0</v>
      </c>
      <c r="P1102" s="2">
        <v>0</v>
      </c>
      <c r="Q1102" s="2">
        <v>0</v>
      </c>
      <c r="R1102" s="2">
        <v>0</v>
      </c>
      <c r="S1102" s="2" t="s">
        <v>488</v>
      </c>
      <c r="T1102" s="2" t="s">
        <v>488</v>
      </c>
      <c r="U1102" s="2">
        <v>0</v>
      </c>
      <c r="V1102" s="2">
        <v>0</v>
      </c>
      <c r="W1102">
        <f t="shared" si="17"/>
        <v>0</v>
      </c>
    </row>
    <row r="1103" spans="1:23" x14ac:dyDescent="0.25">
      <c r="A1103" s="2" t="s">
        <v>628</v>
      </c>
      <c r="B1103" s="2" t="s">
        <v>917</v>
      </c>
      <c r="C1103" s="2">
        <v>540045</v>
      </c>
      <c r="D1103" s="2" t="s">
        <v>669</v>
      </c>
      <c r="E1103" s="2" t="s">
        <v>27</v>
      </c>
      <c r="F1103" s="2" t="s">
        <v>115</v>
      </c>
      <c r="G1103" s="2">
        <v>4</v>
      </c>
      <c r="H1103" s="2">
        <v>0</v>
      </c>
      <c r="I1103" s="2">
        <v>0</v>
      </c>
      <c r="J1103" s="2">
        <v>0</v>
      </c>
      <c r="K1103" s="2">
        <v>0</v>
      </c>
      <c r="L1103" s="2">
        <v>0</v>
      </c>
      <c r="M1103" s="2">
        <v>0</v>
      </c>
      <c r="N1103" s="2">
        <v>0</v>
      </c>
      <c r="O1103" s="2">
        <v>0</v>
      </c>
      <c r="P1103" s="2">
        <v>0</v>
      </c>
      <c r="Q1103" s="2">
        <v>0</v>
      </c>
      <c r="R1103" s="2">
        <v>0</v>
      </c>
      <c r="S1103" s="2" t="s">
        <v>488</v>
      </c>
      <c r="T1103" s="2" t="s">
        <v>488</v>
      </c>
      <c r="U1103" s="2">
        <v>0</v>
      </c>
      <c r="V1103" s="2">
        <v>0</v>
      </c>
      <c r="W1103">
        <f t="shared" si="17"/>
        <v>0</v>
      </c>
    </row>
    <row r="1104" spans="1:23" x14ac:dyDescent="0.25">
      <c r="A1104" s="2" t="s">
        <v>628</v>
      </c>
      <c r="B1104" s="2" t="s">
        <v>917</v>
      </c>
      <c r="C1104" s="2">
        <v>540228</v>
      </c>
      <c r="D1104" s="2" t="s">
        <v>670</v>
      </c>
      <c r="E1104" s="2" t="s">
        <v>27</v>
      </c>
      <c r="F1104" s="2" t="s">
        <v>115</v>
      </c>
      <c r="G1104" s="2">
        <v>4</v>
      </c>
      <c r="H1104" s="2">
        <v>0</v>
      </c>
      <c r="I1104" s="2">
        <v>0</v>
      </c>
      <c r="J1104" s="2">
        <v>0</v>
      </c>
      <c r="K1104" s="2">
        <v>0</v>
      </c>
      <c r="L1104" s="2">
        <v>0</v>
      </c>
      <c r="M1104" s="2">
        <v>0</v>
      </c>
      <c r="N1104" s="2">
        <v>0</v>
      </c>
      <c r="O1104" s="2">
        <v>0</v>
      </c>
      <c r="P1104" s="2">
        <v>0</v>
      </c>
      <c r="Q1104" s="2">
        <v>0</v>
      </c>
      <c r="R1104" s="2">
        <v>0</v>
      </c>
      <c r="S1104" s="2" t="s">
        <v>488</v>
      </c>
      <c r="T1104" s="2" t="s">
        <v>488</v>
      </c>
      <c r="U1104" s="2">
        <v>0</v>
      </c>
      <c r="V1104" s="2">
        <v>0</v>
      </c>
      <c r="W1104">
        <f t="shared" si="17"/>
        <v>0</v>
      </c>
    </row>
    <row r="1105" spans="1:23" x14ac:dyDescent="0.25">
      <c r="A1105" s="2" t="s">
        <v>628</v>
      </c>
      <c r="B1105" s="2" t="s">
        <v>917</v>
      </c>
      <c r="C1105" s="2">
        <v>540243</v>
      </c>
      <c r="D1105" s="2" t="s">
        <v>671</v>
      </c>
      <c r="E1105" s="2" t="s">
        <v>27</v>
      </c>
      <c r="F1105" s="2" t="s">
        <v>115</v>
      </c>
      <c r="G1105" s="2">
        <v>4</v>
      </c>
      <c r="H1105" s="2">
        <v>0</v>
      </c>
      <c r="I1105" s="2">
        <v>0</v>
      </c>
      <c r="J1105" s="2">
        <v>0</v>
      </c>
      <c r="K1105" s="2">
        <v>0</v>
      </c>
      <c r="L1105" s="2">
        <v>0</v>
      </c>
      <c r="M1105" s="2">
        <v>0</v>
      </c>
      <c r="N1105" s="2">
        <v>0</v>
      </c>
      <c r="O1105" s="2">
        <v>0</v>
      </c>
      <c r="P1105" s="2">
        <v>0</v>
      </c>
      <c r="Q1105" s="2">
        <v>0</v>
      </c>
      <c r="R1105" s="2">
        <v>0</v>
      </c>
      <c r="S1105" s="2" t="s">
        <v>488</v>
      </c>
      <c r="T1105" s="2" t="s">
        <v>488</v>
      </c>
      <c r="U1105" s="2">
        <v>0</v>
      </c>
      <c r="V1105" s="2">
        <v>0</v>
      </c>
      <c r="W1105">
        <f t="shared" si="17"/>
        <v>0</v>
      </c>
    </row>
    <row r="1106" spans="1:23" x14ac:dyDescent="0.25">
      <c r="A1106" s="2" t="s">
        <v>628</v>
      </c>
      <c r="B1106" s="2" t="s">
        <v>917</v>
      </c>
      <c r="C1106" s="2">
        <v>540244</v>
      </c>
      <c r="D1106" s="2" t="s">
        <v>672</v>
      </c>
      <c r="E1106" s="2" t="s">
        <v>27</v>
      </c>
      <c r="F1106" s="2" t="s">
        <v>115</v>
      </c>
      <c r="G1106" s="2">
        <v>4</v>
      </c>
      <c r="H1106" s="2">
        <v>0</v>
      </c>
      <c r="I1106" s="2">
        <v>0</v>
      </c>
      <c r="J1106" s="2">
        <v>0</v>
      </c>
      <c r="K1106" s="2">
        <v>0</v>
      </c>
      <c r="L1106" s="2">
        <v>0</v>
      </c>
      <c r="M1106" s="2">
        <v>0</v>
      </c>
      <c r="N1106" s="2">
        <v>0</v>
      </c>
      <c r="O1106" s="2">
        <v>0</v>
      </c>
      <c r="P1106" s="2">
        <v>0</v>
      </c>
      <c r="Q1106" s="2">
        <v>0</v>
      </c>
      <c r="R1106" s="2">
        <v>0</v>
      </c>
      <c r="S1106" s="2" t="s">
        <v>488</v>
      </c>
      <c r="T1106" s="2" t="s">
        <v>488</v>
      </c>
      <c r="U1106" s="2">
        <v>0</v>
      </c>
      <c r="V1106" s="2">
        <v>0</v>
      </c>
      <c r="W1106">
        <f t="shared" si="17"/>
        <v>0</v>
      </c>
    </row>
    <row r="1107" spans="1:23" x14ac:dyDescent="0.25">
      <c r="A1107" s="2" t="s">
        <v>628</v>
      </c>
      <c r="B1107" s="2" t="s">
        <v>917</v>
      </c>
      <c r="C1107" s="2">
        <v>540281</v>
      </c>
      <c r="D1107" s="2" t="s">
        <v>673</v>
      </c>
      <c r="E1107" s="2" t="s">
        <v>27</v>
      </c>
      <c r="F1107" s="2" t="s">
        <v>115</v>
      </c>
      <c r="G1107" s="2">
        <v>4</v>
      </c>
      <c r="H1107" s="2">
        <v>0</v>
      </c>
      <c r="I1107" s="2">
        <v>0</v>
      </c>
      <c r="J1107" s="2">
        <v>0</v>
      </c>
      <c r="K1107" s="2">
        <v>0</v>
      </c>
      <c r="L1107" s="2">
        <v>0</v>
      </c>
      <c r="M1107" s="2">
        <v>0</v>
      </c>
      <c r="N1107" s="2">
        <v>0</v>
      </c>
      <c r="O1107" s="2">
        <v>0</v>
      </c>
      <c r="P1107" s="2">
        <v>0</v>
      </c>
      <c r="Q1107" s="2">
        <v>0</v>
      </c>
      <c r="R1107" s="2">
        <v>0</v>
      </c>
      <c r="S1107" s="2" t="s">
        <v>488</v>
      </c>
      <c r="T1107" s="2" t="s">
        <v>488</v>
      </c>
      <c r="U1107" s="2">
        <v>0</v>
      </c>
      <c r="V1107" s="2">
        <v>0</v>
      </c>
      <c r="W1107">
        <f t="shared" si="17"/>
        <v>0</v>
      </c>
    </row>
    <row r="1108" spans="1:23" x14ac:dyDescent="0.25">
      <c r="A1108" s="255" t="s">
        <v>628</v>
      </c>
      <c r="B1108" s="255" t="s">
        <v>917</v>
      </c>
      <c r="C1108" s="255"/>
      <c r="D1108" s="255"/>
      <c r="E1108" s="255" t="s">
        <v>27</v>
      </c>
      <c r="F1108" s="255"/>
      <c r="G1108" s="255"/>
      <c r="H1108" s="255">
        <v>0</v>
      </c>
      <c r="I1108" s="255">
        <v>0</v>
      </c>
      <c r="J1108" s="255">
        <v>0</v>
      </c>
      <c r="K1108" s="255">
        <v>0</v>
      </c>
      <c r="L1108" s="255">
        <v>0</v>
      </c>
      <c r="M1108" s="255">
        <v>0</v>
      </c>
      <c r="N1108" s="255">
        <v>0</v>
      </c>
      <c r="O1108" s="255">
        <v>0</v>
      </c>
      <c r="P1108" s="255">
        <v>0</v>
      </c>
      <c r="Q1108" s="255">
        <v>0</v>
      </c>
      <c r="R1108" s="255">
        <v>0</v>
      </c>
      <c r="S1108" s="255" t="s">
        <v>488</v>
      </c>
      <c r="T1108" s="255" t="s">
        <v>488</v>
      </c>
      <c r="U1108" s="255">
        <v>0</v>
      </c>
      <c r="V1108" s="255">
        <v>0</v>
      </c>
      <c r="W1108">
        <f t="shared" si="17"/>
        <v>0</v>
      </c>
    </row>
    <row r="1109" spans="1:23" x14ac:dyDescent="0.25">
      <c r="A1109" s="2" t="s">
        <v>628</v>
      </c>
      <c r="B1109" s="2" t="s">
        <v>917</v>
      </c>
      <c r="C1109" s="2">
        <v>540047</v>
      </c>
      <c r="D1109" s="2" t="s">
        <v>674</v>
      </c>
      <c r="E1109" s="2" t="s">
        <v>29</v>
      </c>
      <c r="F1109" s="2" t="s">
        <v>5</v>
      </c>
      <c r="G1109" s="2">
        <v>11</v>
      </c>
      <c r="H1109" s="2">
        <v>0</v>
      </c>
      <c r="I1109" s="2">
        <v>0</v>
      </c>
      <c r="J1109" s="2">
        <v>0</v>
      </c>
      <c r="K1109" s="2">
        <v>0</v>
      </c>
      <c r="L1109" s="2">
        <v>0</v>
      </c>
      <c r="M1109" s="2">
        <v>0</v>
      </c>
      <c r="N1109" s="2">
        <v>0</v>
      </c>
      <c r="O1109" s="2">
        <v>0</v>
      </c>
      <c r="P1109" s="2">
        <v>0</v>
      </c>
      <c r="Q1109" s="2">
        <v>0</v>
      </c>
      <c r="R1109" s="2">
        <v>0</v>
      </c>
      <c r="S1109" s="2" t="s">
        <v>488</v>
      </c>
      <c r="T1109" s="2" t="s">
        <v>488</v>
      </c>
      <c r="U1109" s="2">
        <v>0</v>
      </c>
      <c r="V1109" s="2">
        <v>0</v>
      </c>
      <c r="W1109">
        <f t="shared" si="17"/>
        <v>0</v>
      </c>
    </row>
    <row r="1110" spans="1:23" x14ac:dyDescent="0.25">
      <c r="A1110" s="2" t="s">
        <v>628</v>
      </c>
      <c r="B1110" s="2" t="s">
        <v>917</v>
      </c>
      <c r="C1110" s="2">
        <v>540014</v>
      </c>
      <c r="D1110" s="2" t="s">
        <v>645</v>
      </c>
      <c r="E1110" s="2" t="s">
        <v>29</v>
      </c>
      <c r="F1110" s="2" t="s">
        <v>115</v>
      </c>
      <c r="G1110" s="2">
        <v>11</v>
      </c>
      <c r="H1110" s="2">
        <v>0</v>
      </c>
      <c r="I1110" s="2">
        <v>0</v>
      </c>
      <c r="J1110" s="2">
        <v>0</v>
      </c>
      <c r="K1110" s="2">
        <v>0</v>
      </c>
      <c r="L1110" s="2">
        <v>0</v>
      </c>
      <c r="M1110" s="2">
        <v>0</v>
      </c>
      <c r="N1110" s="2">
        <v>0</v>
      </c>
      <c r="O1110" s="2">
        <v>0</v>
      </c>
      <c r="P1110" s="2">
        <v>0</v>
      </c>
      <c r="Q1110" s="2">
        <v>0</v>
      </c>
      <c r="R1110" s="2">
        <v>0</v>
      </c>
      <c r="S1110" s="2" t="s">
        <v>488</v>
      </c>
      <c r="T1110" s="2" t="s">
        <v>488</v>
      </c>
      <c r="U1110" s="2">
        <v>0</v>
      </c>
      <c r="V1110" s="2">
        <v>0</v>
      </c>
      <c r="W1110">
        <f t="shared" si="17"/>
        <v>0</v>
      </c>
    </row>
    <row r="1111" spans="1:23" x14ac:dyDescent="0.25">
      <c r="A1111" s="2" t="s">
        <v>628</v>
      </c>
      <c r="B1111" s="2" t="s">
        <v>917</v>
      </c>
      <c r="C1111" s="2">
        <v>540048</v>
      </c>
      <c r="D1111" s="2" t="s">
        <v>675</v>
      </c>
      <c r="E1111" s="2" t="s">
        <v>29</v>
      </c>
      <c r="F1111" s="2" t="s">
        <v>115</v>
      </c>
      <c r="G1111" s="2">
        <v>11</v>
      </c>
      <c r="H1111" s="2">
        <v>0</v>
      </c>
      <c r="I1111" s="2">
        <v>0</v>
      </c>
      <c r="J1111" s="2">
        <v>0</v>
      </c>
      <c r="K1111" s="2">
        <v>0</v>
      </c>
      <c r="L1111" s="2">
        <v>0</v>
      </c>
      <c r="M1111" s="2">
        <v>0</v>
      </c>
      <c r="N1111" s="2">
        <v>0</v>
      </c>
      <c r="O1111" s="2">
        <v>0</v>
      </c>
      <c r="P1111" s="2">
        <v>0</v>
      </c>
      <c r="Q1111" s="2">
        <v>0</v>
      </c>
      <c r="R1111" s="2">
        <v>0</v>
      </c>
      <c r="S1111" s="2" t="s">
        <v>488</v>
      </c>
      <c r="T1111" s="2" t="s">
        <v>488</v>
      </c>
      <c r="U1111" s="2">
        <v>0</v>
      </c>
      <c r="V1111" s="2">
        <v>0</v>
      </c>
      <c r="W1111">
        <f t="shared" si="17"/>
        <v>0</v>
      </c>
    </row>
    <row r="1112" spans="1:23" x14ac:dyDescent="0.25">
      <c r="A1112" s="2" t="s">
        <v>628</v>
      </c>
      <c r="B1112" s="2" t="s">
        <v>917</v>
      </c>
      <c r="C1112" s="2">
        <v>540049</v>
      </c>
      <c r="D1112" s="2" t="s">
        <v>676</v>
      </c>
      <c r="E1112" s="2" t="s">
        <v>29</v>
      </c>
      <c r="F1112" s="2" t="s">
        <v>115</v>
      </c>
      <c r="G1112" s="2">
        <v>11</v>
      </c>
      <c r="H1112" s="2">
        <v>0</v>
      </c>
      <c r="I1112" s="2">
        <v>0</v>
      </c>
      <c r="J1112" s="2">
        <v>0</v>
      </c>
      <c r="K1112" s="2">
        <v>0</v>
      </c>
      <c r="L1112" s="2">
        <v>0</v>
      </c>
      <c r="M1112" s="2">
        <v>0</v>
      </c>
      <c r="N1112" s="2">
        <v>0</v>
      </c>
      <c r="O1112" s="2">
        <v>0</v>
      </c>
      <c r="P1112" s="2">
        <v>0</v>
      </c>
      <c r="Q1112" s="2">
        <v>0</v>
      </c>
      <c r="R1112" s="2">
        <v>0</v>
      </c>
      <c r="S1112" s="2" t="s">
        <v>488</v>
      </c>
      <c r="T1112" s="2" t="s">
        <v>488</v>
      </c>
      <c r="U1112" s="2">
        <v>0</v>
      </c>
      <c r="V1112" s="2">
        <v>0</v>
      </c>
      <c r="W1112">
        <f t="shared" si="17"/>
        <v>0</v>
      </c>
    </row>
    <row r="1113" spans="1:23" x14ac:dyDescent="0.25">
      <c r="A1113" s="255" t="s">
        <v>628</v>
      </c>
      <c r="B1113" s="255" t="s">
        <v>917</v>
      </c>
      <c r="C1113" s="255"/>
      <c r="D1113" s="255"/>
      <c r="E1113" s="255" t="s">
        <v>29</v>
      </c>
      <c r="F1113" s="255"/>
      <c r="G1113" s="255"/>
      <c r="H1113" s="255">
        <v>0</v>
      </c>
      <c r="I1113" s="255">
        <v>0</v>
      </c>
      <c r="J1113" s="255">
        <v>0</v>
      </c>
      <c r="K1113" s="255">
        <v>0</v>
      </c>
      <c r="L1113" s="255">
        <v>0</v>
      </c>
      <c r="M1113" s="255">
        <v>0</v>
      </c>
      <c r="N1113" s="255">
        <v>0</v>
      </c>
      <c r="O1113" s="255">
        <v>0</v>
      </c>
      <c r="P1113" s="255">
        <v>0</v>
      </c>
      <c r="Q1113" s="255">
        <v>0</v>
      </c>
      <c r="R1113" s="255">
        <v>0</v>
      </c>
      <c r="S1113" s="255" t="s">
        <v>488</v>
      </c>
      <c r="T1113" s="255" t="s">
        <v>488</v>
      </c>
      <c r="U1113" s="255">
        <v>0</v>
      </c>
      <c r="V1113" s="255">
        <v>0</v>
      </c>
      <c r="W1113">
        <f t="shared" si="17"/>
        <v>0</v>
      </c>
    </row>
    <row r="1114" spans="1:23" x14ac:dyDescent="0.25">
      <c r="A1114" s="2" t="s">
        <v>628</v>
      </c>
      <c r="B1114" s="2" t="s">
        <v>917</v>
      </c>
      <c r="C1114" s="2">
        <v>540051</v>
      </c>
      <c r="D1114" s="2" t="s">
        <v>677</v>
      </c>
      <c r="E1114" s="2" t="s">
        <v>31</v>
      </c>
      <c r="F1114" s="2" t="s">
        <v>5</v>
      </c>
      <c r="G1114" s="2">
        <v>8</v>
      </c>
      <c r="H1114" s="2">
        <v>0</v>
      </c>
      <c r="I1114" s="2">
        <v>0</v>
      </c>
      <c r="J1114" s="2">
        <v>0</v>
      </c>
      <c r="K1114" s="2">
        <v>0</v>
      </c>
      <c r="L1114" s="2">
        <v>0</v>
      </c>
      <c r="M1114" s="2">
        <v>0</v>
      </c>
      <c r="N1114" s="2">
        <v>0</v>
      </c>
      <c r="O1114" s="2">
        <v>0</v>
      </c>
      <c r="P1114" s="2">
        <v>0</v>
      </c>
      <c r="Q1114" s="2" t="s">
        <v>488</v>
      </c>
      <c r="R1114" s="2" t="s">
        <v>488</v>
      </c>
      <c r="S1114" s="2" t="s">
        <v>488</v>
      </c>
      <c r="T1114" s="2" t="s">
        <v>488</v>
      </c>
      <c r="U1114" s="2">
        <v>0</v>
      </c>
      <c r="V1114" s="2">
        <v>0</v>
      </c>
      <c r="W1114">
        <f t="shared" si="17"/>
        <v>0</v>
      </c>
    </row>
    <row r="1115" spans="1:23" x14ac:dyDescent="0.25">
      <c r="A1115" s="2" t="s">
        <v>628</v>
      </c>
      <c r="B1115" s="2" t="s">
        <v>917</v>
      </c>
      <c r="C1115" s="2">
        <v>540052</v>
      </c>
      <c r="D1115" s="2" t="s">
        <v>678</v>
      </c>
      <c r="E1115" s="2" t="s">
        <v>31</v>
      </c>
      <c r="F1115" s="2" t="s">
        <v>115</v>
      </c>
      <c r="G1115" s="2">
        <v>8</v>
      </c>
      <c r="H1115" s="2">
        <v>0</v>
      </c>
      <c r="I1115" s="2">
        <v>0</v>
      </c>
      <c r="J1115" s="2">
        <v>0</v>
      </c>
      <c r="K1115" s="2">
        <v>0</v>
      </c>
      <c r="L1115" s="2">
        <v>0</v>
      </c>
      <c r="M1115" s="2">
        <v>0</v>
      </c>
      <c r="N1115" s="2">
        <v>0</v>
      </c>
      <c r="O1115" s="2">
        <v>0</v>
      </c>
      <c r="P1115" s="2">
        <v>0</v>
      </c>
      <c r="Q1115" s="2" t="s">
        <v>488</v>
      </c>
      <c r="R1115" s="2" t="s">
        <v>488</v>
      </c>
      <c r="S1115" s="2" t="s">
        <v>488</v>
      </c>
      <c r="T1115" s="2" t="s">
        <v>488</v>
      </c>
      <c r="U1115" s="2">
        <v>0</v>
      </c>
      <c r="V1115" s="2">
        <v>0</v>
      </c>
      <c r="W1115">
        <f t="shared" si="17"/>
        <v>0</v>
      </c>
    </row>
    <row r="1116" spans="1:23" x14ac:dyDescent="0.25">
      <c r="A1116" s="2" t="s">
        <v>628</v>
      </c>
      <c r="B1116" s="2" t="s">
        <v>917</v>
      </c>
      <c r="C1116" s="2">
        <v>540245</v>
      </c>
      <c r="D1116" s="2" t="s">
        <v>679</v>
      </c>
      <c r="E1116" s="2" t="s">
        <v>31</v>
      </c>
      <c r="F1116" s="2" t="s">
        <v>115</v>
      </c>
      <c r="G1116" s="2">
        <v>8</v>
      </c>
      <c r="H1116" s="2">
        <v>0</v>
      </c>
      <c r="I1116" s="2">
        <v>0</v>
      </c>
      <c r="J1116" s="2">
        <v>0</v>
      </c>
      <c r="K1116" s="2">
        <v>0</v>
      </c>
      <c r="L1116" s="2">
        <v>0</v>
      </c>
      <c r="M1116" s="2">
        <v>0</v>
      </c>
      <c r="N1116" s="2">
        <v>0</v>
      </c>
      <c r="O1116" s="2">
        <v>0</v>
      </c>
      <c r="P1116" s="2">
        <v>0</v>
      </c>
      <c r="Q1116" s="2" t="s">
        <v>488</v>
      </c>
      <c r="R1116" s="2" t="s">
        <v>488</v>
      </c>
      <c r="S1116" s="2" t="s">
        <v>488</v>
      </c>
      <c r="T1116" s="2" t="s">
        <v>488</v>
      </c>
      <c r="U1116" s="2">
        <v>0</v>
      </c>
      <c r="V1116" s="2">
        <v>0</v>
      </c>
      <c r="W1116">
        <f t="shared" si="17"/>
        <v>0</v>
      </c>
    </row>
    <row r="1117" spans="1:23" x14ac:dyDescent="0.25">
      <c r="A1117" s="255" t="s">
        <v>628</v>
      </c>
      <c r="B1117" s="255" t="s">
        <v>917</v>
      </c>
      <c r="C1117" s="255"/>
      <c r="D1117" s="255"/>
      <c r="E1117" s="255" t="s">
        <v>31</v>
      </c>
      <c r="F1117" s="255"/>
      <c r="G1117" s="255"/>
      <c r="H1117" s="255">
        <v>0</v>
      </c>
      <c r="I1117" s="255">
        <v>0</v>
      </c>
      <c r="J1117" s="255">
        <v>0</v>
      </c>
      <c r="K1117" s="255">
        <v>0</v>
      </c>
      <c r="L1117" s="255">
        <v>0</v>
      </c>
      <c r="M1117" s="255">
        <v>0</v>
      </c>
      <c r="N1117" s="255">
        <v>0</v>
      </c>
      <c r="O1117" s="255">
        <v>0</v>
      </c>
      <c r="P1117" s="255">
        <v>0</v>
      </c>
      <c r="Q1117" s="255" t="s">
        <v>488</v>
      </c>
      <c r="R1117" s="255" t="s">
        <v>488</v>
      </c>
      <c r="S1117" s="255" t="s">
        <v>488</v>
      </c>
      <c r="T1117" s="255" t="s">
        <v>488</v>
      </c>
      <c r="U1117" s="255">
        <v>0</v>
      </c>
      <c r="V1117" s="255">
        <v>0</v>
      </c>
      <c r="W1117">
        <f t="shared" si="17"/>
        <v>0</v>
      </c>
    </row>
    <row r="1118" spans="1:23" x14ac:dyDescent="0.25">
      <c r="A1118" s="2" t="s">
        <v>628</v>
      </c>
      <c r="B1118" s="2" t="s">
        <v>917</v>
      </c>
      <c r="C1118" s="2">
        <v>540053</v>
      </c>
      <c r="D1118" s="2" t="s">
        <v>680</v>
      </c>
      <c r="E1118" s="2" t="s">
        <v>33</v>
      </c>
      <c r="F1118" s="2" t="s">
        <v>5</v>
      </c>
      <c r="G1118" s="2">
        <v>6</v>
      </c>
      <c r="H1118" s="2">
        <v>0</v>
      </c>
      <c r="I1118" s="2">
        <v>0</v>
      </c>
      <c r="J1118" s="2">
        <v>0</v>
      </c>
      <c r="K1118" s="2">
        <v>0</v>
      </c>
      <c r="L1118" s="2">
        <v>0</v>
      </c>
      <c r="M1118" s="2">
        <v>0</v>
      </c>
      <c r="N1118" s="2">
        <v>0</v>
      </c>
      <c r="O1118" s="2">
        <v>0</v>
      </c>
      <c r="P1118" s="2">
        <v>0</v>
      </c>
      <c r="Q1118" s="2">
        <v>0</v>
      </c>
      <c r="R1118" s="2">
        <v>0</v>
      </c>
      <c r="S1118" s="2" t="s">
        <v>488</v>
      </c>
      <c r="T1118" s="2" t="s">
        <v>488</v>
      </c>
      <c r="U1118" s="2">
        <v>1</v>
      </c>
      <c r="V1118" s="2">
        <v>0</v>
      </c>
      <c r="W1118">
        <f t="shared" si="17"/>
        <v>1</v>
      </c>
    </row>
    <row r="1119" spans="1:23" x14ac:dyDescent="0.25">
      <c r="A1119" s="2" t="s">
        <v>628</v>
      </c>
      <c r="B1119" s="2" t="s">
        <v>917</v>
      </c>
      <c r="C1119" s="2">
        <v>540054</v>
      </c>
      <c r="D1119" s="2" t="s">
        <v>681</v>
      </c>
      <c r="E1119" s="2" t="s">
        <v>33</v>
      </c>
      <c r="F1119" s="2" t="s">
        <v>115</v>
      </c>
      <c r="G1119" s="2">
        <v>6</v>
      </c>
      <c r="H1119" s="2">
        <v>0</v>
      </c>
      <c r="I1119" s="2">
        <v>0</v>
      </c>
      <c r="J1119" s="2">
        <v>0</v>
      </c>
      <c r="K1119" s="2">
        <v>0</v>
      </c>
      <c r="L1119" s="2">
        <v>0</v>
      </c>
      <c r="M1119" s="2">
        <v>0</v>
      </c>
      <c r="N1119" s="2">
        <v>0</v>
      </c>
      <c r="O1119" s="2">
        <v>0</v>
      </c>
      <c r="P1119" s="2">
        <v>0</v>
      </c>
      <c r="Q1119" s="2">
        <v>0</v>
      </c>
      <c r="R1119" s="2">
        <v>0</v>
      </c>
      <c r="S1119" s="2" t="s">
        <v>488</v>
      </c>
      <c r="T1119" s="2" t="s">
        <v>488</v>
      </c>
      <c r="U1119" s="2">
        <v>0</v>
      </c>
      <c r="V1119" s="2">
        <v>0</v>
      </c>
      <c r="W1119">
        <f t="shared" si="17"/>
        <v>0</v>
      </c>
    </row>
    <row r="1120" spans="1:23" x14ac:dyDescent="0.25">
      <c r="A1120" s="2" t="s">
        <v>628</v>
      </c>
      <c r="B1120" s="2" t="s">
        <v>917</v>
      </c>
      <c r="C1120" s="2">
        <v>540055</v>
      </c>
      <c r="D1120" s="2" t="s">
        <v>682</v>
      </c>
      <c r="E1120" s="2" t="s">
        <v>33</v>
      </c>
      <c r="F1120" s="2" t="s">
        <v>115</v>
      </c>
      <c r="G1120" s="2">
        <v>6</v>
      </c>
      <c r="H1120" s="2">
        <v>0</v>
      </c>
      <c r="I1120" s="2">
        <v>0</v>
      </c>
      <c r="J1120" s="2">
        <v>0</v>
      </c>
      <c r="K1120" s="2">
        <v>0</v>
      </c>
      <c r="L1120" s="2">
        <v>0</v>
      </c>
      <c r="M1120" s="2">
        <v>0</v>
      </c>
      <c r="N1120" s="2">
        <v>0</v>
      </c>
      <c r="O1120" s="2">
        <v>0</v>
      </c>
      <c r="P1120" s="2">
        <v>0</v>
      </c>
      <c r="Q1120" s="2">
        <v>0</v>
      </c>
      <c r="R1120" s="2">
        <v>0</v>
      </c>
      <c r="S1120" s="2" t="s">
        <v>488</v>
      </c>
      <c r="T1120" s="2" t="s">
        <v>488</v>
      </c>
      <c r="U1120" s="2">
        <v>0</v>
      </c>
      <c r="V1120" s="2">
        <v>0</v>
      </c>
      <c r="W1120">
        <f t="shared" si="17"/>
        <v>0</v>
      </c>
    </row>
    <row r="1121" spans="1:23" x14ac:dyDescent="0.25">
      <c r="A1121" s="2" t="s">
        <v>628</v>
      </c>
      <c r="B1121" s="2" t="s">
        <v>917</v>
      </c>
      <c r="C1121" s="2">
        <v>540056</v>
      </c>
      <c r="D1121" s="2" t="s">
        <v>683</v>
      </c>
      <c r="E1121" s="2" t="s">
        <v>33</v>
      </c>
      <c r="F1121" s="2" t="s">
        <v>115</v>
      </c>
      <c r="G1121" s="2">
        <v>6</v>
      </c>
      <c r="H1121" s="2">
        <v>0</v>
      </c>
      <c r="I1121" s="2">
        <v>0</v>
      </c>
      <c r="J1121" s="2">
        <v>0</v>
      </c>
      <c r="K1121" s="2">
        <v>0</v>
      </c>
      <c r="L1121" s="2">
        <v>0</v>
      </c>
      <c r="M1121" s="2">
        <v>0</v>
      </c>
      <c r="N1121" s="2">
        <v>0</v>
      </c>
      <c r="O1121" s="2">
        <v>0</v>
      </c>
      <c r="P1121" s="2">
        <v>0</v>
      </c>
      <c r="Q1121" s="2">
        <v>0</v>
      </c>
      <c r="R1121" s="2">
        <v>0</v>
      </c>
      <c r="S1121" s="2" t="s">
        <v>488</v>
      </c>
      <c r="T1121" s="2" t="s">
        <v>488</v>
      </c>
      <c r="U1121" s="2">
        <v>0</v>
      </c>
      <c r="V1121" s="2">
        <v>0</v>
      </c>
      <c r="W1121">
        <f t="shared" si="17"/>
        <v>0</v>
      </c>
    </row>
    <row r="1122" spans="1:23" x14ac:dyDescent="0.25">
      <c r="A1122" s="2" t="s">
        <v>628</v>
      </c>
      <c r="B1122" s="2" t="s">
        <v>917</v>
      </c>
      <c r="C1122" s="2">
        <v>540057</v>
      </c>
      <c r="D1122" s="2" t="s">
        <v>684</v>
      </c>
      <c r="E1122" s="2" t="s">
        <v>33</v>
      </c>
      <c r="F1122" s="2" t="s">
        <v>115</v>
      </c>
      <c r="G1122" s="2">
        <v>6</v>
      </c>
      <c r="H1122" s="2">
        <v>0</v>
      </c>
      <c r="I1122" s="2">
        <v>0</v>
      </c>
      <c r="J1122" s="2">
        <v>0</v>
      </c>
      <c r="K1122" s="2">
        <v>0</v>
      </c>
      <c r="L1122" s="2">
        <v>0</v>
      </c>
      <c r="M1122" s="2">
        <v>0</v>
      </c>
      <c r="N1122" s="2">
        <v>0</v>
      </c>
      <c r="O1122" s="2">
        <v>0</v>
      </c>
      <c r="P1122" s="2">
        <v>0</v>
      </c>
      <c r="Q1122" s="2">
        <v>0</v>
      </c>
      <c r="R1122" s="2">
        <v>0</v>
      </c>
      <c r="S1122" s="2" t="s">
        <v>488</v>
      </c>
      <c r="T1122" s="2" t="s">
        <v>488</v>
      </c>
      <c r="U1122" s="2">
        <v>0</v>
      </c>
      <c r="V1122" s="2">
        <v>0</v>
      </c>
      <c r="W1122">
        <f t="shared" si="17"/>
        <v>0</v>
      </c>
    </row>
    <row r="1123" spans="1:23" x14ac:dyDescent="0.25">
      <c r="A1123" s="2" t="s">
        <v>628</v>
      </c>
      <c r="B1123" s="2" t="s">
        <v>917</v>
      </c>
      <c r="C1123" s="2">
        <v>540058</v>
      </c>
      <c r="D1123" s="2" t="s">
        <v>685</v>
      </c>
      <c r="E1123" s="2" t="s">
        <v>33</v>
      </c>
      <c r="F1123" s="2" t="s">
        <v>115</v>
      </c>
      <c r="G1123" s="2">
        <v>6</v>
      </c>
      <c r="H1123" s="2">
        <v>0</v>
      </c>
      <c r="I1123" s="2">
        <v>0</v>
      </c>
      <c r="J1123" s="2">
        <v>0</v>
      </c>
      <c r="K1123" s="2">
        <v>0</v>
      </c>
      <c r="L1123" s="2">
        <v>0</v>
      </c>
      <c r="M1123" s="2">
        <v>0</v>
      </c>
      <c r="N1123" s="2">
        <v>0</v>
      </c>
      <c r="O1123" s="2">
        <v>0</v>
      </c>
      <c r="P1123" s="2">
        <v>0</v>
      </c>
      <c r="Q1123" s="2">
        <v>0</v>
      </c>
      <c r="R1123" s="2">
        <v>0</v>
      </c>
      <c r="S1123" s="2" t="s">
        <v>488</v>
      </c>
      <c r="T1123" s="2" t="s">
        <v>488</v>
      </c>
      <c r="U1123" s="2">
        <v>0</v>
      </c>
      <c r="V1123" s="2">
        <v>0</v>
      </c>
      <c r="W1123">
        <f t="shared" si="17"/>
        <v>0</v>
      </c>
    </row>
    <row r="1124" spans="1:23" x14ac:dyDescent="0.25">
      <c r="A1124" s="2" t="s">
        <v>628</v>
      </c>
      <c r="B1124" s="2" t="s">
        <v>917</v>
      </c>
      <c r="C1124" s="2">
        <v>540059</v>
      </c>
      <c r="D1124" s="2" t="s">
        <v>686</v>
      </c>
      <c r="E1124" s="2" t="s">
        <v>33</v>
      </c>
      <c r="F1124" s="2" t="s">
        <v>115</v>
      </c>
      <c r="G1124" s="2">
        <v>6</v>
      </c>
      <c r="H1124" s="2">
        <v>0</v>
      </c>
      <c r="I1124" s="2">
        <v>0</v>
      </c>
      <c r="J1124" s="2">
        <v>0</v>
      </c>
      <c r="K1124" s="2">
        <v>0</v>
      </c>
      <c r="L1124" s="2">
        <v>0</v>
      </c>
      <c r="M1124" s="2">
        <v>0</v>
      </c>
      <c r="N1124" s="2">
        <v>0</v>
      </c>
      <c r="O1124" s="2">
        <v>0</v>
      </c>
      <c r="P1124" s="2">
        <v>0</v>
      </c>
      <c r="Q1124" s="2">
        <v>0</v>
      </c>
      <c r="R1124" s="2">
        <v>0</v>
      </c>
      <c r="S1124" s="2" t="s">
        <v>488</v>
      </c>
      <c r="T1124" s="2" t="s">
        <v>488</v>
      </c>
      <c r="U1124" s="2">
        <v>0</v>
      </c>
      <c r="V1124" s="2">
        <v>0</v>
      </c>
      <c r="W1124">
        <f t="shared" si="17"/>
        <v>0</v>
      </c>
    </row>
    <row r="1125" spans="1:23" x14ac:dyDescent="0.25">
      <c r="A1125" s="2" t="s">
        <v>628</v>
      </c>
      <c r="B1125" s="2" t="s">
        <v>917</v>
      </c>
      <c r="C1125" s="2">
        <v>540060</v>
      </c>
      <c r="D1125" s="2" t="s">
        <v>687</v>
      </c>
      <c r="E1125" s="2" t="s">
        <v>33</v>
      </c>
      <c r="F1125" s="2" t="s">
        <v>115</v>
      </c>
      <c r="G1125" s="2">
        <v>6</v>
      </c>
      <c r="H1125" s="2">
        <v>0</v>
      </c>
      <c r="I1125" s="2">
        <v>0</v>
      </c>
      <c r="J1125" s="2">
        <v>0</v>
      </c>
      <c r="K1125" s="2">
        <v>0</v>
      </c>
      <c r="L1125" s="2">
        <v>0</v>
      </c>
      <c r="M1125" s="2">
        <v>0</v>
      </c>
      <c r="N1125" s="2">
        <v>0</v>
      </c>
      <c r="O1125" s="2">
        <v>0</v>
      </c>
      <c r="P1125" s="2">
        <v>0</v>
      </c>
      <c r="Q1125" s="2">
        <v>0</v>
      </c>
      <c r="R1125" s="2">
        <v>0</v>
      </c>
      <c r="S1125" s="2" t="s">
        <v>488</v>
      </c>
      <c r="T1125" s="2" t="s">
        <v>488</v>
      </c>
      <c r="U1125" s="2">
        <v>0</v>
      </c>
      <c r="V1125" s="2">
        <v>0</v>
      </c>
      <c r="W1125">
        <f t="shared" si="17"/>
        <v>0</v>
      </c>
    </row>
    <row r="1126" spans="1:23" x14ac:dyDescent="0.25">
      <c r="A1126" s="2" t="s">
        <v>628</v>
      </c>
      <c r="B1126" s="2" t="s">
        <v>917</v>
      </c>
      <c r="C1126" s="2">
        <v>540061</v>
      </c>
      <c r="D1126" s="2" t="s">
        <v>688</v>
      </c>
      <c r="E1126" s="2" t="s">
        <v>33</v>
      </c>
      <c r="F1126" s="2" t="s">
        <v>115</v>
      </c>
      <c r="G1126" s="2">
        <v>6</v>
      </c>
      <c r="H1126" s="2">
        <v>0</v>
      </c>
      <c r="I1126" s="2">
        <v>0</v>
      </c>
      <c r="J1126" s="2">
        <v>0</v>
      </c>
      <c r="K1126" s="2">
        <v>0</v>
      </c>
      <c r="L1126" s="2">
        <v>0</v>
      </c>
      <c r="M1126" s="2">
        <v>0</v>
      </c>
      <c r="N1126" s="2">
        <v>0</v>
      </c>
      <c r="O1126" s="2">
        <v>0</v>
      </c>
      <c r="P1126" s="2">
        <v>0</v>
      </c>
      <c r="Q1126" s="2">
        <v>0</v>
      </c>
      <c r="R1126" s="2">
        <v>0</v>
      </c>
      <c r="S1126" s="2" t="s">
        <v>488</v>
      </c>
      <c r="T1126" s="2" t="s">
        <v>488</v>
      </c>
      <c r="U1126" s="2">
        <v>0</v>
      </c>
      <c r="V1126" s="2">
        <v>0</v>
      </c>
      <c r="W1126">
        <f t="shared" si="17"/>
        <v>0</v>
      </c>
    </row>
    <row r="1127" spans="1:23" x14ac:dyDescent="0.25">
      <c r="A1127" s="2" t="s">
        <v>628</v>
      </c>
      <c r="B1127" s="2" t="s">
        <v>917</v>
      </c>
      <c r="C1127" s="2">
        <v>540062</v>
      </c>
      <c r="D1127" s="2" t="s">
        <v>689</v>
      </c>
      <c r="E1127" s="2" t="s">
        <v>33</v>
      </c>
      <c r="F1127" s="2" t="s">
        <v>115</v>
      </c>
      <c r="G1127" s="2">
        <v>6</v>
      </c>
      <c r="H1127" s="2">
        <v>0</v>
      </c>
      <c r="I1127" s="2">
        <v>0</v>
      </c>
      <c r="J1127" s="2">
        <v>0</v>
      </c>
      <c r="K1127" s="2">
        <v>0</v>
      </c>
      <c r="L1127" s="2">
        <v>0</v>
      </c>
      <c r="M1127" s="2">
        <v>0</v>
      </c>
      <c r="N1127" s="2">
        <v>0</v>
      </c>
      <c r="O1127" s="2">
        <v>0</v>
      </c>
      <c r="P1127" s="2">
        <v>0</v>
      </c>
      <c r="Q1127" s="2">
        <v>0</v>
      </c>
      <c r="R1127" s="2">
        <v>0</v>
      </c>
      <c r="S1127" s="2" t="s">
        <v>488</v>
      </c>
      <c r="T1127" s="2" t="s">
        <v>488</v>
      </c>
      <c r="U1127" s="2">
        <v>0</v>
      </c>
      <c r="V1127" s="2">
        <v>0</v>
      </c>
      <c r="W1127">
        <f t="shared" si="17"/>
        <v>0</v>
      </c>
    </row>
    <row r="1128" spans="1:23" x14ac:dyDescent="0.25">
      <c r="A1128" s="2" t="s">
        <v>628</v>
      </c>
      <c r="B1128" s="2" t="s">
        <v>917</v>
      </c>
      <c r="C1128" s="2">
        <v>540242</v>
      </c>
      <c r="D1128" s="2" t="s">
        <v>690</v>
      </c>
      <c r="E1128" s="2" t="s">
        <v>33</v>
      </c>
      <c r="F1128" s="2" t="s">
        <v>115</v>
      </c>
      <c r="G1128" s="2">
        <v>6</v>
      </c>
      <c r="H1128" s="2">
        <v>0</v>
      </c>
      <c r="I1128" s="2">
        <v>0</v>
      </c>
      <c r="J1128" s="2">
        <v>0</v>
      </c>
      <c r="K1128" s="2">
        <v>0</v>
      </c>
      <c r="L1128" s="2">
        <v>0</v>
      </c>
      <c r="M1128" s="2">
        <v>0</v>
      </c>
      <c r="N1128" s="2">
        <v>0</v>
      </c>
      <c r="O1128" s="2">
        <v>0</v>
      </c>
      <c r="P1128" s="2">
        <v>0</v>
      </c>
      <c r="Q1128" s="2">
        <v>0</v>
      </c>
      <c r="R1128" s="2">
        <v>0</v>
      </c>
      <c r="S1128" s="2" t="s">
        <v>488</v>
      </c>
      <c r="T1128" s="2" t="s">
        <v>488</v>
      </c>
      <c r="U1128" s="2">
        <v>0</v>
      </c>
      <c r="V1128" s="2">
        <v>0</v>
      </c>
      <c r="W1128">
        <f t="shared" si="17"/>
        <v>0</v>
      </c>
    </row>
    <row r="1129" spans="1:23" x14ac:dyDescent="0.25">
      <c r="A1129" s="255" t="s">
        <v>628</v>
      </c>
      <c r="B1129" s="255" t="s">
        <v>917</v>
      </c>
      <c r="C1129" s="255"/>
      <c r="D1129" s="255"/>
      <c r="E1129" s="255" t="s">
        <v>33</v>
      </c>
      <c r="F1129" s="255"/>
      <c r="G1129" s="255"/>
      <c r="H1129" s="255">
        <v>0</v>
      </c>
      <c r="I1129" s="255">
        <v>0</v>
      </c>
      <c r="J1129" s="255">
        <v>0</v>
      </c>
      <c r="K1129" s="255">
        <v>0</v>
      </c>
      <c r="L1129" s="255">
        <v>0</v>
      </c>
      <c r="M1129" s="255">
        <v>0</v>
      </c>
      <c r="N1129" s="255">
        <v>0</v>
      </c>
      <c r="O1129" s="255">
        <v>0</v>
      </c>
      <c r="P1129" s="255">
        <v>0</v>
      </c>
      <c r="Q1129" s="255">
        <v>0</v>
      </c>
      <c r="R1129" s="255">
        <v>0</v>
      </c>
      <c r="S1129" s="255" t="s">
        <v>488</v>
      </c>
      <c r="T1129" s="255" t="s">
        <v>488</v>
      </c>
      <c r="U1129" s="255">
        <v>1</v>
      </c>
      <c r="V1129" s="255">
        <v>0</v>
      </c>
      <c r="W1129">
        <f t="shared" si="17"/>
        <v>1</v>
      </c>
    </row>
    <row r="1130" spans="1:23" x14ac:dyDescent="0.25">
      <c r="A1130" s="2" t="s">
        <v>628</v>
      </c>
      <c r="B1130" s="2" t="s">
        <v>917</v>
      </c>
      <c r="C1130" s="2">
        <v>540063</v>
      </c>
      <c r="D1130" s="2" t="s">
        <v>691</v>
      </c>
      <c r="E1130" s="2" t="s">
        <v>35</v>
      </c>
      <c r="F1130" s="2" t="s">
        <v>5</v>
      </c>
      <c r="G1130" s="2">
        <v>5</v>
      </c>
      <c r="H1130" s="2">
        <v>0</v>
      </c>
      <c r="I1130" s="2">
        <v>0</v>
      </c>
      <c r="J1130" s="2">
        <v>0</v>
      </c>
      <c r="K1130" s="2">
        <v>0</v>
      </c>
      <c r="L1130" s="2">
        <v>0</v>
      </c>
      <c r="M1130" s="2">
        <v>0</v>
      </c>
      <c r="N1130" s="2">
        <v>0</v>
      </c>
      <c r="O1130" s="2">
        <v>0</v>
      </c>
      <c r="P1130" s="2">
        <v>0</v>
      </c>
      <c r="Q1130" s="2" t="s">
        <v>488</v>
      </c>
      <c r="R1130" s="2" t="s">
        <v>488</v>
      </c>
      <c r="S1130" s="2" t="s">
        <v>488</v>
      </c>
      <c r="T1130" s="2" t="s">
        <v>488</v>
      </c>
      <c r="U1130" s="2">
        <v>0</v>
      </c>
      <c r="V1130" s="2">
        <v>0</v>
      </c>
      <c r="W1130">
        <f t="shared" si="17"/>
        <v>0</v>
      </c>
    </row>
    <row r="1131" spans="1:23" x14ac:dyDescent="0.25">
      <c r="A1131" s="2" t="s">
        <v>628</v>
      </c>
      <c r="B1131" s="2" t="s">
        <v>917</v>
      </c>
      <c r="C1131" s="2">
        <v>540064</v>
      </c>
      <c r="D1131" s="2" t="s">
        <v>692</v>
      </c>
      <c r="E1131" s="2" t="s">
        <v>35</v>
      </c>
      <c r="F1131" s="2" t="s">
        <v>115</v>
      </c>
      <c r="G1131" s="2">
        <v>5</v>
      </c>
      <c r="H1131" s="2">
        <v>0</v>
      </c>
      <c r="I1131" s="2">
        <v>0</v>
      </c>
      <c r="J1131" s="2">
        <v>0</v>
      </c>
      <c r="K1131" s="2">
        <v>0</v>
      </c>
      <c r="L1131" s="2">
        <v>0</v>
      </c>
      <c r="M1131" s="2">
        <v>0</v>
      </c>
      <c r="N1131" s="2">
        <v>0</v>
      </c>
      <c r="O1131" s="2">
        <v>0</v>
      </c>
      <c r="P1131" s="2">
        <v>0</v>
      </c>
      <c r="Q1131" s="2" t="s">
        <v>488</v>
      </c>
      <c r="R1131" s="2" t="s">
        <v>488</v>
      </c>
      <c r="S1131" s="2" t="s">
        <v>488</v>
      </c>
      <c r="T1131" s="2" t="s">
        <v>488</v>
      </c>
      <c r="U1131" s="2">
        <v>0</v>
      </c>
      <c r="V1131" s="2">
        <v>0</v>
      </c>
      <c r="W1131">
        <f t="shared" si="17"/>
        <v>0</v>
      </c>
    </row>
    <row r="1132" spans="1:23" x14ac:dyDescent="0.25">
      <c r="A1132" s="2" t="s">
        <v>628</v>
      </c>
      <c r="B1132" s="2" t="s">
        <v>917</v>
      </c>
      <c r="C1132" s="2">
        <v>540241</v>
      </c>
      <c r="D1132" s="2" t="s">
        <v>693</v>
      </c>
      <c r="E1132" s="2" t="s">
        <v>35</v>
      </c>
      <c r="F1132" s="2" t="s">
        <v>115</v>
      </c>
      <c r="G1132" s="2">
        <v>5</v>
      </c>
      <c r="H1132" s="2">
        <v>0</v>
      </c>
      <c r="I1132" s="2">
        <v>0</v>
      </c>
      <c r="J1132" s="2">
        <v>0</v>
      </c>
      <c r="K1132" s="2">
        <v>0</v>
      </c>
      <c r="L1132" s="2">
        <v>0</v>
      </c>
      <c r="M1132" s="2">
        <v>0</v>
      </c>
      <c r="N1132" s="2">
        <v>0</v>
      </c>
      <c r="O1132" s="2">
        <v>0</v>
      </c>
      <c r="P1132" s="2">
        <v>0</v>
      </c>
      <c r="Q1132" s="2" t="s">
        <v>488</v>
      </c>
      <c r="R1132" s="2" t="s">
        <v>488</v>
      </c>
      <c r="S1132" s="2" t="s">
        <v>488</v>
      </c>
      <c r="T1132" s="2" t="s">
        <v>488</v>
      </c>
      <c r="U1132" s="2">
        <v>0</v>
      </c>
      <c r="V1132" s="2">
        <v>0</v>
      </c>
      <c r="W1132">
        <f t="shared" si="17"/>
        <v>0</v>
      </c>
    </row>
    <row r="1133" spans="1:23" x14ac:dyDescent="0.25">
      <c r="A1133" s="255" t="s">
        <v>628</v>
      </c>
      <c r="B1133" s="255" t="s">
        <v>917</v>
      </c>
      <c r="C1133" s="255"/>
      <c r="D1133" s="255"/>
      <c r="E1133" s="255" t="s">
        <v>35</v>
      </c>
      <c r="F1133" s="255"/>
      <c r="G1133" s="255"/>
      <c r="H1133" s="255">
        <v>0</v>
      </c>
      <c r="I1133" s="255">
        <v>0</v>
      </c>
      <c r="J1133" s="255">
        <v>0</v>
      </c>
      <c r="K1133" s="255">
        <v>0</v>
      </c>
      <c r="L1133" s="255">
        <v>0</v>
      </c>
      <c r="M1133" s="255">
        <v>0</v>
      </c>
      <c r="N1133" s="255">
        <v>0</v>
      </c>
      <c r="O1133" s="255">
        <v>0</v>
      </c>
      <c r="P1133" s="255">
        <v>0</v>
      </c>
      <c r="Q1133" s="255" t="s">
        <v>488</v>
      </c>
      <c r="R1133" s="255" t="s">
        <v>488</v>
      </c>
      <c r="S1133" s="255" t="s">
        <v>488</v>
      </c>
      <c r="T1133" s="255" t="s">
        <v>488</v>
      </c>
      <c r="U1133" s="255">
        <v>0</v>
      </c>
      <c r="V1133" s="255">
        <v>0</v>
      </c>
      <c r="W1133">
        <f t="shared" si="17"/>
        <v>0</v>
      </c>
    </row>
    <row r="1134" spans="1:23" x14ac:dyDescent="0.25">
      <c r="A1134" s="2" t="s">
        <v>628</v>
      </c>
      <c r="B1134" s="2" t="s">
        <v>917</v>
      </c>
      <c r="C1134" s="2">
        <v>540065</v>
      </c>
      <c r="D1134" s="2" t="s">
        <v>694</v>
      </c>
      <c r="E1134" s="2" t="s">
        <v>37</v>
      </c>
      <c r="F1134" s="2" t="s">
        <v>5</v>
      </c>
      <c r="G1134" s="2">
        <v>9</v>
      </c>
      <c r="H1134" s="2">
        <v>0</v>
      </c>
      <c r="I1134" s="2">
        <v>0</v>
      </c>
      <c r="J1134" s="2">
        <v>0</v>
      </c>
      <c r="K1134" s="2">
        <v>0</v>
      </c>
      <c r="L1134" s="2">
        <v>0</v>
      </c>
      <c r="M1134" s="2">
        <v>0</v>
      </c>
      <c r="N1134" s="2">
        <v>0</v>
      </c>
      <c r="O1134" s="2">
        <v>0</v>
      </c>
      <c r="P1134" s="2">
        <v>0</v>
      </c>
      <c r="Q1134" s="2">
        <v>0</v>
      </c>
      <c r="R1134" s="2">
        <v>0</v>
      </c>
      <c r="S1134" s="2">
        <v>0</v>
      </c>
      <c r="T1134" s="2">
        <v>0</v>
      </c>
      <c r="U1134" s="2">
        <v>0</v>
      </c>
      <c r="V1134" s="2">
        <v>0</v>
      </c>
      <c r="W1134">
        <f t="shared" si="17"/>
        <v>0</v>
      </c>
    </row>
    <row r="1135" spans="1:23" x14ac:dyDescent="0.25">
      <c r="A1135" s="2" t="s">
        <v>628</v>
      </c>
      <c r="B1135" s="2" t="s">
        <v>917</v>
      </c>
      <c r="C1135" s="2">
        <v>540030</v>
      </c>
      <c r="D1135" s="2" t="s">
        <v>695</v>
      </c>
      <c r="E1135" s="2" t="s">
        <v>37</v>
      </c>
      <c r="F1135" s="2" t="s">
        <v>115</v>
      </c>
      <c r="G1135" s="2">
        <v>9</v>
      </c>
      <c r="H1135" s="2">
        <v>0</v>
      </c>
      <c r="I1135" s="2">
        <v>0</v>
      </c>
      <c r="J1135" s="2">
        <v>0</v>
      </c>
      <c r="K1135" s="2">
        <v>0</v>
      </c>
      <c r="L1135" s="2">
        <v>0</v>
      </c>
      <c r="M1135" s="2">
        <v>0</v>
      </c>
      <c r="N1135" s="2">
        <v>0</v>
      </c>
      <c r="O1135" s="2">
        <v>0</v>
      </c>
      <c r="P1135" s="2">
        <v>0</v>
      </c>
      <c r="Q1135" s="2">
        <v>0</v>
      </c>
      <c r="R1135" s="2">
        <v>0</v>
      </c>
      <c r="S1135" s="2">
        <v>0</v>
      </c>
      <c r="T1135" s="2">
        <v>0</v>
      </c>
      <c r="U1135" s="2">
        <v>0</v>
      </c>
      <c r="V1135" s="2">
        <v>0</v>
      </c>
      <c r="W1135">
        <f t="shared" si="17"/>
        <v>0</v>
      </c>
    </row>
    <row r="1136" spans="1:23" x14ac:dyDescent="0.25">
      <c r="A1136" s="2" t="s">
        <v>628</v>
      </c>
      <c r="B1136" s="2" t="s">
        <v>917</v>
      </c>
      <c r="C1136" s="2">
        <v>540066</v>
      </c>
      <c r="D1136" s="2" t="s">
        <v>696</v>
      </c>
      <c r="E1136" s="2" t="s">
        <v>37</v>
      </c>
      <c r="F1136" s="2" t="s">
        <v>115</v>
      </c>
      <c r="G1136" s="2">
        <v>9</v>
      </c>
      <c r="H1136" s="2">
        <v>0</v>
      </c>
      <c r="I1136" s="2">
        <v>0</v>
      </c>
      <c r="J1136" s="2">
        <v>0</v>
      </c>
      <c r="K1136" s="2">
        <v>0</v>
      </c>
      <c r="L1136" s="2">
        <v>0</v>
      </c>
      <c r="M1136" s="2">
        <v>0</v>
      </c>
      <c r="N1136" s="2">
        <v>0</v>
      </c>
      <c r="O1136" s="2">
        <v>0</v>
      </c>
      <c r="P1136" s="2">
        <v>0</v>
      </c>
      <c r="Q1136" s="2">
        <v>0</v>
      </c>
      <c r="R1136" s="2">
        <v>0</v>
      </c>
      <c r="S1136" s="2">
        <v>0</v>
      </c>
      <c r="T1136" s="2">
        <v>0</v>
      </c>
      <c r="U1136" s="2">
        <v>0</v>
      </c>
      <c r="V1136" s="2">
        <v>0</v>
      </c>
      <c r="W1136">
        <f t="shared" si="17"/>
        <v>0</v>
      </c>
    </row>
    <row r="1137" spans="1:23" x14ac:dyDescent="0.25">
      <c r="A1137" s="2" t="s">
        <v>628</v>
      </c>
      <c r="B1137" s="2" t="s">
        <v>917</v>
      </c>
      <c r="C1137" s="2">
        <v>540067</v>
      </c>
      <c r="D1137" s="2" t="s">
        <v>697</v>
      </c>
      <c r="E1137" s="2" t="s">
        <v>37</v>
      </c>
      <c r="F1137" s="2" t="s">
        <v>115</v>
      </c>
      <c r="G1137" s="2">
        <v>9</v>
      </c>
      <c r="H1137" s="2">
        <v>0</v>
      </c>
      <c r="I1137" s="2">
        <v>0</v>
      </c>
      <c r="J1137" s="2">
        <v>0</v>
      </c>
      <c r="K1137" s="2">
        <v>0</v>
      </c>
      <c r="L1137" s="2">
        <v>0</v>
      </c>
      <c r="M1137" s="2">
        <v>0</v>
      </c>
      <c r="N1137" s="2">
        <v>0</v>
      </c>
      <c r="O1137" s="2">
        <v>0</v>
      </c>
      <c r="P1137" s="2">
        <v>0</v>
      </c>
      <c r="Q1137" s="2">
        <v>0</v>
      </c>
      <c r="R1137" s="2">
        <v>0</v>
      </c>
      <c r="S1137" s="2">
        <v>0</v>
      </c>
      <c r="T1137" s="2">
        <v>0</v>
      </c>
      <c r="U1137" s="2">
        <v>0</v>
      </c>
      <c r="V1137" s="2">
        <v>0</v>
      </c>
      <c r="W1137">
        <f t="shared" si="17"/>
        <v>0</v>
      </c>
    </row>
    <row r="1138" spans="1:23" x14ac:dyDescent="0.25">
      <c r="A1138" s="2" t="s">
        <v>628</v>
      </c>
      <c r="B1138" s="2" t="s">
        <v>917</v>
      </c>
      <c r="C1138" s="2">
        <v>540068</v>
      </c>
      <c r="D1138" s="2" t="s">
        <v>698</v>
      </c>
      <c r="E1138" s="2" t="s">
        <v>37</v>
      </c>
      <c r="F1138" s="2" t="s">
        <v>115</v>
      </c>
      <c r="G1138" s="2">
        <v>9</v>
      </c>
      <c r="H1138" s="2">
        <v>0</v>
      </c>
      <c r="I1138" s="2">
        <v>0</v>
      </c>
      <c r="J1138" s="2">
        <v>0</v>
      </c>
      <c r="K1138" s="2">
        <v>0</v>
      </c>
      <c r="L1138" s="2">
        <v>0</v>
      </c>
      <c r="M1138" s="2">
        <v>0</v>
      </c>
      <c r="N1138" s="2">
        <v>0</v>
      </c>
      <c r="O1138" s="2">
        <v>0</v>
      </c>
      <c r="P1138" s="2">
        <v>0</v>
      </c>
      <c r="Q1138" s="2">
        <v>0</v>
      </c>
      <c r="R1138" s="2">
        <v>0</v>
      </c>
      <c r="S1138" s="2">
        <v>0</v>
      </c>
      <c r="T1138" s="2">
        <v>0</v>
      </c>
      <c r="U1138" s="2">
        <v>0</v>
      </c>
      <c r="V1138" s="2">
        <v>0</v>
      </c>
      <c r="W1138">
        <f t="shared" si="17"/>
        <v>0</v>
      </c>
    </row>
    <row r="1139" spans="1:23" x14ac:dyDescent="0.25">
      <c r="A1139" s="2" t="s">
        <v>628</v>
      </c>
      <c r="B1139" s="2" t="s">
        <v>917</v>
      </c>
      <c r="C1139" s="2">
        <v>540069</v>
      </c>
      <c r="D1139" s="2" t="s">
        <v>699</v>
      </c>
      <c r="E1139" s="2" t="s">
        <v>37</v>
      </c>
      <c r="F1139" s="2" t="s">
        <v>115</v>
      </c>
      <c r="G1139" s="2">
        <v>9</v>
      </c>
      <c r="H1139" s="2">
        <v>0</v>
      </c>
      <c r="I1139" s="2">
        <v>0</v>
      </c>
      <c r="J1139" s="2">
        <v>0</v>
      </c>
      <c r="K1139" s="2">
        <v>0</v>
      </c>
      <c r="L1139" s="2">
        <v>0</v>
      </c>
      <c r="M1139" s="2">
        <v>0</v>
      </c>
      <c r="N1139" s="2">
        <v>0</v>
      </c>
      <c r="O1139" s="2">
        <v>0</v>
      </c>
      <c r="P1139" s="2">
        <v>0</v>
      </c>
      <c r="Q1139" s="2">
        <v>0</v>
      </c>
      <c r="R1139" s="2">
        <v>0</v>
      </c>
      <c r="S1139" s="2">
        <v>0</v>
      </c>
      <c r="T1139" s="2">
        <v>0</v>
      </c>
      <c r="U1139" s="2">
        <v>0</v>
      </c>
      <c r="V1139" s="2">
        <v>0</v>
      </c>
      <c r="W1139">
        <f t="shared" si="17"/>
        <v>0</v>
      </c>
    </row>
    <row r="1140" spans="1:23" x14ac:dyDescent="0.25">
      <c r="A1140" s="255" t="s">
        <v>628</v>
      </c>
      <c r="B1140" s="255" t="s">
        <v>917</v>
      </c>
      <c r="C1140" s="255"/>
      <c r="D1140" s="255"/>
      <c r="E1140" s="255" t="s">
        <v>37</v>
      </c>
      <c r="F1140" s="255"/>
      <c r="G1140" s="255"/>
      <c r="H1140" s="255">
        <v>0</v>
      </c>
      <c r="I1140" s="255">
        <v>0</v>
      </c>
      <c r="J1140" s="255">
        <v>0</v>
      </c>
      <c r="K1140" s="255">
        <v>0</v>
      </c>
      <c r="L1140" s="255">
        <v>0</v>
      </c>
      <c r="M1140" s="255">
        <v>0</v>
      </c>
      <c r="N1140" s="255">
        <v>0</v>
      </c>
      <c r="O1140" s="255">
        <v>0</v>
      </c>
      <c r="P1140" s="255">
        <v>0</v>
      </c>
      <c r="Q1140" s="255">
        <v>0</v>
      </c>
      <c r="R1140" s="255">
        <v>0</v>
      </c>
      <c r="S1140" s="255">
        <v>0</v>
      </c>
      <c r="T1140" s="255">
        <v>0</v>
      </c>
      <c r="U1140" s="255">
        <v>0</v>
      </c>
      <c r="V1140" s="255">
        <v>0</v>
      </c>
      <c r="W1140">
        <f t="shared" si="17"/>
        <v>0</v>
      </c>
    </row>
    <row r="1141" spans="1:23" x14ac:dyDescent="0.25">
      <c r="A1141" s="2" t="s">
        <v>628</v>
      </c>
      <c r="B1141" s="2" t="s">
        <v>917</v>
      </c>
      <c r="C1141" s="2">
        <v>540070</v>
      </c>
      <c r="D1141" s="2" t="s">
        <v>700</v>
      </c>
      <c r="E1141" s="2" t="s">
        <v>39</v>
      </c>
      <c r="F1141" s="2" t="s">
        <v>5</v>
      </c>
      <c r="G1141" s="2">
        <v>3</v>
      </c>
      <c r="H1141" s="2">
        <v>0</v>
      </c>
      <c r="I1141" s="2">
        <v>1</v>
      </c>
      <c r="J1141" s="2">
        <v>0</v>
      </c>
      <c r="K1141" s="2">
        <v>0</v>
      </c>
      <c r="L1141" s="2">
        <v>0</v>
      </c>
      <c r="M1141" s="2">
        <v>1</v>
      </c>
      <c r="N1141" s="2">
        <v>1</v>
      </c>
      <c r="O1141" s="2">
        <v>0</v>
      </c>
      <c r="P1141" s="2">
        <v>0</v>
      </c>
      <c r="Q1141" s="2">
        <v>0</v>
      </c>
      <c r="R1141" s="2">
        <v>0</v>
      </c>
      <c r="S1141" s="2" t="s">
        <v>488</v>
      </c>
      <c r="T1141" s="2" t="s">
        <v>488</v>
      </c>
      <c r="U1141" s="2">
        <v>0</v>
      </c>
      <c r="V1141" s="2">
        <v>0</v>
      </c>
      <c r="W1141">
        <f t="shared" si="17"/>
        <v>1</v>
      </c>
    </row>
    <row r="1142" spans="1:23" x14ac:dyDescent="0.25">
      <c r="A1142" s="2" t="s">
        <v>628</v>
      </c>
      <c r="B1142" s="2" t="s">
        <v>917</v>
      </c>
      <c r="C1142" s="2">
        <v>540029</v>
      </c>
      <c r="D1142" s="2" t="s">
        <v>701</v>
      </c>
      <c r="E1142" s="2" t="s">
        <v>39</v>
      </c>
      <c r="F1142" s="2" t="s">
        <v>115</v>
      </c>
      <c r="G1142" s="2">
        <v>3</v>
      </c>
      <c r="H1142" s="2">
        <v>0</v>
      </c>
      <c r="I1142" s="2">
        <v>0</v>
      </c>
      <c r="J1142" s="2">
        <v>0</v>
      </c>
      <c r="K1142" s="2">
        <v>0</v>
      </c>
      <c r="L1142" s="2">
        <v>0</v>
      </c>
      <c r="M1142" s="2">
        <v>0</v>
      </c>
      <c r="N1142" s="2">
        <v>0</v>
      </c>
      <c r="O1142" s="2">
        <v>0</v>
      </c>
      <c r="P1142" s="2">
        <v>0</v>
      </c>
      <c r="Q1142" s="2">
        <v>0</v>
      </c>
      <c r="R1142" s="2">
        <v>0</v>
      </c>
      <c r="S1142" s="2" t="s">
        <v>488</v>
      </c>
      <c r="T1142" s="2" t="s">
        <v>488</v>
      </c>
      <c r="U1142" s="2">
        <v>0</v>
      </c>
      <c r="V1142" s="2">
        <v>0</v>
      </c>
      <c r="W1142">
        <f t="shared" si="17"/>
        <v>0</v>
      </c>
    </row>
    <row r="1143" spans="1:23" x14ac:dyDescent="0.25">
      <c r="A1143" s="2" t="s">
        <v>628</v>
      </c>
      <c r="B1143" s="2" t="s">
        <v>917</v>
      </c>
      <c r="C1143" s="2">
        <v>540071</v>
      </c>
      <c r="D1143" s="2" t="s">
        <v>702</v>
      </c>
      <c r="E1143" s="2" t="s">
        <v>39</v>
      </c>
      <c r="F1143" s="2" t="s">
        <v>115</v>
      </c>
      <c r="G1143" s="2">
        <v>3</v>
      </c>
      <c r="H1143" s="2">
        <v>0</v>
      </c>
      <c r="I1143" s="2">
        <v>0</v>
      </c>
      <c r="J1143" s="2">
        <v>0</v>
      </c>
      <c r="K1143" s="2">
        <v>0</v>
      </c>
      <c r="L1143" s="2">
        <v>0</v>
      </c>
      <c r="M1143" s="2">
        <v>0</v>
      </c>
      <c r="N1143" s="2">
        <v>0</v>
      </c>
      <c r="O1143" s="2">
        <v>0</v>
      </c>
      <c r="P1143" s="2">
        <v>0</v>
      </c>
      <c r="Q1143" s="2">
        <v>0</v>
      </c>
      <c r="R1143" s="2">
        <v>0</v>
      </c>
      <c r="S1143" s="2" t="s">
        <v>488</v>
      </c>
      <c r="T1143" s="2" t="s">
        <v>488</v>
      </c>
      <c r="U1143" s="2">
        <v>0</v>
      </c>
      <c r="V1143" s="2">
        <v>0</v>
      </c>
      <c r="W1143">
        <f t="shared" si="17"/>
        <v>0</v>
      </c>
    </row>
    <row r="1144" spans="1:23" x14ac:dyDescent="0.25">
      <c r="A1144" s="2" t="s">
        <v>628</v>
      </c>
      <c r="B1144" s="2" t="s">
        <v>917</v>
      </c>
      <c r="C1144" s="2">
        <v>540072</v>
      </c>
      <c r="D1144" s="2" t="s">
        <v>703</v>
      </c>
      <c r="E1144" s="2" t="s">
        <v>39</v>
      </c>
      <c r="F1144" s="2" t="s">
        <v>115</v>
      </c>
      <c r="G1144" s="2">
        <v>3</v>
      </c>
      <c r="H1144" s="2">
        <v>0</v>
      </c>
      <c r="I1144" s="2">
        <v>0</v>
      </c>
      <c r="J1144" s="2">
        <v>0</v>
      </c>
      <c r="K1144" s="2">
        <v>0</v>
      </c>
      <c r="L1144" s="2">
        <v>0</v>
      </c>
      <c r="M1144" s="2">
        <v>0</v>
      </c>
      <c r="N1144" s="2">
        <v>0</v>
      </c>
      <c r="O1144" s="2">
        <v>0</v>
      </c>
      <c r="P1144" s="2">
        <v>0</v>
      </c>
      <c r="Q1144" s="2">
        <v>0</v>
      </c>
      <c r="R1144" s="2">
        <v>0</v>
      </c>
      <c r="S1144" s="2" t="s">
        <v>488</v>
      </c>
      <c r="T1144" s="2" t="s">
        <v>488</v>
      </c>
      <c r="U1144" s="2">
        <v>0</v>
      </c>
      <c r="V1144" s="2">
        <v>0</v>
      </c>
      <c r="W1144">
        <f t="shared" si="17"/>
        <v>0</v>
      </c>
    </row>
    <row r="1145" spans="1:23" x14ac:dyDescent="0.25">
      <c r="A1145" s="2" t="s">
        <v>628</v>
      </c>
      <c r="B1145" s="2" t="s">
        <v>917</v>
      </c>
      <c r="C1145" s="2">
        <v>540073</v>
      </c>
      <c r="D1145" s="2" t="s">
        <v>704</v>
      </c>
      <c r="E1145" s="2" t="s">
        <v>39</v>
      </c>
      <c r="F1145" s="2" t="s">
        <v>115</v>
      </c>
      <c r="G1145" s="2">
        <v>3</v>
      </c>
      <c r="H1145" s="2">
        <v>0</v>
      </c>
      <c r="I1145" s="2">
        <v>0</v>
      </c>
      <c r="J1145" s="2">
        <v>0</v>
      </c>
      <c r="K1145" s="2">
        <v>0</v>
      </c>
      <c r="L1145" s="2">
        <v>0</v>
      </c>
      <c r="M1145" s="2">
        <v>0</v>
      </c>
      <c r="N1145" s="2">
        <v>0</v>
      </c>
      <c r="O1145" s="2">
        <v>0</v>
      </c>
      <c r="P1145" s="2">
        <v>0</v>
      </c>
      <c r="Q1145" s="2">
        <v>0</v>
      </c>
      <c r="R1145" s="2">
        <v>0</v>
      </c>
      <c r="S1145" s="2" t="s">
        <v>488</v>
      </c>
      <c r="T1145" s="2" t="s">
        <v>488</v>
      </c>
      <c r="U1145" s="2">
        <v>0</v>
      </c>
      <c r="V1145" s="2">
        <v>0</v>
      </c>
      <c r="W1145">
        <f t="shared" si="17"/>
        <v>0</v>
      </c>
    </row>
    <row r="1146" spans="1:23" x14ac:dyDescent="0.25">
      <c r="A1146" s="2" t="s">
        <v>628</v>
      </c>
      <c r="B1146" s="2" t="s">
        <v>917</v>
      </c>
      <c r="C1146" s="2">
        <v>540074</v>
      </c>
      <c r="D1146" s="2" t="s">
        <v>705</v>
      </c>
      <c r="E1146" s="2" t="s">
        <v>39</v>
      </c>
      <c r="F1146" s="2" t="s">
        <v>115</v>
      </c>
      <c r="G1146" s="2">
        <v>3</v>
      </c>
      <c r="H1146" s="2">
        <v>0</v>
      </c>
      <c r="I1146" s="2">
        <v>0</v>
      </c>
      <c r="J1146" s="2">
        <v>0</v>
      </c>
      <c r="K1146" s="2">
        <v>0</v>
      </c>
      <c r="L1146" s="2">
        <v>0</v>
      </c>
      <c r="M1146" s="2">
        <v>0</v>
      </c>
      <c r="N1146" s="2">
        <v>0</v>
      </c>
      <c r="O1146" s="2">
        <v>0</v>
      </c>
      <c r="P1146" s="2">
        <v>0</v>
      </c>
      <c r="Q1146" s="2">
        <v>0</v>
      </c>
      <c r="R1146" s="2">
        <v>0</v>
      </c>
      <c r="S1146" s="2" t="s">
        <v>488</v>
      </c>
      <c r="T1146" s="2" t="s">
        <v>488</v>
      </c>
      <c r="U1146" s="2">
        <v>0</v>
      </c>
      <c r="V1146" s="2">
        <v>0</v>
      </c>
      <c r="W1146">
        <f t="shared" si="17"/>
        <v>0</v>
      </c>
    </row>
    <row r="1147" spans="1:23" x14ac:dyDescent="0.25">
      <c r="A1147" s="2" t="s">
        <v>628</v>
      </c>
      <c r="B1147" s="2" t="s">
        <v>917</v>
      </c>
      <c r="C1147" s="2">
        <v>540075</v>
      </c>
      <c r="D1147" s="2" t="s">
        <v>706</v>
      </c>
      <c r="E1147" s="2" t="s">
        <v>39</v>
      </c>
      <c r="F1147" s="2" t="s">
        <v>115</v>
      </c>
      <c r="G1147" s="2">
        <v>3</v>
      </c>
      <c r="H1147" s="2">
        <v>0</v>
      </c>
      <c r="I1147" s="2">
        <v>0</v>
      </c>
      <c r="J1147" s="2">
        <v>0</v>
      </c>
      <c r="K1147" s="2">
        <v>0</v>
      </c>
      <c r="L1147" s="2">
        <v>0</v>
      </c>
      <c r="M1147" s="2">
        <v>0</v>
      </c>
      <c r="N1147" s="2">
        <v>0</v>
      </c>
      <c r="O1147" s="2">
        <v>0</v>
      </c>
      <c r="P1147" s="2">
        <v>0</v>
      </c>
      <c r="Q1147" s="2">
        <v>0</v>
      </c>
      <c r="R1147" s="2">
        <v>0</v>
      </c>
      <c r="S1147" s="2" t="s">
        <v>488</v>
      </c>
      <c r="T1147" s="2" t="s">
        <v>488</v>
      </c>
      <c r="U1147" s="2">
        <v>0</v>
      </c>
      <c r="V1147" s="2">
        <v>0</v>
      </c>
      <c r="W1147">
        <f t="shared" si="17"/>
        <v>0</v>
      </c>
    </row>
    <row r="1148" spans="1:23" x14ac:dyDescent="0.25">
      <c r="A1148" s="2" t="s">
        <v>628</v>
      </c>
      <c r="B1148" s="2" t="s">
        <v>917</v>
      </c>
      <c r="C1148" s="2">
        <v>540076</v>
      </c>
      <c r="D1148" s="2" t="s">
        <v>707</v>
      </c>
      <c r="E1148" s="2" t="s">
        <v>39</v>
      </c>
      <c r="F1148" s="2" t="s">
        <v>115</v>
      </c>
      <c r="G1148" s="2">
        <v>3</v>
      </c>
      <c r="H1148" s="2">
        <v>0</v>
      </c>
      <c r="I1148" s="2">
        <v>0</v>
      </c>
      <c r="J1148" s="2">
        <v>0</v>
      </c>
      <c r="K1148" s="2">
        <v>0</v>
      </c>
      <c r="L1148" s="2">
        <v>0</v>
      </c>
      <c r="M1148" s="2">
        <v>0</v>
      </c>
      <c r="N1148" s="2">
        <v>0</v>
      </c>
      <c r="O1148" s="2">
        <v>0</v>
      </c>
      <c r="P1148" s="2">
        <v>0</v>
      </c>
      <c r="Q1148" s="2">
        <v>0</v>
      </c>
      <c r="R1148" s="2">
        <v>0</v>
      </c>
      <c r="S1148" s="2" t="s">
        <v>488</v>
      </c>
      <c r="T1148" s="2" t="s">
        <v>488</v>
      </c>
      <c r="U1148" s="2">
        <v>0</v>
      </c>
      <c r="V1148" s="2">
        <v>0</v>
      </c>
      <c r="W1148">
        <f t="shared" si="17"/>
        <v>0</v>
      </c>
    </row>
    <row r="1149" spans="1:23" x14ac:dyDescent="0.25">
      <c r="A1149" s="2" t="s">
        <v>628</v>
      </c>
      <c r="B1149" s="2" t="s">
        <v>917</v>
      </c>
      <c r="C1149" s="2">
        <v>540077</v>
      </c>
      <c r="D1149" s="2" t="s">
        <v>708</v>
      </c>
      <c r="E1149" s="2" t="s">
        <v>39</v>
      </c>
      <c r="F1149" s="2" t="s">
        <v>115</v>
      </c>
      <c r="G1149" s="2">
        <v>3</v>
      </c>
      <c r="H1149" s="2">
        <v>0</v>
      </c>
      <c r="I1149" s="2">
        <v>0</v>
      </c>
      <c r="J1149" s="2">
        <v>0</v>
      </c>
      <c r="K1149" s="2">
        <v>0</v>
      </c>
      <c r="L1149" s="2">
        <v>0</v>
      </c>
      <c r="M1149" s="2">
        <v>0</v>
      </c>
      <c r="N1149" s="2">
        <v>0</v>
      </c>
      <c r="O1149" s="2">
        <v>0</v>
      </c>
      <c r="P1149" s="2">
        <v>0</v>
      </c>
      <c r="Q1149" s="2">
        <v>0</v>
      </c>
      <c r="R1149" s="2">
        <v>0</v>
      </c>
      <c r="S1149" s="2" t="s">
        <v>488</v>
      </c>
      <c r="T1149" s="2" t="s">
        <v>488</v>
      </c>
      <c r="U1149" s="2">
        <v>0</v>
      </c>
      <c r="V1149" s="2">
        <v>0</v>
      </c>
      <c r="W1149">
        <f t="shared" si="17"/>
        <v>0</v>
      </c>
    </row>
    <row r="1150" spans="1:23" x14ac:dyDescent="0.25">
      <c r="A1150" s="2" t="s">
        <v>628</v>
      </c>
      <c r="B1150" s="2" t="s">
        <v>917</v>
      </c>
      <c r="C1150" s="2">
        <v>540078</v>
      </c>
      <c r="D1150" s="2" t="s">
        <v>709</v>
      </c>
      <c r="E1150" s="2" t="s">
        <v>39</v>
      </c>
      <c r="F1150" s="2" t="s">
        <v>115</v>
      </c>
      <c r="G1150" s="2">
        <v>3</v>
      </c>
      <c r="H1150" s="2">
        <v>0</v>
      </c>
      <c r="I1150" s="2">
        <v>0</v>
      </c>
      <c r="J1150" s="2">
        <v>0</v>
      </c>
      <c r="K1150" s="2">
        <v>0</v>
      </c>
      <c r="L1150" s="2">
        <v>0</v>
      </c>
      <c r="M1150" s="2">
        <v>0</v>
      </c>
      <c r="N1150" s="2">
        <v>0</v>
      </c>
      <c r="O1150" s="2">
        <v>0</v>
      </c>
      <c r="P1150" s="2">
        <v>0</v>
      </c>
      <c r="Q1150" s="2">
        <v>0</v>
      </c>
      <c r="R1150" s="2">
        <v>0</v>
      </c>
      <c r="S1150" s="2" t="s">
        <v>488</v>
      </c>
      <c r="T1150" s="2" t="s">
        <v>488</v>
      </c>
      <c r="U1150" s="2">
        <v>0</v>
      </c>
      <c r="V1150" s="2">
        <v>0</v>
      </c>
      <c r="W1150">
        <f t="shared" si="17"/>
        <v>0</v>
      </c>
    </row>
    <row r="1151" spans="1:23" x14ac:dyDescent="0.25">
      <c r="A1151" s="2" t="s">
        <v>628</v>
      </c>
      <c r="B1151" s="2" t="s">
        <v>917</v>
      </c>
      <c r="C1151" s="2">
        <v>540079</v>
      </c>
      <c r="D1151" s="2" t="s">
        <v>710</v>
      </c>
      <c r="E1151" s="2" t="s">
        <v>39</v>
      </c>
      <c r="F1151" s="2" t="s">
        <v>115</v>
      </c>
      <c r="G1151" s="2">
        <v>3</v>
      </c>
      <c r="H1151" s="2">
        <v>0</v>
      </c>
      <c r="I1151" s="2">
        <v>0</v>
      </c>
      <c r="J1151" s="2">
        <v>0</v>
      </c>
      <c r="K1151" s="2">
        <v>0</v>
      </c>
      <c r="L1151" s="2">
        <v>0</v>
      </c>
      <c r="M1151" s="2">
        <v>0</v>
      </c>
      <c r="N1151" s="2">
        <v>0</v>
      </c>
      <c r="O1151" s="2">
        <v>0</v>
      </c>
      <c r="P1151" s="2">
        <v>0</v>
      </c>
      <c r="Q1151" s="2">
        <v>0</v>
      </c>
      <c r="R1151" s="2">
        <v>0</v>
      </c>
      <c r="S1151" s="2" t="s">
        <v>488</v>
      </c>
      <c r="T1151" s="2" t="s">
        <v>488</v>
      </c>
      <c r="U1151" s="2">
        <v>0</v>
      </c>
      <c r="V1151" s="2">
        <v>0</v>
      </c>
      <c r="W1151">
        <f t="shared" si="17"/>
        <v>0</v>
      </c>
    </row>
    <row r="1152" spans="1:23" x14ac:dyDescent="0.25">
      <c r="A1152" s="2" t="s">
        <v>628</v>
      </c>
      <c r="B1152" s="2" t="s">
        <v>917</v>
      </c>
      <c r="C1152" s="2">
        <v>540081</v>
      </c>
      <c r="D1152" s="2" t="s">
        <v>711</v>
      </c>
      <c r="E1152" s="2" t="s">
        <v>39</v>
      </c>
      <c r="F1152" s="2" t="s">
        <v>115</v>
      </c>
      <c r="G1152" s="2">
        <v>3</v>
      </c>
      <c r="H1152" s="2">
        <v>0</v>
      </c>
      <c r="I1152" s="2">
        <v>0</v>
      </c>
      <c r="J1152" s="2">
        <v>0</v>
      </c>
      <c r="K1152" s="2">
        <v>0</v>
      </c>
      <c r="L1152" s="2">
        <v>0</v>
      </c>
      <c r="M1152" s="2">
        <v>0</v>
      </c>
      <c r="N1152" s="2">
        <v>0</v>
      </c>
      <c r="O1152" s="2">
        <v>0</v>
      </c>
      <c r="P1152" s="2">
        <v>0</v>
      </c>
      <c r="Q1152" s="2">
        <v>0</v>
      </c>
      <c r="R1152" s="2">
        <v>0</v>
      </c>
      <c r="S1152" s="2" t="s">
        <v>488</v>
      </c>
      <c r="T1152" s="2" t="s">
        <v>488</v>
      </c>
      <c r="U1152" s="2">
        <v>0</v>
      </c>
      <c r="V1152" s="2">
        <v>0</v>
      </c>
      <c r="W1152">
        <f t="shared" si="17"/>
        <v>0</v>
      </c>
    </row>
    <row r="1153" spans="1:23" x14ac:dyDescent="0.25">
      <c r="A1153" s="2" t="s">
        <v>628</v>
      </c>
      <c r="B1153" s="2" t="s">
        <v>917</v>
      </c>
      <c r="C1153" s="2">
        <v>540082</v>
      </c>
      <c r="D1153" s="2" t="s">
        <v>712</v>
      </c>
      <c r="E1153" s="2" t="s">
        <v>39</v>
      </c>
      <c r="F1153" s="2" t="s">
        <v>115</v>
      </c>
      <c r="G1153" s="2">
        <v>3</v>
      </c>
      <c r="H1153" s="2">
        <v>0</v>
      </c>
      <c r="I1153" s="2">
        <v>0</v>
      </c>
      <c r="J1153" s="2">
        <v>0</v>
      </c>
      <c r="K1153" s="2">
        <v>0</v>
      </c>
      <c r="L1153" s="2">
        <v>0</v>
      </c>
      <c r="M1153" s="2">
        <v>0</v>
      </c>
      <c r="N1153" s="2">
        <v>0</v>
      </c>
      <c r="O1153" s="2">
        <v>0</v>
      </c>
      <c r="P1153" s="2">
        <v>0</v>
      </c>
      <c r="Q1153" s="2">
        <v>0</v>
      </c>
      <c r="R1153" s="2">
        <v>0</v>
      </c>
      <c r="S1153" s="2" t="s">
        <v>488</v>
      </c>
      <c r="T1153" s="2" t="s">
        <v>488</v>
      </c>
      <c r="U1153" s="2">
        <v>0</v>
      </c>
      <c r="V1153" s="2">
        <v>0</v>
      </c>
      <c r="W1153">
        <f t="shared" si="17"/>
        <v>0</v>
      </c>
    </row>
    <row r="1154" spans="1:23" x14ac:dyDescent="0.25">
      <c r="A1154" s="2" t="s">
        <v>628</v>
      </c>
      <c r="B1154" s="2" t="s">
        <v>917</v>
      </c>
      <c r="C1154" s="2">
        <v>540083</v>
      </c>
      <c r="D1154" s="2" t="s">
        <v>713</v>
      </c>
      <c r="E1154" s="2" t="s">
        <v>39</v>
      </c>
      <c r="F1154" s="2" t="s">
        <v>115</v>
      </c>
      <c r="G1154" s="2">
        <v>3</v>
      </c>
      <c r="H1154" s="2">
        <v>0</v>
      </c>
      <c r="I1154" s="2">
        <v>0</v>
      </c>
      <c r="J1154" s="2">
        <v>0</v>
      </c>
      <c r="K1154" s="2">
        <v>0</v>
      </c>
      <c r="L1154" s="2">
        <v>0</v>
      </c>
      <c r="M1154" s="2">
        <v>0</v>
      </c>
      <c r="N1154" s="2">
        <v>0</v>
      </c>
      <c r="O1154" s="2">
        <v>0</v>
      </c>
      <c r="P1154" s="2">
        <v>0</v>
      </c>
      <c r="Q1154" s="2">
        <v>0</v>
      </c>
      <c r="R1154" s="2">
        <v>0</v>
      </c>
      <c r="S1154" s="2" t="s">
        <v>488</v>
      </c>
      <c r="T1154" s="2" t="s">
        <v>488</v>
      </c>
      <c r="U1154" s="2">
        <v>0</v>
      </c>
      <c r="V1154" s="2">
        <v>0</v>
      </c>
      <c r="W1154">
        <f t="shared" si="17"/>
        <v>0</v>
      </c>
    </row>
    <row r="1155" spans="1:23" x14ac:dyDescent="0.25">
      <c r="A1155" s="2" t="s">
        <v>628</v>
      </c>
      <c r="B1155" s="2" t="s">
        <v>917</v>
      </c>
      <c r="C1155" s="2">
        <v>540223</v>
      </c>
      <c r="D1155" s="2" t="s">
        <v>714</v>
      </c>
      <c r="E1155" s="2" t="s">
        <v>39</v>
      </c>
      <c r="F1155" s="2" t="s">
        <v>115</v>
      </c>
      <c r="G1155" s="2">
        <v>3</v>
      </c>
      <c r="H1155" s="2">
        <v>0</v>
      </c>
      <c r="I1155" s="2">
        <v>0</v>
      </c>
      <c r="J1155" s="2">
        <v>0</v>
      </c>
      <c r="K1155" s="2">
        <v>0</v>
      </c>
      <c r="L1155" s="2">
        <v>0</v>
      </c>
      <c r="M1155" s="2">
        <v>0</v>
      </c>
      <c r="N1155" s="2">
        <v>0</v>
      </c>
      <c r="O1155" s="2">
        <v>0</v>
      </c>
      <c r="P1155" s="2">
        <v>0</v>
      </c>
      <c r="Q1155" s="2">
        <v>0</v>
      </c>
      <c r="R1155" s="2">
        <v>0</v>
      </c>
      <c r="S1155" s="2" t="s">
        <v>488</v>
      </c>
      <c r="T1155" s="2" t="s">
        <v>488</v>
      </c>
      <c r="U1155" s="2">
        <v>0</v>
      </c>
      <c r="V1155" s="2">
        <v>0</v>
      </c>
      <c r="W1155">
        <f t="shared" ref="W1155:W1218" si="18">SUM(N1155,P1155,R1155,T1155,U1155,V1155)</f>
        <v>0</v>
      </c>
    </row>
    <row r="1156" spans="1:23" x14ac:dyDescent="0.25">
      <c r="A1156" s="2" t="s">
        <v>628</v>
      </c>
      <c r="B1156" s="2" t="s">
        <v>917</v>
      </c>
      <c r="C1156" s="2">
        <v>540279</v>
      </c>
      <c r="D1156" s="2" t="s">
        <v>715</v>
      </c>
      <c r="E1156" s="2" t="s">
        <v>39</v>
      </c>
      <c r="F1156" s="2" t="s">
        <v>115</v>
      </c>
      <c r="G1156" s="2">
        <v>3</v>
      </c>
      <c r="H1156" s="2">
        <v>0</v>
      </c>
      <c r="I1156" s="2">
        <v>0</v>
      </c>
      <c r="J1156" s="2">
        <v>0</v>
      </c>
      <c r="K1156" s="2">
        <v>0</v>
      </c>
      <c r="L1156" s="2">
        <v>0</v>
      </c>
      <c r="M1156" s="2">
        <v>0</v>
      </c>
      <c r="N1156" s="2">
        <v>0</v>
      </c>
      <c r="O1156" s="2">
        <v>0</v>
      </c>
      <c r="P1156" s="2">
        <v>0</v>
      </c>
      <c r="Q1156" s="2">
        <v>0</v>
      </c>
      <c r="R1156" s="2">
        <v>0</v>
      </c>
      <c r="S1156" s="2" t="s">
        <v>488</v>
      </c>
      <c r="T1156" s="2" t="s">
        <v>488</v>
      </c>
      <c r="U1156" s="2">
        <v>0</v>
      </c>
      <c r="V1156" s="2">
        <v>0</v>
      </c>
      <c r="W1156">
        <f t="shared" si="18"/>
        <v>0</v>
      </c>
    </row>
    <row r="1157" spans="1:23" x14ac:dyDescent="0.25">
      <c r="A1157" s="2" t="s">
        <v>628</v>
      </c>
      <c r="B1157" s="2" t="s">
        <v>917</v>
      </c>
      <c r="C1157" s="2">
        <v>540033</v>
      </c>
      <c r="D1157" s="2" t="s">
        <v>716</v>
      </c>
      <c r="E1157" s="2" t="s">
        <v>39</v>
      </c>
      <c r="F1157" s="2" t="s">
        <v>115</v>
      </c>
      <c r="G1157" s="2">
        <v>3</v>
      </c>
      <c r="H1157" s="2">
        <v>0</v>
      </c>
      <c r="I1157" s="2">
        <v>0</v>
      </c>
      <c r="J1157" s="2">
        <v>0</v>
      </c>
      <c r="K1157" s="2">
        <v>0</v>
      </c>
      <c r="L1157" s="2">
        <v>0</v>
      </c>
      <c r="M1157" s="2">
        <v>0</v>
      </c>
      <c r="N1157" s="2">
        <v>0</v>
      </c>
      <c r="O1157" s="2">
        <v>0</v>
      </c>
      <c r="P1157" s="2">
        <v>0</v>
      </c>
      <c r="Q1157" s="2">
        <v>0</v>
      </c>
      <c r="R1157" s="2">
        <v>0</v>
      </c>
      <c r="S1157" s="2" t="s">
        <v>488</v>
      </c>
      <c r="T1157" s="2" t="s">
        <v>488</v>
      </c>
      <c r="U1157" s="2">
        <v>0</v>
      </c>
      <c r="V1157" s="2">
        <v>0</v>
      </c>
      <c r="W1157">
        <f t="shared" si="18"/>
        <v>0</v>
      </c>
    </row>
    <row r="1158" spans="1:23" x14ac:dyDescent="0.25">
      <c r="A1158" s="255" t="s">
        <v>628</v>
      </c>
      <c r="B1158" s="255" t="s">
        <v>917</v>
      </c>
      <c r="C1158" s="255"/>
      <c r="D1158" s="255"/>
      <c r="E1158" s="255" t="s">
        <v>39</v>
      </c>
      <c r="F1158" s="255"/>
      <c r="G1158" s="255"/>
      <c r="H1158" s="255">
        <v>0</v>
      </c>
      <c r="I1158" s="255">
        <v>1</v>
      </c>
      <c r="J1158" s="255">
        <v>0</v>
      </c>
      <c r="K1158" s="255">
        <v>0</v>
      </c>
      <c r="L1158" s="255">
        <v>0</v>
      </c>
      <c r="M1158" s="255">
        <v>1</v>
      </c>
      <c r="N1158" s="255">
        <v>1</v>
      </c>
      <c r="O1158" s="255">
        <v>0</v>
      </c>
      <c r="P1158" s="255">
        <v>0</v>
      </c>
      <c r="Q1158" s="255">
        <v>0</v>
      </c>
      <c r="R1158" s="255">
        <v>0</v>
      </c>
      <c r="S1158" s="255" t="s">
        <v>488</v>
      </c>
      <c r="T1158" s="255" t="s">
        <v>488</v>
      </c>
      <c r="U1158" s="255">
        <v>0</v>
      </c>
      <c r="V1158" s="255">
        <v>0</v>
      </c>
      <c r="W1158">
        <f t="shared" si="18"/>
        <v>1</v>
      </c>
    </row>
    <row r="1159" spans="1:23" x14ac:dyDescent="0.25">
      <c r="A1159" s="2" t="s">
        <v>628</v>
      </c>
      <c r="B1159" s="2" t="s">
        <v>917</v>
      </c>
      <c r="C1159" s="2">
        <v>540085</v>
      </c>
      <c r="D1159" s="2" t="s">
        <v>717</v>
      </c>
      <c r="E1159" s="2" t="s">
        <v>41</v>
      </c>
      <c r="F1159" s="2" t="s">
        <v>5</v>
      </c>
      <c r="G1159" s="2">
        <v>7</v>
      </c>
      <c r="H1159" s="2">
        <v>0</v>
      </c>
      <c r="I1159" s="2">
        <v>0</v>
      </c>
      <c r="J1159" s="2">
        <v>0</v>
      </c>
      <c r="K1159" s="2">
        <v>0</v>
      </c>
      <c r="L1159" s="2">
        <v>0</v>
      </c>
      <c r="M1159" s="2">
        <v>0</v>
      </c>
      <c r="N1159" s="2">
        <v>0</v>
      </c>
      <c r="O1159" s="2">
        <v>0</v>
      </c>
      <c r="P1159" s="2">
        <v>0</v>
      </c>
      <c r="Q1159" s="2">
        <v>0</v>
      </c>
      <c r="R1159" s="2">
        <v>0</v>
      </c>
      <c r="S1159" s="2" t="s">
        <v>488</v>
      </c>
      <c r="T1159" s="2" t="s">
        <v>488</v>
      </c>
      <c r="U1159" s="2">
        <v>0</v>
      </c>
      <c r="V1159" s="2">
        <v>0</v>
      </c>
      <c r="W1159">
        <f t="shared" si="18"/>
        <v>0</v>
      </c>
    </row>
    <row r="1160" spans="1:23" x14ac:dyDescent="0.25">
      <c r="A1160" s="2" t="s">
        <v>628</v>
      </c>
      <c r="B1160" s="2" t="s">
        <v>917</v>
      </c>
      <c r="C1160" s="2">
        <v>540086</v>
      </c>
      <c r="D1160" s="2" t="s">
        <v>718</v>
      </c>
      <c r="E1160" s="2" t="s">
        <v>41</v>
      </c>
      <c r="F1160" s="2" t="s">
        <v>115</v>
      </c>
      <c r="G1160" s="2">
        <v>7</v>
      </c>
      <c r="H1160" s="2">
        <v>0</v>
      </c>
      <c r="I1160" s="2">
        <v>0</v>
      </c>
      <c r="J1160" s="2">
        <v>0</v>
      </c>
      <c r="K1160" s="2">
        <v>0</v>
      </c>
      <c r="L1160" s="2">
        <v>0</v>
      </c>
      <c r="M1160" s="2">
        <v>0</v>
      </c>
      <c r="N1160" s="2">
        <v>0</v>
      </c>
      <c r="O1160" s="2">
        <v>0</v>
      </c>
      <c r="P1160" s="2">
        <v>0</v>
      </c>
      <c r="Q1160" s="2">
        <v>0</v>
      </c>
      <c r="R1160" s="2">
        <v>0</v>
      </c>
      <c r="S1160" s="2" t="s">
        <v>488</v>
      </c>
      <c r="T1160" s="2" t="s">
        <v>488</v>
      </c>
      <c r="U1160" s="2">
        <v>0</v>
      </c>
      <c r="V1160" s="2">
        <v>0</v>
      </c>
      <c r="W1160">
        <f t="shared" si="18"/>
        <v>0</v>
      </c>
    </row>
    <row r="1161" spans="1:23" x14ac:dyDescent="0.25">
      <c r="A1161" s="2" t="s">
        <v>628</v>
      </c>
      <c r="B1161" s="2" t="s">
        <v>917</v>
      </c>
      <c r="C1161" s="2">
        <v>540087</v>
      </c>
      <c r="D1161" s="2" t="s">
        <v>719</v>
      </c>
      <c r="E1161" s="2" t="s">
        <v>41</v>
      </c>
      <c r="F1161" s="2" t="s">
        <v>115</v>
      </c>
      <c r="G1161" s="2">
        <v>7</v>
      </c>
      <c r="H1161" s="2">
        <v>0</v>
      </c>
      <c r="I1161" s="2">
        <v>0</v>
      </c>
      <c r="J1161" s="2">
        <v>0</v>
      </c>
      <c r="K1161" s="2">
        <v>0</v>
      </c>
      <c r="L1161" s="2">
        <v>0</v>
      </c>
      <c r="M1161" s="2">
        <v>0</v>
      </c>
      <c r="N1161" s="2">
        <v>0</v>
      </c>
      <c r="O1161" s="2">
        <v>0</v>
      </c>
      <c r="P1161" s="2">
        <v>0</v>
      </c>
      <c r="Q1161" s="2">
        <v>0</v>
      </c>
      <c r="R1161" s="2">
        <v>0</v>
      </c>
      <c r="S1161" s="2" t="s">
        <v>488</v>
      </c>
      <c r="T1161" s="2" t="s">
        <v>488</v>
      </c>
      <c r="U1161" s="2">
        <v>0</v>
      </c>
      <c r="V1161" s="2">
        <v>0</v>
      </c>
      <c r="W1161">
        <f t="shared" si="18"/>
        <v>0</v>
      </c>
    </row>
    <row r="1162" spans="1:23" x14ac:dyDescent="0.25">
      <c r="A1162" s="255" t="s">
        <v>628</v>
      </c>
      <c r="B1162" s="255" t="s">
        <v>917</v>
      </c>
      <c r="C1162" s="255"/>
      <c r="D1162" s="255"/>
      <c r="E1162" s="255" t="s">
        <v>41</v>
      </c>
      <c r="F1162" s="255"/>
      <c r="G1162" s="255"/>
      <c r="H1162" s="255">
        <v>0</v>
      </c>
      <c r="I1162" s="255">
        <v>0</v>
      </c>
      <c r="J1162" s="255">
        <v>0</v>
      </c>
      <c r="K1162" s="255">
        <v>0</v>
      </c>
      <c r="L1162" s="255">
        <v>0</v>
      </c>
      <c r="M1162" s="255">
        <v>0</v>
      </c>
      <c r="N1162" s="255">
        <v>0</v>
      </c>
      <c r="O1162" s="255">
        <v>0</v>
      </c>
      <c r="P1162" s="255">
        <v>0</v>
      </c>
      <c r="Q1162" s="255">
        <v>0</v>
      </c>
      <c r="R1162" s="255">
        <v>0</v>
      </c>
      <c r="S1162" s="255" t="s">
        <v>488</v>
      </c>
      <c r="T1162" s="255" t="s">
        <v>488</v>
      </c>
      <c r="U1162" s="255">
        <v>0</v>
      </c>
      <c r="V1162" s="255">
        <v>0</v>
      </c>
      <c r="W1162">
        <f t="shared" si="18"/>
        <v>0</v>
      </c>
    </row>
    <row r="1163" spans="1:23" x14ac:dyDescent="0.25">
      <c r="A1163" s="2" t="s">
        <v>628</v>
      </c>
      <c r="B1163" s="2" t="s">
        <v>917</v>
      </c>
      <c r="C1163" s="2">
        <v>540088</v>
      </c>
      <c r="D1163" s="2" t="s">
        <v>720</v>
      </c>
      <c r="E1163" s="2" t="s">
        <v>43</v>
      </c>
      <c r="F1163" s="2" t="s">
        <v>5</v>
      </c>
      <c r="G1163" s="2">
        <v>2</v>
      </c>
      <c r="H1163" s="2">
        <v>0</v>
      </c>
      <c r="I1163" s="2">
        <v>0</v>
      </c>
      <c r="J1163" s="2">
        <v>0</v>
      </c>
      <c r="K1163" s="2">
        <v>0</v>
      </c>
      <c r="L1163" s="2">
        <v>0</v>
      </c>
      <c r="M1163" s="2">
        <v>0</v>
      </c>
      <c r="N1163" s="2">
        <v>0</v>
      </c>
      <c r="O1163" s="2">
        <v>0</v>
      </c>
      <c r="P1163" s="2">
        <v>0</v>
      </c>
      <c r="Q1163" s="2" t="s">
        <v>488</v>
      </c>
      <c r="R1163" s="2" t="s">
        <v>488</v>
      </c>
      <c r="S1163" s="2" t="s">
        <v>488</v>
      </c>
      <c r="T1163" s="2" t="s">
        <v>488</v>
      </c>
      <c r="U1163" s="2">
        <v>0</v>
      </c>
      <c r="V1163" s="2">
        <v>0</v>
      </c>
      <c r="W1163">
        <f t="shared" si="18"/>
        <v>0</v>
      </c>
    </row>
    <row r="1164" spans="1:23" x14ac:dyDescent="0.25">
      <c r="A1164" s="2" t="s">
        <v>628</v>
      </c>
      <c r="B1164" s="2" t="s">
        <v>917</v>
      </c>
      <c r="C1164" s="2">
        <v>540089</v>
      </c>
      <c r="D1164" s="2" t="s">
        <v>721</v>
      </c>
      <c r="E1164" s="2" t="s">
        <v>43</v>
      </c>
      <c r="F1164" s="2" t="s">
        <v>115</v>
      </c>
      <c r="G1164" s="2">
        <v>2</v>
      </c>
      <c r="H1164" s="2">
        <v>0</v>
      </c>
      <c r="I1164" s="2">
        <v>0</v>
      </c>
      <c r="J1164" s="2">
        <v>0</v>
      </c>
      <c r="K1164" s="2">
        <v>0</v>
      </c>
      <c r="L1164" s="2">
        <v>0</v>
      </c>
      <c r="M1164" s="2">
        <v>0</v>
      </c>
      <c r="N1164" s="2">
        <v>0</v>
      </c>
      <c r="O1164" s="2">
        <v>0</v>
      </c>
      <c r="P1164" s="2">
        <v>0</v>
      </c>
      <c r="Q1164" s="2" t="s">
        <v>488</v>
      </c>
      <c r="R1164" s="2" t="s">
        <v>488</v>
      </c>
      <c r="S1164" s="2" t="s">
        <v>488</v>
      </c>
      <c r="T1164" s="2" t="s">
        <v>488</v>
      </c>
      <c r="U1164" s="2">
        <v>0</v>
      </c>
      <c r="V1164" s="2">
        <v>0</v>
      </c>
      <c r="W1164">
        <f t="shared" si="18"/>
        <v>0</v>
      </c>
    </row>
    <row r="1165" spans="1:23" x14ac:dyDescent="0.25">
      <c r="A1165" s="2" t="s">
        <v>628</v>
      </c>
      <c r="B1165" s="2" t="s">
        <v>917</v>
      </c>
      <c r="C1165" s="2">
        <v>540090</v>
      </c>
      <c r="D1165" s="2" t="s">
        <v>722</v>
      </c>
      <c r="E1165" s="2" t="s">
        <v>43</v>
      </c>
      <c r="F1165" s="2" t="s">
        <v>115</v>
      </c>
      <c r="G1165" s="2">
        <v>2</v>
      </c>
      <c r="H1165" s="2">
        <v>0</v>
      </c>
      <c r="I1165" s="2">
        <v>0</v>
      </c>
      <c r="J1165" s="2">
        <v>0</v>
      </c>
      <c r="K1165" s="2">
        <v>0</v>
      </c>
      <c r="L1165" s="2">
        <v>0</v>
      </c>
      <c r="M1165" s="2">
        <v>0</v>
      </c>
      <c r="N1165" s="2">
        <v>0</v>
      </c>
      <c r="O1165" s="2">
        <v>0</v>
      </c>
      <c r="P1165" s="2">
        <v>0</v>
      </c>
      <c r="Q1165" s="2" t="s">
        <v>488</v>
      </c>
      <c r="R1165" s="2" t="s">
        <v>488</v>
      </c>
      <c r="S1165" s="2" t="s">
        <v>488</v>
      </c>
      <c r="T1165" s="2" t="s">
        <v>488</v>
      </c>
      <c r="U1165" s="2">
        <v>0</v>
      </c>
      <c r="V1165" s="2">
        <v>0</v>
      </c>
      <c r="W1165">
        <f t="shared" si="18"/>
        <v>0</v>
      </c>
    </row>
    <row r="1166" spans="1:23" x14ac:dyDescent="0.25">
      <c r="A1166" s="255" t="s">
        <v>628</v>
      </c>
      <c r="B1166" s="255" t="s">
        <v>917</v>
      </c>
      <c r="C1166" s="255"/>
      <c r="D1166" s="255"/>
      <c r="E1166" s="255" t="s">
        <v>43</v>
      </c>
      <c r="F1166" s="255"/>
      <c r="G1166" s="255"/>
      <c r="H1166" s="255">
        <v>0</v>
      </c>
      <c r="I1166" s="255">
        <v>0</v>
      </c>
      <c r="J1166" s="255">
        <v>0</v>
      </c>
      <c r="K1166" s="255">
        <v>0</v>
      </c>
      <c r="L1166" s="255">
        <v>0</v>
      </c>
      <c r="M1166" s="255">
        <v>0</v>
      </c>
      <c r="N1166" s="255">
        <v>0</v>
      </c>
      <c r="O1166" s="255">
        <v>0</v>
      </c>
      <c r="P1166" s="255">
        <v>0</v>
      </c>
      <c r="Q1166" s="255" t="s">
        <v>488</v>
      </c>
      <c r="R1166" s="255" t="s">
        <v>488</v>
      </c>
      <c r="S1166" s="255" t="s">
        <v>488</v>
      </c>
      <c r="T1166" s="255" t="s">
        <v>488</v>
      </c>
      <c r="U1166" s="255">
        <v>0</v>
      </c>
      <c r="V1166" s="255">
        <v>0</v>
      </c>
      <c r="W1166">
        <f t="shared" si="18"/>
        <v>0</v>
      </c>
    </row>
    <row r="1167" spans="1:23" x14ac:dyDescent="0.25">
      <c r="A1167" s="2" t="s">
        <v>628</v>
      </c>
      <c r="B1167" s="2" t="s">
        <v>917</v>
      </c>
      <c r="C1167" s="2">
        <v>540097</v>
      </c>
      <c r="D1167" s="2" t="s">
        <v>723</v>
      </c>
      <c r="E1167" s="2" t="s">
        <v>45</v>
      </c>
      <c r="F1167" s="2" t="s">
        <v>5</v>
      </c>
      <c r="G1167" s="2">
        <v>6</v>
      </c>
      <c r="H1167" s="2">
        <v>0</v>
      </c>
      <c r="I1167" s="2">
        <v>0</v>
      </c>
      <c r="J1167" s="2">
        <v>0</v>
      </c>
      <c r="K1167" s="2">
        <v>0</v>
      </c>
      <c r="L1167" s="2">
        <v>0</v>
      </c>
      <c r="M1167" s="2">
        <v>0</v>
      </c>
      <c r="N1167" s="2">
        <v>0</v>
      </c>
      <c r="O1167" s="2">
        <v>0</v>
      </c>
      <c r="P1167" s="2">
        <v>0</v>
      </c>
      <c r="Q1167" s="2">
        <v>0</v>
      </c>
      <c r="R1167" s="2">
        <v>0</v>
      </c>
      <c r="S1167" s="2" t="s">
        <v>488</v>
      </c>
      <c r="T1167" s="2" t="s">
        <v>488</v>
      </c>
      <c r="U1167" s="2">
        <v>0</v>
      </c>
      <c r="V1167" s="2">
        <v>0</v>
      </c>
      <c r="W1167">
        <f t="shared" si="18"/>
        <v>0</v>
      </c>
    </row>
    <row r="1168" spans="1:23" x14ac:dyDescent="0.25">
      <c r="A1168" s="2" t="s">
        <v>628</v>
      </c>
      <c r="B1168" s="2" t="s">
        <v>917</v>
      </c>
      <c r="C1168" s="2">
        <v>540098</v>
      </c>
      <c r="D1168" s="2" t="s">
        <v>724</v>
      </c>
      <c r="E1168" s="2" t="s">
        <v>45</v>
      </c>
      <c r="F1168" s="2" t="s">
        <v>115</v>
      </c>
      <c r="G1168" s="2">
        <v>6</v>
      </c>
      <c r="H1168" s="2">
        <v>0</v>
      </c>
      <c r="I1168" s="2">
        <v>0</v>
      </c>
      <c r="J1168" s="2">
        <v>0</v>
      </c>
      <c r="K1168" s="2">
        <v>0</v>
      </c>
      <c r="L1168" s="2">
        <v>0</v>
      </c>
      <c r="M1168" s="2">
        <v>0</v>
      </c>
      <c r="N1168" s="2">
        <v>0</v>
      </c>
      <c r="O1168" s="2">
        <v>0</v>
      </c>
      <c r="P1168" s="2">
        <v>0</v>
      </c>
      <c r="Q1168" s="2">
        <v>0</v>
      </c>
      <c r="R1168" s="2">
        <v>0</v>
      </c>
      <c r="S1168" s="2" t="s">
        <v>488</v>
      </c>
      <c r="T1168" s="2" t="s">
        <v>488</v>
      </c>
      <c r="U1168" s="2">
        <v>0</v>
      </c>
      <c r="V1168" s="2">
        <v>0</v>
      </c>
      <c r="W1168">
        <f t="shared" si="18"/>
        <v>0</v>
      </c>
    </row>
    <row r="1169" spans="1:23" x14ac:dyDescent="0.25">
      <c r="A1169" s="2" t="s">
        <v>628</v>
      </c>
      <c r="B1169" s="2" t="s">
        <v>917</v>
      </c>
      <c r="C1169" s="2">
        <v>540099</v>
      </c>
      <c r="D1169" s="2" t="s">
        <v>725</v>
      </c>
      <c r="E1169" s="2" t="s">
        <v>45</v>
      </c>
      <c r="F1169" s="2" t="s">
        <v>115</v>
      </c>
      <c r="G1169" s="2">
        <v>6</v>
      </c>
      <c r="H1169" s="2">
        <v>0</v>
      </c>
      <c r="I1169" s="2">
        <v>0</v>
      </c>
      <c r="J1169" s="2">
        <v>0</v>
      </c>
      <c r="K1169" s="2">
        <v>0</v>
      </c>
      <c r="L1169" s="2">
        <v>0</v>
      </c>
      <c r="M1169" s="2">
        <v>0</v>
      </c>
      <c r="N1169" s="2">
        <v>0</v>
      </c>
      <c r="O1169" s="2">
        <v>0</v>
      </c>
      <c r="P1169" s="2">
        <v>0</v>
      </c>
      <c r="Q1169" s="2">
        <v>0</v>
      </c>
      <c r="R1169" s="2">
        <v>0</v>
      </c>
      <c r="S1169" s="2" t="s">
        <v>488</v>
      </c>
      <c r="T1169" s="2" t="s">
        <v>488</v>
      </c>
      <c r="U1169" s="2">
        <v>0</v>
      </c>
      <c r="V1169" s="2">
        <v>0</v>
      </c>
      <c r="W1169">
        <f t="shared" si="18"/>
        <v>0</v>
      </c>
    </row>
    <row r="1170" spans="1:23" x14ac:dyDescent="0.25">
      <c r="A1170" s="2" t="s">
        <v>628</v>
      </c>
      <c r="B1170" s="2" t="s">
        <v>917</v>
      </c>
      <c r="C1170" s="2">
        <v>540100</v>
      </c>
      <c r="D1170" s="2" t="s">
        <v>726</v>
      </c>
      <c r="E1170" s="2" t="s">
        <v>45</v>
      </c>
      <c r="F1170" s="2" t="s">
        <v>115</v>
      </c>
      <c r="G1170" s="2">
        <v>6</v>
      </c>
      <c r="H1170" s="2">
        <v>0</v>
      </c>
      <c r="I1170" s="2">
        <v>0</v>
      </c>
      <c r="J1170" s="2">
        <v>0</v>
      </c>
      <c r="K1170" s="2">
        <v>0</v>
      </c>
      <c r="L1170" s="2">
        <v>0</v>
      </c>
      <c r="M1170" s="2">
        <v>0</v>
      </c>
      <c r="N1170" s="2">
        <v>0</v>
      </c>
      <c r="O1170" s="2">
        <v>0</v>
      </c>
      <c r="P1170" s="2">
        <v>0</v>
      </c>
      <c r="Q1170" s="2">
        <v>0</v>
      </c>
      <c r="R1170" s="2">
        <v>0</v>
      </c>
      <c r="S1170" s="2" t="s">
        <v>488</v>
      </c>
      <c r="T1170" s="2" t="s">
        <v>488</v>
      </c>
      <c r="U1170" s="2">
        <v>0</v>
      </c>
      <c r="V1170" s="2">
        <v>0</v>
      </c>
      <c r="W1170">
        <f t="shared" si="18"/>
        <v>0</v>
      </c>
    </row>
    <row r="1171" spans="1:23" x14ac:dyDescent="0.25">
      <c r="A1171" s="2" t="s">
        <v>628</v>
      </c>
      <c r="B1171" s="2" t="s">
        <v>917</v>
      </c>
      <c r="C1171" s="2">
        <v>540101</v>
      </c>
      <c r="D1171" s="2" t="s">
        <v>727</v>
      </c>
      <c r="E1171" s="2" t="s">
        <v>45</v>
      </c>
      <c r="F1171" s="2" t="s">
        <v>115</v>
      </c>
      <c r="G1171" s="2">
        <v>6</v>
      </c>
      <c r="H1171" s="2">
        <v>0</v>
      </c>
      <c r="I1171" s="2">
        <v>0</v>
      </c>
      <c r="J1171" s="2">
        <v>0</v>
      </c>
      <c r="K1171" s="2">
        <v>0</v>
      </c>
      <c r="L1171" s="2">
        <v>0</v>
      </c>
      <c r="M1171" s="2">
        <v>0</v>
      </c>
      <c r="N1171" s="2">
        <v>0</v>
      </c>
      <c r="O1171" s="2">
        <v>0</v>
      </c>
      <c r="P1171" s="2">
        <v>0</v>
      </c>
      <c r="Q1171" s="2">
        <v>0</v>
      </c>
      <c r="R1171" s="2">
        <v>0</v>
      </c>
      <c r="S1171" s="2" t="s">
        <v>488</v>
      </c>
      <c r="T1171" s="2" t="s">
        <v>488</v>
      </c>
      <c r="U1171" s="2">
        <v>0</v>
      </c>
      <c r="V1171" s="2">
        <v>0</v>
      </c>
      <c r="W1171">
        <f t="shared" si="18"/>
        <v>0</v>
      </c>
    </row>
    <row r="1172" spans="1:23" x14ac:dyDescent="0.25">
      <c r="A1172" s="2" t="s">
        <v>628</v>
      </c>
      <c r="B1172" s="2" t="s">
        <v>917</v>
      </c>
      <c r="C1172" s="2">
        <v>540102</v>
      </c>
      <c r="D1172" s="2" t="s">
        <v>728</v>
      </c>
      <c r="E1172" s="2" t="s">
        <v>45</v>
      </c>
      <c r="F1172" s="2" t="s">
        <v>115</v>
      </c>
      <c r="G1172" s="2">
        <v>6</v>
      </c>
      <c r="H1172" s="2">
        <v>0</v>
      </c>
      <c r="I1172" s="2">
        <v>0</v>
      </c>
      <c r="J1172" s="2">
        <v>0</v>
      </c>
      <c r="K1172" s="2">
        <v>0</v>
      </c>
      <c r="L1172" s="2">
        <v>0</v>
      </c>
      <c r="M1172" s="2">
        <v>0</v>
      </c>
      <c r="N1172" s="2">
        <v>0</v>
      </c>
      <c r="O1172" s="2">
        <v>0</v>
      </c>
      <c r="P1172" s="2">
        <v>0</v>
      </c>
      <c r="Q1172" s="2">
        <v>0</v>
      </c>
      <c r="R1172" s="2">
        <v>0</v>
      </c>
      <c r="S1172" s="2" t="s">
        <v>488</v>
      </c>
      <c r="T1172" s="2" t="s">
        <v>488</v>
      </c>
      <c r="U1172" s="2">
        <v>0</v>
      </c>
      <c r="V1172" s="2">
        <v>0</v>
      </c>
      <c r="W1172">
        <f t="shared" si="18"/>
        <v>0</v>
      </c>
    </row>
    <row r="1173" spans="1:23" x14ac:dyDescent="0.25">
      <c r="A1173" s="2" t="s">
        <v>628</v>
      </c>
      <c r="B1173" s="2" t="s">
        <v>917</v>
      </c>
      <c r="C1173" s="2">
        <v>540103</v>
      </c>
      <c r="D1173" s="2" t="s">
        <v>729</v>
      </c>
      <c r="E1173" s="2" t="s">
        <v>45</v>
      </c>
      <c r="F1173" s="2" t="s">
        <v>115</v>
      </c>
      <c r="G1173" s="2">
        <v>6</v>
      </c>
      <c r="H1173" s="2">
        <v>0</v>
      </c>
      <c r="I1173" s="2">
        <v>0</v>
      </c>
      <c r="J1173" s="2">
        <v>0</v>
      </c>
      <c r="K1173" s="2">
        <v>0</v>
      </c>
      <c r="L1173" s="2">
        <v>0</v>
      </c>
      <c r="M1173" s="2">
        <v>0</v>
      </c>
      <c r="N1173" s="2">
        <v>0</v>
      </c>
      <c r="O1173" s="2">
        <v>0</v>
      </c>
      <c r="P1173" s="2">
        <v>0</v>
      </c>
      <c r="Q1173" s="2">
        <v>0</v>
      </c>
      <c r="R1173" s="2">
        <v>0</v>
      </c>
      <c r="S1173" s="2" t="s">
        <v>488</v>
      </c>
      <c r="T1173" s="2" t="s">
        <v>488</v>
      </c>
      <c r="U1173" s="2">
        <v>0</v>
      </c>
      <c r="V1173" s="2">
        <v>0</v>
      </c>
      <c r="W1173">
        <f t="shared" si="18"/>
        <v>0</v>
      </c>
    </row>
    <row r="1174" spans="1:23" x14ac:dyDescent="0.25">
      <c r="A1174" s="2" t="s">
        <v>628</v>
      </c>
      <c r="B1174" s="2" t="s">
        <v>917</v>
      </c>
      <c r="C1174" s="2">
        <v>540104</v>
      </c>
      <c r="D1174" s="2" t="s">
        <v>730</v>
      </c>
      <c r="E1174" s="2" t="s">
        <v>45</v>
      </c>
      <c r="F1174" s="2" t="s">
        <v>115</v>
      </c>
      <c r="G1174" s="2">
        <v>6</v>
      </c>
      <c r="H1174" s="2">
        <v>0</v>
      </c>
      <c r="I1174" s="2">
        <v>0</v>
      </c>
      <c r="J1174" s="2">
        <v>0</v>
      </c>
      <c r="K1174" s="2">
        <v>0</v>
      </c>
      <c r="L1174" s="2">
        <v>0</v>
      </c>
      <c r="M1174" s="2">
        <v>0</v>
      </c>
      <c r="N1174" s="2">
        <v>0</v>
      </c>
      <c r="O1174" s="2">
        <v>0</v>
      </c>
      <c r="P1174" s="2">
        <v>0</v>
      </c>
      <c r="Q1174" s="2">
        <v>0</v>
      </c>
      <c r="R1174" s="2">
        <v>0</v>
      </c>
      <c r="S1174" s="2" t="s">
        <v>488</v>
      </c>
      <c r="T1174" s="2" t="s">
        <v>488</v>
      </c>
      <c r="U1174" s="2">
        <v>0</v>
      </c>
      <c r="V1174" s="2">
        <v>0</v>
      </c>
      <c r="W1174">
        <f t="shared" si="18"/>
        <v>0</v>
      </c>
    </row>
    <row r="1175" spans="1:23" x14ac:dyDescent="0.25">
      <c r="A1175" s="2" t="s">
        <v>628</v>
      </c>
      <c r="B1175" s="2" t="s">
        <v>917</v>
      </c>
      <c r="C1175" s="2">
        <v>540105</v>
      </c>
      <c r="D1175" s="2" t="s">
        <v>731</v>
      </c>
      <c r="E1175" s="2" t="s">
        <v>45</v>
      </c>
      <c r="F1175" s="2" t="s">
        <v>115</v>
      </c>
      <c r="G1175" s="2">
        <v>6</v>
      </c>
      <c r="H1175" s="2">
        <v>0</v>
      </c>
      <c r="I1175" s="2">
        <v>0</v>
      </c>
      <c r="J1175" s="2">
        <v>0</v>
      </c>
      <c r="K1175" s="2">
        <v>0</v>
      </c>
      <c r="L1175" s="2">
        <v>0</v>
      </c>
      <c r="M1175" s="2">
        <v>0</v>
      </c>
      <c r="N1175" s="2">
        <v>0</v>
      </c>
      <c r="O1175" s="2">
        <v>0</v>
      </c>
      <c r="P1175" s="2">
        <v>0</v>
      </c>
      <c r="Q1175" s="2">
        <v>0</v>
      </c>
      <c r="R1175" s="2">
        <v>0</v>
      </c>
      <c r="S1175" s="2" t="s">
        <v>488</v>
      </c>
      <c r="T1175" s="2" t="s">
        <v>488</v>
      </c>
      <c r="U1175" s="2">
        <v>0</v>
      </c>
      <c r="V1175" s="2">
        <v>0</v>
      </c>
      <c r="W1175">
        <f t="shared" si="18"/>
        <v>0</v>
      </c>
    </row>
    <row r="1176" spans="1:23" x14ac:dyDescent="0.25">
      <c r="A1176" s="2" t="s">
        <v>628</v>
      </c>
      <c r="B1176" s="2" t="s">
        <v>917</v>
      </c>
      <c r="C1176" s="2">
        <v>540106</v>
      </c>
      <c r="D1176" s="2" t="s">
        <v>732</v>
      </c>
      <c r="E1176" s="2" t="s">
        <v>45</v>
      </c>
      <c r="F1176" s="2" t="s">
        <v>115</v>
      </c>
      <c r="G1176" s="2">
        <v>6</v>
      </c>
      <c r="H1176" s="2">
        <v>0</v>
      </c>
      <c r="I1176" s="2">
        <v>0</v>
      </c>
      <c r="J1176" s="2">
        <v>0</v>
      </c>
      <c r="K1176" s="2">
        <v>0</v>
      </c>
      <c r="L1176" s="2">
        <v>0</v>
      </c>
      <c r="M1176" s="2">
        <v>0</v>
      </c>
      <c r="N1176" s="2">
        <v>0</v>
      </c>
      <c r="O1176" s="2">
        <v>0</v>
      </c>
      <c r="P1176" s="2">
        <v>0</v>
      </c>
      <c r="Q1176" s="2">
        <v>0</v>
      </c>
      <c r="R1176" s="2">
        <v>0</v>
      </c>
      <c r="S1176" s="2" t="s">
        <v>488</v>
      </c>
      <c r="T1176" s="2" t="s">
        <v>488</v>
      </c>
      <c r="U1176" s="2">
        <v>0</v>
      </c>
      <c r="V1176" s="2">
        <v>0</v>
      </c>
      <c r="W1176">
        <f t="shared" si="18"/>
        <v>0</v>
      </c>
    </row>
    <row r="1177" spans="1:23" x14ac:dyDescent="0.25">
      <c r="A1177" s="2" t="s">
        <v>628</v>
      </c>
      <c r="B1177" s="2" t="s">
        <v>917</v>
      </c>
      <c r="C1177" s="2">
        <v>540292</v>
      </c>
      <c r="D1177" s="2" t="s">
        <v>733</v>
      </c>
      <c r="E1177" s="2" t="s">
        <v>45</v>
      </c>
      <c r="F1177" s="2" t="s">
        <v>115</v>
      </c>
      <c r="G1177" s="2">
        <v>6</v>
      </c>
      <c r="H1177" s="2">
        <v>0</v>
      </c>
      <c r="I1177" s="2">
        <v>0</v>
      </c>
      <c r="J1177" s="2">
        <v>0</v>
      </c>
      <c r="K1177" s="2">
        <v>0</v>
      </c>
      <c r="L1177" s="2">
        <v>0</v>
      </c>
      <c r="M1177" s="2">
        <v>0</v>
      </c>
      <c r="N1177" s="2">
        <v>0</v>
      </c>
      <c r="O1177" s="2">
        <v>0</v>
      </c>
      <c r="P1177" s="2">
        <v>0</v>
      </c>
      <c r="Q1177" s="2">
        <v>0</v>
      </c>
      <c r="R1177" s="2">
        <v>0</v>
      </c>
      <c r="S1177" s="2" t="s">
        <v>488</v>
      </c>
      <c r="T1177" s="2" t="s">
        <v>488</v>
      </c>
      <c r="U1177" s="2">
        <v>0</v>
      </c>
      <c r="V1177" s="2">
        <v>0</v>
      </c>
      <c r="W1177">
        <f t="shared" si="18"/>
        <v>0</v>
      </c>
    </row>
    <row r="1178" spans="1:23" x14ac:dyDescent="0.25">
      <c r="A1178" s="2" t="s">
        <v>628</v>
      </c>
      <c r="B1178" s="2" t="s">
        <v>917</v>
      </c>
      <c r="C1178" s="2">
        <v>545556</v>
      </c>
      <c r="D1178" s="2" t="s">
        <v>734</v>
      </c>
      <c r="E1178" s="2" t="s">
        <v>45</v>
      </c>
      <c r="F1178" s="2" t="s">
        <v>115</v>
      </c>
      <c r="G1178" s="2">
        <v>6</v>
      </c>
      <c r="H1178" s="2">
        <v>0</v>
      </c>
      <c r="I1178" s="2">
        <v>0</v>
      </c>
      <c r="J1178" s="2">
        <v>0</v>
      </c>
      <c r="K1178" s="2">
        <v>0</v>
      </c>
      <c r="L1178" s="2">
        <v>0</v>
      </c>
      <c r="M1178" s="2">
        <v>0</v>
      </c>
      <c r="N1178" s="2">
        <v>0</v>
      </c>
      <c r="O1178" s="2">
        <v>0</v>
      </c>
      <c r="P1178" s="2">
        <v>0</v>
      </c>
      <c r="Q1178" s="2">
        <v>0</v>
      </c>
      <c r="R1178" s="2">
        <v>0</v>
      </c>
      <c r="S1178" s="2" t="s">
        <v>488</v>
      </c>
      <c r="T1178" s="2" t="s">
        <v>488</v>
      </c>
      <c r="U1178" s="2">
        <v>0</v>
      </c>
      <c r="V1178" s="2">
        <v>0</v>
      </c>
      <c r="W1178">
        <f t="shared" si="18"/>
        <v>0</v>
      </c>
    </row>
    <row r="1179" spans="1:23" x14ac:dyDescent="0.25">
      <c r="A1179" s="255" t="s">
        <v>628</v>
      </c>
      <c r="B1179" s="255" t="s">
        <v>917</v>
      </c>
      <c r="C1179" s="255"/>
      <c r="D1179" s="255"/>
      <c r="E1179" s="255" t="s">
        <v>45</v>
      </c>
      <c r="F1179" s="255"/>
      <c r="G1179" s="255"/>
      <c r="H1179" s="255">
        <v>0</v>
      </c>
      <c r="I1179" s="255">
        <v>0</v>
      </c>
      <c r="J1179" s="255">
        <v>0</v>
      </c>
      <c r="K1179" s="255">
        <v>0</v>
      </c>
      <c r="L1179" s="255">
        <v>0</v>
      </c>
      <c r="M1179" s="255">
        <v>0</v>
      </c>
      <c r="N1179" s="255">
        <v>0</v>
      </c>
      <c r="O1179" s="255">
        <v>0</v>
      </c>
      <c r="P1179" s="255">
        <v>0</v>
      </c>
      <c r="Q1179" s="255">
        <v>0</v>
      </c>
      <c r="R1179" s="255">
        <v>0</v>
      </c>
      <c r="S1179" s="255" t="s">
        <v>488</v>
      </c>
      <c r="T1179" s="255" t="s">
        <v>488</v>
      </c>
      <c r="U1179" s="255">
        <v>0</v>
      </c>
      <c r="V1179" s="255">
        <v>0</v>
      </c>
      <c r="W1179">
        <f t="shared" si="18"/>
        <v>0</v>
      </c>
    </row>
    <row r="1180" spans="1:23" x14ac:dyDescent="0.25">
      <c r="A1180" s="2" t="s">
        <v>628</v>
      </c>
      <c r="B1180" s="2" t="s">
        <v>917</v>
      </c>
      <c r="C1180" s="2">
        <v>540107</v>
      </c>
      <c r="D1180" s="2" t="s">
        <v>735</v>
      </c>
      <c r="E1180" s="2" t="s">
        <v>47</v>
      </c>
      <c r="F1180" s="2" t="s">
        <v>5</v>
      </c>
      <c r="G1180" s="2">
        <v>10</v>
      </c>
      <c r="H1180" s="2">
        <v>0</v>
      </c>
      <c r="I1180" s="2">
        <v>0</v>
      </c>
      <c r="J1180" s="2">
        <v>0</v>
      </c>
      <c r="K1180" s="2">
        <v>0</v>
      </c>
      <c r="L1180" s="2">
        <v>0</v>
      </c>
      <c r="M1180" s="2">
        <v>0</v>
      </c>
      <c r="N1180" s="2">
        <v>0</v>
      </c>
      <c r="O1180" s="2">
        <v>0</v>
      </c>
      <c r="P1180" s="2">
        <v>0</v>
      </c>
      <c r="Q1180" s="2" t="s">
        <v>488</v>
      </c>
      <c r="R1180" s="2" t="s">
        <v>488</v>
      </c>
      <c r="S1180" s="2" t="s">
        <v>488</v>
      </c>
      <c r="T1180" s="2" t="s">
        <v>488</v>
      </c>
      <c r="U1180" s="2">
        <v>0</v>
      </c>
      <c r="V1180" s="2">
        <v>0</v>
      </c>
      <c r="W1180">
        <f t="shared" si="18"/>
        <v>0</v>
      </c>
    </row>
    <row r="1181" spans="1:23" x14ac:dyDescent="0.25">
      <c r="A1181" s="2" t="s">
        <v>628</v>
      </c>
      <c r="B1181" s="2" t="s">
        <v>917</v>
      </c>
      <c r="C1181" s="2">
        <v>540108</v>
      </c>
      <c r="D1181" s="2" t="s">
        <v>736</v>
      </c>
      <c r="E1181" s="2" t="s">
        <v>47</v>
      </c>
      <c r="F1181" s="2" t="s">
        <v>115</v>
      </c>
      <c r="G1181" s="2">
        <v>10</v>
      </c>
      <c r="H1181" s="2">
        <v>0</v>
      </c>
      <c r="I1181" s="2">
        <v>0</v>
      </c>
      <c r="J1181" s="2">
        <v>0</v>
      </c>
      <c r="K1181" s="2">
        <v>0</v>
      </c>
      <c r="L1181" s="2">
        <v>0</v>
      </c>
      <c r="M1181" s="2">
        <v>0</v>
      </c>
      <c r="N1181" s="2">
        <v>0</v>
      </c>
      <c r="O1181" s="2">
        <v>0</v>
      </c>
      <c r="P1181" s="2">
        <v>0</v>
      </c>
      <c r="Q1181" s="2" t="s">
        <v>488</v>
      </c>
      <c r="R1181" s="2" t="s">
        <v>488</v>
      </c>
      <c r="S1181" s="2" t="s">
        <v>488</v>
      </c>
      <c r="T1181" s="2" t="s">
        <v>488</v>
      </c>
      <c r="U1181" s="2">
        <v>0</v>
      </c>
      <c r="V1181" s="2">
        <v>0</v>
      </c>
      <c r="W1181">
        <f t="shared" si="18"/>
        <v>0</v>
      </c>
    </row>
    <row r="1182" spans="1:23" x14ac:dyDescent="0.25">
      <c r="A1182" s="2" t="s">
        <v>628</v>
      </c>
      <c r="B1182" s="2" t="s">
        <v>917</v>
      </c>
      <c r="C1182" s="2">
        <v>540109</v>
      </c>
      <c r="D1182" s="2" t="s">
        <v>737</v>
      </c>
      <c r="E1182" s="2" t="s">
        <v>47</v>
      </c>
      <c r="F1182" s="2" t="s">
        <v>115</v>
      </c>
      <c r="G1182" s="2">
        <v>10</v>
      </c>
      <c r="H1182" s="2">
        <v>0</v>
      </c>
      <c r="I1182" s="2">
        <v>0</v>
      </c>
      <c r="J1182" s="2">
        <v>0</v>
      </c>
      <c r="K1182" s="2">
        <v>0</v>
      </c>
      <c r="L1182" s="2">
        <v>0</v>
      </c>
      <c r="M1182" s="2">
        <v>0</v>
      </c>
      <c r="N1182" s="2">
        <v>0</v>
      </c>
      <c r="O1182" s="2">
        <v>0</v>
      </c>
      <c r="P1182" s="2">
        <v>0</v>
      </c>
      <c r="Q1182" s="2" t="s">
        <v>488</v>
      </c>
      <c r="R1182" s="2" t="s">
        <v>488</v>
      </c>
      <c r="S1182" s="2" t="s">
        <v>488</v>
      </c>
      <c r="T1182" s="2" t="s">
        <v>488</v>
      </c>
      <c r="U1182" s="2">
        <v>0</v>
      </c>
      <c r="V1182" s="2">
        <v>0</v>
      </c>
      <c r="W1182">
        <f t="shared" si="18"/>
        <v>0</v>
      </c>
    </row>
    <row r="1183" spans="1:23" x14ac:dyDescent="0.25">
      <c r="A1183" s="2" t="s">
        <v>628</v>
      </c>
      <c r="B1183" s="2" t="s">
        <v>917</v>
      </c>
      <c r="C1183" s="2">
        <v>540110</v>
      </c>
      <c r="D1183" s="2" t="s">
        <v>738</v>
      </c>
      <c r="E1183" s="2" t="s">
        <v>47</v>
      </c>
      <c r="F1183" s="2" t="s">
        <v>115</v>
      </c>
      <c r="G1183" s="2">
        <v>10</v>
      </c>
      <c r="H1183" s="2">
        <v>0</v>
      </c>
      <c r="I1183" s="2">
        <v>0</v>
      </c>
      <c r="J1183" s="2">
        <v>0</v>
      </c>
      <c r="K1183" s="2">
        <v>0</v>
      </c>
      <c r="L1183" s="2">
        <v>0</v>
      </c>
      <c r="M1183" s="2">
        <v>0</v>
      </c>
      <c r="N1183" s="2">
        <v>0</v>
      </c>
      <c r="O1183" s="2">
        <v>0</v>
      </c>
      <c r="P1183" s="2">
        <v>0</v>
      </c>
      <c r="Q1183" s="2" t="s">
        <v>488</v>
      </c>
      <c r="R1183" s="2" t="s">
        <v>488</v>
      </c>
      <c r="S1183" s="2" t="s">
        <v>488</v>
      </c>
      <c r="T1183" s="2" t="s">
        <v>488</v>
      </c>
      <c r="U1183" s="2">
        <v>0</v>
      </c>
      <c r="V1183" s="2">
        <v>0</v>
      </c>
      <c r="W1183">
        <f t="shared" si="18"/>
        <v>0</v>
      </c>
    </row>
    <row r="1184" spans="1:23" x14ac:dyDescent="0.25">
      <c r="A1184" s="2" t="s">
        <v>628</v>
      </c>
      <c r="B1184" s="2" t="s">
        <v>917</v>
      </c>
      <c r="C1184" s="2">
        <v>540111</v>
      </c>
      <c r="D1184" s="2" t="s">
        <v>739</v>
      </c>
      <c r="E1184" s="2" t="s">
        <v>47</v>
      </c>
      <c r="F1184" s="2" t="s">
        <v>115</v>
      </c>
      <c r="G1184" s="2">
        <v>10</v>
      </c>
      <c r="H1184" s="2">
        <v>0</v>
      </c>
      <c r="I1184" s="2">
        <v>0</v>
      </c>
      <c r="J1184" s="2">
        <v>0</v>
      </c>
      <c r="K1184" s="2">
        <v>0</v>
      </c>
      <c r="L1184" s="2">
        <v>0</v>
      </c>
      <c r="M1184" s="2">
        <v>0</v>
      </c>
      <c r="N1184" s="2">
        <v>0</v>
      </c>
      <c r="O1184" s="2">
        <v>0</v>
      </c>
      <c r="P1184" s="2">
        <v>0</v>
      </c>
      <c r="Q1184" s="2" t="s">
        <v>488</v>
      </c>
      <c r="R1184" s="2" t="s">
        <v>488</v>
      </c>
      <c r="S1184" s="2" t="s">
        <v>488</v>
      </c>
      <c r="T1184" s="2" t="s">
        <v>488</v>
      </c>
      <c r="U1184" s="2">
        <v>0</v>
      </c>
      <c r="V1184" s="2">
        <v>0</v>
      </c>
      <c r="W1184">
        <f t="shared" si="18"/>
        <v>0</v>
      </c>
    </row>
    <row r="1185" spans="1:23" x14ac:dyDescent="0.25">
      <c r="A1185" s="2" t="s">
        <v>628</v>
      </c>
      <c r="B1185" s="2" t="s">
        <v>917</v>
      </c>
      <c r="C1185" s="2">
        <v>540287</v>
      </c>
      <c r="D1185" s="2" t="s">
        <v>740</v>
      </c>
      <c r="E1185" s="2" t="s">
        <v>47</v>
      </c>
      <c r="F1185" s="2" t="s">
        <v>115</v>
      </c>
      <c r="G1185" s="2">
        <v>10</v>
      </c>
      <c r="H1185" s="2">
        <v>0</v>
      </c>
      <c r="I1185" s="2">
        <v>1</v>
      </c>
      <c r="J1185" s="2">
        <v>0</v>
      </c>
      <c r="K1185" s="2">
        <v>0</v>
      </c>
      <c r="L1185" s="2">
        <v>0</v>
      </c>
      <c r="M1185" s="2">
        <v>1</v>
      </c>
      <c r="N1185" s="2">
        <v>1</v>
      </c>
      <c r="O1185" s="2">
        <v>0</v>
      </c>
      <c r="P1185" s="2">
        <v>0</v>
      </c>
      <c r="Q1185" s="2" t="s">
        <v>488</v>
      </c>
      <c r="R1185" s="2" t="s">
        <v>488</v>
      </c>
      <c r="S1185" s="2" t="s">
        <v>488</v>
      </c>
      <c r="T1185" s="2" t="s">
        <v>488</v>
      </c>
      <c r="U1185" s="2">
        <v>0</v>
      </c>
      <c r="V1185" s="2">
        <v>0</v>
      </c>
      <c r="W1185">
        <f t="shared" si="18"/>
        <v>1</v>
      </c>
    </row>
    <row r="1186" spans="1:23" x14ac:dyDescent="0.25">
      <c r="A1186" s="2" t="s">
        <v>628</v>
      </c>
      <c r="B1186" s="2" t="s">
        <v>917</v>
      </c>
      <c r="C1186" s="2">
        <v>540152</v>
      </c>
      <c r="D1186" s="2" t="s">
        <v>741</v>
      </c>
      <c r="E1186" s="2" t="s">
        <v>47</v>
      </c>
      <c r="F1186" s="2" t="s">
        <v>115</v>
      </c>
      <c r="G1186" s="2">
        <v>10</v>
      </c>
      <c r="H1186" s="2">
        <v>0</v>
      </c>
      <c r="I1186" s="2">
        <v>0</v>
      </c>
      <c r="J1186" s="2">
        <v>0</v>
      </c>
      <c r="K1186" s="2">
        <v>0</v>
      </c>
      <c r="L1186" s="2">
        <v>0</v>
      </c>
      <c r="M1186" s="2">
        <v>0</v>
      </c>
      <c r="N1186" s="2">
        <v>0</v>
      </c>
      <c r="O1186" s="2">
        <v>0</v>
      </c>
      <c r="P1186" s="2">
        <v>0</v>
      </c>
      <c r="Q1186" s="2" t="s">
        <v>488</v>
      </c>
      <c r="R1186" s="2" t="s">
        <v>488</v>
      </c>
      <c r="S1186" s="2" t="s">
        <v>488</v>
      </c>
      <c r="T1186" s="2" t="s">
        <v>488</v>
      </c>
      <c r="U1186" s="2">
        <v>0</v>
      </c>
      <c r="V1186" s="2">
        <v>0</v>
      </c>
      <c r="W1186">
        <f t="shared" si="18"/>
        <v>0</v>
      </c>
    </row>
    <row r="1187" spans="1:23" x14ac:dyDescent="0.25">
      <c r="A1187" s="255" t="s">
        <v>628</v>
      </c>
      <c r="B1187" s="255" t="s">
        <v>917</v>
      </c>
      <c r="C1187" s="255"/>
      <c r="D1187" s="255"/>
      <c r="E1187" s="255" t="s">
        <v>47</v>
      </c>
      <c r="F1187" s="255"/>
      <c r="G1187" s="255"/>
      <c r="H1187" s="255">
        <v>0</v>
      </c>
      <c r="I1187" s="255">
        <v>1</v>
      </c>
      <c r="J1187" s="255">
        <v>0</v>
      </c>
      <c r="K1187" s="255">
        <v>0</v>
      </c>
      <c r="L1187" s="255">
        <v>0</v>
      </c>
      <c r="M1187" s="255">
        <v>1</v>
      </c>
      <c r="N1187" s="255">
        <v>1</v>
      </c>
      <c r="O1187" s="255">
        <v>0</v>
      </c>
      <c r="P1187" s="255">
        <v>0</v>
      </c>
      <c r="Q1187" s="255" t="s">
        <v>488</v>
      </c>
      <c r="R1187" s="255" t="s">
        <v>488</v>
      </c>
      <c r="S1187" s="255" t="s">
        <v>488</v>
      </c>
      <c r="T1187" s="255" t="s">
        <v>488</v>
      </c>
      <c r="U1187" s="255">
        <v>0</v>
      </c>
      <c r="V1187" s="255">
        <v>0</v>
      </c>
      <c r="W1187">
        <f t="shared" si="18"/>
        <v>1</v>
      </c>
    </row>
    <row r="1188" spans="1:23" x14ac:dyDescent="0.25">
      <c r="A1188" s="2" t="s">
        <v>628</v>
      </c>
      <c r="B1188" s="2" t="s">
        <v>917</v>
      </c>
      <c r="C1188" s="2">
        <v>540112</v>
      </c>
      <c r="D1188" s="2" t="s">
        <v>742</v>
      </c>
      <c r="E1188" s="2" t="s">
        <v>49</v>
      </c>
      <c r="F1188" s="2" t="s">
        <v>5</v>
      </c>
      <c r="G1188" s="2">
        <v>2</v>
      </c>
      <c r="H1188" s="2">
        <v>0</v>
      </c>
      <c r="I1188" s="2">
        <v>0</v>
      </c>
      <c r="J1188" s="2">
        <v>0</v>
      </c>
      <c r="K1188" s="2">
        <v>0</v>
      </c>
      <c r="L1188" s="2">
        <v>0</v>
      </c>
      <c r="M1188" s="2">
        <v>0</v>
      </c>
      <c r="N1188" s="2">
        <v>0</v>
      </c>
      <c r="O1188" s="2">
        <v>0</v>
      </c>
      <c r="P1188" s="2">
        <v>0</v>
      </c>
      <c r="Q1188" s="2" t="s">
        <v>488</v>
      </c>
      <c r="R1188" s="2" t="s">
        <v>488</v>
      </c>
      <c r="S1188" s="2" t="s">
        <v>488</v>
      </c>
      <c r="T1188" s="2" t="s">
        <v>488</v>
      </c>
      <c r="U1188" s="2">
        <v>0</v>
      </c>
      <c r="V1188" s="2">
        <v>0</v>
      </c>
      <c r="W1188">
        <f t="shared" si="18"/>
        <v>0</v>
      </c>
    </row>
    <row r="1189" spans="1:23" x14ac:dyDescent="0.25">
      <c r="A1189" s="2" t="s">
        <v>628</v>
      </c>
      <c r="B1189" s="2" t="s">
        <v>917</v>
      </c>
      <c r="C1189" s="2">
        <v>540113</v>
      </c>
      <c r="D1189" s="2" t="s">
        <v>743</v>
      </c>
      <c r="E1189" s="2" t="s">
        <v>49</v>
      </c>
      <c r="F1189" s="2" t="s">
        <v>115</v>
      </c>
      <c r="G1189" s="2">
        <v>2</v>
      </c>
      <c r="H1189" s="2">
        <v>0</v>
      </c>
      <c r="I1189" s="2">
        <v>0</v>
      </c>
      <c r="J1189" s="2">
        <v>0</v>
      </c>
      <c r="K1189" s="2">
        <v>0</v>
      </c>
      <c r="L1189" s="2">
        <v>0</v>
      </c>
      <c r="M1189" s="2">
        <v>0</v>
      </c>
      <c r="N1189" s="2">
        <v>0</v>
      </c>
      <c r="O1189" s="2">
        <v>0</v>
      </c>
      <c r="P1189" s="2">
        <v>0</v>
      </c>
      <c r="Q1189" s="2" t="s">
        <v>488</v>
      </c>
      <c r="R1189" s="2" t="s">
        <v>488</v>
      </c>
      <c r="S1189" s="2" t="s">
        <v>488</v>
      </c>
      <c r="T1189" s="2" t="s">
        <v>488</v>
      </c>
      <c r="U1189" s="2">
        <v>0</v>
      </c>
      <c r="V1189" s="2">
        <v>0</v>
      </c>
      <c r="W1189">
        <f t="shared" si="18"/>
        <v>0</v>
      </c>
    </row>
    <row r="1190" spans="1:23" x14ac:dyDescent="0.25">
      <c r="A1190" s="2" t="s">
        <v>628</v>
      </c>
      <c r="B1190" s="2" t="s">
        <v>917</v>
      </c>
      <c r="C1190" s="2">
        <v>540247</v>
      </c>
      <c r="D1190" s="2" t="s">
        <v>744</v>
      </c>
      <c r="E1190" s="2" t="s">
        <v>49</v>
      </c>
      <c r="F1190" s="2" t="s">
        <v>115</v>
      </c>
      <c r="G1190" s="2">
        <v>2</v>
      </c>
      <c r="H1190" s="2">
        <v>0</v>
      </c>
      <c r="I1190" s="2">
        <v>0</v>
      </c>
      <c r="J1190" s="2">
        <v>0</v>
      </c>
      <c r="K1190" s="2">
        <v>0</v>
      </c>
      <c r="L1190" s="2">
        <v>0</v>
      </c>
      <c r="M1190" s="2">
        <v>0</v>
      </c>
      <c r="N1190" s="2">
        <v>0</v>
      </c>
      <c r="O1190" s="2">
        <v>0</v>
      </c>
      <c r="P1190" s="2">
        <v>0</v>
      </c>
      <c r="Q1190" s="2" t="s">
        <v>488</v>
      </c>
      <c r="R1190" s="2" t="s">
        <v>488</v>
      </c>
      <c r="S1190" s="2" t="s">
        <v>488</v>
      </c>
      <c r="T1190" s="2" t="s">
        <v>488</v>
      </c>
      <c r="U1190" s="2">
        <v>0</v>
      </c>
      <c r="V1190" s="2">
        <v>0</v>
      </c>
      <c r="W1190">
        <f t="shared" si="18"/>
        <v>0</v>
      </c>
    </row>
    <row r="1191" spans="1:23" x14ac:dyDescent="0.25">
      <c r="A1191" s="2" t="s">
        <v>628</v>
      </c>
      <c r="B1191" s="2" t="s">
        <v>917</v>
      </c>
      <c r="C1191" s="2">
        <v>540248</v>
      </c>
      <c r="D1191" s="2" t="s">
        <v>745</v>
      </c>
      <c r="E1191" s="2" t="s">
        <v>49</v>
      </c>
      <c r="F1191" s="2" t="s">
        <v>115</v>
      </c>
      <c r="G1191" s="2">
        <v>2</v>
      </c>
      <c r="H1191" s="2">
        <v>0</v>
      </c>
      <c r="I1191" s="2">
        <v>0</v>
      </c>
      <c r="J1191" s="2">
        <v>0</v>
      </c>
      <c r="K1191" s="2">
        <v>0</v>
      </c>
      <c r="L1191" s="2">
        <v>0</v>
      </c>
      <c r="M1191" s="2">
        <v>0</v>
      </c>
      <c r="N1191" s="2">
        <v>0</v>
      </c>
      <c r="O1191" s="2">
        <v>0</v>
      </c>
      <c r="P1191" s="2">
        <v>0</v>
      </c>
      <c r="Q1191" s="2" t="s">
        <v>488</v>
      </c>
      <c r="R1191" s="2" t="s">
        <v>488</v>
      </c>
      <c r="S1191" s="2" t="s">
        <v>488</v>
      </c>
      <c r="T1191" s="2" t="s">
        <v>488</v>
      </c>
      <c r="U1191" s="2">
        <v>0</v>
      </c>
      <c r="V1191" s="2">
        <v>0</v>
      </c>
      <c r="W1191">
        <f t="shared" si="18"/>
        <v>0</v>
      </c>
    </row>
    <row r="1192" spans="1:23" x14ac:dyDescent="0.25">
      <c r="A1192" s="2" t="s">
        <v>628</v>
      </c>
      <c r="B1192" s="2" t="s">
        <v>917</v>
      </c>
      <c r="C1192" s="2">
        <v>540249</v>
      </c>
      <c r="D1192" s="2" t="s">
        <v>746</v>
      </c>
      <c r="E1192" s="2" t="s">
        <v>49</v>
      </c>
      <c r="F1192" s="2" t="s">
        <v>115</v>
      </c>
      <c r="G1192" s="2">
        <v>2</v>
      </c>
      <c r="H1192" s="2">
        <v>0</v>
      </c>
      <c r="I1192" s="2">
        <v>0</v>
      </c>
      <c r="J1192" s="2">
        <v>0</v>
      </c>
      <c r="K1192" s="2">
        <v>0</v>
      </c>
      <c r="L1192" s="2">
        <v>0</v>
      </c>
      <c r="M1192" s="2">
        <v>0</v>
      </c>
      <c r="N1192" s="2">
        <v>0</v>
      </c>
      <c r="O1192" s="2">
        <v>0</v>
      </c>
      <c r="P1192" s="2">
        <v>0</v>
      </c>
      <c r="Q1192" s="2" t="s">
        <v>488</v>
      </c>
      <c r="R1192" s="2" t="s">
        <v>488</v>
      </c>
      <c r="S1192" s="2" t="s">
        <v>488</v>
      </c>
      <c r="T1192" s="2" t="s">
        <v>488</v>
      </c>
      <c r="U1192" s="2">
        <v>0</v>
      </c>
      <c r="V1192" s="2">
        <v>0</v>
      </c>
      <c r="W1192">
        <f t="shared" si="18"/>
        <v>0</v>
      </c>
    </row>
    <row r="1193" spans="1:23" x14ac:dyDescent="0.25">
      <c r="A1193" s="2" t="s">
        <v>628</v>
      </c>
      <c r="B1193" s="2" t="s">
        <v>917</v>
      </c>
      <c r="C1193" s="2">
        <v>540250</v>
      </c>
      <c r="D1193" s="2" t="s">
        <v>747</v>
      </c>
      <c r="E1193" s="2" t="s">
        <v>49</v>
      </c>
      <c r="F1193" s="2" t="s">
        <v>115</v>
      </c>
      <c r="G1193" s="2">
        <v>2</v>
      </c>
      <c r="H1193" s="2">
        <v>0</v>
      </c>
      <c r="I1193" s="2">
        <v>0</v>
      </c>
      <c r="J1193" s="2">
        <v>0</v>
      </c>
      <c r="K1193" s="2">
        <v>0</v>
      </c>
      <c r="L1193" s="2">
        <v>0</v>
      </c>
      <c r="M1193" s="2">
        <v>0</v>
      </c>
      <c r="N1193" s="2">
        <v>0</v>
      </c>
      <c r="O1193" s="2">
        <v>0</v>
      </c>
      <c r="P1193" s="2">
        <v>0</v>
      </c>
      <c r="Q1193" s="2" t="s">
        <v>488</v>
      </c>
      <c r="R1193" s="2" t="s">
        <v>488</v>
      </c>
      <c r="S1193" s="2" t="s">
        <v>488</v>
      </c>
      <c r="T1193" s="2" t="s">
        <v>488</v>
      </c>
      <c r="U1193" s="2">
        <v>0</v>
      </c>
      <c r="V1193" s="2">
        <v>0</v>
      </c>
      <c r="W1193">
        <f t="shared" si="18"/>
        <v>0</v>
      </c>
    </row>
    <row r="1194" spans="1:23" x14ac:dyDescent="0.25">
      <c r="A1194" s="2" t="s">
        <v>628</v>
      </c>
      <c r="B1194" s="2" t="s">
        <v>917</v>
      </c>
      <c r="C1194" s="2">
        <v>540251</v>
      </c>
      <c r="D1194" s="2" t="s">
        <v>748</v>
      </c>
      <c r="E1194" s="2" t="s">
        <v>49</v>
      </c>
      <c r="F1194" s="2" t="s">
        <v>115</v>
      </c>
      <c r="G1194" s="2">
        <v>2</v>
      </c>
      <c r="H1194" s="2">
        <v>0</v>
      </c>
      <c r="I1194" s="2">
        <v>0</v>
      </c>
      <c r="J1194" s="2">
        <v>0</v>
      </c>
      <c r="K1194" s="2">
        <v>0</v>
      </c>
      <c r="L1194" s="2">
        <v>0</v>
      </c>
      <c r="M1194" s="2">
        <v>0</v>
      </c>
      <c r="N1194" s="2">
        <v>0</v>
      </c>
      <c r="O1194" s="2">
        <v>0</v>
      </c>
      <c r="P1194" s="2">
        <v>0</v>
      </c>
      <c r="Q1194" s="2" t="s">
        <v>488</v>
      </c>
      <c r="R1194" s="2" t="s">
        <v>488</v>
      </c>
      <c r="S1194" s="2" t="s">
        <v>488</v>
      </c>
      <c r="T1194" s="2" t="s">
        <v>488</v>
      </c>
      <c r="U1194" s="2">
        <v>0</v>
      </c>
      <c r="V1194" s="2">
        <v>0</v>
      </c>
      <c r="W1194">
        <f t="shared" si="18"/>
        <v>0</v>
      </c>
    </row>
    <row r="1195" spans="1:23" x14ac:dyDescent="0.25">
      <c r="A1195" s="255" t="s">
        <v>628</v>
      </c>
      <c r="B1195" s="255" t="s">
        <v>917</v>
      </c>
      <c r="C1195" s="255"/>
      <c r="D1195" s="255"/>
      <c r="E1195" s="255" t="s">
        <v>49</v>
      </c>
      <c r="F1195" s="255"/>
      <c r="G1195" s="255"/>
      <c r="H1195" s="255">
        <v>0</v>
      </c>
      <c r="I1195" s="255">
        <v>0</v>
      </c>
      <c r="J1195" s="255">
        <v>0</v>
      </c>
      <c r="K1195" s="255">
        <v>0</v>
      </c>
      <c r="L1195" s="255">
        <v>0</v>
      </c>
      <c r="M1195" s="255">
        <v>0</v>
      </c>
      <c r="N1195" s="255">
        <v>0</v>
      </c>
      <c r="O1195" s="255">
        <v>0</v>
      </c>
      <c r="P1195" s="255">
        <v>0</v>
      </c>
      <c r="Q1195" s="255" t="s">
        <v>488</v>
      </c>
      <c r="R1195" s="255" t="s">
        <v>488</v>
      </c>
      <c r="S1195" s="255" t="s">
        <v>488</v>
      </c>
      <c r="T1195" s="255" t="s">
        <v>488</v>
      </c>
      <c r="U1195" s="255">
        <v>0</v>
      </c>
      <c r="V1195" s="255">
        <v>0</v>
      </c>
      <c r="W1195">
        <f t="shared" si="18"/>
        <v>0</v>
      </c>
    </row>
    <row r="1196" spans="1:23" x14ac:dyDescent="0.25">
      <c r="A1196" s="2" t="s">
        <v>628</v>
      </c>
      <c r="B1196" s="2" t="s">
        <v>917</v>
      </c>
      <c r="C1196" s="2">
        <v>540114</v>
      </c>
      <c r="D1196" s="2" t="s">
        <v>749</v>
      </c>
      <c r="E1196" s="2" t="s">
        <v>51</v>
      </c>
      <c r="F1196" s="2" t="s">
        <v>5</v>
      </c>
      <c r="G1196" s="2">
        <v>1</v>
      </c>
      <c r="H1196" s="2">
        <v>0</v>
      </c>
      <c r="I1196" s="2">
        <v>0</v>
      </c>
      <c r="J1196" s="2">
        <v>0</v>
      </c>
      <c r="K1196" s="2">
        <v>0</v>
      </c>
      <c r="L1196" s="2">
        <v>0</v>
      </c>
      <c r="M1196" s="2">
        <v>0</v>
      </c>
      <c r="N1196" s="2">
        <v>0</v>
      </c>
      <c r="O1196" s="2">
        <v>0</v>
      </c>
      <c r="P1196" s="2">
        <v>0</v>
      </c>
      <c r="Q1196" s="2">
        <v>0</v>
      </c>
      <c r="R1196" s="2">
        <v>0</v>
      </c>
      <c r="S1196" s="2">
        <v>0</v>
      </c>
      <c r="T1196" s="2">
        <v>0</v>
      </c>
      <c r="U1196" s="2">
        <v>0</v>
      </c>
      <c r="V1196" s="2">
        <v>0</v>
      </c>
      <c r="W1196">
        <f t="shared" si="18"/>
        <v>0</v>
      </c>
    </row>
    <row r="1197" spans="1:23" x14ac:dyDescent="0.25">
      <c r="A1197" s="2" t="s">
        <v>628</v>
      </c>
      <c r="B1197" s="2" t="s">
        <v>917</v>
      </c>
      <c r="C1197" s="2">
        <v>540115</v>
      </c>
      <c r="D1197" s="2" t="s">
        <v>750</v>
      </c>
      <c r="E1197" s="2" t="s">
        <v>51</v>
      </c>
      <c r="F1197" s="2" t="s">
        <v>115</v>
      </c>
      <c r="G1197" s="2">
        <v>1</v>
      </c>
      <c r="H1197" s="2">
        <v>0</v>
      </c>
      <c r="I1197" s="2">
        <v>0</v>
      </c>
      <c r="J1197" s="2">
        <v>0</v>
      </c>
      <c r="K1197" s="2">
        <v>0</v>
      </c>
      <c r="L1197" s="2">
        <v>0</v>
      </c>
      <c r="M1197" s="2">
        <v>0</v>
      </c>
      <c r="N1197" s="2">
        <v>0</v>
      </c>
      <c r="O1197" s="2">
        <v>0</v>
      </c>
      <c r="P1197" s="2">
        <v>0</v>
      </c>
      <c r="Q1197" s="2">
        <v>0</v>
      </c>
      <c r="R1197" s="2">
        <v>0</v>
      </c>
      <c r="S1197" s="2">
        <v>0</v>
      </c>
      <c r="T1197" s="2">
        <v>0</v>
      </c>
      <c r="U1197" s="2">
        <v>0</v>
      </c>
      <c r="V1197" s="2">
        <v>0</v>
      </c>
      <c r="W1197">
        <f t="shared" si="18"/>
        <v>0</v>
      </c>
    </row>
    <row r="1198" spans="1:23" x14ac:dyDescent="0.25">
      <c r="A1198" s="2" t="s">
        <v>628</v>
      </c>
      <c r="B1198" s="2" t="s">
        <v>917</v>
      </c>
      <c r="C1198" s="2">
        <v>540116</v>
      </c>
      <c r="D1198" s="2" t="s">
        <v>751</v>
      </c>
      <c r="E1198" s="2" t="s">
        <v>51</v>
      </c>
      <c r="F1198" s="2" t="s">
        <v>115</v>
      </c>
      <c r="G1198" s="2">
        <v>1</v>
      </c>
      <c r="H1198" s="2">
        <v>0</v>
      </c>
      <c r="I1198" s="2">
        <v>0</v>
      </c>
      <c r="J1198" s="2">
        <v>0</v>
      </c>
      <c r="K1198" s="2">
        <v>0</v>
      </c>
      <c r="L1198" s="2">
        <v>0</v>
      </c>
      <c r="M1198" s="2">
        <v>0</v>
      </c>
      <c r="N1198" s="2">
        <v>0</v>
      </c>
      <c r="O1198" s="2">
        <v>0</v>
      </c>
      <c r="P1198" s="2">
        <v>0</v>
      </c>
      <c r="Q1198" s="2">
        <v>0</v>
      </c>
      <c r="R1198" s="2">
        <v>0</v>
      </c>
      <c r="S1198" s="2">
        <v>0</v>
      </c>
      <c r="T1198" s="2">
        <v>0</v>
      </c>
      <c r="U1198" s="2">
        <v>0</v>
      </c>
      <c r="V1198" s="2">
        <v>0</v>
      </c>
      <c r="W1198">
        <f t="shared" si="18"/>
        <v>0</v>
      </c>
    </row>
    <row r="1199" spans="1:23" x14ac:dyDescent="0.25">
      <c r="A1199" s="2" t="s">
        <v>628</v>
      </c>
      <c r="B1199" s="2" t="s">
        <v>917</v>
      </c>
      <c r="C1199" s="2">
        <v>540117</v>
      </c>
      <c r="D1199" s="2" t="s">
        <v>752</v>
      </c>
      <c r="E1199" s="2" t="s">
        <v>51</v>
      </c>
      <c r="F1199" s="2" t="s">
        <v>115</v>
      </c>
      <c r="G1199" s="2">
        <v>1</v>
      </c>
      <c r="H1199" s="2">
        <v>0</v>
      </c>
      <c r="I1199" s="2">
        <v>1</v>
      </c>
      <c r="J1199" s="2">
        <v>0</v>
      </c>
      <c r="K1199" s="2">
        <v>0</v>
      </c>
      <c r="L1199" s="2">
        <v>0</v>
      </c>
      <c r="M1199" s="2">
        <v>1</v>
      </c>
      <c r="N1199" s="2">
        <v>1</v>
      </c>
      <c r="O1199" s="2">
        <v>0</v>
      </c>
      <c r="P1199" s="2">
        <v>0</v>
      </c>
      <c r="Q1199" s="2">
        <v>0</v>
      </c>
      <c r="R1199" s="2">
        <v>0</v>
      </c>
      <c r="S1199" s="2">
        <v>0</v>
      </c>
      <c r="T1199" s="2">
        <v>0</v>
      </c>
      <c r="U1199" s="2">
        <v>0</v>
      </c>
      <c r="V1199" s="2">
        <v>0</v>
      </c>
      <c r="W1199">
        <f t="shared" si="18"/>
        <v>1</v>
      </c>
    </row>
    <row r="1200" spans="1:23" x14ac:dyDescent="0.25">
      <c r="A1200" s="2" t="s">
        <v>628</v>
      </c>
      <c r="B1200" s="2" t="s">
        <v>917</v>
      </c>
      <c r="C1200" s="2">
        <v>540118</v>
      </c>
      <c r="D1200" s="2" t="s">
        <v>753</v>
      </c>
      <c r="E1200" s="2" t="s">
        <v>51</v>
      </c>
      <c r="F1200" s="2" t="s">
        <v>115</v>
      </c>
      <c r="G1200" s="2">
        <v>1</v>
      </c>
      <c r="H1200" s="2">
        <v>0</v>
      </c>
      <c r="I1200" s="2">
        <v>0</v>
      </c>
      <c r="J1200" s="2">
        <v>0</v>
      </c>
      <c r="K1200" s="2">
        <v>0</v>
      </c>
      <c r="L1200" s="2">
        <v>0</v>
      </c>
      <c r="M1200" s="2">
        <v>0</v>
      </c>
      <c r="N1200" s="2">
        <v>0</v>
      </c>
      <c r="O1200" s="2">
        <v>0</v>
      </c>
      <c r="P1200" s="2">
        <v>0</v>
      </c>
      <c r="Q1200" s="2">
        <v>0</v>
      </c>
      <c r="R1200" s="2">
        <v>0</v>
      </c>
      <c r="S1200" s="2">
        <v>0</v>
      </c>
      <c r="T1200" s="2">
        <v>0</v>
      </c>
      <c r="U1200" s="2">
        <v>0</v>
      </c>
      <c r="V1200" s="2">
        <v>0</v>
      </c>
      <c r="W1200">
        <f t="shared" si="18"/>
        <v>0</v>
      </c>
    </row>
    <row r="1201" spans="1:23" x14ac:dyDescent="0.25">
      <c r="A1201" s="2" t="s">
        <v>628</v>
      </c>
      <c r="B1201" s="2" t="s">
        <v>917</v>
      </c>
      <c r="C1201" s="2">
        <v>540119</v>
      </c>
      <c r="D1201" s="2" t="s">
        <v>754</v>
      </c>
      <c r="E1201" s="2" t="s">
        <v>51</v>
      </c>
      <c r="F1201" s="2" t="s">
        <v>115</v>
      </c>
      <c r="G1201" s="2">
        <v>1</v>
      </c>
      <c r="H1201" s="2">
        <v>0</v>
      </c>
      <c r="I1201" s="2">
        <v>0</v>
      </c>
      <c r="J1201" s="2">
        <v>0</v>
      </c>
      <c r="K1201" s="2">
        <v>0</v>
      </c>
      <c r="L1201" s="2">
        <v>0</v>
      </c>
      <c r="M1201" s="2">
        <v>0</v>
      </c>
      <c r="N1201" s="2">
        <v>0</v>
      </c>
      <c r="O1201" s="2">
        <v>0</v>
      </c>
      <c r="P1201" s="2">
        <v>0</v>
      </c>
      <c r="Q1201" s="2">
        <v>0</v>
      </c>
      <c r="R1201" s="2">
        <v>0</v>
      </c>
      <c r="S1201" s="2">
        <v>0</v>
      </c>
      <c r="T1201" s="2">
        <v>0</v>
      </c>
      <c r="U1201" s="2">
        <v>0</v>
      </c>
      <c r="V1201" s="2">
        <v>0</v>
      </c>
      <c r="W1201">
        <f t="shared" si="18"/>
        <v>0</v>
      </c>
    </row>
    <row r="1202" spans="1:23" x14ac:dyDescent="0.25">
      <c r="A1202" s="2" t="s">
        <v>628</v>
      </c>
      <c r="B1202" s="2" t="s">
        <v>917</v>
      </c>
      <c r="C1202" s="2">
        <v>540120</v>
      </c>
      <c r="D1202" s="2" t="s">
        <v>755</v>
      </c>
      <c r="E1202" s="2" t="s">
        <v>51</v>
      </c>
      <c r="F1202" s="2" t="s">
        <v>115</v>
      </c>
      <c r="G1202" s="2">
        <v>1</v>
      </c>
      <c r="H1202" s="2">
        <v>0</v>
      </c>
      <c r="I1202" s="2">
        <v>0</v>
      </c>
      <c r="J1202" s="2">
        <v>0</v>
      </c>
      <c r="K1202" s="2">
        <v>0</v>
      </c>
      <c r="L1202" s="2">
        <v>0</v>
      </c>
      <c r="M1202" s="2">
        <v>0</v>
      </c>
      <c r="N1202" s="2">
        <v>0</v>
      </c>
      <c r="O1202" s="2">
        <v>0</v>
      </c>
      <c r="P1202" s="2">
        <v>0</v>
      </c>
      <c r="Q1202" s="2">
        <v>0</v>
      </c>
      <c r="R1202" s="2">
        <v>0</v>
      </c>
      <c r="S1202" s="2">
        <v>0</v>
      </c>
      <c r="T1202" s="2">
        <v>0</v>
      </c>
      <c r="U1202" s="2">
        <v>0</v>
      </c>
      <c r="V1202" s="2">
        <v>0</v>
      </c>
      <c r="W1202">
        <f t="shared" si="18"/>
        <v>0</v>
      </c>
    </row>
    <row r="1203" spans="1:23" x14ac:dyDescent="0.25">
      <c r="A1203" s="2" t="s">
        <v>628</v>
      </c>
      <c r="B1203" s="2" t="s">
        <v>917</v>
      </c>
      <c r="C1203" s="2">
        <v>540121</v>
      </c>
      <c r="D1203" s="2" t="s">
        <v>756</v>
      </c>
      <c r="E1203" s="2" t="s">
        <v>51</v>
      </c>
      <c r="F1203" s="2" t="s">
        <v>115</v>
      </c>
      <c r="G1203" s="2">
        <v>1</v>
      </c>
      <c r="H1203" s="2">
        <v>0</v>
      </c>
      <c r="I1203" s="2">
        <v>0</v>
      </c>
      <c r="J1203" s="2">
        <v>0</v>
      </c>
      <c r="K1203" s="2">
        <v>0</v>
      </c>
      <c r="L1203" s="2">
        <v>0</v>
      </c>
      <c r="M1203" s="2">
        <v>0</v>
      </c>
      <c r="N1203" s="2">
        <v>0</v>
      </c>
      <c r="O1203" s="2">
        <v>0</v>
      </c>
      <c r="P1203" s="2">
        <v>0</v>
      </c>
      <c r="Q1203" s="2">
        <v>0</v>
      </c>
      <c r="R1203" s="2">
        <v>0</v>
      </c>
      <c r="S1203" s="2">
        <v>0</v>
      </c>
      <c r="T1203" s="2">
        <v>0</v>
      </c>
      <c r="U1203" s="2">
        <v>0</v>
      </c>
      <c r="V1203" s="2">
        <v>0</v>
      </c>
      <c r="W1203">
        <f t="shared" si="18"/>
        <v>0</v>
      </c>
    </row>
    <row r="1204" spans="1:23" x14ac:dyDescent="0.25">
      <c r="A1204" s="2" t="s">
        <v>628</v>
      </c>
      <c r="B1204" s="2" t="s">
        <v>917</v>
      </c>
      <c r="C1204" s="2">
        <v>540122</v>
      </c>
      <c r="D1204" s="2" t="s">
        <v>757</v>
      </c>
      <c r="E1204" s="2" t="s">
        <v>51</v>
      </c>
      <c r="F1204" s="2" t="s">
        <v>115</v>
      </c>
      <c r="G1204" s="2">
        <v>1</v>
      </c>
      <c r="H1204" s="2">
        <v>0</v>
      </c>
      <c r="I1204" s="2">
        <v>0</v>
      </c>
      <c r="J1204" s="2">
        <v>0</v>
      </c>
      <c r="K1204" s="2">
        <v>0</v>
      </c>
      <c r="L1204" s="2">
        <v>0</v>
      </c>
      <c r="M1204" s="2">
        <v>0</v>
      </c>
      <c r="N1204" s="2">
        <v>0</v>
      </c>
      <c r="O1204" s="2">
        <v>0</v>
      </c>
      <c r="P1204" s="2">
        <v>0</v>
      </c>
      <c r="Q1204" s="2">
        <v>0</v>
      </c>
      <c r="R1204" s="2">
        <v>0</v>
      </c>
      <c r="S1204" s="2">
        <v>0</v>
      </c>
      <c r="T1204" s="2">
        <v>0</v>
      </c>
      <c r="U1204" s="2">
        <v>0</v>
      </c>
      <c r="V1204" s="2">
        <v>0</v>
      </c>
      <c r="W1204">
        <f t="shared" si="18"/>
        <v>0</v>
      </c>
    </row>
    <row r="1205" spans="1:23" x14ac:dyDescent="0.25">
      <c r="A1205" s="2" t="s">
        <v>628</v>
      </c>
      <c r="B1205" s="2" t="s">
        <v>917</v>
      </c>
      <c r="C1205" s="2">
        <v>540123</v>
      </c>
      <c r="D1205" s="2" t="s">
        <v>758</v>
      </c>
      <c r="E1205" s="2" t="s">
        <v>51</v>
      </c>
      <c r="F1205" s="2" t="s">
        <v>115</v>
      </c>
      <c r="G1205" s="2">
        <v>1</v>
      </c>
      <c r="H1205" s="2">
        <v>0</v>
      </c>
      <c r="I1205" s="2">
        <v>0</v>
      </c>
      <c r="J1205" s="2">
        <v>0</v>
      </c>
      <c r="K1205" s="2">
        <v>0</v>
      </c>
      <c r="L1205" s="2">
        <v>0</v>
      </c>
      <c r="M1205" s="2">
        <v>0</v>
      </c>
      <c r="N1205" s="2">
        <v>0</v>
      </c>
      <c r="O1205" s="2">
        <v>0</v>
      </c>
      <c r="P1205" s="2">
        <v>0</v>
      </c>
      <c r="Q1205" s="2">
        <v>0</v>
      </c>
      <c r="R1205" s="2">
        <v>0</v>
      </c>
      <c r="S1205" s="2">
        <v>0</v>
      </c>
      <c r="T1205" s="2">
        <v>0</v>
      </c>
      <c r="U1205" s="2">
        <v>0</v>
      </c>
      <c r="V1205" s="2">
        <v>0</v>
      </c>
      <c r="W1205">
        <f t="shared" si="18"/>
        <v>0</v>
      </c>
    </row>
    <row r="1206" spans="1:23" x14ac:dyDescent="0.25">
      <c r="A1206" s="2" t="s">
        <v>628</v>
      </c>
      <c r="B1206" s="2" t="s">
        <v>917</v>
      </c>
      <c r="C1206" s="2">
        <v>540291</v>
      </c>
      <c r="D1206" s="2" t="s">
        <v>759</v>
      </c>
      <c r="E1206" s="2" t="s">
        <v>51</v>
      </c>
      <c r="F1206" s="2" t="s">
        <v>115</v>
      </c>
      <c r="G1206" s="2">
        <v>1</v>
      </c>
      <c r="H1206" s="2">
        <v>0</v>
      </c>
      <c r="I1206" s="2">
        <v>0</v>
      </c>
      <c r="J1206" s="2">
        <v>0</v>
      </c>
      <c r="K1206" s="2">
        <v>0</v>
      </c>
      <c r="L1206" s="2">
        <v>0</v>
      </c>
      <c r="M1206" s="2">
        <v>0</v>
      </c>
      <c r="N1206" s="2">
        <v>0</v>
      </c>
      <c r="O1206" s="2">
        <v>0</v>
      </c>
      <c r="P1206" s="2">
        <v>0</v>
      </c>
      <c r="Q1206" s="2">
        <v>0</v>
      </c>
      <c r="R1206" s="2">
        <v>0</v>
      </c>
      <c r="S1206" s="2">
        <v>0</v>
      </c>
      <c r="T1206" s="2">
        <v>0</v>
      </c>
      <c r="U1206" s="2">
        <v>0</v>
      </c>
      <c r="V1206" s="2">
        <v>0</v>
      </c>
      <c r="W1206">
        <f t="shared" si="18"/>
        <v>0</v>
      </c>
    </row>
    <row r="1207" spans="1:23" x14ac:dyDescent="0.25">
      <c r="A1207" s="255" t="s">
        <v>628</v>
      </c>
      <c r="B1207" s="255" t="s">
        <v>917</v>
      </c>
      <c r="C1207" s="255"/>
      <c r="D1207" s="255"/>
      <c r="E1207" s="255" t="s">
        <v>51</v>
      </c>
      <c r="F1207" s="255"/>
      <c r="G1207" s="255"/>
      <c r="H1207" s="255">
        <v>0</v>
      </c>
      <c r="I1207" s="255">
        <v>1</v>
      </c>
      <c r="J1207" s="255">
        <v>0</v>
      </c>
      <c r="K1207" s="255">
        <v>0</v>
      </c>
      <c r="L1207" s="255">
        <v>0</v>
      </c>
      <c r="M1207" s="255">
        <v>1</v>
      </c>
      <c r="N1207" s="255">
        <v>1</v>
      </c>
      <c r="O1207" s="255">
        <v>0</v>
      </c>
      <c r="P1207" s="255">
        <v>0</v>
      </c>
      <c r="Q1207" s="255">
        <v>0</v>
      </c>
      <c r="R1207" s="255">
        <v>0</v>
      </c>
      <c r="S1207" s="255">
        <v>0</v>
      </c>
      <c r="T1207" s="255">
        <v>0</v>
      </c>
      <c r="U1207" s="255">
        <v>0</v>
      </c>
      <c r="V1207" s="255">
        <v>0</v>
      </c>
      <c r="W1207">
        <f t="shared" si="18"/>
        <v>1</v>
      </c>
    </row>
    <row r="1208" spans="1:23" x14ac:dyDescent="0.25">
      <c r="A1208" s="2" t="s">
        <v>628</v>
      </c>
      <c r="B1208" s="2" t="s">
        <v>917</v>
      </c>
      <c r="C1208" s="2">
        <v>540124</v>
      </c>
      <c r="D1208" s="2" t="s">
        <v>760</v>
      </c>
      <c r="E1208" s="2" t="s">
        <v>53</v>
      </c>
      <c r="F1208" s="2" t="s">
        <v>5</v>
      </c>
      <c r="G1208" s="2">
        <v>1</v>
      </c>
      <c r="H1208" s="2">
        <v>0</v>
      </c>
      <c r="I1208" s="2">
        <v>0</v>
      </c>
      <c r="J1208" s="2">
        <v>0</v>
      </c>
      <c r="K1208" s="2">
        <v>0</v>
      </c>
      <c r="L1208" s="2">
        <v>0</v>
      </c>
      <c r="M1208" s="2">
        <v>0</v>
      </c>
      <c r="N1208" s="2">
        <v>0</v>
      </c>
      <c r="O1208" s="2">
        <v>0</v>
      </c>
      <c r="P1208" s="2">
        <v>0</v>
      </c>
      <c r="Q1208" s="2">
        <v>0</v>
      </c>
      <c r="R1208" s="2">
        <v>0</v>
      </c>
      <c r="S1208" s="2" t="s">
        <v>488</v>
      </c>
      <c r="T1208" s="2" t="s">
        <v>488</v>
      </c>
      <c r="U1208" s="2">
        <v>0</v>
      </c>
      <c r="V1208" s="2">
        <v>0</v>
      </c>
      <c r="W1208">
        <f t="shared" si="18"/>
        <v>0</v>
      </c>
    </row>
    <row r="1209" spans="1:23" x14ac:dyDescent="0.25">
      <c r="A1209" s="2" t="s">
        <v>628</v>
      </c>
      <c r="B1209" s="2" t="s">
        <v>917</v>
      </c>
      <c r="C1209" s="2">
        <v>540125</v>
      </c>
      <c r="D1209" s="2" t="s">
        <v>761</v>
      </c>
      <c r="E1209" s="2" t="s">
        <v>53</v>
      </c>
      <c r="F1209" s="2" t="s">
        <v>115</v>
      </c>
      <c r="G1209" s="2">
        <v>1</v>
      </c>
      <c r="H1209" s="2">
        <v>0</v>
      </c>
      <c r="I1209" s="2">
        <v>0</v>
      </c>
      <c r="J1209" s="2">
        <v>0</v>
      </c>
      <c r="K1209" s="2">
        <v>0</v>
      </c>
      <c r="L1209" s="2">
        <v>0</v>
      </c>
      <c r="M1209" s="2">
        <v>0</v>
      </c>
      <c r="N1209" s="2">
        <v>0</v>
      </c>
      <c r="O1209" s="2">
        <v>0</v>
      </c>
      <c r="P1209" s="2">
        <v>0</v>
      </c>
      <c r="Q1209" s="2">
        <v>0</v>
      </c>
      <c r="R1209" s="2">
        <v>0</v>
      </c>
      <c r="S1209" s="2" t="s">
        <v>488</v>
      </c>
      <c r="T1209" s="2" t="s">
        <v>488</v>
      </c>
      <c r="U1209" s="2">
        <v>0</v>
      </c>
      <c r="V1209" s="2">
        <v>0</v>
      </c>
      <c r="W1209">
        <f t="shared" si="18"/>
        <v>0</v>
      </c>
    </row>
    <row r="1210" spans="1:23" x14ac:dyDescent="0.25">
      <c r="A1210" s="2" t="s">
        <v>628</v>
      </c>
      <c r="B1210" s="2" t="s">
        <v>917</v>
      </c>
      <c r="C1210" s="2">
        <v>540126</v>
      </c>
      <c r="D1210" s="2" t="s">
        <v>762</v>
      </c>
      <c r="E1210" s="2" t="s">
        <v>53</v>
      </c>
      <c r="F1210" s="2" t="s">
        <v>115</v>
      </c>
      <c r="G1210" s="2">
        <v>1</v>
      </c>
      <c r="H1210" s="2">
        <v>0</v>
      </c>
      <c r="I1210" s="2">
        <v>0</v>
      </c>
      <c r="J1210" s="2">
        <v>0</v>
      </c>
      <c r="K1210" s="2">
        <v>0</v>
      </c>
      <c r="L1210" s="2">
        <v>0</v>
      </c>
      <c r="M1210" s="2">
        <v>0</v>
      </c>
      <c r="N1210" s="2">
        <v>0</v>
      </c>
      <c r="O1210" s="2">
        <v>0</v>
      </c>
      <c r="P1210" s="2">
        <v>0</v>
      </c>
      <c r="Q1210" s="2">
        <v>0</v>
      </c>
      <c r="R1210" s="2">
        <v>0</v>
      </c>
      <c r="S1210" s="2" t="s">
        <v>488</v>
      </c>
      <c r="T1210" s="2" t="s">
        <v>488</v>
      </c>
      <c r="U1210" s="2">
        <v>0</v>
      </c>
      <c r="V1210" s="2">
        <v>0</v>
      </c>
      <c r="W1210">
        <f t="shared" si="18"/>
        <v>0</v>
      </c>
    </row>
    <row r="1211" spans="1:23" x14ac:dyDescent="0.25">
      <c r="A1211" s="2" t="s">
        <v>628</v>
      </c>
      <c r="B1211" s="2" t="s">
        <v>917</v>
      </c>
      <c r="C1211" s="2">
        <v>540127</v>
      </c>
      <c r="D1211" s="2" t="s">
        <v>763</v>
      </c>
      <c r="E1211" s="2" t="s">
        <v>53</v>
      </c>
      <c r="F1211" s="2" t="s">
        <v>115</v>
      </c>
      <c r="G1211" s="2">
        <v>1</v>
      </c>
      <c r="H1211" s="2">
        <v>0</v>
      </c>
      <c r="I1211" s="2">
        <v>0</v>
      </c>
      <c r="J1211" s="2">
        <v>0</v>
      </c>
      <c r="K1211" s="2">
        <v>0</v>
      </c>
      <c r="L1211" s="2">
        <v>0</v>
      </c>
      <c r="M1211" s="2">
        <v>0</v>
      </c>
      <c r="N1211" s="2">
        <v>0</v>
      </c>
      <c r="O1211" s="2">
        <v>0</v>
      </c>
      <c r="P1211" s="2">
        <v>0</v>
      </c>
      <c r="Q1211" s="2">
        <v>0</v>
      </c>
      <c r="R1211" s="2">
        <v>0</v>
      </c>
      <c r="S1211" s="2" t="s">
        <v>488</v>
      </c>
      <c r="T1211" s="2" t="s">
        <v>488</v>
      </c>
      <c r="U1211" s="2">
        <v>0</v>
      </c>
      <c r="V1211" s="2">
        <v>0</v>
      </c>
      <c r="W1211">
        <f t="shared" si="18"/>
        <v>0</v>
      </c>
    </row>
    <row r="1212" spans="1:23" x14ac:dyDescent="0.25">
      <c r="A1212" s="2" t="s">
        <v>628</v>
      </c>
      <c r="B1212" s="2" t="s">
        <v>917</v>
      </c>
      <c r="C1212" s="2">
        <v>540128</v>
      </c>
      <c r="D1212" s="2" t="s">
        <v>764</v>
      </c>
      <c r="E1212" s="2" t="s">
        <v>53</v>
      </c>
      <c r="F1212" s="2" t="s">
        <v>115</v>
      </c>
      <c r="G1212" s="2">
        <v>1</v>
      </c>
      <c r="H1212" s="2">
        <v>0</v>
      </c>
      <c r="I1212" s="2">
        <v>0</v>
      </c>
      <c r="J1212" s="2">
        <v>0</v>
      </c>
      <c r="K1212" s="2">
        <v>0</v>
      </c>
      <c r="L1212" s="2">
        <v>0</v>
      </c>
      <c r="M1212" s="2">
        <v>0</v>
      </c>
      <c r="N1212" s="2">
        <v>0</v>
      </c>
      <c r="O1212" s="2">
        <v>0</v>
      </c>
      <c r="P1212" s="2">
        <v>0</v>
      </c>
      <c r="Q1212" s="2">
        <v>0</v>
      </c>
      <c r="R1212" s="2">
        <v>0</v>
      </c>
      <c r="S1212" s="2" t="s">
        <v>488</v>
      </c>
      <c r="T1212" s="2" t="s">
        <v>488</v>
      </c>
      <c r="U1212" s="2">
        <v>0</v>
      </c>
      <c r="V1212" s="2">
        <v>0</v>
      </c>
      <c r="W1212">
        <f t="shared" si="18"/>
        <v>0</v>
      </c>
    </row>
    <row r="1213" spans="1:23" x14ac:dyDescent="0.25">
      <c r="A1213" s="2" t="s">
        <v>628</v>
      </c>
      <c r="B1213" s="2" t="s">
        <v>917</v>
      </c>
      <c r="C1213" s="2">
        <v>540172</v>
      </c>
      <c r="D1213" s="2" t="s">
        <v>765</v>
      </c>
      <c r="E1213" s="2" t="s">
        <v>53</v>
      </c>
      <c r="F1213" s="2" t="s">
        <v>115</v>
      </c>
      <c r="G1213" s="2">
        <v>1</v>
      </c>
      <c r="H1213" s="2">
        <v>0</v>
      </c>
      <c r="I1213" s="2">
        <v>0</v>
      </c>
      <c r="J1213" s="2">
        <v>0</v>
      </c>
      <c r="K1213" s="2">
        <v>0</v>
      </c>
      <c r="L1213" s="2">
        <v>0</v>
      </c>
      <c r="M1213" s="2">
        <v>0</v>
      </c>
      <c r="N1213" s="2">
        <v>0</v>
      </c>
      <c r="O1213" s="2">
        <v>0</v>
      </c>
      <c r="P1213" s="2">
        <v>0</v>
      </c>
      <c r="Q1213" s="2">
        <v>0</v>
      </c>
      <c r="R1213" s="2">
        <v>0</v>
      </c>
      <c r="S1213" s="2" t="s">
        <v>488</v>
      </c>
      <c r="T1213" s="2" t="s">
        <v>488</v>
      </c>
      <c r="U1213" s="2">
        <v>0</v>
      </c>
      <c r="V1213" s="2">
        <v>0</v>
      </c>
      <c r="W1213">
        <f t="shared" si="18"/>
        <v>0</v>
      </c>
    </row>
    <row r="1214" spans="1:23" x14ac:dyDescent="0.25">
      <c r="A1214" s="2" t="s">
        <v>628</v>
      </c>
      <c r="B1214" s="2" t="s">
        <v>917</v>
      </c>
      <c r="C1214" s="2">
        <v>540285</v>
      </c>
      <c r="D1214" s="2" t="s">
        <v>766</v>
      </c>
      <c r="E1214" s="2" t="s">
        <v>53</v>
      </c>
      <c r="F1214" s="2" t="s">
        <v>115</v>
      </c>
      <c r="G1214" s="2">
        <v>1</v>
      </c>
      <c r="H1214" s="2">
        <v>0</v>
      </c>
      <c r="I1214" s="2">
        <v>0</v>
      </c>
      <c r="J1214" s="2">
        <v>0</v>
      </c>
      <c r="K1214" s="2">
        <v>0</v>
      </c>
      <c r="L1214" s="2">
        <v>0</v>
      </c>
      <c r="M1214" s="2">
        <v>0</v>
      </c>
      <c r="N1214" s="2">
        <v>0</v>
      </c>
      <c r="O1214" s="2">
        <v>0</v>
      </c>
      <c r="P1214" s="2">
        <v>0</v>
      </c>
      <c r="Q1214" s="2">
        <v>0</v>
      </c>
      <c r="R1214" s="2">
        <v>0</v>
      </c>
      <c r="S1214" s="2" t="s">
        <v>488</v>
      </c>
      <c r="T1214" s="2" t="s">
        <v>488</v>
      </c>
      <c r="U1214" s="2">
        <v>0</v>
      </c>
      <c r="V1214" s="2">
        <v>0</v>
      </c>
      <c r="W1214">
        <f t="shared" si="18"/>
        <v>0</v>
      </c>
    </row>
    <row r="1215" spans="1:23" x14ac:dyDescent="0.25">
      <c r="A1215" s="255" t="s">
        <v>628</v>
      </c>
      <c r="B1215" s="255" t="s">
        <v>917</v>
      </c>
      <c r="C1215" s="255"/>
      <c r="D1215" s="255"/>
      <c r="E1215" s="255" t="s">
        <v>53</v>
      </c>
      <c r="F1215" s="255"/>
      <c r="G1215" s="255"/>
      <c r="H1215" s="255">
        <v>0</v>
      </c>
      <c r="I1215" s="255">
        <v>0</v>
      </c>
      <c r="J1215" s="255">
        <v>0</v>
      </c>
      <c r="K1215" s="255">
        <v>0</v>
      </c>
      <c r="L1215" s="255">
        <v>0</v>
      </c>
      <c r="M1215" s="255">
        <v>0</v>
      </c>
      <c r="N1215" s="255">
        <v>0</v>
      </c>
      <c r="O1215" s="255">
        <v>0</v>
      </c>
      <c r="P1215" s="255">
        <v>0</v>
      </c>
      <c r="Q1215" s="255">
        <v>0</v>
      </c>
      <c r="R1215" s="255">
        <v>0</v>
      </c>
      <c r="S1215" s="255" t="s">
        <v>488</v>
      </c>
      <c r="T1215" s="255" t="s">
        <v>488</v>
      </c>
      <c r="U1215" s="255">
        <v>0</v>
      </c>
      <c r="V1215" s="255">
        <v>0</v>
      </c>
      <c r="W1215">
        <f t="shared" si="18"/>
        <v>0</v>
      </c>
    </row>
    <row r="1216" spans="1:23" x14ac:dyDescent="0.25">
      <c r="A1216" s="2" t="s">
        <v>628</v>
      </c>
      <c r="B1216" s="2" t="s">
        <v>917</v>
      </c>
      <c r="C1216" s="2">
        <v>540129</v>
      </c>
      <c r="D1216" s="2" t="s">
        <v>767</v>
      </c>
      <c r="E1216" s="2" t="s">
        <v>55</v>
      </c>
      <c r="F1216" s="2" t="s">
        <v>5</v>
      </c>
      <c r="G1216" s="2">
        <v>8</v>
      </c>
      <c r="H1216" s="2">
        <v>0</v>
      </c>
      <c r="I1216" s="2">
        <v>0</v>
      </c>
      <c r="J1216" s="2">
        <v>0</v>
      </c>
      <c r="K1216" s="2">
        <v>0</v>
      </c>
      <c r="L1216" s="2">
        <v>0</v>
      </c>
      <c r="M1216" s="2">
        <v>0</v>
      </c>
      <c r="N1216" s="2">
        <v>0</v>
      </c>
      <c r="O1216" s="2">
        <v>0</v>
      </c>
      <c r="P1216" s="2">
        <v>0</v>
      </c>
      <c r="Q1216" s="2">
        <v>0</v>
      </c>
      <c r="R1216" s="2">
        <v>0</v>
      </c>
      <c r="S1216" s="2" t="s">
        <v>488</v>
      </c>
      <c r="T1216" s="2" t="s">
        <v>488</v>
      </c>
      <c r="U1216" s="2">
        <v>0</v>
      </c>
      <c r="V1216" s="2">
        <v>0</v>
      </c>
      <c r="W1216">
        <f t="shared" si="18"/>
        <v>0</v>
      </c>
    </row>
    <row r="1217" spans="1:23" x14ac:dyDescent="0.25">
      <c r="A1217" s="2" t="s">
        <v>628</v>
      </c>
      <c r="B1217" s="2" t="s">
        <v>917</v>
      </c>
      <c r="C1217" s="2">
        <v>540130</v>
      </c>
      <c r="D1217" s="2" t="s">
        <v>768</v>
      </c>
      <c r="E1217" s="2" t="s">
        <v>55</v>
      </c>
      <c r="F1217" s="2" t="s">
        <v>115</v>
      </c>
      <c r="G1217" s="2">
        <v>8</v>
      </c>
      <c r="H1217" s="2">
        <v>0</v>
      </c>
      <c r="I1217" s="2">
        <v>0</v>
      </c>
      <c r="J1217" s="2">
        <v>0</v>
      </c>
      <c r="K1217" s="2">
        <v>0</v>
      </c>
      <c r="L1217" s="2">
        <v>0</v>
      </c>
      <c r="M1217" s="2">
        <v>0</v>
      </c>
      <c r="N1217" s="2">
        <v>0</v>
      </c>
      <c r="O1217" s="2">
        <v>0</v>
      </c>
      <c r="P1217" s="2">
        <v>0</v>
      </c>
      <c r="Q1217" s="2">
        <v>0</v>
      </c>
      <c r="R1217" s="2">
        <v>0</v>
      </c>
      <c r="S1217" s="2" t="s">
        <v>488</v>
      </c>
      <c r="T1217" s="2" t="s">
        <v>488</v>
      </c>
      <c r="U1217" s="2">
        <v>0</v>
      </c>
      <c r="V1217" s="2">
        <v>0</v>
      </c>
      <c r="W1217">
        <f t="shared" si="18"/>
        <v>0</v>
      </c>
    </row>
    <row r="1218" spans="1:23" x14ac:dyDescent="0.25">
      <c r="A1218" s="2" t="s">
        <v>628</v>
      </c>
      <c r="B1218" s="2" t="s">
        <v>917</v>
      </c>
      <c r="C1218" s="2">
        <v>540131</v>
      </c>
      <c r="D1218" s="2" t="s">
        <v>769</v>
      </c>
      <c r="E1218" s="2" t="s">
        <v>55</v>
      </c>
      <c r="F1218" s="2" t="s">
        <v>115</v>
      </c>
      <c r="G1218" s="2">
        <v>8</v>
      </c>
      <c r="H1218" s="2">
        <v>0</v>
      </c>
      <c r="I1218" s="2">
        <v>0</v>
      </c>
      <c r="J1218" s="2">
        <v>0</v>
      </c>
      <c r="K1218" s="2">
        <v>0</v>
      </c>
      <c r="L1218" s="2">
        <v>0</v>
      </c>
      <c r="M1218" s="2">
        <v>0</v>
      </c>
      <c r="N1218" s="2">
        <v>0</v>
      </c>
      <c r="O1218" s="2">
        <v>0</v>
      </c>
      <c r="P1218" s="2">
        <v>0</v>
      </c>
      <c r="Q1218" s="2">
        <v>0</v>
      </c>
      <c r="R1218" s="2">
        <v>0</v>
      </c>
      <c r="S1218" s="2" t="s">
        <v>488</v>
      </c>
      <c r="T1218" s="2" t="s">
        <v>488</v>
      </c>
      <c r="U1218" s="2">
        <v>0</v>
      </c>
      <c r="V1218" s="2">
        <v>0</v>
      </c>
      <c r="W1218">
        <f t="shared" si="18"/>
        <v>0</v>
      </c>
    </row>
    <row r="1219" spans="1:23" x14ac:dyDescent="0.25">
      <c r="A1219" s="2" t="s">
        <v>628</v>
      </c>
      <c r="B1219" s="2" t="s">
        <v>917</v>
      </c>
      <c r="C1219" s="2">
        <v>540155</v>
      </c>
      <c r="D1219" s="2" t="s">
        <v>770</v>
      </c>
      <c r="E1219" s="2" t="s">
        <v>55</v>
      </c>
      <c r="F1219" s="2" t="s">
        <v>115</v>
      </c>
      <c r="G1219" s="2">
        <v>8</v>
      </c>
      <c r="H1219" s="2">
        <v>0</v>
      </c>
      <c r="I1219" s="2">
        <v>0</v>
      </c>
      <c r="J1219" s="2">
        <v>0</v>
      </c>
      <c r="K1219" s="2">
        <v>0</v>
      </c>
      <c r="L1219" s="2">
        <v>0</v>
      </c>
      <c r="M1219" s="2">
        <v>0</v>
      </c>
      <c r="N1219" s="2">
        <v>0</v>
      </c>
      <c r="O1219" s="2">
        <v>0</v>
      </c>
      <c r="P1219" s="2">
        <v>0</v>
      </c>
      <c r="Q1219" s="2">
        <v>0</v>
      </c>
      <c r="R1219" s="2">
        <v>0</v>
      </c>
      <c r="S1219" s="2" t="s">
        <v>488</v>
      </c>
      <c r="T1219" s="2" t="s">
        <v>488</v>
      </c>
      <c r="U1219" s="2">
        <v>0</v>
      </c>
      <c r="V1219" s="2">
        <v>0</v>
      </c>
      <c r="W1219">
        <f t="shared" ref="W1219:W1282" si="19">SUM(N1219,P1219,R1219,T1219,U1219,V1219)</f>
        <v>0</v>
      </c>
    </row>
    <row r="1220" spans="1:23" x14ac:dyDescent="0.25">
      <c r="A1220" s="2" t="s">
        <v>628</v>
      </c>
      <c r="B1220" s="2" t="s">
        <v>917</v>
      </c>
      <c r="C1220" s="2">
        <v>545555</v>
      </c>
      <c r="D1220" s="2" t="s">
        <v>771</v>
      </c>
      <c r="E1220" s="2" t="s">
        <v>55</v>
      </c>
      <c r="F1220" s="2" t="s">
        <v>115</v>
      </c>
      <c r="G1220" s="2">
        <v>8</v>
      </c>
      <c r="H1220" s="2">
        <v>0</v>
      </c>
      <c r="I1220" s="2">
        <v>0</v>
      </c>
      <c r="J1220" s="2">
        <v>0</v>
      </c>
      <c r="K1220" s="2">
        <v>0</v>
      </c>
      <c r="L1220" s="2">
        <v>0</v>
      </c>
      <c r="M1220" s="2">
        <v>0</v>
      </c>
      <c r="N1220" s="2">
        <v>0</v>
      </c>
      <c r="O1220" s="2">
        <v>0</v>
      </c>
      <c r="P1220" s="2">
        <v>0</v>
      </c>
      <c r="Q1220" s="2">
        <v>0</v>
      </c>
      <c r="R1220" s="2">
        <v>0</v>
      </c>
      <c r="S1220" s="2" t="s">
        <v>488</v>
      </c>
      <c r="T1220" s="2" t="s">
        <v>488</v>
      </c>
      <c r="U1220" s="2">
        <v>0</v>
      </c>
      <c r="V1220" s="2">
        <v>0</v>
      </c>
      <c r="W1220">
        <f t="shared" si="19"/>
        <v>0</v>
      </c>
    </row>
    <row r="1221" spans="1:23" x14ac:dyDescent="0.25">
      <c r="A1221" s="2" t="s">
        <v>628</v>
      </c>
      <c r="B1221" s="2" t="s">
        <v>917</v>
      </c>
      <c r="C1221" s="2">
        <v>540091</v>
      </c>
      <c r="D1221" s="2" t="s">
        <v>772</v>
      </c>
      <c r="E1221" s="2" t="s">
        <v>55</v>
      </c>
      <c r="F1221" s="2" t="s">
        <v>115</v>
      </c>
      <c r="G1221" s="2">
        <v>8</v>
      </c>
      <c r="H1221" s="2">
        <v>0</v>
      </c>
      <c r="I1221" s="2">
        <v>0</v>
      </c>
      <c r="J1221" s="2">
        <v>0</v>
      </c>
      <c r="K1221" s="2">
        <v>0</v>
      </c>
      <c r="L1221" s="2">
        <v>0</v>
      </c>
      <c r="M1221" s="2">
        <v>0</v>
      </c>
      <c r="N1221" s="2">
        <v>0</v>
      </c>
      <c r="O1221" s="2">
        <v>0</v>
      </c>
      <c r="P1221" s="2">
        <v>0</v>
      </c>
      <c r="Q1221" s="2">
        <v>0</v>
      </c>
      <c r="R1221" s="2">
        <v>0</v>
      </c>
      <c r="S1221" s="2" t="s">
        <v>488</v>
      </c>
      <c r="T1221" s="2" t="s">
        <v>488</v>
      </c>
      <c r="U1221" s="2">
        <v>0</v>
      </c>
      <c r="V1221" s="2">
        <v>0</v>
      </c>
      <c r="W1221">
        <f t="shared" si="19"/>
        <v>0</v>
      </c>
    </row>
    <row r="1222" spans="1:23" x14ac:dyDescent="0.25">
      <c r="A1222" s="255" t="s">
        <v>628</v>
      </c>
      <c r="B1222" s="255" t="s">
        <v>917</v>
      </c>
      <c r="C1222" s="255"/>
      <c r="D1222" s="255"/>
      <c r="E1222" s="255" t="s">
        <v>55</v>
      </c>
      <c r="F1222" s="255"/>
      <c r="G1222" s="255"/>
      <c r="H1222" s="255">
        <v>0</v>
      </c>
      <c r="I1222" s="255">
        <v>0</v>
      </c>
      <c r="J1222" s="255">
        <v>0</v>
      </c>
      <c r="K1222" s="255">
        <v>0</v>
      </c>
      <c r="L1222" s="255">
        <v>0</v>
      </c>
      <c r="M1222" s="255">
        <v>0</v>
      </c>
      <c r="N1222" s="255">
        <v>0</v>
      </c>
      <c r="O1222" s="255">
        <v>0</v>
      </c>
      <c r="P1222" s="255">
        <v>0</v>
      </c>
      <c r="Q1222" s="255">
        <v>0</v>
      </c>
      <c r="R1222" s="255">
        <v>0</v>
      </c>
      <c r="S1222" s="255" t="s">
        <v>488</v>
      </c>
      <c r="T1222" s="255" t="s">
        <v>488</v>
      </c>
      <c r="U1222" s="255">
        <v>0</v>
      </c>
      <c r="V1222" s="255">
        <v>0</v>
      </c>
      <c r="W1222">
        <f t="shared" si="19"/>
        <v>0</v>
      </c>
    </row>
    <row r="1223" spans="1:23" x14ac:dyDescent="0.25">
      <c r="A1223" s="2" t="s">
        <v>628</v>
      </c>
      <c r="B1223" s="2" t="s">
        <v>917</v>
      </c>
      <c r="C1223" s="2">
        <v>540133</v>
      </c>
      <c r="D1223" s="2" t="s">
        <v>773</v>
      </c>
      <c r="E1223" s="2" t="s">
        <v>57</v>
      </c>
      <c r="F1223" s="2" t="s">
        <v>5</v>
      </c>
      <c r="G1223" s="2">
        <v>2</v>
      </c>
      <c r="H1223" s="2">
        <v>0</v>
      </c>
      <c r="I1223" s="2">
        <v>0</v>
      </c>
      <c r="J1223" s="2">
        <v>0</v>
      </c>
      <c r="K1223" s="2">
        <v>0</v>
      </c>
      <c r="L1223" s="2">
        <v>0</v>
      </c>
      <c r="M1223" s="2">
        <v>0</v>
      </c>
      <c r="N1223" s="2">
        <v>0</v>
      </c>
      <c r="O1223" s="2">
        <v>0</v>
      </c>
      <c r="P1223" s="2">
        <v>0</v>
      </c>
      <c r="Q1223" s="2">
        <v>0</v>
      </c>
      <c r="R1223" s="2">
        <v>0</v>
      </c>
      <c r="S1223" s="2" t="s">
        <v>488</v>
      </c>
      <c r="T1223" s="2" t="s">
        <v>488</v>
      </c>
      <c r="U1223" s="2">
        <v>0</v>
      </c>
      <c r="V1223" s="2">
        <v>0</v>
      </c>
      <c r="W1223">
        <f t="shared" si="19"/>
        <v>0</v>
      </c>
    </row>
    <row r="1224" spans="1:23" x14ac:dyDescent="0.25">
      <c r="A1224" s="2" t="s">
        <v>628</v>
      </c>
      <c r="B1224" s="2" t="s">
        <v>917</v>
      </c>
      <c r="C1224" s="2">
        <v>540134</v>
      </c>
      <c r="D1224" s="2" t="s">
        <v>774</v>
      </c>
      <c r="E1224" s="2" t="s">
        <v>57</v>
      </c>
      <c r="F1224" s="2" t="s">
        <v>115</v>
      </c>
      <c r="G1224" s="2">
        <v>2</v>
      </c>
      <c r="H1224" s="2">
        <v>0</v>
      </c>
      <c r="I1224" s="2">
        <v>0</v>
      </c>
      <c r="J1224" s="2">
        <v>0</v>
      </c>
      <c r="K1224" s="2">
        <v>0</v>
      </c>
      <c r="L1224" s="2">
        <v>0</v>
      </c>
      <c r="M1224" s="2">
        <v>0</v>
      </c>
      <c r="N1224" s="2">
        <v>0</v>
      </c>
      <c r="O1224" s="2">
        <v>0</v>
      </c>
      <c r="P1224" s="2">
        <v>0</v>
      </c>
      <c r="Q1224" s="2">
        <v>0</v>
      </c>
      <c r="R1224" s="2">
        <v>0</v>
      </c>
      <c r="S1224" s="2" t="s">
        <v>488</v>
      </c>
      <c r="T1224" s="2" t="s">
        <v>488</v>
      </c>
      <c r="U1224" s="2">
        <v>0</v>
      </c>
      <c r="V1224" s="2">
        <v>0</v>
      </c>
      <c r="W1224">
        <f t="shared" si="19"/>
        <v>0</v>
      </c>
    </row>
    <row r="1225" spans="1:23" x14ac:dyDescent="0.25">
      <c r="A1225" s="2" t="s">
        <v>628</v>
      </c>
      <c r="B1225" s="2" t="s">
        <v>917</v>
      </c>
      <c r="C1225" s="2">
        <v>540135</v>
      </c>
      <c r="D1225" s="2" t="s">
        <v>775</v>
      </c>
      <c r="E1225" s="2" t="s">
        <v>57</v>
      </c>
      <c r="F1225" s="2" t="s">
        <v>115</v>
      </c>
      <c r="G1225" s="2">
        <v>2</v>
      </c>
      <c r="H1225" s="2">
        <v>0</v>
      </c>
      <c r="I1225" s="2">
        <v>0</v>
      </c>
      <c r="J1225" s="2">
        <v>0</v>
      </c>
      <c r="K1225" s="2">
        <v>0</v>
      </c>
      <c r="L1225" s="2">
        <v>0</v>
      </c>
      <c r="M1225" s="2">
        <v>0</v>
      </c>
      <c r="N1225" s="2">
        <v>0</v>
      </c>
      <c r="O1225" s="2">
        <v>0</v>
      </c>
      <c r="P1225" s="2">
        <v>0</v>
      </c>
      <c r="Q1225" s="2">
        <v>0</v>
      </c>
      <c r="R1225" s="2">
        <v>0</v>
      </c>
      <c r="S1225" s="2" t="s">
        <v>488</v>
      </c>
      <c r="T1225" s="2" t="s">
        <v>488</v>
      </c>
      <c r="U1225" s="2">
        <v>0</v>
      </c>
      <c r="V1225" s="2">
        <v>0</v>
      </c>
      <c r="W1225">
        <f t="shared" si="19"/>
        <v>0</v>
      </c>
    </row>
    <row r="1226" spans="1:23" x14ac:dyDescent="0.25">
      <c r="A1226" s="2" t="s">
        <v>628</v>
      </c>
      <c r="B1226" s="2" t="s">
        <v>917</v>
      </c>
      <c r="C1226" s="2">
        <v>540136</v>
      </c>
      <c r="D1226" s="2" t="s">
        <v>776</v>
      </c>
      <c r="E1226" s="2" t="s">
        <v>57</v>
      </c>
      <c r="F1226" s="2" t="s">
        <v>115</v>
      </c>
      <c r="G1226" s="2">
        <v>2</v>
      </c>
      <c r="H1226" s="2">
        <v>0</v>
      </c>
      <c r="I1226" s="2">
        <v>0</v>
      </c>
      <c r="J1226" s="2">
        <v>0</v>
      </c>
      <c r="K1226" s="2">
        <v>0</v>
      </c>
      <c r="L1226" s="2">
        <v>0</v>
      </c>
      <c r="M1226" s="2">
        <v>0</v>
      </c>
      <c r="N1226" s="2">
        <v>0</v>
      </c>
      <c r="O1226" s="2">
        <v>0</v>
      </c>
      <c r="P1226" s="2">
        <v>0</v>
      </c>
      <c r="Q1226" s="2">
        <v>0</v>
      </c>
      <c r="R1226" s="2">
        <v>0</v>
      </c>
      <c r="S1226" s="2" t="s">
        <v>488</v>
      </c>
      <c r="T1226" s="2" t="s">
        <v>488</v>
      </c>
      <c r="U1226" s="2">
        <v>0</v>
      </c>
      <c r="V1226" s="2">
        <v>0</v>
      </c>
      <c r="W1226">
        <f t="shared" si="19"/>
        <v>0</v>
      </c>
    </row>
    <row r="1227" spans="1:23" x14ac:dyDescent="0.25">
      <c r="A1227" s="2" t="s">
        <v>628</v>
      </c>
      <c r="B1227" s="2" t="s">
        <v>917</v>
      </c>
      <c r="C1227" s="2">
        <v>540138</v>
      </c>
      <c r="D1227" s="2" t="s">
        <v>777</v>
      </c>
      <c r="E1227" s="2" t="s">
        <v>57</v>
      </c>
      <c r="F1227" s="2" t="s">
        <v>115</v>
      </c>
      <c r="G1227" s="2">
        <v>2</v>
      </c>
      <c r="H1227" s="2">
        <v>0</v>
      </c>
      <c r="I1227" s="2">
        <v>0</v>
      </c>
      <c r="J1227" s="2">
        <v>0</v>
      </c>
      <c r="K1227" s="2">
        <v>0</v>
      </c>
      <c r="L1227" s="2">
        <v>0</v>
      </c>
      <c r="M1227" s="2">
        <v>0</v>
      </c>
      <c r="N1227" s="2">
        <v>0</v>
      </c>
      <c r="O1227" s="2">
        <v>0</v>
      </c>
      <c r="P1227" s="2">
        <v>0</v>
      </c>
      <c r="Q1227" s="2">
        <v>0</v>
      </c>
      <c r="R1227" s="2">
        <v>0</v>
      </c>
      <c r="S1227" s="2" t="s">
        <v>488</v>
      </c>
      <c r="T1227" s="2" t="s">
        <v>488</v>
      </c>
      <c r="U1227" s="2">
        <v>0</v>
      </c>
      <c r="V1227" s="2">
        <v>0</v>
      </c>
      <c r="W1227">
        <f t="shared" si="19"/>
        <v>0</v>
      </c>
    </row>
    <row r="1228" spans="1:23" x14ac:dyDescent="0.25">
      <c r="A1228" s="2" t="s">
        <v>628</v>
      </c>
      <c r="B1228" s="2" t="s">
        <v>917</v>
      </c>
      <c r="C1228" s="2">
        <v>545538</v>
      </c>
      <c r="D1228" s="2" t="s">
        <v>778</v>
      </c>
      <c r="E1228" s="2" t="s">
        <v>57</v>
      </c>
      <c r="F1228" s="2" t="s">
        <v>115</v>
      </c>
      <c r="G1228" s="2">
        <v>2</v>
      </c>
      <c r="H1228" s="2">
        <v>0</v>
      </c>
      <c r="I1228" s="2">
        <v>0</v>
      </c>
      <c r="J1228" s="2">
        <v>0</v>
      </c>
      <c r="K1228" s="2">
        <v>0</v>
      </c>
      <c r="L1228" s="2">
        <v>0</v>
      </c>
      <c r="M1228" s="2">
        <v>0</v>
      </c>
      <c r="N1228" s="2">
        <v>0</v>
      </c>
      <c r="O1228" s="2">
        <v>0</v>
      </c>
      <c r="P1228" s="2">
        <v>0</v>
      </c>
      <c r="Q1228" s="2">
        <v>0</v>
      </c>
      <c r="R1228" s="2">
        <v>0</v>
      </c>
      <c r="S1228" s="2" t="s">
        <v>488</v>
      </c>
      <c r="T1228" s="2" t="s">
        <v>488</v>
      </c>
      <c r="U1228" s="2">
        <v>0</v>
      </c>
      <c r="V1228" s="2">
        <v>0</v>
      </c>
      <c r="W1228">
        <f t="shared" si="19"/>
        <v>0</v>
      </c>
    </row>
    <row r="1229" spans="1:23" x14ac:dyDescent="0.25">
      <c r="A1229" s="255" t="s">
        <v>628</v>
      </c>
      <c r="B1229" s="255" t="s">
        <v>917</v>
      </c>
      <c r="C1229" s="255"/>
      <c r="D1229" s="255"/>
      <c r="E1229" s="255" t="s">
        <v>57</v>
      </c>
      <c r="F1229" s="255"/>
      <c r="G1229" s="255"/>
      <c r="H1229" s="255">
        <v>0</v>
      </c>
      <c r="I1229" s="255">
        <v>0</v>
      </c>
      <c r="J1229" s="255">
        <v>0</v>
      </c>
      <c r="K1229" s="255">
        <v>0</v>
      </c>
      <c r="L1229" s="255">
        <v>0</v>
      </c>
      <c r="M1229" s="255">
        <v>0</v>
      </c>
      <c r="N1229" s="255">
        <v>0</v>
      </c>
      <c r="O1229" s="255">
        <v>0</v>
      </c>
      <c r="P1229" s="255">
        <v>0</v>
      </c>
      <c r="Q1229" s="255">
        <v>0</v>
      </c>
      <c r="R1229" s="255">
        <v>0</v>
      </c>
      <c r="S1229" s="255" t="s">
        <v>488</v>
      </c>
      <c r="T1229" s="255" t="s">
        <v>488</v>
      </c>
      <c r="U1229" s="255">
        <v>0</v>
      </c>
      <c r="V1229" s="255">
        <v>0</v>
      </c>
      <c r="W1229">
        <f t="shared" si="19"/>
        <v>0</v>
      </c>
    </row>
    <row r="1230" spans="1:23" x14ac:dyDescent="0.25">
      <c r="A1230" s="2" t="s">
        <v>628</v>
      </c>
      <c r="B1230" s="2" t="s">
        <v>917</v>
      </c>
      <c r="C1230" s="2">
        <v>540139</v>
      </c>
      <c r="D1230" s="2" t="s">
        <v>779</v>
      </c>
      <c r="E1230" s="2" t="s">
        <v>59</v>
      </c>
      <c r="F1230" s="2" t="s">
        <v>5</v>
      </c>
      <c r="G1230" s="2">
        <v>6</v>
      </c>
      <c r="H1230" s="2">
        <v>0</v>
      </c>
      <c r="I1230" s="2">
        <v>0</v>
      </c>
      <c r="J1230" s="2">
        <v>0</v>
      </c>
      <c r="K1230" s="2">
        <v>0</v>
      </c>
      <c r="L1230" s="2">
        <v>0</v>
      </c>
      <c r="M1230" s="2">
        <v>0</v>
      </c>
      <c r="N1230" s="2">
        <v>0</v>
      </c>
      <c r="O1230" s="2">
        <v>0</v>
      </c>
      <c r="P1230" s="2">
        <v>0</v>
      </c>
      <c r="Q1230" s="2">
        <v>0</v>
      </c>
      <c r="R1230" s="2">
        <v>0</v>
      </c>
      <c r="S1230" s="2" t="s">
        <v>488</v>
      </c>
      <c r="T1230" s="2" t="s">
        <v>488</v>
      </c>
      <c r="U1230" s="2">
        <v>0</v>
      </c>
      <c r="V1230" s="2">
        <v>0</v>
      </c>
      <c r="W1230">
        <f t="shared" si="19"/>
        <v>0</v>
      </c>
    </row>
    <row r="1231" spans="1:23" x14ac:dyDescent="0.25">
      <c r="A1231" s="2" t="s">
        <v>628</v>
      </c>
      <c r="B1231" s="2" t="s">
        <v>917</v>
      </c>
      <c r="C1231" s="2">
        <v>540140</v>
      </c>
      <c r="D1231" s="2" t="s">
        <v>780</v>
      </c>
      <c r="E1231" s="2" t="s">
        <v>59</v>
      </c>
      <c r="F1231" s="2" t="s">
        <v>115</v>
      </c>
      <c r="G1231" s="2">
        <v>6</v>
      </c>
      <c r="H1231" s="2">
        <v>0</v>
      </c>
      <c r="I1231" s="2">
        <v>0</v>
      </c>
      <c r="J1231" s="2">
        <v>0</v>
      </c>
      <c r="K1231" s="2">
        <v>0</v>
      </c>
      <c r="L1231" s="2">
        <v>0</v>
      </c>
      <c r="M1231" s="2">
        <v>0</v>
      </c>
      <c r="N1231" s="2">
        <v>0</v>
      </c>
      <c r="O1231" s="2">
        <v>0</v>
      </c>
      <c r="P1231" s="2">
        <v>0</v>
      </c>
      <c r="Q1231" s="2">
        <v>0</v>
      </c>
      <c r="R1231" s="2">
        <v>0</v>
      </c>
      <c r="S1231" s="2" t="s">
        <v>488</v>
      </c>
      <c r="T1231" s="2" t="s">
        <v>488</v>
      </c>
      <c r="U1231" s="2">
        <v>0</v>
      </c>
      <c r="V1231" s="2">
        <v>0</v>
      </c>
      <c r="W1231">
        <f t="shared" si="19"/>
        <v>0</v>
      </c>
    </row>
    <row r="1232" spans="1:23" x14ac:dyDescent="0.25">
      <c r="A1232" s="2" t="s">
        <v>628</v>
      </c>
      <c r="B1232" s="2" t="s">
        <v>917</v>
      </c>
      <c r="C1232" s="2">
        <v>540141</v>
      </c>
      <c r="D1232" s="2" t="s">
        <v>781</v>
      </c>
      <c r="E1232" s="2" t="s">
        <v>59</v>
      </c>
      <c r="F1232" s="2" t="s">
        <v>115</v>
      </c>
      <c r="G1232" s="2">
        <v>6</v>
      </c>
      <c r="H1232" s="2">
        <v>0</v>
      </c>
      <c r="I1232" s="2">
        <v>0</v>
      </c>
      <c r="J1232" s="2">
        <v>0</v>
      </c>
      <c r="K1232" s="2">
        <v>0</v>
      </c>
      <c r="L1232" s="2">
        <v>0</v>
      </c>
      <c r="M1232" s="2">
        <v>0</v>
      </c>
      <c r="N1232" s="2">
        <v>0</v>
      </c>
      <c r="O1232" s="2">
        <v>0</v>
      </c>
      <c r="P1232" s="2">
        <v>0</v>
      </c>
      <c r="Q1232" s="2">
        <v>0</v>
      </c>
      <c r="R1232" s="2">
        <v>0</v>
      </c>
      <c r="S1232" s="2" t="s">
        <v>488</v>
      </c>
      <c r="T1232" s="2" t="s">
        <v>488</v>
      </c>
      <c r="U1232" s="2">
        <v>0</v>
      </c>
      <c r="V1232" s="2">
        <v>0</v>
      </c>
      <c r="W1232">
        <f t="shared" si="19"/>
        <v>0</v>
      </c>
    </row>
    <row r="1233" spans="1:23" x14ac:dyDescent="0.25">
      <c r="A1233" s="2" t="s">
        <v>628</v>
      </c>
      <c r="B1233" s="2" t="s">
        <v>917</v>
      </c>
      <c r="C1233" s="2">
        <v>540272</v>
      </c>
      <c r="D1233" s="2" t="s">
        <v>782</v>
      </c>
      <c r="E1233" s="2" t="s">
        <v>59</v>
      </c>
      <c r="F1233" s="2" t="s">
        <v>115</v>
      </c>
      <c r="G1233" s="2">
        <v>6</v>
      </c>
      <c r="H1233" s="2">
        <v>0</v>
      </c>
      <c r="I1233" s="2">
        <v>0</v>
      </c>
      <c r="J1233" s="2">
        <v>0</v>
      </c>
      <c r="K1233" s="2">
        <v>0</v>
      </c>
      <c r="L1233" s="2">
        <v>0</v>
      </c>
      <c r="M1233" s="2">
        <v>0</v>
      </c>
      <c r="N1233" s="2">
        <v>0</v>
      </c>
      <c r="O1233" s="2">
        <v>0</v>
      </c>
      <c r="P1233" s="2">
        <v>0</v>
      </c>
      <c r="Q1233" s="2">
        <v>0</v>
      </c>
      <c r="R1233" s="2">
        <v>0</v>
      </c>
      <c r="S1233" s="2" t="s">
        <v>488</v>
      </c>
      <c r="T1233" s="2" t="s">
        <v>488</v>
      </c>
      <c r="U1233" s="2">
        <v>0</v>
      </c>
      <c r="V1233" s="2">
        <v>0</v>
      </c>
      <c r="W1233">
        <f t="shared" si="19"/>
        <v>0</v>
      </c>
    </row>
    <row r="1234" spans="1:23" x14ac:dyDescent="0.25">
      <c r="A1234" s="2" t="s">
        <v>628</v>
      </c>
      <c r="B1234" s="2" t="s">
        <v>917</v>
      </c>
      <c r="C1234" s="2">
        <v>540273</v>
      </c>
      <c r="D1234" s="2" t="s">
        <v>783</v>
      </c>
      <c r="E1234" s="2" t="s">
        <v>59</v>
      </c>
      <c r="F1234" s="2" t="s">
        <v>115</v>
      </c>
      <c r="G1234" s="2">
        <v>6</v>
      </c>
      <c r="H1234" s="2">
        <v>0</v>
      </c>
      <c r="I1234" s="2">
        <v>0</v>
      </c>
      <c r="J1234" s="2">
        <v>0</v>
      </c>
      <c r="K1234" s="2">
        <v>0</v>
      </c>
      <c r="L1234" s="2">
        <v>0</v>
      </c>
      <c r="M1234" s="2">
        <v>0</v>
      </c>
      <c r="N1234" s="2">
        <v>0</v>
      </c>
      <c r="O1234" s="2">
        <v>0</v>
      </c>
      <c r="P1234" s="2">
        <v>0</v>
      </c>
      <c r="Q1234" s="2">
        <v>0</v>
      </c>
      <c r="R1234" s="2">
        <v>0</v>
      </c>
      <c r="S1234" s="2" t="s">
        <v>488</v>
      </c>
      <c r="T1234" s="2" t="s">
        <v>488</v>
      </c>
      <c r="U1234" s="2">
        <v>0</v>
      </c>
      <c r="V1234" s="2">
        <v>0</v>
      </c>
      <c r="W1234">
        <f t="shared" si="19"/>
        <v>0</v>
      </c>
    </row>
    <row r="1235" spans="1:23" x14ac:dyDescent="0.25">
      <c r="A1235" s="2" t="s">
        <v>628</v>
      </c>
      <c r="B1235" s="2" t="s">
        <v>917</v>
      </c>
      <c r="C1235" s="2">
        <v>540274</v>
      </c>
      <c r="D1235" s="2" t="s">
        <v>784</v>
      </c>
      <c r="E1235" s="2" t="s">
        <v>59</v>
      </c>
      <c r="F1235" s="2" t="s">
        <v>115</v>
      </c>
      <c r="G1235" s="2">
        <v>6</v>
      </c>
      <c r="H1235" s="2">
        <v>0</v>
      </c>
      <c r="I1235" s="2">
        <v>0</v>
      </c>
      <c r="J1235" s="2">
        <v>0</v>
      </c>
      <c r="K1235" s="2">
        <v>0</v>
      </c>
      <c r="L1235" s="2">
        <v>0</v>
      </c>
      <c r="M1235" s="2">
        <v>0</v>
      </c>
      <c r="N1235" s="2">
        <v>0</v>
      </c>
      <c r="O1235" s="2">
        <v>0</v>
      </c>
      <c r="P1235" s="2">
        <v>0</v>
      </c>
      <c r="Q1235" s="2">
        <v>0</v>
      </c>
      <c r="R1235" s="2">
        <v>0</v>
      </c>
      <c r="S1235" s="2" t="s">
        <v>488</v>
      </c>
      <c r="T1235" s="2" t="s">
        <v>488</v>
      </c>
      <c r="U1235" s="2">
        <v>0</v>
      </c>
      <c r="V1235" s="2">
        <v>0</v>
      </c>
      <c r="W1235">
        <f t="shared" si="19"/>
        <v>0</v>
      </c>
    </row>
    <row r="1236" spans="1:23" x14ac:dyDescent="0.25">
      <c r="A1236" s="255" t="s">
        <v>628</v>
      </c>
      <c r="B1236" s="255" t="s">
        <v>917</v>
      </c>
      <c r="C1236" s="255"/>
      <c r="D1236" s="255"/>
      <c r="E1236" s="255" t="s">
        <v>59</v>
      </c>
      <c r="F1236" s="255"/>
      <c r="G1236" s="255"/>
      <c r="H1236" s="255">
        <v>0</v>
      </c>
      <c r="I1236" s="255">
        <v>0</v>
      </c>
      <c r="J1236" s="255">
        <v>0</v>
      </c>
      <c r="K1236" s="255">
        <v>0</v>
      </c>
      <c r="L1236" s="255">
        <v>0</v>
      </c>
      <c r="M1236" s="255">
        <v>0</v>
      </c>
      <c r="N1236" s="255">
        <v>0</v>
      </c>
      <c r="O1236" s="255">
        <v>0</v>
      </c>
      <c r="P1236" s="255">
        <v>0</v>
      </c>
      <c r="Q1236" s="255">
        <v>0</v>
      </c>
      <c r="R1236" s="255">
        <v>0</v>
      </c>
      <c r="S1236" s="255" t="s">
        <v>488</v>
      </c>
      <c r="T1236" s="255" t="s">
        <v>488</v>
      </c>
      <c r="U1236" s="255">
        <v>0</v>
      </c>
      <c r="V1236" s="255">
        <v>0</v>
      </c>
      <c r="W1236">
        <f t="shared" si="19"/>
        <v>0</v>
      </c>
    </row>
    <row r="1237" spans="1:23" x14ac:dyDescent="0.25">
      <c r="A1237" s="2" t="s">
        <v>628</v>
      </c>
      <c r="B1237" s="2" t="s">
        <v>917</v>
      </c>
      <c r="C1237" s="2">
        <v>540144</v>
      </c>
      <c r="D1237" s="2" t="s">
        <v>785</v>
      </c>
      <c r="E1237" s="2" t="s">
        <v>61</v>
      </c>
      <c r="F1237" s="2" t="s">
        <v>5</v>
      </c>
      <c r="G1237" s="2">
        <v>9</v>
      </c>
      <c r="H1237" s="2">
        <v>0</v>
      </c>
      <c r="I1237" s="2">
        <v>0</v>
      </c>
      <c r="J1237" s="2">
        <v>0</v>
      </c>
      <c r="K1237" s="2">
        <v>0</v>
      </c>
      <c r="L1237" s="2">
        <v>0</v>
      </c>
      <c r="M1237" s="2">
        <v>0</v>
      </c>
      <c r="N1237" s="2">
        <v>0</v>
      </c>
      <c r="O1237" s="2">
        <v>0</v>
      </c>
      <c r="P1237" s="2">
        <v>0</v>
      </c>
      <c r="Q1237" s="2">
        <v>0</v>
      </c>
      <c r="R1237" s="2">
        <v>0</v>
      </c>
      <c r="S1237" s="2">
        <v>0</v>
      </c>
      <c r="T1237" s="2">
        <v>0</v>
      </c>
      <c r="U1237" s="2">
        <v>0</v>
      </c>
      <c r="V1237" s="2">
        <v>0</v>
      </c>
      <c r="W1237">
        <f t="shared" si="19"/>
        <v>0</v>
      </c>
    </row>
    <row r="1238" spans="1:23" x14ac:dyDescent="0.25">
      <c r="A1238" s="2" t="s">
        <v>628</v>
      </c>
      <c r="B1238" s="2" t="s">
        <v>917</v>
      </c>
      <c r="C1238" s="2">
        <v>540005</v>
      </c>
      <c r="D1238" s="2" t="s">
        <v>786</v>
      </c>
      <c r="E1238" s="2" t="s">
        <v>61</v>
      </c>
      <c r="F1238" s="2" t="s">
        <v>115</v>
      </c>
      <c r="G1238" s="2">
        <v>9</v>
      </c>
      <c r="H1238" s="2">
        <v>0</v>
      </c>
      <c r="I1238" s="2">
        <v>0</v>
      </c>
      <c r="J1238" s="2">
        <v>0</v>
      </c>
      <c r="K1238" s="2">
        <v>0</v>
      </c>
      <c r="L1238" s="2">
        <v>0</v>
      </c>
      <c r="M1238" s="2">
        <v>0</v>
      </c>
      <c r="N1238" s="2">
        <v>0</v>
      </c>
      <c r="O1238" s="2">
        <v>0</v>
      </c>
      <c r="P1238" s="2">
        <v>0</v>
      </c>
      <c r="Q1238" s="2">
        <v>0</v>
      </c>
      <c r="R1238" s="2">
        <v>0</v>
      </c>
      <c r="S1238" s="2">
        <v>0</v>
      </c>
      <c r="T1238" s="2">
        <v>0</v>
      </c>
      <c r="U1238" s="2">
        <v>0</v>
      </c>
      <c r="V1238" s="2">
        <v>0</v>
      </c>
      <c r="W1238">
        <f t="shared" si="19"/>
        <v>0</v>
      </c>
    </row>
    <row r="1239" spans="1:23" x14ac:dyDescent="0.25">
      <c r="A1239" s="2" t="s">
        <v>628</v>
      </c>
      <c r="B1239" s="2" t="s">
        <v>917</v>
      </c>
      <c r="C1239" s="2">
        <v>540252</v>
      </c>
      <c r="D1239" s="2" t="s">
        <v>787</v>
      </c>
      <c r="E1239" s="2" t="s">
        <v>61</v>
      </c>
      <c r="F1239" s="2" t="s">
        <v>115</v>
      </c>
      <c r="G1239" s="2">
        <v>9</v>
      </c>
      <c r="H1239" s="2">
        <v>0</v>
      </c>
      <c r="I1239" s="2">
        <v>0</v>
      </c>
      <c r="J1239" s="2">
        <v>0</v>
      </c>
      <c r="K1239" s="2">
        <v>0</v>
      </c>
      <c r="L1239" s="2">
        <v>0</v>
      </c>
      <c r="M1239" s="2">
        <v>0</v>
      </c>
      <c r="N1239" s="2">
        <v>0</v>
      </c>
      <c r="O1239" s="2">
        <v>0</v>
      </c>
      <c r="P1239" s="2">
        <v>0</v>
      </c>
      <c r="Q1239" s="2">
        <v>0</v>
      </c>
      <c r="R1239" s="2">
        <v>0</v>
      </c>
      <c r="S1239" s="2">
        <v>0</v>
      </c>
      <c r="T1239" s="2">
        <v>0</v>
      </c>
      <c r="U1239" s="2">
        <v>0</v>
      </c>
      <c r="V1239" s="2">
        <v>0</v>
      </c>
      <c r="W1239">
        <f t="shared" si="19"/>
        <v>0</v>
      </c>
    </row>
    <row r="1240" spans="1:23" x14ac:dyDescent="0.25">
      <c r="A1240" s="255" t="s">
        <v>628</v>
      </c>
      <c r="B1240" s="255" t="s">
        <v>917</v>
      </c>
      <c r="C1240" s="255"/>
      <c r="D1240" s="255"/>
      <c r="E1240" s="255" t="s">
        <v>61</v>
      </c>
      <c r="F1240" s="255"/>
      <c r="G1240" s="255"/>
      <c r="H1240" s="255">
        <v>0</v>
      </c>
      <c r="I1240" s="255">
        <v>0</v>
      </c>
      <c r="J1240" s="255">
        <v>0</v>
      </c>
      <c r="K1240" s="255">
        <v>0</v>
      </c>
      <c r="L1240" s="255">
        <v>0</v>
      </c>
      <c r="M1240" s="255">
        <v>0</v>
      </c>
      <c r="N1240" s="255">
        <v>0</v>
      </c>
      <c r="O1240" s="255">
        <v>0</v>
      </c>
      <c r="P1240" s="255">
        <v>0</v>
      </c>
      <c r="Q1240" s="255">
        <v>0</v>
      </c>
      <c r="R1240" s="255">
        <v>0</v>
      </c>
      <c r="S1240" s="255">
        <v>0</v>
      </c>
      <c r="T1240" s="255">
        <v>0</v>
      </c>
      <c r="U1240" s="255">
        <v>0</v>
      </c>
      <c r="V1240" s="255">
        <v>0</v>
      </c>
      <c r="W1240">
        <f t="shared" si="19"/>
        <v>0</v>
      </c>
    </row>
    <row r="1241" spans="1:23" x14ac:dyDescent="0.25">
      <c r="A1241" s="2" t="s">
        <v>628</v>
      </c>
      <c r="B1241" s="2" t="s">
        <v>917</v>
      </c>
      <c r="C1241" s="2">
        <v>540146</v>
      </c>
      <c r="D1241" s="2" t="s">
        <v>788</v>
      </c>
      <c r="E1241" s="2" t="s">
        <v>63</v>
      </c>
      <c r="F1241" s="2" t="s">
        <v>5</v>
      </c>
      <c r="G1241" s="2">
        <v>4</v>
      </c>
      <c r="H1241" s="2">
        <v>0</v>
      </c>
      <c r="I1241" s="2">
        <v>0</v>
      </c>
      <c r="J1241" s="2">
        <v>0</v>
      </c>
      <c r="K1241" s="2">
        <v>0</v>
      </c>
      <c r="L1241" s="2">
        <v>0</v>
      </c>
      <c r="M1241" s="2">
        <v>0</v>
      </c>
      <c r="N1241" s="2">
        <v>0</v>
      </c>
      <c r="O1241" s="2">
        <v>0</v>
      </c>
      <c r="P1241" s="2">
        <v>0</v>
      </c>
      <c r="Q1241" s="2" t="s">
        <v>488</v>
      </c>
      <c r="R1241" s="2" t="s">
        <v>488</v>
      </c>
      <c r="S1241" s="2" t="s">
        <v>488</v>
      </c>
      <c r="T1241" s="2" t="s">
        <v>488</v>
      </c>
      <c r="U1241" s="2">
        <v>0</v>
      </c>
      <c r="V1241" s="2">
        <v>0</v>
      </c>
      <c r="W1241">
        <f t="shared" si="19"/>
        <v>0</v>
      </c>
    </row>
    <row r="1242" spans="1:23" x14ac:dyDescent="0.25">
      <c r="A1242" s="2" t="s">
        <v>628</v>
      </c>
      <c r="B1242" s="2" t="s">
        <v>917</v>
      </c>
      <c r="C1242" s="2">
        <v>540147</v>
      </c>
      <c r="D1242" s="2" t="s">
        <v>789</v>
      </c>
      <c r="E1242" s="2" t="s">
        <v>63</v>
      </c>
      <c r="F1242" s="2" t="s">
        <v>115</v>
      </c>
      <c r="G1242" s="2">
        <v>4</v>
      </c>
      <c r="H1242" s="2">
        <v>0</v>
      </c>
      <c r="I1242" s="2">
        <v>0</v>
      </c>
      <c r="J1242" s="2">
        <v>0</v>
      </c>
      <c r="K1242" s="2">
        <v>0</v>
      </c>
      <c r="L1242" s="2">
        <v>0</v>
      </c>
      <c r="M1242" s="2">
        <v>0</v>
      </c>
      <c r="N1242" s="2">
        <v>0</v>
      </c>
      <c r="O1242" s="2">
        <v>0</v>
      </c>
      <c r="P1242" s="2">
        <v>0</v>
      </c>
      <c r="Q1242" s="2" t="s">
        <v>488</v>
      </c>
      <c r="R1242" s="2" t="s">
        <v>488</v>
      </c>
      <c r="S1242" s="2" t="s">
        <v>488</v>
      </c>
      <c r="T1242" s="2" t="s">
        <v>488</v>
      </c>
      <c r="U1242" s="2">
        <v>0</v>
      </c>
      <c r="V1242" s="2">
        <v>0</v>
      </c>
      <c r="W1242">
        <f t="shared" si="19"/>
        <v>0</v>
      </c>
    </row>
    <row r="1243" spans="1:23" x14ac:dyDescent="0.25">
      <c r="A1243" s="2" t="s">
        <v>628</v>
      </c>
      <c r="B1243" s="2" t="s">
        <v>917</v>
      </c>
      <c r="C1243" s="2">
        <v>540148</v>
      </c>
      <c r="D1243" s="2" t="s">
        <v>790</v>
      </c>
      <c r="E1243" s="2" t="s">
        <v>63</v>
      </c>
      <c r="F1243" s="2" t="s">
        <v>115</v>
      </c>
      <c r="G1243" s="2">
        <v>4</v>
      </c>
      <c r="H1243" s="2">
        <v>0</v>
      </c>
      <c r="I1243" s="2">
        <v>0</v>
      </c>
      <c r="J1243" s="2">
        <v>0</v>
      </c>
      <c r="K1243" s="2">
        <v>0</v>
      </c>
      <c r="L1243" s="2">
        <v>0</v>
      </c>
      <c r="M1243" s="2">
        <v>0</v>
      </c>
      <c r="N1243" s="2">
        <v>0</v>
      </c>
      <c r="O1243" s="2">
        <v>0</v>
      </c>
      <c r="P1243" s="2">
        <v>0</v>
      </c>
      <c r="Q1243" s="2" t="s">
        <v>488</v>
      </c>
      <c r="R1243" s="2" t="s">
        <v>488</v>
      </c>
      <c r="S1243" s="2" t="s">
        <v>488</v>
      </c>
      <c r="T1243" s="2" t="s">
        <v>488</v>
      </c>
      <c r="U1243" s="2">
        <v>0</v>
      </c>
      <c r="V1243" s="2">
        <v>0</v>
      </c>
      <c r="W1243">
        <f t="shared" si="19"/>
        <v>0</v>
      </c>
    </row>
    <row r="1244" spans="1:23" x14ac:dyDescent="0.25">
      <c r="A1244" s="255" t="s">
        <v>628</v>
      </c>
      <c r="B1244" s="255" t="s">
        <v>917</v>
      </c>
      <c r="C1244" s="255"/>
      <c r="D1244" s="255"/>
      <c r="E1244" s="255" t="s">
        <v>63</v>
      </c>
      <c r="F1244" s="255"/>
      <c r="G1244" s="255"/>
      <c r="H1244" s="255">
        <v>0</v>
      </c>
      <c r="I1244" s="255">
        <v>0</v>
      </c>
      <c r="J1244" s="255">
        <v>0</v>
      </c>
      <c r="K1244" s="255">
        <v>0</v>
      </c>
      <c r="L1244" s="255">
        <v>0</v>
      </c>
      <c r="M1244" s="255">
        <v>0</v>
      </c>
      <c r="N1244" s="255">
        <v>0</v>
      </c>
      <c r="O1244" s="255">
        <v>0</v>
      </c>
      <c r="P1244" s="255">
        <v>0</v>
      </c>
      <c r="Q1244" s="255" t="s">
        <v>488</v>
      </c>
      <c r="R1244" s="255" t="s">
        <v>488</v>
      </c>
      <c r="S1244" s="255" t="s">
        <v>488</v>
      </c>
      <c r="T1244" s="255" t="s">
        <v>488</v>
      </c>
      <c r="U1244" s="255">
        <v>0</v>
      </c>
      <c r="V1244" s="255">
        <v>0</v>
      </c>
      <c r="W1244">
        <f t="shared" si="19"/>
        <v>0</v>
      </c>
    </row>
    <row r="1245" spans="1:23" x14ac:dyDescent="0.25">
      <c r="A1245" s="2" t="s">
        <v>628</v>
      </c>
      <c r="B1245" s="2" t="s">
        <v>917</v>
      </c>
      <c r="C1245" s="2">
        <v>540149</v>
      </c>
      <c r="D1245" s="2" t="s">
        <v>791</v>
      </c>
      <c r="E1245" s="2" t="s">
        <v>65</v>
      </c>
      <c r="F1245" s="2" t="s">
        <v>5</v>
      </c>
      <c r="G1245" s="2">
        <v>10</v>
      </c>
      <c r="H1245" s="2">
        <v>0</v>
      </c>
      <c r="I1245" s="2">
        <v>0</v>
      </c>
      <c r="J1245" s="2">
        <v>0</v>
      </c>
      <c r="K1245" s="2">
        <v>0</v>
      </c>
      <c r="L1245" s="2">
        <v>0</v>
      </c>
      <c r="M1245" s="2">
        <v>0</v>
      </c>
      <c r="N1245" s="2">
        <v>0</v>
      </c>
      <c r="O1245" s="2">
        <v>0</v>
      </c>
      <c r="P1245" s="2">
        <v>0</v>
      </c>
      <c r="Q1245" s="2">
        <v>0</v>
      </c>
      <c r="R1245" s="2">
        <v>0</v>
      </c>
      <c r="S1245" s="2" t="s">
        <v>488</v>
      </c>
      <c r="T1245" s="2" t="s">
        <v>488</v>
      </c>
      <c r="U1245" s="2">
        <v>0</v>
      </c>
      <c r="V1245" s="2">
        <v>0</v>
      </c>
      <c r="W1245">
        <f t="shared" si="19"/>
        <v>0</v>
      </c>
    </row>
    <row r="1246" spans="1:23" x14ac:dyDescent="0.25">
      <c r="A1246" s="2" t="s">
        <v>628</v>
      </c>
      <c r="B1246" s="2" t="s">
        <v>917</v>
      </c>
      <c r="C1246" s="2">
        <v>540080</v>
      </c>
      <c r="D1246" s="2" t="s">
        <v>792</v>
      </c>
      <c r="E1246" s="2" t="s">
        <v>65</v>
      </c>
      <c r="F1246" s="2" t="s">
        <v>115</v>
      </c>
      <c r="G1246" s="2">
        <v>10</v>
      </c>
      <c r="H1246" s="2">
        <v>0</v>
      </c>
      <c r="I1246" s="2">
        <v>0</v>
      </c>
      <c r="J1246" s="2">
        <v>0</v>
      </c>
      <c r="K1246" s="2">
        <v>0</v>
      </c>
      <c r="L1246" s="2">
        <v>0</v>
      </c>
      <c r="M1246" s="2">
        <v>0</v>
      </c>
      <c r="N1246" s="2">
        <v>0</v>
      </c>
      <c r="O1246" s="2">
        <v>0</v>
      </c>
      <c r="P1246" s="2">
        <v>0</v>
      </c>
      <c r="Q1246" s="2">
        <v>0</v>
      </c>
      <c r="R1246" s="2">
        <v>0</v>
      </c>
      <c r="S1246" s="2" t="s">
        <v>488</v>
      </c>
      <c r="T1246" s="2" t="s">
        <v>488</v>
      </c>
      <c r="U1246" s="2">
        <v>0</v>
      </c>
      <c r="V1246" s="2">
        <v>0</v>
      </c>
      <c r="W1246">
        <f t="shared" si="19"/>
        <v>0</v>
      </c>
    </row>
    <row r="1247" spans="1:23" x14ac:dyDescent="0.25">
      <c r="A1247" s="2" t="s">
        <v>628</v>
      </c>
      <c r="B1247" s="2" t="s">
        <v>917</v>
      </c>
      <c r="C1247" s="2">
        <v>540094</v>
      </c>
      <c r="D1247" s="2" t="s">
        <v>793</v>
      </c>
      <c r="E1247" s="2" t="s">
        <v>65</v>
      </c>
      <c r="F1247" s="2" t="s">
        <v>115</v>
      </c>
      <c r="G1247" s="2">
        <v>10</v>
      </c>
      <c r="H1247" s="2">
        <v>0</v>
      </c>
      <c r="I1247" s="2">
        <v>0</v>
      </c>
      <c r="J1247" s="2">
        <v>0</v>
      </c>
      <c r="K1247" s="2">
        <v>0</v>
      </c>
      <c r="L1247" s="2">
        <v>0</v>
      </c>
      <c r="M1247" s="2">
        <v>0</v>
      </c>
      <c r="N1247" s="2">
        <v>0</v>
      </c>
      <c r="O1247" s="2">
        <v>0</v>
      </c>
      <c r="P1247" s="2">
        <v>0</v>
      </c>
      <c r="Q1247" s="2">
        <v>0</v>
      </c>
      <c r="R1247" s="2">
        <v>0</v>
      </c>
      <c r="S1247" s="2" t="s">
        <v>488</v>
      </c>
      <c r="T1247" s="2" t="s">
        <v>488</v>
      </c>
      <c r="U1247" s="2">
        <v>0</v>
      </c>
      <c r="V1247" s="2">
        <v>0</v>
      </c>
      <c r="W1247">
        <f t="shared" si="19"/>
        <v>0</v>
      </c>
    </row>
    <row r="1248" spans="1:23" x14ac:dyDescent="0.25">
      <c r="A1248" s="2" t="s">
        <v>628</v>
      </c>
      <c r="B1248" s="2" t="s">
        <v>917</v>
      </c>
      <c r="C1248" s="2">
        <v>540150</v>
      </c>
      <c r="D1248" s="2" t="s">
        <v>794</v>
      </c>
      <c r="E1248" s="2" t="s">
        <v>65</v>
      </c>
      <c r="F1248" s="2" t="s">
        <v>115</v>
      </c>
      <c r="G1248" s="2">
        <v>10</v>
      </c>
      <c r="H1248" s="2">
        <v>0</v>
      </c>
      <c r="I1248" s="2">
        <v>0</v>
      </c>
      <c r="J1248" s="2">
        <v>0</v>
      </c>
      <c r="K1248" s="2">
        <v>0</v>
      </c>
      <c r="L1248" s="2">
        <v>0</v>
      </c>
      <c r="M1248" s="2">
        <v>0</v>
      </c>
      <c r="N1248" s="2">
        <v>0</v>
      </c>
      <c r="O1248" s="2">
        <v>0</v>
      </c>
      <c r="P1248" s="2">
        <v>0</v>
      </c>
      <c r="Q1248" s="2">
        <v>0</v>
      </c>
      <c r="R1248" s="2">
        <v>0</v>
      </c>
      <c r="S1248" s="2" t="s">
        <v>488</v>
      </c>
      <c r="T1248" s="2" t="s">
        <v>488</v>
      </c>
      <c r="U1248" s="2">
        <v>0</v>
      </c>
      <c r="V1248" s="2">
        <v>0</v>
      </c>
      <c r="W1248">
        <f t="shared" si="19"/>
        <v>0</v>
      </c>
    </row>
    <row r="1249" spans="1:23" x14ac:dyDescent="0.25">
      <c r="A1249" s="2" t="s">
        <v>628</v>
      </c>
      <c r="B1249" s="2" t="s">
        <v>917</v>
      </c>
      <c r="C1249" s="2">
        <v>540151</v>
      </c>
      <c r="D1249" s="2" t="s">
        <v>795</v>
      </c>
      <c r="E1249" s="2" t="s">
        <v>65</v>
      </c>
      <c r="F1249" s="2" t="s">
        <v>115</v>
      </c>
      <c r="G1249" s="2">
        <v>10</v>
      </c>
      <c r="H1249" s="2">
        <v>0</v>
      </c>
      <c r="I1249" s="2">
        <v>0</v>
      </c>
      <c r="J1249" s="2">
        <v>0</v>
      </c>
      <c r="K1249" s="2">
        <v>0</v>
      </c>
      <c r="L1249" s="2">
        <v>0</v>
      </c>
      <c r="M1249" s="2">
        <v>0</v>
      </c>
      <c r="N1249" s="2">
        <v>0</v>
      </c>
      <c r="O1249" s="2">
        <v>0</v>
      </c>
      <c r="P1249" s="2">
        <v>0</v>
      </c>
      <c r="Q1249" s="2">
        <v>0</v>
      </c>
      <c r="R1249" s="2">
        <v>0</v>
      </c>
      <c r="S1249" s="2" t="s">
        <v>488</v>
      </c>
      <c r="T1249" s="2" t="s">
        <v>488</v>
      </c>
      <c r="U1249" s="2">
        <v>0</v>
      </c>
      <c r="V1249" s="2">
        <v>0</v>
      </c>
      <c r="W1249">
        <f t="shared" si="19"/>
        <v>0</v>
      </c>
    </row>
    <row r="1250" spans="1:23" x14ac:dyDescent="0.25">
      <c r="A1250" s="2" t="s">
        <v>628</v>
      </c>
      <c r="B1250" s="2" t="s">
        <v>917</v>
      </c>
      <c r="C1250" s="2">
        <v>540152</v>
      </c>
      <c r="D1250" s="2" t="s">
        <v>741</v>
      </c>
      <c r="E1250" s="2" t="s">
        <v>65</v>
      </c>
      <c r="F1250" s="2" t="s">
        <v>115</v>
      </c>
      <c r="G1250" s="2">
        <v>10</v>
      </c>
      <c r="H1250" s="2">
        <v>0</v>
      </c>
      <c r="I1250" s="2">
        <v>0</v>
      </c>
      <c r="J1250" s="2">
        <v>0</v>
      </c>
      <c r="K1250" s="2">
        <v>0</v>
      </c>
      <c r="L1250" s="2">
        <v>0</v>
      </c>
      <c r="M1250" s="2">
        <v>0</v>
      </c>
      <c r="N1250" s="2">
        <v>0</v>
      </c>
      <c r="O1250" s="2">
        <v>0</v>
      </c>
      <c r="P1250" s="2">
        <v>0</v>
      </c>
      <c r="Q1250" s="2">
        <v>0</v>
      </c>
      <c r="R1250" s="2">
        <v>0</v>
      </c>
      <c r="S1250" s="2" t="s">
        <v>488</v>
      </c>
      <c r="T1250" s="2" t="s">
        <v>488</v>
      </c>
      <c r="U1250" s="2">
        <v>0</v>
      </c>
      <c r="V1250" s="2">
        <v>0</v>
      </c>
      <c r="W1250">
        <f t="shared" si="19"/>
        <v>0</v>
      </c>
    </row>
    <row r="1251" spans="1:23" x14ac:dyDescent="0.25">
      <c r="A1251" s="2" t="s">
        <v>628</v>
      </c>
      <c r="B1251" s="2" t="s">
        <v>917</v>
      </c>
      <c r="C1251" s="2">
        <v>540275</v>
      </c>
      <c r="D1251" s="2" t="s">
        <v>796</v>
      </c>
      <c r="E1251" s="2" t="s">
        <v>65</v>
      </c>
      <c r="F1251" s="2" t="s">
        <v>115</v>
      </c>
      <c r="G1251" s="2">
        <v>10</v>
      </c>
      <c r="H1251" s="2">
        <v>0</v>
      </c>
      <c r="I1251" s="2">
        <v>0</v>
      </c>
      <c r="J1251" s="2">
        <v>0</v>
      </c>
      <c r="K1251" s="2">
        <v>0</v>
      </c>
      <c r="L1251" s="2">
        <v>0</v>
      </c>
      <c r="M1251" s="2">
        <v>0</v>
      </c>
      <c r="N1251" s="2">
        <v>0</v>
      </c>
      <c r="O1251" s="2">
        <v>0</v>
      </c>
      <c r="P1251" s="2">
        <v>0</v>
      </c>
      <c r="Q1251" s="2">
        <v>0</v>
      </c>
      <c r="R1251" s="2">
        <v>0</v>
      </c>
      <c r="S1251" s="2" t="s">
        <v>488</v>
      </c>
      <c r="T1251" s="2" t="s">
        <v>488</v>
      </c>
      <c r="U1251" s="2">
        <v>0</v>
      </c>
      <c r="V1251" s="2">
        <v>0</v>
      </c>
      <c r="W1251">
        <f t="shared" si="19"/>
        <v>0</v>
      </c>
    </row>
    <row r="1252" spans="1:23" x14ac:dyDescent="0.25">
      <c r="A1252" s="255" t="s">
        <v>628</v>
      </c>
      <c r="B1252" s="255" t="s">
        <v>917</v>
      </c>
      <c r="C1252" s="255"/>
      <c r="D1252" s="255"/>
      <c r="E1252" s="255" t="s">
        <v>65</v>
      </c>
      <c r="F1252" s="255"/>
      <c r="G1252" s="255"/>
      <c r="H1252" s="255">
        <v>0</v>
      </c>
      <c r="I1252" s="255">
        <v>0</v>
      </c>
      <c r="J1252" s="255">
        <v>0</v>
      </c>
      <c r="K1252" s="255">
        <v>0</v>
      </c>
      <c r="L1252" s="255">
        <v>0</v>
      </c>
      <c r="M1252" s="255">
        <v>0</v>
      </c>
      <c r="N1252" s="255">
        <v>0</v>
      </c>
      <c r="O1252" s="255">
        <v>0</v>
      </c>
      <c r="P1252" s="255">
        <v>0</v>
      </c>
      <c r="Q1252" s="255">
        <v>0</v>
      </c>
      <c r="R1252" s="255">
        <v>0</v>
      </c>
      <c r="S1252" s="255" t="s">
        <v>488</v>
      </c>
      <c r="T1252" s="255" t="s">
        <v>488</v>
      </c>
      <c r="U1252" s="255">
        <v>0</v>
      </c>
      <c r="V1252" s="255">
        <v>0</v>
      </c>
      <c r="W1252">
        <f t="shared" si="19"/>
        <v>0</v>
      </c>
    </row>
    <row r="1253" spans="1:23" x14ac:dyDescent="0.25">
      <c r="A1253" s="2" t="s">
        <v>628</v>
      </c>
      <c r="B1253" s="2" t="s">
        <v>917</v>
      </c>
      <c r="C1253" s="2">
        <v>540153</v>
      </c>
      <c r="D1253" s="2" t="s">
        <v>797</v>
      </c>
      <c r="E1253" s="2" t="s">
        <v>67</v>
      </c>
      <c r="F1253" s="2" t="s">
        <v>5</v>
      </c>
      <c r="G1253" s="2">
        <v>8</v>
      </c>
      <c r="H1253" s="2">
        <v>0</v>
      </c>
      <c r="I1253" s="2">
        <v>0</v>
      </c>
      <c r="J1253" s="2">
        <v>0</v>
      </c>
      <c r="K1253" s="2">
        <v>0</v>
      </c>
      <c r="L1253" s="2">
        <v>0</v>
      </c>
      <c r="M1253" s="2">
        <v>0</v>
      </c>
      <c r="N1253" s="2">
        <v>0</v>
      </c>
      <c r="O1253" s="2">
        <v>0</v>
      </c>
      <c r="P1253" s="2">
        <v>0</v>
      </c>
      <c r="Q1253" s="2" t="s">
        <v>488</v>
      </c>
      <c r="R1253" s="2" t="s">
        <v>488</v>
      </c>
      <c r="S1253" s="2" t="s">
        <v>488</v>
      </c>
      <c r="T1253" s="2" t="s">
        <v>488</v>
      </c>
      <c r="U1253" s="2">
        <v>0</v>
      </c>
      <c r="V1253" s="2">
        <v>0</v>
      </c>
      <c r="W1253">
        <f t="shared" si="19"/>
        <v>0</v>
      </c>
    </row>
    <row r="1254" spans="1:23" x14ac:dyDescent="0.25">
      <c r="A1254" s="2" t="s">
        <v>628</v>
      </c>
      <c r="B1254" s="2" t="s">
        <v>917</v>
      </c>
      <c r="C1254" s="2">
        <v>540154</v>
      </c>
      <c r="D1254" s="2" t="s">
        <v>798</v>
      </c>
      <c r="E1254" s="2" t="s">
        <v>67</v>
      </c>
      <c r="F1254" s="2" t="s">
        <v>115</v>
      </c>
      <c r="G1254" s="2">
        <v>8</v>
      </c>
      <c r="H1254" s="2">
        <v>0</v>
      </c>
      <c r="I1254" s="2">
        <v>0</v>
      </c>
      <c r="J1254" s="2">
        <v>0</v>
      </c>
      <c r="K1254" s="2">
        <v>0</v>
      </c>
      <c r="L1254" s="2">
        <v>0</v>
      </c>
      <c r="M1254" s="2">
        <v>0</v>
      </c>
      <c r="N1254" s="2">
        <v>0</v>
      </c>
      <c r="O1254" s="2">
        <v>0</v>
      </c>
      <c r="P1254" s="2">
        <v>0</v>
      </c>
      <c r="Q1254" s="2" t="s">
        <v>488</v>
      </c>
      <c r="R1254" s="2" t="s">
        <v>488</v>
      </c>
      <c r="S1254" s="2" t="s">
        <v>488</v>
      </c>
      <c r="T1254" s="2" t="s">
        <v>488</v>
      </c>
      <c r="U1254" s="2">
        <v>0</v>
      </c>
      <c r="V1254" s="2">
        <v>0</v>
      </c>
      <c r="W1254">
        <f t="shared" si="19"/>
        <v>0</v>
      </c>
    </row>
    <row r="1255" spans="1:23" x14ac:dyDescent="0.25">
      <c r="A1255" s="255" t="s">
        <v>628</v>
      </c>
      <c r="B1255" s="255" t="s">
        <v>917</v>
      </c>
      <c r="C1255" s="255"/>
      <c r="D1255" s="255"/>
      <c r="E1255" s="255" t="s">
        <v>67</v>
      </c>
      <c r="F1255" s="255"/>
      <c r="G1255" s="255"/>
      <c r="H1255" s="255">
        <v>0</v>
      </c>
      <c r="I1255" s="255">
        <v>0</v>
      </c>
      <c r="J1255" s="255">
        <v>0</v>
      </c>
      <c r="K1255" s="255">
        <v>0</v>
      </c>
      <c r="L1255" s="255">
        <v>0</v>
      </c>
      <c r="M1255" s="255">
        <v>0</v>
      </c>
      <c r="N1255" s="255">
        <v>0</v>
      </c>
      <c r="O1255" s="255">
        <v>0</v>
      </c>
      <c r="P1255" s="255">
        <v>0</v>
      </c>
      <c r="Q1255" s="255" t="s">
        <v>488</v>
      </c>
      <c r="R1255" s="255" t="s">
        <v>488</v>
      </c>
      <c r="S1255" s="255" t="s">
        <v>488</v>
      </c>
      <c r="T1255" s="255" t="s">
        <v>488</v>
      </c>
      <c r="U1255" s="255">
        <v>0</v>
      </c>
      <c r="V1255" s="255">
        <v>0</v>
      </c>
      <c r="W1255">
        <f t="shared" si="19"/>
        <v>0</v>
      </c>
    </row>
    <row r="1256" spans="1:23" x14ac:dyDescent="0.25">
      <c r="A1256" s="2" t="s">
        <v>628</v>
      </c>
      <c r="B1256" s="2" t="s">
        <v>917</v>
      </c>
      <c r="C1256" s="2">
        <v>540160</v>
      </c>
      <c r="D1256" s="2" t="s">
        <v>799</v>
      </c>
      <c r="E1256" s="2" t="s">
        <v>69</v>
      </c>
      <c r="F1256" s="2" t="s">
        <v>5</v>
      </c>
      <c r="G1256" s="2">
        <v>6</v>
      </c>
      <c r="H1256" s="2">
        <v>0</v>
      </c>
      <c r="I1256" s="2">
        <v>0</v>
      </c>
      <c r="J1256" s="2">
        <v>0</v>
      </c>
      <c r="K1256" s="2">
        <v>0</v>
      </c>
      <c r="L1256" s="2">
        <v>0</v>
      </c>
      <c r="M1256" s="2">
        <v>0</v>
      </c>
      <c r="N1256" s="2">
        <v>0</v>
      </c>
      <c r="O1256" s="2">
        <v>0</v>
      </c>
      <c r="P1256" s="2">
        <v>0</v>
      </c>
      <c r="Q1256" s="2">
        <v>0</v>
      </c>
      <c r="R1256" s="2">
        <v>0</v>
      </c>
      <c r="S1256" s="2" t="s">
        <v>488</v>
      </c>
      <c r="T1256" s="2" t="s">
        <v>488</v>
      </c>
      <c r="U1256" s="2">
        <v>0</v>
      </c>
      <c r="V1256" s="2">
        <v>0</v>
      </c>
      <c r="W1256">
        <f t="shared" si="19"/>
        <v>0</v>
      </c>
    </row>
    <row r="1257" spans="1:23" x14ac:dyDescent="0.25">
      <c r="A1257" s="2" t="s">
        <v>628</v>
      </c>
      <c r="B1257" s="2" t="s">
        <v>917</v>
      </c>
      <c r="C1257" s="2">
        <v>540137</v>
      </c>
      <c r="D1257" s="2" t="s">
        <v>800</v>
      </c>
      <c r="E1257" s="2" t="s">
        <v>69</v>
      </c>
      <c r="F1257" s="2" t="s">
        <v>115</v>
      </c>
      <c r="G1257" s="2">
        <v>6</v>
      </c>
      <c r="H1257" s="2">
        <v>0</v>
      </c>
      <c r="I1257" s="2">
        <v>0</v>
      </c>
      <c r="J1257" s="2">
        <v>0</v>
      </c>
      <c r="K1257" s="2">
        <v>0</v>
      </c>
      <c r="L1257" s="2">
        <v>0</v>
      </c>
      <c r="M1257" s="2">
        <v>0</v>
      </c>
      <c r="N1257" s="2">
        <v>0</v>
      </c>
      <c r="O1257" s="2">
        <v>0</v>
      </c>
      <c r="P1257" s="2">
        <v>0</v>
      </c>
      <c r="Q1257" s="2">
        <v>0</v>
      </c>
      <c r="R1257" s="2">
        <v>0</v>
      </c>
      <c r="S1257" s="2" t="s">
        <v>488</v>
      </c>
      <c r="T1257" s="2" t="s">
        <v>488</v>
      </c>
      <c r="U1257" s="2">
        <v>0</v>
      </c>
      <c r="V1257" s="2">
        <v>0</v>
      </c>
      <c r="W1257">
        <f t="shared" si="19"/>
        <v>0</v>
      </c>
    </row>
    <row r="1258" spans="1:23" x14ac:dyDescent="0.25">
      <c r="A1258" s="2" t="s">
        <v>628</v>
      </c>
      <c r="B1258" s="2" t="s">
        <v>917</v>
      </c>
      <c r="C1258" s="2">
        <v>540161</v>
      </c>
      <c r="D1258" s="2" t="s">
        <v>801</v>
      </c>
      <c r="E1258" s="2" t="s">
        <v>69</v>
      </c>
      <c r="F1258" s="2" t="s">
        <v>115</v>
      </c>
      <c r="G1258" s="2">
        <v>6</v>
      </c>
      <c r="H1258" s="2">
        <v>0</v>
      </c>
      <c r="I1258" s="2">
        <v>0</v>
      </c>
      <c r="J1258" s="2">
        <v>0</v>
      </c>
      <c r="K1258" s="2">
        <v>0</v>
      </c>
      <c r="L1258" s="2">
        <v>0</v>
      </c>
      <c r="M1258" s="2">
        <v>0</v>
      </c>
      <c r="N1258" s="2">
        <v>0</v>
      </c>
      <c r="O1258" s="2">
        <v>0</v>
      </c>
      <c r="P1258" s="2">
        <v>0</v>
      </c>
      <c r="Q1258" s="2">
        <v>0</v>
      </c>
      <c r="R1258" s="2">
        <v>0</v>
      </c>
      <c r="S1258" s="2" t="s">
        <v>488</v>
      </c>
      <c r="T1258" s="2" t="s">
        <v>488</v>
      </c>
      <c r="U1258" s="2">
        <v>0</v>
      </c>
      <c r="V1258" s="2">
        <v>0</v>
      </c>
      <c r="W1258">
        <f t="shared" si="19"/>
        <v>0</v>
      </c>
    </row>
    <row r="1259" spans="1:23" x14ac:dyDescent="0.25">
      <c r="A1259" s="2" t="s">
        <v>628</v>
      </c>
      <c r="B1259" s="2" t="s">
        <v>917</v>
      </c>
      <c r="C1259" s="2">
        <v>540162</v>
      </c>
      <c r="D1259" s="2" t="s">
        <v>802</v>
      </c>
      <c r="E1259" s="2" t="s">
        <v>69</v>
      </c>
      <c r="F1259" s="2" t="s">
        <v>115</v>
      </c>
      <c r="G1259" s="2">
        <v>6</v>
      </c>
      <c r="H1259" s="2">
        <v>0</v>
      </c>
      <c r="I1259" s="2">
        <v>0</v>
      </c>
      <c r="J1259" s="2">
        <v>0</v>
      </c>
      <c r="K1259" s="2">
        <v>0</v>
      </c>
      <c r="L1259" s="2">
        <v>0</v>
      </c>
      <c r="M1259" s="2">
        <v>0</v>
      </c>
      <c r="N1259" s="2">
        <v>0</v>
      </c>
      <c r="O1259" s="2">
        <v>0</v>
      </c>
      <c r="P1259" s="2">
        <v>0</v>
      </c>
      <c r="Q1259" s="2">
        <v>0</v>
      </c>
      <c r="R1259" s="2">
        <v>0</v>
      </c>
      <c r="S1259" s="2" t="s">
        <v>488</v>
      </c>
      <c r="T1259" s="2" t="s">
        <v>488</v>
      </c>
      <c r="U1259" s="2">
        <v>0</v>
      </c>
      <c r="V1259" s="2">
        <v>0</v>
      </c>
      <c r="W1259">
        <f t="shared" si="19"/>
        <v>0</v>
      </c>
    </row>
    <row r="1260" spans="1:23" x14ac:dyDescent="0.25">
      <c r="A1260" s="2" t="s">
        <v>628</v>
      </c>
      <c r="B1260" s="2" t="s">
        <v>917</v>
      </c>
      <c r="C1260" s="2">
        <v>540163</v>
      </c>
      <c r="D1260" s="2" t="s">
        <v>803</v>
      </c>
      <c r="E1260" s="2" t="s">
        <v>69</v>
      </c>
      <c r="F1260" s="2" t="s">
        <v>115</v>
      </c>
      <c r="G1260" s="2">
        <v>6</v>
      </c>
      <c r="H1260" s="2">
        <v>0</v>
      </c>
      <c r="I1260" s="2">
        <v>0</v>
      </c>
      <c r="J1260" s="2">
        <v>0</v>
      </c>
      <c r="K1260" s="2">
        <v>0</v>
      </c>
      <c r="L1260" s="2">
        <v>0</v>
      </c>
      <c r="M1260" s="2">
        <v>0</v>
      </c>
      <c r="N1260" s="2">
        <v>0</v>
      </c>
      <c r="O1260" s="2">
        <v>0</v>
      </c>
      <c r="P1260" s="2">
        <v>0</v>
      </c>
      <c r="Q1260" s="2">
        <v>0</v>
      </c>
      <c r="R1260" s="2">
        <v>0</v>
      </c>
      <c r="S1260" s="2" t="s">
        <v>488</v>
      </c>
      <c r="T1260" s="2" t="s">
        <v>488</v>
      </c>
      <c r="U1260" s="2">
        <v>0</v>
      </c>
      <c r="V1260" s="2">
        <v>0</v>
      </c>
      <c r="W1260">
        <f t="shared" si="19"/>
        <v>0</v>
      </c>
    </row>
    <row r="1261" spans="1:23" x14ac:dyDescent="0.25">
      <c r="A1261" s="2" t="s">
        <v>628</v>
      </c>
      <c r="B1261" s="2" t="s">
        <v>917</v>
      </c>
      <c r="C1261" s="2">
        <v>540254</v>
      </c>
      <c r="D1261" s="2" t="s">
        <v>804</v>
      </c>
      <c r="E1261" s="2" t="s">
        <v>69</v>
      </c>
      <c r="F1261" s="2" t="s">
        <v>115</v>
      </c>
      <c r="G1261" s="2">
        <v>6</v>
      </c>
      <c r="H1261" s="2">
        <v>0</v>
      </c>
      <c r="I1261" s="2">
        <v>0</v>
      </c>
      <c r="J1261" s="2">
        <v>0</v>
      </c>
      <c r="K1261" s="2">
        <v>0</v>
      </c>
      <c r="L1261" s="2">
        <v>0</v>
      </c>
      <c r="M1261" s="2">
        <v>0</v>
      </c>
      <c r="N1261" s="2">
        <v>0</v>
      </c>
      <c r="O1261" s="2">
        <v>0</v>
      </c>
      <c r="P1261" s="2">
        <v>0</v>
      </c>
      <c r="Q1261" s="2">
        <v>0</v>
      </c>
      <c r="R1261" s="2">
        <v>0</v>
      </c>
      <c r="S1261" s="2" t="s">
        <v>488</v>
      </c>
      <c r="T1261" s="2" t="s">
        <v>488</v>
      </c>
      <c r="U1261" s="2">
        <v>0</v>
      </c>
      <c r="V1261" s="2">
        <v>0</v>
      </c>
      <c r="W1261">
        <f t="shared" si="19"/>
        <v>0</v>
      </c>
    </row>
    <row r="1262" spans="1:23" x14ac:dyDescent="0.25">
      <c r="A1262" s="2" t="s">
        <v>628</v>
      </c>
      <c r="B1262" s="2" t="s">
        <v>917</v>
      </c>
      <c r="C1262" s="2">
        <v>540257</v>
      </c>
      <c r="D1262" s="2" t="s">
        <v>805</v>
      </c>
      <c r="E1262" s="2" t="s">
        <v>69</v>
      </c>
      <c r="F1262" s="2" t="s">
        <v>115</v>
      </c>
      <c r="G1262" s="2">
        <v>6</v>
      </c>
      <c r="H1262" s="2">
        <v>0</v>
      </c>
      <c r="I1262" s="2">
        <v>0</v>
      </c>
      <c r="J1262" s="2">
        <v>0</v>
      </c>
      <c r="K1262" s="2">
        <v>0</v>
      </c>
      <c r="L1262" s="2">
        <v>0</v>
      </c>
      <c r="M1262" s="2">
        <v>0</v>
      </c>
      <c r="N1262" s="2">
        <v>0</v>
      </c>
      <c r="O1262" s="2">
        <v>0</v>
      </c>
      <c r="P1262" s="2">
        <v>0</v>
      </c>
      <c r="Q1262" s="2">
        <v>0</v>
      </c>
      <c r="R1262" s="2">
        <v>0</v>
      </c>
      <c r="S1262" s="2" t="s">
        <v>488</v>
      </c>
      <c r="T1262" s="2" t="s">
        <v>488</v>
      </c>
      <c r="U1262" s="2">
        <v>0</v>
      </c>
      <c r="V1262" s="2">
        <v>0</v>
      </c>
      <c r="W1262">
        <f t="shared" si="19"/>
        <v>0</v>
      </c>
    </row>
    <row r="1263" spans="1:23" x14ac:dyDescent="0.25">
      <c r="A1263" s="2" t="s">
        <v>628</v>
      </c>
      <c r="B1263" s="2" t="s">
        <v>917</v>
      </c>
      <c r="C1263" s="2">
        <v>540268</v>
      </c>
      <c r="D1263" s="2" t="s">
        <v>806</v>
      </c>
      <c r="E1263" s="2" t="s">
        <v>69</v>
      </c>
      <c r="F1263" s="2" t="s">
        <v>115</v>
      </c>
      <c r="G1263" s="2">
        <v>6</v>
      </c>
      <c r="H1263" s="2">
        <v>0</v>
      </c>
      <c r="I1263" s="2">
        <v>0</v>
      </c>
      <c r="J1263" s="2">
        <v>0</v>
      </c>
      <c r="K1263" s="2">
        <v>0</v>
      </c>
      <c r="L1263" s="2">
        <v>0</v>
      </c>
      <c r="M1263" s="2">
        <v>0</v>
      </c>
      <c r="N1263" s="2">
        <v>0</v>
      </c>
      <c r="O1263" s="2">
        <v>0</v>
      </c>
      <c r="P1263" s="2">
        <v>0</v>
      </c>
      <c r="Q1263" s="2">
        <v>0</v>
      </c>
      <c r="R1263" s="2">
        <v>0</v>
      </c>
      <c r="S1263" s="2" t="s">
        <v>488</v>
      </c>
      <c r="T1263" s="2" t="s">
        <v>488</v>
      </c>
      <c r="U1263" s="2">
        <v>0</v>
      </c>
      <c r="V1263" s="2">
        <v>0</v>
      </c>
      <c r="W1263">
        <f t="shared" si="19"/>
        <v>0</v>
      </c>
    </row>
    <row r="1264" spans="1:23" x14ac:dyDescent="0.25">
      <c r="A1264" s="2" t="s">
        <v>628</v>
      </c>
      <c r="B1264" s="2" t="s">
        <v>917</v>
      </c>
      <c r="C1264" s="2">
        <v>540269</v>
      </c>
      <c r="D1264" s="2" t="s">
        <v>807</v>
      </c>
      <c r="E1264" s="2" t="s">
        <v>69</v>
      </c>
      <c r="F1264" s="2" t="s">
        <v>115</v>
      </c>
      <c r="G1264" s="2">
        <v>6</v>
      </c>
      <c r="H1264" s="2">
        <v>0</v>
      </c>
      <c r="I1264" s="2">
        <v>0</v>
      </c>
      <c r="J1264" s="2">
        <v>0</v>
      </c>
      <c r="K1264" s="2">
        <v>0</v>
      </c>
      <c r="L1264" s="2">
        <v>0</v>
      </c>
      <c r="M1264" s="2">
        <v>0</v>
      </c>
      <c r="N1264" s="2">
        <v>0</v>
      </c>
      <c r="O1264" s="2">
        <v>0</v>
      </c>
      <c r="P1264" s="2">
        <v>0</v>
      </c>
      <c r="Q1264" s="2">
        <v>0</v>
      </c>
      <c r="R1264" s="2">
        <v>0</v>
      </c>
      <c r="S1264" s="2" t="s">
        <v>488</v>
      </c>
      <c r="T1264" s="2" t="s">
        <v>488</v>
      </c>
      <c r="U1264" s="2">
        <v>0</v>
      </c>
      <c r="V1264" s="2">
        <v>0</v>
      </c>
      <c r="W1264">
        <f t="shared" si="19"/>
        <v>0</v>
      </c>
    </row>
    <row r="1265" spans="1:23" x14ac:dyDescent="0.25">
      <c r="A1265" s="2" t="s">
        <v>628</v>
      </c>
      <c r="B1265" s="2" t="s">
        <v>917</v>
      </c>
      <c r="C1265" s="2">
        <v>540270</v>
      </c>
      <c r="D1265" s="2" t="s">
        <v>808</v>
      </c>
      <c r="E1265" s="2" t="s">
        <v>69</v>
      </c>
      <c r="F1265" s="2" t="s">
        <v>115</v>
      </c>
      <c r="G1265" s="2">
        <v>6</v>
      </c>
      <c r="H1265" s="2">
        <v>0</v>
      </c>
      <c r="I1265" s="2">
        <v>0</v>
      </c>
      <c r="J1265" s="2">
        <v>0</v>
      </c>
      <c r="K1265" s="2">
        <v>0</v>
      </c>
      <c r="L1265" s="2">
        <v>0</v>
      </c>
      <c r="M1265" s="2">
        <v>0</v>
      </c>
      <c r="N1265" s="2">
        <v>0</v>
      </c>
      <c r="O1265" s="2">
        <v>0</v>
      </c>
      <c r="P1265" s="2">
        <v>0</v>
      </c>
      <c r="Q1265" s="2">
        <v>0</v>
      </c>
      <c r="R1265" s="2">
        <v>0</v>
      </c>
      <c r="S1265" s="2" t="s">
        <v>488</v>
      </c>
      <c r="T1265" s="2" t="s">
        <v>488</v>
      </c>
      <c r="U1265" s="2">
        <v>0</v>
      </c>
      <c r="V1265" s="2">
        <v>0</v>
      </c>
      <c r="W1265">
        <f t="shared" si="19"/>
        <v>0</v>
      </c>
    </row>
    <row r="1266" spans="1:23" x14ac:dyDescent="0.25">
      <c r="A1266" s="223" t="s">
        <v>628</v>
      </c>
      <c r="B1266" s="223" t="s">
        <v>917</v>
      </c>
      <c r="C1266" s="223">
        <v>540284</v>
      </c>
      <c r="D1266" s="223" t="s">
        <v>809</v>
      </c>
      <c r="E1266" s="223" t="s">
        <v>69</v>
      </c>
      <c r="F1266" s="223" t="s">
        <v>115</v>
      </c>
      <c r="G1266" s="223">
        <v>6</v>
      </c>
      <c r="H1266" s="223">
        <v>0</v>
      </c>
      <c r="I1266" s="223">
        <v>0</v>
      </c>
      <c r="J1266" s="223">
        <v>0</v>
      </c>
      <c r="K1266" s="223">
        <v>0</v>
      </c>
      <c r="L1266" s="223">
        <v>0</v>
      </c>
      <c r="M1266" s="223">
        <v>0</v>
      </c>
      <c r="N1266" s="223">
        <v>0</v>
      </c>
      <c r="O1266" s="223">
        <v>0</v>
      </c>
      <c r="P1266" s="223">
        <v>0</v>
      </c>
      <c r="Q1266" s="223">
        <v>0</v>
      </c>
      <c r="R1266" s="223">
        <v>0</v>
      </c>
      <c r="S1266" s="223" t="s">
        <v>488</v>
      </c>
      <c r="T1266" s="223" t="s">
        <v>488</v>
      </c>
      <c r="U1266" s="223">
        <v>0</v>
      </c>
      <c r="V1266" s="223">
        <v>0</v>
      </c>
      <c r="W1266">
        <f t="shared" si="19"/>
        <v>0</v>
      </c>
    </row>
    <row r="1267" spans="1:23" x14ac:dyDescent="0.25">
      <c r="A1267" s="255" t="s">
        <v>628</v>
      </c>
      <c r="B1267" s="255" t="s">
        <v>917</v>
      </c>
      <c r="C1267" s="255"/>
      <c r="D1267" s="255"/>
      <c r="E1267" s="255" t="s">
        <v>69</v>
      </c>
      <c r="F1267" s="255"/>
      <c r="G1267" s="255"/>
      <c r="H1267" s="255">
        <v>0</v>
      </c>
      <c r="I1267" s="255">
        <v>0</v>
      </c>
      <c r="J1267" s="255">
        <v>0</v>
      </c>
      <c r="K1267" s="255">
        <v>0</v>
      </c>
      <c r="L1267" s="255">
        <v>0</v>
      </c>
      <c r="M1267" s="255">
        <v>0</v>
      </c>
      <c r="N1267" s="255">
        <v>0</v>
      </c>
      <c r="O1267" s="255">
        <v>0</v>
      </c>
      <c r="P1267" s="255">
        <v>0</v>
      </c>
      <c r="Q1267" s="255">
        <v>0</v>
      </c>
      <c r="R1267" s="255">
        <v>0</v>
      </c>
      <c r="S1267" s="255" t="s">
        <v>488</v>
      </c>
      <c r="T1267" s="255" t="s">
        <v>488</v>
      </c>
      <c r="U1267" s="255">
        <v>0</v>
      </c>
      <c r="V1267" s="255">
        <v>0</v>
      </c>
      <c r="W1267">
        <f t="shared" si="19"/>
        <v>0</v>
      </c>
    </row>
    <row r="1268" spans="1:23" x14ac:dyDescent="0.25">
      <c r="A1268" s="257" t="s">
        <v>628</v>
      </c>
      <c r="B1268" s="257" t="s">
        <v>917</v>
      </c>
      <c r="C1268" s="257">
        <v>540164</v>
      </c>
      <c r="D1268" s="257" t="s">
        <v>810</v>
      </c>
      <c r="E1268" s="257" t="s">
        <v>71</v>
      </c>
      <c r="F1268" s="257" t="s">
        <v>5</v>
      </c>
      <c r="G1268" s="257">
        <v>3</v>
      </c>
      <c r="H1268" s="257">
        <v>0</v>
      </c>
      <c r="I1268" s="257">
        <v>0</v>
      </c>
      <c r="J1268" s="257">
        <v>0</v>
      </c>
      <c r="K1268" s="257">
        <v>0</v>
      </c>
      <c r="L1268" s="257">
        <v>0</v>
      </c>
      <c r="M1268" s="257">
        <v>0</v>
      </c>
      <c r="N1268" s="257">
        <v>0</v>
      </c>
      <c r="O1268" s="257">
        <v>0</v>
      </c>
      <c r="P1268" s="257">
        <v>0</v>
      </c>
      <c r="Q1268" s="257">
        <v>0</v>
      </c>
      <c r="R1268" s="257">
        <v>0</v>
      </c>
      <c r="S1268" s="257" t="s">
        <v>488</v>
      </c>
      <c r="T1268" s="257" t="s">
        <v>488</v>
      </c>
      <c r="U1268" s="257">
        <v>0</v>
      </c>
      <c r="V1268" s="257">
        <v>0</v>
      </c>
      <c r="W1268">
        <f t="shared" si="19"/>
        <v>0</v>
      </c>
    </row>
    <row r="1269" spans="1:23" x14ac:dyDescent="0.25">
      <c r="A1269" s="2" t="s">
        <v>628</v>
      </c>
      <c r="B1269" s="2" t="s">
        <v>917</v>
      </c>
      <c r="C1269" s="2">
        <v>540081</v>
      </c>
      <c r="D1269" s="2" t="s">
        <v>711</v>
      </c>
      <c r="E1269" s="2" t="s">
        <v>71</v>
      </c>
      <c r="F1269" s="2" t="s">
        <v>115</v>
      </c>
      <c r="G1269" s="2">
        <v>3</v>
      </c>
      <c r="H1269" s="2">
        <v>0</v>
      </c>
      <c r="I1269" s="2">
        <v>0</v>
      </c>
      <c r="J1269" s="2">
        <v>0</v>
      </c>
      <c r="K1269" s="2">
        <v>0</v>
      </c>
      <c r="L1269" s="2">
        <v>0</v>
      </c>
      <c r="M1269" s="2">
        <v>0</v>
      </c>
      <c r="N1269" s="2">
        <v>0</v>
      </c>
      <c r="O1269" s="2">
        <v>0</v>
      </c>
      <c r="P1269" s="2">
        <v>0</v>
      </c>
      <c r="Q1269" s="2">
        <v>0</v>
      </c>
      <c r="R1269" s="2">
        <v>0</v>
      </c>
      <c r="S1269" s="2" t="s">
        <v>488</v>
      </c>
      <c r="T1269" s="2" t="s">
        <v>488</v>
      </c>
      <c r="U1269" s="2">
        <v>0</v>
      </c>
      <c r="V1269" s="2">
        <v>0</v>
      </c>
      <c r="W1269">
        <f t="shared" si="19"/>
        <v>0</v>
      </c>
    </row>
    <row r="1270" spans="1:23" x14ac:dyDescent="0.25">
      <c r="A1270" s="2" t="s">
        <v>628</v>
      </c>
      <c r="B1270" s="2" t="s">
        <v>917</v>
      </c>
      <c r="C1270" s="2">
        <v>540165</v>
      </c>
      <c r="D1270" s="2" t="s">
        <v>811</v>
      </c>
      <c r="E1270" s="2" t="s">
        <v>71</v>
      </c>
      <c r="F1270" s="2" t="s">
        <v>115</v>
      </c>
      <c r="G1270" s="2">
        <v>3</v>
      </c>
      <c r="H1270" s="2">
        <v>0</v>
      </c>
      <c r="I1270" s="2">
        <v>0</v>
      </c>
      <c r="J1270" s="2">
        <v>0</v>
      </c>
      <c r="K1270" s="2">
        <v>0</v>
      </c>
      <c r="L1270" s="2">
        <v>0</v>
      </c>
      <c r="M1270" s="2">
        <v>0</v>
      </c>
      <c r="N1270" s="2">
        <v>0</v>
      </c>
      <c r="O1270" s="2">
        <v>0</v>
      </c>
      <c r="P1270" s="2">
        <v>0</v>
      </c>
      <c r="Q1270" s="2">
        <v>0</v>
      </c>
      <c r="R1270" s="2">
        <v>0</v>
      </c>
      <c r="S1270" s="2" t="s">
        <v>488</v>
      </c>
      <c r="T1270" s="2" t="s">
        <v>488</v>
      </c>
      <c r="U1270" s="2">
        <v>0</v>
      </c>
      <c r="V1270" s="2">
        <v>0</v>
      </c>
      <c r="W1270">
        <f t="shared" si="19"/>
        <v>0</v>
      </c>
    </row>
    <row r="1271" spans="1:23" x14ac:dyDescent="0.25">
      <c r="A1271" s="2" t="s">
        <v>628</v>
      </c>
      <c r="B1271" s="2" t="s">
        <v>917</v>
      </c>
      <c r="C1271" s="2">
        <v>540166</v>
      </c>
      <c r="D1271" s="2" t="s">
        <v>812</v>
      </c>
      <c r="E1271" s="2" t="s">
        <v>71</v>
      </c>
      <c r="F1271" s="2" t="s">
        <v>115</v>
      </c>
      <c r="G1271" s="2">
        <v>3</v>
      </c>
      <c r="H1271" s="2">
        <v>0</v>
      </c>
      <c r="I1271" s="2">
        <v>0</v>
      </c>
      <c r="J1271" s="2">
        <v>0</v>
      </c>
      <c r="K1271" s="2">
        <v>0</v>
      </c>
      <c r="L1271" s="2">
        <v>0</v>
      </c>
      <c r="M1271" s="2">
        <v>0</v>
      </c>
      <c r="N1271" s="2">
        <v>0</v>
      </c>
      <c r="O1271" s="2">
        <v>0</v>
      </c>
      <c r="P1271" s="2">
        <v>0</v>
      </c>
      <c r="Q1271" s="2">
        <v>0</v>
      </c>
      <c r="R1271" s="2">
        <v>0</v>
      </c>
      <c r="S1271" s="2" t="s">
        <v>488</v>
      </c>
      <c r="T1271" s="2" t="s">
        <v>488</v>
      </c>
      <c r="U1271" s="2">
        <v>0</v>
      </c>
      <c r="V1271" s="2">
        <v>0</v>
      </c>
      <c r="W1271">
        <f t="shared" si="19"/>
        <v>0</v>
      </c>
    </row>
    <row r="1272" spans="1:23" x14ac:dyDescent="0.25">
      <c r="A1272" s="2" t="s">
        <v>628</v>
      </c>
      <c r="B1272" s="2" t="s">
        <v>917</v>
      </c>
      <c r="C1272" s="2">
        <v>540167</v>
      </c>
      <c r="D1272" s="2" t="s">
        <v>813</v>
      </c>
      <c r="E1272" s="2" t="s">
        <v>71</v>
      </c>
      <c r="F1272" s="2" t="s">
        <v>115</v>
      </c>
      <c r="G1272" s="2">
        <v>3</v>
      </c>
      <c r="H1272" s="2">
        <v>0</v>
      </c>
      <c r="I1272" s="2">
        <v>0</v>
      </c>
      <c r="J1272" s="2">
        <v>0</v>
      </c>
      <c r="K1272" s="2">
        <v>0</v>
      </c>
      <c r="L1272" s="2">
        <v>0</v>
      </c>
      <c r="M1272" s="2">
        <v>0</v>
      </c>
      <c r="N1272" s="2">
        <v>0</v>
      </c>
      <c r="O1272" s="2">
        <v>0</v>
      </c>
      <c r="P1272" s="2">
        <v>0</v>
      </c>
      <c r="Q1272" s="2">
        <v>0</v>
      </c>
      <c r="R1272" s="2">
        <v>0</v>
      </c>
      <c r="S1272" s="2" t="s">
        <v>488</v>
      </c>
      <c r="T1272" s="2" t="s">
        <v>488</v>
      </c>
      <c r="U1272" s="2">
        <v>0</v>
      </c>
      <c r="V1272" s="2">
        <v>0</v>
      </c>
      <c r="W1272">
        <f t="shared" si="19"/>
        <v>0</v>
      </c>
    </row>
    <row r="1273" spans="1:23" x14ac:dyDescent="0.25">
      <c r="A1273" s="2" t="s">
        <v>628</v>
      </c>
      <c r="B1273" s="2" t="s">
        <v>917</v>
      </c>
      <c r="C1273" s="2">
        <v>540168</v>
      </c>
      <c r="D1273" s="2" t="s">
        <v>814</v>
      </c>
      <c r="E1273" s="2" t="s">
        <v>71</v>
      </c>
      <c r="F1273" s="2" t="s">
        <v>115</v>
      </c>
      <c r="G1273" s="2">
        <v>3</v>
      </c>
      <c r="H1273" s="2">
        <v>0</v>
      </c>
      <c r="I1273" s="2">
        <v>0</v>
      </c>
      <c r="J1273" s="2">
        <v>0</v>
      </c>
      <c r="K1273" s="2">
        <v>0</v>
      </c>
      <c r="L1273" s="2">
        <v>0</v>
      </c>
      <c r="M1273" s="2">
        <v>0</v>
      </c>
      <c r="N1273" s="2">
        <v>0</v>
      </c>
      <c r="O1273" s="2">
        <v>0</v>
      </c>
      <c r="P1273" s="2">
        <v>0</v>
      </c>
      <c r="Q1273" s="2">
        <v>0</v>
      </c>
      <c r="R1273" s="2">
        <v>0</v>
      </c>
      <c r="S1273" s="2" t="s">
        <v>488</v>
      </c>
      <c r="T1273" s="2" t="s">
        <v>488</v>
      </c>
      <c r="U1273" s="2">
        <v>0</v>
      </c>
      <c r="V1273" s="2">
        <v>0</v>
      </c>
      <c r="W1273">
        <f t="shared" si="19"/>
        <v>0</v>
      </c>
    </row>
    <row r="1274" spans="1:23" x14ac:dyDescent="0.25">
      <c r="A1274" s="2" t="s">
        <v>628</v>
      </c>
      <c r="B1274" s="2" t="s">
        <v>917</v>
      </c>
      <c r="C1274" s="2">
        <v>540222</v>
      </c>
      <c r="D1274" s="2" t="s">
        <v>815</v>
      </c>
      <c r="E1274" s="2" t="s">
        <v>71</v>
      </c>
      <c r="F1274" s="2" t="s">
        <v>115</v>
      </c>
      <c r="G1274" s="2">
        <v>3</v>
      </c>
      <c r="H1274" s="2">
        <v>0</v>
      </c>
      <c r="I1274" s="2">
        <v>0</v>
      </c>
      <c r="J1274" s="2">
        <v>0</v>
      </c>
      <c r="K1274" s="2">
        <v>0</v>
      </c>
      <c r="L1274" s="2">
        <v>0</v>
      </c>
      <c r="M1274" s="2">
        <v>0</v>
      </c>
      <c r="N1274" s="2">
        <v>0</v>
      </c>
      <c r="O1274" s="2">
        <v>0</v>
      </c>
      <c r="P1274" s="2">
        <v>0</v>
      </c>
      <c r="Q1274" s="2">
        <v>0</v>
      </c>
      <c r="R1274" s="2">
        <v>0</v>
      </c>
      <c r="S1274" s="2" t="s">
        <v>488</v>
      </c>
      <c r="T1274" s="2" t="s">
        <v>488</v>
      </c>
      <c r="U1274" s="2">
        <v>0</v>
      </c>
      <c r="V1274" s="2">
        <v>0</v>
      </c>
      <c r="W1274">
        <f t="shared" si="19"/>
        <v>0</v>
      </c>
    </row>
    <row r="1275" spans="1:23" x14ac:dyDescent="0.25">
      <c r="A1275" s="2" t="s">
        <v>628</v>
      </c>
      <c r="B1275" s="2" t="s">
        <v>917</v>
      </c>
      <c r="C1275" s="2">
        <v>540271</v>
      </c>
      <c r="D1275" s="2" t="s">
        <v>816</v>
      </c>
      <c r="E1275" s="2" t="s">
        <v>71</v>
      </c>
      <c r="F1275" s="2" t="s">
        <v>115</v>
      </c>
      <c r="G1275" s="2">
        <v>3</v>
      </c>
      <c r="H1275" s="2">
        <v>0</v>
      </c>
      <c r="I1275" s="2">
        <v>0</v>
      </c>
      <c r="J1275" s="2">
        <v>0</v>
      </c>
      <c r="K1275" s="2">
        <v>0</v>
      </c>
      <c r="L1275" s="2">
        <v>0</v>
      </c>
      <c r="M1275" s="2">
        <v>0</v>
      </c>
      <c r="N1275" s="2">
        <v>0</v>
      </c>
      <c r="O1275" s="2">
        <v>0</v>
      </c>
      <c r="P1275" s="2">
        <v>0</v>
      </c>
      <c r="Q1275" s="2">
        <v>0</v>
      </c>
      <c r="R1275" s="2">
        <v>0</v>
      </c>
      <c r="S1275" s="2" t="s">
        <v>488</v>
      </c>
      <c r="T1275" s="2" t="s">
        <v>488</v>
      </c>
      <c r="U1275" s="2">
        <v>0</v>
      </c>
      <c r="V1275" s="2">
        <v>0</v>
      </c>
      <c r="W1275">
        <f t="shared" si="19"/>
        <v>0</v>
      </c>
    </row>
    <row r="1276" spans="1:23" x14ac:dyDescent="0.25">
      <c r="A1276" s="255" t="s">
        <v>628</v>
      </c>
      <c r="B1276" s="255" t="s">
        <v>917</v>
      </c>
      <c r="C1276" s="255"/>
      <c r="D1276" s="255"/>
      <c r="E1276" s="255" t="s">
        <v>71</v>
      </c>
      <c r="F1276" s="255"/>
      <c r="G1276" s="255"/>
      <c r="H1276" s="255">
        <v>0</v>
      </c>
      <c r="I1276" s="255">
        <v>0</v>
      </c>
      <c r="J1276" s="255">
        <v>0</v>
      </c>
      <c r="K1276" s="255">
        <v>0</v>
      </c>
      <c r="L1276" s="255">
        <v>0</v>
      </c>
      <c r="M1276" s="255">
        <v>0</v>
      </c>
      <c r="N1276" s="255">
        <v>0</v>
      </c>
      <c r="O1276" s="255">
        <v>0</v>
      </c>
      <c r="P1276" s="255">
        <v>0</v>
      </c>
      <c r="Q1276" s="255">
        <v>0</v>
      </c>
      <c r="R1276" s="255">
        <v>0</v>
      </c>
      <c r="S1276" s="255" t="s">
        <v>488</v>
      </c>
      <c r="T1276" s="255" t="s">
        <v>488</v>
      </c>
      <c r="U1276" s="255">
        <v>0</v>
      </c>
      <c r="V1276" s="255">
        <v>0</v>
      </c>
      <c r="W1276">
        <f t="shared" si="19"/>
        <v>0</v>
      </c>
    </row>
    <row r="1277" spans="1:23" x14ac:dyDescent="0.25">
      <c r="A1277" s="2" t="s">
        <v>628</v>
      </c>
      <c r="B1277" s="2" t="s">
        <v>917</v>
      </c>
      <c r="C1277" s="2">
        <v>540169</v>
      </c>
      <c r="D1277" s="2" t="s">
        <v>817</v>
      </c>
      <c r="E1277" s="2" t="s">
        <v>73</v>
      </c>
      <c r="F1277" s="2" t="s">
        <v>5</v>
      </c>
      <c r="G1277" s="2">
        <v>1</v>
      </c>
      <c r="H1277" s="2">
        <v>0</v>
      </c>
      <c r="I1277" s="2">
        <v>0</v>
      </c>
      <c r="J1277" s="2">
        <v>0</v>
      </c>
      <c r="K1277" s="2">
        <v>0</v>
      </c>
      <c r="L1277" s="2">
        <v>0</v>
      </c>
      <c r="M1277" s="2">
        <v>0</v>
      </c>
      <c r="N1277" s="2">
        <v>0</v>
      </c>
      <c r="O1277" s="2">
        <v>0</v>
      </c>
      <c r="P1277" s="2">
        <v>0</v>
      </c>
      <c r="Q1277" s="2">
        <v>0</v>
      </c>
      <c r="R1277" s="2">
        <v>0</v>
      </c>
      <c r="S1277" s="2" t="s">
        <v>488</v>
      </c>
      <c r="T1277" s="2" t="s">
        <v>488</v>
      </c>
      <c r="U1277" s="2">
        <v>0</v>
      </c>
      <c r="V1277" s="2">
        <v>0</v>
      </c>
      <c r="W1277">
        <f t="shared" si="19"/>
        <v>0</v>
      </c>
    </row>
    <row r="1278" spans="1:23" x14ac:dyDescent="0.25">
      <c r="A1278" s="2" t="s">
        <v>628</v>
      </c>
      <c r="B1278" s="2" t="s">
        <v>917</v>
      </c>
      <c r="C1278" s="2">
        <v>540170</v>
      </c>
      <c r="D1278" s="2" t="s">
        <v>818</v>
      </c>
      <c r="E1278" s="2" t="s">
        <v>73</v>
      </c>
      <c r="F1278" s="2" t="s">
        <v>115</v>
      </c>
      <c r="G1278" s="2">
        <v>1</v>
      </c>
      <c r="H1278" s="2">
        <v>0</v>
      </c>
      <c r="I1278" s="2">
        <v>0</v>
      </c>
      <c r="J1278" s="2">
        <v>0</v>
      </c>
      <c r="K1278" s="2">
        <v>0</v>
      </c>
      <c r="L1278" s="2">
        <v>0</v>
      </c>
      <c r="M1278" s="2">
        <v>0</v>
      </c>
      <c r="N1278" s="2">
        <v>0</v>
      </c>
      <c r="O1278" s="2">
        <v>0</v>
      </c>
      <c r="P1278" s="2">
        <v>0</v>
      </c>
      <c r="Q1278" s="2">
        <v>0</v>
      </c>
      <c r="R1278" s="2">
        <v>0</v>
      </c>
      <c r="S1278" s="2" t="s">
        <v>488</v>
      </c>
      <c r="T1278" s="2" t="s">
        <v>488</v>
      </c>
      <c r="U1278" s="2">
        <v>0</v>
      </c>
      <c r="V1278" s="2">
        <v>0</v>
      </c>
      <c r="W1278">
        <f t="shared" si="19"/>
        <v>0</v>
      </c>
    </row>
    <row r="1279" spans="1:23" x14ac:dyDescent="0.25">
      <c r="A1279" s="2" t="s">
        <v>628</v>
      </c>
      <c r="B1279" s="2" t="s">
        <v>917</v>
      </c>
      <c r="C1279" s="2">
        <v>540171</v>
      </c>
      <c r="D1279" s="2" t="s">
        <v>819</v>
      </c>
      <c r="E1279" s="2" t="s">
        <v>73</v>
      </c>
      <c r="F1279" s="2" t="s">
        <v>115</v>
      </c>
      <c r="G1279" s="2">
        <v>1</v>
      </c>
      <c r="H1279" s="2">
        <v>0</v>
      </c>
      <c r="I1279" s="2">
        <v>0</v>
      </c>
      <c r="J1279" s="2">
        <v>0</v>
      </c>
      <c r="K1279" s="2">
        <v>0</v>
      </c>
      <c r="L1279" s="2">
        <v>0</v>
      </c>
      <c r="M1279" s="2">
        <v>0</v>
      </c>
      <c r="N1279" s="2">
        <v>0</v>
      </c>
      <c r="O1279" s="2">
        <v>0</v>
      </c>
      <c r="P1279" s="2">
        <v>0</v>
      </c>
      <c r="Q1279" s="2">
        <v>0</v>
      </c>
      <c r="R1279" s="2">
        <v>0</v>
      </c>
      <c r="S1279" s="2" t="s">
        <v>488</v>
      </c>
      <c r="T1279" s="2" t="s">
        <v>488</v>
      </c>
      <c r="U1279" s="2">
        <v>0</v>
      </c>
      <c r="V1279" s="2">
        <v>0</v>
      </c>
      <c r="W1279">
        <f t="shared" si="19"/>
        <v>0</v>
      </c>
    </row>
    <row r="1280" spans="1:23" x14ac:dyDescent="0.25">
      <c r="A1280" s="2" t="s">
        <v>628</v>
      </c>
      <c r="B1280" s="2" t="s">
        <v>917</v>
      </c>
      <c r="C1280" s="2">
        <v>540173</v>
      </c>
      <c r="D1280" s="2" t="s">
        <v>820</v>
      </c>
      <c r="E1280" s="2" t="s">
        <v>73</v>
      </c>
      <c r="F1280" s="2" t="s">
        <v>115</v>
      </c>
      <c r="G1280" s="2">
        <v>1</v>
      </c>
      <c r="H1280" s="2">
        <v>0</v>
      </c>
      <c r="I1280" s="2">
        <v>0</v>
      </c>
      <c r="J1280" s="2">
        <v>0</v>
      </c>
      <c r="K1280" s="2">
        <v>0</v>
      </c>
      <c r="L1280" s="2">
        <v>0</v>
      </c>
      <c r="M1280" s="2">
        <v>0</v>
      </c>
      <c r="N1280" s="2">
        <v>0</v>
      </c>
      <c r="O1280" s="2">
        <v>0</v>
      </c>
      <c r="P1280" s="2">
        <v>0</v>
      </c>
      <c r="Q1280" s="2">
        <v>0</v>
      </c>
      <c r="R1280" s="2">
        <v>0</v>
      </c>
      <c r="S1280" s="2" t="s">
        <v>488</v>
      </c>
      <c r="T1280" s="2" t="s">
        <v>488</v>
      </c>
      <c r="U1280" s="2">
        <v>0</v>
      </c>
      <c r="V1280" s="2">
        <v>0</v>
      </c>
      <c r="W1280">
        <f t="shared" si="19"/>
        <v>0</v>
      </c>
    </row>
    <row r="1281" spans="1:23" x14ac:dyDescent="0.25">
      <c r="A1281" s="2" t="s">
        <v>628</v>
      </c>
      <c r="B1281" s="2" t="s">
        <v>917</v>
      </c>
      <c r="C1281" s="2">
        <v>540174</v>
      </c>
      <c r="D1281" s="2" t="s">
        <v>821</v>
      </c>
      <c r="E1281" s="2" t="s">
        <v>73</v>
      </c>
      <c r="F1281" s="2" t="s">
        <v>115</v>
      </c>
      <c r="G1281" s="2">
        <v>1</v>
      </c>
      <c r="H1281" s="2">
        <v>0</v>
      </c>
      <c r="I1281" s="2">
        <v>0</v>
      </c>
      <c r="J1281" s="2">
        <v>0</v>
      </c>
      <c r="K1281" s="2">
        <v>0</v>
      </c>
      <c r="L1281" s="2">
        <v>0</v>
      </c>
      <c r="M1281" s="2">
        <v>0</v>
      </c>
      <c r="N1281" s="2">
        <v>0</v>
      </c>
      <c r="O1281" s="2">
        <v>0</v>
      </c>
      <c r="P1281" s="2">
        <v>0</v>
      </c>
      <c r="Q1281" s="2">
        <v>0</v>
      </c>
      <c r="R1281" s="2">
        <v>0</v>
      </c>
      <c r="S1281" s="2" t="s">
        <v>488</v>
      </c>
      <c r="T1281" s="2" t="s">
        <v>488</v>
      </c>
      <c r="U1281" s="2">
        <v>0</v>
      </c>
      <c r="V1281" s="2">
        <v>0</v>
      </c>
      <c r="W1281">
        <f t="shared" si="19"/>
        <v>0</v>
      </c>
    </row>
    <row r="1282" spans="1:23" x14ac:dyDescent="0.25">
      <c r="A1282" s="2" t="s">
        <v>628</v>
      </c>
      <c r="B1282" s="2" t="s">
        <v>917</v>
      </c>
      <c r="C1282" s="2">
        <v>540286</v>
      </c>
      <c r="D1282" s="2" t="s">
        <v>822</v>
      </c>
      <c r="E1282" s="2" t="s">
        <v>73</v>
      </c>
      <c r="F1282" s="2" t="s">
        <v>115</v>
      </c>
      <c r="G1282" s="2">
        <v>1</v>
      </c>
      <c r="H1282" s="2">
        <v>0</v>
      </c>
      <c r="I1282" s="2">
        <v>0</v>
      </c>
      <c r="J1282" s="2">
        <v>0</v>
      </c>
      <c r="K1282" s="2">
        <v>0</v>
      </c>
      <c r="L1282" s="2">
        <v>0</v>
      </c>
      <c r="M1282" s="2">
        <v>0</v>
      </c>
      <c r="N1282" s="2">
        <v>0</v>
      </c>
      <c r="O1282" s="2">
        <v>0</v>
      </c>
      <c r="P1282" s="2">
        <v>0</v>
      </c>
      <c r="Q1282" s="2">
        <v>0</v>
      </c>
      <c r="R1282" s="2">
        <v>0</v>
      </c>
      <c r="S1282" s="2" t="s">
        <v>488</v>
      </c>
      <c r="T1282" s="2" t="s">
        <v>488</v>
      </c>
      <c r="U1282" s="2">
        <v>0</v>
      </c>
      <c r="V1282" s="2">
        <v>0</v>
      </c>
      <c r="W1282">
        <f t="shared" si="19"/>
        <v>0</v>
      </c>
    </row>
    <row r="1283" spans="1:23" x14ac:dyDescent="0.25">
      <c r="A1283" s="255" t="s">
        <v>628</v>
      </c>
      <c r="B1283" s="255" t="s">
        <v>917</v>
      </c>
      <c r="C1283" s="255"/>
      <c r="D1283" s="255"/>
      <c r="E1283" s="255" t="s">
        <v>73</v>
      </c>
      <c r="F1283" s="255"/>
      <c r="G1283" s="255"/>
      <c r="H1283" s="255">
        <v>0</v>
      </c>
      <c r="I1283" s="255">
        <v>0</v>
      </c>
      <c r="J1283" s="255">
        <v>0</v>
      </c>
      <c r="K1283" s="255">
        <v>0</v>
      </c>
      <c r="L1283" s="255">
        <v>0</v>
      </c>
      <c r="M1283" s="255">
        <v>0</v>
      </c>
      <c r="N1283" s="255">
        <v>0</v>
      </c>
      <c r="O1283" s="255">
        <v>0</v>
      </c>
      <c r="P1283" s="255">
        <v>0</v>
      </c>
      <c r="Q1283" s="255">
        <v>0</v>
      </c>
      <c r="R1283" s="255">
        <v>0</v>
      </c>
      <c r="S1283" s="255" t="s">
        <v>488</v>
      </c>
      <c r="T1283" s="255" t="s">
        <v>488</v>
      </c>
      <c r="U1283" s="255">
        <v>0</v>
      </c>
      <c r="V1283" s="255">
        <v>0</v>
      </c>
      <c r="W1283">
        <f t="shared" ref="W1283:W1346" si="20">SUM(N1283,P1283,R1283,T1283,U1283,V1283)</f>
        <v>0</v>
      </c>
    </row>
    <row r="1284" spans="1:23" x14ac:dyDescent="0.25">
      <c r="A1284" s="2" t="s">
        <v>628</v>
      </c>
      <c r="B1284" s="2" t="s">
        <v>917</v>
      </c>
      <c r="C1284" s="2">
        <v>540183</v>
      </c>
      <c r="D1284" s="2" t="s">
        <v>823</v>
      </c>
      <c r="E1284" s="2" t="s">
        <v>77</v>
      </c>
      <c r="F1284" s="2" t="s">
        <v>5</v>
      </c>
      <c r="G1284" s="2">
        <v>5</v>
      </c>
      <c r="H1284" s="2">
        <v>0</v>
      </c>
      <c r="I1284" s="2">
        <v>0</v>
      </c>
      <c r="J1284" s="2">
        <v>0</v>
      </c>
      <c r="K1284" s="2">
        <v>0</v>
      </c>
      <c r="L1284" s="2">
        <v>0</v>
      </c>
      <c r="M1284" s="2">
        <v>0</v>
      </c>
      <c r="N1284" s="2">
        <v>0</v>
      </c>
      <c r="O1284" s="2">
        <v>0</v>
      </c>
      <c r="P1284" s="2">
        <v>0</v>
      </c>
      <c r="Q1284" s="2">
        <v>0</v>
      </c>
      <c r="R1284" s="2">
        <v>0</v>
      </c>
      <c r="S1284" s="2" t="s">
        <v>488</v>
      </c>
      <c r="T1284" s="2" t="s">
        <v>488</v>
      </c>
      <c r="U1284" s="2">
        <v>0</v>
      </c>
      <c r="V1284" s="2">
        <v>0</v>
      </c>
      <c r="W1284">
        <f t="shared" si="20"/>
        <v>0</v>
      </c>
    </row>
    <row r="1285" spans="1:23" x14ac:dyDescent="0.25">
      <c r="A1285" s="2" t="s">
        <v>628</v>
      </c>
      <c r="B1285" s="2" t="s">
        <v>917</v>
      </c>
      <c r="C1285" s="2">
        <v>540184</v>
      </c>
      <c r="D1285" s="2" t="s">
        <v>824</v>
      </c>
      <c r="E1285" s="2" t="s">
        <v>77</v>
      </c>
      <c r="F1285" s="2" t="s">
        <v>115</v>
      </c>
      <c r="G1285" s="2">
        <v>5</v>
      </c>
      <c r="H1285" s="2">
        <v>0</v>
      </c>
      <c r="I1285" s="2">
        <v>0</v>
      </c>
      <c r="J1285" s="2">
        <v>0</v>
      </c>
      <c r="K1285" s="2">
        <v>0</v>
      </c>
      <c r="L1285" s="2">
        <v>0</v>
      </c>
      <c r="M1285" s="2">
        <v>0</v>
      </c>
      <c r="N1285" s="2">
        <v>0</v>
      </c>
      <c r="O1285" s="2">
        <v>0</v>
      </c>
      <c r="P1285" s="2">
        <v>0</v>
      </c>
      <c r="Q1285" s="2">
        <v>0</v>
      </c>
      <c r="R1285" s="2">
        <v>0</v>
      </c>
      <c r="S1285" s="2" t="s">
        <v>488</v>
      </c>
      <c r="T1285" s="2" t="s">
        <v>488</v>
      </c>
      <c r="U1285" s="2">
        <v>0</v>
      </c>
      <c r="V1285" s="2">
        <v>0</v>
      </c>
      <c r="W1285">
        <f t="shared" si="20"/>
        <v>0</v>
      </c>
    </row>
    <row r="1286" spans="1:23" x14ac:dyDescent="0.25">
      <c r="A1286" s="2" t="s">
        <v>628</v>
      </c>
      <c r="B1286" s="2" t="s">
        <v>917</v>
      </c>
      <c r="C1286" s="2">
        <v>540185</v>
      </c>
      <c r="D1286" s="2" t="s">
        <v>825</v>
      </c>
      <c r="E1286" s="2" t="s">
        <v>77</v>
      </c>
      <c r="F1286" s="2" t="s">
        <v>115</v>
      </c>
      <c r="G1286" s="2">
        <v>5</v>
      </c>
      <c r="H1286" s="2">
        <v>0</v>
      </c>
      <c r="I1286" s="2">
        <v>0</v>
      </c>
      <c r="J1286" s="2">
        <v>0</v>
      </c>
      <c r="K1286" s="2">
        <v>0</v>
      </c>
      <c r="L1286" s="2">
        <v>0</v>
      </c>
      <c r="M1286" s="2">
        <v>0</v>
      </c>
      <c r="N1286" s="2">
        <v>0</v>
      </c>
      <c r="O1286" s="2">
        <v>0</v>
      </c>
      <c r="P1286" s="2">
        <v>0</v>
      </c>
      <c r="Q1286" s="2">
        <v>0</v>
      </c>
      <c r="R1286" s="2">
        <v>0</v>
      </c>
      <c r="S1286" s="2" t="s">
        <v>488</v>
      </c>
      <c r="T1286" s="2" t="s">
        <v>488</v>
      </c>
      <c r="U1286" s="2">
        <v>0</v>
      </c>
      <c r="V1286" s="2">
        <v>0</v>
      </c>
      <c r="W1286">
        <f t="shared" si="20"/>
        <v>0</v>
      </c>
    </row>
    <row r="1287" spans="1:23" x14ac:dyDescent="0.25">
      <c r="A1287" s="255" t="s">
        <v>628</v>
      </c>
      <c r="B1287" s="255" t="s">
        <v>917</v>
      </c>
      <c r="C1287" s="255"/>
      <c r="D1287" s="255"/>
      <c r="E1287" s="255" t="s">
        <v>77</v>
      </c>
      <c r="F1287" s="255"/>
      <c r="G1287" s="255"/>
      <c r="H1287" s="255">
        <v>0</v>
      </c>
      <c r="I1287" s="255">
        <v>0</v>
      </c>
      <c r="J1287" s="255">
        <v>0</v>
      </c>
      <c r="K1287" s="255">
        <v>0</v>
      </c>
      <c r="L1287" s="255">
        <v>0</v>
      </c>
      <c r="M1287" s="255">
        <v>0</v>
      </c>
      <c r="N1287" s="255">
        <v>0</v>
      </c>
      <c r="O1287" s="255">
        <v>0</v>
      </c>
      <c r="P1287" s="255">
        <v>0</v>
      </c>
      <c r="Q1287" s="255">
        <v>0</v>
      </c>
      <c r="R1287" s="255">
        <v>0</v>
      </c>
      <c r="S1287" s="255" t="s">
        <v>488</v>
      </c>
      <c r="T1287" s="255" t="s">
        <v>488</v>
      </c>
      <c r="U1287" s="255">
        <v>0</v>
      </c>
      <c r="V1287" s="255">
        <v>0</v>
      </c>
      <c r="W1287">
        <f t="shared" si="20"/>
        <v>0</v>
      </c>
    </row>
    <row r="1288" spans="1:23" x14ac:dyDescent="0.25">
      <c r="A1288" s="2" t="s">
        <v>628</v>
      </c>
      <c r="B1288" s="2" t="s">
        <v>917</v>
      </c>
      <c r="C1288" s="2">
        <v>540186</v>
      </c>
      <c r="D1288" s="2" t="s">
        <v>826</v>
      </c>
      <c r="E1288" s="2" t="s">
        <v>79</v>
      </c>
      <c r="F1288" s="2" t="s">
        <v>5</v>
      </c>
      <c r="G1288" s="2">
        <v>1</v>
      </c>
      <c r="H1288" s="2">
        <v>0</v>
      </c>
      <c r="I1288" s="2">
        <v>0</v>
      </c>
      <c r="J1288" s="2">
        <v>0</v>
      </c>
      <c r="K1288" s="2">
        <v>0</v>
      </c>
      <c r="L1288" s="2">
        <v>0</v>
      </c>
      <c r="M1288" s="2">
        <v>0</v>
      </c>
      <c r="N1288" s="2">
        <v>0</v>
      </c>
      <c r="O1288" s="2">
        <v>0</v>
      </c>
      <c r="P1288" s="2">
        <v>0</v>
      </c>
      <c r="Q1288" s="2">
        <v>0</v>
      </c>
      <c r="R1288" s="2">
        <v>0</v>
      </c>
      <c r="S1288" s="2" t="s">
        <v>488</v>
      </c>
      <c r="T1288" s="2" t="s">
        <v>488</v>
      </c>
      <c r="U1288" s="2">
        <v>0</v>
      </c>
      <c r="V1288" s="2">
        <v>0</v>
      </c>
      <c r="W1288">
        <f t="shared" si="20"/>
        <v>0</v>
      </c>
    </row>
    <row r="1289" spans="1:23" x14ac:dyDescent="0.25">
      <c r="A1289" s="2" t="s">
        <v>628</v>
      </c>
      <c r="B1289" s="2" t="s">
        <v>917</v>
      </c>
      <c r="C1289" s="2">
        <v>540187</v>
      </c>
      <c r="D1289" s="2" t="s">
        <v>827</v>
      </c>
      <c r="E1289" s="2" t="s">
        <v>79</v>
      </c>
      <c r="F1289" s="2" t="s">
        <v>115</v>
      </c>
      <c r="G1289" s="2">
        <v>1</v>
      </c>
      <c r="H1289" s="2">
        <v>0</v>
      </c>
      <c r="I1289" s="2">
        <v>0</v>
      </c>
      <c r="J1289" s="2">
        <v>0</v>
      </c>
      <c r="K1289" s="2">
        <v>0</v>
      </c>
      <c r="L1289" s="2">
        <v>0</v>
      </c>
      <c r="M1289" s="2">
        <v>0</v>
      </c>
      <c r="N1289" s="2">
        <v>0</v>
      </c>
      <c r="O1289" s="2">
        <v>0</v>
      </c>
      <c r="P1289" s="2">
        <v>0</v>
      </c>
      <c r="Q1289" s="2">
        <v>0</v>
      </c>
      <c r="R1289" s="2">
        <v>0</v>
      </c>
      <c r="S1289" s="2" t="s">
        <v>488</v>
      </c>
      <c r="T1289" s="2" t="s">
        <v>488</v>
      </c>
      <c r="U1289" s="2">
        <v>0</v>
      </c>
      <c r="V1289" s="2">
        <v>0</v>
      </c>
      <c r="W1289">
        <f t="shared" si="20"/>
        <v>0</v>
      </c>
    </row>
    <row r="1290" spans="1:23" x14ac:dyDescent="0.25">
      <c r="A1290" s="255" t="s">
        <v>628</v>
      </c>
      <c r="B1290" s="255" t="s">
        <v>917</v>
      </c>
      <c r="C1290" s="255"/>
      <c r="D1290" s="255"/>
      <c r="E1290" s="255" t="s">
        <v>79</v>
      </c>
      <c r="F1290" s="255"/>
      <c r="G1290" s="255"/>
      <c r="H1290" s="255">
        <v>0</v>
      </c>
      <c r="I1290" s="255">
        <v>0</v>
      </c>
      <c r="J1290" s="255">
        <v>0</v>
      </c>
      <c r="K1290" s="255">
        <v>0</v>
      </c>
      <c r="L1290" s="255">
        <v>0</v>
      </c>
      <c r="M1290" s="255">
        <v>0</v>
      </c>
      <c r="N1290" s="255">
        <v>0</v>
      </c>
      <c r="O1290" s="255">
        <v>0</v>
      </c>
      <c r="P1290" s="255">
        <v>0</v>
      </c>
      <c r="Q1290" s="255">
        <v>0</v>
      </c>
      <c r="R1290" s="255">
        <v>0</v>
      </c>
      <c r="S1290" s="255" t="s">
        <v>488</v>
      </c>
      <c r="T1290" s="255" t="s">
        <v>488</v>
      </c>
      <c r="U1290" s="255">
        <v>0</v>
      </c>
      <c r="V1290" s="255">
        <v>0</v>
      </c>
      <c r="W1290">
        <f t="shared" si="20"/>
        <v>0</v>
      </c>
    </row>
    <row r="1291" spans="1:23" x14ac:dyDescent="0.25">
      <c r="A1291" s="2" t="s">
        <v>628</v>
      </c>
      <c r="B1291" s="2" t="s">
        <v>917</v>
      </c>
      <c r="C1291" s="2">
        <v>540188</v>
      </c>
      <c r="D1291" s="2" t="s">
        <v>828</v>
      </c>
      <c r="E1291" s="2" t="s">
        <v>81</v>
      </c>
      <c r="F1291" s="2" t="s">
        <v>5</v>
      </c>
      <c r="G1291" s="2">
        <v>6</v>
      </c>
      <c r="H1291" s="2">
        <v>0</v>
      </c>
      <c r="I1291" s="2">
        <v>0</v>
      </c>
      <c r="J1291" s="2">
        <v>0</v>
      </c>
      <c r="K1291" s="2">
        <v>0</v>
      </c>
      <c r="L1291" s="2">
        <v>0</v>
      </c>
      <c r="M1291" s="2">
        <v>0</v>
      </c>
      <c r="N1291" s="2">
        <v>0</v>
      </c>
      <c r="O1291" s="2">
        <v>0</v>
      </c>
      <c r="P1291" s="2">
        <v>0</v>
      </c>
      <c r="Q1291" s="2">
        <v>0</v>
      </c>
      <c r="R1291" s="2">
        <v>0</v>
      </c>
      <c r="S1291" s="2" t="s">
        <v>488</v>
      </c>
      <c r="T1291" s="2" t="s">
        <v>488</v>
      </c>
      <c r="U1291" s="2">
        <v>0</v>
      </c>
      <c r="V1291" s="2">
        <v>0</v>
      </c>
      <c r="W1291">
        <f t="shared" si="20"/>
        <v>0</v>
      </c>
    </row>
    <row r="1292" spans="1:23" x14ac:dyDescent="0.25">
      <c r="A1292" s="2" t="s">
        <v>628</v>
      </c>
      <c r="B1292" s="2" t="s">
        <v>917</v>
      </c>
      <c r="C1292" s="2">
        <v>540189</v>
      </c>
      <c r="D1292" s="2" t="s">
        <v>829</v>
      </c>
      <c r="E1292" s="2" t="s">
        <v>81</v>
      </c>
      <c r="F1292" s="2" t="s">
        <v>115</v>
      </c>
      <c r="G1292" s="2">
        <v>6</v>
      </c>
      <c r="H1292" s="2">
        <v>0</v>
      </c>
      <c r="I1292" s="2">
        <v>0</v>
      </c>
      <c r="J1292" s="2">
        <v>0</v>
      </c>
      <c r="K1292" s="2">
        <v>0</v>
      </c>
      <c r="L1292" s="2">
        <v>0</v>
      </c>
      <c r="M1292" s="2">
        <v>0</v>
      </c>
      <c r="N1292" s="2">
        <v>0</v>
      </c>
      <c r="O1292" s="2">
        <v>0</v>
      </c>
      <c r="P1292" s="2">
        <v>0</v>
      </c>
      <c r="Q1292" s="2">
        <v>0</v>
      </c>
      <c r="R1292" s="2">
        <v>0</v>
      </c>
      <c r="S1292" s="2" t="s">
        <v>488</v>
      </c>
      <c r="T1292" s="2" t="s">
        <v>488</v>
      </c>
      <c r="U1292" s="2">
        <v>0</v>
      </c>
      <c r="V1292" s="2">
        <v>0</v>
      </c>
      <c r="W1292">
        <f t="shared" si="20"/>
        <v>0</v>
      </c>
    </row>
    <row r="1293" spans="1:23" x14ac:dyDescent="0.25">
      <c r="A1293" s="2" t="s">
        <v>628</v>
      </c>
      <c r="B1293" s="2" t="s">
        <v>917</v>
      </c>
      <c r="C1293" s="2">
        <v>540190</v>
      </c>
      <c r="D1293" s="2" t="s">
        <v>830</v>
      </c>
      <c r="E1293" s="2" t="s">
        <v>81</v>
      </c>
      <c r="F1293" s="2" t="s">
        <v>115</v>
      </c>
      <c r="G1293" s="2">
        <v>6</v>
      </c>
      <c r="H1293" s="2">
        <v>0</v>
      </c>
      <c r="I1293" s="2">
        <v>0</v>
      </c>
      <c r="J1293" s="2">
        <v>0</v>
      </c>
      <c r="K1293" s="2">
        <v>0</v>
      </c>
      <c r="L1293" s="2">
        <v>0</v>
      </c>
      <c r="M1293" s="2">
        <v>0</v>
      </c>
      <c r="N1293" s="2">
        <v>0</v>
      </c>
      <c r="O1293" s="2">
        <v>0</v>
      </c>
      <c r="P1293" s="2">
        <v>0</v>
      </c>
      <c r="Q1293" s="2">
        <v>0</v>
      </c>
      <c r="R1293" s="2">
        <v>0</v>
      </c>
      <c r="S1293" s="2" t="s">
        <v>488</v>
      </c>
      <c r="T1293" s="2" t="s">
        <v>488</v>
      </c>
      <c r="U1293" s="2">
        <v>0</v>
      </c>
      <c r="V1293" s="2">
        <v>0</v>
      </c>
      <c r="W1293">
        <f t="shared" si="20"/>
        <v>0</v>
      </c>
    </row>
    <row r="1294" spans="1:23" x14ac:dyDescent="0.25">
      <c r="A1294" s="255" t="s">
        <v>628</v>
      </c>
      <c r="B1294" s="255" t="s">
        <v>917</v>
      </c>
      <c r="C1294" s="255"/>
      <c r="D1294" s="255"/>
      <c r="E1294" s="255" t="s">
        <v>81</v>
      </c>
      <c r="F1294" s="255"/>
      <c r="G1294" s="255"/>
      <c r="H1294" s="255">
        <v>0</v>
      </c>
      <c r="I1294" s="255">
        <v>0</v>
      </c>
      <c r="J1294" s="255">
        <v>0</v>
      </c>
      <c r="K1294" s="255">
        <v>0</v>
      </c>
      <c r="L1294" s="255">
        <v>0</v>
      </c>
      <c r="M1294" s="255">
        <v>0</v>
      </c>
      <c r="N1294" s="255">
        <v>0</v>
      </c>
      <c r="O1294" s="255">
        <v>0</v>
      </c>
      <c r="P1294" s="255">
        <v>0</v>
      </c>
      <c r="Q1294" s="255">
        <v>0</v>
      </c>
      <c r="R1294" s="255">
        <v>0</v>
      </c>
      <c r="S1294" s="255" t="s">
        <v>488</v>
      </c>
      <c r="T1294" s="255" t="s">
        <v>488</v>
      </c>
      <c r="U1294" s="255">
        <v>0</v>
      </c>
      <c r="V1294" s="255">
        <v>0</v>
      </c>
      <c r="W1294">
        <f t="shared" si="20"/>
        <v>0</v>
      </c>
    </row>
    <row r="1295" spans="1:23" x14ac:dyDescent="0.25">
      <c r="A1295" s="2" t="s">
        <v>628</v>
      </c>
      <c r="B1295" s="2" t="s">
        <v>917</v>
      </c>
      <c r="C1295" s="2">
        <v>540198</v>
      </c>
      <c r="D1295" s="2" t="s">
        <v>831</v>
      </c>
      <c r="E1295" s="2" t="s">
        <v>83</v>
      </c>
      <c r="F1295" s="2" t="s">
        <v>5</v>
      </c>
      <c r="G1295" s="2">
        <v>7</v>
      </c>
      <c r="H1295" s="2">
        <v>0</v>
      </c>
      <c r="I1295" s="2">
        <v>0</v>
      </c>
      <c r="J1295" s="2">
        <v>0</v>
      </c>
      <c r="K1295" s="2">
        <v>0</v>
      </c>
      <c r="L1295" s="2">
        <v>0</v>
      </c>
      <c r="M1295" s="2">
        <v>0</v>
      </c>
      <c r="N1295" s="2">
        <v>0</v>
      </c>
      <c r="O1295" s="2">
        <v>0</v>
      </c>
      <c r="P1295" s="2">
        <v>0</v>
      </c>
      <c r="Q1295" s="2" t="s">
        <v>488</v>
      </c>
      <c r="R1295" s="2" t="s">
        <v>488</v>
      </c>
      <c r="S1295" s="2" t="s">
        <v>488</v>
      </c>
      <c r="T1295" s="2" t="s">
        <v>488</v>
      </c>
      <c r="U1295" s="2">
        <v>0</v>
      </c>
      <c r="V1295" s="2">
        <v>0</v>
      </c>
      <c r="W1295">
        <f t="shared" si="20"/>
        <v>0</v>
      </c>
    </row>
    <row r="1296" spans="1:23" x14ac:dyDescent="0.25">
      <c r="A1296" s="2" t="s">
        <v>628</v>
      </c>
      <c r="B1296" s="2" t="s">
        <v>917</v>
      </c>
      <c r="C1296" s="2">
        <v>540199</v>
      </c>
      <c r="D1296" s="2" t="s">
        <v>832</v>
      </c>
      <c r="E1296" s="2" t="s">
        <v>83</v>
      </c>
      <c r="F1296" s="2" t="s">
        <v>115</v>
      </c>
      <c r="G1296" s="2">
        <v>7</v>
      </c>
      <c r="H1296" s="2">
        <v>0</v>
      </c>
      <c r="I1296" s="2">
        <v>0</v>
      </c>
      <c r="J1296" s="2">
        <v>0</v>
      </c>
      <c r="K1296" s="2">
        <v>0</v>
      </c>
      <c r="L1296" s="2">
        <v>0</v>
      </c>
      <c r="M1296" s="2">
        <v>0</v>
      </c>
      <c r="N1296" s="2">
        <v>0</v>
      </c>
      <c r="O1296" s="2">
        <v>0</v>
      </c>
      <c r="P1296" s="2">
        <v>0</v>
      </c>
      <c r="Q1296" s="2" t="s">
        <v>488</v>
      </c>
      <c r="R1296" s="2" t="s">
        <v>488</v>
      </c>
      <c r="S1296" s="2" t="s">
        <v>488</v>
      </c>
      <c r="T1296" s="2" t="s">
        <v>488</v>
      </c>
      <c r="U1296" s="2">
        <v>0</v>
      </c>
      <c r="V1296" s="2">
        <v>0</v>
      </c>
      <c r="W1296">
        <f t="shared" si="20"/>
        <v>0</v>
      </c>
    </row>
    <row r="1297" spans="1:23" x14ac:dyDescent="0.25">
      <c r="A1297" s="255" t="s">
        <v>628</v>
      </c>
      <c r="B1297" s="255" t="s">
        <v>917</v>
      </c>
      <c r="C1297" s="255"/>
      <c r="D1297" s="255"/>
      <c r="E1297" s="255" t="s">
        <v>83</v>
      </c>
      <c r="F1297" s="255"/>
      <c r="G1297" s="255"/>
      <c r="H1297" s="255">
        <v>0</v>
      </c>
      <c r="I1297" s="255">
        <v>0</v>
      </c>
      <c r="J1297" s="255">
        <v>0</v>
      </c>
      <c r="K1297" s="255">
        <v>0</v>
      </c>
      <c r="L1297" s="255">
        <v>0</v>
      </c>
      <c r="M1297" s="255">
        <v>0</v>
      </c>
      <c r="N1297" s="255">
        <v>0</v>
      </c>
      <c r="O1297" s="255">
        <v>0</v>
      </c>
      <c r="P1297" s="255">
        <v>0</v>
      </c>
      <c r="Q1297" s="255" t="s">
        <v>488</v>
      </c>
      <c r="R1297" s="255" t="s">
        <v>488</v>
      </c>
      <c r="S1297" s="255" t="s">
        <v>488</v>
      </c>
      <c r="T1297" s="255" t="s">
        <v>488</v>
      </c>
      <c r="U1297" s="255">
        <v>0</v>
      </c>
      <c r="V1297" s="255">
        <v>0</v>
      </c>
      <c r="W1297">
        <f t="shared" si="20"/>
        <v>0</v>
      </c>
    </row>
    <row r="1298" spans="1:23" x14ac:dyDescent="0.25">
      <c r="A1298" s="2" t="s">
        <v>628</v>
      </c>
      <c r="B1298" s="2" t="s">
        <v>917</v>
      </c>
      <c r="C1298" s="2">
        <v>540200</v>
      </c>
      <c r="D1298" s="2" t="s">
        <v>833</v>
      </c>
      <c r="E1298" s="2" t="s">
        <v>85</v>
      </c>
      <c r="F1298" s="2" t="s">
        <v>5</v>
      </c>
      <c r="G1298" s="2">
        <v>2</v>
      </c>
      <c r="H1298" s="2">
        <v>0</v>
      </c>
      <c r="I1298" s="2">
        <v>1</v>
      </c>
      <c r="J1298" s="2">
        <v>0</v>
      </c>
      <c r="K1298" s="2">
        <v>0</v>
      </c>
      <c r="L1298" s="2">
        <v>0</v>
      </c>
      <c r="M1298" s="2">
        <v>1</v>
      </c>
      <c r="N1298" s="2">
        <v>1</v>
      </c>
      <c r="O1298" s="2">
        <v>0</v>
      </c>
      <c r="P1298" s="2">
        <v>0</v>
      </c>
      <c r="Q1298" s="2">
        <v>0</v>
      </c>
      <c r="R1298" s="2">
        <v>0</v>
      </c>
      <c r="S1298" s="2" t="s">
        <v>488</v>
      </c>
      <c r="T1298" s="2" t="s">
        <v>488</v>
      </c>
      <c r="U1298" s="2">
        <v>0</v>
      </c>
      <c r="V1298" s="2">
        <v>0</v>
      </c>
      <c r="W1298">
        <f t="shared" si="20"/>
        <v>1</v>
      </c>
    </row>
    <row r="1299" spans="1:23" x14ac:dyDescent="0.25">
      <c r="A1299" s="2" t="s">
        <v>628</v>
      </c>
      <c r="B1299" s="2" t="s">
        <v>917</v>
      </c>
      <c r="C1299" s="2">
        <v>540018</v>
      </c>
      <c r="D1299" s="2" t="s">
        <v>651</v>
      </c>
      <c r="E1299" s="2" t="s">
        <v>85</v>
      </c>
      <c r="F1299" s="2" t="s">
        <v>115</v>
      </c>
      <c r="G1299" s="2">
        <v>2</v>
      </c>
      <c r="H1299" s="2">
        <v>0</v>
      </c>
      <c r="I1299" s="2">
        <v>0</v>
      </c>
      <c r="J1299" s="2">
        <v>0</v>
      </c>
      <c r="K1299" s="2">
        <v>0</v>
      </c>
      <c r="L1299" s="2">
        <v>0</v>
      </c>
      <c r="M1299" s="2">
        <v>0</v>
      </c>
      <c r="N1299" s="2">
        <v>0</v>
      </c>
      <c r="O1299" s="2">
        <v>0</v>
      </c>
      <c r="P1299" s="2">
        <v>0</v>
      </c>
      <c r="Q1299" s="2">
        <v>0</v>
      </c>
      <c r="R1299" s="2">
        <v>0</v>
      </c>
      <c r="S1299" s="2" t="s">
        <v>488</v>
      </c>
      <c r="T1299" s="2" t="s">
        <v>488</v>
      </c>
      <c r="U1299" s="2">
        <v>0</v>
      </c>
      <c r="V1299" s="2">
        <v>0</v>
      </c>
      <c r="W1299">
        <f t="shared" si="20"/>
        <v>0</v>
      </c>
    </row>
    <row r="1300" spans="1:23" x14ac:dyDescent="0.25">
      <c r="A1300" s="2" t="s">
        <v>628</v>
      </c>
      <c r="B1300" s="2" t="s">
        <v>917</v>
      </c>
      <c r="C1300" s="2">
        <v>540202</v>
      </c>
      <c r="D1300" s="2" t="s">
        <v>834</v>
      </c>
      <c r="E1300" s="2" t="s">
        <v>85</v>
      </c>
      <c r="F1300" s="2" t="s">
        <v>115</v>
      </c>
      <c r="G1300" s="2">
        <v>2</v>
      </c>
      <c r="H1300" s="2">
        <v>0</v>
      </c>
      <c r="I1300" s="2">
        <v>0</v>
      </c>
      <c r="J1300" s="2">
        <v>0</v>
      </c>
      <c r="K1300" s="2">
        <v>0</v>
      </c>
      <c r="L1300" s="2">
        <v>0</v>
      </c>
      <c r="M1300" s="2">
        <v>0</v>
      </c>
      <c r="N1300" s="2">
        <v>0</v>
      </c>
      <c r="O1300" s="2">
        <v>0</v>
      </c>
      <c r="P1300" s="2">
        <v>0</v>
      </c>
      <c r="Q1300" s="2">
        <v>0</v>
      </c>
      <c r="R1300" s="2">
        <v>0</v>
      </c>
      <c r="S1300" s="2" t="s">
        <v>488</v>
      </c>
      <c r="T1300" s="2" t="s">
        <v>488</v>
      </c>
      <c r="U1300" s="2">
        <v>0</v>
      </c>
      <c r="V1300" s="2">
        <v>0</v>
      </c>
      <c r="W1300">
        <f t="shared" si="20"/>
        <v>0</v>
      </c>
    </row>
    <row r="1301" spans="1:23" x14ac:dyDescent="0.25">
      <c r="A1301" s="2" t="s">
        <v>628</v>
      </c>
      <c r="B1301" s="2" t="s">
        <v>917</v>
      </c>
      <c r="C1301" s="2">
        <v>540221</v>
      </c>
      <c r="D1301" s="2" t="s">
        <v>835</v>
      </c>
      <c r="E1301" s="2" t="s">
        <v>85</v>
      </c>
      <c r="F1301" s="2" t="s">
        <v>115</v>
      </c>
      <c r="G1301" s="2">
        <v>2</v>
      </c>
      <c r="H1301" s="2">
        <v>0</v>
      </c>
      <c r="I1301" s="2">
        <v>0</v>
      </c>
      <c r="J1301" s="2">
        <v>0</v>
      </c>
      <c r="K1301" s="2">
        <v>0</v>
      </c>
      <c r="L1301" s="2">
        <v>0</v>
      </c>
      <c r="M1301" s="2">
        <v>0</v>
      </c>
      <c r="N1301" s="2">
        <v>0</v>
      </c>
      <c r="O1301" s="2">
        <v>0</v>
      </c>
      <c r="P1301" s="2">
        <v>0</v>
      </c>
      <c r="Q1301" s="2">
        <v>0</v>
      </c>
      <c r="R1301" s="2">
        <v>0</v>
      </c>
      <c r="S1301" s="2" t="s">
        <v>488</v>
      </c>
      <c r="T1301" s="2" t="s">
        <v>488</v>
      </c>
      <c r="U1301" s="2">
        <v>0</v>
      </c>
      <c r="V1301" s="2">
        <v>0</v>
      </c>
      <c r="W1301">
        <f t="shared" si="20"/>
        <v>0</v>
      </c>
    </row>
    <row r="1302" spans="1:23" x14ac:dyDescent="0.25">
      <c r="A1302" s="2" t="s">
        <v>628</v>
      </c>
      <c r="B1302" s="2" t="s">
        <v>917</v>
      </c>
      <c r="C1302" s="2">
        <v>540231</v>
      </c>
      <c r="D1302" s="2" t="s">
        <v>836</v>
      </c>
      <c r="E1302" s="2" t="s">
        <v>85</v>
      </c>
      <c r="F1302" s="2" t="s">
        <v>115</v>
      </c>
      <c r="G1302" s="2">
        <v>2</v>
      </c>
      <c r="H1302" s="2">
        <v>0</v>
      </c>
      <c r="I1302" s="2">
        <v>0</v>
      </c>
      <c r="J1302" s="2">
        <v>0</v>
      </c>
      <c r="K1302" s="2">
        <v>0</v>
      </c>
      <c r="L1302" s="2">
        <v>0</v>
      </c>
      <c r="M1302" s="2">
        <v>0</v>
      </c>
      <c r="N1302" s="2">
        <v>0</v>
      </c>
      <c r="O1302" s="2">
        <v>0</v>
      </c>
      <c r="P1302" s="2">
        <v>0</v>
      </c>
      <c r="Q1302" s="2">
        <v>0</v>
      </c>
      <c r="R1302" s="2">
        <v>0</v>
      </c>
      <c r="S1302" s="2" t="s">
        <v>488</v>
      </c>
      <c r="T1302" s="2" t="s">
        <v>488</v>
      </c>
      <c r="U1302" s="2">
        <v>0</v>
      </c>
      <c r="V1302" s="2">
        <v>0</v>
      </c>
      <c r="W1302">
        <f t="shared" si="20"/>
        <v>0</v>
      </c>
    </row>
    <row r="1303" spans="1:23" x14ac:dyDescent="0.25">
      <c r="A1303" s="2" t="s">
        <v>628</v>
      </c>
      <c r="B1303" s="2" t="s">
        <v>917</v>
      </c>
      <c r="C1303" s="2">
        <v>540232</v>
      </c>
      <c r="D1303" s="2" t="s">
        <v>837</v>
      </c>
      <c r="E1303" s="2" t="s">
        <v>85</v>
      </c>
      <c r="F1303" s="2" t="s">
        <v>115</v>
      </c>
      <c r="G1303" s="2">
        <v>2</v>
      </c>
      <c r="H1303" s="2">
        <v>0</v>
      </c>
      <c r="I1303" s="2">
        <v>0</v>
      </c>
      <c r="J1303" s="2">
        <v>0</v>
      </c>
      <c r="K1303" s="2">
        <v>0</v>
      </c>
      <c r="L1303" s="2">
        <v>0</v>
      </c>
      <c r="M1303" s="2">
        <v>0</v>
      </c>
      <c r="N1303" s="2">
        <v>0</v>
      </c>
      <c r="O1303" s="2">
        <v>0</v>
      </c>
      <c r="P1303" s="2">
        <v>0</v>
      </c>
      <c r="Q1303" s="2">
        <v>0</v>
      </c>
      <c r="R1303" s="2">
        <v>0</v>
      </c>
      <c r="S1303" s="2" t="s">
        <v>488</v>
      </c>
      <c r="T1303" s="2" t="s">
        <v>488</v>
      </c>
      <c r="U1303" s="2">
        <v>0</v>
      </c>
      <c r="V1303" s="2">
        <v>0</v>
      </c>
      <c r="W1303">
        <f t="shared" si="20"/>
        <v>0</v>
      </c>
    </row>
    <row r="1304" spans="1:23" x14ac:dyDescent="0.25">
      <c r="A1304" s="255" t="s">
        <v>628</v>
      </c>
      <c r="B1304" s="255" t="s">
        <v>917</v>
      </c>
      <c r="C1304" s="255"/>
      <c r="D1304" s="255"/>
      <c r="E1304" s="255" t="s">
        <v>85</v>
      </c>
      <c r="F1304" s="255"/>
      <c r="G1304" s="255"/>
      <c r="H1304" s="255">
        <v>0</v>
      </c>
      <c r="I1304" s="255">
        <v>1</v>
      </c>
      <c r="J1304" s="255">
        <v>0</v>
      </c>
      <c r="K1304" s="255">
        <v>0</v>
      </c>
      <c r="L1304" s="255">
        <v>0</v>
      </c>
      <c r="M1304" s="255">
        <v>1</v>
      </c>
      <c r="N1304" s="255">
        <v>1</v>
      </c>
      <c r="O1304" s="255">
        <v>0</v>
      </c>
      <c r="P1304" s="255">
        <v>0</v>
      </c>
      <c r="Q1304" s="255">
        <v>0</v>
      </c>
      <c r="R1304" s="255">
        <v>0</v>
      </c>
      <c r="S1304" s="255" t="s">
        <v>488</v>
      </c>
      <c r="T1304" s="255" t="s">
        <v>488</v>
      </c>
      <c r="U1304" s="255">
        <v>0</v>
      </c>
      <c r="V1304" s="255">
        <v>0</v>
      </c>
      <c r="W1304">
        <f t="shared" si="20"/>
        <v>1</v>
      </c>
    </row>
    <row r="1305" spans="1:23" x14ac:dyDescent="0.25">
      <c r="A1305" s="2" t="s">
        <v>628</v>
      </c>
      <c r="B1305" s="2" t="s">
        <v>917</v>
      </c>
      <c r="C1305" s="2">
        <v>540203</v>
      </c>
      <c r="D1305" s="2" t="s">
        <v>838</v>
      </c>
      <c r="E1305" s="2" t="s">
        <v>87</v>
      </c>
      <c r="F1305" s="2" t="s">
        <v>5</v>
      </c>
      <c r="G1305" s="2">
        <v>4</v>
      </c>
      <c r="H1305" s="2">
        <v>0</v>
      </c>
      <c r="I1305" s="2">
        <v>0</v>
      </c>
      <c r="J1305" s="2">
        <v>0</v>
      </c>
      <c r="K1305" s="2">
        <v>0</v>
      </c>
      <c r="L1305" s="2">
        <v>0</v>
      </c>
      <c r="M1305" s="2">
        <v>0</v>
      </c>
      <c r="N1305" s="2">
        <v>0</v>
      </c>
      <c r="O1305" s="2">
        <v>0</v>
      </c>
      <c r="P1305" s="2">
        <v>0</v>
      </c>
      <c r="Q1305" s="2" t="s">
        <v>488</v>
      </c>
      <c r="R1305" s="2" t="s">
        <v>488</v>
      </c>
      <c r="S1305" s="2" t="s">
        <v>488</v>
      </c>
      <c r="T1305" s="2" t="s">
        <v>488</v>
      </c>
      <c r="U1305" s="2">
        <v>0</v>
      </c>
      <c r="V1305" s="2">
        <v>0</v>
      </c>
      <c r="W1305">
        <f t="shared" si="20"/>
        <v>0</v>
      </c>
    </row>
    <row r="1306" spans="1:23" x14ac:dyDescent="0.25">
      <c r="A1306" s="2" t="s">
        <v>628</v>
      </c>
      <c r="B1306" s="2" t="s">
        <v>917</v>
      </c>
      <c r="C1306" s="2">
        <v>540204</v>
      </c>
      <c r="D1306" s="2" t="s">
        <v>839</v>
      </c>
      <c r="E1306" s="2" t="s">
        <v>87</v>
      </c>
      <c r="F1306" s="2" t="s">
        <v>115</v>
      </c>
      <c r="G1306" s="2">
        <v>4</v>
      </c>
      <c r="H1306" s="2">
        <v>0</v>
      </c>
      <c r="I1306" s="2">
        <v>0</v>
      </c>
      <c r="J1306" s="2">
        <v>0</v>
      </c>
      <c r="K1306" s="2">
        <v>0</v>
      </c>
      <c r="L1306" s="2">
        <v>0</v>
      </c>
      <c r="M1306" s="2">
        <v>0</v>
      </c>
      <c r="N1306" s="2">
        <v>0</v>
      </c>
      <c r="O1306" s="2">
        <v>0</v>
      </c>
      <c r="P1306" s="2">
        <v>0</v>
      </c>
      <c r="Q1306" s="2" t="s">
        <v>488</v>
      </c>
      <c r="R1306" s="2" t="s">
        <v>488</v>
      </c>
      <c r="S1306" s="2" t="s">
        <v>488</v>
      </c>
      <c r="T1306" s="2" t="s">
        <v>488</v>
      </c>
      <c r="U1306" s="2">
        <v>0</v>
      </c>
      <c r="V1306" s="2">
        <v>0</v>
      </c>
      <c r="W1306">
        <f t="shared" si="20"/>
        <v>0</v>
      </c>
    </row>
    <row r="1307" spans="1:23" x14ac:dyDescent="0.25">
      <c r="A1307" s="2" t="s">
        <v>628</v>
      </c>
      <c r="B1307" s="2" t="s">
        <v>917</v>
      </c>
      <c r="C1307" s="2">
        <v>540205</v>
      </c>
      <c r="D1307" s="2" t="s">
        <v>840</v>
      </c>
      <c r="E1307" s="2" t="s">
        <v>87</v>
      </c>
      <c r="F1307" s="2" t="s">
        <v>115</v>
      </c>
      <c r="G1307" s="2">
        <v>4</v>
      </c>
      <c r="H1307" s="2">
        <v>0</v>
      </c>
      <c r="I1307" s="2">
        <v>0</v>
      </c>
      <c r="J1307" s="2">
        <v>0</v>
      </c>
      <c r="K1307" s="2">
        <v>0</v>
      </c>
      <c r="L1307" s="2">
        <v>0</v>
      </c>
      <c r="M1307" s="2">
        <v>0</v>
      </c>
      <c r="N1307" s="2">
        <v>0</v>
      </c>
      <c r="O1307" s="2">
        <v>0</v>
      </c>
      <c r="P1307" s="2">
        <v>0</v>
      </c>
      <c r="Q1307" s="2" t="s">
        <v>488</v>
      </c>
      <c r="R1307" s="2" t="s">
        <v>488</v>
      </c>
      <c r="S1307" s="2" t="s">
        <v>488</v>
      </c>
      <c r="T1307" s="2" t="s">
        <v>488</v>
      </c>
      <c r="U1307" s="2">
        <v>0</v>
      </c>
      <c r="V1307" s="2">
        <v>0</v>
      </c>
      <c r="W1307">
        <f t="shared" si="20"/>
        <v>0</v>
      </c>
    </row>
    <row r="1308" spans="1:23" x14ac:dyDescent="0.25">
      <c r="A1308" s="2" t="s">
        <v>628</v>
      </c>
      <c r="B1308" s="2" t="s">
        <v>917</v>
      </c>
      <c r="C1308" s="2">
        <v>540206</v>
      </c>
      <c r="D1308" s="2" t="s">
        <v>841</v>
      </c>
      <c r="E1308" s="2" t="s">
        <v>87</v>
      </c>
      <c r="F1308" s="2" t="s">
        <v>115</v>
      </c>
      <c r="G1308" s="2">
        <v>4</v>
      </c>
      <c r="H1308" s="2">
        <v>0</v>
      </c>
      <c r="I1308" s="2">
        <v>0</v>
      </c>
      <c r="J1308" s="2">
        <v>0</v>
      </c>
      <c r="K1308" s="2">
        <v>0</v>
      </c>
      <c r="L1308" s="2">
        <v>0</v>
      </c>
      <c r="M1308" s="2">
        <v>0</v>
      </c>
      <c r="N1308" s="2">
        <v>0</v>
      </c>
      <c r="O1308" s="2">
        <v>0</v>
      </c>
      <c r="P1308" s="2">
        <v>0</v>
      </c>
      <c r="Q1308" s="2" t="s">
        <v>488</v>
      </c>
      <c r="R1308" s="2" t="s">
        <v>488</v>
      </c>
      <c r="S1308" s="2" t="s">
        <v>488</v>
      </c>
      <c r="T1308" s="2" t="s">
        <v>488</v>
      </c>
      <c r="U1308" s="2">
        <v>0</v>
      </c>
      <c r="V1308" s="2">
        <v>0</v>
      </c>
      <c r="W1308">
        <f t="shared" si="20"/>
        <v>0</v>
      </c>
    </row>
    <row r="1309" spans="1:23" x14ac:dyDescent="0.25">
      <c r="A1309" s="255" t="s">
        <v>628</v>
      </c>
      <c r="B1309" s="255" t="s">
        <v>917</v>
      </c>
      <c r="C1309" s="255"/>
      <c r="D1309" s="255"/>
      <c r="E1309" s="255" t="s">
        <v>87</v>
      </c>
      <c r="F1309" s="255"/>
      <c r="G1309" s="255"/>
      <c r="H1309" s="255">
        <v>0</v>
      </c>
      <c r="I1309" s="255">
        <v>0</v>
      </c>
      <c r="J1309" s="255">
        <v>0</v>
      </c>
      <c r="K1309" s="255">
        <v>0</v>
      </c>
      <c r="L1309" s="255">
        <v>0</v>
      </c>
      <c r="M1309" s="255">
        <v>0</v>
      </c>
      <c r="N1309" s="255">
        <v>0</v>
      </c>
      <c r="O1309" s="255">
        <v>0</v>
      </c>
      <c r="P1309" s="255">
        <v>0</v>
      </c>
      <c r="Q1309" s="255" t="s">
        <v>488</v>
      </c>
      <c r="R1309" s="255" t="s">
        <v>488</v>
      </c>
      <c r="S1309" s="255" t="s">
        <v>488</v>
      </c>
      <c r="T1309" s="255" t="s">
        <v>488</v>
      </c>
      <c r="U1309" s="255">
        <v>0</v>
      </c>
      <c r="V1309" s="255">
        <v>0</v>
      </c>
      <c r="W1309">
        <f t="shared" si="20"/>
        <v>0</v>
      </c>
    </row>
    <row r="1310" spans="1:23" x14ac:dyDescent="0.25">
      <c r="A1310" s="2" t="s">
        <v>628</v>
      </c>
      <c r="B1310" s="2" t="s">
        <v>917</v>
      </c>
      <c r="C1310" s="2">
        <v>540207</v>
      </c>
      <c r="D1310" s="2" t="s">
        <v>842</v>
      </c>
      <c r="E1310" s="2" t="s">
        <v>89</v>
      </c>
      <c r="F1310" s="2" t="s">
        <v>5</v>
      </c>
      <c r="G1310" s="2">
        <v>10</v>
      </c>
      <c r="H1310" s="2">
        <v>0</v>
      </c>
      <c r="I1310" s="2">
        <v>0</v>
      </c>
      <c r="J1310" s="2">
        <v>0</v>
      </c>
      <c r="K1310" s="2">
        <v>0</v>
      </c>
      <c r="L1310" s="2">
        <v>0</v>
      </c>
      <c r="M1310" s="2">
        <v>0</v>
      </c>
      <c r="N1310" s="2">
        <v>0</v>
      </c>
      <c r="O1310" s="2">
        <v>0</v>
      </c>
      <c r="P1310" s="2">
        <v>0</v>
      </c>
      <c r="Q1310" s="2" t="s">
        <v>488</v>
      </c>
      <c r="R1310" s="2" t="s">
        <v>488</v>
      </c>
      <c r="S1310" s="2" t="s">
        <v>488</v>
      </c>
      <c r="T1310" s="2" t="s">
        <v>488</v>
      </c>
      <c r="U1310" s="2">
        <v>0</v>
      </c>
      <c r="V1310" s="2">
        <v>0</v>
      </c>
      <c r="W1310">
        <f t="shared" si="20"/>
        <v>0</v>
      </c>
    </row>
    <row r="1311" spans="1:23" x14ac:dyDescent="0.25">
      <c r="A1311" s="2" t="s">
        <v>628</v>
      </c>
      <c r="B1311" s="2" t="s">
        <v>917</v>
      </c>
      <c r="C1311" s="2">
        <v>540196</v>
      </c>
      <c r="D1311" s="2" t="s">
        <v>843</v>
      </c>
      <c r="E1311" s="2" t="s">
        <v>89</v>
      </c>
      <c r="F1311" s="2" t="s">
        <v>115</v>
      </c>
      <c r="G1311" s="2">
        <v>5</v>
      </c>
      <c r="H1311" s="2">
        <v>0</v>
      </c>
      <c r="I1311" s="2">
        <v>0</v>
      </c>
      <c r="J1311" s="2">
        <v>0</v>
      </c>
      <c r="K1311" s="2">
        <v>0</v>
      </c>
      <c r="L1311" s="2">
        <v>0</v>
      </c>
      <c r="M1311" s="2">
        <v>0</v>
      </c>
      <c r="N1311" s="2">
        <v>0</v>
      </c>
      <c r="O1311" s="2">
        <v>0</v>
      </c>
      <c r="P1311" s="2">
        <v>0</v>
      </c>
      <c r="Q1311" s="2" t="s">
        <v>488</v>
      </c>
      <c r="R1311" s="2" t="s">
        <v>488</v>
      </c>
      <c r="S1311" s="2" t="s">
        <v>488</v>
      </c>
      <c r="T1311" s="2" t="s">
        <v>488</v>
      </c>
      <c r="U1311" s="2">
        <v>0</v>
      </c>
      <c r="V1311" s="2">
        <v>0</v>
      </c>
      <c r="W1311">
        <f t="shared" si="20"/>
        <v>0</v>
      </c>
    </row>
    <row r="1312" spans="1:23" x14ac:dyDescent="0.25">
      <c r="A1312" s="2" t="s">
        <v>628</v>
      </c>
      <c r="B1312" s="2" t="s">
        <v>917</v>
      </c>
      <c r="C1312" s="2">
        <v>540208</v>
      </c>
      <c r="D1312" s="2" t="s">
        <v>844</v>
      </c>
      <c r="E1312" s="2" t="s">
        <v>89</v>
      </c>
      <c r="F1312" s="2" t="s">
        <v>115</v>
      </c>
      <c r="G1312" s="2">
        <v>10</v>
      </c>
      <c r="H1312" s="2">
        <v>0</v>
      </c>
      <c r="I1312" s="2">
        <v>1</v>
      </c>
      <c r="J1312" s="2">
        <v>0</v>
      </c>
      <c r="K1312" s="2">
        <v>0</v>
      </c>
      <c r="L1312" s="2">
        <v>0</v>
      </c>
      <c r="M1312" s="2">
        <v>1</v>
      </c>
      <c r="N1312" s="2">
        <v>1</v>
      </c>
      <c r="O1312" s="2">
        <v>0</v>
      </c>
      <c r="P1312" s="2">
        <v>0</v>
      </c>
      <c r="Q1312" s="2" t="s">
        <v>488</v>
      </c>
      <c r="R1312" s="2" t="s">
        <v>488</v>
      </c>
      <c r="S1312" s="2" t="s">
        <v>488</v>
      </c>
      <c r="T1312" s="2" t="s">
        <v>488</v>
      </c>
      <c r="U1312" s="2">
        <v>0</v>
      </c>
      <c r="V1312" s="2">
        <v>0</v>
      </c>
      <c r="W1312">
        <f t="shared" si="20"/>
        <v>1</v>
      </c>
    </row>
    <row r="1313" spans="1:23" x14ac:dyDescent="0.25">
      <c r="A1313" s="2" t="s">
        <v>628</v>
      </c>
      <c r="B1313" s="2" t="s">
        <v>917</v>
      </c>
      <c r="C1313" s="2">
        <v>540210</v>
      </c>
      <c r="D1313" s="2" t="s">
        <v>845</v>
      </c>
      <c r="E1313" s="2" t="s">
        <v>89</v>
      </c>
      <c r="F1313" s="2" t="s">
        <v>115</v>
      </c>
      <c r="G1313" s="2">
        <v>10</v>
      </c>
      <c r="H1313" s="2">
        <v>0</v>
      </c>
      <c r="I1313" s="2">
        <v>0</v>
      </c>
      <c r="J1313" s="2">
        <v>0</v>
      </c>
      <c r="K1313" s="2">
        <v>0</v>
      </c>
      <c r="L1313" s="2">
        <v>0</v>
      </c>
      <c r="M1313" s="2">
        <v>0</v>
      </c>
      <c r="N1313" s="2">
        <v>0</v>
      </c>
      <c r="O1313" s="2">
        <v>0</v>
      </c>
      <c r="P1313" s="2">
        <v>0</v>
      </c>
      <c r="Q1313" s="2" t="s">
        <v>488</v>
      </c>
      <c r="R1313" s="2" t="s">
        <v>488</v>
      </c>
      <c r="S1313" s="2" t="s">
        <v>488</v>
      </c>
      <c r="T1313" s="2" t="s">
        <v>488</v>
      </c>
      <c r="U1313" s="2">
        <v>0</v>
      </c>
      <c r="V1313" s="2">
        <v>0</v>
      </c>
      <c r="W1313">
        <f t="shared" si="20"/>
        <v>0</v>
      </c>
    </row>
    <row r="1314" spans="1:23" x14ac:dyDescent="0.25">
      <c r="A1314" s="2" t="s">
        <v>628</v>
      </c>
      <c r="B1314" s="2" t="s">
        <v>917</v>
      </c>
      <c r="C1314" s="2">
        <v>540256</v>
      </c>
      <c r="D1314" s="2" t="s">
        <v>846</v>
      </c>
      <c r="E1314" s="2" t="s">
        <v>89</v>
      </c>
      <c r="F1314" s="2" t="s">
        <v>115</v>
      </c>
      <c r="G1314" s="2">
        <v>10</v>
      </c>
      <c r="H1314" s="2">
        <v>0</v>
      </c>
      <c r="I1314" s="2">
        <v>0</v>
      </c>
      <c r="J1314" s="2">
        <v>0</v>
      </c>
      <c r="K1314" s="2">
        <v>0</v>
      </c>
      <c r="L1314" s="2">
        <v>0</v>
      </c>
      <c r="M1314" s="2">
        <v>0</v>
      </c>
      <c r="N1314" s="2">
        <v>0</v>
      </c>
      <c r="O1314" s="2">
        <v>0</v>
      </c>
      <c r="P1314" s="2">
        <v>0</v>
      </c>
      <c r="Q1314" s="2" t="s">
        <v>488</v>
      </c>
      <c r="R1314" s="2" t="s">
        <v>488</v>
      </c>
      <c r="S1314" s="2" t="s">
        <v>488</v>
      </c>
      <c r="T1314" s="2" t="s">
        <v>488</v>
      </c>
      <c r="U1314" s="2">
        <v>0</v>
      </c>
      <c r="V1314" s="2">
        <v>0</v>
      </c>
      <c r="W1314">
        <f t="shared" si="20"/>
        <v>0</v>
      </c>
    </row>
    <row r="1315" spans="1:23" x14ac:dyDescent="0.25">
      <c r="A1315" s="2" t="s">
        <v>628</v>
      </c>
      <c r="B1315" s="2" t="s">
        <v>917</v>
      </c>
      <c r="C1315" s="2">
        <v>540258</v>
      </c>
      <c r="D1315" s="2" t="s">
        <v>847</v>
      </c>
      <c r="E1315" s="2" t="s">
        <v>89</v>
      </c>
      <c r="F1315" s="2" t="s">
        <v>115</v>
      </c>
      <c r="G1315" s="2">
        <v>10</v>
      </c>
      <c r="H1315" s="2">
        <v>0</v>
      </c>
      <c r="I1315" s="2">
        <v>0</v>
      </c>
      <c r="J1315" s="2">
        <v>0</v>
      </c>
      <c r="K1315" s="2">
        <v>0</v>
      </c>
      <c r="L1315" s="2">
        <v>0</v>
      </c>
      <c r="M1315" s="2">
        <v>0</v>
      </c>
      <c r="N1315" s="2">
        <v>0</v>
      </c>
      <c r="O1315" s="2">
        <v>0</v>
      </c>
      <c r="P1315" s="2">
        <v>0</v>
      </c>
      <c r="Q1315" s="2" t="s">
        <v>488</v>
      </c>
      <c r="R1315" s="2" t="s">
        <v>488</v>
      </c>
      <c r="S1315" s="2" t="s">
        <v>488</v>
      </c>
      <c r="T1315" s="2" t="s">
        <v>488</v>
      </c>
      <c r="U1315" s="2">
        <v>0</v>
      </c>
      <c r="V1315" s="2">
        <v>0</v>
      </c>
      <c r="W1315">
        <f t="shared" si="20"/>
        <v>0</v>
      </c>
    </row>
    <row r="1316" spans="1:23" x14ac:dyDescent="0.25">
      <c r="A1316" s="255" t="s">
        <v>628</v>
      </c>
      <c r="B1316" s="255" t="s">
        <v>917</v>
      </c>
      <c r="C1316" s="255"/>
      <c r="D1316" s="255"/>
      <c r="E1316" s="255" t="s">
        <v>89</v>
      </c>
      <c r="F1316" s="255"/>
      <c r="G1316" s="255"/>
      <c r="H1316" s="255">
        <v>0</v>
      </c>
      <c r="I1316" s="255">
        <v>1</v>
      </c>
      <c r="J1316" s="255">
        <v>0</v>
      </c>
      <c r="K1316" s="255">
        <v>0</v>
      </c>
      <c r="L1316" s="255">
        <v>0</v>
      </c>
      <c r="M1316" s="255">
        <v>1</v>
      </c>
      <c r="N1316" s="255">
        <v>1</v>
      </c>
      <c r="O1316" s="255">
        <v>0</v>
      </c>
      <c r="P1316" s="255">
        <v>0</v>
      </c>
      <c r="Q1316" s="255" t="s">
        <v>488</v>
      </c>
      <c r="R1316" s="255" t="s">
        <v>488</v>
      </c>
      <c r="S1316" s="255" t="s">
        <v>488</v>
      </c>
      <c r="T1316" s="255" t="s">
        <v>488</v>
      </c>
      <c r="U1316" s="255">
        <v>0</v>
      </c>
      <c r="V1316" s="255">
        <v>0</v>
      </c>
      <c r="W1316">
        <f t="shared" si="20"/>
        <v>1</v>
      </c>
    </row>
    <row r="1317" spans="1:23" x14ac:dyDescent="0.25">
      <c r="A1317" s="2" t="s">
        <v>628</v>
      </c>
      <c r="B1317" s="2" t="s">
        <v>917</v>
      </c>
      <c r="C1317" s="2">
        <v>540211</v>
      </c>
      <c r="D1317" s="2" t="s">
        <v>848</v>
      </c>
      <c r="E1317" s="2" t="s">
        <v>91</v>
      </c>
      <c r="F1317" s="2" t="s">
        <v>5</v>
      </c>
      <c r="G1317" s="2">
        <v>5</v>
      </c>
      <c r="H1317" s="2">
        <v>0</v>
      </c>
      <c r="I1317" s="2">
        <v>0</v>
      </c>
      <c r="J1317" s="2">
        <v>0</v>
      </c>
      <c r="K1317" s="2">
        <v>0</v>
      </c>
      <c r="L1317" s="2">
        <v>0</v>
      </c>
      <c r="M1317" s="2">
        <v>0</v>
      </c>
      <c r="N1317" s="2">
        <v>0</v>
      </c>
      <c r="O1317" s="2">
        <v>0</v>
      </c>
      <c r="P1317" s="2">
        <v>0</v>
      </c>
      <c r="Q1317" s="2" t="s">
        <v>488</v>
      </c>
      <c r="R1317" s="2" t="s">
        <v>488</v>
      </c>
      <c r="S1317" s="2" t="s">
        <v>488</v>
      </c>
      <c r="T1317" s="2" t="s">
        <v>488</v>
      </c>
      <c r="U1317" s="2">
        <v>0</v>
      </c>
      <c r="V1317" s="2">
        <v>0</v>
      </c>
      <c r="W1317">
        <f t="shared" si="20"/>
        <v>0</v>
      </c>
    </row>
    <row r="1318" spans="1:23" x14ac:dyDescent="0.25">
      <c r="A1318" s="2" t="s">
        <v>628</v>
      </c>
      <c r="B1318" s="2" t="s">
        <v>917</v>
      </c>
      <c r="C1318" s="2">
        <v>540212</v>
      </c>
      <c r="D1318" s="2" t="s">
        <v>849</v>
      </c>
      <c r="E1318" s="2" t="s">
        <v>91</v>
      </c>
      <c r="F1318" s="2" t="s">
        <v>115</v>
      </c>
      <c r="G1318" s="2">
        <v>5</v>
      </c>
      <c r="H1318" s="2">
        <v>0</v>
      </c>
      <c r="I1318" s="2">
        <v>0</v>
      </c>
      <c r="J1318" s="2">
        <v>0</v>
      </c>
      <c r="K1318" s="2">
        <v>0</v>
      </c>
      <c r="L1318" s="2">
        <v>0</v>
      </c>
      <c r="M1318" s="2">
        <v>0</v>
      </c>
      <c r="N1318" s="2">
        <v>0</v>
      </c>
      <c r="O1318" s="2">
        <v>0</v>
      </c>
      <c r="P1318" s="2">
        <v>0</v>
      </c>
      <c r="Q1318" s="2" t="s">
        <v>488</v>
      </c>
      <c r="R1318" s="2" t="s">
        <v>488</v>
      </c>
      <c r="S1318" s="2" t="s">
        <v>488</v>
      </c>
      <c r="T1318" s="2" t="s">
        <v>488</v>
      </c>
      <c r="U1318" s="2">
        <v>0</v>
      </c>
      <c r="V1318" s="2">
        <v>0</v>
      </c>
      <c r="W1318">
        <f t="shared" si="20"/>
        <v>0</v>
      </c>
    </row>
    <row r="1319" spans="1:23" x14ac:dyDescent="0.25">
      <c r="A1319" s="255" t="s">
        <v>628</v>
      </c>
      <c r="B1319" s="255" t="s">
        <v>917</v>
      </c>
      <c r="C1319" s="255"/>
      <c r="D1319" s="255"/>
      <c r="E1319" s="255" t="s">
        <v>91</v>
      </c>
      <c r="F1319" s="255"/>
      <c r="G1319" s="255"/>
      <c r="H1319" s="255">
        <v>0</v>
      </c>
      <c r="I1319" s="255">
        <v>0</v>
      </c>
      <c r="J1319" s="255">
        <v>0</v>
      </c>
      <c r="K1319" s="255">
        <v>0</v>
      </c>
      <c r="L1319" s="255">
        <v>0</v>
      </c>
      <c r="M1319" s="255">
        <v>0</v>
      </c>
      <c r="N1319" s="255">
        <v>0</v>
      </c>
      <c r="O1319" s="255">
        <v>0</v>
      </c>
      <c r="P1319" s="255">
        <v>0</v>
      </c>
      <c r="Q1319" s="255" t="s">
        <v>488</v>
      </c>
      <c r="R1319" s="255" t="s">
        <v>488</v>
      </c>
      <c r="S1319" s="255" t="s">
        <v>488</v>
      </c>
      <c r="T1319" s="255" t="s">
        <v>488</v>
      </c>
      <c r="U1319" s="255">
        <v>0</v>
      </c>
      <c r="V1319" s="255">
        <v>0</v>
      </c>
      <c r="W1319">
        <f t="shared" si="20"/>
        <v>0</v>
      </c>
    </row>
    <row r="1320" spans="1:23" x14ac:dyDescent="0.25">
      <c r="A1320" s="2" t="s">
        <v>628</v>
      </c>
      <c r="B1320" s="2" t="s">
        <v>917</v>
      </c>
      <c r="C1320" s="2">
        <v>540213</v>
      </c>
      <c r="D1320" s="2" t="s">
        <v>850</v>
      </c>
      <c r="E1320" s="2" t="s">
        <v>93</v>
      </c>
      <c r="F1320" s="2" t="s">
        <v>5</v>
      </c>
      <c r="G1320" s="2">
        <v>5</v>
      </c>
      <c r="H1320" s="2">
        <v>0</v>
      </c>
      <c r="I1320" s="2">
        <v>0</v>
      </c>
      <c r="J1320" s="2">
        <v>0</v>
      </c>
      <c r="K1320" s="2">
        <v>0</v>
      </c>
      <c r="L1320" s="2">
        <v>0</v>
      </c>
      <c r="M1320" s="2">
        <v>0</v>
      </c>
      <c r="N1320" s="2">
        <v>0</v>
      </c>
      <c r="O1320" s="2">
        <v>0</v>
      </c>
      <c r="P1320" s="2">
        <v>0</v>
      </c>
      <c r="Q1320" s="2" t="s">
        <v>488</v>
      </c>
      <c r="R1320" s="2" t="s">
        <v>488</v>
      </c>
      <c r="S1320" s="2" t="s">
        <v>488</v>
      </c>
      <c r="T1320" s="2" t="s">
        <v>488</v>
      </c>
      <c r="U1320" s="2">
        <v>1</v>
      </c>
      <c r="V1320" s="2">
        <v>0</v>
      </c>
      <c r="W1320">
        <f t="shared" si="20"/>
        <v>1</v>
      </c>
    </row>
    <row r="1321" spans="1:23" x14ac:dyDescent="0.25">
      <c r="A1321" s="2" t="s">
        <v>628</v>
      </c>
      <c r="B1321" s="2" t="s">
        <v>917</v>
      </c>
      <c r="C1321" s="2">
        <v>540042</v>
      </c>
      <c r="D1321" s="2" t="s">
        <v>851</v>
      </c>
      <c r="E1321" s="2" t="s">
        <v>93</v>
      </c>
      <c r="F1321" s="2" t="s">
        <v>115</v>
      </c>
      <c r="G1321" s="2">
        <v>5</v>
      </c>
      <c r="H1321" s="2">
        <v>0</v>
      </c>
      <c r="I1321" s="2">
        <v>0</v>
      </c>
      <c r="J1321" s="2">
        <v>0</v>
      </c>
      <c r="K1321" s="2">
        <v>0</v>
      </c>
      <c r="L1321" s="2">
        <v>0</v>
      </c>
      <c r="M1321" s="2">
        <v>0</v>
      </c>
      <c r="N1321" s="2">
        <v>0</v>
      </c>
      <c r="O1321" s="2">
        <v>0</v>
      </c>
      <c r="P1321" s="2">
        <v>0</v>
      </c>
      <c r="Q1321" s="2" t="s">
        <v>488</v>
      </c>
      <c r="R1321" s="2" t="s">
        <v>488</v>
      </c>
      <c r="S1321" s="2" t="s">
        <v>488</v>
      </c>
      <c r="T1321" s="2" t="s">
        <v>488</v>
      </c>
      <c r="U1321" s="2">
        <v>0</v>
      </c>
      <c r="V1321" s="2">
        <v>0</v>
      </c>
      <c r="W1321">
        <f t="shared" si="20"/>
        <v>0</v>
      </c>
    </row>
    <row r="1322" spans="1:23" x14ac:dyDescent="0.25">
      <c r="A1322" s="2" t="s">
        <v>628</v>
      </c>
      <c r="B1322" s="2" t="s">
        <v>917</v>
      </c>
      <c r="C1322" s="2">
        <v>540214</v>
      </c>
      <c r="D1322" s="2" t="s">
        <v>852</v>
      </c>
      <c r="E1322" s="2" t="s">
        <v>93</v>
      </c>
      <c r="F1322" s="2" t="s">
        <v>115</v>
      </c>
      <c r="G1322" s="2">
        <v>5</v>
      </c>
      <c r="H1322" s="2">
        <v>0</v>
      </c>
      <c r="I1322" s="2">
        <v>0</v>
      </c>
      <c r="J1322" s="2">
        <v>0</v>
      </c>
      <c r="K1322" s="2">
        <v>0</v>
      </c>
      <c r="L1322" s="2">
        <v>0</v>
      </c>
      <c r="M1322" s="2">
        <v>0</v>
      </c>
      <c r="N1322" s="2">
        <v>0</v>
      </c>
      <c r="O1322" s="2">
        <v>0</v>
      </c>
      <c r="P1322" s="2">
        <v>0</v>
      </c>
      <c r="Q1322" s="2" t="s">
        <v>488</v>
      </c>
      <c r="R1322" s="2" t="s">
        <v>488</v>
      </c>
      <c r="S1322" s="2" t="s">
        <v>488</v>
      </c>
      <c r="T1322" s="2" t="s">
        <v>488</v>
      </c>
      <c r="U1322" s="2">
        <v>0</v>
      </c>
      <c r="V1322" s="2">
        <v>0</v>
      </c>
      <c r="W1322">
        <f t="shared" si="20"/>
        <v>0</v>
      </c>
    </row>
    <row r="1323" spans="1:23" x14ac:dyDescent="0.25">
      <c r="A1323" s="2" t="s">
        <v>628</v>
      </c>
      <c r="B1323" s="2" t="s">
        <v>917</v>
      </c>
      <c r="C1323" s="2">
        <v>540215</v>
      </c>
      <c r="D1323" s="2" t="s">
        <v>853</v>
      </c>
      <c r="E1323" s="2" t="s">
        <v>93</v>
      </c>
      <c r="F1323" s="2" t="s">
        <v>115</v>
      </c>
      <c r="G1323" s="2">
        <v>5</v>
      </c>
      <c r="H1323" s="2">
        <v>0</v>
      </c>
      <c r="I1323" s="2">
        <v>0</v>
      </c>
      <c r="J1323" s="2">
        <v>0</v>
      </c>
      <c r="K1323" s="2">
        <v>0</v>
      </c>
      <c r="L1323" s="2">
        <v>0</v>
      </c>
      <c r="M1323" s="2">
        <v>0</v>
      </c>
      <c r="N1323" s="2">
        <v>0</v>
      </c>
      <c r="O1323" s="2">
        <v>0</v>
      </c>
      <c r="P1323" s="2">
        <v>0</v>
      </c>
      <c r="Q1323" s="2" t="s">
        <v>488</v>
      </c>
      <c r="R1323" s="2" t="s">
        <v>488</v>
      </c>
      <c r="S1323" s="2" t="s">
        <v>488</v>
      </c>
      <c r="T1323" s="2" t="s">
        <v>488</v>
      </c>
      <c r="U1323" s="2">
        <v>0</v>
      </c>
      <c r="V1323" s="2">
        <v>0</v>
      </c>
      <c r="W1323">
        <f t="shared" si="20"/>
        <v>0</v>
      </c>
    </row>
    <row r="1324" spans="1:23" x14ac:dyDescent="0.25">
      <c r="A1324" s="2" t="s">
        <v>628</v>
      </c>
      <c r="B1324" s="2" t="s">
        <v>917</v>
      </c>
      <c r="C1324" s="2">
        <v>540216</v>
      </c>
      <c r="D1324" s="2" t="s">
        <v>854</v>
      </c>
      <c r="E1324" s="2" t="s">
        <v>93</v>
      </c>
      <c r="F1324" s="2" t="s">
        <v>115</v>
      </c>
      <c r="G1324" s="2">
        <v>5</v>
      </c>
      <c r="H1324" s="2">
        <v>0</v>
      </c>
      <c r="I1324" s="2">
        <v>0</v>
      </c>
      <c r="J1324" s="2">
        <v>0</v>
      </c>
      <c r="K1324" s="2">
        <v>0</v>
      </c>
      <c r="L1324" s="2">
        <v>0</v>
      </c>
      <c r="M1324" s="2">
        <v>0</v>
      </c>
      <c r="N1324" s="2">
        <v>0</v>
      </c>
      <c r="O1324" s="2">
        <v>0</v>
      </c>
      <c r="P1324" s="2">
        <v>0</v>
      </c>
      <c r="Q1324" s="2" t="s">
        <v>488</v>
      </c>
      <c r="R1324" s="2" t="s">
        <v>488</v>
      </c>
      <c r="S1324" s="2" t="s">
        <v>488</v>
      </c>
      <c r="T1324" s="2" t="s">
        <v>488</v>
      </c>
      <c r="U1324" s="2">
        <v>0</v>
      </c>
      <c r="V1324" s="2">
        <v>0</v>
      </c>
      <c r="W1324">
        <f t="shared" si="20"/>
        <v>0</v>
      </c>
    </row>
    <row r="1325" spans="1:23" x14ac:dyDescent="0.25">
      <c r="A1325" s="255" t="s">
        <v>628</v>
      </c>
      <c r="B1325" s="255" t="s">
        <v>917</v>
      </c>
      <c r="C1325" s="255"/>
      <c r="D1325" s="255"/>
      <c r="E1325" s="255" t="s">
        <v>93</v>
      </c>
      <c r="F1325" s="255"/>
      <c r="G1325" s="255"/>
      <c r="H1325" s="255">
        <v>0</v>
      </c>
      <c r="I1325" s="255">
        <v>0</v>
      </c>
      <c r="J1325" s="255">
        <v>0</v>
      </c>
      <c r="K1325" s="255">
        <v>0</v>
      </c>
      <c r="L1325" s="255">
        <v>0</v>
      </c>
      <c r="M1325" s="255">
        <v>0</v>
      </c>
      <c r="N1325" s="255">
        <v>0</v>
      </c>
      <c r="O1325" s="255">
        <v>0</v>
      </c>
      <c r="P1325" s="255">
        <v>0</v>
      </c>
      <c r="Q1325" s="255" t="s">
        <v>488</v>
      </c>
      <c r="R1325" s="255" t="s">
        <v>488</v>
      </c>
      <c r="S1325" s="255" t="s">
        <v>488</v>
      </c>
      <c r="T1325" s="255" t="s">
        <v>488</v>
      </c>
      <c r="U1325" s="255">
        <v>1</v>
      </c>
      <c r="V1325" s="255">
        <v>0</v>
      </c>
      <c r="W1325">
        <f t="shared" si="20"/>
        <v>1</v>
      </c>
    </row>
    <row r="1326" spans="1:23" x14ac:dyDescent="0.25">
      <c r="A1326" s="2" t="s">
        <v>628</v>
      </c>
      <c r="B1326" s="2" t="s">
        <v>917</v>
      </c>
      <c r="C1326" s="2">
        <v>540224</v>
      </c>
      <c r="D1326" s="2" t="s">
        <v>855</v>
      </c>
      <c r="E1326" s="2" t="s">
        <v>97</v>
      </c>
      <c r="F1326" s="2" t="s">
        <v>5</v>
      </c>
      <c r="G1326" s="2">
        <v>5</v>
      </c>
      <c r="H1326" s="2">
        <v>0</v>
      </c>
      <c r="I1326" s="2">
        <v>0</v>
      </c>
      <c r="J1326" s="2">
        <v>0</v>
      </c>
      <c r="K1326" s="2">
        <v>0</v>
      </c>
      <c r="L1326" s="2">
        <v>0</v>
      </c>
      <c r="M1326" s="2">
        <v>0</v>
      </c>
      <c r="N1326" s="2">
        <v>0</v>
      </c>
      <c r="O1326" s="2">
        <v>0</v>
      </c>
      <c r="P1326" s="2">
        <v>0</v>
      </c>
      <c r="Q1326" s="2">
        <v>0</v>
      </c>
      <c r="R1326" s="2">
        <v>0</v>
      </c>
      <c r="S1326" s="2" t="s">
        <v>488</v>
      </c>
      <c r="T1326" s="2" t="s">
        <v>488</v>
      </c>
      <c r="U1326" s="2">
        <v>0</v>
      </c>
      <c r="V1326" s="2">
        <v>0</v>
      </c>
      <c r="W1326">
        <f t="shared" si="20"/>
        <v>0</v>
      </c>
    </row>
    <row r="1327" spans="1:23" x14ac:dyDescent="0.25">
      <c r="A1327" s="2" t="s">
        <v>628</v>
      </c>
      <c r="B1327" s="2" t="s">
        <v>917</v>
      </c>
      <c r="C1327" s="2">
        <v>540132</v>
      </c>
      <c r="D1327" s="2" t="s">
        <v>856</v>
      </c>
      <c r="E1327" s="2" t="s">
        <v>97</v>
      </c>
      <c r="F1327" s="2" t="s">
        <v>115</v>
      </c>
      <c r="G1327" s="2">
        <v>5</v>
      </c>
      <c r="H1327" s="2">
        <v>0</v>
      </c>
      <c r="I1327" s="2">
        <v>0</v>
      </c>
      <c r="J1327" s="2">
        <v>0</v>
      </c>
      <c r="K1327" s="2">
        <v>0</v>
      </c>
      <c r="L1327" s="2">
        <v>0</v>
      </c>
      <c r="M1327" s="2">
        <v>0</v>
      </c>
      <c r="N1327" s="2">
        <v>0</v>
      </c>
      <c r="O1327" s="2">
        <v>0</v>
      </c>
      <c r="P1327" s="2">
        <v>0</v>
      </c>
      <c r="Q1327" s="2">
        <v>0</v>
      </c>
      <c r="R1327" s="2">
        <v>0</v>
      </c>
      <c r="S1327" s="2" t="s">
        <v>488</v>
      </c>
      <c r="T1327" s="2" t="s">
        <v>488</v>
      </c>
      <c r="U1327" s="2">
        <v>0</v>
      </c>
      <c r="V1327" s="2">
        <v>0</v>
      </c>
      <c r="W1327">
        <f t="shared" si="20"/>
        <v>0</v>
      </c>
    </row>
    <row r="1328" spans="1:23" x14ac:dyDescent="0.25">
      <c r="A1328" s="2" t="s">
        <v>628</v>
      </c>
      <c r="B1328" s="2" t="s">
        <v>917</v>
      </c>
      <c r="C1328" s="2">
        <v>540179</v>
      </c>
      <c r="D1328" s="2" t="s">
        <v>857</v>
      </c>
      <c r="E1328" s="2" t="s">
        <v>97</v>
      </c>
      <c r="F1328" s="2" t="s">
        <v>115</v>
      </c>
      <c r="G1328" s="2">
        <v>5</v>
      </c>
      <c r="H1328" s="2">
        <v>0</v>
      </c>
      <c r="I1328" s="2">
        <v>0</v>
      </c>
      <c r="J1328" s="2">
        <v>0</v>
      </c>
      <c r="K1328" s="2">
        <v>0</v>
      </c>
      <c r="L1328" s="2">
        <v>0</v>
      </c>
      <c r="M1328" s="2">
        <v>0</v>
      </c>
      <c r="N1328" s="2">
        <v>0</v>
      </c>
      <c r="O1328" s="2">
        <v>0</v>
      </c>
      <c r="P1328" s="2">
        <v>0</v>
      </c>
      <c r="Q1328" s="2">
        <v>0</v>
      </c>
      <c r="R1328" s="2">
        <v>0</v>
      </c>
      <c r="S1328" s="2" t="s">
        <v>488</v>
      </c>
      <c r="T1328" s="2" t="s">
        <v>488</v>
      </c>
      <c r="U1328" s="2">
        <v>0</v>
      </c>
      <c r="V1328" s="2">
        <v>0</v>
      </c>
      <c r="W1328">
        <f t="shared" si="20"/>
        <v>0</v>
      </c>
    </row>
    <row r="1329" spans="1:23" x14ac:dyDescent="0.25">
      <c r="A1329" s="2" t="s">
        <v>628</v>
      </c>
      <c r="B1329" s="2" t="s">
        <v>917</v>
      </c>
      <c r="C1329" s="2">
        <v>540180</v>
      </c>
      <c r="D1329" s="2" t="s">
        <v>858</v>
      </c>
      <c r="E1329" s="2" t="s">
        <v>97</v>
      </c>
      <c r="F1329" s="2" t="s">
        <v>115</v>
      </c>
      <c r="G1329" s="2">
        <v>5</v>
      </c>
      <c r="H1329" s="2">
        <v>0</v>
      </c>
      <c r="I1329" s="2">
        <v>0</v>
      </c>
      <c r="J1329" s="2">
        <v>0</v>
      </c>
      <c r="K1329" s="2">
        <v>0</v>
      </c>
      <c r="L1329" s="2">
        <v>0</v>
      </c>
      <c r="M1329" s="2">
        <v>0</v>
      </c>
      <c r="N1329" s="2">
        <v>0</v>
      </c>
      <c r="O1329" s="2">
        <v>0</v>
      </c>
      <c r="P1329" s="2">
        <v>0</v>
      </c>
      <c r="Q1329" s="2">
        <v>0</v>
      </c>
      <c r="R1329" s="2">
        <v>0</v>
      </c>
      <c r="S1329" s="2" t="s">
        <v>488</v>
      </c>
      <c r="T1329" s="2" t="s">
        <v>488</v>
      </c>
      <c r="U1329" s="2">
        <v>0</v>
      </c>
      <c r="V1329" s="2">
        <v>0</v>
      </c>
      <c r="W1329">
        <f t="shared" si="20"/>
        <v>0</v>
      </c>
    </row>
    <row r="1330" spans="1:23" x14ac:dyDescent="0.25">
      <c r="A1330" s="2" t="s">
        <v>628</v>
      </c>
      <c r="B1330" s="2" t="s">
        <v>917</v>
      </c>
      <c r="C1330" s="2">
        <v>540182</v>
      </c>
      <c r="D1330" s="2" t="s">
        <v>859</v>
      </c>
      <c r="E1330" s="2" t="s">
        <v>97</v>
      </c>
      <c r="F1330" s="2" t="s">
        <v>115</v>
      </c>
      <c r="G1330" s="2">
        <v>5</v>
      </c>
      <c r="H1330" s="2">
        <v>0</v>
      </c>
      <c r="I1330" s="2">
        <v>0</v>
      </c>
      <c r="J1330" s="2">
        <v>0</v>
      </c>
      <c r="K1330" s="2">
        <v>0</v>
      </c>
      <c r="L1330" s="2">
        <v>0</v>
      </c>
      <c r="M1330" s="2">
        <v>0</v>
      </c>
      <c r="N1330" s="2">
        <v>0</v>
      </c>
      <c r="O1330" s="2">
        <v>0</v>
      </c>
      <c r="P1330" s="2">
        <v>0</v>
      </c>
      <c r="Q1330" s="2">
        <v>0</v>
      </c>
      <c r="R1330" s="2">
        <v>0</v>
      </c>
      <c r="S1330" s="2" t="s">
        <v>488</v>
      </c>
      <c r="T1330" s="2" t="s">
        <v>488</v>
      </c>
      <c r="U1330" s="2">
        <v>0</v>
      </c>
      <c r="V1330" s="2">
        <v>0</v>
      </c>
      <c r="W1330">
        <f t="shared" si="20"/>
        <v>0</v>
      </c>
    </row>
    <row r="1331" spans="1:23" x14ac:dyDescent="0.25">
      <c r="A1331" s="2" t="s">
        <v>628</v>
      </c>
      <c r="B1331" s="2" t="s">
        <v>917</v>
      </c>
      <c r="C1331" s="2">
        <v>540262</v>
      </c>
      <c r="D1331" s="2" t="s">
        <v>860</v>
      </c>
      <c r="E1331" s="2" t="s">
        <v>97</v>
      </c>
      <c r="F1331" s="2" t="s">
        <v>115</v>
      </c>
      <c r="G1331" s="2">
        <v>5</v>
      </c>
      <c r="H1331" s="2">
        <v>0</v>
      </c>
      <c r="I1331" s="2">
        <v>0</v>
      </c>
      <c r="J1331" s="2">
        <v>0</v>
      </c>
      <c r="K1331" s="2">
        <v>0</v>
      </c>
      <c r="L1331" s="2">
        <v>0</v>
      </c>
      <c r="M1331" s="2">
        <v>0</v>
      </c>
      <c r="N1331" s="2">
        <v>0</v>
      </c>
      <c r="O1331" s="2">
        <v>0</v>
      </c>
      <c r="P1331" s="2">
        <v>0</v>
      </c>
      <c r="Q1331" s="2">
        <v>0</v>
      </c>
      <c r="R1331" s="2">
        <v>0</v>
      </c>
      <c r="S1331" s="2" t="s">
        <v>488</v>
      </c>
      <c r="T1331" s="2" t="s">
        <v>488</v>
      </c>
      <c r="U1331" s="2">
        <v>0</v>
      </c>
      <c r="V1331" s="2">
        <v>0</v>
      </c>
      <c r="W1331">
        <f t="shared" si="20"/>
        <v>0</v>
      </c>
    </row>
    <row r="1332" spans="1:23" x14ac:dyDescent="0.25">
      <c r="A1332" s="2" t="s">
        <v>628</v>
      </c>
      <c r="B1332" s="2" t="s">
        <v>917</v>
      </c>
      <c r="C1332" s="2">
        <v>540263</v>
      </c>
      <c r="D1332" s="2" t="s">
        <v>861</v>
      </c>
      <c r="E1332" s="2" t="s">
        <v>97</v>
      </c>
      <c r="F1332" s="2" t="s">
        <v>115</v>
      </c>
      <c r="G1332" s="2">
        <v>5</v>
      </c>
      <c r="H1332" s="2">
        <v>0</v>
      </c>
      <c r="I1332" s="2">
        <v>0</v>
      </c>
      <c r="J1332" s="2">
        <v>0</v>
      </c>
      <c r="K1332" s="2">
        <v>0</v>
      </c>
      <c r="L1332" s="2">
        <v>0</v>
      </c>
      <c r="M1332" s="2">
        <v>0</v>
      </c>
      <c r="N1332" s="2">
        <v>0</v>
      </c>
      <c r="O1332" s="2">
        <v>0</v>
      </c>
      <c r="P1332" s="2">
        <v>0</v>
      </c>
      <c r="Q1332" s="2">
        <v>0</v>
      </c>
      <c r="R1332" s="2">
        <v>0</v>
      </c>
      <c r="S1332" s="2" t="s">
        <v>488</v>
      </c>
      <c r="T1332" s="2" t="s">
        <v>488</v>
      </c>
      <c r="U1332" s="2">
        <v>0</v>
      </c>
      <c r="V1332" s="2">
        <v>0</v>
      </c>
      <c r="W1332">
        <f t="shared" si="20"/>
        <v>0</v>
      </c>
    </row>
    <row r="1333" spans="1:23" x14ac:dyDescent="0.25">
      <c r="A1333" s="255" t="s">
        <v>628</v>
      </c>
      <c r="B1333" s="255" t="s">
        <v>917</v>
      </c>
      <c r="C1333" s="255"/>
      <c r="D1333" s="255"/>
      <c r="E1333" s="255" t="s">
        <v>97</v>
      </c>
      <c r="F1333" s="255"/>
      <c r="G1333" s="255"/>
      <c r="H1333" s="255">
        <v>0</v>
      </c>
      <c r="I1333" s="255">
        <v>0</v>
      </c>
      <c r="J1333" s="255">
        <v>0</v>
      </c>
      <c r="K1333" s="255">
        <v>0</v>
      </c>
      <c r="L1333" s="255">
        <v>0</v>
      </c>
      <c r="M1333" s="255">
        <v>0</v>
      </c>
      <c r="N1333" s="255">
        <v>0</v>
      </c>
      <c r="O1333" s="255">
        <v>0</v>
      </c>
      <c r="P1333" s="255">
        <v>0</v>
      </c>
      <c r="Q1333" s="255">
        <v>0</v>
      </c>
      <c r="R1333" s="255">
        <v>0</v>
      </c>
      <c r="S1333" s="255" t="s">
        <v>488</v>
      </c>
      <c r="T1333" s="255" t="s">
        <v>488</v>
      </c>
      <c r="U1333" s="255">
        <v>0</v>
      </c>
      <c r="V1333" s="255">
        <v>0</v>
      </c>
      <c r="W1333">
        <f t="shared" si="20"/>
        <v>0</v>
      </c>
    </row>
    <row r="1334" spans="1:23" x14ac:dyDescent="0.25">
      <c r="A1334" s="2" t="s">
        <v>628</v>
      </c>
      <c r="B1334" s="2" t="s">
        <v>917</v>
      </c>
      <c r="C1334" s="2">
        <v>540225</v>
      </c>
      <c r="D1334" s="2" t="s">
        <v>862</v>
      </c>
      <c r="E1334" s="2" t="s">
        <v>99</v>
      </c>
      <c r="F1334" s="2" t="s">
        <v>5</v>
      </c>
      <c r="G1334" s="2">
        <v>5</v>
      </c>
      <c r="H1334" s="2">
        <v>0</v>
      </c>
      <c r="I1334" s="2">
        <v>0</v>
      </c>
      <c r="J1334" s="2">
        <v>0</v>
      </c>
      <c r="K1334" s="2">
        <v>0</v>
      </c>
      <c r="L1334" s="2">
        <v>0</v>
      </c>
      <c r="M1334" s="2">
        <v>0</v>
      </c>
      <c r="N1334" s="2">
        <v>0</v>
      </c>
      <c r="O1334" s="2">
        <v>0</v>
      </c>
      <c r="P1334" s="2">
        <v>0</v>
      </c>
      <c r="Q1334" s="2">
        <v>0</v>
      </c>
      <c r="R1334" s="2">
        <v>0</v>
      </c>
      <c r="S1334" s="2" t="s">
        <v>488</v>
      </c>
      <c r="T1334" s="2" t="s">
        <v>488</v>
      </c>
      <c r="U1334" s="2">
        <v>0</v>
      </c>
      <c r="V1334" s="2">
        <v>0</v>
      </c>
      <c r="W1334">
        <f t="shared" si="20"/>
        <v>0</v>
      </c>
    </row>
    <row r="1335" spans="1:23" x14ac:dyDescent="0.25">
      <c r="A1335" s="2" t="s">
        <v>628</v>
      </c>
      <c r="B1335" s="2" t="s">
        <v>917</v>
      </c>
      <c r="C1335" s="2">
        <v>540156</v>
      </c>
      <c r="D1335" s="2" t="s">
        <v>863</v>
      </c>
      <c r="E1335" s="2" t="s">
        <v>99</v>
      </c>
      <c r="F1335" s="2" t="s">
        <v>115</v>
      </c>
      <c r="G1335" s="2">
        <v>5</v>
      </c>
      <c r="H1335" s="2">
        <v>0</v>
      </c>
      <c r="I1335" s="2">
        <v>0</v>
      </c>
      <c r="J1335" s="2">
        <v>0</v>
      </c>
      <c r="K1335" s="2">
        <v>0</v>
      </c>
      <c r="L1335" s="2">
        <v>0</v>
      </c>
      <c r="M1335" s="2">
        <v>0</v>
      </c>
      <c r="N1335" s="2">
        <v>0</v>
      </c>
      <c r="O1335" s="2">
        <v>0</v>
      </c>
      <c r="P1335" s="2">
        <v>0</v>
      </c>
      <c r="Q1335" s="2">
        <v>0</v>
      </c>
      <c r="R1335" s="2">
        <v>0</v>
      </c>
      <c r="S1335" s="2" t="s">
        <v>488</v>
      </c>
      <c r="T1335" s="2" t="s">
        <v>488</v>
      </c>
      <c r="U1335" s="2">
        <v>0</v>
      </c>
      <c r="V1335" s="2">
        <v>0</v>
      </c>
      <c r="W1335">
        <f t="shared" si="20"/>
        <v>0</v>
      </c>
    </row>
    <row r="1336" spans="1:23" x14ac:dyDescent="0.25">
      <c r="A1336" s="2" t="s">
        <v>628</v>
      </c>
      <c r="B1336" s="2" t="s">
        <v>917</v>
      </c>
      <c r="C1336" s="2">
        <v>540253</v>
      </c>
      <c r="D1336" s="2" t="s">
        <v>864</v>
      </c>
      <c r="E1336" s="2" t="s">
        <v>99</v>
      </c>
      <c r="F1336" s="2" t="s">
        <v>115</v>
      </c>
      <c r="G1336" s="2">
        <v>5</v>
      </c>
      <c r="H1336" s="2">
        <v>0</v>
      </c>
      <c r="I1336" s="2">
        <v>0</v>
      </c>
      <c r="J1336" s="2">
        <v>0</v>
      </c>
      <c r="K1336" s="2">
        <v>0</v>
      </c>
      <c r="L1336" s="2">
        <v>0</v>
      </c>
      <c r="M1336" s="2">
        <v>0</v>
      </c>
      <c r="N1336" s="2">
        <v>0</v>
      </c>
      <c r="O1336" s="2">
        <v>0</v>
      </c>
      <c r="P1336" s="2">
        <v>0</v>
      </c>
      <c r="Q1336" s="2">
        <v>0</v>
      </c>
      <c r="R1336" s="2">
        <v>0</v>
      </c>
      <c r="S1336" s="2" t="s">
        <v>488</v>
      </c>
      <c r="T1336" s="2" t="s">
        <v>488</v>
      </c>
      <c r="U1336" s="2">
        <v>0</v>
      </c>
      <c r="V1336" s="2">
        <v>0</v>
      </c>
      <c r="W1336">
        <f t="shared" si="20"/>
        <v>0</v>
      </c>
    </row>
    <row r="1337" spans="1:23" x14ac:dyDescent="0.25">
      <c r="A1337" s="255" t="s">
        <v>628</v>
      </c>
      <c r="B1337" s="255" t="s">
        <v>917</v>
      </c>
      <c r="C1337" s="255"/>
      <c r="D1337" s="255"/>
      <c r="E1337" s="255" t="s">
        <v>99</v>
      </c>
      <c r="F1337" s="255"/>
      <c r="G1337" s="255"/>
      <c r="H1337" s="255">
        <v>0</v>
      </c>
      <c r="I1337" s="255">
        <v>0</v>
      </c>
      <c r="J1337" s="255">
        <v>0</v>
      </c>
      <c r="K1337" s="255">
        <v>0</v>
      </c>
      <c r="L1337" s="255">
        <v>0</v>
      </c>
      <c r="M1337" s="255">
        <v>0</v>
      </c>
      <c r="N1337" s="255">
        <v>0</v>
      </c>
      <c r="O1337" s="255">
        <v>0</v>
      </c>
      <c r="P1337" s="255">
        <v>0</v>
      </c>
      <c r="Q1337" s="255">
        <v>0</v>
      </c>
      <c r="R1337" s="255">
        <v>0</v>
      </c>
      <c r="S1337" s="255" t="s">
        <v>488</v>
      </c>
      <c r="T1337" s="255" t="s">
        <v>488</v>
      </c>
      <c r="U1337" s="255">
        <v>0</v>
      </c>
      <c r="V1337" s="255">
        <v>0</v>
      </c>
      <c r="W1337">
        <f t="shared" si="20"/>
        <v>0</v>
      </c>
    </row>
    <row r="1338" spans="1:23" x14ac:dyDescent="0.25">
      <c r="A1338" s="2" t="s">
        <v>628</v>
      </c>
      <c r="B1338" s="2" t="s">
        <v>917</v>
      </c>
      <c r="C1338" s="2">
        <v>540226</v>
      </c>
      <c r="D1338" s="2" t="s">
        <v>865</v>
      </c>
      <c r="E1338" s="2" t="s">
        <v>101</v>
      </c>
      <c r="F1338" s="2" t="s">
        <v>5</v>
      </c>
      <c r="G1338" s="2">
        <v>8</v>
      </c>
      <c r="H1338" s="2">
        <v>0</v>
      </c>
      <c r="I1338" s="2">
        <v>0</v>
      </c>
      <c r="J1338" s="2">
        <v>0</v>
      </c>
      <c r="K1338" s="2">
        <v>0</v>
      </c>
      <c r="L1338" s="2">
        <v>0</v>
      </c>
      <c r="M1338" s="2">
        <v>0</v>
      </c>
      <c r="N1338" s="2">
        <v>0</v>
      </c>
      <c r="O1338" s="2">
        <v>0</v>
      </c>
      <c r="P1338" s="2">
        <v>0</v>
      </c>
      <c r="Q1338" s="2" t="s">
        <v>488</v>
      </c>
      <c r="R1338" s="2" t="s">
        <v>488</v>
      </c>
      <c r="S1338" s="2" t="s">
        <v>488</v>
      </c>
      <c r="T1338" s="2" t="s">
        <v>488</v>
      </c>
      <c r="U1338" s="2">
        <v>0</v>
      </c>
      <c r="V1338" s="2">
        <v>0</v>
      </c>
      <c r="W1338">
        <f t="shared" si="20"/>
        <v>0</v>
      </c>
    </row>
    <row r="1339" spans="1:23" x14ac:dyDescent="0.25">
      <c r="A1339" s="2" t="s">
        <v>628</v>
      </c>
      <c r="B1339" s="2" t="s">
        <v>917</v>
      </c>
      <c r="C1339" s="2">
        <v>540046</v>
      </c>
      <c r="D1339" s="2" t="s">
        <v>866</v>
      </c>
      <c r="E1339" s="2" t="s">
        <v>101</v>
      </c>
      <c r="F1339" s="2" t="s">
        <v>115</v>
      </c>
      <c r="G1339" s="2">
        <v>8</v>
      </c>
      <c r="H1339" s="2">
        <v>0</v>
      </c>
      <c r="I1339" s="2">
        <v>0</v>
      </c>
      <c r="J1339" s="2">
        <v>0</v>
      </c>
      <c r="K1339" s="2">
        <v>0</v>
      </c>
      <c r="L1339" s="2">
        <v>0</v>
      </c>
      <c r="M1339" s="2">
        <v>0</v>
      </c>
      <c r="N1339" s="2">
        <v>0</v>
      </c>
      <c r="O1339" s="2">
        <v>0</v>
      </c>
      <c r="P1339" s="2">
        <v>0</v>
      </c>
      <c r="Q1339" s="2" t="s">
        <v>488</v>
      </c>
      <c r="R1339" s="2" t="s">
        <v>488</v>
      </c>
      <c r="S1339" s="2" t="s">
        <v>488</v>
      </c>
      <c r="T1339" s="2" t="s">
        <v>488</v>
      </c>
      <c r="U1339" s="2">
        <v>0</v>
      </c>
      <c r="V1339" s="2">
        <v>0</v>
      </c>
      <c r="W1339">
        <f t="shared" si="20"/>
        <v>0</v>
      </c>
    </row>
    <row r="1340" spans="1:23" x14ac:dyDescent="0.25">
      <c r="A1340" s="2" t="s">
        <v>628</v>
      </c>
      <c r="B1340" s="2" t="s">
        <v>917</v>
      </c>
      <c r="C1340" s="2">
        <v>540276</v>
      </c>
      <c r="D1340" s="2" t="s">
        <v>867</v>
      </c>
      <c r="E1340" s="2" t="s">
        <v>101</v>
      </c>
      <c r="F1340" s="2" t="s">
        <v>115</v>
      </c>
      <c r="G1340" s="2">
        <v>8</v>
      </c>
      <c r="H1340" s="2">
        <v>0</v>
      </c>
      <c r="I1340" s="2">
        <v>0</v>
      </c>
      <c r="J1340" s="2">
        <v>0</v>
      </c>
      <c r="K1340" s="2">
        <v>0</v>
      </c>
      <c r="L1340" s="2">
        <v>0</v>
      </c>
      <c r="M1340" s="2">
        <v>0</v>
      </c>
      <c r="N1340" s="2">
        <v>0</v>
      </c>
      <c r="O1340" s="2">
        <v>0</v>
      </c>
      <c r="P1340" s="2">
        <v>0</v>
      </c>
      <c r="Q1340" s="2" t="s">
        <v>488</v>
      </c>
      <c r="R1340" s="2" t="s">
        <v>488</v>
      </c>
      <c r="S1340" s="2" t="s">
        <v>488</v>
      </c>
      <c r="T1340" s="2" t="s">
        <v>488</v>
      </c>
      <c r="U1340" s="2">
        <v>0</v>
      </c>
      <c r="V1340" s="2">
        <v>0</v>
      </c>
      <c r="W1340">
        <f t="shared" si="20"/>
        <v>0</v>
      </c>
    </row>
    <row r="1341" spans="1:23" x14ac:dyDescent="0.25">
      <c r="A1341" s="255" t="s">
        <v>628</v>
      </c>
      <c r="B1341" s="255" t="s">
        <v>917</v>
      </c>
      <c r="C1341" s="255"/>
      <c r="D1341" s="255"/>
      <c r="E1341" s="255" t="s">
        <v>101</v>
      </c>
      <c r="F1341" s="255"/>
      <c r="G1341" s="255"/>
      <c r="H1341" s="255">
        <v>0</v>
      </c>
      <c r="I1341" s="255">
        <v>0</v>
      </c>
      <c r="J1341" s="255">
        <v>0</v>
      </c>
      <c r="K1341" s="255">
        <v>0</v>
      </c>
      <c r="L1341" s="255">
        <v>0</v>
      </c>
      <c r="M1341" s="255">
        <v>0</v>
      </c>
      <c r="N1341" s="255">
        <v>0</v>
      </c>
      <c r="O1341" s="255">
        <v>0</v>
      </c>
      <c r="P1341" s="255">
        <v>0</v>
      </c>
      <c r="Q1341" s="255" t="s">
        <v>488</v>
      </c>
      <c r="R1341" s="255" t="s">
        <v>488</v>
      </c>
      <c r="S1341" s="255" t="s">
        <v>488</v>
      </c>
      <c r="T1341" s="255" t="s">
        <v>488</v>
      </c>
      <c r="U1341" s="255">
        <v>0</v>
      </c>
      <c r="V1341" s="255">
        <v>0</v>
      </c>
      <c r="W1341">
        <f t="shared" si="20"/>
        <v>0</v>
      </c>
    </row>
    <row r="1342" spans="1:23" x14ac:dyDescent="0.25">
      <c r="A1342" s="2" t="s">
        <v>628</v>
      </c>
      <c r="B1342" s="2" t="s">
        <v>917</v>
      </c>
      <c r="C1342" s="2">
        <v>540277</v>
      </c>
      <c r="D1342" s="2" t="s">
        <v>868</v>
      </c>
      <c r="E1342" s="2" t="s">
        <v>103</v>
      </c>
      <c r="F1342" s="2" t="s">
        <v>5</v>
      </c>
      <c r="G1342" s="2">
        <v>5</v>
      </c>
      <c r="H1342" s="2">
        <v>0</v>
      </c>
      <c r="I1342" s="2">
        <v>0</v>
      </c>
      <c r="J1342" s="2">
        <v>0</v>
      </c>
      <c r="K1342" s="2">
        <v>0</v>
      </c>
      <c r="L1342" s="2">
        <v>0</v>
      </c>
      <c r="M1342" s="2">
        <v>0</v>
      </c>
      <c r="N1342" s="2">
        <v>0</v>
      </c>
      <c r="O1342" s="2">
        <v>0</v>
      </c>
      <c r="P1342" s="2">
        <v>0</v>
      </c>
      <c r="Q1342" s="2">
        <v>0</v>
      </c>
      <c r="R1342" s="2">
        <v>0</v>
      </c>
      <c r="S1342" s="2" t="s">
        <v>488</v>
      </c>
      <c r="T1342" s="2" t="s">
        <v>488</v>
      </c>
      <c r="U1342" s="2">
        <v>0</v>
      </c>
      <c r="V1342" s="2">
        <v>0</v>
      </c>
      <c r="W1342">
        <f t="shared" si="20"/>
        <v>0</v>
      </c>
    </row>
    <row r="1343" spans="1:23" x14ac:dyDescent="0.25">
      <c r="A1343" s="2" t="s">
        <v>628</v>
      </c>
      <c r="B1343" s="2" t="s">
        <v>917</v>
      </c>
      <c r="C1343" s="2">
        <v>540195</v>
      </c>
      <c r="D1343" s="2" t="s">
        <v>869</v>
      </c>
      <c r="E1343" s="2" t="s">
        <v>103</v>
      </c>
      <c r="F1343" s="2" t="s">
        <v>115</v>
      </c>
      <c r="G1343" s="2">
        <v>5</v>
      </c>
      <c r="H1343" s="2">
        <v>0</v>
      </c>
      <c r="I1343" s="2">
        <v>0</v>
      </c>
      <c r="J1343" s="2">
        <v>0</v>
      </c>
      <c r="K1343" s="2">
        <v>0</v>
      </c>
      <c r="L1343" s="2">
        <v>0</v>
      </c>
      <c r="M1343" s="2">
        <v>0</v>
      </c>
      <c r="N1343" s="2">
        <v>0</v>
      </c>
      <c r="O1343" s="2">
        <v>0</v>
      </c>
      <c r="P1343" s="2">
        <v>0</v>
      </c>
      <c r="Q1343" s="2">
        <v>0</v>
      </c>
      <c r="R1343" s="2">
        <v>0</v>
      </c>
      <c r="S1343" s="2" t="s">
        <v>488</v>
      </c>
      <c r="T1343" s="2" t="s">
        <v>488</v>
      </c>
      <c r="U1343" s="2">
        <v>0</v>
      </c>
      <c r="V1343" s="2">
        <v>0</v>
      </c>
      <c r="W1343">
        <f t="shared" si="20"/>
        <v>0</v>
      </c>
    </row>
    <row r="1344" spans="1:23" x14ac:dyDescent="0.25">
      <c r="A1344" s="2" t="s">
        <v>628</v>
      </c>
      <c r="B1344" s="2" t="s">
        <v>917</v>
      </c>
      <c r="C1344" s="2">
        <v>540196</v>
      </c>
      <c r="D1344" s="2" t="s">
        <v>843</v>
      </c>
      <c r="E1344" s="2" t="s">
        <v>103</v>
      </c>
      <c r="F1344" s="2" t="s">
        <v>115</v>
      </c>
      <c r="G1344" s="2">
        <v>5</v>
      </c>
      <c r="H1344" s="2">
        <v>0</v>
      </c>
      <c r="I1344" s="2">
        <v>0</v>
      </c>
      <c r="J1344" s="2">
        <v>0</v>
      </c>
      <c r="K1344" s="2">
        <v>0</v>
      </c>
      <c r="L1344" s="2">
        <v>0</v>
      </c>
      <c r="M1344" s="2">
        <v>0</v>
      </c>
      <c r="N1344" s="2">
        <v>0</v>
      </c>
      <c r="O1344" s="2">
        <v>0</v>
      </c>
      <c r="P1344" s="2">
        <v>0</v>
      </c>
      <c r="Q1344" s="2">
        <v>0</v>
      </c>
      <c r="R1344" s="2">
        <v>0</v>
      </c>
      <c r="S1344" s="2" t="s">
        <v>488</v>
      </c>
      <c r="T1344" s="2" t="s">
        <v>488</v>
      </c>
      <c r="U1344" s="2">
        <v>0</v>
      </c>
      <c r="V1344" s="2">
        <v>0</v>
      </c>
      <c r="W1344">
        <f t="shared" si="20"/>
        <v>0</v>
      </c>
    </row>
    <row r="1345" spans="1:23" x14ac:dyDescent="0.25">
      <c r="A1345" s="2" t="s">
        <v>628</v>
      </c>
      <c r="B1345" s="2" t="s">
        <v>917</v>
      </c>
      <c r="C1345" s="2">
        <v>540197</v>
      </c>
      <c r="D1345" s="2" t="s">
        <v>870</v>
      </c>
      <c r="E1345" s="2" t="s">
        <v>103</v>
      </c>
      <c r="F1345" s="2" t="s">
        <v>115</v>
      </c>
      <c r="G1345" s="2">
        <v>5</v>
      </c>
      <c r="H1345" s="2">
        <v>0</v>
      </c>
      <c r="I1345" s="2">
        <v>0</v>
      </c>
      <c r="J1345" s="2">
        <v>0</v>
      </c>
      <c r="K1345" s="2">
        <v>0</v>
      </c>
      <c r="L1345" s="2">
        <v>0</v>
      </c>
      <c r="M1345" s="2">
        <v>0</v>
      </c>
      <c r="N1345" s="2">
        <v>0</v>
      </c>
      <c r="O1345" s="2">
        <v>0</v>
      </c>
      <c r="P1345" s="2">
        <v>0</v>
      </c>
      <c r="Q1345" s="2">
        <v>0</v>
      </c>
      <c r="R1345" s="2">
        <v>0</v>
      </c>
      <c r="S1345" s="2" t="s">
        <v>488</v>
      </c>
      <c r="T1345" s="2" t="s">
        <v>488</v>
      </c>
      <c r="U1345" s="2">
        <v>0</v>
      </c>
      <c r="V1345" s="2">
        <v>0</v>
      </c>
      <c r="W1345">
        <f t="shared" si="20"/>
        <v>0</v>
      </c>
    </row>
    <row r="1346" spans="1:23" x14ac:dyDescent="0.25">
      <c r="A1346" s="2" t="s">
        <v>628</v>
      </c>
      <c r="B1346" s="2" t="s">
        <v>917</v>
      </c>
      <c r="C1346" s="2">
        <v>540259</v>
      </c>
      <c r="D1346" s="2" t="s">
        <v>871</v>
      </c>
      <c r="E1346" s="2" t="s">
        <v>103</v>
      </c>
      <c r="F1346" s="2" t="s">
        <v>115</v>
      </c>
      <c r="G1346" s="2">
        <v>5</v>
      </c>
      <c r="H1346" s="2">
        <v>0</v>
      </c>
      <c r="I1346" s="2">
        <v>0</v>
      </c>
      <c r="J1346" s="2">
        <v>0</v>
      </c>
      <c r="K1346" s="2">
        <v>0</v>
      </c>
      <c r="L1346" s="2">
        <v>0</v>
      </c>
      <c r="M1346" s="2">
        <v>0</v>
      </c>
      <c r="N1346" s="2">
        <v>0</v>
      </c>
      <c r="O1346" s="2">
        <v>0</v>
      </c>
      <c r="P1346" s="2">
        <v>0</v>
      </c>
      <c r="Q1346" s="2">
        <v>0</v>
      </c>
      <c r="R1346" s="2">
        <v>0</v>
      </c>
      <c r="S1346" s="2" t="s">
        <v>488</v>
      </c>
      <c r="T1346" s="2" t="s">
        <v>488</v>
      </c>
      <c r="U1346" s="2">
        <v>0</v>
      </c>
      <c r="V1346" s="2">
        <v>0</v>
      </c>
      <c r="W1346">
        <f t="shared" si="20"/>
        <v>0</v>
      </c>
    </row>
    <row r="1347" spans="1:23" x14ac:dyDescent="0.25">
      <c r="A1347" s="255" t="s">
        <v>628</v>
      </c>
      <c r="B1347" s="255" t="s">
        <v>917</v>
      </c>
      <c r="C1347" s="255"/>
      <c r="D1347" s="255"/>
      <c r="E1347" s="255" t="s">
        <v>103</v>
      </c>
      <c r="F1347" s="255"/>
      <c r="G1347" s="255"/>
      <c r="H1347" s="255">
        <v>0</v>
      </c>
      <c r="I1347" s="255">
        <v>0</v>
      </c>
      <c r="J1347" s="255">
        <v>0</v>
      </c>
      <c r="K1347" s="255">
        <v>0</v>
      </c>
      <c r="L1347" s="255">
        <v>0</v>
      </c>
      <c r="M1347" s="255">
        <v>0</v>
      </c>
      <c r="N1347" s="255">
        <v>0</v>
      </c>
      <c r="O1347" s="255">
        <v>0</v>
      </c>
      <c r="P1347" s="255">
        <v>0</v>
      </c>
      <c r="Q1347" s="255">
        <v>0</v>
      </c>
      <c r="R1347" s="255">
        <v>0</v>
      </c>
      <c r="S1347" s="255" t="s">
        <v>488</v>
      </c>
      <c r="T1347" s="255" t="s">
        <v>488</v>
      </c>
      <c r="U1347" s="255">
        <v>0</v>
      </c>
      <c r="V1347" s="255">
        <v>0</v>
      </c>
      <c r="W1347">
        <f t="shared" ref="W1347:W1410" si="21">SUM(N1347,P1347,R1347,T1347,U1347,V1347)</f>
        <v>0</v>
      </c>
    </row>
    <row r="1348" spans="1:23" x14ac:dyDescent="0.25">
      <c r="A1348" s="2" t="s">
        <v>628</v>
      </c>
      <c r="B1348" s="2" t="s">
        <v>917</v>
      </c>
      <c r="C1348" s="2">
        <v>540278</v>
      </c>
      <c r="D1348" s="2" t="s">
        <v>872</v>
      </c>
      <c r="E1348" s="2" t="s">
        <v>105</v>
      </c>
      <c r="F1348" s="2" t="s">
        <v>5</v>
      </c>
      <c r="G1348" s="2">
        <v>1</v>
      </c>
      <c r="H1348" s="2">
        <v>0</v>
      </c>
      <c r="I1348" s="2">
        <v>0</v>
      </c>
      <c r="J1348" s="2">
        <v>0</v>
      </c>
      <c r="K1348" s="2">
        <v>0</v>
      </c>
      <c r="L1348" s="2">
        <v>0</v>
      </c>
      <c r="M1348" s="2">
        <v>0</v>
      </c>
      <c r="N1348" s="2">
        <v>0</v>
      </c>
      <c r="O1348" s="2">
        <v>0</v>
      </c>
      <c r="P1348" s="2">
        <v>0</v>
      </c>
      <c r="Q1348" s="2">
        <v>0</v>
      </c>
      <c r="R1348" s="2">
        <v>0</v>
      </c>
      <c r="S1348" s="2" t="s">
        <v>488</v>
      </c>
      <c r="T1348" s="2" t="s">
        <v>488</v>
      </c>
      <c r="U1348" s="2">
        <v>0</v>
      </c>
      <c r="V1348" s="2">
        <v>0</v>
      </c>
      <c r="W1348">
        <f t="shared" si="21"/>
        <v>0</v>
      </c>
    </row>
    <row r="1349" spans="1:23" x14ac:dyDescent="0.25">
      <c r="A1349" s="2" t="s">
        <v>628</v>
      </c>
      <c r="B1349" s="2" t="s">
        <v>917</v>
      </c>
      <c r="C1349" s="2">
        <v>540041</v>
      </c>
      <c r="D1349" s="2" t="s">
        <v>666</v>
      </c>
      <c r="E1349" s="2" t="s">
        <v>105</v>
      </c>
      <c r="F1349" s="2" t="s">
        <v>115</v>
      </c>
      <c r="G1349" s="2">
        <v>1</v>
      </c>
      <c r="H1349" s="2">
        <v>0</v>
      </c>
      <c r="I1349" s="2">
        <v>0</v>
      </c>
      <c r="J1349" s="2">
        <v>0</v>
      </c>
      <c r="K1349" s="2">
        <v>0</v>
      </c>
      <c r="L1349" s="2">
        <v>0</v>
      </c>
      <c r="M1349" s="2">
        <v>0</v>
      </c>
      <c r="N1349" s="2">
        <v>0</v>
      </c>
      <c r="O1349" s="2">
        <v>0</v>
      </c>
      <c r="P1349" s="2">
        <v>0</v>
      </c>
      <c r="Q1349" s="2">
        <v>0</v>
      </c>
      <c r="R1349" s="2">
        <v>0</v>
      </c>
      <c r="S1349" s="2" t="s">
        <v>488</v>
      </c>
      <c r="T1349" s="2" t="s">
        <v>488</v>
      </c>
      <c r="U1349" s="2">
        <v>0</v>
      </c>
      <c r="V1349" s="2">
        <v>0</v>
      </c>
      <c r="W1349">
        <f t="shared" si="21"/>
        <v>0</v>
      </c>
    </row>
    <row r="1350" spans="1:23" x14ac:dyDescent="0.25">
      <c r="A1350" s="2" t="s">
        <v>628</v>
      </c>
      <c r="B1350" s="2" t="s">
        <v>917</v>
      </c>
      <c r="C1350" s="2">
        <v>540143</v>
      </c>
      <c r="D1350" s="2" t="s">
        <v>873</v>
      </c>
      <c r="E1350" s="2" t="s">
        <v>105</v>
      </c>
      <c r="F1350" s="2" t="s">
        <v>115</v>
      </c>
      <c r="G1350" s="2">
        <v>1</v>
      </c>
      <c r="H1350" s="2">
        <v>0</v>
      </c>
      <c r="I1350" s="2">
        <v>0</v>
      </c>
      <c r="J1350" s="2">
        <v>0</v>
      </c>
      <c r="K1350" s="2">
        <v>0</v>
      </c>
      <c r="L1350" s="2">
        <v>0</v>
      </c>
      <c r="M1350" s="2">
        <v>0</v>
      </c>
      <c r="N1350" s="2">
        <v>0</v>
      </c>
      <c r="O1350" s="2">
        <v>0</v>
      </c>
      <c r="P1350" s="2">
        <v>0</v>
      </c>
      <c r="Q1350" s="2">
        <v>0</v>
      </c>
      <c r="R1350" s="2">
        <v>0</v>
      </c>
      <c r="S1350" s="2" t="s">
        <v>488</v>
      </c>
      <c r="T1350" s="2" t="s">
        <v>488</v>
      </c>
      <c r="U1350" s="2">
        <v>0</v>
      </c>
      <c r="V1350" s="2">
        <v>0</v>
      </c>
      <c r="W1350">
        <f t="shared" si="21"/>
        <v>0</v>
      </c>
    </row>
    <row r="1351" spans="1:23" x14ac:dyDescent="0.25">
      <c r="A1351" s="2" t="s">
        <v>628</v>
      </c>
      <c r="B1351" s="2" t="s">
        <v>917</v>
      </c>
      <c r="C1351" s="2">
        <v>540290</v>
      </c>
      <c r="D1351" s="2" t="s">
        <v>874</v>
      </c>
      <c r="E1351" s="2" t="s">
        <v>105</v>
      </c>
      <c r="F1351" s="2" t="s">
        <v>115</v>
      </c>
      <c r="G1351" s="2">
        <v>1</v>
      </c>
      <c r="H1351" s="2">
        <v>0</v>
      </c>
      <c r="I1351" s="2">
        <v>0</v>
      </c>
      <c r="J1351" s="2">
        <v>0</v>
      </c>
      <c r="K1351" s="2">
        <v>0</v>
      </c>
      <c r="L1351" s="2">
        <v>0</v>
      </c>
      <c r="M1351" s="2">
        <v>0</v>
      </c>
      <c r="N1351" s="2">
        <v>0</v>
      </c>
      <c r="O1351" s="2">
        <v>0</v>
      </c>
      <c r="P1351" s="2">
        <v>0</v>
      </c>
      <c r="Q1351" s="2">
        <v>0</v>
      </c>
      <c r="R1351" s="2">
        <v>0</v>
      </c>
      <c r="S1351" s="2" t="s">
        <v>488</v>
      </c>
      <c r="T1351" s="2" t="s">
        <v>488</v>
      </c>
      <c r="U1351" s="2">
        <v>0</v>
      </c>
      <c r="V1351" s="2">
        <v>0</v>
      </c>
      <c r="W1351">
        <f t="shared" si="21"/>
        <v>0</v>
      </c>
    </row>
    <row r="1352" spans="1:23" x14ac:dyDescent="0.25">
      <c r="A1352" s="255" t="s">
        <v>628</v>
      </c>
      <c r="B1352" s="255" t="s">
        <v>917</v>
      </c>
      <c r="C1352" s="255"/>
      <c r="D1352" s="255"/>
      <c r="E1352" s="255" t="s">
        <v>105</v>
      </c>
      <c r="F1352" s="255"/>
      <c r="G1352" s="255"/>
      <c r="H1352" s="255">
        <v>0</v>
      </c>
      <c r="I1352" s="255">
        <v>0</v>
      </c>
      <c r="J1352" s="255">
        <v>0</v>
      </c>
      <c r="K1352" s="255">
        <v>0</v>
      </c>
      <c r="L1352" s="255">
        <v>0</v>
      </c>
      <c r="M1352" s="255">
        <v>0</v>
      </c>
      <c r="N1352" s="255">
        <v>0</v>
      </c>
      <c r="O1352" s="255">
        <v>0</v>
      </c>
      <c r="P1352" s="255">
        <v>0</v>
      </c>
      <c r="Q1352" s="255">
        <v>0</v>
      </c>
      <c r="R1352" s="255">
        <v>0</v>
      </c>
      <c r="S1352" s="255" t="s">
        <v>488</v>
      </c>
      <c r="T1352" s="255" t="s">
        <v>488</v>
      </c>
      <c r="U1352" s="255">
        <v>0</v>
      </c>
      <c r="V1352" s="255">
        <v>0</v>
      </c>
      <c r="W1352">
        <f t="shared" si="21"/>
        <v>0</v>
      </c>
    </row>
    <row r="1353" spans="1:23" x14ac:dyDescent="0.25">
      <c r="A1353" s="2" t="s">
        <v>628</v>
      </c>
      <c r="B1353" s="2" t="s">
        <v>917</v>
      </c>
      <c r="C1353" s="2">
        <v>540282</v>
      </c>
      <c r="D1353" s="2" t="s">
        <v>875</v>
      </c>
      <c r="E1353" s="2" t="s">
        <v>107</v>
      </c>
      <c r="F1353" s="2" t="s">
        <v>5</v>
      </c>
      <c r="G1353" s="2">
        <v>9</v>
      </c>
      <c r="H1353" s="2">
        <v>0</v>
      </c>
      <c r="I1353" s="2">
        <v>0</v>
      </c>
      <c r="J1353" s="2">
        <v>0</v>
      </c>
      <c r="K1353" s="2">
        <v>0</v>
      </c>
      <c r="L1353" s="2">
        <v>0</v>
      </c>
      <c r="M1353" s="2">
        <v>0</v>
      </c>
      <c r="N1353" s="2">
        <v>0</v>
      </c>
      <c r="O1353" s="2">
        <v>0</v>
      </c>
      <c r="P1353" s="2">
        <v>0</v>
      </c>
      <c r="Q1353" s="2">
        <v>0</v>
      </c>
      <c r="R1353" s="2">
        <v>0</v>
      </c>
      <c r="S1353" s="2">
        <v>0</v>
      </c>
      <c r="T1353" s="2">
        <v>0</v>
      </c>
      <c r="U1353" s="2">
        <v>0</v>
      </c>
      <c r="V1353" s="2">
        <v>0</v>
      </c>
      <c r="W1353">
        <f t="shared" si="21"/>
        <v>0</v>
      </c>
    </row>
    <row r="1354" spans="1:23" x14ac:dyDescent="0.25">
      <c r="A1354" s="2" t="s">
        <v>628</v>
      </c>
      <c r="B1354" s="2" t="s">
        <v>917</v>
      </c>
      <c r="C1354" s="2">
        <v>540006</v>
      </c>
      <c r="D1354" s="2" t="s">
        <v>876</v>
      </c>
      <c r="E1354" s="2" t="s">
        <v>107</v>
      </c>
      <c r="F1354" s="2" t="s">
        <v>115</v>
      </c>
      <c r="G1354" s="2">
        <v>9</v>
      </c>
      <c r="H1354" s="2">
        <v>0</v>
      </c>
      <c r="I1354" s="2">
        <v>0</v>
      </c>
      <c r="J1354" s="2">
        <v>0</v>
      </c>
      <c r="K1354" s="2">
        <v>0</v>
      </c>
      <c r="L1354" s="2">
        <v>0</v>
      </c>
      <c r="M1354" s="2">
        <v>0</v>
      </c>
      <c r="N1354" s="2">
        <v>0</v>
      </c>
      <c r="O1354" s="2">
        <v>0</v>
      </c>
      <c r="P1354" s="2">
        <v>0</v>
      </c>
      <c r="Q1354" s="2">
        <v>0</v>
      </c>
      <c r="R1354" s="2">
        <v>0</v>
      </c>
      <c r="S1354" s="2">
        <v>0</v>
      </c>
      <c r="T1354" s="2">
        <v>0</v>
      </c>
      <c r="U1354" s="2">
        <v>0</v>
      </c>
      <c r="V1354" s="2">
        <v>0</v>
      </c>
      <c r="W1354">
        <f t="shared" si="21"/>
        <v>0</v>
      </c>
    </row>
    <row r="1355" spans="1:23" x14ac:dyDescent="0.25">
      <c r="A1355" s="2" t="s">
        <v>628</v>
      </c>
      <c r="B1355" s="2" t="s">
        <v>917</v>
      </c>
      <c r="C1355" s="2">
        <v>545550</v>
      </c>
      <c r="D1355" s="2" t="s">
        <v>877</v>
      </c>
      <c r="E1355" s="2" t="s">
        <v>107</v>
      </c>
      <c r="F1355" s="2" t="s">
        <v>115</v>
      </c>
      <c r="G1355" s="2">
        <v>9</v>
      </c>
      <c r="H1355" s="2">
        <v>0</v>
      </c>
      <c r="I1355" s="2">
        <v>0</v>
      </c>
      <c r="J1355" s="2">
        <v>0</v>
      </c>
      <c r="K1355" s="2">
        <v>0</v>
      </c>
      <c r="L1355" s="2">
        <v>0</v>
      </c>
      <c r="M1355" s="2">
        <v>0</v>
      </c>
      <c r="N1355" s="2">
        <v>0</v>
      </c>
      <c r="O1355" s="2">
        <v>0</v>
      </c>
      <c r="P1355" s="2">
        <v>0</v>
      </c>
      <c r="Q1355" s="2">
        <v>0</v>
      </c>
      <c r="R1355" s="2">
        <v>0</v>
      </c>
      <c r="S1355" s="2">
        <v>0</v>
      </c>
      <c r="T1355" s="2">
        <v>0</v>
      </c>
      <c r="U1355" s="2">
        <v>0</v>
      </c>
      <c r="V1355" s="2">
        <v>0</v>
      </c>
      <c r="W1355">
        <f t="shared" si="21"/>
        <v>0</v>
      </c>
    </row>
    <row r="1356" spans="1:23" x14ac:dyDescent="0.25">
      <c r="A1356" s="255" t="s">
        <v>628</v>
      </c>
      <c r="B1356" s="255" t="s">
        <v>917</v>
      </c>
      <c r="C1356" s="255"/>
      <c r="D1356" s="255"/>
      <c r="E1356" s="255" t="s">
        <v>107</v>
      </c>
      <c r="F1356" s="255"/>
      <c r="G1356" s="255"/>
      <c r="H1356" s="255">
        <v>0</v>
      </c>
      <c r="I1356" s="255">
        <v>0</v>
      </c>
      <c r="J1356" s="255">
        <v>0</v>
      </c>
      <c r="K1356" s="255">
        <v>0</v>
      </c>
      <c r="L1356" s="255">
        <v>0</v>
      </c>
      <c r="M1356" s="255">
        <v>0</v>
      </c>
      <c r="N1356" s="255">
        <v>0</v>
      </c>
      <c r="O1356" s="255">
        <v>0</v>
      </c>
      <c r="P1356" s="255">
        <v>0</v>
      </c>
      <c r="Q1356" s="255">
        <v>0</v>
      </c>
      <c r="R1356" s="255">
        <v>0</v>
      </c>
      <c r="S1356" s="255">
        <v>0</v>
      </c>
      <c r="T1356" s="255">
        <v>0</v>
      </c>
      <c r="U1356" s="255">
        <v>0</v>
      </c>
      <c r="V1356" s="255">
        <v>0</v>
      </c>
      <c r="W1356">
        <f t="shared" si="21"/>
        <v>0</v>
      </c>
    </row>
    <row r="1357" spans="1:23" x14ac:dyDescent="0.25">
      <c r="A1357" s="2" t="s">
        <v>628</v>
      </c>
      <c r="B1357" s="2" t="s">
        <v>917</v>
      </c>
      <c r="C1357" s="2">
        <v>540283</v>
      </c>
      <c r="D1357" s="2" t="s">
        <v>878</v>
      </c>
      <c r="E1357" s="2" t="s">
        <v>109</v>
      </c>
      <c r="F1357" s="2" t="s">
        <v>5</v>
      </c>
      <c r="G1357" s="2">
        <v>4</v>
      </c>
      <c r="H1357" s="2">
        <v>0</v>
      </c>
      <c r="I1357" s="2">
        <v>0</v>
      </c>
      <c r="J1357" s="2">
        <v>0</v>
      </c>
      <c r="K1357" s="2">
        <v>0</v>
      </c>
      <c r="L1357" s="2">
        <v>0</v>
      </c>
      <c r="M1357" s="2">
        <v>0</v>
      </c>
      <c r="N1357" s="2">
        <v>0</v>
      </c>
      <c r="O1357" s="2">
        <v>0</v>
      </c>
      <c r="P1357" s="2">
        <v>0</v>
      </c>
      <c r="Q1357" s="2" t="s">
        <v>488</v>
      </c>
      <c r="R1357" s="2" t="s">
        <v>488</v>
      </c>
      <c r="S1357" s="2" t="s">
        <v>488</v>
      </c>
      <c r="T1357" s="2" t="s">
        <v>488</v>
      </c>
      <c r="U1357" s="2">
        <v>0</v>
      </c>
      <c r="V1357" s="2">
        <v>0</v>
      </c>
      <c r="W1357">
        <f t="shared" si="21"/>
        <v>0</v>
      </c>
    </row>
    <row r="1358" spans="1:23" x14ac:dyDescent="0.25">
      <c r="A1358" s="2" t="s">
        <v>628</v>
      </c>
      <c r="B1358" s="2" t="s">
        <v>917</v>
      </c>
      <c r="C1358" s="2">
        <v>540158</v>
      </c>
      <c r="D1358" s="2" t="s">
        <v>879</v>
      </c>
      <c r="E1358" s="2" t="s">
        <v>109</v>
      </c>
      <c r="F1358" s="2" t="s">
        <v>115</v>
      </c>
      <c r="G1358" s="2">
        <v>4</v>
      </c>
      <c r="H1358" s="2">
        <v>0</v>
      </c>
      <c r="I1358" s="2">
        <v>0</v>
      </c>
      <c r="J1358" s="2">
        <v>0</v>
      </c>
      <c r="K1358" s="2">
        <v>0</v>
      </c>
      <c r="L1358" s="2">
        <v>0</v>
      </c>
      <c r="M1358" s="2">
        <v>0</v>
      </c>
      <c r="N1358" s="2">
        <v>0</v>
      </c>
      <c r="O1358" s="2">
        <v>0</v>
      </c>
      <c r="P1358" s="2">
        <v>0</v>
      </c>
      <c r="Q1358" s="2" t="s">
        <v>488</v>
      </c>
      <c r="R1358" s="2" t="s">
        <v>488</v>
      </c>
      <c r="S1358" s="2" t="s">
        <v>488</v>
      </c>
      <c r="T1358" s="2" t="s">
        <v>488</v>
      </c>
      <c r="U1358" s="2">
        <v>0</v>
      </c>
      <c r="V1358" s="2">
        <v>0</v>
      </c>
      <c r="W1358">
        <f t="shared" si="21"/>
        <v>0</v>
      </c>
    </row>
    <row r="1359" spans="1:23" x14ac:dyDescent="0.25">
      <c r="A1359" s="2" t="s">
        <v>628</v>
      </c>
      <c r="B1359" s="2" t="s">
        <v>917</v>
      </c>
      <c r="C1359" s="2">
        <v>540159</v>
      </c>
      <c r="D1359" s="2" t="s">
        <v>880</v>
      </c>
      <c r="E1359" s="2" t="s">
        <v>109</v>
      </c>
      <c r="F1359" s="2" t="s">
        <v>115</v>
      </c>
      <c r="G1359" s="2">
        <v>4</v>
      </c>
      <c r="H1359" s="2">
        <v>0</v>
      </c>
      <c r="I1359" s="2">
        <v>0</v>
      </c>
      <c r="J1359" s="2">
        <v>0</v>
      </c>
      <c r="K1359" s="2">
        <v>0</v>
      </c>
      <c r="L1359" s="2">
        <v>0</v>
      </c>
      <c r="M1359" s="2">
        <v>0</v>
      </c>
      <c r="N1359" s="2">
        <v>0</v>
      </c>
      <c r="O1359" s="2">
        <v>0</v>
      </c>
      <c r="P1359" s="2">
        <v>0</v>
      </c>
      <c r="Q1359" s="2" t="s">
        <v>488</v>
      </c>
      <c r="R1359" s="2" t="s">
        <v>488</v>
      </c>
      <c r="S1359" s="2" t="s">
        <v>488</v>
      </c>
      <c r="T1359" s="2" t="s">
        <v>488</v>
      </c>
      <c r="U1359" s="2">
        <v>0</v>
      </c>
      <c r="V1359" s="2">
        <v>0</v>
      </c>
      <c r="W1359">
        <f t="shared" si="21"/>
        <v>0</v>
      </c>
    </row>
    <row r="1360" spans="1:23" x14ac:dyDescent="0.25">
      <c r="A1360" s="2" t="s">
        <v>628</v>
      </c>
      <c r="B1360" s="2" t="s">
        <v>917</v>
      </c>
      <c r="C1360" s="2">
        <v>540288</v>
      </c>
      <c r="D1360" s="2" t="s">
        <v>881</v>
      </c>
      <c r="E1360" s="2" t="s">
        <v>109</v>
      </c>
      <c r="F1360" s="2" t="s">
        <v>115</v>
      </c>
      <c r="G1360" s="2">
        <v>4</v>
      </c>
      <c r="H1360" s="2">
        <v>0</v>
      </c>
      <c r="I1360" s="2">
        <v>0</v>
      </c>
      <c r="J1360" s="2">
        <v>0</v>
      </c>
      <c r="K1360" s="2">
        <v>0</v>
      </c>
      <c r="L1360" s="2">
        <v>0</v>
      </c>
      <c r="M1360" s="2">
        <v>0</v>
      </c>
      <c r="N1360" s="2">
        <v>0</v>
      </c>
      <c r="O1360" s="2">
        <v>0</v>
      </c>
      <c r="P1360" s="2">
        <v>0</v>
      </c>
      <c r="Q1360" s="2" t="s">
        <v>488</v>
      </c>
      <c r="R1360" s="2" t="s">
        <v>488</v>
      </c>
      <c r="S1360" s="2" t="s">
        <v>488</v>
      </c>
      <c r="T1360" s="2" t="s">
        <v>488</v>
      </c>
      <c r="U1360" s="2">
        <v>0</v>
      </c>
      <c r="V1360" s="2">
        <v>0</v>
      </c>
      <c r="W1360">
        <f t="shared" si="21"/>
        <v>0</v>
      </c>
    </row>
    <row r="1361" spans="1:23" x14ac:dyDescent="0.25">
      <c r="A1361" s="255" t="s">
        <v>628</v>
      </c>
      <c r="B1361" s="255" t="s">
        <v>917</v>
      </c>
      <c r="C1361" s="255"/>
      <c r="D1361" s="255"/>
      <c r="E1361" s="255" t="s">
        <v>109</v>
      </c>
      <c r="F1361" s="255"/>
      <c r="G1361" s="255"/>
      <c r="H1361" s="255">
        <v>0</v>
      </c>
      <c r="I1361" s="255">
        <v>0</v>
      </c>
      <c r="J1361" s="255">
        <v>0</v>
      </c>
      <c r="K1361" s="255">
        <v>0</v>
      </c>
      <c r="L1361" s="255">
        <v>0</v>
      </c>
      <c r="M1361" s="255">
        <v>0</v>
      </c>
      <c r="N1361" s="255">
        <v>0</v>
      </c>
      <c r="O1361" s="255">
        <v>0</v>
      </c>
      <c r="P1361" s="255">
        <v>0</v>
      </c>
      <c r="Q1361" s="255" t="s">
        <v>488</v>
      </c>
      <c r="R1361" s="255" t="s">
        <v>488</v>
      </c>
      <c r="S1361" s="255" t="s">
        <v>488</v>
      </c>
      <c r="T1361" s="255" t="s">
        <v>488</v>
      </c>
      <c r="U1361" s="255">
        <v>0</v>
      </c>
      <c r="V1361" s="255">
        <v>0</v>
      </c>
      <c r="W1361">
        <f t="shared" si="21"/>
        <v>0</v>
      </c>
    </row>
    <row r="1362" spans="1:23" x14ac:dyDescent="0.25">
      <c r="A1362" s="2" t="s">
        <v>628</v>
      </c>
      <c r="B1362" s="2" t="s">
        <v>917</v>
      </c>
      <c r="C1362" s="2">
        <v>545536</v>
      </c>
      <c r="D1362" s="2" t="s">
        <v>882</v>
      </c>
      <c r="E1362" s="2" t="s">
        <v>111</v>
      </c>
      <c r="F1362" s="2" t="s">
        <v>5</v>
      </c>
      <c r="G1362" s="2">
        <v>2</v>
      </c>
      <c r="H1362" s="2">
        <v>0</v>
      </c>
      <c r="I1362" s="2">
        <v>0</v>
      </c>
      <c r="J1362" s="2">
        <v>0</v>
      </c>
      <c r="K1362" s="2">
        <v>0</v>
      </c>
      <c r="L1362" s="2">
        <v>0</v>
      </c>
      <c r="M1362" s="2">
        <v>0</v>
      </c>
      <c r="N1362" s="2">
        <v>0</v>
      </c>
      <c r="O1362" s="2">
        <v>0</v>
      </c>
      <c r="P1362" s="2">
        <v>0</v>
      </c>
      <c r="Q1362" s="2">
        <v>0</v>
      </c>
      <c r="R1362" s="2">
        <v>0</v>
      </c>
      <c r="S1362" s="2" t="s">
        <v>488</v>
      </c>
      <c r="T1362" s="2" t="s">
        <v>488</v>
      </c>
      <c r="U1362" s="2">
        <v>0</v>
      </c>
      <c r="V1362" s="2">
        <v>0</v>
      </c>
      <c r="W1362">
        <f t="shared" si="21"/>
        <v>0</v>
      </c>
    </row>
    <row r="1363" spans="1:23" x14ac:dyDescent="0.25">
      <c r="A1363" s="2" t="s">
        <v>628</v>
      </c>
      <c r="B1363" s="2" t="s">
        <v>917</v>
      </c>
      <c r="C1363" s="2">
        <v>540092</v>
      </c>
      <c r="D1363" s="2" t="s">
        <v>883</v>
      </c>
      <c r="E1363" s="2" t="s">
        <v>111</v>
      </c>
      <c r="F1363" s="2" t="s">
        <v>115</v>
      </c>
      <c r="G1363" s="2">
        <v>2</v>
      </c>
      <c r="H1363" s="2">
        <v>0</v>
      </c>
      <c r="I1363" s="2">
        <v>0</v>
      </c>
      <c r="J1363" s="2">
        <v>0</v>
      </c>
      <c r="K1363" s="2">
        <v>0</v>
      </c>
      <c r="L1363" s="2">
        <v>0</v>
      </c>
      <c r="M1363" s="2">
        <v>0</v>
      </c>
      <c r="N1363" s="2">
        <v>0</v>
      </c>
      <c r="O1363" s="2">
        <v>0</v>
      </c>
      <c r="P1363" s="2">
        <v>0</v>
      </c>
      <c r="Q1363" s="2">
        <v>0</v>
      </c>
      <c r="R1363" s="2">
        <v>0</v>
      </c>
      <c r="S1363" s="2" t="s">
        <v>488</v>
      </c>
      <c r="T1363" s="2" t="s">
        <v>488</v>
      </c>
      <c r="U1363" s="2">
        <v>0</v>
      </c>
      <c r="V1363" s="2">
        <v>0</v>
      </c>
      <c r="W1363">
        <f t="shared" si="21"/>
        <v>0</v>
      </c>
    </row>
    <row r="1364" spans="1:23" x14ac:dyDescent="0.25">
      <c r="A1364" s="2" t="s">
        <v>628</v>
      </c>
      <c r="B1364" s="2" t="s">
        <v>917</v>
      </c>
      <c r="C1364" s="2">
        <v>540095</v>
      </c>
      <c r="D1364" s="2" t="s">
        <v>884</v>
      </c>
      <c r="E1364" s="2" t="s">
        <v>111</v>
      </c>
      <c r="F1364" s="2" t="s">
        <v>115</v>
      </c>
      <c r="G1364" s="2">
        <v>2</v>
      </c>
      <c r="H1364" s="2">
        <v>0</v>
      </c>
      <c r="I1364" s="2">
        <v>0</v>
      </c>
      <c r="J1364" s="2">
        <v>0</v>
      </c>
      <c r="K1364" s="2">
        <v>0</v>
      </c>
      <c r="L1364" s="2">
        <v>0</v>
      </c>
      <c r="M1364" s="2">
        <v>0</v>
      </c>
      <c r="N1364" s="2">
        <v>0</v>
      </c>
      <c r="O1364" s="2">
        <v>0</v>
      </c>
      <c r="P1364" s="2">
        <v>0</v>
      </c>
      <c r="Q1364" s="2">
        <v>0</v>
      </c>
      <c r="R1364" s="2">
        <v>0</v>
      </c>
      <c r="S1364" s="2" t="s">
        <v>488</v>
      </c>
      <c r="T1364" s="2" t="s">
        <v>488</v>
      </c>
      <c r="U1364" s="2">
        <v>0</v>
      </c>
      <c r="V1364" s="2">
        <v>0</v>
      </c>
      <c r="W1364">
        <f t="shared" si="21"/>
        <v>0</v>
      </c>
    </row>
    <row r="1365" spans="1:23" x14ac:dyDescent="0.25">
      <c r="A1365" s="2" t="s">
        <v>628</v>
      </c>
      <c r="B1365" s="2" t="s">
        <v>917</v>
      </c>
      <c r="C1365" s="2">
        <v>545535</v>
      </c>
      <c r="D1365" s="2" t="s">
        <v>885</v>
      </c>
      <c r="E1365" s="2" t="s">
        <v>111</v>
      </c>
      <c r="F1365" s="2" t="s">
        <v>115</v>
      </c>
      <c r="G1365" s="2">
        <v>2</v>
      </c>
      <c r="H1365" s="2">
        <v>0</v>
      </c>
      <c r="I1365" s="2">
        <v>0</v>
      </c>
      <c r="J1365" s="2">
        <v>0</v>
      </c>
      <c r="K1365" s="2">
        <v>0</v>
      </c>
      <c r="L1365" s="2">
        <v>0</v>
      </c>
      <c r="M1365" s="2">
        <v>0</v>
      </c>
      <c r="N1365" s="2">
        <v>0</v>
      </c>
      <c r="O1365" s="2">
        <v>0</v>
      </c>
      <c r="P1365" s="2">
        <v>0</v>
      </c>
      <c r="Q1365" s="2">
        <v>0</v>
      </c>
      <c r="R1365" s="2">
        <v>0</v>
      </c>
      <c r="S1365" s="2" t="s">
        <v>488</v>
      </c>
      <c r="T1365" s="2" t="s">
        <v>488</v>
      </c>
      <c r="U1365" s="2">
        <v>0</v>
      </c>
      <c r="V1365" s="2">
        <v>0</v>
      </c>
      <c r="W1365">
        <f t="shared" si="21"/>
        <v>0</v>
      </c>
    </row>
    <row r="1366" spans="1:23" x14ac:dyDescent="0.25">
      <c r="A1366" s="2" t="s">
        <v>628</v>
      </c>
      <c r="B1366" s="2" t="s">
        <v>917</v>
      </c>
      <c r="C1366" s="2">
        <v>545537</v>
      </c>
      <c r="D1366" s="2" t="s">
        <v>886</v>
      </c>
      <c r="E1366" s="2" t="s">
        <v>111</v>
      </c>
      <c r="F1366" s="2" t="s">
        <v>115</v>
      </c>
      <c r="G1366" s="2">
        <v>2</v>
      </c>
      <c r="H1366" s="2">
        <v>0</v>
      </c>
      <c r="I1366" s="2">
        <v>0</v>
      </c>
      <c r="J1366" s="2">
        <v>0</v>
      </c>
      <c r="K1366" s="2">
        <v>0</v>
      </c>
      <c r="L1366" s="2">
        <v>0</v>
      </c>
      <c r="M1366" s="2">
        <v>0</v>
      </c>
      <c r="N1366" s="2">
        <v>0</v>
      </c>
      <c r="O1366" s="2">
        <v>0</v>
      </c>
      <c r="P1366" s="2">
        <v>0</v>
      </c>
      <c r="Q1366" s="2">
        <v>0</v>
      </c>
      <c r="R1366" s="2">
        <v>0</v>
      </c>
      <c r="S1366" s="2" t="s">
        <v>488</v>
      </c>
      <c r="T1366" s="2" t="s">
        <v>488</v>
      </c>
      <c r="U1366" s="2">
        <v>0</v>
      </c>
      <c r="V1366" s="2">
        <v>0</v>
      </c>
      <c r="W1366">
        <f t="shared" si="21"/>
        <v>0</v>
      </c>
    </row>
    <row r="1367" spans="1:23" x14ac:dyDescent="0.25">
      <c r="A1367" s="2" t="s">
        <v>628</v>
      </c>
      <c r="B1367" s="2" t="s">
        <v>917</v>
      </c>
      <c r="C1367" s="2">
        <v>545539</v>
      </c>
      <c r="D1367" s="2" t="s">
        <v>887</v>
      </c>
      <c r="E1367" s="2" t="s">
        <v>111</v>
      </c>
      <c r="F1367" s="2" t="s">
        <v>115</v>
      </c>
      <c r="G1367" s="2">
        <v>2</v>
      </c>
      <c r="H1367" s="2">
        <v>0</v>
      </c>
      <c r="I1367" s="2">
        <v>0</v>
      </c>
      <c r="J1367" s="2">
        <v>0</v>
      </c>
      <c r="K1367" s="2">
        <v>0</v>
      </c>
      <c r="L1367" s="2">
        <v>0</v>
      </c>
      <c r="M1367" s="2">
        <v>0</v>
      </c>
      <c r="N1367" s="2">
        <v>0</v>
      </c>
      <c r="O1367" s="2">
        <v>0</v>
      </c>
      <c r="P1367" s="2">
        <v>0</v>
      </c>
      <c r="Q1367" s="2">
        <v>0</v>
      </c>
      <c r="R1367" s="2">
        <v>0</v>
      </c>
      <c r="S1367" s="2" t="s">
        <v>488</v>
      </c>
      <c r="T1367" s="2" t="s">
        <v>488</v>
      </c>
      <c r="U1367" s="2">
        <v>0</v>
      </c>
      <c r="V1367" s="2">
        <v>0</v>
      </c>
      <c r="W1367">
        <f t="shared" si="21"/>
        <v>0</v>
      </c>
    </row>
    <row r="1368" spans="1:23" x14ac:dyDescent="0.25">
      <c r="A1368" s="255" t="s">
        <v>628</v>
      </c>
      <c r="B1368" s="255" t="s">
        <v>917</v>
      </c>
      <c r="C1368" s="255"/>
      <c r="D1368" s="255"/>
      <c r="E1368" s="255" t="s">
        <v>111</v>
      </c>
      <c r="F1368" s="255"/>
      <c r="G1368" s="255"/>
      <c r="H1368" s="255">
        <v>0</v>
      </c>
      <c r="I1368" s="255">
        <v>0</v>
      </c>
      <c r="J1368" s="255">
        <v>0</v>
      </c>
      <c r="K1368" s="255">
        <v>0</v>
      </c>
      <c r="L1368" s="255">
        <v>0</v>
      </c>
      <c r="M1368" s="255">
        <v>0</v>
      </c>
      <c r="N1368" s="255">
        <v>0</v>
      </c>
      <c r="O1368" s="255">
        <v>0</v>
      </c>
      <c r="P1368" s="255">
        <v>0</v>
      </c>
      <c r="Q1368" s="255">
        <v>0</v>
      </c>
      <c r="R1368" s="255">
        <v>0</v>
      </c>
      <c r="S1368" s="255" t="s">
        <v>488</v>
      </c>
      <c r="T1368" s="255" t="s">
        <v>488</v>
      </c>
      <c r="U1368" s="255">
        <v>0</v>
      </c>
      <c r="V1368" s="255">
        <v>0</v>
      </c>
      <c r="W1368">
        <f t="shared" si="21"/>
        <v>0</v>
      </c>
    </row>
    <row r="1369" spans="1:23" x14ac:dyDescent="0.25">
      <c r="A1369" s="2" t="s">
        <v>628</v>
      </c>
      <c r="B1369" s="2" t="s">
        <v>917</v>
      </c>
      <c r="C1369" s="2">
        <v>540191</v>
      </c>
      <c r="D1369" s="2" t="s">
        <v>888</v>
      </c>
      <c r="E1369" s="2" t="s">
        <v>113</v>
      </c>
      <c r="F1369" s="2" t="s">
        <v>5</v>
      </c>
      <c r="G1369" s="2">
        <v>7</v>
      </c>
      <c r="H1369" s="2">
        <v>0</v>
      </c>
      <c r="I1369" s="2">
        <v>0</v>
      </c>
      <c r="J1369" s="2">
        <v>0</v>
      </c>
      <c r="K1369" s="2">
        <v>0</v>
      </c>
      <c r="L1369" s="2">
        <v>0</v>
      </c>
      <c r="M1369" s="2">
        <v>0</v>
      </c>
      <c r="N1369" s="2">
        <v>0</v>
      </c>
      <c r="O1369" s="2">
        <v>0</v>
      </c>
      <c r="P1369" s="2">
        <v>0</v>
      </c>
      <c r="Q1369" s="2">
        <v>0</v>
      </c>
      <c r="R1369" s="2">
        <v>0</v>
      </c>
      <c r="S1369" s="2" t="s">
        <v>488</v>
      </c>
      <c r="T1369" s="2" t="s">
        <v>488</v>
      </c>
      <c r="U1369" s="2">
        <v>0</v>
      </c>
      <c r="V1369" s="2">
        <v>0</v>
      </c>
      <c r="W1369">
        <f t="shared" si="21"/>
        <v>0</v>
      </c>
    </row>
    <row r="1370" spans="1:23" x14ac:dyDescent="0.25">
      <c r="A1370" s="2" t="s">
        <v>628</v>
      </c>
      <c r="B1370" s="2" t="s">
        <v>917</v>
      </c>
      <c r="C1370" s="2">
        <v>540193</v>
      </c>
      <c r="D1370" s="2" t="s">
        <v>889</v>
      </c>
      <c r="E1370" s="2" t="s">
        <v>113</v>
      </c>
      <c r="F1370" s="2" t="s">
        <v>115</v>
      </c>
      <c r="G1370" s="2">
        <v>7</v>
      </c>
      <c r="H1370" s="2">
        <v>0</v>
      </c>
      <c r="I1370" s="2">
        <v>0</v>
      </c>
      <c r="J1370" s="2">
        <v>0</v>
      </c>
      <c r="K1370" s="2">
        <v>0</v>
      </c>
      <c r="L1370" s="2">
        <v>0</v>
      </c>
      <c r="M1370" s="2">
        <v>0</v>
      </c>
      <c r="N1370" s="2">
        <v>0</v>
      </c>
      <c r="O1370" s="2">
        <v>0</v>
      </c>
      <c r="P1370" s="2">
        <v>0</v>
      </c>
      <c r="Q1370" s="2">
        <v>0</v>
      </c>
      <c r="R1370" s="2">
        <v>0</v>
      </c>
      <c r="S1370" s="2" t="s">
        <v>488</v>
      </c>
      <c r="T1370" s="2" t="s">
        <v>488</v>
      </c>
      <c r="U1370" s="2">
        <v>0</v>
      </c>
      <c r="V1370" s="2">
        <v>0</v>
      </c>
      <c r="W1370">
        <f t="shared" si="21"/>
        <v>0</v>
      </c>
    </row>
    <row r="1371" spans="1:23" x14ac:dyDescent="0.25">
      <c r="A1371" s="2" t="s">
        <v>628</v>
      </c>
      <c r="B1371" s="2" t="s">
        <v>917</v>
      </c>
      <c r="C1371" s="2">
        <v>540192</v>
      </c>
      <c r="D1371" s="2" t="s">
        <v>890</v>
      </c>
      <c r="E1371" s="2" t="s">
        <v>113</v>
      </c>
      <c r="F1371" s="2" t="s">
        <v>115</v>
      </c>
      <c r="G1371" s="2">
        <v>7</v>
      </c>
      <c r="H1371" s="2">
        <v>0</v>
      </c>
      <c r="I1371" s="2">
        <v>0</v>
      </c>
      <c r="J1371" s="2">
        <v>0</v>
      </c>
      <c r="K1371" s="2">
        <v>0</v>
      </c>
      <c r="L1371" s="2">
        <v>0</v>
      </c>
      <c r="M1371" s="2">
        <v>0</v>
      </c>
      <c r="N1371" s="2">
        <v>0</v>
      </c>
      <c r="O1371" s="2">
        <v>0</v>
      </c>
      <c r="P1371" s="2">
        <v>0</v>
      </c>
      <c r="Q1371" s="2">
        <v>0</v>
      </c>
      <c r="R1371" s="2">
        <v>0</v>
      </c>
      <c r="S1371" s="2" t="s">
        <v>488</v>
      </c>
      <c r="T1371" s="2" t="s">
        <v>488</v>
      </c>
      <c r="U1371" s="2">
        <v>0</v>
      </c>
      <c r="V1371" s="2">
        <v>0</v>
      </c>
      <c r="W1371">
        <f t="shared" si="21"/>
        <v>0</v>
      </c>
    </row>
    <row r="1372" spans="1:23" x14ac:dyDescent="0.25">
      <c r="A1372" s="2" t="s">
        <v>628</v>
      </c>
      <c r="B1372" s="2" t="s">
        <v>917</v>
      </c>
      <c r="C1372" s="2">
        <v>540194</v>
      </c>
      <c r="D1372" s="2" t="s">
        <v>891</v>
      </c>
      <c r="E1372" s="2" t="s">
        <v>113</v>
      </c>
      <c r="F1372" s="2" t="s">
        <v>115</v>
      </c>
      <c r="G1372" s="2">
        <v>7</v>
      </c>
      <c r="H1372" s="2">
        <v>0</v>
      </c>
      <c r="I1372" s="2">
        <v>0</v>
      </c>
      <c r="J1372" s="2">
        <v>0</v>
      </c>
      <c r="K1372" s="2">
        <v>0</v>
      </c>
      <c r="L1372" s="2">
        <v>0</v>
      </c>
      <c r="M1372" s="2">
        <v>0</v>
      </c>
      <c r="N1372" s="2">
        <v>0</v>
      </c>
      <c r="O1372" s="2">
        <v>0</v>
      </c>
      <c r="P1372" s="2">
        <v>0</v>
      </c>
      <c r="Q1372" s="2">
        <v>0</v>
      </c>
      <c r="R1372" s="2">
        <v>0</v>
      </c>
      <c r="S1372" s="2" t="s">
        <v>488</v>
      </c>
      <c r="T1372" s="2" t="s">
        <v>488</v>
      </c>
      <c r="U1372" s="2">
        <v>0</v>
      </c>
      <c r="V1372" s="2">
        <v>0</v>
      </c>
      <c r="W1372">
        <f t="shared" si="21"/>
        <v>0</v>
      </c>
    </row>
    <row r="1373" spans="1:23" x14ac:dyDescent="0.25">
      <c r="A1373" s="2" t="s">
        <v>628</v>
      </c>
      <c r="B1373" s="2" t="s">
        <v>917</v>
      </c>
      <c r="C1373" s="2">
        <v>540261</v>
      </c>
      <c r="D1373" s="2" t="s">
        <v>892</v>
      </c>
      <c r="E1373" s="2" t="s">
        <v>113</v>
      </c>
      <c r="F1373" s="2" t="s">
        <v>115</v>
      </c>
      <c r="G1373" s="2">
        <v>7</v>
      </c>
      <c r="H1373" s="2">
        <v>0</v>
      </c>
      <c r="I1373" s="2">
        <v>0</v>
      </c>
      <c r="J1373" s="2">
        <v>0</v>
      </c>
      <c r="K1373" s="2">
        <v>0</v>
      </c>
      <c r="L1373" s="2">
        <v>0</v>
      </c>
      <c r="M1373" s="2">
        <v>0</v>
      </c>
      <c r="N1373" s="2">
        <v>0</v>
      </c>
      <c r="O1373" s="2">
        <v>0</v>
      </c>
      <c r="P1373" s="2">
        <v>0</v>
      </c>
      <c r="Q1373" s="2">
        <v>0</v>
      </c>
      <c r="R1373" s="2">
        <v>0</v>
      </c>
      <c r="S1373" s="2" t="s">
        <v>488</v>
      </c>
      <c r="T1373" s="2" t="s">
        <v>488</v>
      </c>
      <c r="U1373" s="2">
        <v>0</v>
      </c>
      <c r="V1373" s="2">
        <v>0</v>
      </c>
      <c r="W1373">
        <f t="shared" si="21"/>
        <v>0</v>
      </c>
    </row>
    <row r="1374" spans="1:23" x14ac:dyDescent="0.25">
      <c r="A1374" s="2" t="s">
        <v>628</v>
      </c>
      <c r="B1374" s="2" t="s">
        <v>917</v>
      </c>
      <c r="C1374" s="2">
        <v>540260</v>
      </c>
      <c r="D1374" s="2" t="s">
        <v>893</v>
      </c>
      <c r="E1374" s="2" t="s">
        <v>113</v>
      </c>
      <c r="F1374" s="2" t="s">
        <v>115</v>
      </c>
      <c r="G1374" s="2">
        <v>7</v>
      </c>
      <c r="H1374" s="2">
        <v>0</v>
      </c>
      <c r="I1374" s="2">
        <v>0</v>
      </c>
      <c r="J1374" s="2">
        <v>0</v>
      </c>
      <c r="K1374" s="2">
        <v>0</v>
      </c>
      <c r="L1374" s="2">
        <v>0</v>
      </c>
      <c r="M1374" s="2">
        <v>0</v>
      </c>
      <c r="N1374" s="2">
        <v>0</v>
      </c>
      <c r="O1374" s="2">
        <v>0</v>
      </c>
      <c r="P1374" s="2">
        <v>0</v>
      </c>
      <c r="Q1374" s="2">
        <v>0</v>
      </c>
      <c r="R1374" s="2">
        <v>0</v>
      </c>
      <c r="S1374" s="2" t="s">
        <v>488</v>
      </c>
      <c r="T1374" s="2" t="s">
        <v>488</v>
      </c>
      <c r="U1374" s="2">
        <v>0</v>
      </c>
      <c r="V1374" s="2">
        <v>0</v>
      </c>
      <c r="W1374">
        <f t="shared" si="21"/>
        <v>0</v>
      </c>
    </row>
    <row r="1375" spans="1:23" x14ac:dyDescent="0.25">
      <c r="A1375" s="255" t="s">
        <v>628</v>
      </c>
      <c r="B1375" s="255" t="s">
        <v>917</v>
      </c>
      <c r="C1375" s="255"/>
      <c r="D1375" s="255"/>
      <c r="E1375" s="255" t="s">
        <v>113</v>
      </c>
      <c r="F1375" s="255"/>
      <c r="G1375" s="255"/>
      <c r="H1375" s="255">
        <v>0</v>
      </c>
      <c r="I1375" s="255">
        <v>0</v>
      </c>
      <c r="J1375" s="255">
        <v>0</v>
      </c>
      <c r="K1375" s="255">
        <v>0</v>
      </c>
      <c r="L1375" s="255">
        <v>0</v>
      </c>
      <c r="M1375" s="255">
        <v>0</v>
      </c>
      <c r="N1375" s="255">
        <v>0</v>
      </c>
      <c r="O1375" s="255">
        <v>0</v>
      </c>
      <c r="P1375" s="255">
        <v>0</v>
      </c>
      <c r="Q1375" s="255">
        <v>0</v>
      </c>
      <c r="R1375" s="255">
        <v>0</v>
      </c>
      <c r="S1375" s="255" t="s">
        <v>488</v>
      </c>
      <c r="T1375" s="255" t="s">
        <v>488</v>
      </c>
      <c r="U1375" s="255">
        <v>0</v>
      </c>
      <c r="V1375" s="255">
        <v>0</v>
      </c>
      <c r="W1375">
        <f t="shared" si="21"/>
        <v>0</v>
      </c>
    </row>
    <row r="1376" spans="1:23" x14ac:dyDescent="0.25">
      <c r="A1376" s="2" t="s">
        <v>628</v>
      </c>
      <c r="B1376" s="2" t="s">
        <v>917</v>
      </c>
      <c r="C1376" s="2">
        <v>540027</v>
      </c>
      <c r="D1376" s="2" t="s">
        <v>894</v>
      </c>
      <c r="E1376" s="2" t="s">
        <v>21</v>
      </c>
      <c r="F1376" s="2" t="s">
        <v>115</v>
      </c>
      <c r="G1376" s="2">
        <v>4</v>
      </c>
      <c r="H1376" s="2">
        <v>0</v>
      </c>
      <c r="I1376" s="2">
        <v>0</v>
      </c>
      <c r="J1376" s="2">
        <v>0</v>
      </c>
      <c r="K1376" s="2">
        <v>0</v>
      </c>
      <c r="L1376" s="2">
        <v>0</v>
      </c>
      <c r="M1376" s="2">
        <v>0</v>
      </c>
      <c r="N1376" s="2">
        <v>0</v>
      </c>
      <c r="O1376" s="2">
        <v>0</v>
      </c>
      <c r="P1376" s="2">
        <v>0</v>
      </c>
      <c r="Q1376" s="2">
        <v>0</v>
      </c>
      <c r="R1376" s="2">
        <v>0</v>
      </c>
      <c r="S1376" s="2" t="s">
        <v>488</v>
      </c>
      <c r="T1376" s="2" t="s">
        <v>488</v>
      </c>
      <c r="U1376" s="2">
        <v>0</v>
      </c>
      <c r="V1376" s="2">
        <v>0</v>
      </c>
      <c r="W1376">
        <f t="shared" si="21"/>
        <v>0</v>
      </c>
    </row>
    <row r="1377" spans="1:23" x14ac:dyDescent="0.25">
      <c r="A1377" s="2" t="s">
        <v>628</v>
      </c>
      <c r="B1377" s="2" t="s">
        <v>917</v>
      </c>
      <c r="C1377" s="2">
        <v>540028</v>
      </c>
      <c r="D1377" s="2" t="s">
        <v>895</v>
      </c>
      <c r="E1377" s="2" t="s">
        <v>21</v>
      </c>
      <c r="F1377" s="2" t="s">
        <v>115</v>
      </c>
      <c r="G1377" s="2">
        <v>4</v>
      </c>
      <c r="H1377" s="2">
        <v>0</v>
      </c>
      <c r="I1377" s="2">
        <v>0</v>
      </c>
      <c r="J1377" s="2">
        <v>0</v>
      </c>
      <c r="K1377" s="2">
        <v>0</v>
      </c>
      <c r="L1377" s="2">
        <v>0</v>
      </c>
      <c r="M1377" s="2">
        <v>0</v>
      </c>
      <c r="N1377" s="2">
        <v>0</v>
      </c>
      <c r="O1377" s="2">
        <v>0</v>
      </c>
      <c r="P1377" s="2">
        <v>0</v>
      </c>
      <c r="Q1377" s="2">
        <v>0</v>
      </c>
      <c r="R1377" s="2">
        <v>0</v>
      </c>
      <c r="S1377" s="2" t="s">
        <v>488</v>
      </c>
      <c r="T1377" s="2" t="s">
        <v>488</v>
      </c>
      <c r="U1377" s="2">
        <v>0</v>
      </c>
      <c r="V1377" s="2">
        <v>0</v>
      </c>
      <c r="W1377">
        <f t="shared" si="21"/>
        <v>0</v>
      </c>
    </row>
    <row r="1378" spans="1:23" x14ac:dyDescent="0.25">
      <c r="A1378" s="2" t="s">
        <v>628</v>
      </c>
      <c r="B1378" s="2" t="s">
        <v>917</v>
      </c>
      <c r="C1378" s="2">
        <v>540029</v>
      </c>
      <c r="D1378" s="2" t="s">
        <v>701</v>
      </c>
      <c r="E1378" s="2" t="s">
        <v>21</v>
      </c>
      <c r="F1378" s="2" t="s">
        <v>115</v>
      </c>
      <c r="G1378" s="2">
        <v>4</v>
      </c>
      <c r="H1378" s="2">
        <v>0</v>
      </c>
      <c r="I1378" s="2">
        <v>0</v>
      </c>
      <c r="J1378" s="2">
        <v>0</v>
      </c>
      <c r="K1378" s="2">
        <v>0</v>
      </c>
      <c r="L1378" s="2">
        <v>0</v>
      </c>
      <c r="M1378" s="2">
        <v>0</v>
      </c>
      <c r="N1378" s="2">
        <v>0</v>
      </c>
      <c r="O1378" s="2">
        <v>0</v>
      </c>
      <c r="P1378" s="2">
        <v>0</v>
      </c>
      <c r="Q1378" s="2">
        <v>0</v>
      </c>
      <c r="R1378" s="2">
        <v>0</v>
      </c>
      <c r="S1378" s="2" t="s">
        <v>488</v>
      </c>
      <c r="T1378" s="2" t="s">
        <v>488</v>
      </c>
      <c r="U1378" s="2">
        <v>1</v>
      </c>
      <c r="V1378" s="2">
        <v>0</v>
      </c>
      <c r="W1378">
        <f t="shared" si="21"/>
        <v>1</v>
      </c>
    </row>
    <row r="1379" spans="1:23" x14ac:dyDescent="0.25">
      <c r="A1379" s="2" t="s">
        <v>628</v>
      </c>
      <c r="B1379" s="2" t="s">
        <v>917</v>
      </c>
      <c r="C1379" s="2">
        <v>540031</v>
      </c>
      <c r="D1379" s="2" t="s">
        <v>896</v>
      </c>
      <c r="E1379" s="2" t="s">
        <v>21</v>
      </c>
      <c r="F1379" s="2" t="s">
        <v>115</v>
      </c>
      <c r="G1379" s="2">
        <v>4</v>
      </c>
      <c r="H1379" s="2">
        <v>0</v>
      </c>
      <c r="I1379" s="2">
        <v>0</v>
      </c>
      <c r="J1379" s="2">
        <v>0</v>
      </c>
      <c r="K1379" s="2">
        <v>0</v>
      </c>
      <c r="L1379" s="2">
        <v>0</v>
      </c>
      <c r="M1379" s="2">
        <v>0</v>
      </c>
      <c r="N1379" s="2">
        <v>0</v>
      </c>
      <c r="O1379" s="2">
        <v>0</v>
      </c>
      <c r="P1379" s="2">
        <v>0</v>
      </c>
      <c r="Q1379" s="2">
        <v>0</v>
      </c>
      <c r="R1379" s="2">
        <v>0</v>
      </c>
      <c r="S1379" s="2" t="s">
        <v>488</v>
      </c>
      <c r="T1379" s="2" t="s">
        <v>488</v>
      </c>
      <c r="U1379" s="2">
        <v>0</v>
      </c>
      <c r="V1379" s="2">
        <v>0</v>
      </c>
      <c r="W1379">
        <f t="shared" si="21"/>
        <v>0</v>
      </c>
    </row>
    <row r="1380" spans="1:23" x14ac:dyDescent="0.25">
      <c r="A1380" s="2" t="s">
        <v>628</v>
      </c>
      <c r="B1380" s="2" t="s">
        <v>917</v>
      </c>
      <c r="C1380" s="2">
        <v>540032</v>
      </c>
      <c r="D1380" s="2" t="s">
        <v>897</v>
      </c>
      <c r="E1380" s="2" t="s">
        <v>21</v>
      </c>
      <c r="F1380" s="2" t="s">
        <v>115</v>
      </c>
      <c r="G1380" s="2">
        <v>4</v>
      </c>
      <c r="H1380" s="2">
        <v>0</v>
      </c>
      <c r="I1380" s="2">
        <v>0</v>
      </c>
      <c r="J1380" s="2">
        <v>0</v>
      </c>
      <c r="K1380" s="2">
        <v>0</v>
      </c>
      <c r="L1380" s="2">
        <v>0</v>
      </c>
      <c r="M1380" s="2">
        <v>0</v>
      </c>
      <c r="N1380" s="2">
        <v>0</v>
      </c>
      <c r="O1380" s="2">
        <v>0</v>
      </c>
      <c r="P1380" s="2">
        <v>0</v>
      </c>
      <c r="Q1380" s="2">
        <v>0</v>
      </c>
      <c r="R1380" s="2">
        <v>0</v>
      </c>
      <c r="S1380" s="2" t="s">
        <v>488</v>
      </c>
      <c r="T1380" s="2" t="s">
        <v>488</v>
      </c>
      <c r="U1380" s="2">
        <v>0</v>
      </c>
      <c r="V1380" s="2">
        <v>0</v>
      </c>
      <c r="W1380">
        <f t="shared" si="21"/>
        <v>0</v>
      </c>
    </row>
    <row r="1381" spans="1:23" x14ac:dyDescent="0.25">
      <c r="A1381" s="2" t="s">
        <v>628</v>
      </c>
      <c r="B1381" s="2" t="s">
        <v>917</v>
      </c>
      <c r="C1381" s="2">
        <v>540050</v>
      </c>
      <c r="D1381" s="2" t="s">
        <v>898</v>
      </c>
      <c r="E1381" s="2" t="s">
        <v>21</v>
      </c>
      <c r="F1381" s="2" t="s">
        <v>115</v>
      </c>
      <c r="G1381" s="2">
        <v>4</v>
      </c>
      <c r="H1381" s="2">
        <v>0</v>
      </c>
      <c r="I1381" s="2">
        <v>0</v>
      </c>
      <c r="J1381" s="2">
        <v>0</v>
      </c>
      <c r="K1381" s="2">
        <v>0</v>
      </c>
      <c r="L1381" s="2">
        <v>0</v>
      </c>
      <c r="M1381" s="2">
        <v>0</v>
      </c>
      <c r="N1381" s="2">
        <v>0</v>
      </c>
      <c r="O1381" s="2">
        <v>0</v>
      </c>
      <c r="P1381" s="2">
        <v>0</v>
      </c>
      <c r="Q1381" s="2">
        <v>0</v>
      </c>
      <c r="R1381" s="2">
        <v>0</v>
      </c>
      <c r="S1381" s="2" t="s">
        <v>488</v>
      </c>
      <c r="T1381" s="2" t="s">
        <v>488</v>
      </c>
      <c r="U1381" s="2">
        <v>0</v>
      </c>
      <c r="V1381" s="2">
        <v>0</v>
      </c>
      <c r="W1381">
        <f t="shared" si="21"/>
        <v>0</v>
      </c>
    </row>
    <row r="1382" spans="1:23" x14ac:dyDescent="0.25">
      <c r="A1382" s="2" t="s">
        <v>628</v>
      </c>
      <c r="B1382" s="2" t="s">
        <v>917</v>
      </c>
      <c r="C1382" s="2">
        <v>540293</v>
      </c>
      <c r="D1382" s="2" t="s">
        <v>899</v>
      </c>
      <c r="E1382" s="2" t="s">
        <v>21</v>
      </c>
      <c r="F1382" s="2" t="s">
        <v>115</v>
      </c>
      <c r="G1382" s="2">
        <v>4</v>
      </c>
      <c r="H1382" s="2">
        <v>0</v>
      </c>
      <c r="I1382" s="2">
        <v>0</v>
      </c>
      <c r="J1382" s="2">
        <v>0</v>
      </c>
      <c r="K1382" s="2">
        <v>0</v>
      </c>
      <c r="L1382" s="2">
        <v>0</v>
      </c>
      <c r="M1382" s="2">
        <v>0</v>
      </c>
      <c r="N1382" s="2">
        <v>0</v>
      </c>
      <c r="O1382" s="2">
        <v>0</v>
      </c>
      <c r="P1382" s="2">
        <v>0</v>
      </c>
      <c r="Q1382" s="2">
        <v>0</v>
      </c>
      <c r="R1382" s="2">
        <v>0</v>
      </c>
      <c r="S1382" s="2" t="s">
        <v>488</v>
      </c>
      <c r="T1382" s="2" t="s">
        <v>488</v>
      </c>
      <c r="U1382" s="2">
        <v>0</v>
      </c>
      <c r="V1382" s="2">
        <v>0</v>
      </c>
      <c r="W1382">
        <f t="shared" si="21"/>
        <v>0</v>
      </c>
    </row>
    <row r="1383" spans="1:23" x14ac:dyDescent="0.25">
      <c r="A1383" s="2" t="s">
        <v>628</v>
      </c>
      <c r="B1383" s="2" t="s">
        <v>917</v>
      </c>
      <c r="C1383" s="2">
        <v>540294</v>
      </c>
      <c r="D1383" s="2" t="s">
        <v>900</v>
      </c>
      <c r="E1383" s="2" t="s">
        <v>21</v>
      </c>
      <c r="F1383" s="2" t="s">
        <v>115</v>
      </c>
      <c r="G1383" s="2">
        <v>4</v>
      </c>
      <c r="H1383" s="2">
        <v>0</v>
      </c>
      <c r="I1383" s="2">
        <v>0</v>
      </c>
      <c r="J1383" s="2">
        <v>0</v>
      </c>
      <c r="K1383" s="2">
        <v>0</v>
      </c>
      <c r="L1383" s="2">
        <v>0</v>
      </c>
      <c r="M1383" s="2">
        <v>0</v>
      </c>
      <c r="N1383" s="2">
        <v>0</v>
      </c>
      <c r="O1383" s="2">
        <v>0</v>
      </c>
      <c r="P1383" s="2">
        <v>0</v>
      </c>
      <c r="Q1383" s="2">
        <v>0</v>
      </c>
      <c r="R1383" s="2">
        <v>0</v>
      </c>
      <c r="S1383" s="2" t="s">
        <v>488</v>
      </c>
      <c r="T1383" s="2" t="s">
        <v>488</v>
      </c>
      <c r="U1383" s="2">
        <v>0</v>
      </c>
      <c r="V1383" s="2">
        <v>0</v>
      </c>
      <c r="W1383">
        <f t="shared" si="21"/>
        <v>0</v>
      </c>
    </row>
    <row r="1384" spans="1:23" x14ac:dyDescent="0.25">
      <c r="A1384" s="2" t="s">
        <v>628</v>
      </c>
      <c r="B1384" s="2" t="s">
        <v>917</v>
      </c>
      <c r="C1384" s="2">
        <v>540033</v>
      </c>
      <c r="D1384" s="2" t="s">
        <v>716</v>
      </c>
      <c r="E1384" s="2" t="s">
        <v>21</v>
      </c>
      <c r="F1384" s="2" t="s">
        <v>115</v>
      </c>
      <c r="G1384" s="2">
        <v>4</v>
      </c>
      <c r="H1384" s="2">
        <v>0</v>
      </c>
      <c r="I1384" s="2">
        <v>0</v>
      </c>
      <c r="J1384" s="2">
        <v>0</v>
      </c>
      <c r="K1384" s="2">
        <v>0</v>
      </c>
      <c r="L1384" s="2">
        <v>0</v>
      </c>
      <c r="M1384" s="2">
        <v>0</v>
      </c>
      <c r="N1384" s="2">
        <v>0</v>
      </c>
      <c r="O1384" s="2">
        <v>0</v>
      </c>
      <c r="P1384" s="2">
        <v>0</v>
      </c>
      <c r="Q1384" s="2">
        <v>0</v>
      </c>
      <c r="R1384" s="2">
        <v>0</v>
      </c>
      <c r="S1384" s="2" t="s">
        <v>488</v>
      </c>
      <c r="T1384" s="2" t="s">
        <v>488</v>
      </c>
      <c r="U1384" s="2">
        <v>0</v>
      </c>
      <c r="V1384" s="2">
        <v>0</v>
      </c>
      <c r="W1384">
        <f t="shared" si="21"/>
        <v>0</v>
      </c>
    </row>
    <row r="1385" spans="1:23" x14ac:dyDescent="0.25">
      <c r="A1385" s="2" t="s">
        <v>628</v>
      </c>
      <c r="B1385" s="2" t="s">
        <v>917</v>
      </c>
      <c r="C1385" s="2">
        <v>540280</v>
      </c>
      <c r="D1385" s="2" t="s">
        <v>901</v>
      </c>
      <c r="E1385" s="2" t="s">
        <v>21</v>
      </c>
      <c r="F1385" s="2" t="s">
        <v>115</v>
      </c>
      <c r="G1385" s="2">
        <v>4</v>
      </c>
      <c r="H1385" s="2">
        <v>0</v>
      </c>
      <c r="I1385" s="2">
        <v>0</v>
      </c>
      <c r="J1385" s="2">
        <v>0</v>
      </c>
      <c r="K1385" s="2">
        <v>0</v>
      </c>
      <c r="L1385" s="2">
        <v>0</v>
      </c>
      <c r="M1385" s="2">
        <v>0</v>
      </c>
      <c r="N1385" s="2">
        <v>0</v>
      </c>
      <c r="O1385" s="2">
        <v>0</v>
      </c>
      <c r="P1385" s="2">
        <v>0</v>
      </c>
      <c r="Q1385" s="2">
        <v>0</v>
      </c>
      <c r="R1385" s="2">
        <v>0</v>
      </c>
      <c r="S1385" s="2" t="s">
        <v>488</v>
      </c>
      <c r="T1385" s="2" t="s">
        <v>488</v>
      </c>
      <c r="U1385" s="2">
        <v>0</v>
      </c>
      <c r="V1385" s="2">
        <v>0</v>
      </c>
      <c r="W1385">
        <f t="shared" si="21"/>
        <v>0</v>
      </c>
    </row>
    <row r="1386" spans="1:23" x14ac:dyDescent="0.25">
      <c r="A1386" s="2" t="s">
        <v>628</v>
      </c>
      <c r="B1386" s="2" t="s">
        <v>917</v>
      </c>
      <c r="C1386" s="2">
        <v>540026</v>
      </c>
      <c r="D1386" s="2" t="s">
        <v>902</v>
      </c>
      <c r="E1386" s="2" t="s">
        <v>21</v>
      </c>
      <c r="F1386" s="2" t="s">
        <v>5</v>
      </c>
      <c r="G1386" s="2">
        <v>4</v>
      </c>
      <c r="H1386" s="2">
        <v>0</v>
      </c>
      <c r="I1386" s="2">
        <v>0</v>
      </c>
      <c r="J1386" s="2">
        <v>0</v>
      </c>
      <c r="K1386" s="2">
        <v>0</v>
      </c>
      <c r="L1386" s="2">
        <v>0</v>
      </c>
      <c r="M1386" s="2">
        <v>0</v>
      </c>
      <c r="N1386" s="2">
        <v>0</v>
      </c>
      <c r="O1386" s="2">
        <v>0</v>
      </c>
      <c r="P1386" s="2">
        <v>0</v>
      </c>
      <c r="Q1386" s="2">
        <v>0</v>
      </c>
      <c r="R1386" s="2">
        <v>0</v>
      </c>
      <c r="S1386" s="2" t="s">
        <v>488</v>
      </c>
      <c r="T1386" s="2" t="s">
        <v>488</v>
      </c>
      <c r="U1386" s="2">
        <v>0</v>
      </c>
      <c r="V1386" s="2">
        <v>0</v>
      </c>
      <c r="W1386">
        <f t="shared" si="21"/>
        <v>0</v>
      </c>
    </row>
    <row r="1387" spans="1:23" x14ac:dyDescent="0.25">
      <c r="A1387" s="255" t="s">
        <v>628</v>
      </c>
      <c r="B1387" s="255" t="s">
        <v>917</v>
      </c>
      <c r="C1387" s="255"/>
      <c r="D1387" s="255"/>
      <c r="E1387" s="255" t="s">
        <v>21</v>
      </c>
      <c r="F1387" s="255"/>
      <c r="G1387" s="255"/>
      <c r="H1387" s="255">
        <v>0</v>
      </c>
      <c r="I1387" s="255">
        <v>0</v>
      </c>
      <c r="J1387" s="255">
        <v>0</v>
      </c>
      <c r="K1387" s="255">
        <v>0</v>
      </c>
      <c r="L1387" s="255">
        <v>0</v>
      </c>
      <c r="M1387" s="255">
        <v>0</v>
      </c>
      <c r="N1387" s="255">
        <v>0</v>
      </c>
      <c r="O1387" s="255">
        <v>0</v>
      </c>
      <c r="P1387" s="255">
        <v>0</v>
      </c>
      <c r="Q1387" s="255">
        <v>0</v>
      </c>
      <c r="R1387" s="255">
        <v>0</v>
      </c>
      <c r="S1387" s="255" t="s">
        <v>488</v>
      </c>
      <c r="T1387" s="255" t="s">
        <v>488</v>
      </c>
      <c r="U1387" s="255">
        <v>1</v>
      </c>
      <c r="V1387" s="255">
        <v>0</v>
      </c>
      <c r="W1387">
        <f t="shared" si="21"/>
        <v>1</v>
      </c>
    </row>
    <row r="1388" spans="1:23" x14ac:dyDescent="0.25">
      <c r="A1388" s="2" t="s">
        <v>628</v>
      </c>
      <c r="B1388" s="2" t="s">
        <v>917</v>
      </c>
      <c r="C1388" s="2">
        <v>540176</v>
      </c>
      <c r="D1388" s="2" t="s">
        <v>903</v>
      </c>
      <c r="E1388" s="2" t="s">
        <v>75</v>
      </c>
      <c r="F1388" s="2" t="s">
        <v>115</v>
      </c>
      <c r="G1388" s="2">
        <v>7</v>
      </c>
      <c r="H1388" s="2">
        <v>0</v>
      </c>
      <c r="I1388" s="2">
        <v>0</v>
      </c>
      <c r="J1388" s="2">
        <v>0</v>
      </c>
      <c r="K1388" s="2">
        <v>0</v>
      </c>
      <c r="L1388" s="2">
        <v>0</v>
      </c>
      <c r="M1388" s="2">
        <v>0</v>
      </c>
      <c r="N1388" s="2">
        <v>0</v>
      </c>
      <c r="O1388" s="2">
        <v>0</v>
      </c>
      <c r="P1388" s="2">
        <v>0</v>
      </c>
      <c r="Q1388" s="2">
        <v>0</v>
      </c>
      <c r="R1388" s="2">
        <v>0</v>
      </c>
      <c r="S1388" s="2" t="s">
        <v>488</v>
      </c>
      <c r="T1388" s="2" t="s">
        <v>488</v>
      </c>
      <c r="U1388" s="2">
        <v>0</v>
      </c>
      <c r="V1388" s="2">
        <v>0</v>
      </c>
      <c r="W1388">
        <f t="shared" si="21"/>
        <v>0</v>
      </c>
    </row>
    <row r="1389" spans="1:23" x14ac:dyDescent="0.25">
      <c r="A1389" s="2" t="s">
        <v>628</v>
      </c>
      <c r="B1389" s="2" t="s">
        <v>917</v>
      </c>
      <c r="C1389" s="2">
        <v>540178</v>
      </c>
      <c r="D1389" s="2" t="s">
        <v>904</v>
      </c>
      <c r="E1389" s="2" t="s">
        <v>75</v>
      </c>
      <c r="F1389" s="2" t="s">
        <v>115</v>
      </c>
      <c r="G1389" s="2">
        <v>7</v>
      </c>
      <c r="H1389" s="2">
        <v>0</v>
      </c>
      <c r="I1389" s="2">
        <v>0</v>
      </c>
      <c r="J1389" s="2">
        <v>0</v>
      </c>
      <c r="K1389" s="2">
        <v>0</v>
      </c>
      <c r="L1389" s="2">
        <v>0</v>
      </c>
      <c r="M1389" s="2">
        <v>0</v>
      </c>
      <c r="N1389" s="2">
        <v>0</v>
      </c>
      <c r="O1389" s="2">
        <v>0</v>
      </c>
      <c r="P1389" s="2">
        <v>0</v>
      </c>
      <c r="Q1389" s="2">
        <v>0</v>
      </c>
      <c r="R1389" s="2">
        <v>0</v>
      </c>
      <c r="S1389" s="2" t="s">
        <v>488</v>
      </c>
      <c r="T1389" s="2" t="s">
        <v>488</v>
      </c>
      <c r="U1389" s="2">
        <v>0</v>
      </c>
      <c r="V1389" s="2">
        <v>0</v>
      </c>
      <c r="W1389">
        <f t="shared" si="21"/>
        <v>0</v>
      </c>
    </row>
    <row r="1390" spans="1:23" x14ac:dyDescent="0.25">
      <c r="A1390" s="2" t="s">
        <v>628</v>
      </c>
      <c r="B1390" s="2" t="s">
        <v>917</v>
      </c>
      <c r="C1390" s="2">
        <v>540264</v>
      </c>
      <c r="D1390" s="2" t="s">
        <v>905</v>
      </c>
      <c r="E1390" s="2" t="s">
        <v>75</v>
      </c>
      <c r="F1390" s="2" t="s">
        <v>115</v>
      </c>
      <c r="G1390" s="2">
        <v>7</v>
      </c>
      <c r="H1390" s="2">
        <v>0</v>
      </c>
      <c r="I1390" s="2">
        <v>0</v>
      </c>
      <c r="J1390" s="2">
        <v>0</v>
      </c>
      <c r="K1390" s="2">
        <v>0</v>
      </c>
      <c r="L1390" s="2">
        <v>0</v>
      </c>
      <c r="M1390" s="2">
        <v>0</v>
      </c>
      <c r="N1390" s="2">
        <v>0</v>
      </c>
      <c r="O1390" s="2">
        <v>0</v>
      </c>
      <c r="P1390" s="2">
        <v>0</v>
      </c>
      <c r="Q1390" s="2">
        <v>0</v>
      </c>
      <c r="R1390" s="2">
        <v>0</v>
      </c>
      <c r="S1390" s="2" t="s">
        <v>488</v>
      </c>
      <c r="T1390" s="2" t="s">
        <v>488</v>
      </c>
      <c r="U1390" s="2">
        <v>0</v>
      </c>
      <c r="V1390" s="2">
        <v>0</v>
      </c>
      <c r="W1390">
        <f t="shared" si="21"/>
        <v>0</v>
      </c>
    </row>
    <row r="1391" spans="1:23" x14ac:dyDescent="0.25">
      <c r="A1391" s="2" t="s">
        <v>628</v>
      </c>
      <c r="B1391" s="2" t="s">
        <v>917</v>
      </c>
      <c r="C1391" s="2">
        <v>540265</v>
      </c>
      <c r="D1391" s="2" t="s">
        <v>906</v>
      </c>
      <c r="E1391" s="2" t="s">
        <v>75</v>
      </c>
      <c r="F1391" s="2" t="s">
        <v>115</v>
      </c>
      <c r="G1391" s="2">
        <v>7</v>
      </c>
      <c r="H1391" s="2">
        <v>0</v>
      </c>
      <c r="I1391" s="2">
        <v>0</v>
      </c>
      <c r="J1391" s="2">
        <v>0</v>
      </c>
      <c r="K1391" s="2">
        <v>0</v>
      </c>
      <c r="L1391" s="2">
        <v>0</v>
      </c>
      <c r="M1391" s="2">
        <v>0</v>
      </c>
      <c r="N1391" s="2">
        <v>0</v>
      </c>
      <c r="O1391" s="2">
        <v>0</v>
      </c>
      <c r="P1391" s="2">
        <v>0</v>
      </c>
      <c r="Q1391" s="2">
        <v>0</v>
      </c>
      <c r="R1391" s="2">
        <v>0</v>
      </c>
      <c r="S1391" s="2" t="s">
        <v>488</v>
      </c>
      <c r="T1391" s="2" t="s">
        <v>488</v>
      </c>
      <c r="U1391" s="2">
        <v>0</v>
      </c>
      <c r="V1391" s="2">
        <v>0</v>
      </c>
      <c r="W1391">
        <f t="shared" si="21"/>
        <v>0</v>
      </c>
    </row>
    <row r="1392" spans="1:23" x14ac:dyDescent="0.25">
      <c r="A1392" s="2" t="s">
        <v>628</v>
      </c>
      <c r="B1392" s="2" t="s">
        <v>917</v>
      </c>
      <c r="C1392" s="2">
        <v>540266</v>
      </c>
      <c r="D1392" s="2" t="s">
        <v>907</v>
      </c>
      <c r="E1392" s="2" t="s">
        <v>75</v>
      </c>
      <c r="F1392" s="2" t="s">
        <v>115</v>
      </c>
      <c r="G1392" s="2">
        <v>7</v>
      </c>
      <c r="H1392" s="2">
        <v>0</v>
      </c>
      <c r="I1392" s="2">
        <v>0</v>
      </c>
      <c r="J1392" s="2">
        <v>0</v>
      </c>
      <c r="K1392" s="2">
        <v>0</v>
      </c>
      <c r="L1392" s="2">
        <v>0</v>
      </c>
      <c r="M1392" s="2">
        <v>0</v>
      </c>
      <c r="N1392" s="2">
        <v>0</v>
      </c>
      <c r="O1392" s="2">
        <v>0</v>
      </c>
      <c r="P1392" s="2">
        <v>0</v>
      </c>
      <c r="Q1392" s="2">
        <v>0</v>
      </c>
      <c r="R1392" s="2">
        <v>0</v>
      </c>
      <c r="S1392" s="2" t="s">
        <v>488</v>
      </c>
      <c r="T1392" s="2" t="s">
        <v>488</v>
      </c>
      <c r="U1392" s="2">
        <v>0</v>
      </c>
      <c r="V1392" s="2">
        <v>0</v>
      </c>
      <c r="W1392">
        <f t="shared" si="21"/>
        <v>0</v>
      </c>
    </row>
    <row r="1393" spans="1:23" x14ac:dyDescent="0.25">
      <c r="A1393" s="2" t="s">
        <v>628</v>
      </c>
      <c r="B1393" s="2" t="s">
        <v>917</v>
      </c>
      <c r="C1393" s="2">
        <v>540267</v>
      </c>
      <c r="D1393" s="2" t="s">
        <v>908</v>
      </c>
      <c r="E1393" s="2" t="s">
        <v>75</v>
      </c>
      <c r="F1393" s="2" t="s">
        <v>115</v>
      </c>
      <c r="G1393" s="2">
        <v>7</v>
      </c>
      <c r="H1393" s="2">
        <v>0</v>
      </c>
      <c r="I1393" s="2">
        <v>0</v>
      </c>
      <c r="J1393" s="2">
        <v>0</v>
      </c>
      <c r="K1393" s="2">
        <v>0</v>
      </c>
      <c r="L1393" s="2">
        <v>0</v>
      </c>
      <c r="M1393" s="2">
        <v>0</v>
      </c>
      <c r="N1393" s="2">
        <v>0</v>
      </c>
      <c r="O1393" s="2">
        <v>0</v>
      </c>
      <c r="P1393" s="2">
        <v>0</v>
      </c>
      <c r="Q1393" s="2">
        <v>0</v>
      </c>
      <c r="R1393" s="2">
        <v>0</v>
      </c>
      <c r="S1393" s="2" t="s">
        <v>488</v>
      </c>
      <c r="T1393" s="2" t="s">
        <v>488</v>
      </c>
      <c r="U1393" s="2">
        <v>0</v>
      </c>
      <c r="V1393" s="2">
        <v>0</v>
      </c>
      <c r="W1393">
        <f t="shared" si="21"/>
        <v>0</v>
      </c>
    </row>
    <row r="1394" spans="1:23" x14ac:dyDescent="0.25">
      <c r="A1394" s="2" t="s">
        <v>628</v>
      </c>
      <c r="B1394" s="2" t="s">
        <v>917</v>
      </c>
      <c r="C1394" s="2">
        <v>540177</v>
      </c>
      <c r="D1394" s="2" t="s">
        <v>909</v>
      </c>
      <c r="E1394" s="2" t="s">
        <v>75</v>
      </c>
      <c r="F1394" s="2" t="s">
        <v>115</v>
      </c>
      <c r="G1394" s="2">
        <v>7</v>
      </c>
      <c r="H1394" s="2">
        <v>0</v>
      </c>
      <c r="I1394" s="2">
        <v>0</v>
      </c>
      <c r="J1394" s="2">
        <v>0</v>
      </c>
      <c r="K1394" s="2">
        <v>0</v>
      </c>
      <c r="L1394" s="2">
        <v>0</v>
      </c>
      <c r="M1394" s="2">
        <v>0</v>
      </c>
      <c r="N1394" s="2">
        <v>0</v>
      </c>
      <c r="O1394" s="2">
        <v>0</v>
      </c>
      <c r="P1394" s="2">
        <v>0</v>
      </c>
      <c r="Q1394" s="2">
        <v>0</v>
      </c>
      <c r="R1394" s="2">
        <v>0</v>
      </c>
      <c r="S1394" s="2" t="s">
        <v>488</v>
      </c>
      <c r="T1394" s="2" t="s">
        <v>488</v>
      </c>
      <c r="U1394" s="2">
        <v>0</v>
      </c>
      <c r="V1394" s="2">
        <v>0</v>
      </c>
      <c r="W1394">
        <f t="shared" si="21"/>
        <v>0</v>
      </c>
    </row>
    <row r="1395" spans="1:23" x14ac:dyDescent="0.25">
      <c r="A1395" s="2" t="s">
        <v>628</v>
      </c>
      <c r="B1395" s="2" t="s">
        <v>917</v>
      </c>
      <c r="C1395" s="2">
        <v>540175</v>
      </c>
      <c r="D1395" s="2" t="s">
        <v>910</v>
      </c>
      <c r="E1395" s="2" t="s">
        <v>75</v>
      </c>
      <c r="F1395" s="2" t="s">
        <v>5</v>
      </c>
      <c r="G1395" s="2">
        <v>7</v>
      </c>
      <c r="H1395" s="2">
        <v>0</v>
      </c>
      <c r="I1395" s="2">
        <v>0</v>
      </c>
      <c r="J1395" s="2">
        <v>0</v>
      </c>
      <c r="K1395" s="2">
        <v>0</v>
      </c>
      <c r="L1395" s="2">
        <v>0</v>
      </c>
      <c r="M1395" s="2">
        <v>0</v>
      </c>
      <c r="N1395" s="2">
        <v>0</v>
      </c>
      <c r="O1395" s="2">
        <v>0</v>
      </c>
      <c r="P1395" s="2">
        <v>0</v>
      </c>
      <c r="Q1395" s="2">
        <v>0</v>
      </c>
      <c r="R1395" s="2">
        <v>0</v>
      </c>
      <c r="S1395" s="2" t="s">
        <v>488</v>
      </c>
      <c r="T1395" s="2" t="s">
        <v>488</v>
      </c>
      <c r="U1395" s="2">
        <v>0</v>
      </c>
      <c r="V1395" s="2">
        <v>0</v>
      </c>
      <c r="W1395">
        <f t="shared" si="21"/>
        <v>0</v>
      </c>
    </row>
    <row r="1396" spans="1:23" x14ac:dyDescent="0.25">
      <c r="A1396" s="255" t="s">
        <v>628</v>
      </c>
      <c r="B1396" s="255" t="s">
        <v>917</v>
      </c>
      <c r="C1396" s="255"/>
      <c r="D1396" s="255"/>
      <c r="E1396" s="255" t="s">
        <v>75</v>
      </c>
      <c r="F1396" s="255"/>
      <c r="G1396" s="255"/>
      <c r="H1396" s="255">
        <v>0</v>
      </c>
      <c r="I1396" s="255">
        <v>0</v>
      </c>
      <c r="J1396" s="255">
        <v>0</v>
      </c>
      <c r="K1396" s="255">
        <v>0</v>
      </c>
      <c r="L1396" s="255">
        <v>0</v>
      </c>
      <c r="M1396" s="255">
        <v>0</v>
      </c>
      <c r="N1396" s="255">
        <v>0</v>
      </c>
      <c r="O1396" s="255">
        <v>0</v>
      </c>
      <c r="P1396" s="255">
        <v>0</v>
      </c>
      <c r="Q1396" s="255">
        <v>0</v>
      </c>
      <c r="R1396" s="255">
        <v>0</v>
      </c>
      <c r="S1396" s="255" t="s">
        <v>488</v>
      </c>
      <c r="T1396" s="255" t="s">
        <v>488</v>
      </c>
      <c r="U1396" s="255">
        <v>0</v>
      </c>
      <c r="V1396" s="255">
        <v>0</v>
      </c>
      <c r="W1396">
        <f t="shared" si="21"/>
        <v>0</v>
      </c>
    </row>
    <row r="1397" spans="1:23" x14ac:dyDescent="0.25">
      <c r="A1397" s="2" t="s">
        <v>628</v>
      </c>
      <c r="B1397" s="2" t="s">
        <v>917</v>
      </c>
      <c r="C1397" s="2">
        <v>540219</v>
      </c>
      <c r="D1397" s="2" t="s">
        <v>911</v>
      </c>
      <c r="E1397" s="2" t="s">
        <v>95</v>
      </c>
      <c r="F1397" s="2" t="s">
        <v>115</v>
      </c>
      <c r="G1397" s="2">
        <v>1</v>
      </c>
      <c r="H1397" s="2">
        <v>0</v>
      </c>
      <c r="I1397" s="2">
        <v>0</v>
      </c>
      <c r="J1397" s="2">
        <v>0</v>
      </c>
      <c r="K1397" s="2">
        <v>0</v>
      </c>
      <c r="L1397" s="2">
        <v>0</v>
      </c>
      <c r="M1397" s="2">
        <v>0</v>
      </c>
      <c r="N1397" s="2">
        <v>0</v>
      </c>
      <c r="O1397" s="2">
        <v>0</v>
      </c>
      <c r="P1397" s="2">
        <v>0</v>
      </c>
      <c r="Q1397" s="2">
        <v>0</v>
      </c>
      <c r="R1397" s="2">
        <v>0</v>
      </c>
      <c r="S1397" s="2">
        <v>0</v>
      </c>
      <c r="T1397" s="2">
        <v>0</v>
      </c>
      <c r="U1397" s="2">
        <v>0</v>
      </c>
      <c r="V1397" s="2">
        <v>0</v>
      </c>
      <c r="W1397">
        <f t="shared" si="21"/>
        <v>0</v>
      </c>
    </row>
    <row r="1398" spans="1:23" x14ac:dyDescent="0.25">
      <c r="A1398" s="2" t="s">
        <v>628</v>
      </c>
      <c r="B1398" s="2" t="s">
        <v>917</v>
      </c>
      <c r="C1398" s="2">
        <v>540220</v>
      </c>
      <c r="D1398" s="2" t="s">
        <v>912</v>
      </c>
      <c r="E1398" s="2" t="s">
        <v>95</v>
      </c>
      <c r="F1398" s="2" t="s">
        <v>115</v>
      </c>
      <c r="G1398" s="2">
        <v>1</v>
      </c>
      <c r="H1398" s="2">
        <v>0</v>
      </c>
      <c r="I1398" s="2">
        <v>0</v>
      </c>
      <c r="J1398" s="2">
        <v>0</v>
      </c>
      <c r="K1398" s="2">
        <v>0</v>
      </c>
      <c r="L1398" s="2">
        <v>0</v>
      </c>
      <c r="M1398" s="2">
        <v>0</v>
      </c>
      <c r="N1398" s="2">
        <v>0</v>
      </c>
      <c r="O1398" s="2">
        <v>0</v>
      </c>
      <c r="P1398" s="2">
        <v>0</v>
      </c>
      <c r="Q1398" s="2">
        <v>0</v>
      </c>
      <c r="R1398" s="2">
        <v>0</v>
      </c>
      <c r="S1398" s="2">
        <v>0</v>
      </c>
      <c r="T1398" s="2">
        <v>0</v>
      </c>
      <c r="U1398" s="2">
        <v>0</v>
      </c>
      <c r="V1398" s="2">
        <v>0</v>
      </c>
      <c r="W1398">
        <f t="shared" si="21"/>
        <v>0</v>
      </c>
    </row>
    <row r="1399" spans="1:23" x14ac:dyDescent="0.25">
      <c r="A1399" s="2" t="s">
        <v>628</v>
      </c>
      <c r="B1399" s="2" t="s">
        <v>917</v>
      </c>
      <c r="C1399" s="2">
        <v>540218</v>
      </c>
      <c r="D1399" s="2" t="s">
        <v>913</v>
      </c>
      <c r="E1399" s="2" t="s">
        <v>95</v>
      </c>
      <c r="F1399" s="2" t="s">
        <v>115</v>
      </c>
      <c r="G1399" s="2">
        <v>1</v>
      </c>
      <c r="H1399" s="2">
        <v>0</v>
      </c>
      <c r="I1399" s="2">
        <v>0</v>
      </c>
      <c r="J1399" s="2">
        <v>0</v>
      </c>
      <c r="K1399" s="2">
        <v>0</v>
      </c>
      <c r="L1399" s="2">
        <v>0</v>
      </c>
      <c r="M1399" s="2">
        <v>0</v>
      </c>
      <c r="N1399" s="2">
        <v>0</v>
      </c>
      <c r="O1399" s="2">
        <v>0</v>
      </c>
      <c r="P1399" s="2">
        <v>0</v>
      </c>
      <c r="Q1399" s="2">
        <v>0</v>
      </c>
      <c r="R1399" s="2">
        <v>0</v>
      </c>
      <c r="S1399" s="2">
        <v>0</v>
      </c>
      <c r="T1399" s="2">
        <v>0</v>
      </c>
      <c r="U1399" s="2">
        <v>0</v>
      </c>
      <c r="V1399" s="2">
        <v>0</v>
      </c>
      <c r="W1399">
        <f t="shared" si="21"/>
        <v>0</v>
      </c>
    </row>
    <row r="1400" spans="1:23" x14ac:dyDescent="0.25">
      <c r="A1400" s="2" t="s">
        <v>628</v>
      </c>
      <c r="B1400" s="2" t="s">
        <v>917</v>
      </c>
      <c r="C1400" s="2">
        <v>540217</v>
      </c>
      <c r="D1400" s="2" t="s">
        <v>914</v>
      </c>
      <c r="E1400" s="2" t="s">
        <v>95</v>
      </c>
      <c r="F1400" s="2" t="s">
        <v>5</v>
      </c>
      <c r="G1400" s="2">
        <v>1</v>
      </c>
      <c r="H1400" s="2">
        <v>0</v>
      </c>
      <c r="I1400" s="2">
        <v>0</v>
      </c>
      <c r="J1400" s="2">
        <v>0</v>
      </c>
      <c r="K1400" s="2">
        <v>0</v>
      </c>
      <c r="L1400" s="2">
        <v>0</v>
      </c>
      <c r="M1400" s="2">
        <v>0</v>
      </c>
      <c r="N1400" s="2">
        <v>0</v>
      </c>
      <c r="O1400" s="2">
        <v>0</v>
      </c>
      <c r="P1400" s="2">
        <v>0</v>
      </c>
      <c r="Q1400" s="2">
        <v>0</v>
      </c>
      <c r="R1400" s="2">
        <v>0</v>
      </c>
      <c r="S1400" s="2">
        <v>0</v>
      </c>
      <c r="T1400" s="2">
        <v>0</v>
      </c>
      <c r="U1400" s="2">
        <v>0</v>
      </c>
      <c r="V1400" s="2">
        <v>0</v>
      </c>
      <c r="W1400">
        <f t="shared" si="21"/>
        <v>0</v>
      </c>
    </row>
    <row r="1401" spans="1:23" x14ac:dyDescent="0.25">
      <c r="A1401" s="255" t="s">
        <v>628</v>
      </c>
      <c r="B1401" s="255" t="s">
        <v>917</v>
      </c>
      <c r="C1401" s="255"/>
      <c r="D1401" s="255"/>
      <c r="E1401" s="255" t="s">
        <v>95</v>
      </c>
      <c r="F1401" s="255"/>
      <c r="G1401" s="255"/>
      <c r="H1401" s="255">
        <v>0</v>
      </c>
      <c r="I1401" s="255">
        <v>0</v>
      </c>
      <c r="J1401" s="255">
        <v>0</v>
      </c>
      <c r="K1401" s="255">
        <v>0</v>
      </c>
      <c r="L1401" s="255">
        <v>0</v>
      </c>
      <c r="M1401" s="255">
        <v>0</v>
      </c>
      <c r="N1401" s="255">
        <v>0</v>
      </c>
      <c r="O1401" s="255">
        <v>0</v>
      </c>
      <c r="P1401" s="255">
        <v>0</v>
      </c>
      <c r="Q1401" s="255">
        <v>0</v>
      </c>
      <c r="R1401" s="255">
        <v>0</v>
      </c>
      <c r="S1401" s="255">
        <v>0</v>
      </c>
      <c r="T1401" s="255">
        <v>0</v>
      </c>
      <c r="U1401" s="255">
        <v>0</v>
      </c>
      <c r="V1401" s="255">
        <v>0</v>
      </c>
      <c r="W1401">
        <f t="shared" si="21"/>
        <v>0</v>
      </c>
    </row>
    <row r="1402" spans="1:23" x14ac:dyDescent="0.25">
      <c r="A1402" s="2" t="s">
        <v>628</v>
      </c>
      <c r="B1402" s="2" t="s">
        <v>918</v>
      </c>
      <c r="C1402" s="2">
        <v>540001</v>
      </c>
      <c r="D1402" s="2" t="s">
        <v>627</v>
      </c>
      <c r="E1402" s="2" t="s">
        <v>4</v>
      </c>
      <c r="F1402" s="2" t="s">
        <v>5</v>
      </c>
      <c r="G1402" s="2">
        <v>7</v>
      </c>
      <c r="H1402" s="2">
        <v>0</v>
      </c>
      <c r="I1402" s="2">
        <v>0</v>
      </c>
      <c r="J1402" s="2">
        <v>0</v>
      </c>
      <c r="K1402" s="2">
        <v>0</v>
      </c>
      <c r="L1402" s="2">
        <v>0</v>
      </c>
      <c r="M1402" s="2">
        <v>0</v>
      </c>
      <c r="N1402" s="2">
        <v>0</v>
      </c>
      <c r="O1402" s="2">
        <v>0</v>
      </c>
      <c r="P1402" s="2">
        <v>0</v>
      </c>
      <c r="Q1402" s="2">
        <v>0</v>
      </c>
      <c r="R1402" s="2">
        <v>0</v>
      </c>
      <c r="S1402" s="2" t="s">
        <v>488</v>
      </c>
      <c r="T1402" s="2" t="s">
        <v>488</v>
      </c>
      <c r="U1402" s="2">
        <v>0</v>
      </c>
      <c r="V1402" s="2">
        <v>0</v>
      </c>
      <c r="W1402">
        <f t="shared" si="21"/>
        <v>0</v>
      </c>
    </row>
    <row r="1403" spans="1:23" x14ac:dyDescent="0.25">
      <c r="A1403" s="2" t="s">
        <v>628</v>
      </c>
      <c r="B1403" s="2" t="s">
        <v>918</v>
      </c>
      <c r="C1403" s="2">
        <v>540002</v>
      </c>
      <c r="D1403" s="2" t="s">
        <v>629</v>
      </c>
      <c r="E1403" s="2" t="s">
        <v>4</v>
      </c>
      <c r="F1403" s="2" t="s">
        <v>115</v>
      </c>
      <c r="G1403" s="2">
        <v>7</v>
      </c>
      <c r="H1403" s="2">
        <v>0</v>
      </c>
      <c r="I1403" s="2">
        <v>0</v>
      </c>
      <c r="J1403" s="2">
        <v>0</v>
      </c>
      <c r="K1403" s="2">
        <v>0</v>
      </c>
      <c r="L1403" s="2">
        <v>0</v>
      </c>
      <c r="M1403" s="2">
        <v>0</v>
      </c>
      <c r="N1403" s="2">
        <v>0</v>
      </c>
      <c r="O1403" s="2">
        <v>0</v>
      </c>
      <c r="P1403" s="2">
        <v>0</v>
      </c>
      <c r="Q1403" s="2">
        <v>0</v>
      </c>
      <c r="R1403" s="2">
        <v>0</v>
      </c>
      <c r="S1403" s="2" t="s">
        <v>488</v>
      </c>
      <c r="T1403" s="2" t="s">
        <v>488</v>
      </c>
      <c r="U1403" s="2">
        <v>1</v>
      </c>
      <c r="V1403" s="2">
        <v>0</v>
      </c>
      <c r="W1403">
        <f t="shared" si="21"/>
        <v>1</v>
      </c>
    </row>
    <row r="1404" spans="1:23" x14ac:dyDescent="0.25">
      <c r="A1404" s="2" t="s">
        <v>628</v>
      </c>
      <c r="B1404" s="2" t="s">
        <v>918</v>
      </c>
      <c r="C1404" s="2">
        <v>540003</v>
      </c>
      <c r="D1404" s="2" t="s">
        <v>630</v>
      </c>
      <c r="E1404" s="2" t="s">
        <v>4</v>
      </c>
      <c r="F1404" s="2" t="s">
        <v>115</v>
      </c>
      <c r="G1404" s="2">
        <v>7</v>
      </c>
      <c r="H1404" s="2">
        <v>0</v>
      </c>
      <c r="I1404" s="2">
        <v>0</v>
      </c>
      <c r="J1404" s="2">
        <v>0</v>
      </c>
      <c r="K1404" s="2">
        <v>0</v>
      </c>
      <c r="L1404" s="2">
        <v>0</v>
      </c>
      <c r="M1404" s="2">
        <v>0</v>
      </c>
      <c r="N1404" s="2">
        <v>0</v>
      </c>
      <c r="O1404" s="2">
        <v>0</v>
      </c>
      <c r="P1404" s="2">
        <v>0</v>
      </c>
      <c r="Q1404" s="2">
        <v>0</v>
      </c>
      <c r="R1404" s="2">
        <v>0</v>
      </c>
      <c r="S1404" s="2" t="s">
        <v>488</v>
      </c>
      <c r="T1404" s="2" t="s">
        <v>488</v>
      </c>
      <c r="U1404" s="2">
        <v>0</v>
      </c>
      <c r="V1404" s="2">
        <v>0</v>
      </c>
      <c r="W1404">
        <f t="shared" si="21"/>
        <v>0</v>
      </c>
    </row>
    <row r="1405" spans="1:23" x14ac:dyDescent="0.25">
      <c r="A1405" s="2" t="s">
        <v>628</v>
      </c>
      <c r="B1405" s="2" t="s">
        <v>918</v>
      </c>
      <c r="C1405" s="2">
        <v>540004</v>
      </c>
      <c r="D1405" s="2" t="s">
        <v>631</v>
      </c>
      <c r="E1405" s="2" t="s">
        <v>4</v>
      </c>
      <c r="F1405" s="2" t="s">
        <v>115</v>
      </c>
      <c r="G1405" s="2">
        <v>7</v>
      </c>
      <c r="H1405" s="2">
        <v>0</v>
      </c>
      <c r="I1405" s="2">
        <v>2</v>
      </c>
      <c r="J1405" s="2">
        <v>0</v>
      </c>
      <c r="K1405" s="2">
        <v>0</v>
      </c>
      <c r="L1405" s="2">
        <v>0</v>
      </c>
      <c r="M1405" s="2">
        <v>2</v>
      </c>
      <c r="N1405" s="2">
        <v>2</v>
      </c>
      <c r="O1405" s="2">
        <v>0</v>
      </c>
      <c r="P1405" s="2">
        <v>0</v>
      </c>
      <c r="Q1405" s="2">
        <v>0</v>
      </c>
      <c r="R1405" s="2">
        <v>0</v>
      </c>
      <c r="S1405" s="2" t="s">
        <v>488</v>
      </c>
      <c r="T1405" s="2" t="s">
        <v>488</v>
      </c>
      <c r="U1405" s="2">
        <v>0</v>
      </c>
      <c r="V1405" s="2">
        <v>0</v>
      </c>
      <c r="W1405">
        <f t="shared" si="21"/>
        <v>2</v>
      </c>
    </row>
    <row r="1406" spans="1:23" x14ac:dyDescent="0.25">
      <c r="A1406" s="255" t="s">
        <v>628</v>
      </c>
      <c r="B1406" s="255" t="s">
        <v>918</v>
      </c>
      <c r="C1406" s="255"/>
      <c r="D1406" s="255"/>
      <c r="E1406" s="255" t="s">
        <v>4</v>
      </c>
      <c r="F1406" s="255"/>
      <c r="G1406" s="255"/>
      <c r="H1406" s="255">
        <v>0</v>
      </c>
      <c r="I1406" s="255">
        <v>2</v>
      </c>
      <c r="J1406" s="255">
        <v>0</v>
      </c>
      <c r="K1406" s="255">
        <v>0</v>
      </c>
      <c r="L1406" s="255">
        <v>0</v>
      </c>
      <c r="M1406" s="255">
        <v>2</v>
      </c>
      <c r="N1406" s="255">
        <v>2</v>
      </c>
      <c r="O1406" s="255">
        <v>0</v>
      </c>
      <c r="P1406" s="255">
        <v>0</v>
      </c>
      <c r="Q1406" s="255">
        <v>0</v>
      </c>
      <c r="R1406" s="255">
        <v>0</v>
      </c>
      <c r="S1406" s="255" t="s">
        <v>488</v>
      </c>
      <c r="T1406" s="255" t="s">
        <v>488</v>
      </c>
      <c r="U1406" s="255">
        <v>1</v>
      </c>
      <c r="V1406" s="255">
        <v>0</v>
      </c>
      <c r="W1406">
        <f t="shared" si="21"/>
        <v>3</v>
      </c>
    </row>
    <row r="1407" spans="1:23" x14ac:dyDescent="0.25">
      <c r="A1407" s="2" t="s">
        <v>628</v>
      </c>
      <c r="B1407" s="2" t="s">
        <v>918</v>
      </c>
      <c r="C1407" s="2">
        <v>540007</v>
      </c>
      <c r="D1407" s="2" t="s">
        <v>632</v>
      </c>
      <c r="E1407" s="2" t="s">
        <v>7</v>
      </c>
      <c r="F1407" s="2" t="s">
        <v>5</v>
      </c>
      <c r="G1407" s="2">
        <v>3</v>
      </c>
      <c r="H1407" s="2">
        <v>0</v>
      </c>
      <c r="I1407" s="2">
        <v>1</v>
      </c>
      <c r="J1407" s="2">
        <v>0</v>
      </c>
      <c r="K1407" s="2">
        <v>0</v>
      </c>
      <c r="L1407" s="2">
        <v>0</v>
      </c>
      <c r="M1407" s="2">
        <v>1</v>
      </c>
      <c r="N1407" s="2">
        <v>1</v>
      </c>
      <c r="O1407" s="2">
        <v>0</v>
      </c>
      <c r="P1407" s="2">
        <v>0</v>
      </c>
      <c r="Q1407" s="2">
        <v>0</v>
      </c>
      <c r="R1407" s="2">
        <v>0</v>
      </c>
      <c r="S1407" s="2" t="s">
        <v>488</v>
      </c>
      <c r="T1407" s="2" t="s">
        <v>488</v>
      </c>
      <c r="U1407" s="2">
        <v>0</v>
      </c>
      <c r="V1407" s="2">
        <v>0</v>
      </c>
      <c r="W1407">
        <f t="shared" si="21"/>
        <v>1</v>
      </c>
    </row>
    <row r="1408" spans="1:23" x14ac:dyDescent="0.25">
      <c r="A1408" s="2" t="s">
        <v>628</v>
      </c>
      <c r="B1408" s="2" t="s">
        <v>918</v>
      </c>
      <c r="C1408" s="2">
        <v>540008</v>
      </c>
      <c r="D1408" s="2" t="s">
        <v>633</v>
      </c>
      <c r="E1408" s="2" t="s">
        <v>7</v>
      </c>
      <c r="F1408" s="2" t="s">
        <v>115</v>
      </c>
      <c r="G1408" s="2">
        <v>3</v>
      </c>
      <c r="H1408" s="2">
        <v>0</v>
      </c>
      <c r="I1408" s="2">
        <v>0</v>
      </c>
      <c r="J1408" s="2">
        <v>0</v>
      </c>
      <c r="K1408" s="2">
        <v>0</v>
      </c>
      <c r="L1408" s="2">
        <v>0</v>
      </c>
      <c r="M1408" s="2">
        <v>0</v>
      </c>
      <c r="N1408" s="2">
        <v>0</v>
      </c>
      <c r="O1408" s="2">
        <v>0</v>
      </c>
      <c r="P1408" s="2">
        <v>0</v>
      </c>
      <c r="Q1408" s="2">
        <v>0</v>
      </c>
      <c r="R1408" s="2">
        <v>0</v>
      </c>
      <c r="S1408" s="2" t="s">
        <v>488</v>
      </c>
      <c r="T1408" s="2" t="s">
        <v>488</v>
      </c>
      <c r="U1408" s="2">
        <v>0</v>
      </c>
      <c r="V1408" s="2">
        <v>0</v>
      </c>
      <c r="W1408">
        <f t="shared" si="21"/>
        <v>0</v>
      </c>
    </row>
    <row r="1409" spans="1:23" x14ac:dyDescent="0.25">
      <c r="A1409" s="2" t="s">
        <v>628</v>
      </c>
      <c r="B1409" s="2" t="s">
        <v>918</v>
      </c>
      <c r="C1409" s="2">
        <v>540229</v>
      </c>
      <c r="D1409" s="2" t="s">
        <v>634</v>
      </c>
      <c r="E1409" s="2" t="s">
        <v>7</v>
      </c>
      <c r="F1409" s="2" t="s">
        <v>115</v>
      </c>
      <c r="G1409" s="2">
        <v>3</v>
      </c>
      <c r="H1409" s="2">
        <v>0</v>
      </c>
      <c r="I1409" s="2">
        <v>0</v>
      </c>
      <c r="J1409" s="2">
        <v>1</v>
      </c>
      <c r="K1409" s="2">
        <v>0</v>
      </c>
      <c r="L1409" s="2">
        <v>0</v>
      </c>
      <c r="M1409" s="2">
        <v>1</v>
      </c>
      <c r="N1409" s="2">
        <v>1</v>
      </c>
      <c r="O1409" s="2">
        <v>0</v>
      </c>
      <c r="P1409" s="2">
        <v>0</v>
      </c>
      <c r="Q1409" s="2">
        <v>0</v>
      </c>
      <c r="R1409" s="2">
        <v>0</v>
      </c>
      <c r="S1409" s="2" t="s">
        <v>488</v>
      </c>
      <c r="T1409" s="2" t="s">
        <v>488</v>
      </c>
      <c r="U1409" s="2">
        <v>0</v>
      </c>
      <c r="V1409" s="2">
        <v>0</v>
      </c>
      <c r="W1409">
        <f t="shared" si="21"/>
        <v>1</v>
      </c>
    </row>
    <row r="1410" spans="1:23" x14ac:dyDescent="0.25">
      <c r="A1410" s="2" t="s">
        <v>628</v>
      </c>
      <c r="B1410" s="2" t="s">
        <v>918</v>
      </c>
      <c r="C1410" s="2">
        <v>540230</v>
      </c>
      <c r="D1410" s="2" t="s">
        <v>635</v>
      </c>
      <c r="E1410" s="2" t="s">
        <v>7</v>
      </c>
      <c r="F1410" s="2" t="s">
        <v>115</v>
      </c>
      <c r="G1410" s="2">
        <v>3</v>
      </c>
      <c r="H1410" s="2">
        <v>0</v>
      </c>
      <c r="I1410" s="2">
        <v>0</v>
      </c>
      <c r="J1410" s="2">
        <v>1</v>
      </c>
      <c r="K1410" s="2">
        <v>0</v>
      </c>
      <c r="L1410" s="2">
        <v>0</v>
      </c>
      <c r="M1410" s="2">
        <v>1</v>
      </c>
      <c r="N1410" s="2">
        <v>1</v>
      </c>
      <c r="O1410" s="2">
        <v>0</v>
      </c>
      <c r="P1410" s="2">
        <v>0</v>
      </c>
      <c r="Q1410" s="2">
        <v>0</v>
      </c>
      <c r="R1410" s="2">
        <v>0</v>
      </c>
      <c r="S1410" s="2" t="s">
        <v>488</v>
      </c>
      <c r="T1410" s="2" t="s">
        <v>488</v>
      </c>
      <c r="U1410" s="2">
        <v>0</v>
      </c>
      <c r="V1410" s="2">
        <v>0</v>
      </c>
      <c r="W1410">
        <f t="shared" si="21"/>
        <v>1</v>
      </c>
    </row>
    <row r="1411" spans="1:23" x14ac:dyDescent="0.25">
      <c r="A1411" s="2" t="s">
        <v>628</v>
      </c>
      <c r="B1411" s="2" t="s">
        <v>918</v>
      </c>
      <c r="C1411" s="2">
        <v>540238</v>
      </c>
      <c r="D1411" s="2" t="s">
        <v>636</v>
      </c>
      <c r="E1411" s="2" t="s">
        <v>7</v>
      </c>
      <c r="F1411" s="2" t="s">
        <v>115</v>
      </c>
      <c r="G1411" s="2">
        <v>3</v>
      </c>
      <c r="H1411" s="2">
        <v>0</v>
      </c>
      <c r="I1411" s="2">
        <v>0</v>
      </c>
      <c r="J1411" s="2">
        <v>0</v>
      </c>
      <c r="K1411" s="2">
        <v>0</v>
      </c>
      <c r="L1411" s="2">
        <v>0</v>
      </c>
      <c r="M1411" s="2">
        <v>0</v>
      </c>
      <c r="N1411" s="2">
        <v>0</v>
      </c>
      <c r="O1411" s="2">
        <v>0</v>
      </c>
      <c r="P1411" s="2">
        <v>0</v>
      </c>
      <c r="Q1411" s="2">
        <v>0</v>
      </c>
      <c r="R1411" s="2">
        <v>0</v>
      </c>
      <c r="S1411" s="2" t="s">
        <v>488</v>
      </c>
      <c r="T1411" s="2" t="s">
        <v>488</v>
      </c>
      <c r="U1411" s="2">
        <v>0</v>
      </c>
      <c r="V1411" s="2">
        <v>0</v>
      </c>
      <c r="W1411">
        <f t="shared" ref="W1411:W1474" si="22">SUM(N1411,P1411,R1411,T1411,U1411,V1411)</f>
        <v>0</v>
      </c>
    </row>
    <row r="1412" spans="1:23" x14ac:dyDescent="0.25">
      <c r="A1412" s="255" t="s">
        <v>628</v>
      </c>
      <c r="B1412" s="255" t="s">
        <v>918</v>
      </c>
      <c r="C1412" s="255"/>
      <c r="D1412" s="255"/>
      <c r="E1412" s="255" t="s">
        <v>7</v>
      </c>
      <c r="F1412" s="255"/>
      <c r="G1412" s="255"/>
      <c r="H1412" s="255">
        <v>0</v>
      </c>
      <c r="I1412" s="255">
        <v>1</v>
      </c>
      <c r="J1412" s="255">
        <v>2</v>
      </c>
      <c r="K1412" s="255">
        <v>0</v>
      </c>
      <c r="L1412" s="255">
        <v>0</v>
      </c>
      <c r="M1412" s="255">
        <v>3</v>
      </c>
      <c r="N1412" s="255">
        <v>3</v>
      </c>
      <c r="O1412" s="255">
        <v>0</v>
      </c>
      <c r="P1412" s="255">
        <v>0</v>
      </c>
      <c r="Q1412" s="255">
        <v>0</v>
      </c>
      <c r="R1412" s="255">
        <v>0</v>
      </c>
      <c r="S1412" s="255" t="s">
        <v>488</v>
      </c>
      <c r="T1412" s="255" t="s">
        <v>488</v>
      </c>
      <c r="U1412" s="255">
        <v>0</v>
      </c>
      <c r="V1412" s="255">
        <v>0</v>
      </c>
      <c r="W1412">
        <f t="shared" si="22"/>
        <v>3</v>
      </c>
    </row>
    <row r="1413" spans="1:23" x14ac:dyDescent="0.25">
      <c r="A1413" s="2" t="s">
        <v>628</v>
      </c>
      <c r="B1413" s="2" t="s">
        <v>918</v>
      </c>
      <c r="C1413" s="2">
        <v>540009</v>
      </c>
      <c r="D1413" s="2" t="s">
        <v>637</v>
      </c>
      <c r="E1413" s="2" t="s">
        <v>9</v>
      </c>
      <c r="F1413" s="2" t="s">
        <v>5</v>
      </c>
      <c r="G1413" s="2">
        <v>7</v>
      </c>
      <c r="H1413" s="2">
        <v>0</v>
      </c>
      <c r="I1413" s="2">
        <v>0</v>
      </c>
      <c r="J1413" s="2">
        <v>0</v>
      </c>
      <c r="K1413" s="2">
        <v>0</v>
      </c>
      <c r="L1413" s="2">
        <v>0</v>
      </c>
      <c r="M1413" s="2">
        <v>0</v>
      </c>
      <c r="N1413" s="2">
        <v>0</v>
      </c>
      <c r="O1413" s="2">
        <v>0</v>
      </c>
      <c r="P1413" s="2">
        <v>0</v>
      </c>
      <c r="Q1413" s="2" t="s">
        <v>488</v>
      </c>
      <c r="R1413" s="2" t="s">
        <v>488</v>
      </c>
      <c r="S1413" s="2" t="s">
        <v>488</v>
      </c>
      <c r="T1413" s="2" t="s">
        <v>488</v>
      </c>
      <c r="U1413" s="2">
        <v>0</v>
      </c>
      <c r="V1413" s="2">
        <v>0</v>
      </c>
      <c r="W1413">
        <f t="shared" si="22"/>
        <v>0</v>
      </c>
    </row>
    <row r="1414" spans="1:23" x14ac:dyDescent="0.25">
      <c r="A1414" s="2" t="s">
        <v>628</v>
      </c>
      <c r="B1414" s="2" t="s">
        <v>918</v>
      </c>
      <c r="C1414" s="2">
        <v>540010</v>
      </c>
      <c r="D1414" s="2" t="s">
        <v>638</v>
      </c>
      <c r="E1414" s="2" t="s">
        <v>9</v>
      </c>
      <c r="F1414" s="2" t="s">
        <v>115</v>
      </c>
      <c r="G1414" s="2">
        <v>7</v>
      </c>
      <c r="H1414" s="2">
        <v>0</v>
      </c>
      <c r="I1414" s="2">
        <v>0</v>
      </c>
      <c r="J1414" s="2">
        <v>0</v>
      </c>
      <c r="K1414" s="2">
        <v>0</v>
      </c>
      <c r="L1414" s="2">
        <v>0</v>
      </c>
      <c r="M1414" s="2">
        <v>0</v>
      </c>
      <c r="N1414" s="2">
        <v>0</v>
      </c>
      <c r="O1414" s="2">
        <v>0</v>
      </c>
      <c r="P1414" s="2">
        <v>0</v>
      </c>
      <c r="Q1414" s="2" t="s">
        <v>488</v>
      </c>
      <c r="R1414" s="2" t="s">
        <v>488</v>
      </c>
      <c r="S1414" s="2" t="s">
        <v>488</v>
      </c>
      <c r="T1414" s="2" t="s">
        <v>488</v>
      </c>
      <c r="U1414" s="2">
        <v>0</v>
      </c>
      <c r="V1414" s="2">
        <v>0</v>
      </c>
      <c r="W1414">
        <f t="shared" si="22"/>
        <v>0</v>
      </c>
    </row>
    <row r="1415" spans="1:23" x14ac:dyDescent="0.25">
      <c r="A1415" s="2" t="s">
        <v>628</v>
      </c>
      <c r="B1415" s="2" t="s">
        <v>918</v>
      </c>
      <c r="C1415" s="2">
        <v>540235</v>
      </c>
      <c r="D1415" s="2" t="s">
        <v>639</v>
      </c>
      <c r="E1415" s="2" t="s">
        <v>9</v>
      </c>
      <c r="F1415" s="2" t="s">
        <v>115</v>
      </c>
      <c r="G1415" s="2">
        <v>7</v>
      </c>
      <c r="H1415" s="2">
        <v>0</v>
      </c>
      <c r="I1415" s="2">
        <v>0</v>
      </c>
      <c r="J1415" s="2">
        <v>0</v>
      </c>
      <c r="K1415" s="2">
        <v>0</v>
      </c>
      <c r="L1415" s="2">
        <v>0</v>
      </c>
      <c r="M1415" s="2">
        <v>0</v>
      </c>
      <c r="N1415" s="2">
        <v>0</v>
      </c>
      <c r="O1415" s="2">
        <v>0</v>
      </c>
      <c r="P1415" s="2">
        <v>0</v>
      </c>
      <c r="Q1415" s="2" t="s">
        <v>488</v>
      </c>
      <c r="R1415" s="2" t="s">
        <v>488</v>
      </c>
      <c r="S1415" s="2" t="s">
        <v>488</v>
      </c>
      <c r="T1415" s="2" t="s">
        <v>488</v>
      </c>
      <c r="U1415" s="2">
        <v>0</v>
      </c>
      <c r="V1415" s="2">
        <v>0</v>
      </c>
      <c r="W1415">
        <f t="shared" si="22"/>
        <v>0</v>
      </c>
    </row>
    <row r="1416" spans="1:23" x14ac:dyDescent="0.25">
      <c r="A1416" s="2" t="s">
        <v>628</v>
      </c>
      <c r="B1416" s="2" t="s">
        <v>918</v>
      </c>
      <c r="C1416" s="2">
        <v>540236</v>
      </c>
      <c r="D1416" s="2" t="s">
        <v>640</v>
      </c>
      <c r="E1416" s="2" t="s">
        <v>9</v>
      </c>
      <c r="F1416" s="2" t="s">
        <v>115</v>
      </c>
      <c r="G1416" s="2">
        <v>7</v>
      </c>
      <c r="H1416" s="2">
        <v>0</v>
      </c>
      <c r="I1416" s="2">
        <v>0</v>
      </c>
      <c r="J1416" s="2">
        <v>0</v>
      </c>
      <c r="K1416" s="2">
        <v>0</v>
      </c>
      <c r="L1416" s="2">
        <v>0</v>
      </c>
      <c r="M1416" s="2">
        <v>0</v>
      </c>
      <c r="N1416" s="2">
        <v>0</v>
      </c>
      <c r="O1416" s="2">
        <v>0</v>
      </c>
      <c r="P1416" s="2">
        <v>0</v>
      </c>
      <c r="Q1416" s="2" t="s">
        <v>488</v>
      </c>
      <c r="R1416" s="2" t="s">
        <v>488</v>
      </c>
      <c r="S1416" s="2" t="s">
        <v>488</v>
      </c>
      <c r="T1416" s="2" t="s">
        <v>488</v>
      </c>
      <c r="U1416" s="2">
        <v>0</v>
      </c>
      <c r="V1416" s="2">
        <v>0</v>
      </c>
      <c r="W1416">
        <f t="shared" si="22"/>
        <v>0</v>
      </c>
    </row>
    <row r="1417" spans="1:23" x14ac:dyDescent="0.25">
      <c r="A1417" s="2" t="s">
        <v>628</v>
      </c>
      <c r="B1417" s="2" t="s">
        <v>918</v>
      </c>
      <c r="C1417" s="2">
        <v>540237</v>
      </c>
      <c r="D1417" s="2" t="s">
        <v>641</v>
      </c>
      <c r="E1417" s="2" t="s">
        <v>9</v>
      </c>
      <c r="F1417" s="2" t="s">
        <v>115</v>
      </c>
      <c r="G1417" s="2">
        <v>7</v>
      </c>
      <c r="H1417" s="2">
        <v>0</v>
      </c>
      <c r="I1417" s="2">
        <v>0</v>
      </c>
      <c r="J1417" s="2">
        <v>0</v>
      </c>
      <c r="K1417" s="2">
        <v>0</v>
      </c>
      <c r="L1417" s="2">
        <v>0</v>
      </c>
      <c r="M1417" s="2">
        <v>0</v>
      </c>
      <c r="N1417" s="2">
        <v>0</v>
      </c>
      <c r="O1417" s="2">
        <v>0</v>
      </c>
      <c r="P1417" s="2">
        <v>0</v>
      </c>
      <c r="Q1417" s="2" t="s">
        <v>488</v>
      </c>
      <c r="R1417" s="2" t="s">
        <v>488</v>
      </c>
      <c r="S1417" s="2" t="s">
        <v>488</v>
      </c>
      <c r="T1417" s="2" t="s">
        <v>488</v>
      </c>
      <c r="U1417" s="2">
        <v>0</v>
      </c>
      <c r="V1417" s="2">
        <v>0</v>
      </c>
      <c r="W1417">
        <f t="shared" si="22"/>
        <v>0</v>
      </c>
    </row>
    <row r="1418" spans="1:23" x14ac:dyDescent="0.25">
      <c r="A1418" s="255" t="s">
        <v>628</v>
      </c>
      <c r="B1418" s="255" t="s">
        <v>918</v>
      </c>
      <c r="C1418" s="255"/>
      <c r="D1418" s="255"/>
      <c r="E1418" s="255" t="s">
        <v>9</v>
      </c>
      <c r="F1418" s="255"/>
      <c r="G1418" s="255"/>
      <c r="H1418" s="255">
        <v>0</v>
      </c>
      <c r="I1418" s="255">
        <v>0</v>
      </c>
      <c r="J1418" s="255">
        <v>0</v>
      </c>
      <c r="K1418" s="255">
        <v>0</v>
      </c>
      <c r="L1418" s="255">
        <v>0</v>
      </c>
      <c r="M1418" s="255">
        <v>0</v>
      </c>
      <c r="N1418" s="255">
        <v>0</v>
      </c>
      <c r="O1418" s="255">
        <v>0</v>
      </c>
      <c r="P1418" s="255">
        <v>0</v>
      </c>
      <c r="Q1418" s="255" t="s">
        <v>488</v>
      </c>
      <c r="R1418" s="255" t="s">
        <v>488</v>
      </c>
      <c r="S1418" s="255" t="s">
        <v>488</v>
      </c>
      <c r="T1418" s="255" t="s">
        <v>488</v>
      </c>
      <c r="U1418" s="255">
        <v>0</v>
      </c>
      <c r="V1418" s="255">
        <v>0</v>
      </c>
      <c r="W1418">
        <f t="shared" si="22"/>
        <v>0</v>
      </c>
    </row>
    <row r="1419" spans="1:23" x14ac:dyDescent="0.25">
      <c r="A1419" s="2" t="s">
        <v>628</v>
      </c>
      <c r="B1419" s="2" t="s">
        <v>918</v>
      </c>
      <c r="C1419" s="2">
        <v>540011</v>
      </c>
      <c r="D1419" s="2" t="s">
        <v>642</v>
      </c>
      <c r="E1419" s="2" t="s">
        <v>11</v>
      </c>
      <c r="F1419" s="2" t="s">
        <v>5</v>
      </c>
      <c r="G1419" s="2">
        <v>11</v>
      </c>
      <c r="H1419" s="2">
        <v>1</v>
      </c>
      <c r="I1419" s="2">
        <v>0</v>
      </c>
      <c r="J1419" s="2">
        <v>0</v>
      </c>
      <c r="K1419" s="2">
        <v>0</v>
      </c>
      <c r="L1419" s="2">
        <v>0</v>
      </c>
      <c r="M1419" s="2">
        <v>0</v>
      </c>
      <c r="N1419" s="2">
        <v>1</v>
      </c>
      <c r="O1419" s="2">
        <v>0</v>
      </c>
      <c r="P1419" s="2">
        <v>0</v>
      </c>
      <c r="Q1419" s="2">
        <v>0</v>
      </c>
      <c r="R1419" s="2">
        <v>0</v>
      </c>
      <c r="S1419" s="2" t="s">
        <v>488</v>
      </c>
      <c r="T1419" s="2" t="s">
        <v>488</v>
      </c>
      <c r="U1419" s="2">
        <v>0</v>
      </c>
      <c r="V1419" s="2">
        <v>0</v>
      </c>
      <c r="W1419">
        <f t="shared" si="22"/>
        <v>1</v>
      </c>
    </row>
    <row r="1420" spans="1:23" x14ac:dyDescent="0.25">
      <c r="A1420" s="2" t="s">
        <v>628</v>
      </c>
      <c r="B1420" s="2" t="s">
        <v>918</v>
      </c>
      <c r="C1420" s="2">
        <v>540012</v>
      </c>
      <c r="D1420" s="2" t="s">
        <v>643</v>
      </c>
      <c r="E1420" s="2" t="s">
        <v>11</v>
      </c>
      <c r="F1420" s="2" t="s">
        <v>115</v>
      </c>
      <c r="G1420" s="2">
        <v>11</v>
      </c>
      <c r="H1420" s="2">
        <v>0</v>
      </c>
      <c r="I1420" s="2">
        <v>0</v>
      </c>
      <c r="J1420" s="2">
        <v>0</v>
      </c>
      <c r="K1420" s="2">
        <v>0</v>
      </c>
      <c r="L1420" s="2">
        <v>0</v>
      </c>
      <c r="M1420" s="2">
        <v>0</v>
      </c>
      <c r="N1420" s="2">
        <v>0</v>
      </c>
      <c r="O1420" s="2">
        <v>0</v>
      </c>
      <c r="P1420" s="2">
        <v>0</v>
      </c>
      <c r="Q1420" s="2">
        <v>0</v>
      </c>
      <c r="R1420" s="2">
        <v>0</v>
      </c>
      <c r="S1420" s="2" t="s">
        <v>488</v>
      </c>
      <c r="T1420" s="2" t="s">
        <v>488</v>
      </c>
      <c r="U1420" s="2">
        <v>0</v>
      </c>
      <c r="V1420" s="2">
        <v>0</v>
      </c>
      <c r="W1420">
        <f t="shared" si="22"/>
        <v>0</v>
      </c>
    </row>
    <row r="1421" spans="1:23" x14ac:dyDescent="0.25">
      <c r="A1421" s="2" t="s">
        <v>628</v>
      </c>
      <c r="B1421" s="2" t="s">
        <v>918</v>
      </c>
      <c r="C1421" s="2">
        <v>540013</v>
      </c>
      <c r="D1421" s="2" t="s">
        <v>644</v>
      </c>
      <c r="E1421" s="2" t="s">
        <v>11</v>
      </c>
      <c r="F1421" s="2" t="s">
        <v>115</v>
      </c>
      <c r="G1421" s="2">
        <v>11</v>
      </c>
      <c r="H1421" s="2">
        <v>0</v>
      </c>
      <c r="I1421" s="2">
        <v>0</v>
      </c>
      <c r="J1421" s="2">
        <v>0</v>
      </c>
      <c r="K1421" s="2">
        <v>0</v>
      </c>
      <c r="L1421" s="2">
        <v>0</v>
      </c>
      <c r="M1421" s="2">
        <v>0</v>
      </c>
      <c r="N1421" s="2">
        <v>0</v>
      </c>
      <c r="O1421" s="2">
        <v>0</v>
      </c>
      <c r="P1421" s="2">
        <v>0</v>
      </c>
      <c r="Q1421" s="2">
        <v>0</v>
      </c>
      <c r="R1421" s="2">
        <v>0</v>
      </c>
      <c r="S1421" s="2" t="s">
        <v>488</v>
      </c>
      <c r="T1421" s="2" t="s">
        <v>488</v>
      </c>
      <c r="U1421" s="2">
        <v>0</v>
      </c>
      <c r="V1421" s="2">
        <v>0</v>
      </c>
      <c r="W1421">
        <f t="shared" si="22"/>
        <v>0</v>
      </c>
    </row>
    <row r="1422" spans="1:23" x14ac:dyDescent="0.25">
      <c r="A1422" s="2" t="s">
        <v>628</v>
      </c>
      <c r="B1422" s="2" t="s">
        <v>918</v>
      </c>
      <c r="C1422" s="2">
        <v>540014</v>
      </c>
      <c r="D1422" s="2" t="s">
        <v>645</v>
      </c>
      <c r="E1422" s="2" t="s">
        <v>11</v>
      </c>
      <c r="F1422" s="2" t="s">
        <v>115</v>
      </c>
      <c r="G1422" s="2">
        <v>11</v>
      </c>
      <c r="H1422" s="2">
        <v>0</v>
      </c>
      <c r="I1422" s="2">
        <v>0</v>
      </c>
      <c r="J1422" s="2">
        <v>0</v>
      </c>
      <c r="K1422" s="2">
        <v>0</v>
      </c>
      <c r="L1422" s="2">
        <v>0</v>
      </c>
      <c r="M1422" s="2">
        <v>0</v>
      </c>
      <c r="N1422" s="2">
        <v>0</v>
      </c>
      <c r="O1422" s="2">
        <v>0</v>
      </c>
      <c r="P1422" s="2">
        <v>0</v>
      </c>
      <c r="Q1422" s="2">
        <v>0</v>
      </c>
      <c r="R1422" s="2">
        <v>0</v>
      </c>
      <c r="S1422" s="2" t="s">
        <v>488</v>
      </c>
      <c r="T1422" s="2" t="s">
        <v>488</v>
      </c>
      <c r="U1422" s="2">
        <v>0</v>
      </c>
      <c r="V1422" s="2">
        <v>0</v>
      </c>
      <c r="W1422">
        <f t="shared" si="22"/>
        <v>0</v>
      </c>
    </row>
    <row r="1423" spans="1:23" x14ac:dyDescent="0.25">
      <c r="A1423" s="2" t="s">
        <v>628</v>
      </c>
      <c r="B1423" s="2" t="s">
        <v>918</v>
      </c>
      <c r="C1423" s="2">
        <v>540015</v>
      </c>
      <c r="D1423" s="2" t="s">
        <v>646</v>
      </c>
      <c r="E1423" s="2" t="s">
        <v>11</v>
      </c>
      <c r="F1423" s="2" t="s">
        <v>115</v>
      </c>
      <c r="G1423" s="2">
        <v>11</v>
      </c>
      <c r="H1423" s="2">
        <v>0</v>
      </c>
      <c r="I1423" s="2">
        <v>1</v>
      </c>
      <c r="J1423" s="2">
        <v>0</v>
      </c>
      <c r="K1423" s="2">
        <v>0</v>
      </c>
      <c r="L1423" s="2">
        <v>0</v>
      </c>
      <c r="M1423" s="2">
        <v>1</v>
      </c>
      <c r="N1423" s="2">
        <v>1</v>
      </c>
      <c r="O1423" s="2">
        <v>0</v>
      </c>
      <c r="P1423" s="2">
        <v>0</v>
      </c>
      <c r="Q1423" s="2">
        <v>0</v>
      </c>
      <c r="R1423" s="2">
        <v>0</v>
      </c>
      <c r="S1423" s="2" t="s">
        <v>488</v>
      </c>
      <c r="T1423" s="2" t="s">
        <v>488</v>
      </c>
      <c r="U1423" s="2">
        <v>0</v>
      </c>
      <c r="V1423" s="2">
        <v>0</v>
      </c>
      <c r="W1423">
        <f t="shared" si="22"/>
        <v>1</v>
      </c>
    </row>
    <row r="1424" spans="1:23" x14ac:dyDescent="0.25">
      <c r="A1424" s="2" t="s">
        <v>628</v>
      </c>
      <c r="B1424" s="2" t="s">
        <v>918</v>
      </c>
      <c r="C1424" s="2">
        <v>540093</v>
      </c>
      <c r="D1424" s="2" t="s">
        <v>647</v>
      </c>
      <c r="E1424" s="2" t="s">
        <v>11</v>
      </c>
      <c r="F1424" s="2" t="s">
        <v>115</v>
      </c>
      <c r="G1424" s="2">
        <v>11</v>
      </c>
      <c r="H1424" s="2">
        <v>0</v>
      </c>
      <c r="I1424" s="2">
        <v>0</v>
      </c>
      <c r="J1424" s="2">
        <v>0</v>
      </c>
      <c r="K1424" s="2">
        <v>0</v>
      </c>
      <c r="L1424" s="2">
        <v>0</v>
      </c>
      <c r="M1424" s="2">
        <v>0</v>
      </c>
      <c r="N1424" s="2">
        <v>0</v>
      </c>
      <c r="O1424" s="2">
        <v>0</v>
      </c>
      <c r="P1424" s="2">
        <v>0</v>
      </c>
      <c r="Q1424" s="2">
        <v>0</v>
      </c>
      <c r="R1424" s="2">
        <v>0</v>
      </c>
      <c r="S1424" s="2" t="s">
        <v>488</v>
      </c>
      <c r="T1424" s="2" t="s">
        <v>488</v>
      </c>
      <c r="U1424" s="2">
        <v>0</v>
      </c>
      <c r="V1424" s="2">
        <v>0</v>
      </c>
      <c r="W1424">
        <f t="shared" si="22"/>
        <v>0</v>
      </c>
    </row>
    <row r="1425" spans="1:23" x14ac:dyDescent="0.25">
      <c r="A1425" s="2" t="s">
        <v>628</v>
      </c>
      <c r="B1425" s="2" t="s">
        <v>918</v>
      </c>
      <c r="C1425" s="2">
        <v>540084</v>
      </c>
      <c r="D1425" s="2" t="s">
        <v>648</v>
      </c>
      <c r="E1425" s="2" t="s">
        <v>11</v>
      </c>
      <c r="F1425" s="2" t="s">
        <v>115</v>
      </c>
      <c r="G1425" s="2">
        <v>11</v>
      </c>
      <c r="H1425" s="2">
        <v>0</v>
      </c>
      <c r="I1425" s="2">
        <v>0</v>
      </c>
      <c r="J1425" s="2">
        <v>0</v>
      </c>
      <c r="K1425" s="2">
        <v>0</v>
      </c>
      <c r="L1425" s="2">
        <v>0</v>
      </c>
      <c r="M1425" s="2">
        <v>0</v>
      </c>
      <c r="N1425" s="2">
        <v>0</v>
      </c>
      <c r="O1425" s="2">
        <v>0</v>
      </c>
      <c r="P1425" s="2">
        <v>0</v>
      </c>
      <c r="Q1425" s="2">
        <v>0</v>
      </c>
      <c r="R1425" s="2">
        <v>0</v>
      </c>
      <c r="S1425" s="2" t="s">
        <v>488</v>
      </c>
      <c r="T1425" s="2" t="s">
        <v>488</v>
      </c>
      <c r="U1425" s="2">
        <v>0</v>
      </c>
      <c r="V1425" s="2">
        <v>0</v>
      </c>
      <c r="W1425">
        <f t="shared" si="22"/>
        <v>0</v>
      </c>
    </row>
    <row r="1426" spans="1:23" x14ac:dyDescent="0.25">
      <c r="A1426" s="255" t="s">
        <v>628</v>
      </c>
      <c r="B1426" s="255" t="s">
        <v>918</v>
      </c>
      <c r="C1426" s="255"/>
      <c r="D1426" s="255"/>
      <c r="E1426" s="255" t="s">
        <v>11</v>
      </c>
      <c r="F1426" s="255"/>
      <c r="G1426" s="255"/>
      <c r="H1426" s="255">
        <v>1</v>
      </c>
      <c r="I1426" s="255">
        <v>1</v>
      </c>
      <c r="J1426" s="255">
        <v>0</v>
      </c>
      <c r="K1426" s="255">
        <v>0</v>
      </c>
      <c r="L1426" s="255">
        <v>0</v>
      </c>
      <c r="M1426" s="255">
        <v>1</v>
      </c>
      <c r="N1426" s="255">
        <v>2</v>
      </c>
      <c r="O1426" s="255">
        <v>0</v>
      </c>
      <c r="P1426" s="255">
        <v>0</v>
      </c>
      <c r="Q1426" s="255">
        <v>0</v>
      </c>
      <c r="R1426" s="255">
        <v>0</v>
      </c>
      <c r="S1426" s="255" t="s">
        <v>488</v>
      </c>
      <c r="T1426" s="255" t="s">
        <v>488</v>
      </c>
      <c r="U1426" s="255">
        <v>0</v>
      </c>
      <c r="V1426" s="255">
        <v>0</v>
      </c>
      <c r="W1426">
        <f t="shared" si="22"/>
        <v>2</v>
      </c>
    </row>
    <row r="1427" spans="1:23" x14ac:dyDescent="0.25">
      <c r="A1427" s="2" t="s">
        <v>628</v>
      </c>
      <c r="B1427" s="2" t="s">
        <v>918</v>
      </c>
      <c r="C1427" s="2">
        <v>540016</v>
      </c>
      <c r="D1427" s="2" t="s">
        <v>649</v>
      </c>
      <c r="E1427" s="2" t="s">
        <v>13</v>
      </c>
      <c r="F1427" s="2" t="s">
        <v>5</v>
      </c>
      <c r="G1427" s="2">
        <v>2</v>
      </c>
      <c r="H1427" s="2">
        <v>0</v>
      </c>
      <c r="I1427" s="2">
        <v>0</v>
      </c>
      <c r="J1427" s="2">
        <v>0</v>
      </c>
      <c r="K1427" s="2">
        <v>0</v>
      </c>
      <c r="L1427" s="2">
        <v>0</v>
      </c>
      <c r="M1427" s="2">
        <v>0</v>
      </c>
      <c r="N1427" s="2">
        <v>0</v>
      </c>
      <c r="O1427" s="2">
        <v>0</v>
      </c>
      <c r="P1427" s="2">
        <v>0</v>
      </c>
      <c r="Q1427" s="2">
        <v>0</v>
      </c>
      <c r="R1427" s="2">
        <v>0</v>
      </c>
      <c r="S1427" s="2" t="s">
        <v>488</v>
      </c>
      <c r="T1427" s="2" t="s">
        <v>488</v>
      </c>
      <c r="U1427" s="2">
        <v>0</v>
      </c>
      <c r="V1427" s="2">
        <v>1</v>
      </c>
      <c r="W1427">
        <f t="shared" si="22"/>
        <v>1</v>
      </c>
    </row>
    <row r="1428" spans="1:23" x14ac:dyDescent="0.25">
      <c r="A1428" s="2" t="s">
        <v>628</v>
      </c>
      <c r="B1428" s="2" t="s">
        <v>918</v>
      </c>
      <c r="C1428" s="2">
        <v>540017</v>
      </c>
      <c r="D1428" s="2" t="s">
        <v>650</v>
      </c>
      <c r="E1428" s="2" t="s">
        <v>13</v>
      </c>
      <c r="F1428" s="2" t="s">
        <v>115</v>
      </c>
      <c r="G1428" s="2">
        <v>2</v>
      </c>
      <c r="H1428" s="2">
        <v>0</v>
      </c>
      <c r="I1428" s="2">
        <v>0</v>
      </c>
      <c r="J1428" s="2">
        <v>0</v>
      </c>
      <c r="K1428" s="2">
        <v>0</v>
      </c>
      <c r="L1428" s="2">
        <v>0</v>
      </c>
      <c r="M1428" s="2">
        <v>0</v>
      </c>
      <c r="N1428" s="2">
        <v>0</v>
      </c>
      <c r="O1428" s="2">
        <v>0</v>
      </c>
      <c r="P1428" s="2">
        <v>0</v>
      </c>
      <c r="Q1428" s="2">
        <v>0</v>
      </c>
      <c r="R1428" s="2">
        <v>0</v>
      </c>
      <c r="S1428" s="2" t="s">
        <v>488</v>
      </c>
      <c r="T1428" s="2" t="s">
        <v>488</v>
      </c>
      <c r="U1428" s="2">
        <v>0</v>
      </c>
      <c r="V1428" s="2">
        <v>0</v>
      </c>
      <c r="W1428">
        <f t="shared" si="22"/>
        <v>0</v>
      </c>
    </row>
    <row r="1429" spans="1:23" x14ac:dyDescent="0.25">
      <c r="A1429" s="2" t="s">
        <v>628</v>
      </c>
      <c r="B1429" s="2" t="s">
        <v>918</v>
      </c>
      <c r="C1429" s="2">
        <v>540018</v>
      </c>
      <c r="D1429" s="2" t="s">
        <v>651</v>
      </c>
      <c r="E1429" s="2" t="s">
        <v>13</v>
      </c>
      <c r="F1429" s="2" t="s">
        <v>115</v>
      </c>
      <c r="G1429" s="2">
        <v>2</v>
      </c>
      <c r="H1429" s="2">
        <v>0</v>
      </c>
      <c r="I1429" s="2">
        <v>1</v>
      </c>
      <c r="J1429" s="2">
        <v>0</v>
      </c>
      <c r="K1429" s="2">
        <v>0</v>
      </c>
      <c r="L1429" s="2">
        <v>0</v>
      </c>
      <c r="M1429" s="2">
        <v>1</v>
      </c>
      <c r="N1429" s="2">
        <v>1</v>
      </c>
      <c r="O1429" s="2">
        <v>0</v>
      </c>
      <c r="P1429" s="2">
        <v>0</v>
      </c>
      <c r="Q1429" s="2">
        <v>0</v>
      </c>
      <c r="R1429" s="2">
        <v>0</v>
      </c>
      <c r="S1429" s="2" t="s">
        <v>488</v>
      </c>
      <c r="T1429" s="2" t="s">
        <v>488</v>
      </c>
      <c r="U1429" s="2">
        <v>0</v>
      </c>
      <c r="V1429" s="2">
        <v>2</v>
      </c>
      <c r="W1429">
        <f t="shared" si="22"/>
        <v>3</v>
      </c>
    </row>
    <row r="1430" spans="1:23" x14ac:dyDescent="0.25">
      <c r="A1430" s="2" t="s">
        <v>628</v>
      </c>
      <c r="B1430" s="2" t="s">
        <v>918</v>
      </c>
      <c r="C1430" s="2">
        <v>540019</v>
      </c>
      <c r="D1430" s="2" t="s">
        <v>652</v>
      </c>
      <c r="E1430" s="2" t="s">
        <v>13</v>
      </c>
      <c r="F1430" s="2" t="s">
        <v>115</v>
      </c>
      <c r="G1430" s="2">
        <v>2</v>
      </c>
      <c r="H1430" s="2">
        <v>0</v>
      </c>
      <c r="I1430" s="2">
        <v>1</v>
      </c>
      <c r="J1430" s="2">
        <v>0</v>
      </c>
      <c r="K1430" s="2">
        <v>0</v>
      </c>
      <c r="L1430" s="2">
        <v>0</v>
      </c>
      <c r="M1430" s="2">
        <v>1</v>
      </c>
      <c r="N1430" s="2">
        <v>1</v>
      </c>
      <c r="O1430" s="2">
        <v>0</v>
      </c>
      <c r="P1430" s="2">
        <v>0</v>
      </c>
      <c r="Q1430" s="2">
        <v>0</v>
      </c>
      <c r="R1430" s="2">
        <v>0</v>
      </c>
      <c r="S1430" s="2" t="s">
        <v>488</v>
      </c>
      <c r="T1430" s="2" t="s">
        <v>488</v>
      </c>
      <c r="U1430" s="2">
        <v>0</v>
      </c>
      <c r="V1430" s="2">
        <v>0</v>
      </c>
      <c r="W1430">
        <f t="shared" si="22"/>
        <v>1</v>
      </c>
    </row>
    <row r="1431" spans="1:23" x14ac:dyDescent="0.25">
      <c r="A1431" s="255" t="s">
        <v>628</v>
      </c>
      <c r="B1431" s="255" t="s">
        <v>918</v>
      </c>
      <c r="C1431" s="255"/>
      <c r="D1431" s="255"/>
      <c r="E1431" s="255" t="s">
        <v>13</v>
      </c>
      <c r="F1431" s="255"/>
      <c r="G1431" s="255"/>
      <c r="H1431" s="255">
        <v>0</v>
      </c>
      <c r="I1431" s="255">
        <v>2</v>
      </c>
      <c r="J1431" s="255">
        <v>0</v>
      </c>
      <c r="K1431" s="255">
        <v>0</v>
      </c>
      <c r="L1431" s="255">
        <v>0</v>
      </c>
      <c r="M1431" s="255">
        <v>2</v>
      </c>
      <c r="N1431" s="255">
        <v>2</v>
      </c>
      <c r="O1431" s="255">
        <v>0</v>
      </c>
      <c r="P1431" s="255">
        <v>0</v>
      </c>
      <c r="Q1431" s="255">
        <v>0</v>
      </c>
      <c r="R1431" s="255">
        <v>0</v>
      </c>
      <c r="S1431" s="255" t="s">
        <v>488</v>
      </c>
      <c r="T1431" s="255" t="s">
        <v>488</v>
      </c>
      <c r="U1431" s="255">
        <v>0</v>
      </c>
      <c r="V1431" s="255">
        <v>3</v>
      </c>
      <c r="W1431">
        <f t="shared" si="22"/>
        <v>5</v>
      </c>
    </row>
    <row r="1432" spans="1:23" x14ac:dyDescent="0.25">
      <c r="A1432" s="2" t="s">
        <v>628</v>
      </c>
      <c r="B1432" s="2" t="s">
        <v>918</v>
      </c>
      <c r="C1432" s="2">
        <v>540020</v>
      </c>
      <c r="D1432" s="2" t="s">
        <v>653</v>
      </c>
      <c r="E1432" s="2" t="s">
        <v>15</v>
      </c>
      <c r="F1432" s="2" t="s">
        <v>5</v>
      </c>
      <c r="G1432" s="2">
        <v>5</v>
      </c>
      <c r="H1432" s="2">
        <v>0</v>
      </c>
      <c r="I1432" s="2">
        <v>1</v>
      </c>
      <c r="J1432" s="2">
        <v>0</v>
      </c>
      <c r="K1432" s="2">
        <v>0</v>
      </c>
      <c r="L1432" s="2">
        <v>0</v>
      </c>
      <c r="M1432" s="2">
        <v>1</v>
      </c>
      <c r="N1432" s="2">
        <v>1</v>
      </c>
      <c r="O1432" s="2">
        <v>0</v>
      </c>
      <c r="P1432" s="2">
        <v>0</v>
      </c>
      <c r="Q1432" s="2" t="s">
        <v>488</v>
      </c>
      <c r="R1432" s="2" t="s">
        <v>488</v>
      </c>
      <c r="S1432" s="2" t="s">
        <v>488</v>
      </c>
      <c r="T1432" s="2" t="s">
        <v>488</v>
      </c>
      <c r="U1432" s="2">
        <v>0</v>
      </c>
      <c r="V1432" s="2">
        <v>0</v>
      </c>
      <c r="W1432">
        <f t="shared" si="22"/>
        <v>1</v>
      </c>
    </row>
    <row r="1433" spans="1:23" x14ac:dyDescent="0.25">
      <c r="A1433" s="2" t="s">
        <v>628</v>
      </c>
      <c r="B1433" s="2" t="s">
        <v>918</v>
      </c>
      <c r="C1433" s="2">
        <v>540021</v>
      </c>
      <c r="D1433" s="2" t="s">
        <v>654</v>
      </c>
      <c r="E1433" s="2" t="s">
        <v>15</v>
      </c>
      <c r="F1433" s="2" t="s">
        <v>115</v>
      </c>
      <c r="G1433" s="2">
        <v>5</v>
      </c>
      <c r="H1433" s="2">
        <v>0</v>
      </c>
      <c r="I1433" s="2">
        <v>0</v>
      </c>
      <c r="J1433" s="2">
        <v>0</v>
      </c>
      <c r="K1433" s="2">
        <v>0</v>
      </c>
      <c r="L1433" s="2">
        <v>0</v>
      </c>
      <c r="M1433" s="2">
        <v>0</v>
      </c>
      <c r="N1433" s="2">
        <v>0</v>
      </c>
      <c r="O1433" s="2">
        <v>0</v>
      </c>
      <c r="P1433" s="2">
        <v>0</v>
      </c>
      <c r="Q1433" s="2" t="s">
        <v>488</v>
      </c>
      <c r="R1433" s="2" t="s">
        <v>488</v>
      </c>
      <c r="S1433" s="2" t="s">
        <v>488</v>
      </c>
      <c r="T1433" s="2" t="s">
        <v>488</v>
      </c>
      <c r="U1433" s="2">
        <v>0</v>
      </c>
      <c r="V1433" s="2">
        <v>0</v>
      </c>
      <c r="W1433">
        <f t="shared" si="22"/>
        <v>0</v>
      </c>
    </row>
    <row r="1434" spans="1:23" x14ac:dyDescent="0.25">
      <c r="A1434" s="255" t="s">
        <v>628</v>
      </c>
      <c r="B1434" s="255" t="s">
        <v>918</v>
      </c>
      <c r="C1434" s="255"/>
      <c r="D1434" s="255"/>
      <c r="E1434" s="255" t="s">
        <v>15</v>
      </c>
      <c r="F1434" s="255"/>
      <c r="G1434" s="255"/>
      <c r="H1434" s="255">
        <v>0</v>
      </c>
      <c r="I1434" s="255">
        <v>1</v>
      </c>
      <c r="J1434" s="255">
        <v>0</v>
      </c>
      <c r="K1434" s="255">
        <v>0</v>
      </c>
      <c r="L1434" s="255">
        <v>0</v>
      </c>
      <c r="M1434" s="255">
        <v>1</v>
      </c>
      <c r="N1434" s="255">
        <v>1</v>
      </c>
      <c r="O1434" s="255">
        <v>0</v>
      </c>
      <c r="P1434" s="255">
        <v>0</v>
      </c>
      <c r="Q1434" s="255" t="s">
        <v>488</v>
      </c>
      <c r="R1434" s="255" t="s">
        <v>488</v>
      </c>
      <c r="S1434" s="255" t="s">
        <v>488</v>
      </c>
      <c r="T1434" s="255" t="s">
        <v>488</v>
      </c>
      <c r="U1434" s="255">
        <v>0</v>
      </c>
      <c r="V1434" s="255">
        <v>0</v>
      </c>
      <c r="W1434">
        <f t="shared" si="22"/>
        <v>1</v>
      </c>
    </row>
    <row r="1435" spans="1:23" x14ac:dyDescent="0.25">
      <c r="A1435" s="2" t="s">
        <v>628</v>
      </c>
      <c r="B1435" s="2" t="s">
        <v>918</v>
      </c>
      <c r="C1435" s="2">
        <v>540022</v>
      </c>
      <c r="D1435" s="2" t="s">
        <v>655</v>
      </c>
      <c r="E1435" s="2" t="s">
        <v>17</v>
      </c>
      <c r="F1435" s="2" t="s">
        <v>5</v>
      </c>
      <c r="G1435" s="2">
        <v>3</v>
      </c>
      <c r="H1435" s="2">
        <v>0</v>
      </c>
      <c r="I1435" s="2">
        <v>1</v>
      </c>
      <c r="J1435" s="2">
        <v>0</v>
      </c>
      <c r="K1435" s="2">
        <v>0</v>
      </c>
      <c r="L1435" s="2">
        <v>0</v>
      </c>
      <c r="M1435" s="2">
        <v>1</v>
      </c>
      <c r="N1435" s="2">
        <v>1</v>
      </c>
      <c r="O1435" s="2">
        <v>0</v>
      </c>
      <c r="P1435" s="2">
        <v>0</v>
      </c>
      <c r="Q1435" s="2" t="s">
        <v>488</v>
      </c>
      <c r="R1435" s="2" t="s">
        <v>488</v>
      </c>
      <c r="S1435" s="2" t="s">
        <v>488</v>
      </c>
      <c r="T1435" s="2" t="s">
        <v>488</v>
      </c>
      <c r="U1435" s="2">
        <v>0</v>
      </c>
      <c r="V1435" s="2">
        <v>0</v>
      </c>
      <c r="W1435">
        <f t="shared" si="22"/>
        <v>1</v>
      </c>
    </row>
    <row r="1436" spans="1:23" x14ac:dyDescent="0.25">
      <c r="A1436" s="2" t="s">
        <v>628</v>
      </c>
      <c r="B1436" s="2" t="s">
        <v>918</v>
      </c>
      <c r="C1436" s="2">
        <v>540023</v>
      </c>
      <c r="D1436" s="2" t="s">
        <v>656</v>
      </c>
      <c r="E1436" s="2" t="s">
        <v>17</v>
      </c>
      <c r="F1436" s="2" t="s">
        <v>115</v>
      </c>
      <c r="G1436" s="2">
        <v>3</v>
      </c>
      <c r="H1436" s="2">
        <v>0</v>
      </c>
      <c r="I1436" s="2">
        <v>0</v>
      </c>
      <c r="J1436" s="2">
        <v>0</v>
      </c>
      <c r="K1436" s="2">
        <v>0</v>
      </c>
      <c r="L1436" s="2">
        <v>0</v>
      </c>
      <c r="M1436" s="2">
        <v>0</v>
      </c>
      <c r="N1436" s="2">
        <v>0</v>
      </c>
      <c r="O1436" s="2">
        <v>0</v>
      </c>
      <c r="P1436" s="2">
        <v>0</v>
      </c>
      <c r="Q1436" s="2" t="s">
        <v>488</v>
      </c>
      <c r="R1436" s="2" t="s">
        <v>488</v>
      </c>
      <c r="S1436" s="2" t="s">
        <v>488</v>
      </c>
      <c r="T1436" s="2" t="s">
        <v>488</v>
      </c>
      <c r="U1436" s="2">
        <v>0</v>
      </c>
      <c r="V1436" s="2">
        <v>0</v>
      </c>
      <c r="W1436">
        <f t="shared" si="22"/>
        <v>0</v>
      </c>
    </row>
    <row r="1437" spans="1:23" x14ac:dyDescent="0.25">
      <c r="A1437" s="255" t="s">
        <v>628</v>
      </c>
      <c r="B1437" s="255" t="s">
        <v>918</v>
      </c>
      <c r="C1437" s="255"/>
      <c r="D1437" s="255"/>
      <c r="E1437" s="255" t="s">
        <v>17</v>
      </c>
      <c r="F1437" s="255"/>
      <c r="G1437" s="255"/>
      <c r="H1437" s="255">
        <v>0</v>
      </c>
      <c r="I1437" s="255">
        <v>1</v>
      </c>
      <c r="J1437" s="255">
        <v>0</v>
      </c>
      <c r="K1437" s="255">
        <v>0</v>
      </c>
      <c r="L1437" s="255">
        <v>0</v>
      </c>
      <c r="M1437" s="255">
        <v>1</v>
      </c>
      <c r="N1437" s="255">
        <v>1</v>
      </c>
      <c r="O1437" s="255">
        <v>0</v>
      </c>
      <c r="P1437" s="255">
        <v>0</v>
      </c>
      <c r="Q1437" s="255" t="s">
        <v>488</v>
      </c>
      <c r="R1437" s="255" t="s">
        <v>488</v>
      </c>
      <c r="S1437" s="255" t="s">
        <v>488</v>
      </c>
      <c r="T1437" s="255" t="s">
        <v>488</v>
      </c>
      <c r="U1437" s="255">
        <v>0</v>
      </c>
      <c r="V1437" s="255">
        <v>0</v>
      </c>
      <c r="W1437">
        <f t="shared" si="22"/>
        <v>1</v>
      </c>
    </row>
    <row r="1438" spans="1:23" x14ac:dyDescent="0.25">
      <c r="A1438" s="2" t="s">
        <v>628</v>
      </c>
      <c r="B1438" s="2" t="s">
        <v>918</v>
      </c>
      <c r="C1438" s="2">
        <v>540024</v>
      </c>
      <c r="D1438" s="2" t="s">
        <v>657</v>
      </c>
      <c r="E1438" s="2" t="s">
        <v>19</v>
      </c>
      <c r="F1438" s="2" t="s">
        <v>5</v>
      </c>
      <c r="G1438" s="2">
        <v>6</v>
      </c>
      <c r="H1438" s="2">
        <v>2</v>
      </c>
      <c r="I1438" s="2">
        <v>1</v>
      </c>
      <c r="J1438" s="2">
        <v>0</v>
      </c>
      <c r="K1438" s="2">
        <v>0</v>
      </c>
      <c r="L1438" s="2">
        <v>0</v>
      </c>
      <c r="M1438" s="2">
        <v>1</v>
      </c>
      <c r="N1438" s="2">
        <v>3</v>
      </c>
      <c r="O1438" s="2">
        <v>0</v>
      </c>
      <c r="P1438" s="2">
        <v>0</v>
      </c>
      <c r="Q1438" s="2">
        <v>0</v>
      </c>
      <c r="R1438" s="2">
        <v>0</v>
      </c>
      <c r="S1438" s="2" t="s">
        <v>488</v>
      </c>
      <c r="T1438" s="2" t="s">
        <v>488</v>
      </c>
      <c r="U1438" s="2">
        <v>0</v>
      </c>
      <c r="V1438" s="2">
        <v>0</v>
      </c>
      <c r="W1438">
        <f t="shared" si="22"/>
        <v>3</v>
      </c>
    </row>
    <row r="1439" spans="1:23" x14ac:dyDescent="0.25">
      <c r="A1439" s="2" t="s">
        <v>628</v>
      </c>
      <c r="B1439" s="2" t="s">
        <v>918</v>
      </c>
      <c r="C1439" s="2">
        <v>540025</v>
      </c>
      <c r="D1439" s="2" t="s">
        <v>658</v>
      </c>
      <c r="E1439" s="2" t="s">
        <v>19</v>
      </c>
      <c r="F1439" s="2" t="s">
        <v>115</v>
      </c>
      <c r="G1439" s="2">
        <v>6</v>
      </c>
      <c r="H1439" s="2">
        <v>0</v>
      </c>
      <c r="I1439" s="2">
        <v>0</v>
      </c>
      <c r="J1439" s="2">
        <v>0</v>
      </c>
      <c r="K1439" s="2">
        <v>0</v>
      </c>
      <c r="L1439" s="2">
        <v>0</v>
      </c>
      <c r="M1439" s="2">
        <v>0</v>
      </c>
      <c r="N1439" s="2">
        <v>0</v>
      </c>
      <c r="O1439" s="2">
        <v>0</v>
      </c>
      <c r="P1439" s="2">
        <v>0</v>
      </c>
      <c r="Q1439" s="2">
        <v>0</v>
      </c>
      <c r="R1439" s="2">
        <v>0</v>
      </c>
      <c r="S1439" s="2" t="s">
        <v>488</v>
      </c>
      <c r="T1439" s="2" t="s">
        <v>488</v>
      </c>
      <c r="U1439" s="2">
        <v>0</v>
      </c>
      <c r="V1439" s="2">
        <v>0</v>
      </c>
      <c r="W1439">
        <f t="shared" si="22"/>
        <v>0</v>
      </c>
    </row>
    <row r="1440" spans="1:23" x14ac:dyDescent="0.25">
      <c r="A1440" s="255" t="s">
        <v>628</v>
      </c>
      <c r="B1440" s="255" t="s">
        <v>918</v>
      </c>
      <c r="C1440" s="255"/>
      <c r="D1440" s="255"/>
      <c r="E1440" s="255" t="s">
        <v>19</v>
      </c>
      <c r="F1440" s="255"/>
      <c r="G1440" s="255"/>
      <c r="H1440" s="255">
        <v>2</v>
      </c>
      <c r="I1440" s="255">
        <v>1</v>
      </c>
      <c r="J1440" s="255">
        <v>0</v>
      </c>
      <c r="K1440" s="255">
        <v>0</v>
      </c>
      <c r="L1440" s="255">
        <v>0</v>
      </c>
      <c r="M1440" s="255">
        <v>1</v>
      </c>
      <c r="N1440" s="255">
        <v>3</v>
      </c>
      <c r="O1440" s="255">
        <v>0</v>
      </c>
      <c r="P1440" s="255">
        <v>0</v>
      </c>
      <c r="Q1440" s="255">
        <v>0</v>
      </c>
      <c r="R1440" s="255">
        <v>0</v>
      </c>
      <c r="S1440" s="255" t="s">
        <v>488</v>
      </c>
      <c r="T1440" s="255" t="s">
        <v>488</v>
      </c>
      <c r="U1440" s="255">
        <v>0</v>
      </c>
      <c r="V1440" s="255">
        <v>0</v>
      </c>
      <c r="W1440">
        <f t="shared" si="22"/>
        <v>3</v>
      </c>
    </row>
    <row r="1441" spans="1:23" x14ac:dyDescent="0.25">
      <c r="A1441" s="2" t="s">
        <v>628</v>
      </c>
      <c r="B1441" s="2" t="s">
        <v>918</v>
      </c>
      <c r="C1441" s="2">
        <v>540035</v>
      </c>
      <c r="D1441" s="2" t="s">
        <v>659</v>
      </c>
      <c r="E1441" s="2" t="s">
        <v>23</v>
      </c>
      <c r="F1441" s="2" t="s">
        <v>5</v>
      </c>
      <c r="G1441" s="2">
        <v>7</v>
      </c>
      <c r="H1441" s="2">
        <v>0</v>
      </c>
      <c r="I1441" s="2">
        <v>2</v>
      </c>
      <c r="J1441" s="2">
        <v>0</v>
      </c>
      <c r="K1441" s="2">
        <v>0</v>
      </c>
      <c r="L1441" s="2">
        <v>0</v>
      </c>
      <c r="M1441" s="2">
        <v>2</v>
      </c>
      <c r="N1441" s="2">
        <v>2</v>
      </c>
      <c r="O1441" s="2">
        <v>0</v>
      </c>
      <c r="P1441" s="2">
        <v>0</v>
      </c>
      <c r="Q1441" s="2" t="s">
        <v>488</v>
      </c>
      <c r="R1441" s="2" t="s">
        <v>488</v>
      </c>
      <c r="S1441" s="2" t="s">
        <v>488</v>
      </c>
      <c r="T1441" s="2" t="s">
        <v>488</v>
      </c>
      <c r="U1441" s="2">
        <v>0</v>
      </c>
      <c r="V1441" s="2">
        <v>0</v>
      </c>
      <c r="W1441">
        <f t="shared" si="22"/>
        <v>2</v>
      </c>
    </row>
    <row r="1442" spans="1:23" x14ac:dyDescent="0.25">
      <c r="A1442" s="2" t="s">
        <v>628</v>
      </c>
      <c r="B1442" s="2" t="s">
        <v>918</v>
      </c>
      <c r="C1442" s="2">
        <v>540036</v>
      </c>
      <c r="D1442" s="2" t="s">
        <v>660</v>
      </c>
      <c r="E1442" s="2" t="s">
        <v>23</v>
      </c>
      <c r="F1442" s="2" t="s">
        <v>115</v>
      </c>
      <c r="G1442" s="2">
        <v>7</v>
      </c>
      <c r="H1442" s="2">
        <v>0</v>
      </c>
      <c r="I1442" s="2">
        <v>0</v>
      </c>
      <c r="J1442" s="2">
        <v>0</v>
      </c>
      <c r="K1442" s="2">
        <v>0</v>
      </c>
      <c r="L1442" s="2">
        <v>0</v>
      </c>
      <c r="M1442" s="2">
        <v>0</v>
      </c>
      <c r="N1442" s="2">
        <v>0</v>
      </c>
      <c r="O1442" s="2">
        <v>0</v>
      </c>
      <c r="P1442" s="2">
        <v>0</v>
      </c>
      <c r="Q1442" s="2" t="s">
        <v>488</v>
      </c>
      <c r="R1442" s="2" t="s">
        <v>488</v>
      </c>
      <c r="S1442" s="2" t="s">
        <v>488</v>
      </c>
      <c r="T1442" s="2" t="s">
        <v>488</v>
      </c>
      <c r="U1442" s="2">
        <v>0</v>
      </c>
      <c r="V1442" s="2">
        <v>0</v>
      </c>
      <c r="W1442">
        <f t="shared" si="22"/>
        <v>0</v>
      </c>
    </row>
    <row r="1443" spans="1:23" x14ac:dyDescent="0.25">
      <c r="A1443" s="2" t="s">
        <v>628</v>
      </c>
      <c r="B1443" s="2" t="s">
        <v>918</v>
      </c>
      <c r="C1443" s="2">
        <v>540037</v>
      </c>
      <c r="D1443" s="2" t="s">
        <v>661</v>
      </c>
      <c r="E1443" s="2" t="s">
        <v>23</v>
      </c>
      <c r="F1443" s="2" t="s">
        <v>115</v>
      </c>
      <c r="G1443" s="2">
        <v>7</v>
      </c>
      <c r="H1443" s="2">
        <v>0</v>
      </c>
      <c r="I1443" s="2">
        <v>0</v>
      </c>
      <c r="J1443" s="2">
        <v>0</v>
      </c>
      <c r="K1443" s="2">
        <v>0</v>
      </c>
      <c r="L1443" s="2">
        <v>0</v>
      </c>
      <c r="M1443" s="2">
        <v>0</v>
      </c>
      <c r="N1443" s="2">
        <v>0</v>
      </c>
      <c r="O1443" s="2">
        <v>0</v>
      </c>
      <c r="P1443" s="2">
        <v>0</v>
      </c>
      <c r="Q1443" s="2" t="s">
        <v>488</v>
      </c>
      <c r="R1443" s="2" t="s">
        <v>488</v>
      </c>
      <c r="S1443" s="2" t="s">
        <v>488</v>
      </c>
      <c r="T1443" s="2" t="s">
        <v>488</v>
      </c>
      <c r="U1443" s="2">
        <v>1</v>
      </c>
      <c r="V1443" s="2">
        <v>0</v>
      </c>
      <c r="W1443">
        <f t="shared" si="22"/>
        <v>1</v>
      </c>
    </row>
    <row r="1444" spans="1:23" x14ac:dyDescent="0.25">
      <c r="A1444" s="255" t="s">
        <v>628</v>
      </c>
      <c r="B1444" s="255" t="s">
        <v>918</v>
      </c>
      <c r="C1444" s="255"/>
      <c r="D1444" s="255"/>
      <c r="E1444" s="255" t="s">
        <v>23</v>
      </c>
      <c r="F1444" s="255"/>
      <c r="G1444" s="255"/>
      <c r="H1444" s="255">
        <v>0</v>
      </c>
      <c r="I1444" s="255">
        <v>2</v>
      </c>
      <c r="J1444" s="255">
        <v>0</v>
      </c>
      <c r="K1444" s="255">
        <v>0</v>
      </c>
      <c r="L1444" s="255">
        <v>0</v>
      </c>
      <c r="M1444" s="255">
        <v>2</v>
      </c>
      <c r="N1444" s="255">
        <v>2</v>
      </c>
      <c r="O1444" s="255">
        <v>0</v>
      </c>
      <c r="P1444" s="255">
        <v>0</v>
      </c>
      <c r="Q1444" s="255" t="s">
        <v>488</v>
      </c>
      <c r="R1444" s="255" t="s">
        <v>488</v>
      </c>
      <c r="S1444" s="255" t="s">
        <v>488</v>
      </c>
      <c r="T1444" s="255" t="s">
        <v>488</v>
      </c>
      <c r="U1444" s="255">
        <v>1</v>
      </c>
      <c r="V1444" s="255">
        <v>0</v>
      </c>
      <c r="W1444">
        <f t="shared" si="22"/>
        <v>3</v>
      </c>
    </row>
    <row r="1445" spans="1:23" x14ac:dyDescent="0.25">
      <c r="A1445" s="2" t="s">
        <v>628</v>
      </c>
      <c r="B1445" s="2" t="s">
        <v>918</v>
      </c>
      <c r="C1445" s="2">
        <v>540038</v>
      </c>
      <c r="D1445" s="2" t="s">
        <v>662</v>
      </c>
      <c r="E1445" s="2" t="s">
        <v>25</v>
      </c>
      <c r="F1445" s="2" t="s">
        <v>5</v>
      </c>
      <c r="G1445" s="2">
        <v>8</v>
      </c>
      <c r="H1445" s="2">
        <v>0</v>
      </c>
      <c r="I1445" s="2">
        <v>0</v>
      </c>
      <c r="J1445" s="2">
        <v>0</v>
      </c>
      <c r="K1445" s="2">
        <v>0</v>
      </c>
      <c r="L1445" s="2">
        <v>0</v>
      </c>
      <c r="M1445" s="2">
        <v>0</v>
      </c>
      <c r="N1445" s="2">
        <v>0</v>
      </c>
      <c r="O1445" s="2">
        <v>0</v>
      </c>
      <c r="P1445" s="2">
        <v>0</v>
      </c>
      <c r="Q1445" s="2" t="s">
        <v>488</v>
      </c>
      <c r="R1445" s="2" t="s">
        <v>488</v>
      </c>
      <c r="S1445" s="2" t="s">
        <v>488</v>
      </c>
      <c r="T1445" s="2" t="s">
        <v>488</v>
      </c>
      <c r="U1445" s="2">
        <v>0</v>
      </c>
      <c r="V1445" s="2">
        <v>0</v>
      </c>
      <c r="W1445">
        <f t="shared" si="22"/>
        <v>0</v>
      </c>
    </row>
    <row r="1446" spans="1:23" x14ac:dyDescent="0.25">
      <c r="A1446" s="2" t="s">
        <v>628</v>
      </c>
      <c r="B1446" s="2" t="s">
        <v>918</v>
      </c>
      <c r="C1446" s="2">
        <v>540039</v>
      </c>
      <c r="D1446" s="2" t="s">
        <v>663</v>
      </c>
      <c r="E1446" s="2" t="s">
        <v>25</v>
      </c>
      <c r="F1446" s="2" t="s">
        <v>115</v>
      </c>
      <c r="G1446" s="2">
        <v>8</v>
      </c>
      <c r="H1446" s="2">
        <v>0</v>
      </c>
      <c r="I1446" s="2">
        <v>0</v>
      </c>
      <c r="J1446" s="2">
        <v>0</v>
      </c>
      <c r="K1446" s="2">
        <v>0</v>
      </c>
      <c r="L1446" s="2">
        <v>0</v>
      </c>
      <c r="M1446" s="2">
        <v>0</v>
      </c>
      <c r="N1446" s="2">
        <v>0</v>
      </c>
      <c r="O1446" s="2">
        <v>0</v>
      </c>
      <c r="P1446" s="2">
        <v>0</v>
      </c>
      <c r="Q1446" s="2" t="s">
        <v>488</v>
      </c>
      <c r="R1446" s="2" t="s">
        <v>488</v>
      </c>
      <c r="S1446" s="2" t="s">
        <v>488</v>
      </c>
      <c r="T1446" s="2" t="s">
        <v>488</v>
      </c>
      <c r="U1446" s="2">
        <v>0</v>
      </c>
      <c r="V1446" s="2">
        <v>1</v>
      </c>
      <c r="W1446">
        <f t="shared" si="22"/>
        <v>1</v>
      </c>
    </row>
    <row r="1447" spans="1:23" x14ac:dyDescent="0.25">
      <c r="A1447" s="2" t="s">
        <v>628</v>
      </c>
      <c r="B1447" s="2" t="s">
        <v>918</v>
      </c>
      <c r="C1447" s="2">
        <v>540240</v>
      </c>
      <c r="D1447" s="2" t="s">
        <v>664</v>
      </c>
      <c r="E1447" s="2" t="s">
        <v>25</v>
      </c>
      <c r="F1447" s="2" t="s">
        <v>115</v>
      </c>
      <c r="G1447" s="2">
        <v>8</v>
      </c>
      <c r="H1447" s="2">
        <v>0</v>
      </c>
      <c r="I1447" s="2">
        <v>0</v>
      </c>
      <c r="J1447" s="2">
        <v>0</v>
      </c>
      <c r="K1447" s="2">
        <v>0</v>
      </c>
      <c r="L1447" s="2">
        <v>0</v>
      </c>
      <c r="M1447" s="2">
        <v>0</v>
      </c>
      <c r="N1447" s="2">
        <v>0</v>
      </c>
      <c r="O1447" s="2">
        <v>0</v>
      </c>
      <c r="P1447" s="2">
        <v>0</v>
      </c>
      <c r="Q1447" s="2" t="s">
        <v>488</v>
      </c>
      <c r="R1447" s="2" t="s">
        <v>488</v>
      </c>
      <c r="S1447" s="2" t="s">
        <v>488</v>
      </c>
      <c r="T1447" s="2" t="s">
        <v>488</v>
      </c>
      <c r="U1447" s="2">
        <v>0</v>
      </c>
      <c r="V1447" s="2">
        <v>0</v>
      </c>
      <c r="W1447">
        <f t="shared" si="22"/>
        <v>0</v>
      </c>
    </row>
    <row r="1448" spans="1:23" x14ac:dyDescent="0.25">
      <c r="A1448" s="255" t="s">
        <v>628</v>
      </c>
      <c r="B1448" s="255" t="s">
        <v>918</v>
      </c>
      <c r="C1448" s="255"/>
      <c r="D1448" s="255"/>
      <c r="E1448" s="255" t="s">
        <v>25</v>
      </c>
      <c r="F1448" s="255"/>
      <c r="G1448" s="255"/>
      <c r="H1448" s="255">
        <v>0</v>
      </c>
      <c r="I1448" s="255">
        <v>0</v>
      </c>
      <c r="J1448" s="255">
        <v>0</v>
      </c>
      <c r="K1448" s="255">
        <v>0</v>
      </c>
      <c r="L1448" s="255">
        <v>0</v>
      </c>
      <c r="M1448" s="255">
        <v>0</v>
      </c>
      <c r="N1448" s="255">
        <v>0</v>
      </c>
      <c r="O1448" s="255">
        <v>0</v>
      </c>
      <c r="P1448" s="255">
        <v>0</v>
      </c>
      <c r="Q1448" s="255" t="s">
        <v>488</v>
      </c>
      <c r="R1448" s="255" t="s">
        <v>488</v>
      </c>
      <c r="S1448" s="255" t="s">
        <v>488</v>
      </c>
      <c r="T1448" s="255" t="s">
        <v>488</v>
      </c>
      <c r="U1448" s="255">
        <v>0</v>
      </c>
      <c r="V1448" s="255">
        <v>1</v>
      </c>
      <c r="W1448">
        <f t="shared" si="22"/>
        <v>1</v>
      </c>
    </row>
    <row r="1449" spans="1:23" x14ac:dyDescent="0.25">
      <c r="A1449" s="2" t="s">
        <v>628</v>
      </c>
      <c r="B1449" s="2" t="s">
        <v>918</v>
      </c>
      <c r="C1449" s="2">
        <v>540040</v>
      </c>
      <c r="D1449" s="2" t="s">
        <v>665</v>
      </c>
      <c r="E1449" s="2" t="s">
        <v>27</v>
      </c>
      <c r="F1449" s="2" t="s">
        <v>5</v>
      </c>
      <c r="G1449" s="2">
        <v>4</v>
      </c>
      <c r="H1449" s="2">
        <v>0</v>
      </c>
      <c r="I1449" s="2">
        <v>0</v>
      </c>
      <c r="J1449" s="2">
        <v>0</v>
      </c>
      <c r="K1449" s="2">
        <v>0</v>
      </c>
      <c r="L1449" s="2">
        <v>0</v>
      </c>
      <c r="M1449" s="2">
        <v>0</v>
      </c>
      <c r="N1449" s="2">
        <v>0</v>
      </c>
      <c r="O1449" s="2">
        <v>0</v>
      </c>
      <c r="P1449" s="2">
        <v>0</v>
      </c>
      <c r="Q1449" s="2">
        <v>0</v>
      </c>
      <c r="R1449" s="2">
        <v>0</v>
      </c>
      <c r="S1449" s="2" t="s">
        <v>488</v>
      </c>
      <c r="T1449" s="2" t="s">
        <v>488</v>
      </c>
      <c r="U1449" s="2">
        <v>0</v>
      </c>
      <c r="V1449" s="2">
        <v>0</v>
      </c>
      <c r="W1449">
        <f t="shared" si="22"/>
        <v>0</v>
      </c>
    </row>
    <row r="1450" spans="1:23" x14ac:dyDescent="0.25">
      <c r="A1450" s="2" t="s">
        <v>628</v>
      </c>
      <c r="B1450" s="2" t="s">
        <v>918</v>
      </c>
      <c r="C1450" s="2">
        <v>540041</v>
      </c>
      <c r="D1450" s="2" t="s">
        <v>666</v>
      </c>
      <c r="E1450" s="2" t="s">
        <v>27</v>
      </c>
      <c r="F1450" s="2" t="s">
        <v>115</v>
      </c>
      <c r="G1450" s="2">
        <v>4</v>
      </c>
      <c r="H1450" s="2">
        <v>0</v>
      </c>
      <c r="I1450" s="2">
        <v>0</v>
      </c>
      <c r="J1450" s="2">
        <v>0</v>
      </c>
      <c r="K1450" s="2">
        <v>0</v>
      </c>
      <c r="L1450" s="2">
        <v>0</v>
      </c>
      <c r="M1450" s="2">
        <v>0</v>
      </c>
      <c r="N1450" s="2">
        <v>0</v>
      </c>
      <c r="O1450" s="2">
        <v>0</v>
      </c>
      <c r="P1450" s="2">
        <v>0</v>
      </c>
      <c r="Q1450" s="2">
        <v>0</v>
      </c>
      <c r="R1450" s="2">
        <v>0</v>
      </c>
      <c r="S1450" s="2" t="s">
        <v>488</v>
      </c>
      <c r="T1450" s="2" t="s">
        <v>488</v>
      </c>
      <c r="U1450" s="2">
        <v>0</v>
      </c>
      <c r="V1450" s="2">
        <v>0</v>
      </c>
      <c r="W1450">
        <f t="shared" si="22"/>
        <v>0</v>
      </c>
    </row>
    <row r="1451" spans="1:23" x14ac:dyDescent="0.25">
      <c r="A1451" s="2" t="s">
        <v>628</v>
      </c>
      <c r="B1451" s="2" t="s">
        <v>918</v>
      </c>
      <c r="C1451" s="2">
        <v>540043</v>
      </c>
      <c r="D1451" s="2" t="s">
        <v>667</v>
      </c>
      <c r="E1451" s="2" t="s">
        <v>27</v>
      </c>
      <c r="F1451" s="2" t="s">
        <v>115</v>
      </c>
      <c r="G1451" s="2">
        <v>4</v>
      </c>
      <c r="H1451" s="2">
        <v>0</v>
      </c>
      <c r="I1451" s="2">
        <v>0</v>
      </c>
      <c r="J1451" s="2">
        <v>0</v>
      </c>
      <c r="K1451" s="2">
        <v>0</v>
      </c>
      <c r="L1451" s="2">
        <v>0</v>
      </c>
      <c r="M1451" s="2">
        <v>0</v>
      </c>
      <c r="N1451" s="2">
        <v>0</v>
      </c>
      <c r="O1451" s="2">
        <v>0</v>
      </c>
      <c r="P1451" s="2">
        <v>0</v>
      </c>
      <c r="Q1451" s="2">
        <v>0</v>
      </c>
      <c r="R1451" s="2">
        <v>0</v>
      </c>
      <c r="S1451" s="2" t="s">
        <v>488</v>
      </c>
      <c r="T1451" s="2" t="s">
        <v>488</v>
      </c>
      <c r="U1451" s="2">
        <v>0</v>
      </c>
      <c r="V1451" s="2">
        <v>0</v>
      </c>
      <c r="W1451">
        <f t="shared" si="22"/>
        <v>0</v>
      </c>
    </row>
    <row r="1452" spans="1:23" x14ac:dyDescent="0.25">
      <c r="A1452" s="2" t="s">
        <v>628</v>
      </c>
      <c r="B1452" s="2" t="s">
        <v>918</v>
      </c>
      <c r="C1452" s="2">
        <v>540044</v>
      </c>
      <c r="D1452" s="2" t="s">
        <v>668</v>
      </c>
      <c r="E1452" s="2" t="s">
        <v>27</v>
      </c>
      <c r="F1452" s="2" t="s">
        <v>115</v>
      </c>
      <c r="G1452" s="2">
        <v>4</v>
      </c>
      <c r="H1452" s="2">
        <v>0</v>
      </c>
      <c r="I1452" s="2">
        <v>0</v>
      </c>
      <c r="J1452" s="2">
        <v>0</v>
      </c>
      <c r="K1452" s="2">
        <v>0</v>
      </c>
      <c r="L1452" s="2">
        <v>0</v>
      </c>
      <c r="M1452" s="2">
        <v>0</v>
      </c>
      <c r="N1452" s="2">
        <v>0</v>
      </c>
      <c r="O1452" s="2">
        <v>0</v>
      </c>
      <c r="P1452" s="2">
        <v>0</v>
      </c>
      <c r="Q1452" s="2">
        <v>0</v>
      </c>
      <c r="R1452" s="2">
        <v>0</v>
      </c>
      <c r="S1452" s="2" t="s">
        <v>488</v>
      </c>
      <c r="T1452" s="2" t="s">
        <v>488</v>
      </c>
      <c r="U1452" s="2">
        <v>0</v>
      </c>
      <c r="V1452" s="2">
        <v>0</v>
      </c>
      <c r="W1452">
        <f t="shared" si="22"/>
        <v>0</v>
      </c>
    </row>
    <row r="1453" spans="1:23" x14ac:dyDescent="0.25">
      <c r="A1453" s="2" t="s">
        <v>628</v>
      </c>
      <c r="B1453" s="2" t="s">
        <v>918</v>
      </c>
      <c r="C1453" s="2">
        <v>540045</v>
      </c>
      <c r="D1453" s="2" t="s">
        <v>669</v>
      </c>
      <c r="E1453" s="2" t="s">
        <v>27</v>
      </c>
      <c r="F1453" s="2" t="s">
        <v>115</v>
      </c>
      <c r="G1453" s="2">
        <v>4</v>
      </c>
      <c r="H1453" s="2">
        <v>0</v>
      </c>
      <c r="I1453" s="2">
        <v>0</v>
      </c>
      <c r="J1453" s="2">
        <v>0</v>
      </c>
      <c r="K1453" s="2">
        <v>0</v>
      </c>
      <c r="L1453" s="2">
        <v>0</v>
      </c>
      <c r="M1453" s="2">
        <v>0</v>
      </c>
      <c r="N1453" s="2">
        <v>0</v>
      </c>
      <c r="O1453" s="2">
        <v>0</v>
      </c>
      <c r="P1453" s="2">
        <v>0</v>
      </c>
      <c r="Q1453" s="2">
        <v>0</v>
      </c>
      <c r="R1453" s="2">
        <v>0</v>
      </c>
      <c r="S1453" s="2" t="s">
        <v>488</v>
      </c>
      <c r="T1453" s="2" t="s">
        <v>488</v>
      </c>
      <c r="U1453" s="2">
        <v>0</v>
      </c>
      <c r="V1453" s="2">
        <v>0</v>
      </c>
      <c r="W1453">
        <f t="shared" si="22"/>
        <v>0</v>
      </c>
    </row>
    <row r="1454" spans="1:23" x14ac:dyDescent="0.25">
      <c r="A1454" s="2" t="s">
        <v>628</v>
      </c>
      <c r="B1454" s="2" t="s">
        <v>918</v>
      </c>
      <c r="C1454" s="2">
        <v>540228</v>
      </c>
      <c r="D1454" s="2" t="s">
        <v>670</v>
      </c>
      <c r="E1454" s="2" t="s">
        <v>27</v>
      </c>
      <c r="F1454" s="2" t="s">
        <v>115</v>
      </c>
      <c r="G1454" s="2">
        <v>4</v>
      </c>
      <c r="H1454" s="2">
        <v>0</v>
      </c>
      <c r="I1454" s="2">
        <v>0</v>
      </c>
      <c r="J1454" s="2">
        <v>0</v>
      </c>
      <c r="K1454" s="2">
        <v>0</v>
      </c>
      <c r="L1454" s="2">
        <v>0</v>
      </c>
      <c r="M1454" s="2">
        <v>0</v>
      </c>
      <c r="N1454" s="2">
        <v>0</v>
      </c>
      <c r="O1454" s="2">
        <v>0</v>
      </c>
      <c r="P1454" s="2">
        <v>0</v>
      </c>
      <c r="Q1454" s="2">
        <v>0</v>
      </c>
      <c r="R1454" s="2">
        <v>0</v>
      </c>
      <c r="S1454" s="2" t="s">
        <v>488</v>
      </c>
      <c r="T1454" s="2" t="s">
        <v>488</v>
      </c>
      <c r="U1454" s="2">
        <v>0</v>
      </c>
      <c r="V1454" s="2">
        <v>0</v>
      </c>
      <c r="W1454">
        <f t="shared" si="22"/>
        <v>0</v>
      </c>
    </row>
    <row r="1455" spans="1:23" x14ac:dyDescent="0.25">
      <c r="A1455" s="2" t="s">
        <v>628</v>
      </c>
      <c r="B1455" s="2" t="s">
        <v>918</v>
      </c>
      <c r="C1455" s="2">
        <v>540243</v>
      </c>
      <c r="D1455" s="2" t="s">
        <v>671</v>
      </c>
      <c r="E1455" s="2" t="s">
        <v>27</v>
      </c>
      <c r="F1455" s="2" t="s">
        <v>115</v>
      </c>
      <c r="G1455" s="2">
        <v>4</v>
      </c>
      <c r="H1455" s="2">
        <v>0</v>
      </c>
      <c r="I1455" s="2">
        <v>0</v>
      </c>
      <c r="J1455" s="2">
        <v>0</v>
      </c>
      <c r="K1455" s="2">
        <v>0</v>
      </c>
      <c r="L1455" s="2">
        <v>0</v>
      </c>
      <c r="M1455" s="2">
        <v>0</v>
      </c>
      <c r="N1455" s="2">
        <v>0</v>
      </c>
      <c r="O1455" s="2">
        <v>0</v>
      </c>
      <c r="P1455" s="2">
        <v>0</v>
      </c>
      <c r="Q1455" s="2">
        <v>0</v>
      </c>
      <c r="R1455" s="2">
        <v>0</v>
      </c>
      <c r="S1455" s="2" t="s">
        <v>488</v>
      </c>
      <c r="T1455" s="2" t="s">
        <v>488</v>
      </c>
      <c r="U1455" s="2">
        <v>0</v>
      </c>
      <c r="V1455" s="2">
        <v>0</v>
      </c>
      <c r="W1455">
        <f t="shared" si="22"/>
        <v>0</v>
      </c>
    </row>
    <row r="1456" spans="1:23" x14ac:dyDescent="0.25">
      <c r="A1456" s="2" t="s">
        <v>628</v>
      </c>
      <c r="B1456" s="2" t="s">
        <v>918</v>
      </c>
      <c r="C1456" s="2">
        <v>540244</v>
      </c>
      <c r="D1456" s="2" t="s">
        <v>672</v>
      </c>
      <c r="E1456" s="2" t="s">
        <v>27</v>
      </c>
      <c r="F1456" s="2" t="s">
        <v>115</v>
      </c>
      <c r="G1456" s="2">
        <v>4</v>
      </c>
      <c r="H1456" s="2">
        <v>0</v>
      </c>
      <c r="I1456" s="2">
        <v>0</v>
      </c>
      <c r="J1456" s="2">
        <v>0</v>
      </c>
      <c r="K1456" s="2">
        <v>0</v>
      </c>
      <c r="L1456" s="2">
        <v>0</v>
      </c>
      <c r="M1456" s="2">
        <v>0</v>
      </c>
      <c r="N1456" s="2">
        <v>0</v>
      </c>
      <c r="O1456" s="2">
        <v>0</v>
      </c>
      <c r="P1456" s="2">
        <v>0</v>
      </c>
      <c r="Q1456" s="2">
        <v>0</v>
      </c>
      <c r="R1456" s="2">
        <v>0</v>
      </c>
      <c r="S1456" s="2" t="s">
        <v>488</v>
      </c>
      <c r="T1456" s="2" t="s">
        <v>488</v>
      </c>
      <c r="U1456" s="2">
        <v>0</v>
      </c>
      <c r="V1456" s="2">
        <v>0</v>
      </c>
      <c r="W1456">
        <f t="shared" si="22"/>
        <v>0</v>
      </c>
    </row>
    <row r="1457" spans="1:23" x14ac:dyDescent="0.25">
      <c r="A1457" s="2" t="s">
        <v>628</v>
      </c>
      <c r="B1457" s="2" t="s">
        <v>918</v>
      </c>
      <c r="C1457" s="2">
        <v>540281</v>
      </c>
      <c r="D1457" s="2" t="s">
        <v>673</v>
      </c>
      <c r="E1457" s="2" t="s">
        <v>27</v>
      </c>
      <c r="F1457" s="2" t="s">
        <v>115</v>
      </c>
      <c r="G1457" s="2">
        <v>4</v>
      </c>
      <c r="H1457" s="2">
        <v>0</v>
      </c>
      <c r="I1457" s="2">
        <v>0</v>
      </c>
      <c r="J1457" s="2">
        <v>0</v>
      </c>
      <c r="K1457" s="2">
        <v>0</v>
      </c>
      <c r="L1457" s="2">
        <v>0</v>
      </c>
      <c r="M1457" s="2">
        <v>0</v>
      </c>
      <c r="N1457" s="2">
        <v>0</v>
      </c>
      <c r="O1457" s="2">
        <v>0</v>
      </c>
      <c r="P1457" s="2">
        <v>0</v>
      </c>
      <c r="Q1457" s="2">
        <v>0</v>
      </c>
      <c r="R1457" s="2">
        <v>0</v>
      </c>
      <c r="S1457" s="2" t="s">
        <v>488</v>
      </c>
      <c r="T1457" s="2" t="s">
        <v>488</v>
      </c>
      <c r="U1457" s="2">
        <v>0</v>
      </c>
      <c r="V1457" s="2">
        <v>0</v>
      </c>
      <c r="W1457">
        <f t="shared" si="22"/>
        <v>0</v>
      </c>
    </row>
    <row r="1458" spans="1:23" x14ac:dyDescent="0.25">
      <c r="A1458" s="255" t="s">
        <v>628</v>
      </c>
      <c r="B1458" s="255" t="s">
        <v>918</v>
      </c>
      <c r="C1458" s="255"/>
      <c r="D1458" s="255"/>
      <c r="E1458" s="255" t="s">
        <v>27</v>
      </c>
      <c r="F1458" s="255"/>
      <c r="G1458" s="255"/>
      <c r="H1458" s="255">
        <v>0</v>
      </c>
      <c r="I1458" s="255">
        <v>0</v>
      </c>
      <c r="J1458" s="255">
        <v>0</v>
      </c>
      <c r="K1458" s="255">
        <v>0</v>
      </c>
      <c r="L1458" s="255">
        <v>0</v>
      </c>
      <c r="M1458" s="255">
        <v>0</v>
      </c>
      <c r="N1458" s="255">
        <v>0</v>
      </c>
      <c r="O1458" s="255">
        <v>0</v>
      </c>
      <c r="P1458" s="255">
        <v>0</v>
      </c>
      <c r="Q1458" s="255">
        <v>0</v>
      </c>
      <c r="R1458" s="255">
        <v>0</v>
      </c>
      <c r="S1458" s="255" t="s">
        <v>488</v>
      </c>
      <c r="T1458" s="255" t="s">
        <v>488</v>
      </c>
      <c r="U1458" s="255">
        <v>0</v>
      </c>
      <c r="V1458" s="255">
        <v>0</v>
      </c>
      <c r="W1458">
        <f t="shared" si="22"/>
        <v>0</v>
      </c>
    </row>
    <row r="1459" spans="1:23" x14ac:dyDescent="0.25">
      <c r="A1459" s="2" t="s">
        <v>628</v>
      </c>
      <c r="B1459" s="2" t="s">
        <v>918</v>
      </c>
      <c r="C1459" s="2">
        <v>540047</v>
      </c>
      <c r="D1459" s="2" t="s">
        <v>674</v>
      </c>
      <c r="E1459" s="2" t="s">
        <v>29</v>
      </c>
      <c r="F1459" s="2" t="s">
        <v>5</v>
      </c>
      <c r="G1459" s="2">
        <v>11</v>
      </c>
      <c r="H1459" s="2">
        <v>0</v>
      </c>
      <c r="I1459" s="2">
        <v>0</v>
      </c>
      <c r="J1459" s="2">
        <v>0</v>
      </c>
      <c r="K1459" s="2">
        <v>0</v>
      </c>
      <c r="L1459" s="2">
        <v>0</v>
      </c>
      <c r="M1459" s="2">
        <v>0</v>
      </c>
      <c r="N1459" s="2">
        <v>0</v>
      </c>
      <c r="O1459" s="2">
        <v>0</v>
      </c>
      <c r="P1459" s="2">
        <v>0</v>
      </c>
      <c r="Q1459" s="2">
        <v>0</v>
      </c>
      <c r="R1459" s="2">
        <v>0</v>
      </c>
      <c r="S1459" s="2" t="s">
        <v>488</v>
      </c>
      <c r="T1459" s="2" t="s">
        <v>488</v>
      </c>
      <c r="U1459" s="2">
        <v>0</v>
      </c>
      <c r="V1459" s="2">
        <v>0</v>
      </c>
      <c r="W1459">
        <f t="shared" si="22"/>
        <v>0</v>
      </c>
    </row>
    <row r="1460" spans="1:23" x14ac:dyDescent="0.25">
      <c r="A1460" s="2" t="s">
        <v>628</v>
      </c>
      <c r="B1460" s="2" t="s">
        <v>918</v>
      </c>
      <c r="C1460" s="2">
        <v>540014</v>
      </c>
      <c r="D1460" s="2" t="s">
        <v>645</v>
      </c>
      <c r="E1460" s="2" t="s">
        <v>29</v>
      </c>
      <c r="F1460" s="2" t="s">
        <v>115</v>
      </c>
      <c r="G1460" s="2">
        <v>11</v>
      </c>
      <c r="H1460" s="2">
        <v>0</v>
      </c>
      <c r="I1460" s="2">
        <v>0</v>
      </c>
      <c r="J1460" s="2">
        <v>0</v>
      </c>
      <c r="K1460" s="2">
        <v>0</v>
      </c>
      <c r="L1460" s="2">
        <v>0</v>
      </c>
      <c r="M1460" s="2">
        <v>0</v>
      </c>
      <c r="N1460" s="2">
        <v>0</v>
      </c>
      <c r="O1460" s="2">
        <v>0</v>
      </c>
      <c r="P1460" s="2">
        <v>0</v>
      </c>
      <c r="Q1460" s="2">
        <v>0</v>
      </c>
      <c r="R1460" s="2">
        <v>0</v>
      </c>
      <c r="S1460" s="2" t="s">
        <v>488</v>
      </c>
      <c r="T1460" s="2" t="s">
        <v>488</v>
      </c>
      <c r="U1460" s="2">
        <v>0</v>
      </c>
      <c r="V1460" s="2">
        <v>0</v>
      </c>
      <c r="W1460">
        <f t="shared" si="22"/>
        <v>0</v>
      </c>
    </row>
    <row r="1461" spans="1:23" x14ac:dyDescent="0.25">
      <c r="A1461" s="2" t="s">
        <v>628</v>
      </c>
      <c r="B1461" s="2" t="s">
        <v>918</v>
      </c>
      <c r="C1461" s="2">
        <v>540048</v>
      </c>
      <c r="D1461" s="2" t="s">
        <v>675</v>
      </c>
      <c r="E1461" s="2" t="s">
        <v>29</v>
      </c>
      <c r="F1461" s="2" t="s">
        <v>115</v>
      </c>
      <c r="G1461" s="2">
        <v>11</v>
      </c>
      <c r="H1461" s="2">
        <v>0</v>
      </c>
      <c r="I1461" s="2">
        <v>0</v>
      </c>
      <c r="J1461" s="2">
        <v>0</v>
      </c>
      <c r="K1461" s="2">
        <v>0</v>
      </c>
      <c r="L1461" s="2">
        <v>0</v>
      </c>
      <c r="M1461" s="2">
        <v>0</v>
      </c>
      <c r="N1461" s="2">
        <v>0</v>
      </c>
      <c r="O1461" s="2">
        <v>0</v>
      </c>
      <c r="P1461" s="2">
        <v>0</v>
      </c>
      <c r="Q1461" s="2">
        <v>0</v>
      </c>
      <c r="R1461" s="2">
        <v>0</v>
      </c>
      <c r="S1461" s="2" t="s">
        <v>488</v>
      </c>
      <c r="T1461" s="2" t="s">
        <v>488</v>
      </c>
      <c r="U1461" s="2">
        <v>0</v>
      </c>
      <c r="V1461" s="2">
        <v>0</v>
      </c>
      <c r="W1461">
        <f t="shared" si="22"/>
        <v>0</v>
      </c>
    </row>
    <row r="1462" spans="1:23" x14ac:dyDescent="0.25">
      <c r="A1462" s="2" t="s">
        <v>628</v>
      </c>
      <c r="B1462" s="2" t="s">
        <v>918</v>
      </c>
      <c r="C1462" s="2">
        <v>540049</v>
      </c>
      <c r="D1462" s="2" t="s">
        <v>676</v>
      </c>
      <c r="E1462" s="2" t="s">
        <v>29</v>
      </c>
      <c r="F1462" s="2" t="s">
        <v>115</v>
      </c>
      <c r="G1462" s="2">
        <v>11</v>
      </c>
      <c r="H1462" s="2">
        <v>0</v>
      </c>
      <c r="I1462" s="2">
        <v>1</v>
      </c>
      <c r="J1462" s="2">
        <v>0</v>
      </c>
      <c r="K1462" s="2">
        <v>0</v>
      </c>
      <c r="L1462" s="2">
        <v>0</v>
      </c>
      <c r="M1462" s="2">
        <v>1</v>
      </c>
      <c r="N1462" s="2">
        <v>1</v>
      </c>
      <c r="O1462" s="2">
        <v>0</v>
      </c>
      <c r="P1462" s="2">
        <v>0</v>
      </c>
      <c r="Q1462" s="2">
        <v>0</v>
      </c>
      <c r="R1462" s="2">
        <v>0</v>
      </c>
      <c r="S1462" s="2" t="s">
        <v>488</v>
      </c>
      <c r="T1462" s="2" t="s">
        <v>488</v>
      </c>
      <c r="U1462" s="2">
        <v>0</v>
      </c>
      <c r="V1462" s="2">
        <v>0</v>
      </c>
      <c r="W1462">
        <f t="shared" si="22"/>
        <v>1</v>
      </c>
    </row>
    <row r="1463" spans="1:23" x14ac:dyDescent="0.25">
      <c r="A1463" s="255" t="s">
        <v>628</v>
      </c>
      <c r="B1463" s="255" t="s">
        <v>918</v>
      </c>
      <c r="C1463" s="255"/>
      <c r="D1463" s="255"/>
      <c r="E1463" s="255" t="s">
        <v>29</v>
      </c>
      <c r="F1463" s="255"/>
      <c r="G1463" s="255"/>
      <c r="H1463" s="255">
        <v>0</v>
      </c>
      <c r="I1463" s="255">
        <v>1</v>
      </c>
      <c r="J1463" s="255">
        <v>0</v>
      </c>
      <c r="K1463" s="255">
        <v>0</v>
      </c>
      <c r="L1463" s="255">
        <v>0</v>
      </c>
      <c r="M1463" s="255">
        <v>1</v>
      </c>
      <c r="N1463" s="255">
        <v>1</v>
      </c>
      <c r="O1463" s="255">
        <v>0</v>
      </c>
      <c r="P1463" s="255">
        <v>0</v>
      </c>
      <c r="Q1463" s="255">
        <v>0</v>
      </c>
      <c r="R1463" s="255">
        <v>0</v>
      </c>
      <c r="S1463" s="255" t="s">
        <v>488</v>
      </c>
      <c r="T1463" s="255" t="s">
        <v>488</v>
      </c>
      <c r="U1463" s="255">
        <v>0</v>
      </c>
      <c r="V1463" s="255">
        <v>0</v>
      </c>
      <c r="W1463">
        <f t="shared" si="22"/>
        <v>1</v>
      </c>
    </row>
    <row r="1464" spans="1:23" x14ac:dyDescent="0.25">
      <c r="A1464" s="2" t="s">
        <v>628</v>
      </c>
      <c r="B1464" s="2" t="s">
        <v>918</v>
      </c>
      <c r="C1464" s="2">
        <v>540051</v>
      </c>
      <c r="D1464" s="2" t="s">
        <v>677</v>
      </c>
      <c r="E1464" s="2" t="s">
        <v>31</v>
      </c>
      <c r="F1464" s="2" t="s">
        <v>5</v>
      </c>
      <c r="G1464" s="2">
        <v>8</v>
      </c>
      <c r="H1464" s="2">
        <v>0</v>
      </c>
      <c r="I1464" s="2">
        <v>0</v>
      </c>
      <c r="J1464" s="2">
        <v>0</v>
      </c>
      <c r="K1464" s="2">
        <v>0</v>
      </c>
      <c r="L1464" s="2">
        <v>0</v>
      </c>
      <c r="M1464" s="2">
        <v>0</v>
      </c>
      <c r="N1464" s="2">
        <v>0</v>
      </c>
      <c r="O1464" s="2">
        <v>0</v>
      </c>
      <c r="P1464" s="2">
        <v>0</v>
      </c>
      <c r="Q1464" s="2" t="s">
        <v>488</v>
      </c>
      <c r="R1464" s="2" t="s">
        <v>488</v>
      </c>
      <c r="S1464" s="2" t="s">
        <v>488</v>
      </c>
      <c r="T1464" s="2" t="s">
        <v>488</v>
      </c>
      <c r="U1464" s="2">
        <v>0</v>
      </c>
      <c r="V1464" s="2">
        <v>0</v>
      </c>
      <c r="W1464">
        <f t="shared" si="22"/>
        <v>0</v>
      </c>
    </row>
    <row r="1465" spans="1:23" x14ac:dyDescent="0.25">
      <c r="A1465" s="2" t="s">
        <v>628</v>
      </c>
      <c r="B1465" s="2" t="s">
        <v>918</v>
      </c>
      <c r="C1465" s="2">
        <v>540052</v>
      </c>
      <c r="D1465" s="2" t="s">
        <v>678</v>
      </c>
      <c r="E1465" s="2" t="s">
        <v>31</v>
      </c>
      <c r="F1465" s="2" t="s">
        <v>115</v>
      </c>
      <c r="G1465" s="2">
        <v>8</v>
      </c>
      <c r="H1465" s="2">
        <v>0</v>
      </c>
      <c r="I1465" s="2">
        <v>1</v>
      </c>
      <c r="J1465" s="2">
        <v>0</v>
      </c>
      <c r="K1465" s="2">
        <v>0</v>
      </c>
      <c r="L1465" s="2">
        <v>0</v>
      </c>
      <c r="M1465" s="2">
        <v>1</v>
      </c>
      <c r="N1465" s="2">
        <v>1</v>
      </c>
      <c r="O1465" s="2">
        <v>0</v>
      </c>
      <c r="P1465" s="2">
        <v>0</v>
      </c>
      <c r="Q1465" s="2" t="s">
        <v>488</v>
      </c>
      <c r="R1465" s="2" t="s">
        <v>488</v>
      </c>
      <c r="S1465" s="2" t="s">
        <v>488</v>
      </c>
      <c r="T1465" s="2" t="s">
        <v>488</v>
      </c>
      <c r="U1465" s="2">
        <v>0</v>
      </c>
      <c r="V1465" s="2">
        <v>0</v>
      </c>
      <c r="W1465">
        <f t="shared" si="22"/>
        <v>1</v>
      </c>
    </row>
    <row r="1466" spans="1:23" x14ac:dyDescent="0.25">
      <c r="A1466" s="2" t="s">
        <v>628</v>
      </c>
      <c r="B1466" s="2" t="s">
        <v>918</v>
      </c>
      <c r="C1466" s="2">
        <v>540245</v>
      </c>
      <c r="D1466" s="2" t="s">
        <v>679</v>
      </c>
      <c r="E1466" s="2" t="s">
        <v>31</v>
      </c>
      <c r="F1466" s="2" t="s">
        <v>115</v>
      </c>
      <c r="G1466" s="2">
        <v>8</v>
      </c>
      <c r="H1466" s="2">
        <v>0</v>
      </c>
      <c r="I1466" s="2">
        <v>0</v>
      </c>
      <c r="J1466" s="2">
        <v>0</v>
      </c>
      <c r="K1466" s="2">
        <v>0</v>
      </c>
      <c r="L1466" s="2">
        <v>0</v>
      </c>
      <c r="M1466" s="2">
        <v>0</v>
      </c>
      <c r="N1466" s="2">
        <v>0</v>
      </c>
      <c r="O1466" s="2">
        <v>0</v>
      </c>
      <c r="P1466" s="2">
        <v>0</v>
      </c>
      <c r="Q1466" s="2" t="s">
        <v>488</v>
      </c>
      <c r="R1466" s="2" t="s">
        <v>488</v>
      </c>
      <c r="S1466" s="2" t="s">
        <v>488</v>
      </c>
      <c r="T1466" s="2" t="s">
        <v>488</v>
      </c>
      <c r="U1466" s="2">
        <v>0</v>
      </c>
      <c r="V1466" s="2">
        <v>0</v>
      </c>
      <c r="W1466">
        <f t="shared" si="22"/>
        <v>0</v>
      </c>
    </row>
    <row r="1467" spans="1:23" x14ac:dyDescent="0.25">
      <c r="A1467" s="255" t="s">
        <v>628</v>
      </c>
      <c r="B1467" s="255" t="s">
        <v>918</v>
      </c>
      <c r="C1467" s="255"/>
      <c r="D1467" s="255"/>
      <c r="E1467" s="255" t="s">
        <v>31</v>
      </c>
      <c r="F1467" s="255"/>
      <c r="G1467" s="255"/>
      <c r="H1467" s="255">
        <v>0</v>
      </c>
      <c r="I1467" s="255">
        <v>1</v>
      </c>
      <c r="J1467" s="255">
        <v>0</v>
      </c>
      <c r="K1467" s="255">
        <v>0</v>
      </c>
      <c r="L1467" s="255">
        <v>0</v>
      </c>
      <c r="M1467" s="255">
        <v>1</v>
      </c>
      <c r="N1467" s="255">
        <v>1</v>
      </c>
      <c r="O1467" s="255">
        <v>0</v>
      </c>
      <c r="P1467" s="255">
        <v>0</v>
      </c>
      <c r="Q1467" s="255" t="s">
        <v>488</v>
      </c>
      <c r="R1467" s="255" t="s">
        <v>488</v>
      </c>
      <c r="S1467" s="255" t="s">
        <v>488</v>
      </c>
      <c r="T1467" s="255" t="s">
        <v>488</v>
      </c>
      <c r="U1467" s="255">
        <v>0</v>
      </c>
      <c r="V1467" s="255">
        <v>0</v>
      </c>
      <c r="W1467">
        <f t="shared" si="22"/>
        <v>1</v>
      </c>
    </row>
    <row r="1468" spans="1:23" x14ac:dyDescent="0.25">
      <c r="A1468" s="2" t="s">
        <v>628</v>
      </c>
      <c r="B1468" s="2" t="s">
        <v>918</v>
      </c>
      <c r="C1468" s="2">
        <v>540053</v>
      </c>
      <c r="D1468" s="2" t="s">
        <v>680</v>
      </c>
      <c r="E1468" s="2" t="s">
        <v>33</v>
      </c>
      <c r="F1468" s="2" t="s">
        <v>5</v>
      </c>
      <c r="G1468" s="2">
        <v>6</v>
      </c>
      <c r="H1468" s="2">
        <v>1</v>
      </c>
      <c r="I1468" s="2">
        <v>1</v>
      </c>
      <c r="J1468" s="2">
        <v>0</v>
      </c>
      <c r="K1468" s="2">
        <v>0</v>
      </c>
      <c r="L1468" s="2">
        <v>0</v>
      </c>
      <c r="M1468" s="2">
        <v>1</v>
      </c>
      <c r="N1468" s="2">
        <v>2</v>
      </c>
      <c r="O1468" s="2">
        <v>0</v>
      </c>
      <c r="P1468" s="2">
        <v>0</v>
      </c>
      <c r="Q1468" s="2">
        <v>0</v>
      </c>
      <c r="R1468" s="2">
        <v>0</v>
      </c>
      <c r="S1468" s="2" t="s">
        <v>488</v>
      </c>
      <c r="T1468" s="2" t="s">
        <v>488</v>
      </c>
      <c r="U1468" s="2">
        <v>0</v>
      </c>
      <c r="V1468" s="2">
        <v>0</v>
      </c>
      <c r="W1468">
        <f t="shared" si="22"/>
        <v>2</v>
      </c>
    </row>
    <row r="1469" spans="1:23" x14ac:dyDescent="0.25">
      <c r="A1469" s="2" t="s">
        <v>628</v>
      </c>
      <c r="B1469" s="2" t="s">
        <v>918</v>
      </c>
      <c r="C1469" s="2">
        <v>540054</v>
      </c>
      <c r="D1469" s="2" t="s">
        <v>681</v>
      </c>
      <c r="E1469" s="2" t="s">
        <v>33</v>
      </c>
      <c r="F1469" s="2" t="s">
        <v>115</v>
      </c>
      <c r="G1469" s="2">
        <v>6</v>
      </c>
      <c r="H1469" s="2">
        <v>0</v>
      </c>
      <c r="I1469" s="2">
        <v>0</v>
      </c>
      <c r="J1469" s="2">
        <v>0</v>
      </c>
      <c r="K1469" s="2">
        <v>0</v>
      </c>
      <c r="L1469" s="2">
        <v>0</v>
      </c>
      <c r="M1469" s="2">
        <v>0</v>
      </c>
      <c r="N1469" s="2">
        <v>0</v>
      </c>
      <c r="O1469" s="2">
        <v>0</v>
      </c>
      <c r="P1469" s="2">
        <v>0</v>
      </c>
      <c r="Q1469" s="2">
        <v>0</v>
      </c>
      <c r="R1469" s="2">
        <v>0</v>
      </c>
      <c r="S1469" s="2" t="s">
        <v>488</v>
      </c>
      <c r="T1469" s="2" t="s">
        <v>488</v>
      </c>
      <c r="U1469" s="2">
        <v>0</v>
      </c>
      <c r="V1469" s="2">
        <v>0</v>
      </c>
      <c r="W1469">
        <f t="shared" si="22"/>
        <v>0</v>
      </c>
    </row>
    <row r="1470" spans="1:23" x14ac:dyDescent="0.25">
      <c r="A1470" s="2" t="s">
        <v>628</v>
      </c>
      <c r="B1470" s="2" t="s">
        <v>918</v>
      </c>
      <c r="C1470" s="2">
        <v>540055</v>
      </c>
      <c r="D1470" s="2" t="s">
        <v>682</v>
      </c>
      <c r="E1470" s="2" t="s">
        <v>33</v>
      </c>
      <c r="F1470" s="2" t="s">
        <v>115</v>
      </c>
      <c r="G1470" s="2">
        <v>6</v>
      </c>
      <c r="H1470" s="2">
        <v>0</v>
      </c>
      <c r="I1470" s="2">
        <v>2</v>
      </c>
      <c r="J1470" s="2">
        <v>0</v>
      </c>
      <c r="K1470" s="2">
        <v>0</v>
      </c>
      <c r="L1470" s="2">
        <v>0</v>
      </c>
      <c r="M1470" s="2">
        <v>2</v>
      </c>
      <c r="N1470" s="2">
        <v>2</v>
      </c>
      <c r="O1470" s="2">
        <v>0</v>
      </c>
      <c r="P1470" s="2">
        <v>0</v>
      </c>
      <c r="Q1470" s="2">
        <v>0</v>
      </c>
      <c r="R1470" s="2">
        <v>0</v>
      </c>
      <c r="S1470" s="2" t="s">
        <v>488</v>
      </c>
      <c r="T1470" s="2" t="s">
        <v>488</v>
      </c>
      <c r="U1470" s="2">
        <v>0</v>
      </c>
      <c r="V1470" s="2">
        <v>0</v>
      </c>
      <c r="W1470">
        <f t="shared" si="22"/>
        <v>2</v>
      </c>
    </row>
    <row r="1471" spans="1:23" x14ac:dyDescent="0.25">
      <c r="A1471" s="2" t="s">
        <v>628</v>
      </c>
      <c r="B1471" s="2" t="s">
        <v>918</v>
      </c>
      <c r="C1471" s="2">
        <v>540056</v>
      </c>
      <c r="D1471" s="2" t="s">
        <v>683</v>
      </c>
      <c r="E1471" s="2" t="s">
        <v>33</v>
      </c>
      <c r="F1471" s="2" t="s">
        <v>115</v>
      </c>
      <c r="G1471" s="2">
        <v>6</v>
      </c>
      <c r="H1471" s="2">
        <v>0</v>
      </c>
      <c r="I1471" s="2">
        <v>0</v>
      </c>
      <c r="J1471" s="2">
        <v>0</v>
      </c>
      <c r="K1471" s="2">
        <v>0</v>
      </c>
      <c r="L1471" s="2">
        <v>0</v>
      </c>
      <c r="M1471" s="2">
        <v>0</v>
      </c>
      <c r="N1471" s="2">
        <v>0</v>
      </c>
      <c r="O1471" s="2">
        <v>0</v>
      </c>
      <c r="P1471" s="2">
        <v>0</v>
      </c>
      <c r="Q1471" s="2">
        <v>0</v>
      </c>
      <c r="R1471" s="2">
        <v>0</v>
      </c>
      <c r="S1471" s="2" t="s">
        <v>488</v>
      </c>
      <c r="T1471" s="2" t="s">
        <v>488</v>
      </c>
      <c r="U1471" s="2">
        <v>0</v>
      </c>
      <c r="V1471" s="2">
        <v>0</v>
      </c>
      <c r="W1471">
        <f t="shared" si="22"/>
        <v>0</v>
      </c>
    </row>
    <row r="1472" spans="1:23" x14ac:dyDescent="0.25">
      <c r="A1472" s="2" t="s">
        <v>628</v>
      </c>
      <c r="B1472" s="2" t="s">
        <v>918</v>
      </c>
      <c r="C1472" s="2">
        <v>540057</v>
      </c>
      <c r="D1472" s="2" t="s">
        <v>684</v>
      </c>
      <c r="E1472" s="2" t="s">
        <v>33</v>
      </c>
      <c r="F1472" s="2" t="s">
        <v>115</v>
      </c>
      <c r="G1472" s="2">
        <v>6</v>
      </c>
      <c r="H1472" s="2">
        <v>0</v>
      </c>
      <c r="I1472" s="2">
        <v>1</v>
      </c>
      <c r="J1472" s="2">
        <v>0</v>
      </c>
      <c r="K1472" s="2">
        <v>0</v>
      </c>
      <c r="L1472" s="2">
        <v>0</v>
      </c>
      <c r="M1472" s="2">
        <v>1</v>
      </c>
      <c r="N1472" s="2">
        <v>1</v>
      </c>
      <c r="O1472" s="2">
        <v>0</v>
      </c>
      <c r="P1472" s="2">
        <v>0</v>
      </c>
      <c r="Q1472" s="2">
        <v>0</v>
      </c>
      <c r="R1472" s="2">
        <v>0</v>
      </c>
      <c r="S1472" s="2" t="s">
        <v>488</v>
      </c>
      <c r="T1472" s="2" t="s">
        <v>488</v>
      </c>
      <c r="U1472" s="2">
        <v>0</v>
      </c>
      <c r="V1472" s="2">
        <v>0</v>
      </c>
      <c r="W1472">
        <f t="shared" si="22"/>
        <v>1</v>
      </c>
    </row>
    <row r="1473" spans="1:23" x14ac:dyDescent="0.25">
      <c r="A1473" s="2" t="s">
        <v>628</v>
      </c>
      <c r="B1473" s="2" t="s">
        <v>918</v>
      </c>
      <c r="C1473" s="2">
        <v>540058</v>
      </c>
      <c r="D1473" s="2" t="s">
        <v>685</v>
      </c>
      <c r="E1473" s="2" t="s">
        <v>33</v>
      </c>
      <c r="F1473" s="2" t="s">
        <v>115</v>
      </c>
      <c r="G1473" s="2">
        <v>6</v>
      </c>
      <c r="H1473" s="2">
        <v>0</v>
      </c>
      <c r="I1473" s="2">
        <v>0</v>
      </c>
      <c r="J1473" s="2">
        <v>0</v>
      </c>
      <c r="K1473" s="2">
        <v>0</v>
      </c>
      <c r="L1473" s="2">
        <v>0</v>
      </c>
      <c r="M1473" s="2">
        <v>0</v>
      </c>
      <c r="N1473" s="2">
        <v>0</v>
      </c>
      <c r="O1473" s="2">
        <v>0</v>
      </c>
      <c r="P1473" s="2">
        <v>0</v>
      </c>
      <c r="Q1473" s="2">
        <v>0</v>
      </c>
      <c r="R1473" s="2">
        <v>0</v>
      </c>
      <c r="S1473" s="2" t="s">
        <v>488</v>
      </c>
      <c r="T1473" s="2" t="s">
        <v>488</v>
      </c>
      <c r="U1473" s="2">
        <v>1</v>
      </c>
      <c r="V1473" s="2">
        <v>0</v>
      </c>
      <c r="W1473">
        <f t="shared" si="22"/>
        <v>1</v>
      </c>
    </row>
    <row r="1474" spans="1:23" x14ac:dyDescent="0.25">
      <c r="A1474" s="2" t="s">
        <v>628</v>
      </c>
      <c r="B1474" s="2" t="s">
        <v>918</v>
      </c>
      <c r="C1474" s="2">
        <v>540059</v>
      </c>
      <c r="D1474" s="2" t="s">
        <v>686</v>
      </c>
      <c r="E1474" s="2" t="s">
        <v>33</v>
      </c>
      <c r="F1474" s="2" t="s">
        <v>115</v>
      </c>
      <c r="G1474" s="2">
        <v>6</v>
      </c>
      <c r="H1474" s="2">
        <v>0</v>
      </c>
      <c r="I1474" s="2">
        <v>0</v>
      </c>
      <c r="J1474" s="2">
        <v>0</v>
      </c>
      <c r="K1474" s="2">
        <v>0</v>
      </c>
      <c r="L1474" s="2">
        <v>0</v>
      </c>
      <c r="M1474" s="2">
        <v>0</v>
      </c>
      <c r="N1474" s="2">
        <v>0</v>
      </c>
      <c r="O1474" s="2">
        <v>0</v>
      </c>
      <c r="P1474" s="2">
        <v>0</v>
      </c>
      <c r="Q1474" s="2">
        <v>0</v>
      </c>
      <c r="R1474" s="2">
        <v>0</v>
      </c>
      <c r="S1474" s="2" t="s">
        <v>488</v>
      </c>
      <c r="T1474" s="2" t="s">
        <v>488</v>
      </c>
      <c r="U1474" s="2">
        <v>0</v>
      </c>
      <c r="V1474" s="2">
        <v>0</v>
      </c>
      <c r="W1474">
        <f t="shared" si="22"/>
        <v>0</v>
      </c>
    </row>
    <row r="1475" spans="1:23" x14ac:dyDescent="0.25">
      <c r="A1475" s="2" t="s">
        <v>628</v>
      </c>
      <c r="B1475" s="2" t="s">
        <v>918</v>
      </c>
      <c r="C1475" s="2">
        <v>540060</v>
      </c>
      <c r="D1475" s="2" t="s">
        <v>687</v>
      </c>
      <c r="E1475" s="2" t="s">
        <v>33</v>
      </c>
      <c r="F1475" s="2" t="s">
        <v>115</v>
      </c>
      <c r="G1475" s="2">
        <v>6</v>
      </c>
      <c r="H1475" s="2">
        <v>0</v>
      </c>
      <c r="I1475" s="2">
        <v>0</v>
      </c>
      <c r="J1475" s="2">
        <v>0</v>
      </c>
      <c r="K1475" s="2">
        <v>0</v>
      </c>
      <c r="L1475" s="2">
        <v>0</v>
      </c>
      <c r="M1475" s="2">
        <v>0</v>
      </c>
      <c r="N1475" s="2">
        <v>0</v>
      </c>
      <c r="O1475" s="2">
        <v>0</v>
      </c>
      <c r="P1475" s="2">
        <v>0</v>
      </c>
      <c r="Q1475" s="2">
        <v>0</v>
      </c>
      <c r="R1475" s="2">
        <v>0</v>
      </c>
      <c r="S1475" s="2" t="s">
        <v>488</v>
      </c>
      <c r="T1475" s="2" t="s">
        <v>488</v>
      </c>
      <c r="U1475" s="2">
        <v>1</v>
      </c>
      <c r="V1475" s="2">
        <v>0</v>
      </c>
      <c r="W1475">
        <f t="shared" ref="W1475:W1538" si="23">SUM(N1475,P1475,R1475,T1475,U1475,V1475)</f>
        <v>1</v>
      </c>
    </row>
    <row r="1476" spans="1:23" x14ac:dyDescent="0.25">
      <c r="A1476" s="2" t="s">
        <v>628</v>
      </c>
      <c r="B1476" s="2" t="s">
        <v>918</v>
      </c>
      <c r="C1476" s="2">
        <v>540061</v>
      </c>
      <c r="D1476" s="2" t="s">
        <v>688</v>
      </c>
      <c r="E1476" s="2" t="s">
        <v>33</v>
      </c>
      <c r="F1476" s="2" t="s">
        <v>115</v>
      </c>
      <c r="G1476" s="2">
        <v>6</v>
      </c>
      <c r="H1476" s="2">
        <v>0</v>
      </c>
      <c r="I1476" s="2">
        <v>0</v>
      </c>
      <c r="J1476" s="2">
        <v>0</v>
      </c>
      <c r="K1476" s="2">
        <v>0</v>
      </c>
      <c r="L1476" s="2">
        <v>0</v>
      </c>
      <c r="M1476" s="2">
        <v>0</v>
      </c>
      <c r="N1476" s="2">
        <v>0</v>
      </c>
      <c r="O1476" s="2">
        <v>0</v>
      </c>
      <c r="P1476" s="2">
        <v>0</v>
      </c>
      <c r="Q1476" s="2">
        <v>0</v>
      </c>
      <c r="R1476" s="2">
        <v>0</v>
      </c>
      <c r="S1476" s="2" t="s">
        <v>488</v>
      </c>
      <c r="T1476" s="2" t="s">
        <v>488</v>
      </c>
      <c r="U1476" s="2">
        <v>0</v>
      </c>
      <c r="V1476" s="2">
        <v>0</v>
      </c>
      <c r="W1476">
        <f t="shared" si="23"/>
        <v>0</v>
      </c>
    </row>
    <row r="1477" spans="1:23" x14ac:dyDescent="0.25">
      <c r="A1477" s="2" t="s">
        <v>628</v>
      </c>
      <c r="B1477" s="2" t="s">
        <v>918</v>
      </c>
      <c r="C1477" s="2">
        <v>540062</v>
      </c>
      <c r="D1477" s="2" t="s">
        <v>689</v>
      </c>
      <c r="E1477" s="2" t="s">
        <v>33</v>
      </c>
      <c r="F1477" s="2" t="s">
        <v>115</v>
      </c>
      <c r="G1477" s="2">
        <v>6</v>
      </c>
      <c r="H1477" s="2">
        <v>0</v>
      </c>
      <c r="I1477" s="2">
        <v>0</v>
      </c>
      <c r="J1477" s="2">
        <v>0</v>
      </c>
      <c r="K1477" s="2">
        <v>0</v>
      </c>
      <c r="L1477" s="2">
        <v>0</v>
      </c>
      <c r="M1477" s="2">
        <v>0</v>
      </c>
      <c r="N1477" s="2">
        <v>0</v>
      </c>
      <c r="O1477" s="2">
        <v>0</v>
      </c>
      <c r="P1477" s="2">
        <v>0</v>
      </c>
      <c r="Q1477" s="2">
        <v>0</v>
      </c>
      <c r="R1477" s="2">
        <v>0</v>
      </c>
      <c r="S1477" s="2" t="s">
        <v>488</v>
      </c>
      <c r="T1477" s="2" t="s">
        <v>488</v>
      </c>
      <c r="U1477" s="2">
        <v>0</v>
      </c>
      <c r="V1477" s="2">
        <v>0</v>
      </c>
      <c r="W1477">
        <f t="shared" si="23"/>
        <v>0</v>
      </c>
    </row>
    <row r="1478" spans="1:23" x14ac:dyDescent="0.25">
      <c r="A1478" s="2" t="s">
        <v>628</v>
      </c>
      <c r="B1478" s="2" t="s">
        <v>918</v>
      </c>
      <c r="C1478" s="2">
        <v>540242</v>
      </c>
      <c r="D1478" s="2" t="s">
        <v>690</v>
      </c>
      <c r="E1478" s="2" t="s">
        <v>33</v>
      </c>
      <c r="F1478" s="2" t="s">
        <v>115</v>
      </c>
      <c r="G1478" s="2">
        <v>6</v>
      </c>
      <c r="H1478" s="2">
        <v>0</v>
      </c>
      <c r="I1478" s="2">
        <v>0</v>
      </c>
      <c r="J1478" s="2">
        <v>0</v>
      </c>
      <c r="K1478" s="2">
        <v>0</v>
      </c>
      <c r="L1478" s="2">
        <v>0</v>
      </c>
      <c r="M1478" s="2">
        <v>0</v>
      </c>
      <c r="N1478" s="2">
        <v>0</v>
      </c>
      <c r="O1478" s="2">
        <v>0</v>
      </c>
      <c r="P1478" s="2">
        <v>0</v>
      </c>
      <c r="Q1478" s="2">
        <v>0</v>
      </c>
      <c r="R1478" s="2">
        <v>1</v>
      </c>
      <c r="S1478" s="2" t="s">
        <v>488</v>
      </c>
      <c r="T1478" s="2" t="s">
        <v>488</v>
      </c>
      <c r="U1478" s="2">
        <v>0</v>
      </c>
      <c r="V1478" s="2">
        <v>0</v>
      </c>
      <c r="W1478">
        <f t="shared" si="23"/>
        <v>1</v>
      </c>
    </row>
    <row r="1479" spans="1:23" x14ac:dyDescent="0.25">
      <c r="A1479" s="255" t="s">
        <v>628</v>
      </c>
      <c r="B1479" s="255" t="s">
        <v>918</v>
      </c>
      <c r="C1479" s="255"/>
      <c r="D1479" s="255"/>
      <c r="E1479" s="255" t="s">
        <v>33</v>
      </c>
      <c r="F1479" s="255"/>
      <c r="G1479" s="255"/>
      <c r="H1479" s="255">
        <v>1</v>
      </c>
      <c r="I1479" s="255">
        <v>4</v>
      </c>
      <c r="J1479" s="255">
        <v>0</v>
      </c>
      <c r="K1479" s="255">
        <v>0</v>
      </c>
      <c r="L1479" s="255">
        <v>0</v>
      </c>
      <c r="M1479" s="255">
        <v>4</v>
      </c>
      <c r="N1479" s="255">
        <v>5</v>
      </c>
      <c r="O1479" s="255">
        <v>0</v>
      </c>
      <c r="P1479" s="255">
        <v>0</v>
      </c>
      <c r="Q1479" s="255">
        <v>0</v>
      </c>
      <c r="R1479" s="255">
        <v>1</v>
      </c>
      <c r="S1479" s="255" t="s">
        <v>488</v>
      </c>
      <c r="T1479" s="255" t="s">
        <v>488</v>
      </c>
      <c r="U1479" s="255">
        <v>2</v>
      </c>
      <c r="V1479" s="255">
        <v>0</v>
      </c>
      <c r="W1479">
        <f t="shared" si="23"/>
        <v>8</v>
      </c>
    </row>
    <row r="1480" spans="1:23" x14ac:dyDescent="0.25">
      <c r="A1480" s="2" t="s">
        <v>628</v>
      </c>
      <c r="B1480" s="2" t="s">
        <v>918</v>
      </c>
      <c r="C1480" s="2">
        <v>540063</v>
      </c>
      <c r="D1480" s="2" t="s">
        <v>691</v>
      </c>
      <c r="E1480" s="2" t="s">
        <v>35</v>
      </c>
      <c r="F1480" s="2" t="s">
        <v>5</v>
      </c>
      <c r="G1480" s="2">
        <v>5</v>
      </c>
      <c r="H1480" s="2">
        <v>0</v>
      </c>
      <c r="I1480" s="2">
        <v>0</v>
      </c>
      <c r="J1480" s="2">
        <v>0</v>
      </c>
      <c r="K1480" s="2">
        <v>0</v>
      </c>
      <c r="L1480" s="2">
        <v>0</v>
      </c>
      <c r="M1480" s="2">
        <v>0</v>
      </c>
      <c r="N1480" s="2">
        <v>0</v>
      </c>
      <c r="O1480" s="2">
        <v>0</v>
      </c>
      <c r="P1480" s="2">
        <v>0</v>
      </c>
      <c r="Q1480" s="2" t="s">
        <v>488</v>
      </c>
      <c r="R1480" s="2" t="s">
        <v>488</v>
      </c>
      <c r="S1480" s="2" t="s">
        <v>488</v>
      </c>
      <c r="T1480" s="2" t="s">
        <v>488</v>
      </c>
      <c r="U1480" s="2">
        <v>0</v>
      </c>
      <c r="V1480" s="2">
        <v>0</v>
      </c>
      <c r="W1480">
        <f t="shared" si="23"/>
        <v>0</v>
      </c>
    </row>
    <row r="1481" spans="1:23" x14ac:dyDescent="0.25">
      <c r="A1481" s="2" t="s">
        <v>628</v>
      </c>
      <c r="B1481" s="2" t="s">
        <v>918</v>
      </c>
      <c r="C1481" s="2">
        <v>540064</v>
      </c>
      <c r="D1481" s="2" t="s">
        <v>692</v>
      </c>
      <c r="E1481" s="2" t="s">
        <v>35</v>
      </c>
      <c r="F1481" s="2" t="s">
        <v>115</v>
      </c>
      <c r="G1481" s="2">
        <v>5</v>
      </c>
      <c r="H1481" s="2">
        <v>0</v>
      </c>
      <c r="I1481" s="2">
        <v>0</v>
      </c>
      <c r="J1481" s="2">
        <v>0</v>
      </c>
      <c r="K1481" s="2">
        <v>0</v>
      </c>
      <c r="L1481" s="2">
        <v>0</v>
      </c>
      <c r="M1481" s="2">
        <v>0</v>
      </c>
      <c r="N1481" s="2">
        <v>0</v>
      </c>
      <c r="O1481" s="2">
        <v>0</v>
      </c>
      <c r="P1481" s="2">
        <v>0</v>
      </c>
      <c r="Q1481" s="2" t="s">
        <v>488</v>
      </c>
      <c r="R1481" s="2" t="s">
        <v>488</v>
      </c>
      <c r="S1481" s="2" t="s">
        <v>488</v>
      </c>
      <c r="T1481" s="2" t="s">
        <v>488</v>
      </c>
      <c r="U1481" s="2">
        <v>0</v>
      </c>
      <c r="V1481" s="2">
        <v>0</v>
      </c>
      <c r="W1481">
        <f t="shared" si="23"/>
        <v>0</v>
      </c>
    </row>
    <row r="1482" spans="1:23" x14ac:dyDescent="0.25">
      <c r="A1482" s="2" t="s">
        <v>628</v>
      </c>
      <c r="B1482" s="2" t="s">
        <v>918</v>
      </c>
      <c r="C1482" s="2">
        <v>540241</v>
      </c>
      <c r="D1482" s="2" t="s">
        <v>693</v>
      </c>
      <c r="E1482" s="2" t="s">
        <v>35</v>
      </c>
      <c r="F1482" s="2" t="s">
        <v>115</v>
      </c>
      <c r="G1482" s="2">
        <v>5</v>
      </c>
      <c r="H1482" s="2">
        <v>0</v>
      </c>
      <c r="I1482" s="2">
        <v>0</v>
      </c>
      <c r="J1482" s="2">
        <v>0</v>
      </c>
      <c r="K1482" s="2">
        <v>0</v>
      </c>
      <c r="L1482" s="2">
        <v>0</v>
      </c>
      <c r="M1482" s="2">
        <v>0</v>
      </c>
      <c r="N1482" s="2">
        <v>0</v>
      </c>
      <c r="O1482" s="2">
        <v>0</v>
      </c>
      <c r="P1482" s="2">
        <v>0</v>
      </c>
      <c r="Q1482" s="2" t="s">
        <v>488</v>
      </c>
      <c r="R1482" s="2" t="s">
        <v>488</v>
      </c>
      <c r="S1482" s="2" t="s">
        <v>488</v>
      </c>
      <c r="T1482" s="2" t="s">
        <v>488</v>
      </c>
      <c r="U1482" s="2">
        <v>0</v>
      </c>
      <c r="V1482" s="2">
        <v>0</v>
      </c>
      <c r="W1482">
        <f t="shared" si="23"/>
        <v>0</v>
      </c>
    </row>
    <row r="1483" spans="1:23" x14ac:dyDescent="0.25">
      <c r="A1483" s="255" t="s">
        <v>628</v>
      </c>
      <c r="B1483" s="255" t="s">
        <v>918</v>
      </c>
      <c r="C1483" s="255"/>
      <c r="D1483" s="255"/>
      <c r="E1483" s="255" t="s">
        <v>35</v>
      </c>
      <c r="F1483" s="255"/>
      <c r="G1483" s="255"/>
      <c r="H1483" s="255">
        <v>0</v>
      </c>
      <c r="I1483" s="255">
        <v>0</v>
      </c>
      <c r="J1483" s="255">
        <v>0</v>
      </c>
      <c r="K1483" s="255">
        <v>0</v>
      </c>
      <c r="L1483" s="255">
        <v>0</v>
      </c>
      <c r="M1483" s="255">
        <v>0</v>
      </c>
      <c r="N1483" s="255">
        <v>0</v>
      </c>
      <c r="O1483" s="255">
        <v>0</v>
      </c>
      <c r="P1483" s="255">
        <v>0</v>
      </c>
      <c r="Q1483" s="255" t="s">
        <v>488</v>
      </c>
      <c r="R1483" s="255" t="s">
        <v>488</v>
      </c>
      <c r="S1483" s="255" t="s">
        <v>488</v>
      </c>
      <c r="T1483" s="255" t="s">
        <v>488</v>
      </c>
      <c r="U1483" s="255">
        <v>0</v>
      </c>
      <c r="V1483" s="255">
        <v>0</v>
      </c>
      <c r="W1483">
        <f t="shared" si="23"/>
        <v>0</v>
      </c>
    </row>
    <row r="1484" spans="1:23" x14ac:dyDescent="0.25">
      <c r="A1484" s="2" t="s">
        <v>628</v>
      </c>
      <c r="B1484" s="2" t="s">
        <v>918</v>
      </c>
      <c r="C1484" s="2">
        <v>540065</v>
      </c>
      <c r="D1484" s="2" t="s">
        <v>694</v>
      </c>
      <c r="E1484" s="2" t="s">
        <v>37</v>
      </c>
      <c r="F1484" s="2" t="s">
        <v>5</v>
      </c>
      <c r="G1484" s="2">
        <v>9</v>
      </c>
      <c r="H1484" s="2">
        <v>0</v>
      </c>
      <c r="I1484" s="2">
        <v>0</v>
      </c>
      <c r="J1484" s="2">
        <v>0</v>
      </c>
      <c r="K1484" s="2">
        <v>0</v>
      </c>
      <c r="L1484" s="2">
        <v>0</v>
      </c>
      <c r="M1484" s="2">
        <v>0</v>
      </c>
      <c r="N1484" s="2">
        <v>0</v>
      </c>
      <c r="O1484" s="2">
        <v>0</v>
      </c>
      <c r="P1484" s="2">
        <v>0</v>
      </c>
      <c r="Q1484" s="2">
        <v>0</v>
      </c>
      <c r="R1484" s="2">
        <v>0</v>
      </c>
      <c r="S1484" s="2">
        <v>0</v>
      </c>
      <c r="T1484" s="2">
        <v>0</v>
      </c>
      <c r="U1484" s="2">
        <v>0</v>
      </c>
      <c r="V1484" s="2">
        <v>0</v>
      </c>
      <c r="W1484">
        <f t="shared" si="23"/>
        <v>0</v>
      </c>
    </row>
    <row r="1485" spans="1:23" x14ac:dyDescent="0.25">
      <c r="A1485" s="2" t="s">
        <v>628</v>
      </c>
      <c r="B1485" s="2" t="s">
        <v>918</v>
      </c>
      <c r="C1485" s="2">
        <v>540030</v>
      </c>
      <c r="D1485" s="2" t="s">
        <v>695</v>
      </c>
      <c r="E1485" s="2" t="s">
        <v>37</v>
      </c>
      <c r="F1485" s="2" t="s">
        <v>115</v>
      </c>
      <c r="G1485" s="2">
        <v>9</v>
      </c>
      <c r="H1485" s="2">
        <v>0</v>
      </c>
      <c r="I1485" s="2">
        <v>0</v>
      </c>
      <c r="J1485" s="2">
        <v>0</v>
      </c>
      <c r="K1485" s="2">
        <v>0</v>
      </c>
      <c r="L1485" s="2">
        <v>0</v>
      </c>
      <c r="M1485" s="2">
        <v>0</v>
      </c>
      <c r="N1485" s="2">
        <v>0</v>
      </c>
      <c r="O1485" s="2">
        <v>0</v>
      </c>
      <c r="P1485" s="2">
        <v>0</v>
      </c>
      <c r="Q1485" s="2">
        <v>0</v>
      </c>
      <c r="R1485" s="2">
        <v>0</v>
      </c>
      <c r="S1485" s="2">
        <v>0</v>
      </c>
      <c r="T1485" s="2">
        <v>0</v>
      </c>
      <c r="U1485" s="2">
        <v>0</v>
      </c>
      <c r="V1485" s="2">
        <v>0</v>
      </c>
      <c r="W1485">
        <f t="shared" si="23"/>
        <v>0</v>
      </c>
    </row>
    <row r="1486" spans="1:23" x14ac:dyDescent="0.25">
      <c r="A1486" s="2" t="s">
        <v>628</v>
      </c>
      <c r="B1486" s="2" t="s">
        <v>918</v>
      </c>
      <c r="C1486" s="2">
        <v>540066</v>
      </c>
      <c r="D1486" s="2" t="s">
        <v>696</v>
      </c>
      <c r="E1486" s="2" t="s">
        <v>37</v>
      </c>
      <c r="F1486" s="2" t="s">
        <v>115</v>
      </c>
      <c r="G1486" s="2">
        <v>9</v>
      </c>
      <c r="H1486" s="2">
        <v>0</v>
      </c>
      <c r="I1486" s="2">
        <v>0</v>
      </c>
      <c r="J1486" s="2">
        <v>0</v>
      </c>
      <c r="K1486" s="2">
        <v>0</v>
      </c>
      <c r="L1486" s="2">
        <v>0</v>
      </c>
      <c r="M1486" s="2">
        <v>0</v>
      </c>
      <c r="N1486" s="2">
        <v>0</v>
      </c>
      <c r="O1486" s="2">
        <v>0</v>
      </c>
      <c r="P1486" s="2">
        <v>0</v>
      </c>
      <c r="Q1486" s="2">
        <v>0</v>
      </c>
      <c r="R1486" s="2">
        <v>0</v>
      </c>
      <c r="S1486" s="2">
        <v>0</v>
      </c>
      <c r="T1486" s="2">
        <v>0</v>
      </c>
      <c r="U1486" s="2">
        <v>0</v>
      </c>
      <c r="V1486" s="2">
        <v>0</v>
      </c>
      <c r="W1486">
        <f t="shared" si="23"/>
        <v>0</v>
      </c>
    </row>
    <row r="1487" spans="1:23" x14ac:dyDescent="0.25">
      <c r="A1487" s="2" t="s">
        <v>628</v>
      </c>
      <c r="B1487" s="2" t="s">
        <v>918</v>
      </c>
      <c r="C1487" s="2">
        <v>540067</v>
      </c>
      <c r="D1487" s="2" t="s">
        <v>697</v>
      </c>
      <c r="E1487" s="2" t="s">
        <v>37</v>
      </c>
      <c r="F1487" s="2" t="s">
        <v>115</v>
      </c>
      <c r="G1487" s="2">
        <v>9</v>
      </c>
      <c r="H1487" s="2">
        <v>0</v>
      </c>
      <c r="I1487" s="2">
        <v>0</v>
      </c>
      <c r="J1487" s="2">
        <v>0</v>
      </c>
      <c r="K1487" s="2">
        <v>0</v>
      </c>
      <c r="L1487" s="2">
        <v>0</v>
      </c>
      <c r="M1487" s="2">
        <v>0</v>
      </c>
      <c r="N1487" s="2">
        <v>0</v>
      </c>
      <c r="O1487" s="2">
        <v>0</v>
      </c>
      <c r="P1487" s="2">
        <v>0</v>
      </c>
      <c r="Q1487" s="2">
        <v>0</v>
      </c>
      <c r="R1487" s="2">
        <v>0</v>
      </c>
      <c r="S1487" s="2">
        <v>0</v>
      </c>
      <c r="T1487" s="2">
        <v>0</v>
      </c>
      <c r="U1487" s="2">
        <v>0</v>
      </c>
      <c r="V1487" s="2">
        <v>0</v>
      </c>
      <c r="W1487">
        <f t="shared" si="23"/>
        <v>0</v>
      </c>
    </row>
    <row r="1488" spans="1:23" x14ac:dyDescent="0.25">
      <c r="A1488" s="2" t="s">
        <v>628</v>
      </c>
      <c r="B1488" s="2" t="s">
        <v>918</v>
      </c>
      <c r="C1488" s="2">
        <v>540068</v>
      </c>
      <c r="D1488" s="2" t="s">
        <v>698</v>
      </c>
      <c r="E1488" s="2" t="s">
        <v>37</v>
      </c>
      <c r="F1488" s="2" t="s">
        <v>115</v>
      </c>
      <c r="G1488" s="2">
        <v>9</v>
      </c>
      <c r="H1488" s="2">
        <v>0</v>
      </c>
      <c r="I1488" s="2">
        <v>0</v>
      </c>
      <c r="J1488" s="2">
        <v>0</v>
      </c>
      <c r="K1488" s="2">
        <v>0</v>
      </c>
      <c r="L1488" s="2">
        <v>0</v>
      </c>
      <c r="M1488" s="2">
        <v>0</v>
      </c>
      <c r="N1488" s="2">
        <v>0</v>
      </c>
      <c r="O1488" s="2">
        <v>0</v>
      </c>
      <c r="P1488" s="2">
        <v>0</v>
      </c>
      <c r="Q1488" s="2">
        <v>0</v>
      </c>
      <c r="R1488" s="2">
        <v>0</v>
      </c>
      <c r="S1488" s="2">
        <v>0</v>
      </c>
      <c r="T1488" s="2">
        <v>0</v>
      </c>
      <c r="U1488" s="2">
        <v>0</v>
      </c>
      <c r="V1488" s="2">
        <v>0</v>
      </c>
      <c r="W1488">
        <f t="shared" si="23"/>
        <v>0</v>
      </c>
    </row>
    <row r="1489" spans="1:23" x14ac:dyDescent="0.25">
      <c r="A1489" s="2" t="s">
        <v>628</v>
      </c>
      <c r="B1489" s="2" t="s">
        <v>918</v>
      </c>
      <c r="C1489" s="2">
        <v>540069</v>
      </c>
      <c r="D1489" s="2" t="s">
        <v>699</v>
      </c>
      <c r="E1489" s="2" t="s">
        <v>37</v>
      </c>
      <c r="F1489" s="2" t="s">
        <v>115</v>
      </c>
      <c r="G1489" s="2">
        <v>9</v>
      </c>
      <c r="H1489" s="2">
        <v>0</v>
      </c>
      <c r="I1489" s="2">
        <v>0</v>
      </c>
      <c r="J1489" s="2">
        <v>0</v>
      </c>
      <c r="K1489" s="2">
        <v>0</v>
      </c>
      <c r="L1489" s="2">
        <v>0</v>
      </c>
      <c r="M1489" s="2">
        <v>0</v>
      </c>
      <c r="N1489" s="2">
        <v>0</v>
      </c>
      <c r="O1489" s="2">
        <v>0</v>
      </c>
      <c r="P1489" s="2">
        <v>0</v>
      </c>
      <c r="Q1489" s="2">
        <v>0</v>
      </c>
      <c r="R1489" s="2">
        <v>0</v>
      </c>
      <c r="S1489" s="2">
        <v>0</v>
      </c>
      <c r="T1489" s="2">
        <v>0</v>
      </c>
      <c r="U1489" s="2">
        <v>0</v>
      </c>
      <c r="V1489" s="2">
        <v>0</v>
      </c>
      <c r="W1489">
        <f t="shared" si="23"/>
        <v>0</v>
      </c>
    </row>
    <row r="1490" spans="1:23" x14ac:dyDescent="0.25">
      <c r="A1490" s="255" t="s">
        <v>628</v>
      </c>
      <c r="B1490" s="255" t="s">
        <v>918</v>
      </c>
      <c r="C1490" s="255"/>
      <c r="D1490" s="255"/>
      <c r="E1490" s="255" t="s">
        <v>37</v>
      </c>
      <c r="F1490" s="255"/>
      <c r="G1490" s="255"/>
      <c r="H1490" s="255">
        <v>0</v>
      </c>
      <c r="I1490" s="255">
        <v>0</v>
      </c>
      <c r="J1490" s="255">
        <v>0</v>
      </c>
      <c r="K1490" s="255">
        <v>0</v>
      </c>
      <c r="L1490" s="255">
        <v>0</v>
      </c>
      <c r="M1490" s="255">
        <v>0</v>
      </c>
      <c r="N1490" s="255">
        <v>0</v>
      </c>
      <c r="O1490" s="255">
        <v>0</v>
      </c>
      <c r="P1490" s="255">
        <v>0</v>
      </c>
      <c r="Q1490" s="255">
        <v>0</v>
      </c>
      <c r="R1490" s="255">
        <v>0</v>
      </c>
      <c r="S1490" s="255">
        <v>0</v>
      </c>
      <c r="T1490" s="255">
        <v>0</v>
      </c>
      <c r="U1490" s="255">
        <v>0</v>
      </c>
      <c r="V1490" s="255">
        <v>0</v>
      </c>
      <c r="W1490">
        <f t="shared" si="23"/>
        <v>0</v>
      </c>
    </row>
    <row r="1491" spans="1:23" x14ac:dyDescent="0.25">
      <c r="A1491" s="2" t="s">
        <v>628</v>
      </c>
      <c r="B1491" s="2" t="s">
        <v>918</v>
      </c>
      <c r="C1491" s="2">
        <v>540070</v>
      </c>
      <c r="D1491" s="2" t="s">
        <v>700</v>
      </c>
      <c r="E1491" s="2" t="s">
        <v>39</v>
      </c>
      <c r="F1491" s="2" t="s">
        <v>5</v>
      </c>
      <c r="G1491" s="2">
        <v>3</v>
      </c>
      <c r="H1491" s="2">
        <v>0</v>
      </c>
      <c r="I1491" s="2">
        <v>5</v>
      </c>
      <c r="J1491" s="2">
        <v>1</v>
      </c>
      <c r="K1491" s="2">
        <v>0</v>
      </c>
      <c r="L1491" s="2">
        <v>0</v>
      </c>
      <c r="M1491" s="2">
        <v>6</v>
      </c>
      <c r="N1491" s="2">
        <v>6</v>
      </c>
      <c r="O1491" s="2">
        <v>0</v>
      </c>
      <c r="P1491" s="2">
        <v>0</v>
      </c>
      <c r="Q1491" s="2">
        <v>0</v>
      </c>
      <c r="R1491" s="2">
        <v>0</v>
      </c>
      <c r="S1491" s="2" t="s">
        <v>488</v>
      </c>
      <c r="T1491" s="2" t="s">
        <v>488</v>
      </c>
      <c r="U1491" s="2">
        <v>3</v>
      </c>
      <c r="V1491" s="2">
        <v>0</v>
      </c>
      <c r="W1491">
        <f t="shared" si="23"/>
        <v>9</v>
      </c>
    </row>
    <row r="1492" spans="1:23" x14ac:dyDescent="0.25">
      <c r="A1492" s="2" t="s">
        <v>628</v>
      </c>
      <c r="B1492" s="2" t="s">
        <v>918</v>
      </c>
      <c r="C1492" s="2">
        <v>540029</v>
      </c>
      <c r="D1492" s="2" t="s">
        <v>701</v>
      </c>
      <c r="E1492" s="2" t="s">
        <v>39</v>
      </c>
      <c r="F1492" s="2" t="s">
        <v>115</v>
      </c>
      <c r="G1492" s="2">
        <v>3</v>
      </c>
      <c r="H1492" s="2">
        <v>0</v>
      </c>
      <c r="I1492" s="2">
        <v>0</v>
      </c>
      <c r="J1492" s="2">
        <v>0</v>
      </c>
      <c r="K1492" s="2">
        <v>0</v>
      </c>
      <c r="L1492" s="2">
        <v>0</v>
      </c>
      <c r="M1492" s="2">
        <v>0</v>
      </c>
      <c r="N1492" s="2">
        <v>0</v>
      </c>
      <c r="O1492" s="2">
        <v>0</v>
      </c>
      <c r="P1492" s="2">
        <v>0</v>
      </c>
      <c r="Q1492" s="2">
        <v>0</v>
      </c>
      <c r="R1492" s="2">
        <v>0</v>
      </c>
      <c r="S1492" s="2" t="s">
        <v>488</v>
      </c>
      <c r="T1492" s="2" t="s">
        <v>488</v>
      </c>
      <c r="U1492" s="2">
        <v>1</v>
      </c>
      <c r="V1492" s="2">
        <v>0</v>
      </c>
      <c r="W1492">
        <f t="shared" si="23"/>
        <v>1</v>
      </c>
    </row>
    <row r="1493" spans="1:23" x14ac:dyDescent="0.25">
      <c r="A1493" s="2" t="s">
        <v>628</v>
      </c>
      <c r="B1493" s="2" t="s">
        <v>918</v>
      </c>
      <c r="C1493" s="2">
        <v>540071</v>
      </c>
      <c r="D1493" s="2" t="s">
        <v>702</v>
      </c>
      <c r="E1493" s="2" t="s">
        <v>39</v>
      </c>
      <c r="F1493" s="2" t="s">
        <v>115</v>
      </c>
      <c r="G1493" s="2">
        <v>3</v>
      </c>
      <c r="H1493" s="2">
        <v>0</v>
      </c>
      <c r="I1493" s="2">
        <v>0</v>
      </c>
      <c r="J1493" s="2">
        <v>0</v>
      </c>
      <c r="K1493" s="2">
        <v>0</v>
      </c>
      <c r="L1493" s="2">
        <v>0</v>
      </c>
      <c r="M1493" s="2">
        <v>0</v>
      </c>
      <c r="N1493" s="2">
        <v>0</v>
      </c>
      <c r="O1493" s="2">
        <v>0</v>
      </c>
      <c r="P1493" s="2">
        <v>0</v>
      </c>
      <c r="Q1493" s="2">
        <v>0</v>
      </c>
      <c r="R1493" s="2">
        <v>0</v>
      </c>
      <c r="S1493" s="2" t="s">
        <v>488</v>
      </c>
      <c r="T1493" s="2" t="s">
        <v>488</v>
      </c>
      <c r="U1493" s="2">
        <v>1</v>
      </c>
      <c r="V1493" s="2">
        <v>0</v>
      </c>
      <c r="W1493">
        <f t="shared" si="23"/>
        <v>1</v>
      </c>
    </row>
    <row r="1494" spans="1:23" x14ac:dyDescent="0.25">
      <c r="A1494" s="2" t="s">
        <v>628</v>
      </c>
      <c r="B1494" s="2" t="s">
        <v>918</v>
      </c>
      <c r="C1494" s="2">
        <v>540072</v>
      </c>
      <c r="D1494" s="2" t="s">
        <v>703</v>
      </c>
      <c r="E1494" s="2" t="s">
        <v>39</v>
      </c>
      <c r="F1494" s="2" t="s">
        <v>115</v>
      </c>
      <c r="G1494" s="2">
        <v>3</v>
      </c>
      <c r="H1494" s="2">
        <v>0</v>
      </c>
      <c r="I1494" s="2">
        <v>0</v>
      </c>
      <c r="J1494" s="2">
        <v>0</v>
      </c>
      <c r="K1494" s="2">
        <v>0</v>
      </c>
      <c r="L1494" s="2">
        <v>0</v>
      </c>
      <c r="M1494" s="2">
        <v>0</v>
      </c>
      <c r="N1494" s="2">
        <v>0</v>
      </c>
      <c r="O1494" s="2">
        <v>0</v>
      </c>
      <c r="P1494" s="2">
        <v>0</v>
      </c>
      <c r="Q1494" s="2">
        <v>0</v>
      </c>
      <c r="R1494" s="2">
        <v>0</v>
      </c>
      <c r="S1494" s="2" t="s">
        <v>488</v>
      </c>
      <c r="T1494" s="2" t="s">
        <v>488</v>
      </c>
      <c r="U1494" s="2">
        <v>1</v>
      </c>
      <c r="V1494" s="2">
        <v>0</v>
      </c>
      <c r="W1494">
        <f t="shared" si="23"/>
        <v>1</v>
      </c>
    </row>
    <row r="1495" spans="1:23" x14ac:dyDescent="0.25">
      <c r="A1495" s="2" t="s">
        <v>628</v>
      </c>
      <c r="B1495" s="2" t="s">
        <v>918</v>
      </c>
      <c r="C1495" s="2">
        <v>540073</v>
      </c>
      <c r="D1495" s="2" t="s">
        <v>704</v>
      </c>
      <c r="E1495" s="2" t="s">
        <v>39</v>
      </c>
      <c r="F1495" s="2" t="s">
        <v>115</v>
      </c>
      <c r="G1495" s="2">
        <v>3</v>
      </c>
      <c r="H1495" s="2">
        <v>0</v>
      </c>
      <c r="I1495" s="2">
        <v>0</v>
      </c>
      <c r="J1495" s="2">
        <v>0</v>
      </c>
      <c r="K1495" s="2">
        <v>0</v>
      </c>
      <c r="L1495" s="2">
        <v>0</v>
      </c>
      <c r="M1495" s="2">
        <v>0</v>
      </c>
      <c r="N1495" s="2">
        <v>0</v>
      </c>
      <c r="O1495" s="2">
        <v>0</v>
      </c>
      <c r="P1495" s="2">
        <v>0</v>
      </c>
      <c r="Q1495" s="2">
        <v>0</v>
      </c>
      <c r="R1495" s="2">
        <v>0</v>
      </c>
      <c r="S1495" s="2" t="s">
        <v>488</v>
      </c>
      <c r="T1495" s="2" t="s">
        <v>488</v>
      </c>
      <c r="U1495" s="2">
        <v>2</v>
      </c>
      <c r="V1495" s="2">
        <v>0</v>
      </c>
      <c r="W1495">
        <f t="shared" si="23"/>
        <v>2</v>
      </c>
    </row>
    <row r="1496" spans="1:23" x14ac:dyDescent="0.25">
      <c r="A1496" s="2" t="s">
        <v>628</v>
      </c>
      <c r="B1496" s="2" t="s">
        <v>918</v>
      </c>
      <c r="C1496" s="2">
        <v>540074</v>
      </c>
      <c r="D1496" s="2" t="s">
        <v>705</v>
      </c>
      <c r="E1496" s="2" t="s">
        <v>39</v>
      </c>
      <c r="F1496" s="2" t="s">
        <v>115</v>
      </c>
      <c r="G1496" s="2">
        <v>3</v>
      </c>
      <c r="H1496" s="2">
        <v>0</v>
      </c>
      <c r="I1496" s="2">
        <v>1</v>
      </c>
      <c r="J1496" s="2">
        <v>0</v>
      </c>
      <c r="K1496" s="2">
        <v>0</v>
      </c>
      <c r="L1496" s="2">
        <v>0</v>
      </c>
      <c r="M1496" s="2">
        <v>1</v>
      </c>
      <c r="N1496" s="2">
        <v>1</v>
      </c>
      <c r="O1496" s="2">
        <v>0</v>
      </c>
      <c r="P1496" s="2">
        <v>0</v>
      </c>
      <c r="Q1496" s="2">
        <v>0</v>
      </c>
      <c r="R1496" s="2">
        <v>0</v>
      </c>
      <c r="S1496" s="2" t="s">
        <v>488</v>
      </c>
      <c r="T1496" s="2" t="s">
        <v>488</v>
      </c>
      <c r="U1496" s="2">
        <v>0</v>
      </c>
      <c r="V1496" s="2">
        <v>0</v>
      </c>
      <c r="W1496">
        <f t="shared" si="23"/>
        <v>1</v>
      </c>
    </row>
    <row r="1497" spans="1:23" x14ac:dyDescent="0.25">
      <c r="A1497" s="2" t="s">
        <v>628</v>
      </c>
      <c r="B1497" s="2" t="s">
        <v>918</v>
      </c>
      <c r="C1497" s="2">
        <v>540075</v>
      </c>
      <c r="D1497" s="2" t="s">
        <v>706</v>
      </c>
      <c r="E1497" s="2" t="s">
        <v>39</v>
      </c>
      <c r="F1497" s="2" t="s">
        <v>115</v>
      </c>
      <c r="G1497" s="2">
        <v>3</v>
      </c>
      <c r="H1497" s="2">
        <v>0</v>
      </c>
      <c r="I1497" s="2">
        <v>1</v>
      </c>
      <c r="J1497" s="2">
        <v>0</v>
      </c>
      <c r="K1497" s="2">
        <v>0</v>
      </c>
      <c r="L1497" s="2">
        <v>0</v>
      </c>
      <c r="M1497" s="2">
        <v>1</v>
      </c>
      <c r="N1497" s="2">
        <v>1</v>
      </c>
      <c r="O1497" s="2">
        <v>1</v>
      </c>
      <c r="P1497" s="2">
        <v>0</v>
      </c>
      <c r="Q1497" s="2">
        <v>0</v>
      </c>
      <c r="R1497" s="2">
        <v>0</v>
      </c>
      <c r="S1497" s="2" t="s">
        <v>488</v>
      </c>
      <c r="T1497" s="2" t="s">
        <v>488</v>
      </c>
      <c r="U1497" s="2">
        <v>0</v>
      </c>
      <c r="V1497" s="2">
        <v>0</v>
      </c>
      <c r="W1497">
        <f t="shared" si="23"/>
        <v>1</v>
      </c>
    </row>
    <row r="1498" spans="1:23" x14ac:dyDescent="0.25">
      <c r="A1498" s="2" t="s">
        <v>628</v>
      </c>
      <c r="B1498" s="2" t="s">
        <v>918</v>
      </c>
      <c r="C1498" s="2">
        <v>540076</v>
      </c>
      <c r="D1498" s="2" t="s">
        <v>707</v>
      </c>
      <c r="E1498" s="2" t="s">
        <v>39</v>
      </c>
      <c r="F1498" s="2" t="s">
        <v>115</v>
      </c>
      <c r="G1498" s="2">
        <v>3</v>
      </c>
      <c r="H1498" s="2">
        <v>0</v>
      </c>
      <c r="I1498" s="2">
        <v>1</v>
      </c>
      <c r="J1498" s="2">
        <v>0</v>
      </c>
      <c r="K1498" s="2">
        <v>0</v>
      </c>
      <c r="L1498" s="2">
        <v>0</v>
      </c>
      <c r="M1498" s="2">
        <v>1</v>
      </c>
      <c r="N1498" s="2">
        <v>1</v>
      </c>
      <c r="O1498" s="2">
        <v>0</v>
      </c>
      <c r="P1498" s="2">
        <v>0</v>
      </c>
      <c r="Q1498" s="2">
        <v>0</v>
      </c>
      <c r="R1498" s="2">
        <v>0</v>
      </c>
      <c r="S1498" s="2" t="s">
        <v>488</v>
      </c>
      <c r="T1498" s="2" t="s">
        <v>488</v>
      </c>
      <c r="U1498" s="2">
        <v>0</v>
      </c>
      <c r="V1498" s="2">
        <v>0</v>
      </c>
      <c r="W1498">
        <f t="shared" si="23"/>
        <v>1</v>
      </c>
    </row>
    <row r="1499" spans="1:23" x14ac:dyDescent="0.25">
      <c r="A1499" s="2" t="s">
        <v>628</v>
      </c>
      <c r="B1499" s="2" t="s">
        <v>918</v>
      </c>
      <c r="C1499" s="2">
        <v>540077</v>
      </c>
      <c r="D1499" s="2" t="s">
        <v>708</v>
      </c>
      <c r="E1499" s="2" t="s">
        <v>39</v>
      </c>
      <c r="F1499" s="2" t="s">
        <v>115</v>
      </c>
      <c r="G1499" s="2">
        <v>3</v>
      </c>
      <c r="H1499" s="2">
        <v>0</v>
      </c>
      <c r="I1499" s="2">
        <v>0</v>
      </c>
      <c r="J1499" s="2">
        <v>0</v>
      </c>
      <c r="K1499" s="2">
        <v>0</v>
      </c>
      <c r="L1499" s="2">
        <v>0</v>
      </c>
      <c r="M1499" s="2">
        <v>0</v>
      </c>
      <c r="N1499" s="2">
        <v>0</v>
      </c>
      <c r="O1499" s="2">
        <v>0</v>
      </c>
      <c r="P1499" s="2">
        <v>0</v>
      </c>
      <c r="Q1499" s="2">
        <v>0</v>
      </c>
      <c r="R1499" s="2">
        <v>0</v>
      </c>
      <c r="S1499" s="2" t="s">
        <v>488</v>
      </c>
      <c r="T1499" s="2" t="s">
        <v>488</v>
      </c>
      <c r="U1499" s="2">
        <v>0</v>
      </c>
      <c r="V1499" s="2">
        <v>0</v>
      </c>
      <c r="W1499">
        <f t="shared" si="23"/>
        <v>0</v>
      </c>
    </row>
    <row r="1500" spans="1:23" x14ac:dyDescent="0.25">
      <c r="A1500" s="2" t="s">
        <v>628</v>
      </c>
      <c r="B1500" s="2" t="s">
        <v>918</v>
      </c>
      <c r="C1500" s="2">
        <v>540078</v>
      </c>
      <c r="D1500" s="2" t="s">
        <v>709</v>
      </c>
      <c r="E1500" s="2" t="s">
        <v>39</v>
      </c>
      <c r="F1500" s="2" t="s">
        <v>115</v>
      </c>
      <c r="G1500" s="2">
        <v>3</v>
      </c>
      <c r="H1500" s="2">
        <v>0</v>
      </c>
      <c r="I1500" s="2">
        <v>1</v>
      </c>
      <c r="J1500" s="2">
        <v>0</v>
      </c>
      <c r="K1500" s="2">
        <v>0</v>
      </c>
      <c r="L1500" s="2">
        <v>0</v>
      </c>
      <c r="M1500" s="2">
        <v>1</v>
      </c>
      <c r="N1500" s="2">
        <v>1</v>
      </c>
      <c r="O1500" s="2">
        <v>0</v>
      </c>
      <c r="P1500" s="2">
        <v>0</v>
      </c>
      <c r="Q1500" s="2">
        <v>0</v>
      </c>
      <c r="R1500" s="2">
        <v>0</v>
      </c>
      <c r="S1500" s="2" t="s">
        <v>488</v>
      </c>
      <c r="T1500" s="2" t="s">
        <v>488</v>
      </c>
      <c r="U1500" s="2">
        <v>0</v>
      </c>
      <c r="V1500" s="2">
        <v>0</v>
      </c>
      <c r="W1500">
        <f t="shared" si="23"/>
        <v>1</v>
      </c>
    </row>
    <row r="1501" spans="1:23" x14ac:dyDescent="0.25">
      <c r="A1501" s="2" t="s">
        <v>628</v>
      </c>
      <c r="B1501" s="2" t="s">
        <v>918</v>
      </c>
      <c r="C1501" s="2">
        <v>540079</v>
      </c>
      <c r="D1501" s="2" t="s">
        <v>710</v>
      </c>
      <c r="E1501" s="2" t="s">
        <v>39</v>
      </c>
      <c r="F1501" s="2" t="s">
        <v>115</v>
      </c>
      <c r="G1501" s="2">
        <v>3</v>
      </c>
      <c r="H1501" s="2">
        <v>0</v>
      </c>
      <c r="I1501" s="2">
        <v>0</v>
      </c>
      <c r="J1501" s="2">
        <v>0</v>
      </c>
      <c r="K1501" s="2">
        <v>0</v>
      </c>
      <c r="L1501" s="2">
        <v>0</v>
      </c>
      <c r="M1501" s="2">
        <v>0</v>
      </c>
      <c r="N1501" s="2">
        <v>0</v>
      </c>
      <c r="O1501" s="2">
        <v>0</v>
      </c>
      <c r="P1501" s="2">
        <v>0</v>
      </c>
      <c r="Q1501" s="2">
        <v>0</v>
      </c>
      <c r="R1501" s="2">
        <v>0</v>
      </c>
      <c r="S1501" s="2" t="s">
        <v>488</v>
      </c>
      <c r="T1501" s="2" t="s">
        <v>488</v>
      </c>
      <c r="U1501" s="2">
        <v>0</v>
      </c>
      <c r="V1501" s="2">
        <v>0</v>
      </c>
      <c r="W1501">
        <f t="shared" si="23"/>
        <v>0</v>
      </c>
    </row>
    <row r="1502" spans="1:23" x14ac:dyDescent="0.25">
      <c r="A1502" s="2" t="s">
        <v>628</v>
      </c>
      <c r="B1502" s="2" t="s">
        <v>918</v>
      </c>
      <c r="C1502" s="2">
        <v>540081</v>
      </c>
      <c r="D1502" s="2" t="s">
        <v>711</v>
      </c>
      <c r="E1502" s="2" t="s">
        <v>39</v>
      </c>
      <c r="F1502" s="2" t="s">
        <v>115</v>
      </c>
      <c r="G1502" s="2">
        <v>3</v>
      </c>
      <c r="H1502" s="2">
        <v>0</v>
      </c>
      <c r="I1502" s="2">
        <v>0</v>
      </c>
      <c r="J1502" s="2">
        <v>0</v>
      </c>
      <c r="K1502" s="2">
        <v>0</v>
      </c>
      <c r="L1502" s="2">
        <v>0</v>
      </c>
      <c r="M1502" s="2">
        <v>0</v>
      </c>
      <c r="N1502" s="2">
        <v>0</v>
      </c>
      <c r="O1502" s="2">
        <v>0</v>
      </c>
      <c r="P1502" s="2">
        <v>0</v>
      </c>
      <c r="Q1502" s="2">
        <v>0</v>
      </c>
      <c r="R1502" s="2">
        <v>0</v>
      </c>
      <c r="S1502" s="2" t="s">
        <v>488</v>
      </c>
      <c r="T1502" s="2" t="s">
        <v>488</v>
      </c>
      <c r="U1502" s="2">
        <v>0</v>
      </c>
      <c r="V1502" s="2">
        <v>0</v>
      </c>
      <c r="W1502">
        <f t="shared" si="23"/>
        <v>0</v>
      </c>
    </row>
    <row r="1503" spans="1:23" x14ac:dyDescent="0.25">
      <c r="A1503" s="2" t="s">
        <v>628</v>
      </c>
      <c r="B1503" s="2" t="s">
        <v>918</v>
      </c>
      <c r="C1503" s="2">
        <v>540082</v>
      </c>
      <c r="D1503" s="2" t="s">
        <v>712</v>
      </c>
      <c r="E1503" s="2" t="s">
        <v>39</v>
      </c>
      <c r="F1503" s="2" t="s">
        <v>115</v>
      </c>
      <c r="G1503" s="2">
        <v>3</v>
      </c>
      <c r="H1503" s="2">
        <v>0</v>
      </c>
      <c r="I1503" s="2">
        <v>0</v>
      </c>
      <c r="J1503" s="2">
        <v>0</v>
      </c>
      <c r="K1503" s="2">
        <v>0</v>
      </c>
      <c r="L1503" s="2">
        <v>0</v>
      </c>
      <c r="M1503" s="2">
        <v>0</v>
      </c>
      <c r="N1503" s="2">
        <v>0</v>
      </c>
      <c r="O1503" s="2">
        <v>0</v>
      </c>
      <c r="P1503" s="2">
        <v>0</v>
      </c>
      <c r="Q1503" s="2">
        <v>0</v>
      </c>
      <c r="R1503" s="2">
        <v>0</v>
      </c>
      <c r="S1503" s="2" t="s">
        <v>488</v>
      </c>
      <c r="T1503" s="2" t="s">
        <v>488</v>
      </c>
      <c r="U1503" s="2">
        <v>0</v>
      </c>
      <c r="V1503" s="2">
        <v>0</v>
      </c>
      <c r="W1503">
        <f t="shared" si="23"/>
        <v>0</v>
      </c>
    </row>
    <row r="1504" spans="1:23" x14ac:dyDescent="0.25">
      <c r="A1504" s="2" t="s">
        <v>628</v>
      </c>
      <c r="B1504" s="2" t="s">
        <v>918</v>
      </c>
      <c r="C1504" s="2">
        <v>540083</v>
      </c>
      <c r="D1504" s="2" t="s">
        <v>713</v>
      </c>
      <c r="E1504" s="2" t="s">
        <v>39</v>
      </c>
      <c r="F1504" s="2" t="s">
        <v>115</v>
      </c>
      <c r="G1504" s="2">
        <v>3</v>
      </c>
      <c r="H1504" s="2">
        <v>0</v>
      </c>
      <c r="I1504" s="2">
        <v>0</v>
      </c>
      <c r="J1504" s="2">
        <v>0</v>
      </c>
      <c r="K1504" s="2">
        <v>0</v>
      </c>
      <c r="L1504" s="2">
        <v>0</v>
      </c>
      <c r="M1504" s="2">
        <v>0</v>
      </c>
      <c r="N1504" s="2">
        <v>0</v>
      </c>
      <c r="O1504" s="2">
        <v>0</v>
      </c>
      <c r="P1504" s="2">
        <v>0</v>
      </c>
      <c r="Q1504" s="2">
        <v>0</v>
      </c>
      <c r="R1504" s="2">
        <v>0</v>
      </c>
      <c r="S1504" s="2" t="s">
        <v>488</v>
      </c>
      <c r="T1504" s="2" t="s">
        <v>488</v>
      </c>
      <c r="U1504" s="2">
        <v>2</v>
      </c>
      <c r="V1504" s="2">
        <v>0</v>
      </c>
      <c r="W1504">
        <f t="shared" si="23"/>
        <v>2</v>
      </c>
    </row>
    <row r="1505" spans="1:23" x14ac:dyDescent="0.25">
      <c r="A1505" s="2" t="s">
        <v>628</v>
      </c>
      <c r="B1505" s="2" t="s">
        <v>918</v>
      </c>
      <c r="C1505" s="2">
        <v>540223</v>
      </c>
      <c r="D1505" s="2" t="s">
        <v>714</v>
      </c>
      <c r="E1505" s="2" t="s">
        <v>39</v>
      </c>
      <c r="F1505" s="2" t="s">
        <v>115</v>
      </c>
      <c r="G1505" s="2">
        <v>3</v>
      </c>
      <c r="H1505" s="2">
        <v>0</v>
      </c>
      <c r="I1505" s="2">
        <v>0</v>
      </c>
      <c r="J1505" s="2">
        <v>0</v>
      </c>
      <c r="K1505" s="2">
        <v>0</v>
      </c>
      <c r="L1505" s="2">
        <v>0</v>
      </c>
      <c r="M1505" s="2">
        <v>0</v>
      </c>
      <c r="N1505" s="2">
        <v>0</v>
      </c>
      <c r="O1505" s="2">
        <v>0</v>
      </c>
      <c r="P1505" s="2">
        <v>0</v>
      </c>
      <c r="Q1505" s="2">
        <v>0</v>
      </c>
      <c r="R1505" s="2">
        <v>0</v>
      </c>
      <c r="S1505" s="2" t="s">
        <v>488</v>
      </c>
      <c r="T1505" s="2" t="s">
        <v>488</v>
      </c>
      <c r="U1505" s="2">
        <v>2</v>
      </c>
      <c r="V1505" s="2">
        <v>0</v>
      </c>
      <c r="W1505">
        <f t="shared" si="23"/>
        <v>2</v>
      </c>
    </row>
    <row r="1506" spans="1:23" x14ac:dyDescent="0.25">
      <c r="A1506" s="2" t="s">
        <v>628</v>
      </c>
      <c r="B1506" s="2" t="s">
        <v>918</v>
      </c>
      <c r="C1506" s="2">
        <v>540279</v>
      </c>
      <c r="D1506" s="2" t="s">
        <v>715</v>
      </c>
      <c r="E1506" s="2" t="s">
        <v>39</v>
      </c>
      <c r="F1506" s="2" t="s">
        <v>115</v>
      </c>
      <c r="G1506" s="2">
        <v>3</v>
      </c>
      <c r="H1506" s="2">
        <v>0</v>
      </c>
      <c r="I1506" s="2">
        <v>0</v>
      </c>
      <c r="J1506" s="2">
        <v>0</v>
      </c>
      <c r="K1506" s="2">
        <v>0</v>
      </c>
      <c r="L1506" s="2">
        <v>0</v>
      </c>
      <c r="M1506" s="2">
        <v>0</v>
      </c>
      <c r="N1506" s="2">
        <v>0</v>
      </c>
      <c r="O1506" s="2">
        <v>0</v>
      </c>
      <c r="P1506" s="2">
        <v>0</v>
      </c>
      <c r="Q1506" s="2">
        <v>0</v>
      </c>
      <c r="R1506" s="2">
        <v>0</v>
      </c>
      <c r="S1506" s="2" t="s">
        <v>488</v>
      </c>
      <c r="T1506" s="2" t="s">
        <v>488</v>
      </c>
      <c r="U1506" s="2">
        <v>0</v>
      </c>
      <c r="V1506" s="2">
        <v>0</v>
      </c>
      <c r="W1506">
        <f t="shared" si="23"/>
        <v>0</v>
      </c>
    </row>
    <row r="1507" spans="1:23" x14ac:dyDescent="0.25">
      <c r="A1507" s="2" t="s">
        <v>628</v>
      </c>
      <c r="B1507" s="2" t="s">
        <v>918</v>
      </c>
      <c r="C1507" s="2">
        <v>540033</v>
      </c>
      <c r="D1507" s="2" t="s">
        <v>716</v>
      </c>
      <c r="E1507" s="2" t="s">
        <v>39</v>
      </c>
      <c r="F1507" s="2" t="s">
        <v>115</v>
      </c>
      <c r="G1507" s="2">
        <v>3</v>
      </c>
      <c r="H1507" s="2">
        <v>0</v>
      </c>
      <c r="I1507" s="2">
        <v>0</v>
      </c>
      <c r="J1507" s="2">
        <v>0</v>
      </c>
      <c r="K1507" s="2">
        <v>0</v>
      </c>
      <c r="L1507" s="2">
        <v>0</v>
      </c>
      <c r="M1507" s="2">
        <v>0</v>
      </c>
      <c r="N1507" s="2">
        <v>0</v>
      </c>
      <c r="O1507" s="2">
        <v>0</v>
      </c>
      <c r="P1507" s="2">
        <v>0</v>
      </c>
      <c r="Q1507" s="2">
        <v>0</v>
      </c>
      <c r="R1507" s="2">
        <v>0</v>
      </c>
      <c r="S1507" s="2" t="s">
        <v>488</v>
      </c>
      <c r="T1507" s="2" t="s">
        <v>488</v>
      </c>
      <c r="U1507" s="2">
        <v>0</v>
      </c>
      <c r="V1507" s="2">
        <v>0</v>
      </c>
      <c r="W1507">
        <f t="shared" si="23"/>
        <v>0</v>
      </c>
    </row>
    <row r="1508" spans="1:23" x14ac:dyDescent="0.25">
      <c r="A1508" s="255" t="s">
        <v>628</v>
      </c>
      <c r="B1508" s="255" t="s">
        <v>918</v>
      </c>
      <c r="C1508" s="255"/>
      <c r="D1508" s="255"/>
      <c r="E1508" s="255" t="s">
        <v>39</v>
      </c>
      <c r="F1508" s="255"/>
      <c r="G1508" s="255"/>
      <c r="H1508" s="255">
        <v>0</v>
      </c>
      <c r="I1508" s="255">
        <v>9</v>
      </c>
      <c r="J1508" s="255">
        <v>1</v>
      </c>
      <c r="K1508" s="255">
        <v>0</v>
      </c>
      <c r="L1508" s="255">
        <v>0</v>
      </c>
      <c r="M1508" s="255">
        <v>10</v>
      </c>
      <c r="N1508" s="255">
        <v>10</v>
      </c>
      <c r="O1508" s="255">
        <v>1</v>
      </c>
      <c r="P1508" s="255">
        <v>0</v>
      </c>
      <c r="Q1508" s="255">
        <v>0</v>
      </c>
      <c r="R1508" s="255">
        <v>0</v>
      </c>
      <c r="S1508" s="255" t="s">
        <v>488</v>
      </c>
      <c r="T1508" s="255" t="s">
        <v>488</v>
      </c>
      <c r="U1508" s="255">
        <v>12</v>
      </c>
      <c r="V1508" s="255">
        <v>0</v>
      </c>
      <c r="W1508">
        <f t="shared" si="23"/>
        <v>22</v>
      </c>
    </row>
    <row r="1509" spans="1:23" x14ac:dyDescent="0.25">
      <c r="A1509" s="2" t="s">
        <v>628</v>
      </c>
      <c r="B1509" s="2" t="s">
        <v>918</v>
      </c>
      <c r="C1509" s="2">
        <v>540085</v>
      </c>
      <c r="D1509" s="2" t="s">
        <v>717</v>
      </c>
      <c r="E1509" s="2" t="s">
        <v>41</v>
      </c>
      <c r="F1509" s="2" t="s">
        <v>5</v>
      </c>
      <c r="G1509" s="2">
        <v>7</v>
      </c>
      <c r="H1509" s="2">
        <v>2</v>
      </c>
      <c r="I1509" s="2">
        <v>0</v>
      </c>
      <c r="J1509" s="2">
        <v>0</v>
      </c>
      <c r="K1509" s="2">
        <v>0</v>
      </c>
      <c r="L1509" s="2">
        <v>0</v>
      </c>
      <c r="M1509" s="2">
        <v>0</v>
      </c>
      <c r="N1509" s="2">
        <v>2</v>
      </c>
      <c r="O1509" s="2">
        <v>0</v>
      </c>
      <c r="P1509" s="2">
        <v>0</v>
      </c>
      <c r="Q1509" s="2">
        <v>2</v>
      </c>
      <c r="R1509" s="2">
        <v>0</v>
      </c>
      <c r="S1509" s="2" t="s">
        <v>488</v>
      </c>
      <c r="T1509" s="2" t="s">
        <v>488</v>
      </c>
      <c r="U1509" s="2">
        <v>0</v>
      </c>
      <c r="V1509" s="2">
        <v>0</v>
      </c>
      <c r="W1509">
        <f t="shared" si="23"/>
        <v>2</v>
      </c>
    </row>
    <row r="1510" spans="1:23" x14ac:dyDescent="0.25">
      <c r="A1510" s="2" t="s">
        <v>628</v>
      </c>
      <c r="B1510" s="2" t="s">
        <v>918</v>
      </c>
      <c r="C1510" s="2">
        <v>540086</v>
      </c>
      <c r="D1510" s="2" t="s">
        <v>718</v>
      </c>
      <c r="E1510" s="2" t="s">
        <v>41</v>
      </c>
      <c r="F1510" s="2" t="s">
        <v>115</v>
      </c>
      <c r="G1510" s="2">
        <v>7</v>
      </c>
      <c r="H1510" s="2">
        <v>1</v>
      </c>
      <c r="I1510" s="2">
        <v>0</v>
      </c>
      <c r="J1510" s="2">
        <v>0</v>
      </c>
      <c r="K1510" s="2">
        <v>0</v>
      </c>
      <c r="L1510" s="2">
        <v>0</v>
      </c>
      <c r="M1510" s="2">
        <v>0</v>
      </c>
      <c r="N1510" s="2">
        <v>1</v>
      </c>
      <c r="O1510" s="2">
        <v>0</v>
      </c>
      <c r="P1510" s="2">
        <v>0</v>
      </c>
      <c r="Q1510" s="2">
        <v>1</v>
      </c>
      <c r="R1510" s="2">
        <v>0</v>
      </c>
      <c r="S1510" s="2" t="s">
        <v>488</v>
      </c>
      <c r="T1510" s="2" t="s">
        <v>488</v>
      </c>
      <c r="U1510" s="2">
        <v>0</v>
      </c>
      <c r="V1510" s="2">
        <v>0</v>
      </c>
      <c r="W1510">
        <f t="shared" si="23"/>
        <v>1</v>
      </c>
    </row>
    <row r="1511" spans="1:23" x14ac:dyDescent="0.25">
      <c r="A1511" s="2" t="s">
        <v>628</v>
      </c>
      <c r="B1511" s="2" t="s">
        <v>918</v>
      </c>
      <c r="C1511" s="2">
        <v>540087</v>
      </c>
      <c r="D1511" s="2" t="s">
        <v>719</v>
      </c>
      <c r="E1511" s="2" t="s">
        <v>41</v>
      </c>
      <c r="F1511" s="2" t="s">
        <v>115</v>
      </c>
      <c r="G1511" s="2">
        <v>7</v>
      </c>
      <c r="H1511" s="2">
        <v>0</v>
      </c>
      <c r="I1511" s="2">
        <v>0</v>
      </c>
      <c r="J1511" s="2">
        <v>0</v>
      </c>
      <c r="K1511" s="2">
        <v>0</v>
      </c>
      <c r="L1511" s="2">
        <v>0</v>
      </c>
      <c r="M1511" s="2">
        <v>0</v>
      </c>
      <c r="N1511" s="2">
        <v>0</v>
      </c>
      <c r="O1511" s="2">
        <v>0</v>
      </c>
      <c r="P1511" s="2">
        <v>0</v>
      </c>
      <c r="Q1511" s="2">
        <v>0</v>
      </c>
      <c r="R1511" s="2">
        <v>0</v>
      </c>
      <c r="S1511" s="2" t="s">
        <v>488</v>
      </c>
      <c r="T1511" s="2" t="s">
        <v>488</v>
      </c>
      <c r="U1511" s="2">
        <v>0</v>
      </c>
      <c r="V1511" s="2">
        <v>0</v>
      </c>
      <c r="W1511">
        <f t="shared" si="23"/>
        <v>0</v>
      </c>
    </row>
    <row r="1512" spans="1:23" x14ac:dyDescent="0.25">
      <c r="A1512" s="255" t="s">
        <v>628</v>
      </c>
      <c r="B1512" s="255" t="s">
        <v>918</v>
      </c>
      <c r="C1512" s="255"/>
      <c r="D1512" s="255"/>
      <c r="E1512" s="255" t="s">
        <v>41</v>
      </c>
      <c r="F1512" s="255"/>
      <c r="G1512" s="255"/>
      <c r="H1512" s="255">
        <v>3</v>
      </c>
      <c r="I1512" s="255">
        <v>0</v>
      </c>
      <c r="J1512" s="255">
        <v>0</v>
      </c>
      <c r="K1512" s="255">
        <v>0</v>
      </c>
      <c r="L1512" s="255">
        <v>0</v>
      </c>
      <c r="M1512" s="255">
        <v>0</v>
      </c>
      <c r="N1512" s="255">
        <v>3</v>
      </c>
      <c r="O1512" s="255">
        <v>0</v>
      </c>
      <c r="P1512" s="255">
        <v>0</v>
      </c>
      <c r="Q1512" s="255">
        <v>3</v>
      </c>
      <c r="R1512" s="255">
        <v>0</v>
      </c>
      <c r="S1512" s="255" t="s">
        <v>488</v>
      </c>
      <c r="T1512" s="255" t="s">
        <v>488</v>
      </c>
      <c r="U1512" s="255">
        <v>0</v>
      </c>
      <c r="V1512" s="255">
        <v>0</v>
      </c>
      <c r="W1512">
        <f t="shared" si="23"/>
        <v>3</v>
      </c>
    </row>
    <row r="1513" spans="1:23" x14ac:dyDescent="0.25">
      <c r="A1513" s="2" t="s">
        <v>628</v>
      </c>
      <c r="B1513" s="2" t="s">
        <v>918</v>
      </c>
      <c r="C1513" s="2">
        <v>540088</v>
      </c>
      <c r="D1513" s="2" t="s">
        <v>720</v>
      </c>
      <c r="E1513" s="2" t="s">
        <v>43</v>
      </c>
      <c r="F1513" s="2" t="s">
        <v>5</v>
      </c>
      <c r="G1513" s="2">
        <v>2</v>
      </c>
      <c r="H1513" s="2">
        <v>0</v>
      </c>
      <c r="I1513" s="2">
        <v>1</v>
      </c>
      <c r="J1513" s="2">
        <v>0</v>
      </c>
      <c r="K1513" s="2">
        <v>0</v>
      </c>
      <c r="L1513" s="2">
        <v>0</v>
      </c>
      <c r="M1513" s="2">
        <v>1</v>
      </c>
      <c r="N1513" s="2">
        <v>1</v>
      </c>
      <c r="O1513" s="2">
        <v>0</v>
      </c>
      <c r="P1513" s="2">
        <v>0</v>
      </c>
      <c r="Q1513" s="2" t="s">
        <v>488</v>
      </c>
      <c r="R1513" s="2" t="s">
        <v>488</v>
      </c>
      <c r="S1513" s="2" t="s">
        <v>488</v>
      </c>
      <c r="T1513" s="2" t="s">
        <v>488</v>
      </c>
      <c r="U1513" s="2">
        <v>0</v>
      </c>
      <c r="V1513" s="2">
        <v>0</v>
      </c>
      <c r="W1513">
        <f t="shared" si="23"/>
        <v>1</v>
      </c>
    </row>
    <row r="1514" spans="1:23" x14ac:dyDescent="0.25">
      <c r="A1514" s="2" t="s">
        <v>628</v>
      </c>
      <c r="B1514" s="2" t="s">
        <v>918</v>
      </c>
      <c r="C1514" s="2">
        <v>540089</v>
      </c>
      <c r="D1514" s="2" t="s">
        <v>721</v>
      </c>
      <c r="E1514" s="2" t="s">
        <v>43</v>
      </c>
      <c r="F1514" s="2" t="s">
        <v>115</v>
      </c>
      <c r="G1514" s="2">
        <v>2</v>
      </c>
      <c r="H1514" s="2">
        <v>0</v>
      </c>
      <c r="I1514" s="2">
        <v>1</v>
      </c>
      <c r="J1514" s="2">
        <v>0</v>
      </c>
      <c r="K1514" s="2">
        <v>0</v>
      </c>
      <c r="L1514" s="2">
        <v>0</v>
      </c>
      <c r="M1514" s="2">
        <v>1</v>
      </c>
      <c r="N1514" s="2">
        <v>1</v>
      </c>
      <c r="O1514" s="2">
        <v>0</v>
      </c>
      <c r="P1514" s="2">
        <v>0</v>
      </c>
      <c r="Q1514" s="2" t="s">
        <v>488</v>
      </c>
      <c r="R1514" s="2" t="s">
        <v>488</v>
      </c>
      <c r="S1514" s="2" t="s">
        <v>488</v>
      </c>
      <c r="T1514" s="2" t="s">
        <v>488</v>
      </c>
      <c r="U1514" s="2">
        <v>0</v>
      </c>
      <c r="V1514" s="2">
        <v>0</v>
      </c>
      <c r="W1514">
        <f t="shared" si="23"/>
        <v>1</v>
      </c>
    </row>
    <row r="1515" spans="1:23" x14ac:dyDescent="0.25">
      <c r="A1515" s="2" t="s">
        <v>628</v>
      </c>
      <c r="B1515" s="2" t="s">
        <v>918</v>
      </c>
      <c r="C1515" s="2">
        <v>540090</v>
      </c>
      <c r="D1515" s="2" t="s">
        <v>722</v>
      </c>
      <c r="E1515" s="2" t="s">
        <v>43</v>
      </c>
      <c r="F1515" s="2" t="s">
        <v>115</v>
      </c>
      <c r="G1515" s="2">
        <v>2</v>
      </c>
      <c r="H1515" s="2">
        <v>0</v>
      </c>
      <c r="I1515" s="2">
        <v>0</v>
      </c>
      <c r="J1515" s="2">
        <v>0</v>
      </c>
      <c r="K1515" s="2">
        <v>0</v>
      </c>
      <c r="L1515" s="2">
        <v>0</v>
      </c>
      <c r="M1515" s="2">
        <v>0</v>
      </c>
      <c r="N1515" s="2">
        <v>0</v>
      </c>
      <c r="O1515" s="2">
        <v>0</v>
      </c>
      <c r="P1515" s="2">
        <v>0</v>
      </c>
      <c r="Q1515" s="2" t="s">
        <v>488</v>
      </c>
      <c r="R1515" s="2" t="s">
        <v>488</v>
      </c>
      <c r="S1515" s="2" t="s">
        <v>488</v>
      </c>
      <c r="T1515" s="2" t="s">
        <v>488</v>
      </c>
      <c r="U1515" s="2">
        <v>0</v>
      </c>
      <c r="V1515" s="2">
        <v>0</v>
      </c>
      <c r="W1515">
        <f t="shared" si="23"/>
        <v>0</v>
      </c>
    </row>
    <row r="1516" spans="1:23" x14ac:dyDescent="0.25">
      <c r="A1516" s="255" t="s">
        <v>628</v>
      </c>
      <c r="B1516" s="255" t="s">
        <v>918</v>
      </c>
      <c r="C1516" s="255"/>
      <c r="D1516" s="255"/>
      <c r="E1516" s="255" t="s">
        <v>43</v>
      </c>
      <c r="F1516" s="255"/>
      <c r="G1516" s="255"/>
      <c r="H1516" s="255">
        <v>0</v>
      </c>
      <c r="I1516" s="255">
        <v>2</v>
      </c>
      <c r="J1516" s="255">
        <v>0</v>
      </c>
      <c r="K1516" s="255">
        <v>0</v>
      </c>
      <c r="L1516" s="255">
        <v>0</v>
      </c>
      <c r="M1516" s="255">
        <v>2</v>
      </c>
      <c r="N1516" s="255">
        <v>2</v>
      </c>
      <c r="O1516" s="255">
        <v>0</v>
      </c>
      <c r="P1516" s="255">
        <v>0</v>
      </c>
      <c r="Q1516" s="255" t="s">
        <v>488</v>
      </c>
      <c r="R1516" s="255" t="s">
        <v>488</v>
      </c>
      <c r="S1516" s="255" t="s">
        <v>488</v>
      </c>
      <c r="T1516" s="255" t="s">
        <v>488</v>
      </c>
      <c r="U1516" s="255">
        <v>0</v>
      </c>
      <c r="V1516" s="255">
        <v>0</v>
      </c>
      <c r="W1516">
        <f t="shared" si="23"/>
        <v>2</v>
      </c>
    </row>
    <row r="1517" spans="1:23" x14ac:dyDescent="0.25">
      <c r="A1517" s="2" t="s">
        <v>628</v>
      </c>
      <c r="B1517" s="2" t="s">
        <v>918</v>
      </c>
      <c r="C1517" s="2">
        <v>540097</v>
      </c>
      <c r="D1517" s="2" t="s">
        <v>723</v>
      </c>
      <c r="E1517" s="2" t="s">
        <v>45</v>
      </c>
      <c r="F1517" s="2" t="s">
        <v>5</v>
      </c>
      <c r="G1517" s="2">
        <v>6</v>
      </c>
      <c r="H1517" s="2">
        <v>2</v>
      </c>
      <c r="I1517" s="2">
        <v>1</v>
      </c>
      <c r="J1517" s="2">
        <v>0</v>
      </c>
      <c r="K1517" s="2">
        <v>0</v>
      </c>
      <c r="L1517" s="2">
        <v>0</v>
      </c>
      <c r="M1517" s="2">
        <v>1</v>
      </c>
      <c r="N1517" s="2">
        <v>3</v>
      </c>
      <c r="O1517" s="2">
        <v>0</v>
      </c>
      <c r="P1517" s="2">
        <v>0</v>
      </c>
      <c r="Q1517" s="2">
        <v>0</v>
      </c>
      <c r="R1517" s="2">
        <v>0</v>
      </c>
      <c r="S1517" s="2" t="s">
        <v>488</v>
      </c>
      <c r="T1517" s="2" t="s">
        <v>488</v>
      </c>
      <c r="U1517" s="2">
        <v>0</v>
      </c>
      <c r="V1517" s="2">
        <v>0</v>
      </c>
      <c r="W1517">
        <f t="shared" si="23"/>
        <v>3</v>
      </c>
    </row>
    <row r="1518" spans="1:23" x14ac:dyDescent="0.25">
      <c r="A1518" s="2" t="s">
        <v>628</v>
      </c>
      <c r="B1518" s="2" t="s">
        <v>918</v>
      </c>
      <c r="C1518" s="2">
        <v>540098</v>
      </c>
      <c r="D1518" s="2" t="s">
        <v>724</v>
      </c>
      <c r="E1518" s="2" t="s">
        <v>45</v>
      </c>
      <c r="F1518" s="2" t="s">
        <v>115</v>
      </c>
      <c r="G1518" s="2">
        <v>6</v>
      </c>
      <c r="H1518" s="2">
        <v>0</v>
      </c>
      <c r="I1518" s="2">
        <v>0</v>
      </c>
      <c r="J1518" s="2">
        <v>0</v>
      </c>
      <c r="K1518" s="2">
        <v>0</v>
      </c>
      <c r="L1518" s="2">
        <v>0</v>
      </c>
      <c r="M1518" s="2">
        <v>0</v>
      </c>
      <c r="N1518" s="2">
        <v>0</v>
      </c>
      <c r="O1518" s="2">
        <v>0</v>
      </c>
      <c r="P1518" s="2">
        <v>0</v>
      </c>
      <c r="Q1518" s="2">
        <v>0</v>
      </c>
      <c r="R1518" s="2">
        <v>0</v>
      </c>
      <c r="S1518" s="2" t="s">
        <v>488</v>
      </c>
      <c r="T1518" s="2" t="s">
        <v>488</v>
      </c>
      <c r="U1518" s="2">
        <v>0</v>
      </c>
      <c r="V1518" s="2">
        <v>0</v>
      </c>
      <c r="W1518">
        <f t="shared" si="23"/>
        <v>0</v>
      </c>
    </row>
    <row r="1519" spans="1:23" x14ac:dyDescent="0.25">
      <c r="A1519" s="2" t="s">
        <v>628</v>
      </c>
      <c r="B1519" s="2" t="s">
        <v>918</v>
      </c>
      <c r="C1519" s="2">
        <v>540099</v>
      </c>
      <c r="D1519" s="2" t="s">
        <v>725</v>
      </c>
      <c r="E1519" s="2" t="s">
        <v>45</v>
      </c>
      <c r="F1519" s="2" t="s">
        <v>115</v>
      </c>
      <c r="G1519" s="2">
        <v>6</v>
      </c>
      <c r="H1519" s="2">
        <v>0</v>
      </c>
      <c r="I1519" s="2">
        <v>0</v>
      </c>
      <c r="J1519" s="2">
        <v>0</v>
      </c>
      <c r="K1519" s="2">
        <v>0</v>
      </c>
      <c r="L1519" s="2">
        <v>0</v>
      </c>
      <c r="M1519" s="2">
        <v>0</v>
      </c>
      <c r="N1519" s="2">
        <v>0</v>
      </c>
      <c r="O1519" s="2">
        <v>0</v>
      </c>
      <c r="P1519" s="2">
        <v>0</v>
      </c>
      <c r="Q1519" s="2">
        <v>0</v>
      </c>
      <c r="R1519" s="2">
        <v>0</v>
      </c>
      <c r="S1519" s="2" t="s">
        <v>488</v>
      </c>
      <c r="T1519" s="2" t="s">
        <v>488</v>
      </c>
      <c r="U1519" s="2">
        <v>0</v>
      </c>
      <c r="V1519" s="2">
        <v>0</v>
      </c>
      <c r="W1519">
        <f t="shared" si="23"/>
        <v>0</v>
      </c>
    </row>
    <row r="1520" spans="1:23" x14ac:dyDescent="0.25">
      <c r="A1520" s="2" t="s">
        <v>628</v>
      </c>
      <c r="B1520" s="2" t="s">
        <v>918</v>
      </c>
      <c r="C1520" s="2">
        <v>540100</v>
      </c>
      <c r="D1520" s="2" t="s">
        <v>726</v>
      </c>
      <c r="E1520" s="2" t="s">
        <v>45</v>
      </c>
      <c r="F1520" s="2" t="s">
        <v>115</v>
      </c>
      <c r="G1520" s="2">
        <v>6</v>
      </c>
      <c r="H1520" s="2">
        <v>0</v>
      </c>
      <c r="I1520" s="2">
        <v>0</v>
      </c>
      <c r="J1520" s="2">
        <v>0</v>
      </c>
      <c r="K1520" s="2">
        <v>0</v>
      </c>
      <c r="L1520" s="2">
        <v>0</v>
      </c>
      <c r="M1520" s="2">
        <v>0</v>
      </c>
      <c r="N1520" s="2">
        <v>0</v>
      </c>
      <c r="O1520" s="2">
        <v>0</v>
      </c>
      <c r="P1520" s="2">
        <v>0</v>
      </c>
      <c r="Q1520" s="2">
        <v>0</v>
      </c>
      <c r="R1520" s="2">
        <v>0</v>
      </c>
      <c r="S1520" s="2" t="s">
        <v>488</v>
      </c>
      <c r="T1520" s="2" t="s">
        <v>488</v>
      </c>
      <c r="U1520" s="2">
        <v>0</v>
      </c>
      <c r="V1520" s="2">
        <v>0</v>
      </c>
      <c r="W1520">
        <f t="shared" si="23"/>
        <v>0</v>
      </c>
    </row>
    <row r="1521" spans="1:23" x14ac:dyDescent="0.25">
      <c r="A1521" s="2" t="s">
        <v>628</v>
      </c>
      <c r="B1521" s="2" t="s">
        <v>918</v>
      </c>
      <c r="C1521" s="2">
        <v>540101</v>
      </c>
      <c r="D1521" s="2" t="s">
        <v>727</v>
      </c>
      <c r="E1521" s="2" t="s">
        <v>45</v>
      </c>
      <c r="F1521" s="2" t="s">
        <v>115</v>
      </c>
      <c r="G1521" s="2">
        <v>6</v>
      </c>
      <c r="H1521" s="2">
        <v>0</v>
      </c>
      <c r="I1521" s="2">
        <v>0</v>
      </c>
      <c r="J1521" s="2">
        <v>0</v>
      </c>
      <c r="K1521" s="2">
        <v>0</v>
      </c>
      <c r="L1521" s="2">
        <v>0</v>
      </c>
      <c r="M1521" s="2">
        <v>0</v>
      </c>
      <c r="N1521" s="2">
        <v>0</v>
      </c>
      <c r="O1521" s="2">
        <v>0</v>
      </c>
      <c r="P1521" s="2">
        <v>0</v>
      </c>
      <c r="Q1521" s="2">
        <v>0</v>
      </c>
      <c r="R1521" s="2">
        <v>0</v>
      </c>
      <c r="S1521" s="2" t="s">
        <v>488</v>
      </c>
      <c r="T1521" s="2" t="s">
        <v>488</v>
      </c>
      <c r="U1521" s="2">
        <v>0</v>
      </c>
      <c r="V1521" s="2">
        <v>0</v>
      </c>
      <c r="W1521">
        <f t="shared" si="23"/>
        <v>0</v>
      </c>
    </row>
    <row r="1522" spans="1:23" x14ac:dyDescent="0.25">
      <c r="A1522" s="2" t="s">
        <v>628</v>
      </c>
      <c r="B1522" s="2" t="s">
        <v>918</v>
      </c>
      <c r="C1522" s="2">
        <v>540102</v>
      </c>
      <c r="D1522" s="2" t="s">
        <v>728</v>
      </c>
      <c r="E1522" s="2" t="s">
        <v>45</v>
      </c>
      <c r="F1522" s="2" t="s">
        <v>115</v>
      </c>
      <c r="G1522" s="2">
        <v>6</v>
      </c>
      <c r="H1522" s="2">
        <v>0</v>
      </c>
      <c r="I1522" s="2">
        <v>0</v>
      </c>
      <c r="J1522" s="2">
        <v>0</v>
      </c>
      <c r="K1522" s="2">
        <v>0</v>
      </c>
      <c r="L1522" s="2">
        <v>0</v>
      </c>
      <c r="M1522" s="2">
        <v>0</v>
      </c>
      <c r="N1522" s="2">
        <v>0</v>
      </c>
      <c r="O1522" s="2">
        <v>0</v>
      </c>
      <c r="P1522" s="2">
        <v>0</v>
      </c>
      <c r="Q1522" s="2">
        <v>0</v>
      </c>
      <c r="R1522" s="2">
        <v>0</v>
      </c>
      <c r="S1522" s="2" t="s">
        <v>488</v>
      </c>
      <c r="T1522" s="2" t="s">
        <v>488</v>
      </c>
      <c r="U1522" s="2">
        <v>0</v>
      </c>
      <c r="V1522" s="2">
        <v>0</v>
      </c>
      <c r="W1522">
        <f t="shared" si="23"/>
        <v>0</v>
      </c>
    </row>
    <row r="1523" spans="1:23" x14ac:dyDescent="0.25">
      <c r="A1523" s="2" t="s">
        <v>628</v>
      </c>
      <c r="B1523" s="2" t="s">
        <v>918</v>
      </c>
      <c r="C1523" s="2">
        <v>540103</v>
      </c>
      <c r="D1523" s="2" t="s">
        <v>729</v>
      </c>
      <c r="E1523" s="2" t="s">
        <v>45</v>
      </c>
      <c r="F1523" s="2" t="s">
        <v>115</v>
      </c>
      <c r="G1523" s="2">
        <v>6</v>
      </c>
      <c r="H1523" s="2">
        <v>0</v>
      </c>
      <c r="I1523" s="2">
        <v>1</v>
      </c>
      <c r="J1523" s="2">
        <v>0</v>
      </c>
      <c r="K1523" s="2">
        <v>0</v>
      </c>
      <c r="L1523" s="2">
        <v>0</v>
      </c>
      <c r="M1523" s="2">
        <v>1</v>
      </c>
      <c r="N1523" s="2">
        <v>1</v>
      </c>
      <c r="O1523" s="2">
        <v>0</v>
      </c>
      <c r="P1523" s="2">
        <v>0</v>
      </c>
      <c r="Q1523" s="2">
        <v>0</v>
      </c>
      <c r="R1523" s="2">
        <v>0</v>
      </c>
      <c r="S1523" s="2" t="s">
        <v>488</v>
      </c>
      <c r="T1523" s="2" t="s">
        <v>488</v>
      </c>
      <c r="U1523" s="2">
        <v>0</v>
      </c>
      <c r="V1523" s="2">
        <v>0</v>
      </c>
      <c r="W1523">
        <f t="shared" si="23"/>
        <v>1</v>
      </c>
    </row>
    <row r="1524" spans="1:23" x14ac:dyDescent="0.25">
      <c r="A1524" s="2" t="s">
        <v>628</v>
      </c>
      <c r="B1524" s="2" t="s">
        <v>918</v>
      </c>
      <c r="C1524" s="2">
        <v>540104</v>
      </c>
      <c r="D1524" s="2" t="s">
        <v>730</v>
      </c>
      <c r="E1524" s="2" t="s">
        <v>45</v>
      </c>
      <c r="F1524" s="2" t="s">
        <v>115</v>
      </c>
      <c r="G1524" s="2">
        <v>6</v>
      </c>
      <c r="H1524" s="2">
        <v>0</v>
      </c>
      <c r="I1524" s="2">
        <v>1</v>
      </c>
      <c r="J1524" s="2">
        <v>0</v>
      </c>
      <c r="K1524" s="2">
        <v>0</v>
      </c>
      <c r="L1524" s="2">
        <v>0</v>
      </c>
      <c r="M1524" s="2">
        <v>1</v>
      </c>
      <c r="N1524" s="2">
        <v>1</v>
      </c>
      <c r="O1524" s="2">
        <v>0</v>
      </c>
      <c r="P1524" s="2">
        <v>0</v>
      </c>
      <c r="Q1524" s="2">
        <v>0</v>
      </c>
      <c r="R1524" s="2">
        <v>0</v>
      </c>
      <c r="S1524" s="2" t="s">
        <v>488</v>
      </c>
      <c r="T1524" s="2" t="s">
        <v>488</v>
      </c>
      <c r="U1524" s="2">
        <v>0</v>
      </c>
      <c r="V1524" s="2">
        <v>0</v>
      </c>
      <c r="W1524">
        <f t="shared" si="23"/>
        <v>1</v>
      </c>
    </row>
    <row r="1525" spans="1:23" x14ac:dyDescent="0.25">
      <c r="A1525" s="2" t="s">
        <v>628</v>
      </c>
      <c r="B1525" s="2" t="s">
        <v>918</v>
      </c>
      <c r="C1525" s="2">
        <v>540105</v>
      </c>
      <c r="D1525" s="2" t="s">
        <v>731</v>
      </c>
      <c r="E1525" s="2" t="s">
        <v>45</v>
      </c>
      <c r="F1525" s="2" t="s">
        <v>115</v>
      </c>
      <c r="G1525" s="2">
        <v>6</v>
      </c>
      <c r="H1525" s="2">
        <v>0</v>
      </c>
      <c r="I1525" s="2">
        <v>0</v>
      </c>
      <c r="J1525" s="2">
        <v>0</v>
      </c>
      <c r="K1525" s="2">
        <v>0</v>
      </c>
      <c r="L1525" s="2">
        <v>0</v>
      </c>
      <c r="M1525" s="2">
        <v>0</v>
      </c>
      <c r="N1525" s="2">
        <v>0</v>
      </c>
      <c r="O1525" s="2">
        <v>0</v>
      </c>
      <c r="P1525" s="2">
        <v>0</v>
      </c>
      <c r="Q1525" s="2">
        <v>0</v>
      </c>
      <c r="R1525" s="2">
        <v>0</v>
      </c>
      <c r="S1525" s="2" t="s">
        <v>488</v>
      </c>
      <c r="T1525" s="2" t="s">
        <v>488</v>
      </c>
      <c r="U1525" s="2">
        <v>0</v>
      </c>
      <c r="V1525" s="2">
        <v>0</v>
      </c>
      <c r="W1525">
        <f t="shared" si="23"/>
        <v>0</v>
      </c>
    </row>
    <row r="1526" spans="1:23" x14ac:dyDescent="0.25">
      <c r="A1526" s="2" t="s">
        <v>628</v>
      </c>
      <c r="B1526" s="2" t="s">
        <v>918</v>
      </c>
      <c r="C1526" s="2">
        <v>540106</v>
      </c>
      <c r="D1526" s="2" t="s">
        <v>732</v>
      </c>
      <c r="E1526" s="2" t="s">
        <v>45</v>
      </c>
      <c r="F1526" s="2" t="s">
        <v>115</v>
      </c>
      <c r="G1526" s="2">
        <v>6</v>
      </c>
      <c r="H1526" s="2">
        <v>0</v>
      </c>
      <c r="I1526" s="2">
        <v>0</v>
      </c>
      <c r="J1526" s="2">
        <v>0</v>
      </c>
      <c r="K1526" s="2">
        <v>0</v>
      </c>
      <c r="L1526" s="2">
        <v>0</v>
      </c>
      <c r="M1526" s="2">
        <v>0</v>
      </c>
      <c r="N1526" s="2">
        <v>0</v>
      </c>
      <c r="O1526" s="2">
        <v>0</v>
      </c>
      <c r="P1526" s="2">
        <v>0</v>
      </c>
      <c r="Q1526" s="2">
        <v>0</v>
      </c>
      <c r="R1526" s="2">
        <v>0</v>
      </c>
      <c r="S1526" s="2" t="s">
        <v>488</v>
      </c>
      <c r="T1526" s="2" t="s">
        <v>488</v>
      </c>
      <c r="U1526" s="2">
        <v>0</v>
      </c>
      <c r="V1526" s="2">
        <v>0</v>
      </c>
      <c r="W1526">
        <f t="shared" si="23"/>
        <v>0</v>
      </c>
    </row>
    <row r="1527" spans="1:23" x14ac:dyDescent="0.25">
      <c r="A1527" s="2" t="s">
        <v>628</v>
      </c>
      <c r="B1527" s="2" t="s">
        <v>918</v>
      </c>
      <c r="C1527" s="2">
        <v>540292</v>
      </c>
      <c r="D1527" s="2" t="s">
        <v>733</v>
      </c>
      <c r="E1527" s="2" t="s">
        <v>45</v>
      </c>
      <c r="F1527" s="2" t="s">
        <v>115</v>
      </c>
      <c r="G1527" s="2">
        <v>6</v>
      </c>
      <c r="H1527" s="2">
        <v>0</v>
      </c>
      <c r="I1527" s="2">
        <v>0</v>
      </c>
      <c r="J1527" s="2">
        <v>0</v>
      </c>
      <c r="K1527" s="2">
        <v>0</v>
      </c>
      <c r="L1527" s="2">
        <v>0</v>
      </c>
      <c r="M1527" s="2">
        <v>0</v>
      </c>
      <c r="N1527" s="2">
        <v>0</v>
      </c>
      <c r="O1527" s="2">
        <v>0</v>
      </c>
      <c r="P1527" s="2">
        <v>0</v>
      </c>
      <c r="Q1527" s="2">
        <v>0</v>
      </c>
      <c r="R1527" s="2">
        <v>0</v>
      </c>
      <c r="S1527" s="2" t="s">
        <v>488</v>
      </c>
      <c r="T1527" s="2" t="s">
        <v>488</v>
      </c>
      <c r="U1527" s="2">
        <v>0</v>
      </c>
      <c r="V1527" s="2">
        <v>0</v>
      </c>
      <c r="W1527">
        <f t="shared" si="23"/>
        <v>0</v>
      </c>
    </row>
    <row r="1528" spans="1:23" x14ac:dyDescent="0.25">
      <c r="A1528" s="2" t="s">
        <v>628</v>
      </c>
      <c r="B1528" s="2" t="s">
        <v>918</v>
      </c>
      <c r="C1528" s="2">
        <v>545556</v>
      </c>
      <c r="D1528" s="2" t="s">
        <v>734</v>
      </c>
      <c r="E1528" s="2" t="s">
        <v>45</v>
      </c>
      <c r="F1528" s="2" t="s">
        <v>115</v>
      </c>
      <c r="G1528" s="2">
        <v>6</v>
      </c>
      <c r="H1528" s="2">
        <v>0</v>
      </c>
      <c r="I1528" s="2">
        <v>0</v>
      </c>
      <c r="J1528" s="2">
        <v>0</v>
      </c>
      <c r="K1528" s="2">
        <v>0</v>
      </c>
      <c r="L1528" s="2">
        <v>0</v>
      </c>
      <c r="M1528" s="2">
        <v>0</v>
      </c>
      <c r="N1528" s="2">
        <v>0</v>
      </c>
      <c r="O1528" s="2">
        <v>0</v>
      </c>
      <c r="P1528" s="2">
        <v>0</v>
      </c>
      <c r="Q1528" s="2">
        <v>0</v>
      </c>
      <c r="R1528" s="2">
        <v>0</v>
      </c>
      <c r="S1528" s="2" t="s">
        <v>488</v>
      </c>
      <c r="T1528" s="2" t="s">
        <v>488</v>
      </c>
      <c r="U1528" s="2">
        <v>0</v>
      </c>
      <c r="V1528" s="2">
        <v>0</v>
      </c>
      <c r="W1528">
        <f t="shared" si="23"/>
        <v>0</v>
      </c>
    </row>
    <row r="1529" spans="1:23" x14ac:dyDescent="0.25">
      <c r="A1529" s="255" t="s">
        <v>628</v>
      </c>
      <c r="B1529" s="255" t="s">
        <v>918</v>
      </c>
      <c r="C1529" s="255"/>
      <c r="D1529" s="255"/>
      <c r="E1529" s="255" t="s">
        <v>45</v>
      </c>
      <c r="F1529" s="255"/>
      <c r="G1529" s="255"/>
      <c r="H1529" s="255">
        <v>2</v>
      </c>
      <c r="I1529" s="255">
        <v>3</v>
      </c>
      <c r="J1529" s="255">
        <v>0</v>
      </c>
      <c r="K1529" s="255">
        <v>0</v>
      </c>
      <c r="L1529" s="255">
        <v>0</v>
      </c>
      <c r="M1529" s="255">
        <v>3</v>
      </c>
      <c r="N1529" s="255">
        <v>5</v>
      </c>
      <c r="O1529" s="255">
        <v>0</v>
      </c>
      <c r="P1529" s="255">
        <v>0</v>
      </c>
      <c r="Q1529" s="255">
        <v>0</v>
      </c>
      <c r="R1529" s="255">
        <v>0</v>
      </c>
      <c r="S1529" s="255" t="s">
        <v>488</v>
      </c>
      <c r="T1529" s="255" t="s">
        <v>488</v>
      </c>
      <c r="U1529" s="255">
        <v>0</v>
      </c>
      <c r="V1529" s="255">
        <v>0</v>
      </c>
      <c r="W1529">
        <f t="shared" si="23"/>
        <v>5</v>
      </c>
    </row>
    <row r="1530" spans="1:23" x14ac:dyDescent="0.25">
      <c r="A1530" s="2" t="s">
        <v>628</v>
      </c>
      <c r="B1530" s="2" t="s">
        <v>918</v>
      </c>
      <c r="C1530" s="2">
        <v>540107</v>
      </c>
      <c r="D1530" s="2" t="s">
        <v>735</v>
      </c>
      <c r="E1530" s="2" t="s">
        <v>47</v>
      </c>
      <c r="F1530" s="2" t="s">
        <v>5</v>
      </c>
      <c r="G1530" s="2">
        <v>10</v>
      </c>
      <c r="H1530" s="2">
        <v>0</v>
      </c>
      <c r="I1530" s="2">
        <v>0</v>
      </c>
      <c r="J1530" s="2">
        <v>0</v>
      </c>
      <c r="K1530" s="2">
        <v>0</v>
      </c>
      <c r="L1530" s="2">
        <v>0</v>
      </c>
      <c r="M1530" s="2">
        <v>0</v>
      </c>
      <c r="N1530" s="2">
        <v>0</v>
      </c>
      <c r="O1530" s="2">
        <v>0</v>
      </c>
      <c r="P1530" s="2">
        <v>0</v>
      </c>
      <c r="Q1530" s="2" t="s">
        <v>488</v>
      </c>
      <c r="R1530" s="2" t="s">
        <v>488</v>
      </c>
      <c r="S1530" s="2" t="s">
        <v>488</v>
      </c>
      <c r="T1530" s="2" t="s">
        <v>488</v>
      </c>
      <c r="U1530" s="2">
        <v>0</v>
      </c>
      <c r="V1530" s="2">
        <v>0</v>
      </c>
      <c r="W1530">
        <f t="shared" si="23"/>
        <v>0</v>
      </c>
    </row>
    <row r="1531" spans="1:23" x14ac:dyDescent="0.25">
      <c r="A1531" s="2" t="s">
        <v>628</v>
      </c>
      <c r="B1531" s="2" t="s">
        <v>918</v>
      </c>
      <c r="C1531" s="2">
        <v>540108</v>
      </c>
      <c r="D1531" s="2" t="s">
        <v>736</v>
      </c>
      <c r="E1531" s="2" t="s">
        <v>47</v>
      </c>
      <c r="F1531" s="2" t="s">
        <v>115</v>
      </c>
      <c r="G1531" s="2">
        <v>10</v>
      </c>
      <c r="H1531" s="2">
        <v>0</v>
      </c>
      <c r="I1531" s="2">
        <v>1</v>
      </c>
      <c r="J1531" s="2">
        <v>0</v>
      </c>
      <c r="K1531" s="2">
        <v>0</v>
      </c>
      <c r="L1531" s="2">
        <v>0</v>
      </c>
      <c r="M1531" s="2">
        <v>1</v>
      </c>
      <c r="N1531" s="2">
        <v>1</v>
      </c>
      <c r="O1531" s="2">
        <v>0</v>
      </c>
      <c r="P1531" s="2">
        <v>0</v>
      </c>
      <c r="Q1531" s="2" t="s">
        <v>488</v>
      </c>
      <c r="R1531" s="2" t="s">
        <v>488</v>
      </c>
      <c r="S1531" s="2" t="s">
        <v>488</v>
      </c>
      <c r="T1531" s="2" t="s">
        <v>488</v>
      </c>
      <c r="U1531" s="2">
        <v>0</v>
      </c>
      <c r="V1531" s="2">
        <v>0</v>
      </c>
      <c r="W1531">
        <f t="shared" si="23"/>
        <v>1</v>
      </c>
    </row>
    <row r="1532" spans="1:23" x14ac:dyDescent="0.25">
      <c r="A1532" s="2" t="s">
        <v>628</v>
      </c>
      <c r="B1532" s="2" t="s">
        <v>918</v>
      </c>
      <c r="C1532" s="2">
        <v>540109</v>
      </c>
      <c r="D1532" s="2" t="s">
        <v>737</v>
      </c>
      <c r="E1532" s="2" t="s">
        <v>47</v>
      </c>
      <c r="F1532" s="2" t="s">
        <v>115</v>
      </c>
      <c r="G1532" s="2">
        <v>10</v>
      </c>
      <c r="H1532" s="2">
        <v>0</v>
      </c>
      <c r="I1532" s="2">
        <v>0</v>
      </c>
      <c r="J1532" s="2">
        <v>0</v>
      </c>
      <c r="K1532" s="2">
        <v>0</v>
      </c>
      <c r="L1532" s="2">
        <v>0</v>
      </c>
      <c r="M1532" s="2">
        <v>0</v>
      </c>
      <c r="N1532" s="2">
        <v>0</v>
      </c>
      <c r="O1532" s="2">
        <v>0</v>
      </c>
      <c r="P1532" s="2">
        <v>0</v>
      </c>
      <c r="Q1532" s="2" t="s">
        <v>488</v>
      </c>
      <c r="R1532" s="2" t="s">
        <v>488</v>
      </c>
      <c r="S1532" s="2" t="s">
        <v>488</v>
      </c>
      <c r="T1532" s="2" t="s">
        <v>488</v>
      </c>
      <c r="U1532" s="2">
        <v>0</v>
      </c>
      <c r="V1532" s="2">
        <v>0</v>
      </c>
      <c r="W1532">
        <f t="shared" si="23"/>
        <v>0</v>
      </c>
    </row>
    <row r="1533" spans="1:23" x14ac:dyDescent="0.25">
      <c r="A1533" s="2" t="s">
        <v>628</v>
      </c>
      <c r="B1533" s="2" t="s">
        <v>918</v>
      </c>
      <c r="C1533" s="2">
        <v>540110</v>
      </c>
      <c r="D1533" s="2" t="s">
        <v>738</v>
      </c>
      <c r="E1533" s="2" t="s">
        <v>47</v>
      </c>
      <c r="F1533" s="2" t="s">
        <v>115</v>
      </c>
      <c r="G1533" s="2">
        <v>10</v>
      </c>
      <c r="H1533" s="2">
        <v>1</v>
      </c>
      <c r="I1533" s="2">
        <v>0</v>
      </c>
      <c r="J1533" s="2">
        <v>0</v>
      </c>
      <c r="K1533" s="2">
        <v>0</v>
      </c>
      <c r="L1533" s="2">
        <v>0</v>
      </c>
      <c r="M1533" s="2">
        <v>0</v>
      </c>
      <c r="N1533" s="2">
        <v>1</v>
      </c>
      <c r="O1533" s="2">
        <v>0</v>
      </c>
      <c r="P1533" s="2">
        <v>0</v>
      </c>
      <c r="Q1533" s="2" t="s">
        <v>488</v>
      </c>
      <c r="R1533" s="2" t="s">
        <v>488</v>
      </c>
      <c r="S1533" s="2" t="s">
        <v>488</v>
      </c>
      <c r="T1533" s="2" t="s">
        <v>488</v>
      </c>
      <c r="U1533" s="2">
        <v>0</v>
      </c>
      <c r="V1533" s="2">
        <v>0</v>
      </c>
      <c r="W1533">
        <f t="shared" si="23"/>
        <v>1</v>
      </c>
    </row>
    <row r="1534" spans="1:23" x14ac:dyDescent="0.25">
      <c r="A1534" s="2" t="s">
        <v>628</v>
      </c>
      <c r="B1534" s="2" t="s">
        <v>918</v>
      </c>
      <c r="C1534" s="2">
        <v>540111</v>
      </c>
      <c r="D1534" s="2" t="s">
        <v>739</v>
      </c>
      <c r="E1534" s="2" t="s">
        <v>47</v>
      </c>
      <c r="F1534" s="2" t="s">
        <v>115</v>
      </c>
      <c r="G1534" s="2">
        <v>10</v>
      </c>
      <c r="H1534" s="2">
        <v>1</v>
      </c>
      <c r="I1534" s="2">
        <v>0</v>
      </c>
      <c r="J1534" s="2">
        <v>0</v>
      </c>
      <c r="K1534" s="2">
        <v>0</v>
      </c>
      <c r="L1534" s="2">
        <v>0</v>
      </c>
      <c r="M1534" s="2">
        <v>0</v>
      </c>
      <c r="N1534" s="2">
        <v>1</v>
      </c>
      <c r="O1534" s="2">
        <v>0</v>
      </c>
      <c r="P1534" s="2">
        <v>0</v>
      </c>
      <c r="Q1534" s="2" t="s">
        <v>488</v>
      </c>
      <c r="R1534" s="2" t="s">
        <v>488</v>
      </c>
      <c r="S1534" s="2" t="s">
        <v>488</v>
      </c>
      <c r="T1534" s="2" t="s">
        <v>488</v>
      </c>
      <c r="U1534" s="2">
        <v>0</v>
      </c>
      <c r="V1534" s="2">
        <v>0</v>
      </c>
      <c r="W1534">
        <f t="shared" si="23"/>
        <v>1</v>
      </c>
    </row>
    <row r="1535" spans="1:23" x14ac:dyDescent="0.25">
      <c r="A1535" s="2" t="s">
        <v>628</v>
      </c>
      <c r="B1535" s="2" t="s">
        <v>918</v>
      </c>
      <c r="C1535" s="2">
        <v>540287</v>
      </c>
      <c r="D1535" s="2" t="s">
        <v>740</v>
      </c>
      <c r="E1535" s="2" t="s">
        <v>47</v>
      </c>
      <c r="F1535" s="2" t="s">
        <v>115</v>
      </c>
      <c r="G1535" s="2">
        <v>10</v>
      </c>
      <c r="H1535" s="2">
        <v>0</v>
      </c>
      <c r="I1535" s="2">
        <v>0</v>
      </c>
      <c r="J1535" s="2">
        <v>0</v>
      </c>
      <c r="K1535" s="2">
        <v>0</v>
      </c>
      <c r="L1535" s="2">
        <v>0</v>
      </c>
      <c r="M1535" s="2">
        <v>0</v>
      </c>
      <c r="N1535" s="2">
        <v>0</v>
      </c>
      <c r="O1535" s="2">
        <v>0</v>
      </c>
      <c r="P1535" s="2">
        <v>0</v>
      </c>
      <c r="Q1535" s="2" t="s">
        <v>488</v>
      </c>
      <c r="R1535" s="2" t="s">
        <v>488</v>
      </c>
      <c r="S1535" s="2" t="s">
        <v>488</v>
      </c>
      <c r="T1535" s="2" t="s">
        <v>488</v>
      </c>
      <c r="U1535" s="2">
        <v>0</v>
      </c>
      <c r="V1535" s="2">
        <v>0</v>
      </c>
      <c r="W1535">
        <f t="shared" si="23"/>
        <v>0</v>
      </c>
    </row>
    <row r="1536" spans="1:23" x14ac:dyDescent="0.25">
      <c r="A1536" s="2" t="s">
        <v>628</v>
      </c>
      <c r="B1536" s="2" t="s">
        <v>918</v>
      </c>
      <c r="C1536" s="2">
        <v>540152</v>
      </c>
      <c r="D1536" s="2" t="s">
        <v>741</v>
      </c>
      <c r="E1536" s="2" t="s">
        <v>47</v>
      </c>
      <c r="F1536" s="2" t="s">
        <v>115</v>
      </c>
      <c r="G1536" s="2">
        <v>10</v>
      </c>
      <c r="H1536" s="2">
        <v>0</v>
      </c>
      <c r="I1536" s="2">
        <v>0</v>
      </c>
      <c r="J1536" s="2">
        <v>0</v>
      </c>
      <c r="K1536" s="2">
        <v>0</v>
      </c>
      <c r="L1536" s="2">
        <v>0</v>
      </c>
      <c r="M1536" s="2">
        <v>0</v>
      </c>
      <c r="N1536" s="2">
        <v>0</v>
      </c>
      <c r="O1536" s="2">
        <v>0</v>
      </c>
      <c r="P1536" s="2">
        <v>0</v>
      </c>
      <c r="Q1536" s="2" t="s">
        <v>488</v>
      </c>
      <c r="R1536" s="2" t="s">
        <v>488</v>
      </c>
      <c r="S1536" s="2" t="s">
        <v>488</v>
      </c>
      <c r="T1536" s="2" t="s">
        <v>488</v>
      </c>
      <c r="U1536" s="2">
        <v>0</v>
      </c>
      <c r="V1536" s="2">
        <v>0</v>
      </c>
      <c r="W1536">
        <f t="shared" si="23"/>
        <v>0</v>
      </c>
    </row>
    <row r="1537" spans="1:23" x14ac:dyDescent="0.25">
      <c r="A1537" s="255" t="s">
        <v>628</v>
      </c>
      <c r="B1537" s="255" t="s">
        <v>918</v>
      </c>
      <c r="C1537" s="255"/>
      <c r="D1537" s="255"/>
      <c r="E1537" s="255" t="s">
        <v>47</v>
      </c>
      <c r="F1537" s="255"/>
      <c r="G1537" s="255"/>
      <c r="H1537" s="255">
        <v>2</v>
      </c>
      <c r="I1537" s="255">
        <v>1</v>
      </c>
      <c r="J1537" s="255">
        <v>0</v>
      </c>
      <c r="K1537" s="255">
        <v>0</v>
      </c>
      <c r="L1537" s="255">
        <v>0</v>
      </c>
      <c r="M1537" s="255">
        <v>1</v>
      </c>
      <c r="N1537" s="255">
        <v>3</v>
      </c>
      <c r="O1537" s="255">
        <v>0</v>
      </c>
      <c r="P1537" s="255">
        <v>0</v>
      </c>
      <c r="Q1537" s="255" t="s">
        <v>488</v>
      </c>
      <c r="R1537" s="255" t="s">
        <v>488</v>
      </c>
      <c r="S1537" s="255" t="s">
        <v>488</v>
      </c>
      <c r="T1537" s="255" t="s">
        <v>488</v>
      </c>
      <c r="U1537" s="255">
        <v>0</v>
      </c>
      <c r="V1537" s="255">
        <v>0</v>
      </c>
      <c r="W1537">
        <f t="shared" si="23"/>
        <v>3</v>
      </c>
    </row>
    <row r="1538" spans="1:23" x14ac:dyDescent="0.25">
      <c r="A1538" s="2" t="s">
        <v>628</v>
      </c>
      <c r="B1538" s="2" t="s">
        <v>918</v>
      </c>
      <c r="C1538" s="2">
        <v>540112</v>
      </c>
      <c r="D1538" s="2" t="s">
        <v>742</v>
      </c>
      <c r="E1538" s="2" t="s">
        <v>49</v>
      </c>
      <c r="F1538" s="2" t="s">
        <v>5</v>
      </c>
      <c r="G1538" s="2">
        <v>2</v>
      </c>
      <c r="H1538" s="2">
        <v>0</v>
      </c>
      <c r="I1538" s="2">
        <v>0</v>
      </c>
      <c r="J1538" s="2">
        <v>0</v>
      </c>
      <c r="K1538" s="2">
        <v>0</v>
      </c>
      <c r="L1538" s="2">
        <v>0</v>
      </c>
      <c r="M1538" s="2">
        <v>0</v>
      </c>
      <c r="N1538" s="2">
        <v>0</v>
      </c>
      <c r="O1538" s="2">
        <v>0</v>
      </c>
      <c r="P1538" s="2">
        <v>0</v>
      </c>
      <c r="Q1538" s="2" t="s">
        <v>488</v>
      </c>
      <c r="R1538" s="2" t="s">
        <v>488</v>
      </c>
      <c r="S1538" s="2" t="s">
        <v>488</v>
      </c>
      <c r="T1538" s="2" t="s">
        <v>488</v>
      </c>
      <c r="U1538" s="2">
        <v>0</v>
      </c>
      <c r="V1538" s="2">
        <v>0</v>
      </c>
      <c r="W1538">
        <f t="shared" si="23"/>
        <v>0</v>
      </c>
    </row>
    <row r="1539" spans="1:23" x14ac:dyDescent="0.25">
      <c r="A1539" s="2" t="s">
        <v>628</v>
      </c>
      <c r="B1539" s="2" t="s">
        <v>918</v>
      </c>
      <c r="C1539" s="2">
        <v>540113</v>
      </c>
      <c r="D1539" s="2" t="s">
        <v>743</v>
      </c>
      <c r="E1539" s="2" t="s">
        <v>49</v>
      </c>
      <c r="F1539" s="2" t="s">
        <v>115</v>
      </c>
      <c r="G1539" s="2">
        <v>2</v>
      </c>
      <c r="H1539" s="2">
        <v>0</v>
      </c>
      <c r="I1539" s="2">
        <v>1</v>
      </c>
      <c r="J1539" s="2">
        <v>0</v>
      </c>
      <c r="K1539" s="2">
        <v>0</v>
      </c>
      <c r="L1539" s="2">
        <v>0</v>
      </c>
      <c r="M1539" s="2">
        <v>1</v>
      </c>
      <c r="N1539" s="2">
        <v>1</v>
      </c>
      <c r="O1539" s="2">
        <v>0</v>
      </c>
      <c r="P1539" s="2">
        <v>0</v>
      </c>
      <c r="Q1539" s="2" t="s">
        <v>488</v>
      </c>
      <c r="R1539" s="2" t="s">
        <v>488</v>
      </c>
      <c r="S1539" s="2" t="s">
        <v>488</v>
      </c>
      <c r="T1539" s="2" t="s">
        <v>488</v>
      </c>
      <c r="U1539" s="2">
        <v>0</v>
      </c>
      <c r="V1539" s="2">
        <v>0</v>
      </c>
      <c r="W1539">
        <f t="shared" ref="W1539:W1602" si="24">SUM(N1539,P1539,R1539,T1539,U1539,V1539)</f>
        <v>1</v>
      </c>
    </row>
    <row r="1540" spans="1:23" x14ac:dyDescent="0.25">
      <c r="A1540" s="2" t="s">
        <v>628</v>
      </c>
      <c r="B1540" s="2" t="s">
        <v>918</v>
      </c>
      <c r="C1540" s="2">
        <v>540247</v>
      </c>
      <c r="D1540" s="2" t="s">
        <v>744</v>
      </c>
      <c r="E1540" s="2" t="s">
        <v>49</v>
      </c>
      <c r="F1540" s="2" t="s">
        <v>115</v>
      </c>
      <c r="G1540" s="2">
        <v>2</v>
      </c>
      <c r="H1540" s="2">
        <v>0</v>
      </c>
      <c r="I1540" s="2">
        <v>0</v>
      </c>
      <c r="J1540" s="2">
        <v>0</v>
      </c>
      <c r="K1540" s="2">
        <v>0</v>
      </c>
      <c r="L1540" s="2">
        <v>0</v>
      </c>
      <c r="M1540" s="2">
        <v>0</v>
      </c>
      <c r="N1540" s="2">
        <v>0</v>
      </c>
      <c r="O1540" s="2">
        <v>0</v>
      </c>
      <c r="P1540" s="2">
        <v>0</v>
      </c>
      <c r="Q1540" s="2" t="s">
        <v>488</v>
      </c>
      <c r="R1540" s="2" t="s">
        <v>488</v>
      </c>
      <c r="S1540" s="2" t="s">
        <v>488</v>
      </c>
      <c r="T1540" s="2" t="s">
        <v>488</v>
      </c>
      <c r="U1540" s="2">
        <v>0</v>
      </c>
      <c r="V1540" s="2">
        <v>0</v>
      </c>
      <c r="W1540">
        <f t="shared" si="24"/>
        <v>0</v>
      </c>
    </row>
    <row r="1541" spans="1:23" x14ac:dyDescent="0.25">
      <c r="A1541" s="2" t="s">
        <v>628</v>
      </c>
      <c r="B1541" s="2" t="s">
        <v>918</v>
      </c>
      <c r="C1541" s="2">
        <v>540248</v>
      </c>
      <c r="D1541" s="2" t="s">
        <v>745</v>
      </c>
      <c r="E1541" s="2" t="s">
        <v>49</v>
      </c>
      <c r="F1541" s="2" t="s">
        <v>115</v>
      </c>
      <c r="G1541" s="2">
        <v>2</v>
      </c>
      <c r="H1541" s="2">
        <v>0</v>
      </c>
      <c r="I1541" s="2">
        <v>0</v>
      </c>
      <c r="J1541" s="2">
        <v>0</v>
      </c>
      <c r="K1541" s="2">
        <v>0</v>
      </c>
      <c r="L1541" s="2">
        <v>0</v>
      </c>
      <c r="M1541" s="2">
        <v>0</v>
      </c>
      <c r="N1541" s="2">
        <v>0</v>
      </c>
      <c r="O1541" s="2">
        <v>0</v>
      </c>
      <c r="P1541" s="2">
        <v>0</v>
      </c>
      <c r="Q1541" s="2" t="s">
        <v>488</v>
      </c>
      <c r="R1541" s="2" t="s">
        <v>488</v>
      </c>
      <c r="S1541" s="2" t="s">
        <v>488</v>
      </c>
      <c r="T1541" s="2" t="s">
        <v>488</v>
      </c>
      <c r="U1541" s="2">
        <v>0</v>
      </c>
      <c r="V1541" s="2">
        <v>0</v>
      </c>
      <c r="W1541">
        <f t="shared" si="24"/>
        <v>0</v>
      </c>
    </row>
    <row r="1542" spans="1:23" x14ac:dyDescent="0.25">
      <c r="A1542" s="2" t="s">
        <v>628</v>
      </c>
      <c r="B1542" s="2" t="s">
        <v>918</v>
      </c>
      <c r="C1542" s="2">
        <v>540249</v>
      </c>
      <c r="D1542" s="2" t="s">
        <v>746</v>
      </c>
      <c r="E1542" s="2" t="s">
        <v>49</v>
      </c>
      <c r="F1542" s="2" t="s">
        <v>115</v>
      </c>
      <c r="G1542" s="2">
        <v>2</v>
      </c>
      <c r="H1542" s="2">
        <v>0</v>
      </c>
      <c r="I1542" s="2">
        <v>0</v>
      </c>
      <c r="J1542" s="2">
        <v>0</v>
      </c>
      <c r="K1542" s="2">
        <v>0</v>
      </c>
      <c r="L1542" s="2">
        <v>0</v>
      </c>
      <c r="M1542" s="2">
        <v>0</v>
      </c>
      <c r="N1542" s="2">
        <v>0</v>
      </c>
      <c r="O1542" s="2">
        <v>0</v>
      </c>
      <c r="P1542" s="2">
        <v>0</v>
      </c>
      <c r="Q1542" s="2" t="s">
        <v>488</v>
      </c>
      <c r="R1542" s="2" t="s">
        <v>488</v>
      </c>
      <c r="S1542" s="2" t="s">
        <v>488</v>
      </c>
      <c r="T1542" s="2" t="s">
        <v>488</v>
      </c>
      <c r="U1542" s="2">
        <v>0</v>
      </c>
      <c r="V1542" s="2">
        <v>0</v>
      </c>
      <c r="W1542">
        <f t="shared" si="24"/>
        <v>0</v>
      </c>
    </row>
    <row r="1543" spans="1:23" x14ac:dyDescent="0.25">
      <c r="A1543" s="2" t="s">
        <v>628</v>
      </c>
      <c r="B1543" s="2" t="s">
        <v>918</v>
      </c>
      <c r="C1543" s="2">
        <v>540250</v>
      </c>
      <c r="D1543" s="2" t="s">
        <v>747</v>
      </c>
      <c r="E1543" s="2" t="s">
        <v>49</v>
      </c>
      <c r="F1543" s="2" t="s">
        <v>115</v>
      </c>
      <c r="G1543" s="2">
        <v>2</v>
      </c>
      <c r="H1543" s="2">
        <v>0</v>
      </c>
      <c r="I1543" s="2">
        <v>0</v>
      </c>
      <c r="J1543" s="2">
        <v>0</v>
      </c>
      <c r="K1543" s="2">
        <v>0</v>
      </c>
      <c r="L1543" s="2">
        <v>0</v>
      </c>
      <c r="M1543" s="2">
        <v>0</v>
      </c>
      <c r="N1543" s="2">
        <v>0</v>
      </c>
      <c r="O1543" s="2">
        <v>0</v>
      </c>
      <c r="P1543" s="2">
        <v>0</v>
      </c>
      <c r="Q1543" s="2" t="s">
        <v>488</v>
      </c>
      <c r="R1543" s="2" t="s">
        <v>488</v>
      </c>
      <c r="S1543" s="2" t="s">
        <v>488</v>
      </c>
      <c r="T1543" s="2" t="s">
        <v>488</v>
      </c>
      <c r="U1543" s="2">
        <v>0</v>
      </c>
      <c r="V1543" s="2">
        <v>1</v>
      </c>
      <c r="W1543">
        <f t="shared" si="24"/>
        <v>1</v>
      </c>
    </row>
    <row r="1544" spans="1:23" x14ac:dyDescent="0.25">
      <c r="A1544" s="2" t="s">
        <v>628</v>
      </c>
      <c r="B1544" s="2" t="s">
        <v>918</v>
      </c>
      <c r="C1544" s="2">
        <v>540251</v>
      </c>
      <c r="D1544" s="2" t="s">
        <v>748</v>
      </c>
      <c r="E1544" s="2" t="s">
        <v>49</v>
      </c>
      <c r="F1544" s="2" t="s">
        <v>115</v>
      </c>
      <c r="G1544" s="2">
        <v>2</v>
      </c>
      <c r="H1544" s="2">
        <v>0</v>
      </c>
      <c r="I1544" s="2">
        <v>0</v>
      </c>
      <c r="J1544" s="2">
        <v>0</v>
      </c>
      <c r="K1544" s="2">
        <v>0</v>
      </c>
      <c r="L1544" s="2">
        <v>0</v>
      </c>
      <c r="M1544" s="2">
        <v>0</v>
      </c>
      <c r="N1544" s="2">
        <v>0</v>
      </c>
      <c r="O1544" s="2">
        <v>0</v>
      </c>
      <c r="P1544" s="2">
        <v>0</v>
      </c>
      <c r="Q1544" s="2" t="s">
        <v>488</v>
      </c>
      <c r="R1544" s="2" t="s">
        <v>488</v>
      </c>
      <c r="S1544" s="2" t="s">
        <v>488</v>
      </c>
      <c r="T1544" s="2" t="s">
        <v>488</v>
      </c>
      <c r="U1544" s="2">
        <v>0</v>
      </c>
      <c r="V1544" s="2">
        <v>0</v>
      </c>
      <c r="W1544">
        <f t="shared" si="24"/>
        <v>0</v>
      </c>
    </row>
    <row r="1545" spans="1:23" x14ac:dyDescent="0.25">
      <c r="A1545" s="255" t="s">
        <v>628</v>
      </c>
      <c r="B1545" s="255" t="s">
        <v>918</v>
      </c>
      <c r="C1545" s="255"/>
      <c r="D1545" s="255"/>
      <c r="E1545" s="255" t="s">
        <v>49</v>
      </c>
      <c r="F1545" s="255"/>
      <c r="G1545" s="255"/>
      <c r="H1545" s="255">
        <v>0</v>
      </c>
      <c r="I1545" s="255">
        <v>1</v>
      </c>
      <c r="J1545" s="255">
        <v>0</v>
      </c>
      <c r="K1545" s="255">
        <v>0</v>
      </c>
      <c r="L1545" s="255">
        <v>0</v>
      </c>
      <c r="M1545" s="255">
        <v>1</v>
      </c>
      <c r="N1545" s="255">
        <v>1</v>
      </c>
      <c r="O1545" s="255">
        <v>0</v>
      </c>
      <c r="P1545" s="255">
        <v>0</v>
      </c>
      <c r="Q1545" s="255" t="s">
        <v>488</v>
      </c>
      <c r="R1545" s="255" t="s">
        <v>488</v>
      </c>
      <c r="S1545" s="255" t="s">
        <v>488</v>
      </c>
      <c r="T1545" s="255" t="s">
        <v>488</v>
      </c>
      <c r="U1545" s="255">
        <v>0</v>
      </c>
      <c r="V1545" s="255">
        <v>1</v>
      </c>
      <c r="W1545">
        <f t="shared" si="24"/>
        <v>2</v>
      </c>
    </row>
    <row r="1546" spans="1:23" x14ac:dyDescent="0.25">
      <c r="A1546" s="2" t="s">
        <v>628</v>
      </c>
      <c r="B1546" s="2" t="s">
        <v>918</v>
      </c>
      <c r="C1546" s="2">
        <v>540114</v>
      </c>
      <c r="D1546" s="2" t="s">
        <v>749</v>
      </c>
      <c r="E1546" s="2" t="s">
        <v>51</v>
      </c>
      <c r="F1546" s="2" t="s">
        <v>5</v>
      </c>
      <c r="G1546" s="2">
        <v>1</v>
      </c>
      <c r="H1546" s="2">
        <v>3</v>
      </c>
      <c r="I1546" s="2">
        <v>1</v>
      </c>
      <c r="J1546" s="2">
        <v>0</v>
      </c>
      <c r="K1546" s="2">
        <v>0</v>
      </c>
      <c r="L1546" s="2">
        <v>0</v>
      </c>
      <c r="M1546" s="2">
        <v>1</v>
      </c>
      <c r="N1546" s="2">
        <v>4</v>
      </c>
      <c r="O1546" s="2">
        <v>0</v>
      </c>
      <c r="P1546" s="2">
        <v>0</v>
      </c>
      <c r="Q1546" s="2">
        <v>1</v>
      </c>
      <c r="R1546" s="2">
        <v>0</v>
      </c>
      <c r="S1546" s="2">
        <v>0</v>
      </c>
      <c r="T1546" s="2">
        <v>0</v>
      </c>
      <c r="U1546" s="2">
        <v>1</v>
      </c>
      <c r="V1546" s="2">
        <v>0</v>
      </c>
      <c r="W1546">
        <f t="shared" si="24"/>
        <v>5</v>
      </c>
    </row>
    <row r="1547" spans="1:23" x14ac:dyDescent="0.25">
      <c r="A1547" s="2" t="s">
        <v>628</v>
      </c>
      <c r="B1547" s="2" t="s">
        <v>918</v>
      </c>
      <c r="C1547" s="2">
        <v>540115</v>
      </c>
      <c r="D1547" s="2" t="s">
        <v>750</v>
      </c>
      <c r="E1547" s="2" t="s">
        <v>51</v>
      </c>
      <c r="F1547" s="2" t="s">
        <v>115</v>
      </c>
      <c r="G1547" s="2">
        <v>1</v>
      </c>
      <c r="H1547" s="2">
        <v>0</v>
      </c>
      <c r="I1547" s="2">
        <v>1</v>
      </c>
      <c r="J1547" s="2">
        <v>0</v>
      </c>
      <c r="K1547" s="2">
        <v>0</v>
      </c>
      <c r="L1547" s="2">
        <v>0</v>
      </c>
      <c r="M1547" s="2">
        <v>1</v>
      </c>
      <c r="N1547" s="2">
        <v>1</v>
      </c>
      <c r="O1547" s="2">
        <v>0</v>
      </c>
      <c r="P1547" s="2">
        <v>0</v>
      </c>
      <c r="Q1547" s="2">
        <v>0</v>
      </c>
      <c r="R1547" s="2">
        <v>0</v>
      </c>
      <c r="S1547" s="2">
        <v>0</v>
      </c>
      <c r="T1547" s="2">
        <v>0</v>
      </c>
      <c r="U1547" s="2">
        <v>0</v>
      </c>
      <c r="V1547" s="2">
        <v>0</v>
      </c>
      <c r="W1547">
        <f t="shared" si="24"/>
        <v>1</v>
      </c>
    </row>
    <row r="1548" spans="1:23" x14ac:dyDescent="0.25">
      <c r="A1548" s="2" t="s">
        <v>628</v>
      </c>
      <c r="B1548" s="2" t="s">
        <v>918</v>
      </c>
      <c r="C1548" s="2">
        <v>540116</v>
      </c>
      <c r="D1548" s="2" t="s">
        <v>751</v>
      </c>
      <c r="E1548" s="2" t="s">
        <v>51</v>
      </c>
      <c r="F1548" s="2" t="s">
        <v>115</v>
      </c>
      <c r="G1548" s="2">
        <v>1</v>
      </c>
      <c r="H1548" s="2">
        <v>0</v>
      </c>
      <c r="I1548" s="2">
        <v>1</v>
      </c>
      <c r="J1548" s="2">
        <v>0</v>
      </c>
      <c r="K1548" s="2">
        <v>0</v>
      </c>
      <c r="L1548" s="2">
        <v>0</v>
      </c>
      <c r="M1548" s="2">
        <v>1</v>
      </c>
      <c r="N1548" s="2">
        <v>1</v>
      </c>
      <c r="O1548" s="2">
        <v>0</v>
      </c>
      <c r="P1548" s="2">
        <v>0</v>
      </c>
      <c r="Q1548" s="2">
        <v>0</v>
      </c>
      <c r="R1548" s="2">
        <v>0</v>
      </c>
      <c r="S1548" s="2">
        <v>0</v>
      </c>
      <c r="T1548" s="2">
        <v>0</v>
      </c>
      <c r="U1548" s="2">
        <v>0</v>
      </c>
      <c r="V1548" s="2">
        <v>0</v>
      </c>
      <c r="W1548">
        <f t="shared" si="24"/>
        <v>1</v>
      </c>
    </row>
    <row r="1549" spans="1:23" x14ac:dyDescent="0.25">
      <c r="A1549" s="2" t="s">
        <v>628</v>
      </c>
      <c r="B1549" s="2" t="s">
        <v>918</v>
      </c>
      <c r="C1549" s="2">
        <v>540117</v>
      </c>
      <c r="D1549" s="2" t="s">
        <v>752</v>
      </c>
      <c r="E1549" s="2" t="s">
        <v>51</v>
      </c>
      <c r="F1549" s="2" t="s">
        <v>115</v>
      </c>
      <c r="G1549" s="2">
        <v>1</v>
      </c>
      <c r="H1549" s="2">
        <v>0</v>
      </c>
      <c r="I1549" s="2">
        <v>0</v>
      </c>
      <c r="J1549" s="2">
        <v>1</v>
      </c>
      <c r="K1549" s="2">
        <v>0</v>
      </c>
      <c r="L1549" s="2">
        <v>0</v>
      </c>
      <c r="M1549" s="2">
        <v>1</v>
      </c>
      <c r="N1549" s="2">
        <v>1</v>
      </c>
      <c r="O1549" s="2">
        <v>0</v>
      </c>
      <c r="P1549" s="2">
        <v>0</v>
      </c>
      <c r="Q1549" s="2">
        <v>0</v>
      </c>
      <c r="R1549" s="2">
        <v>0</v>
      </c>
      <c r="S1549" s="2">
        <v>1</v>
      </c>
      <c r="T1549" s="2">
        <v>0</v>
      </c>
      <c r="U1549" s="2">
        <v>0</v>
      </c>
      <c r="V1549" s="2">
        <v>0</v>
      </c>
      <c r="W1549">
        <f t="shared" si="24"/>
        <v>1</v>
      </c>
    </row>
    <row r="1550" spans="1:23" x14ac:dyDescent="0.25">
      <c r="A1550" s="2" t="s">
        <v>628</v>
      </c>
      <c r="B1550" s="2" t="s">
        <v>918</v>
      </c>
      <c r="C1550" s="2">
        <v>540118</v>
      </c>
      <c r="D1550" s="2" t="s">
        <v>753</v>
      </c>
      <c r="E1550" s="2" t="s">
        <v>51</v>
      </c>
      <c r="F1550" s="2" t="s">
        <v>115</v>
      </c>
      <c r="G1550" s="2">
        <v>1</v>
      </c>
      <c r="H1550" s="2">
        <v>0</v>
      </c>
      <c r="I1550" s="2">
        <v>1</v>
      </c>
      <c r="J1550" s="2">
        <v>0</v>
      </c>
      <c r="K1550" s="2">
        <v>0</v>
      </c>
      <c r="L1550" s="2">
        <v>0</v>
      </c>
      <c r="M1550" s="2">
        <v>1</v>
      </c>
      <c r="N1550" s="2">
        <v>1</v>
      </c>
      <c r="O1550" s="2">
        <v>0</v>
      </c>
      <c r="P1550" s="2">
        <v>0</v>
      </c>
      <c r="Q1550" s="2">
        <v>0</v>
      </c>
      <c r="R1550" s="2">
        <v>0</v>
      </c>
      <c r="S1550" s="2">
        <v>0</v>
      </c>
      <c r="T1550" s="2">
        <v>0</v>
      </c>
      <c r="U1550" s="2">
        <v>0</v>
      </c>
      <c r="V1550" s="2">
        <v>0</v>
      </c>
      <c r="W1550">
        <f t="shared" si="24"/>
        <v>1</v>
      </c>
    </row>
    <row r="1551" spans="1:23" x14ac:dyDescent="0.25">
      <c r="A1551" s="2" t="s">
        <v>628</v>
      </c>
      <c r="B1551" s="2" t="s">
        <v>918</v>
      </c>
      <c r="C1551" s="2">
        <v>540119</v>
      </c>
      <c r="D1551" s="2" t="s">
        <v>754</v>
      </c>
      <c r="E1551" s="2" t="s">
        <v>51</v>
      </c>
      <c r="F1551" s="2" t="s">
        <v>115</v>
      </c>
      <c r="G1551" s="2">
        <v>1</v>
      </c>
      <c r="H1551" s="2">
        <v>0</v>
      </c>
      <c r="I1551" s="2">
        <v>0</v>
      </c>
      <c r="J1551" s="2">
        <v>1</v>
      </c>
      <c r="K1551" s="2">
        <v>0</v>
      </c>
      <c r="L1551" s="2">
        <v>0</v>
      </c>
      <c r="M1551" s="2">
        <v>1</v>
      </c>
      <c r="N1551" s="2">
        <v>1</v>
      </c>
      <c r="O1551" s="2">
        <v>0</v>
      </c>
      <c r="P1551" s="2">
        <v>0</v>
      </c>
      <c r="Q1551" s="2">
        <v>0</v>
      </c>
      <c r="R1551" s="2">
        <v>0</v>
      </c>
      <c r="S1551" s="2">
        <v>1</v>
      </c>
      <c r="T1551" s="2">
        <v>0</v>
      </c>
      <c r="U1551" s="2">
        <v>0</v>
      </c>
      <c r="V1551" s="2">
        <v>0</v>
      </c>
      <c r="W1551">
        <f t="shared" si="24"/>
        <v>1</v>
      </c>
    </row>
    <row r="1552" spans="1:23" x14ac:dyDescent="0.25">
      <c r="A1552" s="2" t="s">
        <v>628</v>
      </c>
      <c r="B1552" s="2" t="s">
        <v>918</v>
      </c>
      <c r="C1552" s="2">
        <v>540120</v>
      </c>
      <c r="D1552" s="2" t="s">
        <v>755</v>
      </c>
      <c r="E1552" s="2" t="s">
        <v>51</v>
      </c>
      <c r="F1552" s="2" t="s">
        <v>115</v>
      </c>
      <c r="G1552" s="2">
        <v>1</v>
      </c>
      <c r="H1552" s="2">
        <v>0</v>
      </c>
      <c r="I1552" s="2">
        <v>0</v>
      </c>
      <c r="J1552" s="2">
        <v>1</v>
      </c>
      <c r="K1552" s="2">
        <v>0</v>
      </c>
      <c r="L1552" s="2">
        <v>0</v>
      </c>
      <c r="M1552" s="2">
        <v>1</v>
      </c>
      <c r="N1552" s="2">
        <v>1</v>
      </c>
      <c r="O1552" s="2">
        <v>0</v>
      </c>
      <c r="P1552" s="2">
        <v>0</v>
      </c>
      <c r="Q1552" s="2">
        <v>0</v>
      </c>
      <c r="R1552" s="2">
        <v>0</v>
      </c>
      <c r="S1552" s="2">
        <v>1</v>
      </c>
      <c r="T1552" s="2">
        <v>0</v>
      </c>
      <c r="U1552" s="2">
        <v>0</v>
      </c>
      <c r="V1552" s="2">
        <v>0</v>
      </c>
      <c r="W1552">
        <f t="shared" si="24"/>
        <v>1</v>
      </c>
    </row>
    <row r="1553" spans="1:23" x14ac:dyDescent="0.25">
      <c r="A1553" s="2" t="s">
        <v>628</v>
      </c>
      <c r="B1553" s="2" t="s">
        <v>918</v>
      </c>
      <c r="C1553" s="2">
        <v>540121</v>
      </c>
      <c r="D1553" s="2" t="s">
        <v>756</v>
      </c>
      <c r="E1553" s="2" t="s">
        <v>51</v>
      </c>
      <c r="F1553" s="2" t="s">
        <v>115</v>
      </c>
      <c r="G1553" s="2">
        <v>1</v>
      </c>
      <c r="H1553" s="2">
        <v>0</v>
      </c>
      <c r="I1553" s="2">
        <v>1</v>
      </c>
      <c r="J1553" s="2">
        <v>0</v>
      </c>
      <c r="K1553" s="2">
        <v>0</v>
      </c>
      <c r="L1553" s="2">
        <v>0</v>
      </c>
      <c r="M1553" s="2">
        <v>1</v>
      </c>
      <c r="N1553" s="2">
        <v>1</v>
      </c>
      <c r="O1553" s="2">
        <v>0</v>
      </c>
      <c r="P1553" s="2">
        <v>0</v>
      </c>
      <c r="Q1553" s="2">
        <v>0</v>
      </c>
      <c r="R1553" s="2">
        <v>0</v>
      </c>
      <c r="S1553" s="2">
        <v>0</v>
      </c>
      <c r="T1553" s="2">
        <v>0</v>
      </c>
      <c r="U1553" s="2">
        <v>0</v>
      </c>
      <c r="V1553" s="2">
        <v>0</v>
      </c>
      <c r="W1553">
        <f t="shared" si="24"/>
        <v>1</v>
      </c>
    </row>
    <row r="1554" spans="1:23" x14ac:dyDescent="0.25">
      <c r="A1554" s="2" t="s">
        <v>628</v>
      </c>
      <c r="B1554" s="2" t="s">
        <v>918</v>
      </c>
      <c r="C1554" s="2">
        <v>540122</v>
      </c>
      <c r="D1554" s="2" t="s">
        <v>757</v>
      </c>
      <c r="E1554" s="2" t="s">
        <v>51</v>
      </c>
      <c r="F1554" s="2" t="s">
        <v>115</v>
      </c>
      <c r="G1554" s="2">
        <v>1</v>
      </c>
      <c r="H1554" s="2">
        <v>0</v>
      </c>
      <c r="I1554" s="2">
        <v>0</v>
      </c>
      <c r="J1554" s="2">
        <v>0</v>
      </c>
      <c r="K1554" s="2">
        <v>0</v>
      </c>
      <c r="L1554" s="2">
        <v>0</v>
      </c>
      <c r="M1554" s="2">
        <v>0</v>
      </c>
      <c r="N1554" s="2">
        <v>0</v>
      </c>
      <c r="O1554" s="2">
        <v>0</v>
      </c>
      <c r="P1554" s="2">
        <v>0</v>
      </c>
      <c r="Q1554" s="2">
        <v>0</v>
      </c>
      <c r="R1554" s="2">
        <v>0</v>
      </c>
      <c r="S1554" s="2">
        <v>0</v>
      </c>
      <c r="T1554" s="2">
        <v>0</v>
      </c>
      <c r="U1554" s="2">
        <v>0</v>
      </c>
      <c r="V1554" s="2">
        <v>0</v>
      </c>
      <c r="W1554">
        <f t="shared" si="24"/>
        <v>0</v>
      </c>
    </row>
    <row r="1555" spans="1:23" x14ac:dyDescent="0.25">
      <c r="A1555" s="2" t="s">
        <v>628</v>
      </c>
      <c r="B1555" s="2" t="s">
        <v>918</v>
      </c>
      <c r="C1555" s="2">
        <v>540123</v>
      </c>
      <c r="D1555" s="2" t="s">
        <v>758</v>
      </c>
      <c r="E1555" s="2" t="s">
        <v>51</v>
      </c>
      <c r="F1555" s="2" t="s">
        <v>115</v>
      </c>
      <c r="G1555" s="2">
        <v>1</v>
      </c>
      <c r="H1555" s="2">
        <v>0</v>
      </c>
      <c r="I1555" s="2">
        <v>1</v>
      </c>
      <c r="J1555" s="2">
        <v>0</v>
      </c>
      <c r="K1555" s="2">
        <v>0</v>
      </c>
      <c r="L1555" s="2">
        <v>0</v>
      </c>
      <c r="M1555" s="2">
        <v>1</v>
      </c>
      <c r="N1555" s="2">
        <v>1</v>
      </c>
      <c r="O1555" s="2">
        <v>0</v>
      </c>
      <c r="P1555" s="2">
        <v>0</v>
      </c>
      <c r="Q1555" s="2">
        <v>0</v>
      </c>
      <c r="R1555" s="2">
        <v>0</v>
      </c>
      <c r="S1555" s="2">
        <v>0</v>
      </c>
      <c r="T1555" s="2">
        <v>0</v>
      </c>
      <c r="U1555" s="2">
        <v>0</v>
      </c>
      <c r="V1555" s="2">
        <v>0</v>
      </c>
      <c r="W1555">
        <f t="shared" si="24"/>
        <v>1</v>
      </c>
    </row>
    <row r="1556" spans="1:23" x14ac:dyDescent="0.25">
      <c r="A1556" s="2" t="s">
        <v>628</v>
      </c>
      <c r="B1556" s="2" t="s">
        <v>918</v>
      </c>
      <c r="C1556" s="2">
        <v>540291</v>
      </c>
      <c r="D1556" s="2" t="s">
        <v>759</v>
      </c>
      <c r="E1556" s="2" t="s">
        <v>51</v>
      </c>
      <c r="F1556" s="2" t="s">
        <v>115</v>
      </c>
      <c r="G1556" s="2">
        <v>1</v>
      </c>
      <c r="H1556" s="2">
        <v>0</v>
      </c>
      <c r="I1556" s="2">
        <v>1</v>
      </c>
      <c r="J1556" s="2">
        <v>0</v>
      </c>
      <c r="K1556" s="2">
        <v>0</v>
      </c>
      <c r="L1556" s="2">
        <v>0</v>
      </c>
      <c r="M1556" s="2">
        <v>1</v>
      </c>
      <c r="N1556" s="2">
        <v>1</v>
      </c>
      <c r="O1556" s="2">
        <v>0</v>
      </c>
      <c r="P1556" s="2">
        <v>0</v>
      </c>
      <c r="Q1556" s="2">
        <v>0</v>
      </c>
      <c r="R1556" s="2">
        <v>0</v>
      </c>
      <c r="S1556" s="2">
        <v>0</v>
      </c>
      <c r="T1556" s="2">
        <v>0</v>
      </c>
      <c r="U1556" s="2">
        <v>0</v>
      </c>
      <c r="V1556" s="2">
        <v>0</v>
      </c>
      <c r="W1556">
        <f t="shared" si="24"/>
        <v>1</v>
      </c>
    </row>
    <row r="1557" spans="1:23" x14ac:dyDescent="0.25">
      <c r="A1557" s="255" t="s">
        <v>628</v>
      </c>
      <c r="B1557" s="255" t="s">
        <v>918</v>
      </c>
      <c r="C1557" s="255"/>
      <c r="D1557" s="255"/>
      <c r="E1557" s="255" t="s">
        <v>51</v>
      </c>
      <c r="F1557" s="255"/>
      <c r="G1557" s="255"/>
      <c r="H1557" s="255">
        <v>3</v>
      </c>
      <c r="I1557" s="255">
        <v>7</v>
      </c>
      <c r="J1557" s="255">
        <v>3</v>
      </c>
      <c r="K1557" s="255">
        <v>0</v>
      </c>
      <c r="L1557" s="255">
        <v>0</v>
      </c>
      <c r="M1557" s="255">
        <v>10</v>
      </c>
      <c r="N1557" s="255">
        <v>13</v>
      </c>
      <c r="O1557" s="255">
        <v>0</v>
      </c>
      <c r="P1557" s="255">
        <v>0</v>
      </c>
      <c r="Q1557" s="255">
        <v>1</v>
      </c>
      <c r="R1557" s="255">
        <v>0</v>
      </c>
      <c r="S1557" s="255">
        <v>3</v>
      </c>
      <c r="T1557" s="255">
        <v>0</v>
      </c>
      <c r="U1557" s="255">
        <v>1</v>
      </c>
      <c r="V1557" s="255">
        <v>0</v>
      </c>
      <c r="W1557">
        <f t="shared" si="24"/>
        <v>14</v>
      </c>
    </row>
    <row r="1558" spans="1:23" x14ac:dyDescent="0.25">
      <c r="A1558" s="2" t="s">
        <v>628</v>
      </c>
      <c r="B1558" s="2" t="s">
        <v>918</v>
      </c>
      <c r="C1558" s="2">
        <v>540124</v>
      </c>
      <c r="D1558" s="2" t="s">
        <v>760</v>
      </c>
      <c r="E1558" s="2" t="s">
        <v>53</v>
      </c>
      <c r="F1558" s="2" t="s">
        <v>5</v>
      </c>
      <c r="G1558" s="2">
        <v>1</v>
      </c>
      <c r="H1558" s="2">
        <v>0</v>
      </c>
      <c r="I1558" s="2">
        <v>0</v>
      </c>
      <c r="J1558" s="2">
        <v>0</v>
      </c>
      <c r="K1558" s="2">
        <v>0</v>
      </c>
      <c r="L1558" s="2">
        <v>0</v>
      </c>
      <c r="M1558" s="2">
        <v>0</v>
      </c>
      <c r="N1558" s="2">
        <v>0</v>
      </c>
      <c r="O1558" s="2">
        <v>0</v>
      </c>
      <c r="P1558" s="2">
        <v>0</v>
      </c>
      <c r="Q1558" s="2">
        <v>0</v>
      </c>
      <c r="R1558" s="2">
        <v>0</v>
      </c>
      <c r="S1558" s="2" t="s">
        <v>488</v>
      </c>
      <c r="T1558" s="2" t="s">
        <v>488</v>
      </c>
      <c r="U1558" s="2">
        <v>2</v>
      </c>
      <c r="V1558" s="2">
        <v>0</v>
      </c>
      <c r="W1558">
        <f t="shared" si="24"/>
        <v>2</v>
      </c>
    </row>
    <row r="1559" spans="1:23" x14ac:dyDescent="0.25">
      <c r="A1559" s="2" t="s">
        <v>628</v>
      </c>
      <c r="B1559" s="2" t="s">
        <v>918</v>
      </c>
      <c r="C1559" s="2">
        <v>540125</v>
      </c>
      <c r="D1559" s="2" t="s">
        <v>761</v>
      </c>
      <c r="E1559" s="2" t="s">
        <v>53</v>
      </c>
      <c r="F1559" s="2" t="s">
        <v>115</v>
      </c>
      <c r="G1559" s="2">
        <v>1</v>
      </c>
      <c r="H1559" s="2">
        <v>0</v>
      </c>
      <c r="I1559" s="2">
        <v>0</v>
      </c>
      <c r="J1559" s="2">
        <v>0</v>
      </c>
      <c r="K1559" s="2">
        <v>0</v>
      </c>
      <c r="L1559" s="2">
        <v>0</v>
      </c>
      <c r="M1559" s="2">
        <v>0</v>
      </c>
      <c r="N1559" s="2">
        <v>0</v>
      </c>
      <c r="O1559" s="2">
        <v>0</v>
      </c>
      <c r="P1559" s="2">
        <v>0</v>
      </c>
      <c r="Q1559" s="2">
        <v>0</v>
      </c>
      <c r="R1559" s="2">
        <v>0</v>
      </c>
      <c r="S1559" s="2" t="s">
        <v>488</v>
      </c>
      <c r="T1559" s="2" t="s">
        <v>488</v>
      </c>
      <c r="U1559" s="2">
        <v>0</v>
      </c>
      <c r="V1559" s="2">
        <v>0</v>
      </c>
      <c r="W1559">
        <f t="shared" si="24"/>
        <v>0</v>
      </c>
    </row>
    <row r="1560" spans="1:23" x14ac:dyDescent="0.25">
      <c r="A1560" s="2" t="s">
        <v>628</v>
      </c>
      <c r="B1560" s="2" t="s">
        <v>918</v>
      </c>
      <c r="C1560" s="2">
        <v>540126</v>
      </c>
      <c r="D1560" s="2" t="s">
        <v>762</v>
      </c>
      <c r="E1560" s="2" t="s">
        <v>53</v>
      </c>
      <c r="F1560" s="2" t="s">
        <v>115</v>
      </c>
      <c r="G1560" s="2">
        <v>1</v>
      </c>
      <c r="H1560" s="2">
        <v>0</v>
      </c>
      <c r="I1560" s="2">
        <v>1</v>
      </c>
      <c r="J1560" s="2">
        <v>0</v>
      </c>
      <c r="K1560" s="2">
        <v>0</v>
      </c>
      <c r="L1560" s="2">
        <v>0</v>
      </c>
      <c r="M1560" s="2">
        <v>1</v>
      </c>
      <c r="N1560" s="2">
        <v>1</v>
      </c>
      <c r="O1560" s="2">
        <v>0</v>
      </c>
      <c r="P1560" s="2">
        <v>0</v>
      </c>
      <c r="Q1560" s="2">
        <v>0</v>
      </c>
      <c r="R1560" s="2">
        <v>0</v>
      </c>
      <c r="S1560" s="2" t="s">
        <v>488</v>
      </c>
      <c r="T1560" s="2" t="s">
        <v>488</v>
      </c>
      <c r="U1560" s="2">
        <v>0</v>
      </c>
      <c r="V1560" s="2">
        <v>0</v>
      </c>
      <c r="W1560">
        <f t="shared" si="24"/>
        <v>1</v>
      </c>
    </row>
    <row r="1561" spans="1:23" x14ac:dyDescent="0.25">
      <c r="A1561" s="2" t="s">
        <v>628</v>
      </c>
      <c r="B1561" s="2" t="s">
        <v>918</v>
      </c>
      <c r="C1561" s="2">
        <v>540127</v>
      </c>
      <c r="D1561" s="2" t="s">
        <v>763</v>
      </c>
      <c r="E1561" s="2" t="s">
        <v>53</v>
      </c>
      <c r="F1561" s="2" t="s">
        <v>115</v>
      </c>
      <c r="G1561" s="2">
        <v>1</v>
      </c>
      <c r="H1561" s="2">
        <v>0</v>
      </c>
      <c r="I1561" s="2">
        <v>0</v>
      </c>
      <c r="J1561" s="2">
        <v>0</v>
      </c>
      <c r="K1561" s="2">
        <v>0</v>
      </c>
      <c r="L1561" s="2">
        <v>0</v>
      </c>
      <c r="M1561" s="2">
        <v>0</v>
      </c>
      <c r="N1561" s="2">
        <v>0</v>
      </c>
      <c r="O1561" s="2">
        <v>0</v>
      </c>
      <c r="P1561" s="2">
        <v>0</v>
      </c>
      <c r="Q1561" s="2">
        <v>0</v>
      </c>
      <c r="R1561" s="2">
        <v>0</v>
      </c>
      <c r="S1561" s="2" t="s">
        <v>488</v>
      </c>
      <c r="T1561" s="2" t="s">
        <v>488</v>
      </c>
      <c r="U1561" s="2">
        <v>0</v>
      </c>
      <c r="V1561" s="2">
        <v>0</v>
      </c>
      <c r="W1561">
        <f t="shared" si="24"/>
        <v>0</v>
      </c>
    </row>
    <row r="1562" spans="1:23" x14ac:dyDescent="0.25">
      <c r="A1562" s="2" t="s">
        <v>628</v>
      </c>
      <c r="B1562" s="2" t="s">
        <v>918</v>
      </c>
      <c r="C1562" s="2">
        <v>540128</v>
      </c>
      <c r="D1562" s="2" t="s">
        <v>764</v>
      </c>
      <c r="E1562" s="2" t="s">
        <v>53</v>
      </c>
      <c r="F1562" s="2" t="s">
        <v>115</v>
      </c>
      <c r="G1562" s="2">
        <v>1</v>
      </c>
      <c r="H1562" s="2">
        <v>0</v>
      </c>
      <c r="I1562" s="2">
        <v>1</v>
      </c>
      <c r="J1562" s="2">
        <v>0</v>
      </c>
      <c r="K1562" s="2">
        <v>0</v>
      </c>
      <c r="L1562" s="2">
        <v>0</v>
      </c>
      <c r="M1562" s="2">
        <v>1</v>
      </c>
      <c r="N1562" s="2">
        <v>1</v>
      </c>
      <c r="O1562" s="2">
        <v>0</v>
      </c>
      <c r="P1562" s="2">
        <v>0</v>
      </c>
      <c r="Q1562" s="2">
        <v>0</v>
      </c>
      <c r="R1562" s="2">
        <v>0</v>
      </c>
      <c r="S1562" s="2" t="s">
        <v>488</v>
      </c>
      <c r="T1562" s="2" t="s">
        <v>488</v>
      </c>
      <c r="U1562" s="2">
        <v>0</v>
      </c>
      <c r="V1562" s="2">
        <v>0</v>
      </c>
      <c r="W1562">
        <f t="shared" si="24"/>
        <v>1</v>
      </c>
    </row>
    <row r="1563" spans="1:23" x14ac:dyDescent="0.25">
      <c r="A1563" s="2" t="s">
        <v>628</v>
      </c>
      <c r="B1563" s="2" t="s">
        <v>918</v>
      </c>
      <c r="C1563" s="2">
        <v>540172</v>
      </c>
      <c r="D1563" s="2" t="s">
        <v>765</v>
      </c>
      <c r="E1563" s="2" t="s">
        <v>53</v>
      </c>
      <c r="F1563" s="2" t="s">
        <v>115</v>
      </c>
      <c r="G1563" s="2">
        <v>1</v>
      </c>
      <c r="H1563" s="2">
        <v>0</v>
      </c>
      <c r="I1563" s="2">
        <v>0</v>
      </c>
      <c r="J1563" s="2">
        <v>0</v>
      </c>
      <c r="K1563" s="2">
        <v>0</v>
      </c>
      <c r="L1563" s="2">
        <v>0</v>
      </c>
      <c r="M1563" s="2">
        <v>0</v>
      </c>
      <c r="N1563" s="2">
        <v>0</v>
      </c>
      <c r="O1563" s="2">
        <v>0</v>
      </c>
      <c r="P1563" s="2">
        <v>0</v>
      </c>
      <c r="Q1563" s="2">
        <v>0</v>
      </c>
      <c r="R1563" s="2">
        <v>0</v>
      </c>
      <c r="S1563" s="2" t="s">
        <v>488</v>
      </c>
      <c r="T1563" s="2" t="s">
        <v>488</v>
      </c>
      <c r="U1563" s="2">
        <v>0</v>
      </c>
      <c r="V1563" s="2">
        <v>0</v>
      </c>
      <c r="W1563">
        <f t="shared" si="24"/>
        <v>0</v>
      </c>
    </row>
    <row r="1564" spans="1:23" x14ac:dyDescent="0.25">
      <c r="A1564" s="2" t="s">
        <v>628</v>
      </c>
      <c r="B1564" s="2" t="s">
        <v>918</v>
      </c>
      <c r="C1564" s="2">
        <v>540285</v>
      </c>
      <c r="D1564" s="2" t="s">
        <v>766</v>
      </c>
      <c r="E1564" s="2" t="s">
        <v>53</v>
      </c>
      <c r="F1564" s="2" t="s">
        <v>115</v>
      </c>
      <c r="G1564" s="2">
        <v>1</v>
      </c>
      <c r="H1564" s="2">
        <v>0</v>
      </c>
      <c r="I1564" s="2">
        <v>0</v>
      </c>
      <c r="J1564" s="2">
        <v>0</v>
      </c>
      <c r="K1564" s="2">
        <v>0</v>
      </c>
      <c r="L1564" s="2">
        <v>0</v>
      </c>
      <c r="M1564" s="2">
        <v>0</v>
      </c>
      <c r="N1564" s="2">
        <v>0</v>
      </c>
      <c r="O1564" s="2">
        <v>0</v>
      </c>
      <c r="P1564" s="2">
        <v>0</v>
      </c>
      <c r="Q1564" s="2">
        <v>0</v>
      </c>
      <c r="R1564" s="2">
        <v>0</v>
      </c>
      <c r="S1564" s="2" t="s">
        <v>488</v>
      </c>
      <c r="T1564" s="2" t="s">
        <v>488</v>
      </c>
      <c r="U1564" s="2">
        <v>0</v>
      </c>
      <c r="V1564" s="2">
        <v>0</v>
      </c>
      <c r="W1564">
        <f t="shared" si="24"/>
        <v>0</v>
      </c>
    </row>
    <row r="1565" spans="1:23" x14ac:dyDescent="0.25">
      <c r="A1565" s="255" t="s">
        <v>628</v>
      </c>
      <c r="B1565" s="255" t="s">
        <v>918</v>
      </c>
      <c r="C1565" s="255"/>
      <c r="D1565" s="255"/>
      <c r="E1565" s="255" t="s">
        <v>53</v>
      </c>
      <c r="F1565" s="255"/>
      <c r="G1565" s="255"/>
      <c r="H1565" s="255">
        <v>0</v>
      </c>
      <c r="I1565" s="255">
        <v>2</v>
      </c>
      <c r="J1565" s="255">
        <v>0</v>
      </c>
      <c r="K1565" s="255">
        <v>0</v>
      </c>
      <c r="L1565" s="255">
        <v>0</v>
      </c>
      <c r="M1565" s="255">
        <v>2</v>
      </c>
      <c r="N1565" s="255">
        <v>2</v>
      </c>
      <c r="O1565" s="255">
        <v>0</v>
      </c>
      <c r="P1565" s="255">
        <v>0</v>
      </c>
      <c r="Q1565" s="255">
        <v>0</v>
      </c>
      <c r="R1565" s="255">
        <v>0</v>
      </c>
      <c r="S1565" s="255" t="s">
        <v>488</v>
      </c>
      <c r="T1565" s="255" t="s">
        <v>488</v>
      </c>
      <c r="U1565" s="255">
        <v>2</v>
      </c>
      <c r="V1565" s="255">
        <v>0</v>
      </c>
      <c r="W1565">
        <f t="shared" si="24"/>
        <v>4</v>
      </c>
    </row>
    <row r="1566" spans="1:23" x14ac:dyDescent="0.25">
      <c r="A1566" s="2" t="s">
        <v>628</v>
      </c>
      <c r="B1566" s="2" t="s">
        <v>918</v>
      </c>
      <c r="C1566" s="2">
        <v>540129</v>
      </c>
      <c r="D1566" s="2" t="s">
        <v>767</v>
      </c>
      <c r="E1566" s="2" t="s">
        <v>55</v>
      </c>
      <c r="F1566" s="2" t="s">
        <v>5</v>
      </c>
      <c r="G1566" s="2">
        <v>8</v>
      </c>
      <c r="H1566" s="2">
        <v>1</v>
      </c>
      <c r="I1566" s="2">
        <v>2</v>
      </c>
      <c r="J1566" s="2">
        <v>0</v>
      </c>
      <c r="K1566" s="2">
        <v>0</v>
      </c>
      <c r="L1566" s="2">
        <v>0</v>
      </c>
      <c r="M1566" s="2">
        <v>2</v>
      </c>
      <c r="N1566" s="2">
        <v>3</v>
      </c>
      <c r="O1566" s="2">
        <v>0</v>
      </c>
      <c r="P1566" s="2">
        <v>0</v>
      </c>
      <c r="Q1566" s="2">
        <v>0</v>
      </c>
      <c r="R1566" s="2">
        <v>0</v>
      </c>
      <c r="S1566" s="2" t="s">
        <v>488</v>
      </c>
      <c r="T1566" s="2" t="s">
        <v>488</v>
      </c>
      <c r="U1566" s="2">
        <v>0</v>
      </c>
      <c r="V1566" s="2">
        <v>0</v>
      </c>
      <c r="W1566">
        <f t="shared" si="24"/>
        <v>3</v>
      </c>
    </row>
    <row r="1567" spans="1:23" x14ac:dyDescent="0.25">
      <c r="A1567" s="2" t="s">
        <v>628</v>
      </c>
      <c r="B1567" s="2" t="s">
        <v>918</v>
      </c>
      <c r="C1567" s="2">
        <v>540130</v>
      </c>
      <c r="D1567" s="2" t="s">
        <v>768</v>
      </c>
      <c r="E1567" s="2" t="s">
        <v>55</v>
      </c>
      <c r="F1567" s="2" t="s">
        <v>115</v>
      </c>
      <c r="G1567" s="2">
        <v>8</v>
      </c>
      <c r="H1567" s="2">
        <v>0</v>
      </c>
      <c r="I1567" s="2">
        <v>0</v>
      </c>
      <c r="J1567" s="2">
        <v>0</v>
      </c>
      <c r="K1567" s="2">
        <v>0</v>
      </c>
      <c r="L1567" s="2">
        <v>0</v>
      </c>
      <c r="M1567" s="2">
        <v>0</v>
      </c>
      <c r="N1567" s="2">
        <v>0</v>
      </c>
      <c r="O1567" s="2">
        <v>0</v>
      </c>
      <c r="P1567" s="2">
        <v>0</v>
      </c>
      <c r="Q1567" s="2">
        <v>0</v>
      </c>
      <c r="R1567" s="2">
        <v>0</v>
      </c>
      <c r="S1567" s="2" t="s">
        <v>488</v>
      </c>
      <c r="T1567" s="2" t="s">
        <v>488</v>
      </c>
      <c r="U1567" s="2">
        <v>1</v>
      </c>
      <c r="V1567" s="2">
        <v>0</v>
      </c>
      <c r="W1567">
        <f t="shared" si="24"/>
        <v>1</v>
      </c>
    </row>
    <row r="1568" spans="1:23" x14ac:dyDescent="0.25">
      <c r="A1568" s="2" t="s">
        <v>628</v>
      </c>
      <c r="B1568" s="2" t="s">
        <v>918</v>
      </c>
      <c r="C1568" s="2">
        <v>540131</v>
      </c>
      <c r="D1568" s="2" t="s">
        <v>769</v>
      </c>
      <c r="E1568" s="2" t="s">
        <v>55</v>
      </c>
      <c r="F1568" s="2" t="s">
        <v>115</v>
      </c>
      <c r="G1568" s="2">
        <v>8</v>
      </c>
      <c r="H1568" s="2">
        <v>0</v>
      </c>
      <c r="I1568" s="2">
        <v>0</v>
      </c>
      <c r="J1568" s="2">
        <v>0</v>
      </c>
      <c r="K1568" s="2">
        <v>0</v>
      </c>
      <c r="L1568" s="2">
        <v>0</v>
      </c>
      <c r="M1568" s="2">
        <v>0</v>
      </c>
      <c r="N1568" s="2">
        <v>0</v>
      </c>
      <c r="O1568" s="2">
        <v>0</v>
      </c>
      <c r="P1568" s="2">
        <v>0</v>
      </c>
      <c r="Q1568" s="2">
        <v>0</v>
      </c>
      <c r="R1568" s="2">
        <v>0</v>
      </c>
      <c r="S1568" s="2" t="s">
        <v>488</v>
      </c>
      <c r="T1568" s="2" t="s">
        <v>488</v>
      </c>
      <c r="U1568" s="2">
        <v>0</v>
      </c>
      <c r="V1568" s="2">
        <v>0</v>
      </c>
      <c r="W1568">
        <f t="shared" si="24"/>
        <v>0</v>
      </c>
    </row>
    <row r="1569" spans="1:23" x14ac:dyDescent="0.25">
      <c r="A1569" s="2" t="s">
        <v>628</v>
      </c>
      <c r="B1569" s="2" t="s">
        <v>918</v>
      </c>
      <c r="C1569" s="2">
        <v>540155</v>
      </c>
      <c r="D1569" s="2" t="s">
        <v>770</v>
      </c>
      <c r="E1569" s="2" t="s">
        <v>55</v>
      </c>
      <c r="F1569" s="2" t="s">
        <v>115</v>
      </c>
      <c r="G1569" s="2">
        <v>8</v>
      </c>
      <c r="H1569" s="2">
        <v>0</v>
      </c>
      <c r="I1569" s="2">
        <v>0</v>
      </c>
      <c r="J1569" s="2">
        <v>0</v>
      </c>
      <c r="K1569" s="2">
        <v>0</v>
      </c>
      <c r="L1569" s="2">
        <v>0</v>
      </c>
      <c r="M1569" s="2">
        <v>0</v>
      </c>
      <c r="N1569" s="2">
        <v>0</v>
      </c>
      <c r="O1569" s="2">
        <v>0</v>
      </c>
      <c r="P1569" s="2">
        <v>0</v>
      </c>
      <c r="Q1569" s="2">
        <v>0</v>
      </c>
      <c r="R1569" s="2">
        <v>0</v>
      </c>
      <c r="S1569" s="2" t="s">
        <v>488</v>
      </c>
      <c r="T1569" s="2" t="s">
        <v>488</v>
      </c>
      <c r="U1569" s="2">
        <v>0</v>
      </c>
      <c r="V1569" s="2">
        <v>0</v>
      </c>
      <c r="W1569">
        <f t="shared" si="24"/>
        <v>0</v>
      </c>
    </row>
    <row r="1570" spans="1:23" x14ac:dyDescent="0.25">
      <c r="A1570" s="2" t="s">
        <v>628</v>
      </c>
      <c r="B1570" s="2" t="s">
        <v>918</v>
      </c>
      <c r="C1570" s="2">
        <v>545555</v>
      </c>
      <c r="D1570" s="2" t="s">
        <v>771</v>
      </c>
      <c r="E1570" s="2" t="s">
        <v>55</v>
      </c>
      <c r="F1570" s="2" t="s">
        <v>115</v>
      </c>
      <c r="G1570" s="2">
        <v>8</v>
      </c>
      <c r="H1570" s="2">
        <v>0</v>
      </c>
      <c r="I1570" s="2">
        <v>0</v>
      </c>
      <c r="J1570" s="2">
        <v>0</v>
      </c>
      <c r="K1570" s="2">
        <v>0</v>
      </c>
      <c r="L1570" s="2">
        <v>0</v>
      </c>
      <c r="M1570" s="2">
        <v>0</v>
      </c>
      <c r="N1570" s="2">
        <v>0</v>
      </c>
      <c r="O1570" s="2">
        <v>0</v>
      </c>
      <c r="P1570" s="2">
        <v>0</v>
      </c>
      <c r="Q1570" s="2">
        <v>0</v>
      </c>
      <c r="R1570" s="2">
        <v>0</v>
      </c>
      <c r="S1570" s="2" t="s">
        <v>488</v>
      </c>
      <c r="T1570" s="2" t="s">
        <v>488</v>
      </c>
      <c r="U1570" s="2">
        <v>0</v>
      </c>
      <c r="V1570" s="2">
        <v>0</v>
      </c>
      <c r="W1570">
        <f t="shared" si="24"/>
        <v>0</v>
      </c>
    </row>
    <row r="1571" spans="1:23" x14ac:dyDescent="0.25">
      <c r="A1571" s="2" t="s">
        <v>628</v>
      </c>
      <c r="B1571" s="2" t="s">
        <v>918</v>
      </c>
      <c r="C1571" s="2">
        <v>540091</v>
      </c>
      <c r="D1571" s="2" t="s">
        <v>772</v>
      </c>
      <c r="E1571" s="2" t="s">
        <v>55</v>
      </c>
      <c r="F1571" s="2" t="s">
        <v>115</v>
      </c>
      <c r="G1571" s="2">
        <v>8</v>
      </c>
      <c r="H1571" s="2">
        <v>0</v>
      </c>
      <c r="I1571" s="2">
        <v>0</v>
      </c>
      <c r="J1571" s="2">
        <v>0</v>
      </c>
      <c r="K1571" s="2">
        <v>0</v>
      </c>
      <c r="L1571" s="2">
        <v>0</v>
      </c>
      <c r="M1571" s="2">
        <v>0</v>
      </c>
      <c r="N1571" s="2">
        <v>0</v>
      </c>
      <c r="O1571" s="2">
        <v>0</v>
      </c>
      <c r="P1571" s="2">
        <v>0</v>
      </c>
      <c r="Q1571" s="2">
        <v>0</v>
      </c>
      <c r="R1571" s="2">
        <v>0</v>
      </c>
      <c r="S1571" s="2" t="s">
        <v>488</v>
      </c>
      <c r="T1571" s="2" t="s">
        <v>488</v>
      </c>
      <c r="U1571" s="2">
        <v>0</v>
      </c>
      <c r="V1571" s="2">
        <v>0</v>
      </c>
      <c r="W1571">
        <f t="shared" si="24"/>
        <v>0</v>
      </c>
    </row>
    <row r="1572" spans="1:23" x14ac:dyDescent="0.25">
      <c r="A1572" s="255" t="s">
        <v>628</v>
      </c>
      <c r="B1572" s="255" t="s">
        <v>918</v>
      </c>
      <c r="C1572" s="255"/>
      <c r="D1572" s="255"/>
      <c r="E1572" s="255" t="s">
        <v>55</v>
      </c>
      <c r="F1572" s="255"/>
      <c r="G1572" s="255"/>
      <c r="H1572" s="255">
        <v>1</v>
      </c>
      <c r="I1572" s="255">
        <v>2</v>
      </c>
      <c r="J1572" s="255">
        <v>0</v>
      </c>
      <c r="K1572" s="255">
        <v>0</v>
      </c>
      <c r="L1572" s="255">
        <v>0</v>
      </c>
      <c r="M1572" s="255">
        <v>2</v>
      </c>
      <c r="N1572" s="255">
        <v>3</v>
      </c>
      <c r="O1572" s="255">
        <v>0</v>
      </c>
      <c r="P1572" s="255">
        <v>0</v>
      </c>
      <c r="Q1572" s="255">
        <v>0</v>
      </c>
      <c r="R1572" s="255">
        <v>0</v>
      </c>
      <c r="S1572" s="255" t="s">
        <v>488</v>
      </c>
      <c r="T1572" s="255" t="s">
        <v>488</v>
      </c>
      <c r="U1572" s="255">
        <v>1</v>
      </c>
      <c r="V1572" s="255">
        <v>0</v>
      </c>
      <c r="W1572">
        <f t="shared" si="24"/>
        <v>4</v>
      </c>
    </row>
    <row r="1573" spans="1:23" x14ac:dyDescent="0.25">
      <c r="A1573" s="2" t="s">
        <v>628</v>
      </c>
      <c r="B1573" s="2" t="s">
        <v>918</v>
      </c>
      <c r="C1573" s="2">
        <v>540133</v>
      </c>
      <c r="D1573" s="2" t="s">
        <v>773</v>
      </c>
      <c r="E1573" s="2" t="s">
        <v>57</v>
      </c>
      <c r="F1573" s="2" t="s">
        <v>5</v>
      </c>
      <c r="G1573" s="2">
        <v>2</v>
      </c>
      <c r="H1573" s="2">
        <v>2</v>
      </c>
      <c r="I1573" s="2">
        <v>0</v>
      </c>
      <c r="J1573" s="2">
        <v>0</v>
      </c>
      <c r="K1573" s="2">
        <v>0</v>
      </c>
      <c r="L1573" s="2">
        <v>0</v>
      </c>
      <c r="M1573" s="2">
        <v>0</v>
      </c>
      <c r="N1573" s="2">
        <v>2</v>
      </c>
      <c r="O1573" s="2">
        <v>0</v>
      </c>
      <c r="P1573" s="2">
        <v>0</v>
      </c>
      <c r="Q1573" s="2">
        <v>0</v>
      </c>
      <c r="R1573" s="2">
        <v>0</v>
      </c>
      <c r="S1573" s="2" t="s">
        <v>488</v>
      </c>
      <c r="T1573" s="2" t="s">
        <v>488</v>
      </c>
      <c r="U1573" s="2">
        <v>1</v>
      </c>
      <c r="V1573" s="2">
        <v>0</v>
      </c>
      <c r="W1573">
        <f t="shared" si="24"/>
        <v>3</v>
      </c>
    </row>
    <row r="1574" spans="1:23" x14ac:dyDescent="0.25">
      <c r="A1574" s="2" t="s">
        <v>628</v>
      </c>
      <c r="B1574" s="2" t="s">
        <v>918</v>
      </c>
      <c r="C1574" s="2">
        <v>540134</v>
      </c>
      <c r="D1574" s="2" t="s">
        <v>774</v>
      </c>
      <c r="E1574" s="2" t="s">
        <v>57</v>
      </c>
      <c r="F1574" s="2" t="s">
        <v>115</v>
      </c>
      <c r="G1574" s="2">
        <v>2</v>
      </c>
      <c r="H1574" s="2">
        <v>0</v>
      </c>
      <c r="I1574" s="2">
        <v>0</v>
      </c>
      <c r="J1574" s="2">
        <v>1</v>
      </c>
      <c r="K1574" s="2">
        <v>0</v>
      </c>
      <c r="L1574" s="2">
        <v>0</v>
      </c>
      <c r="M1574" s="2">
        <v>1</v>
      </c>
      <c r="N1574" s="2">
        <v>1</v>
      </c>
      <c r="O1574" s="2">
        <v>0</v>
      </c>
      <c r="P1574" s="2">
        <v>0</v>
      </c>
      <c r="Q1574" s="2">
        <v>0</v>
      </c>
      <c r="R1574" s="2">
        <v>0</v>
      </c>
      <c r="S1574" s="2" t="s">
        <v>488</v>
      </c>
      <c r="T1574" s="2" t="s">
        <v>488</v>
      </c>
      <c r="U1574" s="2">
        <v>0</v>
      </c>
      <c r="V1574" s="2">
        <v>0</v>
      </c>
      <c r="W1574">
        <f t="shared" si="24"/>
        <v>1</v>
      </c>
    </row>
    <row r="1575" spans="1:23" x14ac:dyDescent="0.25">
      <c r="A1575" s="2" t="s">
        <v>628</v>
      </c>
      <c r="B1575" s="2" t="s">
        <v>918</v>
      </c>
      <c r="C1575" s="2">
        <v>540135</v>
      </c>
      <c r="D1575" s="2" t="s">
        <v>775</v>
      </c>
      <c r="E1575" s="2" t="s">
        <v>57</v>
      </c>
      <c r="F1575" s="2" t="s">
        <v>115</v>
      </c>
      <c r="G1575" s="2">
        <v>2</v>
      </c>
      <c r="H1575" s="2">
        <v>0</v>
      </c>
      <c r="I1575" s="2">
        <v>0</v>
      </c>
      <c r="J1575" s="2">
        <v>0</v>
      </c>
      <c r="K1575" s="2">
        <v>0</v>
      </c>
      <c r="L1575" s="2">
        <v>0</v>
      </c>
      <c r="M1575" s="2">
        <v>0</v>
      </c>
      <c r="N1575" s="2">
        <v>0</v>
      </c>
      <c r="O1575" s="2">
        <v>0</v>
      </c>
      <c r="P1575" s="2">
        <v>0</v>
      </c>
      <c r="Q1575" s="2">
        <v>0</v>
      </c>
      <c r="R1575" s="2">
        <v>0</v>
      </c>
      <c r="S1575" s="2" t="s">
        <v>488</v>
      </c>
      <c r="T1575" s="2" t="s">
        <v>488</v>
      </c>
      <c r="U1575" s="2">
        <v>0</v>
      </c>
      <c r="V1575" s="2">
        <v>0</v>
      </c>
      <c r="W1575">
        <f t="shared" si="24"/>
        <v>0</v>
      </c>
    </row>
    <row r="1576" spans="1:23" x14ac:dyDescent="0.25">
      <c r="A1576" s="2" t="s">
        <v>628</v>
      </c>
      <c r="B1576" s="2" t="s">
        <v>918</v>
      </c>
      <c r="C1576" s="2">
        <v>540136</v>
      </c>
      <c r="D1576" s="2" t="s">
        <v>776</v>
      </c>
      <c r="E1576" s="2" t="s">
        <v>57</v>
      </c>
      <c r="F1576" s="2" t="s">
        <v>115</v>
      </c>
      <c r="G1576" s="2">
        <v>2</v>
      </c>
      <c r="H1576" s="2">
        <v>0</v>
      </c>
      <c r="I1576" s="2">
        <v>0</v>
      </c>
      <c r="J1576" s="2">
        <v>0</v>
      </c>
      <c r="K1576" s="2">
        <v>0</v>
      </c>
      <c r="L1576" s="2">
        <v>0</v>
      </c>
      <c r="M1576" s="2">
        <v>0</v>
      </c>
      <c r="N1576" s="2">
        <v>0</v>
      </c>
      <c r="O1576" s="2">
        <v>0</v>
      </c>
      <c r="P1576" s="2">
        <v>0</v>
      </c>
      <c r="Q1576" s="2">
        <v>0</v>
      </c>
      <c r="R1576" s="2">
        <v>0</v>
      </c>
      <c r="S1576" s="2" t="s">
        <v>488</v>
      </c>
      <c r="T1576" s="2" t="s">
        <v>488</v>
      </c>
      <c r="U1576" s="2">
        <v>0</v>
      </c>
      <c r="V1576" s="2">
        <v>0</v>
      </c>
      <c r="W1576">
        <f t="shared" si="24"/>
        <v>0</v>
      </c>
    </row>
    <row r="1577" spans="1:23" x14ac:dyDescent="0.25">
      <c r="A1577" s="2" t="s">
        <v>628</v>
      </c>
      <c r="B1577" s="2" t="s">
        <v>918</v>
      </c>
      <c r="C1577" s="2">
        <v>540138</v>
      </c>
      <c r="D1577" s="2" t="s">
        <v>777</v>
      </c>
      <c r="E1577" s="2" t="s">
        <v>57</v>
      </c>
      <c r="F1577" s="2" t="s">
        <v>115</v>
      </c>
      <c r="G1577" s="2">
        <v>2</v>
      </c>
      <c r="H1577" s="2">
        <v>0</v>
      </c>
      <c r="I1577" s="2">
        <v>0</v>
      </c>
      <c r="J1577" s="2">
        <v>0</v>
      </c>
      <c r="K1577" s="2">
        <v>0</v>
      </c>
      <c r="L1577" s="2">
        <v>0</v>
      </c>
      <c r="M1577" s="2">
        <v>0</v>
      </c>
      <c r="N1577" s="2">
        <v>0</v>
      </c>
      <c r="O1577" s="2">
        <v>0</v>
      </c>
      <c r="P1577" s="2">
        <v>0</v>
      </c>
      <c r="Q1577" s="2">
        <v>0</v>
      </c>
      <c r="R1577" s="2">
        <v>0</v>
      </c>
      <c r="S1577" s="2" t="s">
        <v>488</v>
      </c>
      <c r="T1577" s="2" t="s">
        <v>488</v>
      </c>
      <c r="U1577" s="2">
        <v>1</v>
      </c>
      <c r="V1577" s="2">
        <v>0</v>
      </c>
      <c r="W1577">
        <f t="shared" si="24"/>
        <v>1</v>
      </c>
    </row>
    <row r="1578" spans="1:23" x14ac:dyDescent="0.25">
      <c r="A1578" s="2" t="s">
        <v>628</v>
      </c>
      <c r="B1578" s="2" t="s">
        <v>918</v>
      </c>
      <c r="C1578" s="2">
        <v>545538</v>
      </c>
      <c r="D1578" s="2" t="s">
        <v>778</v>
      </c>
      <c r="E1578" s="2" t="s">
        <v>57</v>
      </c>
      <c r="F1578" s="2" t="s">
        <v>115</v>
      </c>
      <c r="G1578" s="2">
        <v>2</v>
      </c>
      <c r="H1578" s="2">
        <v>0</v>
      </c>
      <c r="I1578" s="2">
        <v>0</v>
      </c>
      <c r="J1578" s="2">
        <v>0</v>
      </c>
      <c r="K1578" s="2">
        <v>0</v>
      </c>
      <c r="L1578" s="2">
        <v>0</v>
      </c>
      <c r="M1578" s="2">
        <v>0</v>
      </c>
      <c r="N1578" s="2">
        <v>0</v>
      </c>
      <c r="O1578" s="2">
        <v>0</v>
      </c>
      <c r="P1578" s="2">
        <v>0</v>
      </c>
      <c r="Q1578" s="2">
        <v>0</v>
      </c>
      <c r="R1578" s="2">
        <v>0</v>
      </c>
      <c r="S1578" s="2" t="s">
        <v>488</v>
      </c>
      <c r="T1578" s="2" t="s">
        <v>488</v>
      </c>
      <c r="U1578" s="2">
        <v>1</v>
      </c>
      <c r="V1578" s="2">
        <v>1</v>
      </c>
      <c r="W1578">
        <f t="shared" si="24"/>
        <v>2</v>
      </c>
    </row>
    <row r="1579" spans="1:23" x14ac:dyDescent="0.25">
      <c r="A1579" s="255" t="s">
        <v>628</v>
      </c>
      <c r="B1579" s="255" t="s">
        <v>918</v>
      </c>
      <c r="C1579" s="255"/>
      <c r="D1579" s="255"/>
      <c r="E1579" s="255" t="s">
        <v>57</v>
      </c>
      <c r="F1579" s="255"/>
      <c r="G1579" s="255"/>
      <c r="H1579" s="255">
        <v>2</v>
      </c>
      <c r="I1579" s="255">
        <v>0</v>
      </c>
      <c r="J1579" s="255">
        <v>1</v>
      </c>
      <c r="K1579" s="255">
        <v>0</v>
      </c>
      <c r="L1579" s="255">
        <v>0</v>
      </c>
      <c r="M1579" s="255">
        <v>1</v>
      </c>
      <c r="N1579" s="255">
        <v>3</v>
      </c>
      <c r="O1579" s="255">
        <v>0</v>
      </c>
      <c r="P1579" s="255">
        <v>0</v>
      </c>
      <c r="Q1579" s="255">
        <v>0</v>
      </c>
      <c r="R1579" s="255">
        <v>0</v>
      </c>
      <c r="S1579" s="255" t="s">
        <v>488</v>
      </c>
      <c r="T1579" s="255" t="s">
        <v>488</v>
      </c>
      <c r="U1579" s="255">
        <v>3</v>
      </c>
      <c r="V1579" s="255">
        <v>1</v>
      </c>
      <c r="W1579">
        <f t="shared" si="24"/>
        <v>7</v>
      </c>
    </row>
    <row r="1580" spans="1:23" x14ac:dyDescent="0.25">
      <c r="A1580" s="2" t="s">
        <v>628</v>
      </c>
      <c r="B1580" s="2" t="s">
        <v>918</v>
      </c>
      <c r="C1580" s="2">
        <v>540139</v>
      </c>
      <c r="D1580" s="2" t="s">
        <v>779</v>
      </c>
      <c r="E1580" s="2" t="s">
        <v>59</v>
      </c>
      <c r="F1580" s="2" t="s">
        <v>5</v>
      </c>
      <c r="G1580" s="2">
        <v>6</v>
      </c>
      <c r="H1580" s="2">
        <v>2</v>
      </c>
      <c r="I1580" s="2">
        <v>0</v>
      </c>
      <c r="J1580" s="2">
        <v>0</v>
      </c>
      <c r="K1580" s="2">
        <v>0</v>
      </c>
      <c r="L1580" s="2">
        <v>0</v>
      </c>
      <c r="M1580" s="2">
        <v>0</v>
      </c>
      <c r="N1580" s="2">
        <v>2</v>
      </c>
      <c r="O1580" s="2">
        <v>0</v>
      </c>
      <c r="P1580" s="2">
        <v>0</v>
      </c>
      <c r="Q1580" s="2">
        <v>2</v>
      </c>
      <c r="R1580" s="2">
        <v>0</v>
      </c>
      <c r="S1580" s="2" t="s">
        <v>488</v>
      </c>
      <c r="T1580" s="2" t="s">
        <v>488</v>
      </c>
      <c r="U1580" s="2">
        <v>0</v>
      </c>
      <c r="V1580" s="2">
        <v>0</v>
      </c>
      <c r="W1580">
        <f t="shared" si="24"/>
        <v>2</v>
      </c>
    </row>
    <row r="1581" spans="1:23" x14ac:dyDescent="0.25">
      <c r="A1581" s="2" t="s">
        <v>628</v>
      </c>
      <c r="B1581" s="2" t="s">
        <v>918</v>
      </c>
      <c r="C1581" s="2">
        <v>540140</v>
      </c>
      <c r="D1581" s="2" t="s">
        <v>780</v>
      </c>
      <c r="E1581" s="2" t="s">
        <v>59</v>
      </c>
      <c r="F1581" s="2" t="s">
        <v>115</v>
      </c>
      <c r="G1581" s="2">
        <v>6</v>
      </c>
      <c r="H1581" s="2">
        <v>0</v>
      </c>
      <c r="I1581" s="2">
        <v>0</v>
      </c>
      <c r="J1581" s="2">
        <v>0</v>
      </c>
      <c r="K1581" s="2">
        <v>0</v>
      </c>
      <c r="L1581" s="2">
        <v>0</v>
      </c>
      <c r="M1581" s="2">
        <v>0</v>
      </c>
      <c r="N1581" s="2">
        <v>0</v>
      </c>
      <c r="O1581" s="2">
        <v>0</v>
      </c>
      <c r="P1581" s="2">
        <v>0</v>
      </c>
      <c r="Q1581" s="2">
        <v>0</v>
      </c>
      <c r="R1581" s="2">
        <v>0</v>
      </c>
      <c r="S1581" s="2" t="s">
        <v>488</v>
      </c>
      <c r="T1581" s="2" t="s">
        <v>488</v>
      </c>
      <c r="U1581" s="2">
        <v>0</v>
      </c>
      <c r="V1581" s="2">
        <v>0</v>
      </c>
      <c r="W1581">
        <f t="shared" si="24"/>
        <v>0</v>
      </c>
    </row>
    <row r="1582" spans="1:23" x14ac:dyDescent="0.25">
      <c r="A1582" s="2" t="s">
        <v>628</v>
      </c>
      <c r="B1582" s="2" t="s">
        <v>918</v>
      </c>
      <c r="C1582" s="2">
        <v>540141</v>
      </c>
      <c r="D1582" s="2" t="s">
        <v>781</v>
      </c>
      <c r="E1582" s="2" t="s">
        <v>59</v>
      </c>
      <c r="F1582" s="2" t="s">
        <v>115</v>
      </c>
      <c r="G1582" s="2">
        <v>6</v>
      </c>
      <c r="H1582" s="2">
        <v>0</v>
      </c>
      <c r="I1582" s="2">
        <v>0</v>
      </c>
      <c r="J1582" s="2">
        <v>0</v>
      </c>
      <c r="K1582" s="2">
        <v>0</v>
      </c>
      <c r="L1582" s="2">
        <v>0</v>
      </c>
      <c r="M1582" s="2">
        <v>0</v>
      </c>
      <c r="N1582" s="2">
        <v>0</v>
      </c>
      <c r="O1582" s="2">
        <v>0</v>
      </c>
      <c r="P1582" s="2">
        <v>0</v>
      </c>
      <c r="Q1582" s="2">
        <v>0</v>
      </c>
      <c r="R1582" s="2">
        <v>0</v>
      </c>
      <c r="S1582" s="2" t="s">
        <v>488</v>
      </c>
      <c r="T1582" s="2" t="s">
        <v>488</v>
      </c>
      <c r="U1582" s="2">
        <v>0</v>
      </c>
      <c r="V1582" s="2">
        <v>0</v>
      </c>
      <c r="W1582">
        <f t="shared" si="24"/>
        <v>0</v>
      </c>
    </row>
    <row r="1583" spans="1:23" x14ac:dyDescent="0.25">
      <c r="A1583" s="2" t="s">
        <v>628</v>
      </c>
      <c r="B1583" s="2" t="s">
        <v>918</v>
      </c>
      <c r="C1583" s="2">
        <v>540272</v>
      </c>
      <c r="D1583" s="2" t="s">
        <v>782</v>
      </c>
      <c r="E1583" s="2" t="s">
        <v>59</v>
      </c>
      <c r="F1583" s="2" t="s">
        <v>115</v>
      </c>
      <c r="G1583" s="2">
        <v>6</v>
      </c>
      <c r="H1583" s="2">
        <v>0</v>
      </c>
      <c r="I1583" s="2">
        <v>0</v>
      </c>
      <c r="J1583" s="2">
        <v>0</v>
      </c>
      <c r="K1583" s="2">
        <v>0</v>
      </c>
      <c r="L1583" s="2">
        <v>0</v>
      </c>
      <c r="M1583" s="2">
        <v>0</v>
      </c>
      <c r="N1583" s="2">
        <v>0</v>
      </c>
      <c r="O1583" s="2">
        <v>0</v>
      </c>
      <c r="P1583" s="2">
        <v>0</v>
      </c>
      <c r="Q1583" s="2">
        <v>0</v>
      </c>
      <c r="R1583" s="2">
        <v>0</v>
      </c>
      <c r="S1583" s="2" t="s">
        <v>488</v>
      </c>
      <c r="T1583" s="2" t="s">
        <v>488</v>
      </c>
      <c r="U1583" s="2">
        <v>1</v>
      </c>
      <c r="V1583" s="2">
        <v>0</v>
      </c>
      <c r="W1583">
        <f t="shared" si="24"/>
        <v>1</v>
      </c>
    </row>
    <row r="1584" spans="1:23" x14ac:dyDescent="0.25">
      <c r="A1584" s="2" t="s">
        <v>628</v>
      </c>
      <c r="B1584" s="2" t="s">
        <v>918</v>
      </c>
      <c r="C1584" s="2">
        <v>540273</v>
      </c>
      <c r="D1584" s="2" t="s">
        <v>783</v>
      </c>
      <c r="E1584" s="2" t="s">
        <v>59</v>
      </c>
      <c r="F1584" s="2" t="s">
        <v>115</v>
      </c>
      <c r="G1584" s="2">
        <v>6</v>
      </c>
      <c r="H1584" s="2">
        <v>0</v>
      </c>
      <c r="I1584" s="2">
        <v>0</v>
      </c>
      <c r="J1584" s="2">
        <v>0</v>
      </c>
      <c r="K1584" s="2">
        <v>0</v>
      </c>
      <c r="L1584" s="2">
        <v>0</v>
      </c>
      <c r="M1584" s="2">
        <v>0</v>
      </c>
      <c r="N1584" s="2">
        <v>0</v>
      </c>
      <c r="O1584" s="2">
        <v>0</v>
      </c>
      <c r="P1584" s="2">
        <v>0</v>
      </c>
      <c r="Q1584" s="2">
        <v>0</v>
      </c>
      <c r="R1584" s="2">
        <v>0</v>
      </c>
      <c r="S1584" s="2" t="s">
        <v>488</v>
      </c>
      <c r="T1584" s="2" t="s">
        <v>488</v>
      </c>
      <c r="U1584" s="2">
        <v>0</v>
      </c>
      <c r="V1584" s="2">
        <v>0</v>
      </c>
      <c r="W1584">
        <f t="shared" si="24"/>
        <v>0</v>
      </c>
    </row>
    <row r="1585" spans="1:23" x14ac:dyDescent="0.25">
      <c r="A1585" s="2" t="s">
        <v>628</v>
      </c>
      <c r="B1585" s="2" t="s">
        <v>918</v>
      </c>
      <c r="C1585" s="2">
        <v>540274</v>
      </c>
      <c r="D1585" s="2" t="s">
        <v>784</v>
      </c>
      <c r="E1585" s="2" t="s">
        <v>59</v>
      </c>
      <c r="F1585" s="2" t="s">
        <v>115</v>
      </c>
      <c r="G1585" s="2">
        <v>6</v>
      </c>
      <c r="H1585" s="2">
        <v>0</v>
      </c>
      <c r="I1585" s="2">
        <v>0</v>
      </c>
      <c r="J1585" s="2">
        <v>0</v>
      </c>
      <c r="K1585" s="2">
        <v>0</v>
      </c>
      <c r="L1585" s="2">
        <v>0</v>
      </c>
      <c r="M1585" s="2">
        <v>0</v>
      </c>
      <c r="N1585" s="2">
        <v>0</v>
      </c>
      <c r="O1585" s="2">
        <v>0</v>
      </c>
      <c r="P1585" s="2">
        <v>0</v>
      </c>
      <c r="Q1585" s="2">
        <v>0</v>
      </c>
      <c r="R1585" s="2">
        <v>0</v>
      </c>
      <c r="S1585" s="2" t="s">
        <v>488</v>
      </c>
      <c r="T1585" s="2" t="s">
        <v>488</v>
      </c>
      <c r="U1585" s="2">
        <v>0</v>
      </c>
      <c r="V1585" s="2">
        <v>0</v>
      </c>
      <c r="W1585">
        <f t="shared" si="24"/>
        <v>0</v>
      </c>
    </row>
    <row r="1586" spans="1:23" x14ac:dyDescent="0.25">
      <c r="A1586" s="255" t="s">
        <v>628</v>
      </c>
      <c r="B1586" s="255" t="s">
        <v>918</v>
      </c>
      <c r="C1586" s="255"/>
      <c r="D1586" s="255"/>
      <c r="E1586" s="255" t="s">
        <v>59</v>
      </c>
      <c r="F1586" s="255"/>
      <c r="G1586" s="255"/>
      <c r="H1586" s="255">
        <v>2</v>
      </c>
      <c r="I1586" s="255">
        <v>0</v>
      </c>
      <c r="J1586" s="255">
        <v>0</v>
      </c>
      <c r="K1586" s="255">
        <v>0</v>
      </c>
      <c r="L1586" s="255">
        <v>0</v>
      </c>
      <c r="M1586" s="255">
        <v>0</v>
      </c>
      <c r="N1586" s="255">
        <v>2</v>
      </c>
      <c r="O1586" s="255">
        <v>0</v>
      </c>
      <c r="P1586" s="255">
        <v>0</v>
      </c>
      <c r="Q1586" s="255">
        <v>2</v>
      </c>
      <c r="R1586" s="255">
        <v>0</v>
      </c>
      <c r="S1586" s="255" t="s">
        <v>488</v>
      </c>
      <c r="T1586" s="255" t="s">
        <v>488</v>
      </c>
      <c r="U1586" s="255">
        <v>1</v>
      </c>
      <c r="V1586" s="255">
        <v>0</v>
      </c>
      <c r="W1586">
        <f t="shared" si="24"/>
        <v>3</v>
      </c>
    </row>
    <row r="1587" spans="1:23" x14ac:dyDescent="0.25">
      <c r="A1587" s="2" t="s">
        <v>628</v>
      </c>
      <c r="B1587" s="2" t="s">
        <v>918</v>
      </c>
      <c r="C1587" s="2">
        <v>540144</v>
      </c>
      <c r="D1587" s="2" t="s">
        <v>785</v>
      </c>
      <c r="E1587" s="2" t="s">
        <v>61</v>
      </c>
      <c r="F1587" s="2" t="s">
        <v>5</v>
      </c>
      <c r="G1587" s="2">
        <v>9</v>
      </c>
      <c r="H1587" s="2">
        <v>0</v>
      </c>
      <c r="I1587" s="2">
        <v>0</v>
      </c>
      <c r="J1587" s="2">
        <v>0</v>
      </c>
      <c r="K1587" s="2">
        <v>0</v>
      </c>
      <c r="L1587" s="2">
        <v>0</v>
      </c>
      <c r="M1587" s="2">
        <v>0</v>
      </c>
      <c r="N1587" s="2">
        <v>0</v>
      </c>
      <c r="O1587" s="2">
        <v>0</v>
      </c>
      <c r="P1587" s="2">
        <v>0</v>
      </c>
      <c r="Q1587" s="2">
        <v>0</v>
      </c>
      <c r="R1587" s="2">
        <v>0</v>
      </c>
      <c r="S1587" s="2">
        <v>0</v>
      </c>
      <c r="T1587" s="2">
        <v>0</v>
      </c>
      <c r="U1587" s="2">
        <v>0</v>
      </c>
      <c r="V1587" s="2">
        <v>0</v>
      </c>
      <c r="W1587">
        <f t="shared" si="24"/>
        <v>0</v>
      </c>
    </row>
    <row r="1588" spans="1:23" x14ac:dyDescent="0.25">
      <c r="A1588" s="2" t="s">
        <v>628</v>
      </c>
      <c r="B1588" s="2" t="s">
        <v>918</v>
      </c>
      <c r="C1588" s="2">
        <v>540005</v>
      </c>
      <c r="D1588" s="2" t="s">
        <v>786</v>
      </c>
      <c r="E1588" s="2" t="s">
        <v>61</v>
      </c>
      <c r="F1588" s="2" t="s">
        <v>115</v>
      </c>
      <c r="G1588" s="2">
        <v>9</v>
      </c>
      <c r="H1588" s="2">
        <v>0</v>
      </c>
      <c r="I1588" s="2">
        <v>1</v>
      </c>
      <c r="J1588" s="2">
        <v>0</v>
      </c>
      <c r="K1588" s="2">
        <v>0</v>
      </c>
      <c r="L1588" s="2">
        <v>0</v>
      </c>
      <c r="M1588" s="2">
        <v>1</v>
      </c>
      <c r="N1588" s="2">
        <v>1</v>
      </c>
      <c r="O1588" s="2">
        <v>0</v>
      </c>
      <c r="P1588" s="2">
        <v>0</v>
      </c>
      <c r="Q1588" s="2">
        <v>0</v>
      </c>
      <c r="R1588" s="2">
        <v>0</v>
      </c>
      <c r="S1588" s="2">
        <v>1</v>
      </c>
      <c r="T1588" s="2">
        <v>0</v>
      </c>
      <c r="U1588" s="2">
        <v>0</v>
      </c>
      <c r="V1588" s="2">
        <v>0</v>
      </c>
      <c r="W1588">
        <f t="shared" si="24"/>
        <v>1</v>
      </c>
    </row>
    <row r="1589" spans="1:23" x14ac:dyDescent="0.25">
      <c r="A1589" s="2" t="s">
        <v>628</v>
      </c>
      <c r="B1589" s="2" t="s">
        <v>918</v>
      </c>
      <c r="C1589" s="2">
        <v>540252</v>
      </c>
      <c r="D1589" s="2" t="s">
        <v>787</v>
      </c>
      <c r="E1589" s="2" t="s">
        <v>61</v>
      </c>
      <c r="F1589" s="2" t="s">
        <v>115</v>
      </c>
      <c r="G1589" s="2">
        <v>9</v>
      </c>
      <c r="H1589" s="2">
        <v>0</v>
      </c>
      <c r="I1589" s="2">
        <v>0</v>
      </c>
      <c r="J1589" s="2">
        <v>0</v>
      </c>
      <c r="K1589" s="2">
        <v>0</v>
      </c>
      <c r="L1589" s="2">
        <v>0</v>
      </c>
      <c r="M1589" s="2">
        <v>0</v>
      </c>
      <c r="N1589" s="2">
        <v>0</v>
      </c>
      <c r="O1589" s="2">
        <v>0</v>
      </c>
      <c r="P1589" s="2">
        <v>0</v>
      </c>
      <c r="Q1589" s="2">
        <v>0</v>
      </c>
      <c r="R1589" s="2">
        <v>0</v>
      </c>
      <c r="S1589" s="2">
        <v>0</v>
      </c>
      <c r="T1589" s="2">
        <v>0</v>
      </c>
      <c r="U1589" s="2">
        <v>0</v>
      </c>
      <c r="V1589" s="2">
        <v>0</v>
      </c>
      <c r="W1589">
        <f t="shared" si="24"/>
        <v>0</v>
      </c>
    </row>
    <row r="1590" spans="1:23" x14ac:dyDescent="0.25">
      <c r="A1590" s="255" t="s">
        <v>628</v>
      </c>
      <c r="B1590" s="255" t="s">
        <v>918</v>
      </c>
      <c r="C1590" s="255"/>
      <c r="D1590" s="255"/>
      <c r="E1590" s="255" t="s">
        <v>61</v>
      </c>
      <c r="F1590" s="255"/>
      <c r="G1590" s="255"/>
      <c r="H1590" s="255">
        <v>0</v>
      </c>
      <c r="I1590" s="255">
        <v>1</v>
      </c>
      <c r="J1590" s="255">
        <v>0</v>
      </c>
      <c r="K1590" s="255">
        <v>0</v>
      </c>
      <c r="L1590" s="255">
        <v>0</v>
      </c>
      <c r="M1590" s="255">
        <v>1</v>
      </c>
      <c r="N1590" s="255">
        <v>1</v>
      </c>
      <c r="O1590" s="255">
        <v>0</v>
      </c>
      <c r="P1590" s="255">
        <v>0</v>
      </c>
      <c r="Q1590" s="255">
        <v>0</v>
      </c>
      <c r="R1590" s="255">
        <v>0</v>
      </c>
      <c r="S1590" s="255">
        <v>1</v>
      </c>
      <c r="T1590" s="255">
        <v>0</v>
      </c>
      <c r="U1590" s="255">
        <v>0</v>
      </c>
      <c r="V1590" s="255">
        <v>0</v>
      </c>
      <c r="W1590">
        <f t="shared" si="24"/>
        <v>1</v>
      </c>
    </row>
    <row r="1591" spans="1:23" x14ac:dyDescent="0.25">
      <c r="A1591" s="2" t="s">
        <v>628</v>
      </c>
      <c r="B1591" s="2" t="s">
        <v>918</v>
      </c>
      <c r="C1591" s="2">
        <v>540146</v>
      </c>
      <c r="D1591" s="2" t="s">
        <v>788</v>
      </c>
      <c r="E1591" s="2" t="s">
        <v>63</v>
      </c>
      <c r="F1591" s="2" t="s">
        <v>5</v>
      </c>
      <c r="G1591" s="2">
        <v>4</v>
      </c>
      <c r="H1591" s="2">
        <v>0</v>
      </c>
      <c r="I1591" s="2">
        <v>0</v>
      </c>
      <c r="J1591" s="2">
        <v>0</v>
      </c>
      <c r="K1591" s="2">
        <v>0</v>
      </c>
      <c r="L1591" s="2">
        <v>0</v>
      </c>
      <c r="M1591" s="2">
        <v>0</v>
      </c>
      <c r="N1591" s="2">
        <v>0</v>
      </c>
      <c r="O1591" s="2">
        <v>0</v>
      </c>
      <c r="P1591" s="2">
        <v>0</v>
      </c>
      <c r="Q1591" s="2" t="s">
        <v>488</v>
      </c>
      <c r="R1591" s="2" t="s">
        <v>488</v>
      </c>
      <c r="S1591" s="2" t="s">
        <v>488</v>
      </c>
      <c r="T1591" s="2" t="s">
        <v>488</v>
      </c>
      <c r="U1591" s="2">
        <v>1</v>
      </c>
      <c r="V1591" s="2">
        <v>0</v>
      </c>
      <c r="W1591">
        <f t="shared" si="24"/>
        <v>1</v>
      </c>
    </row>
    <row r="1592" spans="1:23" x14ac:dyDescent="0.25">
      <c r="A1592" s="2" t="s">
        <v>628</v>
      </c>
      <c r="B1592" s="2" t="s">
        <v>918</v>
      </c>
      <c r="C1592" s="2">
        <v>540147</v>
      </c>
      <c r="D1592" s="2" t="s">
        <v>789</v>
      </c>
      <c r="E1592" s="2" t="s">
        <v>63</v>
      </c>
      <c r="F1592" s="2" t="s">
        <v>115</v>
      </c>
      <c r="G1592" s="2">
        <v>4</v>
      </c>
      <c r="H1592" s="2">
        <v>0</v>
      </c>
      <c r="I1592" s="2">
        <v>1</v>
      </c>
      <c r="J1592" s="2">
        <v>0</v>
      </c>
      <c r="K1592" s="2">
        <v>0</v>
      </c>
      <c r="L1592" s="2">
        <v>0</v>
      </c>
      <c r="M1592" s="2">
        <v>1</v>
      </c>
      <c r="N1592" s="2">
        <v>1</v>
      </c>
      <c r="O1592" s="2">
        <v>0</v>
      </c>
      <c r="P1592" s="2">
        <v>0</v>
      </c>
      <c r="Q1592" s="2" t="s">
        <v>488</v>
      </c>
      <c r="R1592" s="2" t="s">
        <v>488</v>
      </c>
      <c r="S1592" s="2" t="s">
        <v>488</v>
      </c>
      <c r="T1592" s="2" t="s">
        <v>488</v>
      </c>
      <c r="U1592" s="2">
        <v>0</v>
      </c>
      <c r="V1592" s="2">
        <v>0</v>
      </c>
      <c r="W1592">
        <f t="shared" si="24"/>
        <v>1</v>
      </c>
    </row>
    <row r="1593" spans="1:23" x14ac:dyDescent="0.25">
      <c r="A1593" s="2" t="s">
        <v>628</v>
      </c>
      <c r="B1593" s="2" t="s">
        <v>918</v>
      </c>
      <c r="C1593" s="2">
        <v>540148</v>
      </c>
      <c r="D1593" s="2" t="s">
        <v>790</v>
      </c>
      <c r="E1593" s="2" t="s">
        <v>63</v>
      </c>
      <c r="F1593" s="2" t="s">
        <v>115</v>
      </c>
      <c r="G1593" s="2">
        <v>4</v>
      </c>
      <c r="H1593" s="2">
        <v>0</v>
      </c>
      <c r="I1593" s="2">
        <v>0</v>
      </c>
      <c r="J1593" s="2">
        <v>0</v>
      </c>
      <c r="K1593" s="2">
        <v>0</v>
      </c>
      <c r="L1593" s="2">
        <v>0</v>
      </c>
      <c r="M1593" s="2">
        <v>0</v>
      </c>
      <c r="N1593" s="2">
        <v>0</v>
      </c>
      <c r="O1593" s="2">
        <v>0</v>
      </c>
      <c r="P1593" s="2">
        <v>0</v>
      </c>
      <c r="Q1593" s="2" t="s">
        <v>488</v>
      </c>
      <c r="R1593" s="2" t="s">
        <v>488</v>
      </c>
      <c r="S1593" s="2" t="s">
        <v>488</v>
      </c>
      <c r="T1593" s="2" t="s">
        <v>488</v>
      </c>
      <c r="U1593" s="2">
        <v>0</v>
      </c>
      <c r="V1593" s="2">
        <v>0</v>
      </c>
      <c r="W1593">
        <f t="shared" si="24"/>
        <v>0</v>
      </c>
    </row>
    <row r="1594" spans="1:23" x14ac:dyDescent="0.25">
      <c r="A1594" s="255" t="s">
        <v>628</v>
      </c>
      <c r="B1594" s="255" t="s">
        <v>918</v>
      </c>
      <c r="C1594" s="255"/>
      <c r="D1594" s="255"/>
      <c r="E1594" s="255" t="s">
        <v>63</v>
      </c>
      <c r="F1594" s="255"/>
      <c r="G1594" s="255"/>
      <c r="H1594" s="255">
        <v>0</v>
      </c>
      <c r="I1594" s="255">
        <v>1</v>
      </c>
      <c r="J1594" s="255">
        <v>0</v>
      </c>
      <c r="K1594" s="255">
        <v>0</v>
      </c>
      <c r="L1594" s="255">
        <v>0</v>
      </c>
      <c r="M1594" s="255">
        <v>1</v>
      </c>
      <c r="N1594" s="255">
        <v>1</v>
      </c>
      <c r="O1594" s="255">
        <v>0</v>
      </c>
      <c r="P1594" s="255">
        <v>0</v>
      </c>
      <c r="Q1594" s="255" t="s">
        <v>488</v>
      </c>
      <c r="R1594" s="255" t="s">
        <v>488</v>
      </c>
      <c r="S1594" s="255" t="s">
        <v>488</v>
      </c>
      <c r="T1594" s="255" t="s">
        <v>488</v>
      </c>
      <c r="U1594" s="255">
        <v>1</v>
      </c>
      <c r="V1594" s="255">
        <v>0</v>
      </c>
      <c r="W1594">
        <f t="shared" si="24"/>
        <v>2</v>
      </c>
    </row>
    <row r="1595" spans="1:23" x14ac:dyDescent="0.25">
      <c r="A1595" s="2" t="s">
        <v>628</v>
      </c>
      <c r="B1595" s="2" t="s">
        <v>918</v>
      </c>
      <c r="C1595" s="2">
        <v>540149</v>
      </c>
      <c r="D1595" s="2" t="s">
        <v>791</v>
      </c>
      <c r="E1595" s="2" t="s">
        <v>65</v>
      </c>
      <c r="F1595" s="2" t="s">
        <v>5</v>
      </c>
      <c r="G1595" s="2">
        <v>10</v>
      </c>
      <c r="H1595" s="2">
        <v>0</v>
      </c>
      <c r="I1595" s="2">
        <v>0</v>
      </c>
      <c r="J1595" s="2">
        <v>0</v>
      </c>
      <c r="K1595" s="2">
        <v>0</v>
      </c>
      <c r="L1595" s="2">
        <v>0</v>
      </c>
      <c r="M1595" s="2">
        <v>0</v>
      </c>
      <c r="N1595" s="2">
        <v>0</v>
      </c>
      <c r="O1595" s="2">
        <v>0</v>
      </c>
      <c r="P1595" s="2">
        <v>0</v>
      </c>
      <c r="Q1595" s="2">
        <v>0</v>
      </c>
      <c r="R1595" s="2">
        <v>0</v>
      </c>
      <c r="S1595" s="2" t="s">
        <v>488</v>
      </c>
      <c r="T1595" s="2" t="s">
        <v>488</v>
      </c>
      <c r="U1595" s="2">
        <v>0</v>
      </c>
      <c r="V1595" s="2">
        <v>0</v>
      </c>
      <c r="W1595">
        <f t="shared" si="24"/>
        <v>0</v>
      </c>
    </row>
    <row r="1596" spans="1:23" x14ac:dyDescent="0.25">
      <c r="A1596" s="2" t="s">
        <v>628</v>
      </c>
      <c r="B1596" s="2" t="s">
        <v>918</v>
      </c>
      <c r="C1596" s="2">
        <v>540080</v>
      </c>
      <c r="D1596" s="2" t="s">
        <v>792</v>
      </c>
      <c r="E1596" s="2" t="s">
        <v>65</v>
      </c>
      <c r="F1596" s="2" t="s">
        <v>115</v>
      </c>
      <c r="G1596" s="2">
        <v>10</v>
      </c>
      <c r="H1596" s="2">
        <v>0</v>
      </c>
      <c r="I1596" s="2">
        <v>0</v>
      </c>
      <c r="J1596" s="2">
        <v>0</v>
      </c>
      <c r="K1596" s="2">
        <v>0</v>
      </c>
      <c r="L1596" s="2">
        <v>0</v>
      </c>
      <c r="M1596" s="2">
        <v>0</v>
      </c>
      <c r="N1596" s="2">
        <v>0</v>
      </c>
      <c r="O1596" s="2">
        <v>0</v>
      </c>
      <c r="P1596" s="2">
        <v>0</v>
      </c>
      <c r="Q1596" s="2">
        <v>0</v>
      </c>
      <c r="R1596" s="2">
        <v>0</v>
      </c>
      <c r="S1596" s="2" t="s">
        <v>488</v>
      </c>
      <c r="T1596" s="2" t="s">
        <v>488</v>
      </c>
      <c r="U1596" s="2">
        <v>0</v>
      </c>
      <c r="V1596" s="2">
        <v>0</v>
      </c>
      <c r="W1596">
        <f t="shared" si="24"/>
        <v>0</v>
      </c>
    </row>
    <row r="1597" spans="1:23" x14ac:dyDescent="0.25">
      <c r="A1597" s="2" t="s">
        <v>628</v>
      </c>
      <c r="B1597" s="2" t="s">
        <v>918</v>
      </c>
      <c r="C1597" s="2">
        <v>540094</v>
      </c>
      <c r="D1597" s="2" t="s">
        <v>793</v>
      </c>
      <c r="E1597" s="2" t="s">
        <v>65</v>
      </c>
      <c r="F1597" s="2" t="s">
        <v>115</v>
      </c>
      <c r="G1597" s="2">
        <v>10</v>
      </c>
      <c r="H1597" s="2">
        <v>0</v>
      </c>
      <c r="I1597" s="2">
        <v>0</v>
      </c>
      <c r="J1597" s="2">
        <v>0</v>
      </c>
      <c r="K1597" s="2">
        <v>0</v>
      </c>
      <c r="L1597" s="2">
        <v>0</v>
      </c>
      <c r="M1597" s="2">
        <v>0</v>
      </c>
      <c r="N1597" s="2">
        <v>0</v>
      </c>
      <c r="O1597" s="2">
        <v>0</v>
      </c>
      <c r="P1597" s="2">
        <v>0</v>
      </c>
      <c r="Q1597" s="2">
        <v>0</v>
      </c>
      <c r="R1597" s="2">
        <v>0</v>
      </c>
      <c r="S1597" s="2" t="s">
        <v>488</v>
      </c>
      <c r="T1597" s="2" t="s">
        <v>488</v>
      </c>
      <c r="U1597" s="2">
        <v>0</v>
      </c>
      <c r="V1597" s="2">
        <v>0</v>
      </c>
      <c r="W1597">
        <f t="shared" si="24"/>
        <v>0</v>
      </c>
    </row>
    <row r="1598" spans="1:23" x14ac:dyDescent="0.25">
      <c r="A1598" s="2" t="s">
        <v>628</v>
      </c>
      <c r="B1598" s="2" t="s">
        <v>918</v>
      </c>
      <c r="C1598" s="2">
        <v>540150</v>
      </c>
      <c r="D1598" s="2" t="s">
        <v>794</v>
      </c>
      <c r="E1598" s="2" t="s">
        <v>65</v>
      </c>
      <c r="F1598" s="2" t="s">
        <v>115</v>
      </c>
      <c r="G1598" s="2">
        <v>10</v>
      </c>
      <c r="H1598" s="2">
        <v>0</v>
      </c>
      <c r="I1598" s="2">
        <v>1</v>
      </c>
      <c r="J1598" s="2">
        <v>0</v>
      </c>
      <c r="K1598" s="2">
        <v>0</v>
      </c>
      <c r="L1598" s="2">
        <v>0</v>
      </c>
      <c r="M1598" s="2">
        <v>1</v>
      </c>
      <c r="N1598" s="2">
        <v>1</v>
      </c>
      <c r="O1598" s="2">
        <v>0</v>
      </c>
      <c r="P1598" s="2">
        <v>0</v>
      </c>
      <c r="Q1598" s="2">
        <v>0</v>
      </c>
      <c r="R1598" s="2">
        <v>0</v>
      </c>
      <c r="S1598" s="2" t="s">
        <v>488</v>
      </c>
      <c r="T1598" s="2" t="s">
        <v>488</v>
      </c>
      <c r="U1598" s="2">
        <v>0</v>
      </c>
      <c r="V1598" s="2">
        <v>0</v>
      </c>
      <c r="W1598">
        <f t="shared" si="24"/>
        <v>1</v>
      </c>
    </row>
    <row r="1599" spans="1:23" x14ac:dyDescent="0.25">
      <c r="A1599" s="2" t="s">
        <v>628</v>
      </c>
      <c r="B1599" s="2" t="s">
        <v>918</v>
      </c>
      <c r="C1599" s="2">
        <v>540151</v>
      </c>
      <c r="D1599" s="2" t="s">
        <v>795</v>
      </c>
      <c r="E1599" s="2" t="s">
        <v>65</v>
      </c>
      <c r="F1599" s="2" t="s">
        <v>115</v>
      </c>
      <c r="G1599" s="2">
        <v>10</v>
      </c>
      <c r="H1599" s="2">
        <v>0</v>
      </c>
      <c r="I1599" s="2">
        <v>0</v>
      </c>
      <c r="J1599" s="2">
        <v>0</v>
      </c>
      <c r="K1599" s="2">
        <v>0</v>
      </c>
      <c r="L1599" s="2">
        <v>0</v>
      </c>
      <c r="M1599" s="2">
        <v>0</v>
      </c>
      <c r="N1599" s="2">
        <v>0</v>
      </c>
      <c r="O1599" s="2">
        <v>0</v>
      </c>
      <c r="P1599" s="2">
        <v>0</v>
      </c>
      <c r="Q1599" s="2">
        <v>0</v>
      </c>
      <c r="R1599" s="2">
        <v>0</v>
      </c>
      <c r="S1599" s="2" t="s">
        <v>488</v>
      </c>
      <c r="T1599" s="2" t="s">
        <v>488</v>
      </c>
      <c r="U1599" s="2">
        <v>0</v>
      </c>
      <c r="V1599" s="2">
        <v>0</v>
      </c>
      <c r="W1599">
        <f t="shared" si="24"/>
        <v>0</v>
      </c>
    </row>
    <row r="1600" spans="1:23" x14ac:dyDescent="0.25">
      <c r="A1600" s="2" t="s">
        <v>628</v>
      </c>
      <c r="B1600" s="2" t="s">
        <v>918</v>
      </c>
      <c r="C1600" s="2">
        <v>540152</v>
      </c>
      <c r="D1600" s="2" t="s">
        <v>741</v>
      </c>
      <c r="E1600" s="2" t="s">
        <v>65</v>
      </c>
      <c r="F1600" s="2" t="s">
        <v>115</v>
      </c>
      <c r="G1600" s="2">
        <v>10</v>
      </c>
      <c r="H1600" s="2">
        <v>0</v>
      </c>
      <c r="I1600" s="2">
        <v>2</v>
      </c>
      <c r="J1600" s="2">
        <v>0</v>
      </c>
      <c r="K1600" s="2">
        <v>0</v>
      </c>
      <c r="L1600" s="2">
        <v>0</v>
      </c>
      <c r="M1600" s="2">
        <v>2</v>
      </c>
      <c r="N1600" s="2">
        <v>2</v>
      </c>
      <c r="O1600" s="2">
        <v>0</v>
      </c>
      <c r="P1600" s="2">
        <v>0</v>
      </c>
      <c r="Q1600" s="2">
        <v>0</v>
      </c>
      <c r="R1600" s="2">
        <v>0</v>
      </c>
      <c r="S1600" s="2" t="s">
        <v>488</v>
      </c>
      <c r="T1600" s="2" t="s">
        <v>488</v>
      </c>
      <c r="U1600" s="2">
        <v>0</v>
      </c>
      <c r="V1600" s="2">
        <v>0</v>
      </c>
      <c r="W1600">
        <f t="shared" si="24"/>
        <v>2</v>
      </c>
    </row>
    <row r="1601" spans="1:23" x14ac:dyDescent="0.25">
      <c r="A1601" s="2" t="s">
        <v>628</v>
      </c>
      <c r="B1601" s="2" t="s">
        <v>918</v>
      </c>
      <c r="C1601" s="2">
        <v>540275</v>
      </c>
      <c r="D1601" s="2" t="s">
        <v>796</v>
      </c>
      <c r="E1601" s="2" t="s">
        <v>65</v>
      </c>
      <c r="F1601" s="2" t="s">
        <v>115</v>
      </c>
      <c r="G1601" s="2">
        <v>10</v>
      </c>
      <c r="H1601" s="2">
        <v>0</v>
      </c>
      <c r="I1601" s="2">
        <v>0</v>
      </c>
      <c r="J1601" s="2">
        <v>0</v>
      </c>
      <c r="K1601" s="2">
        <v>0</v>
      </c>
      <c r="L1601" s="2">
        <v>0</v>
      </c>
      <c r="M1601" s="2">
        <v>0</v>
      </c>
      <c r="N1601" s="2">
        <v>0</v>
      </c>
      <c r="O1601" s="2">
        <v>0</v>
      </c>
      <c r="P1601" s="2">
        <v>0</v>
      </c>
      <c r="Q1601" s="2">
        <v>0</v>
      </c>
      <c r="R1601" s="2">
        <v>0</v>
      </c>
      <c r="S1601" s="2" t="s">
        <v>488</v>
      </c>
      <c r="T1601" s="2" t="s">
        <v>488</v>
      </c>
      <c r="U1601" s="2">
        <v>0</v>
      </c>
      <c r="V1601" s="2">
        <v>0</v>
      </c>
      <c r="W1601">
        <f t="shared" si="24"/>
        <v>0</v>
      </c>
    </row>
    <row r="1602" spans="1:23" x14ac:dyDescent="0.25">
      <c r="A1602" s="255" t="s">
        <v>628</v>
      </c>
      <c r="B1602" s="255" t="s">
        <v>918</v>
      </c>
      <c r="C1602" s="255"/>
      <c r="D1602" s="255"/>
      <c r="E1602" s="255" t="s">
        <v>65</v>
      </c>
      <c r="F1602" s="255"/>
      <c r="G1602" s="255"/>
      <c r="H1602" s="255">
        <v>0</v>
      </c>
      <c r="I1602" s="255">
        <v>3</v>
      </c>
      <c r="J1602" s="255">
        <v>0</v>
      </c>
      <c r="K1602" s="255">
        <v>0</v>
      </c>
      <c r="L1602" s="255">
        <v>0</v>
      </c>
      <c r="M1602" s="255">
        <v>3</v>
      </c>
      <c r="N1602" s="255">
        <v>3</v>
      </c>
      <c r="O1602" s="255">
        <v>0</v>
      </c>
      <c r="P1602" s="255">
        <v>0</v>
      </c>
      <c r="Q1602" s="255">
        <v>0</v>
      </c>
      <c r="R1602" s="255">
        <v>0</v>
      </c>
      <c r="S1602" s="255" t="s">
        <v>488</v>
      </c>
      <c r="T1602" s="255" t="s">
        <v>488</v>
      </c>
      <c r="U1602" s="255">
        <v>0</v>
      </c>
      <c r="V1602" s="255">
        <v>0</v>
      </c>
      <c r="W1602">
        <f t="shared" si="24"/>
        <v>3</v>
      </c>
    </row>
    <row r="1603" spans="1:23" x14ac:dyDescent="0.25">
      <c r="A1603" s="2" t="s">
        <v>628</v>
      </c>
      <c r="B1603" s="2" t="s">
        <v>918</v>
      </c>
      <c r="C1603" s="2">
        <v>540153</v>
      </c>
      <c r="D1603" s="2" t="s">
        <v>797</v>
      </c>
      <c r="E1603" s="2" t="s">
        <v>67</v>
      </c>
      <c r="F1603" s="2" t="s">
        <v>5</v>
      </c>
      <c r="G1603" s="2">
        <v>8</v>
      </c>
      <c r="H1603" s="2">
        <v>0</v>
      </c>
      <c r="I1603" s="2">
        <v>0</v>
      </c>
      <c r="J1603" s="2">
        <v>0</v>
      </c>
      <c r="K1603" s="2">
        <v>0</v>
      </c>
      <c r="L1603" s="2">
        <v>0</v>
      </c>
      <c r="M1603" s="2">
        <v>0</v>
      </c>
      <c r="N1603" s="2">
        <v>0</v>
      </c>
      <c r="O1603" s="2">
        <v>0</v>
      </c>
      <c r="P1603" s="2">
        <v>0</v>
      </c>
      <c r="Q1603" s="2" t="s">
        <v>488</v>
      </c>
      <c r="R1603" s="2" t="s">
        <v>488</v>
      </c>
      <c r="S1603" s="2" t="s">
        <v>488</v>
      </c>
      <c r="T1603" s="2" t="s">
        <v>488</v>
      </c>
      <c r="U1603" s="2">
        <v>0</v>
      </c>
      <c r="V1603" s="2">
        <v>0</v>
      </c>
      <c r="W1603">
        <f t="shared" ref="W1603:W1666" si="25">SUM(N1603,P1603,R1603,T1603,U1603,V1603)</f>
        <v>0</v>
      </c>
    </row>
    <row r="1604" spans="1:23" x14ac:dyDescent="0.25">
      <c r="A1604" s="2" t="s">
        <v>628</v>
      </c>
      <c r="B1604" s="2" t="s">
        <v>918</v>
      </c>
      <c r="C1604" s="2">
        <v>540154</v>
      </c>
      <c r="D1604" s="2" t="s">
        <v>798</v>
      </c>
      <c r="E1604" s="2" t="s">
        <v>67</v>
      </c>
      <c r="F1604" s="2" t="s">
        <v>115</v>
      </c>
      <c r="G1604" s="2">
        <v>8</v>
      </c>
      <c r="H1604" s="2">
        <v>0</v>
      </c>
      <c r="I1604" s="2">
        <v>1</v>
      </c>
      <c r="J1604" s="2">
        <v>0</v>
      </c>
      <c r="K1604" s="2">
        <v>0</v>
      </c>
      <c r="L1604" s="2">
        <v>0</v>
      </c>
      <c r="M1604" s="2">
        <v>1</v>
      </c>
      <c r="N1604" s="2">
        <v>1</v>
      </c>
      <c r="O1604" s="2">
        <v>0</v>
      </c>
      <c r="P1604" s="2">
        <v>0</v>
      </c>
      <c r="Q1604" s="2" t="s">
        <v>488</v>
      </c>
      <c r="R1604" s="2" t="s">
        <v>488</v>
      </c>
      <c r="S1604" s="2" t="s">
        <v>488</v>
      </c>
      <c r="T1604" s="2" t="s">
        <v>488</v>
      </c>
      <c r="U1604" s="2">
        <v>0</v>
      </c>
      <c r="V1604" s="2">
        <v>0</v>
      </c>
      <c r="W1604">
        <f t="shared" si="25"/>
        <v>1</v>
      </c>
    </row>
    <row r="1605" spans="1:23" x14ac:dyDescent="0.25">
      <c r="A1605" s="255" t="s">
        <v>628</v>
      </c>
      <c r="B1605" s="255" t="s">
        <v>918</v>
      </c>
      <c r="C1605" s="255"/>
      <c r="D1605" s="255"/>
      <c r="E1605" s="255" t="s">
        <v>67</v>
      </c>
      <c r="F1605" s="255"/>
      <c r="G1605" s="255"/>
      <c r="H1605" s="255">
        <v>0</v>
      </c>
      <c r="I1605" s="255">
        <v>1</v>
      </c>
      <c r="J1605" s="255">
        <v>0</v>
      </c>
      <c r="K1605" s="255">
        <v>0</v>
      </c>
      <c r="L1605" s="255">
        <v>0</v>
      </c>
      <c r="M1605" s="255">
        <v>1</v>
      </c>
      <c r="N1605" s="255">
        <v>1</v>
      </c>
      <c r="O1605" s="255">
        <v>0</v>
      </c>
      <c r="P1605" s="255">
        <v>0</v>
      </c>
      <c r="Q1605" s="255" t="s">
        <v>488</v>
      </c>
      <c r="R1605" s="255" t="s">
        <v>488</v>
      </c>
      <c r="S1605" s="255" t="s">
        <v>488</v>
      </c>
      <c r="T1605" s="255" t="s">
        <v>488</v>
      </c>
      <c r="U1605" s="255">
        <v>0</v>
      </c>
      <c r="V1605" s="255">
        <v>0</v>
      </c>
      <c r="W1605">
        <f t="shared" si="25"/>
        <v>1</v>
      </c>
    </row>
    <row r="1606" spans="1:23" x14ac:dyDescent="0.25">
      <c r="A1606" s="2" t="s">
        <v>628</v>
      </c>
      <c r="B1606" s="2" t="s">
        <v>918</v>
      </c>
      <c r="C1606" s="2">
        <v>540160</v>
      </c>
      <c r="D1606" s="2" t="s">
        <v>799</v>
      </c>
      <c r="E1606" s="2" t="s">
        <v>69</v>
      </c>
      <c r="F1606" s="2" t="s">
        <v>5</v>
      </c>
      <c r="G1606" s="2">
        <v>6</v>
      </c>
      <c r="H1606" s="2">
        <v>1</v>
      </c>
      <c r="I1606" s="2">
        <v>0</v>
      </c>
      <c r="J1606" s="2">
        <v>0</v>
      </c>
      <c r="K1606" s="2">
        <v>0</v>
      </c>
      <c r="L1606" s="2">
        <v>0</v>
      </c>
      <c r="M1606" s="2">
        <v>0</v>
      </c>
      <c r="N1606" s="2">
        <v>1</v>
      </c>
      <c r="O1606" s="2">
        <v>0</v>
      </c>
      <c r="P1606" s="2">
        <v>0</v>
      </c>
      <c r="Q1606" s="2">
        <v>0</v>
      </c>
      <c r="R1606" s="2">
        <v>0</v>
      </c>
      <c r="S1606" s="2" t="s">
        <v>488</v>
      </c>
      <c r="T1606" s="2" t="s">
        <v>488</v>
      </c>
      <c r="U1606" s="2">
        <v>0</v>
      </c>
      <c r="V1606" s="2">
        <v>0</v>
      </c>
      <c r="W1606">
        <f t="shared" si="25"/>
        <v>1</v>
      </c>
    </row>
    <row r="1607" spans="1:23" x14ac:dyDescent="0.25">
      <c r="A1607" s="2" t="s">
        <v>628</v>
      </c>
      <c r="B1607" s="2" t="s">
        <v>918</v>
      </c>
      <c r="C1607" s="2">
        <v>540137</v>
      </c>
      <c r="D1607" s="2" t="s">
        <v>800</v>
      </c>
      <c r="E1607" s="2" t="s">
        <v>69</v>
      </c>
      <c r="F1607" s="2" t="s">
        <v>115</v>
      </c>
      <c r="G1607" s="2">
        <v>6</v>
      </c>
      <c r="H1607" s="2">
        <v>0</v>
      </c>
      <c r="I1607" s="2">
        <v>0</v>
      </c>
      <c r="J1607" s="2">
        <v>0</v>
      </c>
      <c r="K1607" s="2">
        <v>0</v>
      </c>
      <c r="L1607" s="2">
        <v>0</v>
      </c>
      <c r="M1607" s="2">
        <v>0</v>
      </c>
      <c r="N1607" s="2">
        <v>0</v>
      </c>
      <c r="O1607" s="2">
        <v>0</v>
      </c>
      <c r="P1607" s="2">
        <v>0</v>
      </c>
      <c r="Q1607" s="2">
        <v>0</v>
      </c>
      <c r="R1607" s="2">
        <v>0</v>
      </c>
      <c r="S1607" s="2" t="s">
        <v>488</v>
      </c>
      <c r="T1607" s="2" t="s">
        <v>488</v>
      </c>
      <c r="U1607" s="2">
        <v>0</v>
      </c>
      <c r="V1607" s="2">
        <v>0</v>
      </c>
      <c r="W1607">
        <f t="shared" si="25"/>
        <v>0</v>
      </c>
    </row>
    <row r="1608" spans="1:23" x14ac:dyDescent="0.25">
      <c r="A1608" s="2" t="s">
        <v>628</v>
      </c>
      <c r="B1608" s="2" t="s">
        <v>918</v>
      </c>
      <c r="C1608" s="2">
        <v>540161</v>
      </c>
      <c r="D1608" s="2" t="s">
        <v>801</v>
      </c>
      <c r="E1608" s="2" t="s">
        <v>69</v>
      </c>
      <c r="F1608" s="2" t="s">
        <v>115</v>
      </c>
      <c r="G1608" s="2">
        <v>6</v>
      </c>
      <c r="H1608" s="2">
        <v>0</v>
      </c>
      <c r="I1608" s="2">
        <v>0</v>
      </c>
      <c r="J1608" s="2">
        <v>0</v>
      </c>
      <c r="K1608" s="2">
        <v>0</v>
      </c>
      <c r="L1608" s="2">
        <v>0</v>
      </c>
      <c r="M1608" s="2">
        <v>0</v>
      </c>
      <c r="N1608" s="2">
        <v>0</v>
      </c>
      <c r="O1608" s="2">
        <v>0</v>
      </c>
      <c r="P1608" s="2">
        <v>0</v>
      </c>
      <c r="Q1608" s="2">
        <v>0</v>
      </c>
      <c r="R1608" s="2">
        <v>0</v>
      </c>
      <c r="S1608" s="2" t="s">
        <v>488</v>
      </c>
      <c r="T1608" s="2" t="s">
        <v>488</v>
      </c>
      <c r="U1608" s="2">
        <v>0</v>
      </c>
      <c r="V1608" s="2">
        <v>0</v>
      </c>
      <c r="W1608">
        <f t="shared" si="25"/>
        <v>0</v>
      </c>
    </row>
    <row r="1609" spans="1:23" x14ac:dyDescent="0.25">
      <c r="A1609" s="2" t="s">
        <v>628</v>
      </c>
      <c r="B1609" s="2" t="s">
        <v>918</v>
      </c>
      <c r="C1609" s="2">
        <v>540162</v>
      </c>
      <c r="D1609" s="2" t="s">
        <v>802</v>
      </c>
      <c r="E1609" s="2" t="s">
        <v>69</v>
      </c>
      <c r="F1609" s="2" t="s">
        <v>115</v>
      </c>
      <c r="G1609" s="2">
        <v>6</v>
      </c>
      <c r="H1609" s="2">
        <v>0</v>
      </c>
      <c r="I1609" s="2">
        <v>0</v>
      </c>
      <c r="J1609" s="2">
        <v>0</v>
      </c>
      <c r="K1609" s="2">
        <v>0</v>
      </c>
      <c r="L1609" s="2">
        <v>0</v>
      </c>
      <c r="M1609" s="2">
        <v>0</v>
      </c>
      <c r="N1609" s="2">
        <v>0</v>
      </c>
      <c r="O1609" s="2">
        <v>0</v>
      </c>
      <c r="P1609" s="2">
        <v>0</v>
      </c>
      <c r="Q1609" s="2">
        <v>0</v>
      </c>
      <c r="R1609" s="2">
        <v>0</v>
      </c>
      <c r="S1609" s="2" t="s">
        <v>488</v>
      </c>
      <c r="T1609" s="2" t="s">
        <v>488</v>
      </c>
      <c r="U1609" s="2">
        <v>0</v>
      </c>
      <c r="V1609" s="2">
        <v>0</v>
      </c>
      <c r="W1609">
        <f t="shared" si="25"/>
        <v>0</v>
      </c>
    </row>
    <row r="1610" spans="1:23" x14ac:dyDescent="0.25">
      <c r="A1610" s="2" t="s">
        <v>628</v>
      </c>
      <c r="B1610" s="2" t="s">
        <v>918</v>
      </c>
      <c r="C1610" s="2">
        <v>540163</v>
      </c>
      <c r="D1610" s="2" t="s">
        <v>803</v>
      </c>
      <c r="E1610" s="2" t="s">
        <v>69</v>
      </c>
      <c r="F1610" s="2" t="s">
        <v>115</v>
      </c>
      <c r="G1610" s="2">
        <v>6</v>
      </c>
      <c r="H1610" s="2">
        <v>0</v>
      </c>
      <c r="I1610" s="2">
        <v>1</v>
      </c>
      <c r="J1610" s="2">
        <v>0</v>
      </c>
      <c r="K1610" s="2">
        <v>0</v>
      </c>
      <c r="L1610" s="2">
        <v>0</v>
      </c>
      <c r="M1610" s="2">
        <v>1</v>
      </c>
      <c r="N1610" s="2">
        <v>1</v>
      </c>
      <c r="O1610" s="2">
        <v>0</v>
      </c>
      <c r="P1610" s="2">
        <v>0</v>
      </c>
      <c r="Q1610" s="2">
        <v>0</v>
      </c>
      <c r="R1610" s="2">
        <v>0</v>
      </c>
      <c r="S1610" s="2" t="s">
        <v>488</v>
      </c>
      <c r="T1610" s="2" t="s">
        <v>488</v>
      </c>
      <c r="U1610" s="2">
        <v>0</v>
      </c>
      <c r="V1610" s="2">
        <v>0</v>
      </c>
      <c r="W1610">
        <f t="shared" si="25"/>
        <v>1</v>
      </c>
    </row>
    <row r="1611" spans="1:23" x14ac:dyDescent="0.25">
      <c r="A1611" s="2" t="s">
        <v>628</v>
      </c>
      <c r="B1611" s="2" t="s">
        <v>918</v>
      </c>
      <c r="C1611" s="2">
        <v>540254</v>
      </c>
      <c r="D1611" s="2" t="s">
        <v>804</v>
      </c>
      <c r="E1611" s="2" t="s">
        <v>69</v>
      </c>
      <c r="F1611" s="2" t="s">
        <v>115</v>
      </c>
      <c r="G1611" s="2">
        <v>6</v>
      </c>
      <c r="H1611" s="2">
        <v>0</v>
      </c>
      <c r="I1611" s="2">
        <v>0</v>
      </c>
      <c r="J1611" s="2">
        <v>0</v>
      </c>
      <c r="K1611" s="2">
        <v>0</v>
      </c>
      <c r="L1611" s="2">
        <v>0</v>
      </c>
      <c r="M1611" s="2">
        <v>0</v>
      </c>
      <c r="N1611" s="2">
        <v>0</v>
      </c>
      <c r="O1611" s="2">
        <v>0</v>
      </c>
      <c r="P1611" s="2">
        <v>0</v>
      </c>
      <c r="Q1611" s="2">
        <v>0</v>
      </c>
      <c r="R1611" s="2">
        <v>0</v>
      </c>
      <c r="S1611" s="2" t="s">
        <v>488</v>
      </c>
      <c r="T1611" s="2" t="s">
        <v>488</v>
      </c>
      <c r="U1611" s="2">
        <v>0</v>
      </c>
      <c r="V1611" s="2">
        <v>0</v>
      </c>
      <c r="W1611">
        <f t="shared" si="25"/>
        <v>0</v>
      </c>
    </row>
    <row r="1612" spans="1:23" x14ac:dyDescent="0.25">
      <c r="A1612" s="2" t="s">
        <v>628</v>
      </c>
      <c r="B1612" s="2" t="s">
        <v>918</v>
      </c>
      <c r="C1612" s="2">
        <v>540257</v>
      </c>
      <c r="D1612" s="2" t="s">
        <v>805</v>
      </c>
      <c r="E1612" s="2" t="s">
        <v>69</v>
      </c>
      <c r="F1612" s="2" t="s">
        <v>115</v>
      </c>
      <c r="G1612" s="2">
        <v>6</v>
      </c>
      <c r="H1612" s="2">
        <v>0</v>
      </c>
      <c r="I1612" s="2">
        <v>0</v>
      </c>
      <c r="J1612" s="2">
        <v>0</v>
      </c>
      <c r="K1612" s="2">
        <v>0</v>
      </c>
      <c r="L1612" s="2">
        <v>0</v>
      </c>
      <c r="M1612" s="2">
        <v>0</v>
      </c>
      <c r="N1612" s="2">
        <v>0</v>
      </c>
      <c r="O1612" s="2">
        <v>0</v>
      </c>
      <c r="P1612" s="2">
        <v>0</v>
      </c>
      <c r="Q1612" s="2">
        <v>0</v>
      </c>
      <c r="R1612" s="2">
        <v>0</v>
      </c>
      <c r="S1612" s="2" t="s">
        <v>488</v>
      </c>
      <c r="T1612" s="2" t="s">
        <v>488</v>
      </c>
      <c r="U1612" s="2">
        <v>0</v>
      </c>
      <c r="V1612" s="2">
        <v>0</v>
      </c>
      <c r="W1612">
        <f t="shared" si="25"/>
        <v>0</v>
      </c>
    </row>
    <row r="1613" spans="1:23" x14ac:dyDescent="0.25">
      <c r="A1613" s="2" t="s">
        <v>628</v>
      </c>
      <c r="B1613" s="2" t="s">
        <v>918</v>
      </c>
      <c r="C1613" s="2">
        <v>540268</v>
      </c>
      <c r="D1613" s="2" t="s">
        <v>806</v>
      </c>
      <c r="E1613" s="2" t="s">
        <v>69</v>
      </c>
      <c r="F1613" s="2" t="s">
        <v>115</v>
      </c>
      <c r="G1613" s="2">
        <v>6</v>
      </c>
      <c r="H1613" s="2">
        <v>0</v>
      </c>
      <c r="I1613" s="2">
        <v>0</v>
      </c>
      <c r="J1613" s="2">
        <v>0</v>
      </c>
      <c r="K1613" s="2">
        <v>0</v>
      </c>
      <c r="L1613" s="2">
        <v>0</v>
      </c>
      <c r="M1613" s="2">
        <v>0</v>
      </c>
      <c r="N1613" s="2">
        <v>0</v>
      </c>
      <c r="O1613" s="2">
        <v>0</v>
      </c>
      <c r="P1613" s="2">
        <v>0</v>
      </c>
      <c r="Q1613" s="2">
        <v>0</v>
      </c>
      <c r="R1613" s="2">
        <v>0</v>
      </c>
      <c r="S1613" s="2" t="s">
        <v>488</v>
      </c>
      <c r="T1613" s="2" t="s">
        <v>488</v>
      </c>
      <c r="U1613" s="2">
        <v>0</v>
      </c>
      <c r="V1613" s="2">
        <v>0</v>
      </c>
      <c r="W1613">
        <f t="shared" si="25"/>
        <v>0</v>
      </c>
    </row>
    <row r="1614" spans="1:23" x14ac:dyDescent="0.25">
      <c r="A1614" s="2" t="s">
        <v>628</v>
      </c>
      <c r="B1614" s="2" t="s">
        <v>918</v>
      </c>
      <c r="C1614" s="2">
        <v>540269</v>
      </c>
      <c r="D1614" s="2" t="s">
        <v>807</v>
      </c>
      <c r="E1614" s="2" t="s">
        <v>69</v>
      </c>
      <c r="F1614" s="2" t="s">
        <v>115</v>
      </c>
      <c r="G1614" s="2">
        <v>6</v>
      </c>
      <c r="H1614" s="2">
        <v>0</v>
      </c>
      <c r="I1614" s="2">
        <v>0</v>
      </c>
      <c r="J1614" s="2">
        <v>0</v>
      </c>
      <c r="K1614" s="2">
        <v>0</v>
      </c>
      <c r="L1614" s="2">
        <v>0</v>
      </c>
      <c r="M1614" s="2">
        <v>0</v>
      </c>
      <c r="N1614" s="2">
        <v>0</v>
      </c>
      <c r="O1614" s="2">
        <v>0</v>
      </c>
      <c r="P1614" s="2">
        <v>0</v>
      </c>
      <c r="Q1614" s="2">
        <v>0</v>
      </c>
      <c r="R1614" s="2">
        <v>0</v>
      </c>
      <c r="S1614" s="2" t="s">
        <v>488</v>
      </c>
      <c r="T1614" s="2" t="s">
        <v>488</v>
      </c>
      <c r="U1614" s="2">
        <v>0</v>
      </c>
      <c r="V1614" s="2">
        <v>0</v>
      </c>
      <c r="W1614">
        <f t="shared" si="25"/>
        <v>0</v>
      </c>
    </row>
    <row r="1615" spans="1:23" x14ac:dyDescent="0.25">
      <c r="A1615" s="2" t="s">
        <v>628</v>
      </c>
      <c r="B1615" s="2" t="s">
        <v>918</v>
      </c>
      <c r="C1615" s="2">
        <v>540270</v>
      </c>
      <c r="D1615" s="2" t="s">
        <v>808</v>
      </c>
      <c r="E1615" s="2" t="s">
        <v>69</v>
      </c>
      <c r="F1615" s="2" t="s">
        <v>115</v>
      </c>
      <c r="G1615" s="2">
        <v>6</v>
      </c>
      <c r="H1615" s="2">
        <v>0</v>
      </c>
      <c r="I1615" s="2">
        <v>0</v>
      </c>
      <c r="J1615" s="2">
        <v>0</v>
      </c>
      <c r="K1615" s="2">
        <v>0</v>
      </c>
      <c r="L1615" s="2">
        <v>0</v>
      </c>
      <c r="M1615" s="2">
        <v>0</v>
      </c>
      <c r="N1615" s="2">
        <v>0</v>
      </c>
      <c r="O1615" s="2">
        <v>0</v>
      </c>
      <c r="P1615" s="2">
        <v>0</v>
      </c>
      <c r="Q1615" s="2">
        <v>0</v>
      </c>
      <c r="R1615" s="2">
        <v>0</v>
      </c>
      <c r="S1615" s="2" t="s">
        <v>488</v>
      </c>
      <c r="T1615" s="2" t="s">
        <v>488</v>
      </c>
      <c r="U1615" s="2">
        <v>0</v>
      </c>
      <c r="V1615" s="2">
        <v>0</v>
      </c>
      <c r="W1615">
        <f t="shared" si="25"/>
        <v>0</v>
      </c>
    </row>
    <row r="1616" spans="1:23" x14ac:dyDescent="0.25">
      <c r="A1616" s="2" t="s">
        <v>628</v>
      </c>
      <c r="B1616" s="2" t="s">
        <v>918</v>
      </c>
      <c r="C1616" s="2">
        <v>540284</v>
      </c>
      <c r="D1616" s="2" t="s">
        <v>809</v>
      </c>
      <c r="E1616" s="2" t="s">
        <v>69</v>
      </c>
      <c r="F1616" s="2" t="s">
        <v>115</v>
      </c>
      <c r="G1616" s="2">
        <v>6</v>
      </c>
      <c r="H1616" s="2">
        <v>0</v>
      </c>
      <c r="I1616" s="2">
        <v>0</v>
      </c>
      <c r="J1616" s="2">
        <v>0</v>
      </c>
      <c r="K1616" s="2">
        <v>0</v>
      </c>
      <c r="L1616" s="2">
        <v>0</v>
      </c>
      <c r="M1616" s="2">
        <v>0</v>
      </c>
      <c r="N1616" s="2">
        <v>0</v>
      </c>
      <c r="O1616" s="2">
        <v>0</v>
      </c>
      <c r="P1616" s="2">
        <v>0</v>
      </c>
      <c r="Q1616" s="2">
        <v>0</v>
      </c>
      <c r="R1616" s="2">
        <v>0</v>
      </c>
      <c r="S1616" s="2" t="s">
        <v>488</v>
      </c>
      <c r="T1616" s="2" t="s">
        <v>488</v>
      </c>
      <c r="U1616" s="2">
        <v>0</v>
      </c>
      <c r="V1616" s="2">
        <v>0</v>
      </c>
      <c r="W1616">
        <f t="shared" si="25"/>
        <v>0</v>
      </c>
    </row>
    <row r="1617" spans="1:23" x14ac:dyDescent="0.25">
      <c r="A1617" s="255" t="s">
        <v>628</v>
      </c>
      <c r="B1617" s="255" t="s">
        <v>918</v>
      </c>
      <c r="C1617" s="255"/>
      <c r="D1617" s="255"/>
      <c r="E1617" s="255" t="s">
        <v>69</v>
      </c>
      <c r="F1617" s="255"/>
      <c r="G1617" s="255"/>
      <c r="H1617" s="255">
        <v>1</v>
      </c>
      <c r="I1617" s="255">
        <v>1</v>
      </c>
      <c r="J1617" s="255">
        <v>0</v>
      </c>
      <c r="K1617" s="255">
        <v>0</v>
      </c>
      <c r="L1617" s="255">
        <v>0</v>
      </c>
      <c r="M1617" s="255">
        <v>1</v>
      </c>
      <c r="N1617" s="255">
        <v>2</v>
      </c>
      <c r="O1617" s="255">
        <v>0</v>
      </c>
      <c r="P1617" s="255">
        <v>0</v>
      </c>
      <c r="Q1617" s="255">
        <v>0</v>
      </c>
      <c r="R1617" s="255">
        <v>0</v>
      </c>
      <c r="S1617" s="255" t="s">
        <v>488</v>
      </c>
      <c r="T1617" s="255" t="s">
        <v>488</v>
      </c>
      <c r="U1617" s="255">
        <v>0</v>
      </c>
      <c r="V1617" s="255">
        <v>0</v>
      </c>
      <c r="W1617">
        <f t="shared" si="25"/>
        <v>2</v>
      </c>
    </row>
    <row r="1618" spans="1:23" x14ac:dyDescent="0.25">
      <c r="A1618" s="2" t="s">
        <v>628</v>
      </c>
      <c r="B1618" s="2" t="s">
        <v>918</v>
      </c>
      <c r="C1618" s="2">
        <v>540164</v>
      </c>
      <c r="D1618" s="2" t="s">
        <v>810</v>
      </c>
      <c r="E1618" s="2" t="s">
        <v>71</v>
      </c>
      <c r="F1618" s="2" t="s">
        <v>5</v>
      </c>
      <c r="G1618" s="2">
        <v>3</v>
      </c>
      <c r="H1618" s="2">
        <v>0</v>
      </c>
      <c r="I1618" s="2">
        <v>0</v>
      </c>
      <c r="J1618" s="2">
        <v>0</v>
      </c>
      <c r="K1618" s="2">
        <v>0</v>
      </c>
      <c r="L1618" s="2">
        <v>0</v>
      </c>
      <c r="M1618" s="2">
        <v>0</v>
      </c>
      <c r="N1618" s="2">
        <v>0</v>
      </c>
      <c r="O1618" s="2">
        <v>0</v>
      </c>
      <c r="P1618" s="2">
        <v>0</v>
      </c>
      <c r="Q1618" s="2">
        <v>0</v>
      </c>
      <c r="R1618" s="2">
        <v>0</v>
      </c>
      <c r="S1618" s="2" t="s">
        <v>488</v>
      </c>
      <c r="T1618" s="2" t="s">
        <v>488</v>
      </c>
      <c r="U1618" s="2">
        <v>1</v>
      </c>
      <c r="V1618" s="2">
        <v>0</v>
      </c>
      <c r="W1618">
        <f t="shared" si="25"/>
        <v>1</v>
      </c>
    </row>
    <row r="1619" spans="1:23" x14ac:dyDescent="0.25">
      <c r="A1619" s="2" t="s">
        <v>628</v>
      </c>
      <c r="B1619" s="2" t="s">
        <v>918</v>
      </c>
      <c r="C1619" s="2">
        <v>540081</v>
      </c>
      <c r="D1619" s="2" t="s">
        <v>711</v>
      </c>
      <c r="E1619" s="2" t="s">
        <v>71</v>
      </c>
      <c r="F1619" s="2" t="s">
        <v>115</v>
      </c>
      <c r="G1619" s="2">
        <v>3</v>
      </c>
      <c r="H1619" s="2">
        <v>0</v>
      </c>
      <c r="I1619" s="2">
        <v>0</v>
      </c>
      <c r="J1619" s="2">
        <v>0</v>
      </c>
      <c r="K1619" s="2">
        <v>0</v>
      </c>
      <c r="L1619" s="2">
        <v>0</v>
      </c>
      <c r="M1619" s="2">
        <v>0</v>
      </c>
      <c r="N1619" s="2">
        <v>0</v>
      </c>
      <c r="O1619" s="2">
        <v>0</v>
      </c>
      <c r="P1619" s="2">
        <v>0</v>
      </c>
      <c r="Q1619" s="2">
        <v>0</v>
      </c>
      <c r="R1619" s="2">
        <v>0</v>
      </c>
      <c r="S1619" s="2" t="s">
        <v>488</v>
      </c>
      <c r="T1619" s="2" t="s">
        <v>488</v>
      </c>
      <c r="U1619" s="2">
        <v>0</v>
      </c>
      <c r="V1619" s="2">
        <v>0</v>
      </c>
      <c r="W1619">
        <f t="shared" si="25"/>
        <v>0</v>
      </c>
    </row>
    <row r="1620" spans="1:23" x14ac:dyDescent="0.25">
      <c r="A1620" s="2" t="s">
        <v>628</v>
      </c>
      <c r="B1620" s="2" t="s">
        <v>918</v>
      </c>
      <c r="C1620" s="2">
        <v>540165</v>
      </c>
      <c r="D1620" s="2" t="s">
        <v>811</v>
      </c>
      <c r="E1620" s="2" t="s">
        <v>71</v>
      </c>
      <c r="F1620" s="2" t="s">
        <v>115</v>
      </c>
      <c r="G1620" s="2">
        <v>3</v>
      </c>
      <c r="H1620" s="2">
        <v>0</v>
      </c>
      <c r="I1620" s="2">
        <v>0</v>
      </c>
      <c r="J1620" s="2">
        <v>0</v>
      </c>
      <c r="K1620" s="2">
        <v>0</v>
      </c>
      <c r="L1620" s="2">
        <v>0</v>
      </c>
      <c r="M1620" s="2">
        <v>0</v>
      </c>
      <c r="N1620" s="2">
        <v>0</v>
      </c>
      <c r="O1620" s="2">
        <v>0</v>
      </c>
      <c r="P1620" s="2">
        <v>0</v>
      </c>
      <c r="Q1620" s="2">
        <v>0</v>
      </c>
      <c r="R1620" s="2">
        <v>0</v>
      </c>
      <c r="S1620" s="2" t="s">
        <v>488</v>
      </c>
      <c r="T1620" s="2" t="s">
        <v>488</v>
      </c>
      <c r="U1620" s="2">
        <v>1</v>
      </c>
      <c r="V1620" s="2">
        <v>0</v>
      </c>
      <c r="W1620">
        <f t="shared" si="25"/>
        <v>1</v>
      </c>
    </row>
    <row r="1621" spans="1:23" x14ac:dyDescent="0.25">
      <c r="A1621" s="2" t="s">
        <v>628</v>
      </c>
      <c r="B1621" s="2" t="s">
        <v>918</v>
      </c>
      <c r="C1621" s="2">
        <v>540166</v>
      </c>
      <c r="D1621" s="2" t="s">
        <v>812</v>
      </c>
      <c r="E1621" s="2" t="s">
        <v>71</v>
      </c>
      <c r="F1621" s="2" t="s">
        <v>115</v>
      </c>
      <c r="G1621" s="2">
        <v>3</v>
      </c>
      <c r="H1621" s="2">
        <v>0</v>
      </c>
      <c r="I1621" s="2">
        <v>0</v>
      </c>
      <c r="J1621" s="2">
        <v>0</v>
      </c>
      <c r="K1621" s="2">
        <v>0</v>
      </c>
      <c r="L1621" s="2">
        <v>0</v>
      </c>
      <c r="M1621" s="2">
        <v>0</v>
      </c>
      <c r="N1621" s="2">
        <v>0</v>
      </c>
      <c r="O1621" s="2">
        <v>0</v>
      </c>
      <c r="P1621" s="2">
        <v>0</v>
      </c>
      <c r="Q1621" s="2">
        <v>0</v>
      </c>
      <c r="R1621" s="2">
        <v>0</v>
      </c>
      <c r="S1621" s="2" t="s">
        <v>488</v>
      </c>
      <c r="T1621" s="2" t="s">
        <v>488</v>
      </c>
      <c r="U1621" s="2">
        <v>1</v>
      </c>
      <c r="V1621" s="2">
        <v>0</v>
      </c>
      <c r="W1621">
        <f t="shared" si="25"/>
        <v>1</v>
      </c>
    </row>
    <row r="1622" spans="1:23" x14ac:dyDescent="0.25">
      <c r="A1622" s="2" t="s">
        <v>628</v>
      </c>
      <c r="B1622" s="2" t="s">
        <v>918</v>
      </c>
      <c r="C1622" s="2">
        <v>540167</v>
      </c>
      <c r="D1622" s="2" t="s">
        <v>813</v>
      </c>
      <c r="E1622" s="2" t="s">
        <v>71</v>
      </c>
      <c r="F1622" s="2" t="s">
        <v>115</v>
      </c>
      <c r="G1622" s="2">
        <v>3</v>
      </c>
      <c r="H1622" s="2">
        <v>0</v>
      </c>
      <c r="I1622" s="2">
        <v>0</v>
      </c>
      <c r="J1622" s="2">
        <v>0</v>
      </c>
      <c r="K1622" s="2">
        <v>0</v>
      </c>
      <c r="L1622" s="2">
        <v>0</v>
      </c>
      <c r="M1622" s="2">
        <v>0</v>
      </c>
      <c r="N1622" s="2">
        <v>0</v>
      </c>
      <c r="O1622" s="2">
        <v>0</v>
      </c>
      <c r="P1622" s="2">
        <v>0</v>
      </c>
      <c r="Q1622" s="2">
        <v>0</v>
      </c>
      <c r="R1622" s="2">
        <v>0</v>
      </c>
      <c r="S1622" s="2" t="s">
        <v>488</v>
      </c>
      <c r="T1622" s="2" t="s">
        <v>488</v>
      </c>
      <c r="U1622" s="2">
        <v>0</v>
      </c>
      <c r="V1622" s="2">
        <v>0</v>
      </c>
      <c r="W1622">
        <f t="shared" si="25"/>
        <v>0</v>
      </c>
    </row>
    <row r="1623" spans="1:23" x14ac:dyDescent="0.25">
      <c r="A1623" s="2" t="s">
        <v>628</v>
      </c>
      <c r="B1623" s="2" t="s">
        <v>918</v>
      </c>
      <c r="C1623" s="2">
        <v>540168</v>
      </c>
      <c r="D1623" s="2" t="s">
        <v>814</v>
      </c>
      <c r="E1623" s="2" t="s">
        <v>71</v>
      </c>
      <c r="F1623" s="2" t="s">
        <v>115</v>
      </c>
      <c r="G1623" s="2">
        <v>3</v>
      </c>
      <c r="H1623" s="2">
        <v>0</v>
      </c>
      <c r="I1623" s="2">
        <v>0</v>
      </c>
      <c r="J1623" s="2">
        <v>0</v>
      </c>
      <c r="K1623" s="2">
        <v>0</v>
      </c>
      <c r="L1623" s="2">
        <v>0</v>
      </c>
      <c r="M1623" s="2">
        <v>0</v>
      </c>
      <c r="N1623" s="2">
        <v>0</v>
      </c>
      <c r="O1623" s="2">
        <v>0</v>
      </c>
      <c r="P1623" s="2">
        <v>0</v>
      </c>
      <c r="Q1623" s="2">
        <v>0</v>
      </c>
      <c r="R1623" s="2">
        <v>0</v>
      </c>
      <c r="S1623" s="2" t="s">
        <v>488</v>
      </c>
      <c r="T1623" s="2" t="s">
        <v>488</v>
      </c>
      <c r="U1623" s="2">
        <v>1</v>
      </c>
      <c r="V1623" s="2">
        <v>0</v>
      </c>
      <c r="W1623">
        <f t="shared" si="25"/>
        <v>1</v>
      </c>
    </row>
    <row r="1624" spans="1:23" x14ac:dyDescent="0.25">
      <c r="A1624" s="2" t="s">
        <v>628</v>
      </c>
      <c r="B1624" s="2" t="s">
        <v>918</v>
      </c>
      <c r="C1624" s="2">
        <v>540222</v>
      </c>
      <c r="D1624" s="2" t="s">
        <v>815</v>
      </c>
      <c r="E1624" s="2" t="s">
        <v>71</v>
      </c>
      <c r="F1624" s="2" t="s">
        <v>115</v>
      </c>
      <c r="G1624" s="2">
        <v>3</v>
      </c>
      <c r="H1624" s="2">
        <v>0</v>
      </c>
      <c r="I1624" s="2">
        <v>0</v>
      </c>
      <c r="J1624" s="2">
        <v>0</v>
      </c>
      <c r="K1624" s="2">
        <v>0</v>
      </c>
      <c r="L1624" s="2">
        <v>0</v>
      </c>
      <c r="M1624" s="2">
        <v>0</v>
      </c>
      <c r="N1624" s="2">
        <v>0</v>
      </c>
      <c r="O1624" s="2">
        <v>0</v>
      </c>
      <c r="P1624" s="2">
        <v>0</v>
      </c>
      <c r="Q1624" s="2">
        <v>0</v>
      </c>
      <c r="R1624" s="2">
        <v>0</v>
      </c>
      <c r="S1624" s="2" t="s">
        <v>488</v>
      </c>
      <c r="T1624" s="2" t="s">
        <v>488</v>
      </c>
      <c r="U1624" s="2">
        <v>0</v>
      </c>
      <c r="V1624" s="2">
        <v>0</v>
      </c>
      <c r="W1624">
        <f t="shared" si="25"/>
        <v>0</v>
      </c>
    </row>
    <row r="1625" spans="1:23" x14ac:dyDescent="0.25">
      <c r="A1625" s="2" t="s">
        <v>628</v>
      </c>
      <c r="B1625" s="2" t="s">
        <v>918</v>
      </c>
      <c r="C1625" s="2">
        <v>540271</v>
      </c>
      <c r="D1625" s="2" t="s">
        <v>816</v>
      </c>
      <c r="E1625" s="2" t="s">
        <v>71</v>
      </c>
      <c r="F1625" s="2" t="s">
        <v>115</v>
      </c>
      <c r="G1625" s="2">
        <v>3</v>
      </c>
      <c r="H1625" s="2">
        <v>0</v>
      </c>
      <c r="I1625" s="2">
        <v>0</v>
      </c>
      <c r="J1625" s="2">
        <v>0</v>
      </c>
      <c r="K1625" s="2">
        <v>0</v>
      </c>
      <c r="L1625" s="2">
        <v>0</v>
      </c>
      <c r="M1625" s="2">
        <v>0</v>
      </c>
      <c r="N1625" s="2">
        <v>0</v>
      </c>
      <c r="O1625" s="2">
        <v>0</v>
      </c>
      <c r="P1625" s="2">
        <v>0</v>
      </c>
      <c r="Q1625" s="2">
        <v>0</v>
      </c>
      <c r="R1625" s="2">
        <v>0</v>
      </c>
      <c r="S1625" s="2" t="s">
        <v>488</v>
      </c>
      <c r="T1625" s="2" t="s">
        <v>488</v>
      </c>
      <c r="U1625" s="2">
        <v>0</v>
      </c>
      <c r="V1625" s="2">
        <v>0</v>
      </c>
      <c r="W1625">
        <f t="shared" si="25"/>
        <v>0</v>
      </c>
    </row>
    <row r="1626" spans="1:23" x14ac:dyDescent="0.25">
      <c r="A1626" s="255" t="s">
        <v>628</v>
      </c>
      <c r="B1626" s="255" t="s">
        <v>918</v>
      </c>
      <c r="C1626" s="255"/>
      <c r="D1626" s="255"/>
      <c r="E1626" s="255" t="s">
        <v>71</v>
      </c>
      <c r="F1626" s="255"/>
      <c r="G1626" s="255"/>
      <c r="H1626" s="255">
        <v>0</v>
      </c>
      <c r="I1626" s="255">
        <v>0</v>
      </c>
      <c r="J1626" s="255">
        <v>0</v>
      </c>
      <c r="K1626" s="255">
        <v>0</v>
      </c>
      <c r="L1626" s="255">
        <v>0</v>
      </c>
      <c r="M1626" s="255">
        <v>0</v>
      </c>
      <c r="N1626" s="255">
        <v>0</v>
      </c>
      <c r="O1626" s="255">
        <v>0</v>
      </c>
      <c r="P1626" s="255">
        <v>0</v>
      </c>
      <c r="Q1626" s="255">
        <v>0</v>
      </c>
      <c r="R1626" s="255">
        <v>0</v>
      </c>
      <c r="S1626" s="255" t="s">
        <v>488</v>
      </c>
      <c r="T1626" s="255" t="s">
        <v>488</v>
      </c>
      <c r="U1626" s="255">
        <v>4</v>
      </c>
      <c r="V1626" s="255">
        <v>0</v>
      </c>
      <c r="W1626">
        <f t="shared" si="25"/>
        <v>4</v>
      </c>
    </row>
    <row r="1627" spans="1:23" x14ac:dyDescent="0.25">
      <c r="A1627" s="2" t="s">
        <v>628</v>
      </c>
      <c r="B1627" s="2" t="s">
        <v>918</v>
      </c>
      <c r="C1627" s="2">
        <v>540169</v>
      </c>
      <c r="D1627" s="2" t="s">
        <v>817</v>
      </c>
      <c r="E1627" s="2" t="s">
        <v>73</v>
      </c>
      <c r="F1627" s="2" t="s">
        <v>5</v>
      </c>
      <c r="G1627" s="2">
        <v>1</v>
      </c>
      <c r="H1627" s="2">
        <v>1</v>
      </c>
      <c r="I1627" s="2">
        <v>1</v>
      </c>
      <c r="J1627" s="2">
        <v>0</v>
      </c>
      <c r="K1627" s="2">
        <v>0</v>
      </c>
      <c r="L1627" s="2">
        <v>0</v>
      </c>
      <c r="M1627" s="2">
        <v>1</v>
      </c>
      <c r="N1627" s="2">
        <v>2</v>
      </c>
      <c r="O1627" s="2">
        <v>0</v>
      </c>
      <c r="P1627" s="2">
        <v>0</v>
      </c>
      <c r="Q1627" s="2">
        <v>1</v>
      </c>
      <c r="R1627" s="2">
        <v>1</v>
      </c>
      <c r="S1627" s="2" t="s">
        <v>488</v>
      </c>
      <c r="T1627" s="2" t="s">
        <v>488</v>
      </c>
      <c r="U1627" s="2">
        <v>0</v>
      </c>
      <c r="V1627" s="2">
        <v>0</v>
      </c>
      <c r="W1627">
        <f t="shared" si="25"/>
        <v>3</v>
      </c>
    </row>
    <row r="1628" spans="1:23" x14ac:dyDescent="0.25">
      <c r="A1628" s="2" t="s">
        <v>628</v>
      </c>
      <c r="B1628" s="2" t="s">
        <v>918</v>
      </c>
      <c r="C1628" s="2">
        <v>540170</v>
      </c>
      <c r="D1628" s="2" t="s">
        <v>818</v>
      </c>
      <c r="E1628" s="2" t="s">
        <v>73</v>
      </c>
      <c r="F1628" s="2" t="s">
        <v>115</v>
      </c>
      <c r="G1628" s="2">
        <v>1</v>
      </c>
      <c r="H1628" s="2">
        <v>0</v>
      </c>
      <c r="I1628" s="2">
        <v>0</v>
      </c>
      <c r="J1628" s="2">
        <v>0</v>
      </c>
      <c r="K1628" s="2">
        <v>0</v>
      </c>
      <c r="L1628" s="2">
        <v>0</v>
      </c>
      <c r="M1628" s="2">
        <v>0</v>
      </c>
      <c r="N1628" s="2">
        <v>0</v>
      </c>
      <c r="O1628" s="2">
        <v>0</v>
      </c>
      <c r="P1628" s="2">
        <v>0</v>
      </c>
      <c r="Q1628" s="2">
        <v>0</v>
      </c>
      <c r="R1628" s="2">
        <v>0</v>
      </c>
      <c r="S1628" s="2" t="s">
        <v>488</v>
      </c>
      <c r="T1628" s="2" t="s">
        <v>488</v>
      </c>
      <c r="U1628" s="2">
        <v>0</v>
      </c>
      <c r="V1628" s="2">
        <v>0</v>
      </c>
      <c r="W1628">
        <f t="shared" si="25"/>
        <v>0</v>
      </c>
    </row>
    <row r="1629" spans="1:23" x14ac:dyDescent="0.25">
      <c r="A1629" s="2" t="s">
        <v>628</v>
      </c>
      <c r="B1629" s="2" t="s">
        <v>918</v>
      </c>
      <c r="C1629" s="2">
        <v>540171</v>
      </c>
      <c r="D1629" s="2" t="s">
        <v>819</v>
      </c>
      <c r="E1629" s="2" t="s">
        <v>73</v>
      </c>
      <c r="F1629" s="2" t="s">
        <v>115</v>
      </c>
      <c r="G1629" s="2">
        <v>1</v>
      </c>
      <c r="H1629" s="2">
        <v>1</v>
      </c>
      <c r="I1629" s="2">
        <v>0</v>
      </c>
      <c r="J1629" s="2">
        <v>0</v>
      </c>
      <c r="K1629" s="2">
        <v>0</v>
      </c>
      <c r="L1629" s="2">
        <v>0</v>
      </c>
      <c r="M1629" s="2">
        <v>0</v>
      </c>
      <c r="N1629" s="2">
        <v>1</v>
      </c>
      <c r="O1629" s="2">
        <v>0</v>
      </c>
      <c r="P1629" s="2">
        <v>0</v>
      </c>
      <c r="Q1629" s="2">
        <v>0</v>
      </c>
      <c r="R1629" s="2">
        <v>0</v>
      </c>
      <c r="S1629" s="2" t="s">
        <v>488</v>
      </c>
      <c r="T1629" s="2" t="s">
        <v>488</v>
      </c>
      <c r="U1629" s="2">
        <v>0</v>
      </c>
      <c r="V1629" s="2">
        <v>0</v>
      </c>
      <c r="W1629">
        <f t="shared" si="25"/>
        <v>1</v>
      </c>
    </row>
    <row r="1630" spans="1:23" x14ac:dyDescent="0.25">
      <c r="A1630" s="2" t="s">
        <v>628</v>
      </c>
      <c r="B1630" s="2" t="s">
        <v>918</v>
      </c>
      <c r="C1630" s="2">
        <v>540173</v>
      </c>
      <c r="D1630" s="2" t="s">
        <v>820</v>
      </c>
      <c r="E1630" s="2" t="s">
        <v>73</v>
      </c>
      <c r="F1630" s="2" t="s">
        <v>115</v>
      </c>
      <c r="G1630" s="2">
        <v>1</v>
      </c>
      <c r="H1630" s="2">
        <v>1</v>
      </c>
      <c r="I1630" s="2">
        <v>0</v>
      </c>
      <c r="J1630" s="2">
        <v>0</v>
      </c>
      <c r="K1630" s="2">
        <v>0</v>
      </c>
      <c r="L1630" s="2">
        <v>0</v>
      </c>
      <c r="M1630" s="2">
        <v>0</v>
      </c>
      <c r="N1630" s="2">
        <v>1</v>
      </c>
      <c r="O1630" s="2">
        <v>0</v>
      </c>
      <c r="P1630" s="2">
        <v>0</v>
      </c>
      <c r="Q1630" s="2">
        <v>0</v>
      </c>
      <c r="R1630" s="2">
        <v>0</v>
      </c>
      <c r="S1630" s="2" t="s">
        <v>488</v>
      </c>
      <c r="T1630" s="2" t="s">
        <v>488</v>
      </c>
      <c r="U1630" s="2">
        <v>0</v>
      </c>
      <c r="V1630" s="2">
        <v>0</v>
      </c>
      <c r="W1630">
        <f t="shared" si="25"/>
        <v>1</v>
      </c>
    </row>
    <row r="1631" spans="1:23" x14ac:dyDescent="0.25">
      <c r="A1631" s="2" t="s">
        <v>628</v>
      </c>
      <c r="B1631" s="2" t="s">
        <v>918</v>
      </c>
      <c r="C1631" s="2">
        <v>540174</v>
      </c>
      <c r="D1631" s="2" t="s">
        <v>821</v>
      </c>
      <c r="E1631" s="2" t="s">
        <v>73</v>
      </c>
      <c r="F1631" s="2" t="s">
        <v>115</v>
      </c>
      <c r="G1631" s="2">
        <v>1</v>
      </c>
      <c r="H1631" s="2">
        <v>1</v>
      </c>
      <c r="I1631" s="2">
        <v>0</v>
      </c>
      <c r="J1631" s="2">
        <v>0</v>
      </c>
      <c r="K1631" s="2">
        <v>0</v>
      </c>
      <c r="L1631" s="2">
        <v>0</v>
      </c>
      <c r="M1631" s="2">
        <v>0</v>
      </c>
      <c r="N1631" s="2">
        <v>1</v>
      </c>
      <c r="O1631" s="2">
        <v>0</v>
      </c>
      <c r="P1631" s="2">
        <v>0</v>
      </c>
      <c r="Q1631" s="2">
        <v>1</v>
      </c>
      <c r="R1631" s="2">
        <v>0</v>
      </c>
      <c r="S1631" s="2" t="s">
        <v>488</v>
      </c>
      <c r="T1631" s="2" t="s">
        <v>488</v>
      </c>
      <c r="U1631" s="2">
        <v>0</v>
      </c>
      <c r="V1631" s="2">
        <v>0</v>
      </c>
      <c r="W1631">
        <f t="shared" si="25"/>
        <v>1</v>
      </c>
    </row>
    <row r="1632" spans="1:23" x14ac:dyDescent="0.25">
      <c r="A1632" s="2" t="s">
        <v>628</v>
      </c>
      <c r="B1632" s="2" t="s">
        <v>918</v>
      </c>
      <c r="C1632" s="2">
        <v>540286</v>
      </c>
      <c r="D1632" s="2" t="s">
        <v>822</v>
      </c>
      <c r="E1632" s="2" t="s">
        <v>73</v>
      </c>
      <c r="F1632" s="2" t="s">
        <v>115</v>
      </c>
      <c r="G1632" s="2">
        <v>1</v>
      </c>
      <c r="H1632" s="2">
        <v>0</v>
      </c>
      <c r="I1632" s="2">
        <v>1</v>
      </c>
      <c r="J1632" s="2">
        <v>0</v>
      </c>
      <c r="K1632" s="2">
        <v>0</v>
      </c>
      <c r="L1632" s="2">
        <v>0</v>
      </c>
      <c r="M1632" s="2">
        <v>1</v>
      </c>
      <c r="N1632" s="2">
        <v>1</v>
      </c>
      <c r="O1632" s="2">
        <v>0</v>
      </c>
      <c r="P1632" s="2">
        <v>0</v>
      </c>
      <c r="Q1632" s="2">
        <v>0</v>
      </c>
      <c r="R1632" s="2">
        <v>0</v>
      </c>
      <c r="S1632" s="2" t="s">
        <v>488</v>
      </c>
      <c r="T1632" s="2" t="s">
        <v>488</v>
      </c>
      <c r="U1632" s="2">
        <v>0</v>
      </c>
      <c r="V1632" s="2">
        <v>0</v>
      </c>
      <c r="W1632">
        <f t="shared" si="25"/>
        <v>1</v>
      </c>
    </row>
    <row r="1633" spans="1:23" x14ac:dyDescent="0.25">
      <c r="A1633" s="255" t="s">
        <v>628</v>
      </c>
      <c r="B1633" s="255" t="s">
        <v>918</v>
      </c>
      <c r="C1633" s="255"/>
      <c r="D1633" s="255"/>
      <c r="E1633" s="255" t="s">
        <v>73</v>
      </c>
      <c r="F1633" s="255"/>
      <c r="G1633" s="255"/>
      <c r="H1633" s="255">
        <v>4</v>
      </c>
      <c r="I1633" s="255">
        <v>2</v>
      </c>
      <c r="J1633" s="255">
        <v>0</v>
      </c>
      <c r="K1633" s="255">
        <v>0</v>
      </c>
      <c r="L1633" s="255">
        <v>0</v>
      </c>
      <c r="M1633" s="255">
        <v>2</v>
      </c>
      <c r="N1633" s="255">
        <v>6</v>
      </c>
      <c r="O1633" s="255">
        <v>0</v>
      </c>
      <c r="P1633" s="255">
        <v>0</v>
      </c>
      <c r="Q1633" s="255">
        <v>2</v>
      </c>
      <c r="R1633" s="255">
        <v>1</v>
      </c>
      <c r="S1633" s="255" t="s">
        <v>488</v>
      </c>
      <c r="T1633" s="255" t="s">
        <v>488</v>
      </c>
      <c r="U1633" s="255">
        <v>0</v>
      </c>
      <c r="V1633" s="255">
        <v>0</v>
      </c>
      <c r="W1633">
        <f t="shared" si="25"/>
        <v>7</v>
      </c>
    </row>
    <row r="1634" spans="1:23" x14ac:dyDescent="0.25">
      <c r="A1634" s="2" t="s">
        <v>628</v>
      </c>
      <c r="B1634" s="2" t="s">
        <v>918</v>
      </c>
      <c r="C1634" s="2">
        <v>540183</v>
      </c>
      <c r="D1634" s="2" t="s">
        <v>823</v>
      </c>
      <c r="E1634" s="2" t="s">
        <v>77</v>
      </c>
      <c r="F1634" s="2" t="s">
        <v>5</v>
      </c>
      <c r="G1634" s="2">
        <v>5</v>
      </c>
      <c r="H1634" s="2">
        <v>0</v>
      </c>
      <c r="I1634" s="2">
        <v>0</v>
      </c>
      <c r="J1634" s="2">
        <v>0</v>
      </c>
      <c r="K1634" s="2">
        <v>0</v>
      </c>
      <c r="L1634" s="2">
        <v>0</v>
      </c>
      <c r="M1634" s="2">
        <v>0</v>
      </c>
      <c r="N1634" s="2">
        <v>0</v>
      </c>
      <c r="O1634" s="2">
        <v>0</v>
      </c>
      <c r="P1634" s="2">
        <v>0</v>
      </c>
      <c r="Q1634" s="2">
        <v>0</v>
      </c>
      <c r="R1634" s="2">
        <v>0</v>
      </c>
      <c r="S1634" s="2" t="s">
        <v>488</v>
      </c>
      <c r="T1634" s="2" t="s">
        <v>488</v>
      </c>
      <c r="U1634" s="2">
        <v>0</v>
      </c>
      <c r="V1634" s="2">
        <v>0</v>
      </c>
      <c r="W1634">
        <f t="shared" si="25"/>
        <v>0</v>
      </c>
    </row>
    <row r="1635" spans="1:23" x14ac:dyDescent="0.25">
      <c r="A1635" s="2" t="s">
        <v>628</v>
      </c>
      <c r="B1635" s="2" t="s">
        <v>918</v>
      </c>
      <c r="C1635" s="2">
        <v>540184</v>
      </c>
      <c r="D1635" s="2" t="s">
        <v>824</v>
      </c>
      <c r="E1635" s="2" t="s">
        <v>77</v>
      </c>
      <c r="F1635" s="2" t="s">
        <v>115</v>
      </c>
      <c r="G1635" s="2">
        <v>5</v>
      </c>
      <c r="H1635" s="2">
        <v>0</v>
      </c>
      <c r="I1635" s="2">
        <v>1</v>
      </c>
      <c r="J1635" s="2">
        <v>0</v>
      </c>
      <c r="K1635" s="2">
        <v>0</v>
      </c>
      <c r="L1635" s="2">
        <v>0</v>
      </c>
      <c r="M1635" s="2">
        <v>1</v>
      </c>
      <c r="N1635" s="2">
        <v>1</v>
      </c>
      <c r="O1635" s="2">
        <v>0</v>
      </c>
      <c r="P1635" s="2">
        <v>0</v>
      </c>
      <c r="Q1635" s="2">
        <v>0</v>
      </c>
      <c r="R1635" s="2">
        <v>0</v>
      </c>
      <c r="S1635" s="2" t="s">
        <v>488</v>
      </c>
      <c r="T1635" s="2" t="s">
        <v>488</v>
      </c>
      <c r="U1635" s="2">
        <v>0</v>
      </c>
      <c r="V1635" s="2">
        <v>0</v>
      </c>
      <c r="W1635">
        <f t="shared" si="25"/>
        <v>1</v>
      </c>
    </row>
    <row r="1636" spans="1:23" x14ac:dyDescent="0.25">
      <c r="A1636" s="2" t="s">
        <v>628</v>
      </c>
      <c r="B1636" s="2" t="s">
        <v>918</v>
      </c>
      <c r="C1636" s="2">
        <v>540185</v>
      </c>
      <c r="D1636" s="2" t="s">
        <v>825</v>
      </c>
      <c r="E1636" s="2" t="s">
        <v>77</v>
      </c>
      <c r="F1636" s="2" t="s">
        <v>115</v>
      </c>
      <c r="G1636" s="2">
        <v>5</v>
      </c>
      <c r="H1636" s="2">
        <v>0</v>
      </c>
      <c r="I1636" s="2">
        <v>0</v>
      </c>
      <c r="J1636" s="2">
        <v>0</v>
      </c>
      <c r="K1636" s="2">
        <v>0</v>
      </c>
      <c r="L1636" s="2">
        <v>0</v>
      </c>
      <c r="M1636" s="2">
        <v>0</v>
      </c>
      <c r="N1636" s="2">
        <v>0</v>
      </c>
      <c r="O1636" s="2">
        <v>0</v>
      </c>
      <c r="P1636" s="2">
        <v>0</v>
      </c>
      <c r="Q1636" s="2">
        <v>0</v>
      </c>
      <c r="R1636" s="2">
        <v>0</v>
      </c>
      <c r="S1636" s="2" t="s">
        <v>488</v>
      </c>
      <c r="T1636" s="2" t="s">
        <v>488</v>
      </c>
      <c r="U1636" s="2">
        <v>0</v>
      </c>
      <c r="V1636" s="2">
        <v>0</v>
      </c>
      <c r="W1636">
        <f t="shared" si="25"/>
        <v>0</v>
      </c>
    </row>
    <row r="1637" spans="1:23" x14ac:dyDescent="0.25">
      <c r="A1637" s="255" t="s">
        <v>628</v>
      </c>
      <c r="B1637" s="255" t="s">
        <v>918</v>
      </c>
      <c r="C1637" s="255"/>
      <c r="D1637" s="255"/>
      <c r="E1637" s="255" t="s">
        <v>77</v>
      </c>
      <c r="F1637" s="255"/>
      <c r="G1637" s="255"/>
      <c r="H1637" s="255">
        <v>0</v>
      </c>
      <c r="I1637" s="255">
        <v>1</v>
      </c>
      <c r="J1637" s="255">
        <v>0</v>
      </c>
      <c r="K1637" s="255">
        <v>0</v>
      </c>
      <c r="L1637" s="255">
        <v>0</v>
      </c>
      <c r="M1637" s="255">
        <v>1</v>
      </c>
      <c r="N1637" s="255">
        <v>1</v>
      </c>
      <c r="O1637" s="255">
        <v>0</v>
      </c>
      <c r="P1637" s="255">
        <v>0</v>
      </c>
      <c r="Q1637" s="255">
        <v>0</v>
      </c>
      <c r="R1637" s="255">
        <v>0</v>
      </c>
      <c r="S1637" s="255" t="s">
        <v>488</v>
      </c>
      <c r="T1637" s="255" t="s">
        <v>488</v>
      </c>
      <c r="U1637" s="255">
        <v>0</v>
      </c>
      <c r="V1637" s="255">
        <v>0</v>
      </c>
      <c r="W1637">
        <f t="shared" si="25"/>
        <v>1</v>
      </c>
    </row>
    <row r="1638" spans="1:23" x14ac:dyDescent="0.25">
      <c r="A1638" s="2" t="s">
        <v>628</v>
      </c>
      <c r="B1638" s="2" t="s">
        <v>918</v>
      </c>
      <c r="C1638" s="2">
        <v>540186</v>
      </c>
      <c r="D1638" s="2" t="s">
        <v>826</v>
      </c>
      <c r="E1638" s="2" t="s">
        <v>79</v>
      </c>
      <c r="F1638" s="2" t="s">
        <v>5</v>
      </c>
      <c r="G1638" s="2">
        <v>1</v>
      </c>
      <c r="H1638" s="2">
        <v>0</v>
      </c>
      <c r="I1638" s="2">
        <v>0</v>
      </c>
      <c r="J1638" s="2">
        <v>0</v>
      </c>
      <c r="K1638" s="2">
        <v>0</v>
      </c>
      <c r="L1638" s="2">
        <v>0</v>
      </c>
      <c r="M1638" s="2">
        <v>0</v>
      </c>
      <c r="N1638" s="2">
        <v>0</v>
      </c>
      <c r="O1638" s="2">
        <v>0</v>
      </c>
      <c r="P1638" s="2">
        <v>0</v>
      </c>
      <c r="Q1638" s="2">
        <v>0</v>
      </c>
      <c r="R1638" s="2">
        <v>0</v>
      </c>
      <c r="S1638" s="2" t="s">
        <v>488</v>
      </c>
      <c r="T1638" s="2" t="s">
        <v>488</v>
      </c>
      <c r="U1638" s="2">
        <v>1</v>
      </c>
      <c r="V1638" s="2">
        <v>0</v>
      </c>
      <c r="W1638">
        <f t="shared" si="25"/>
        <v>1</v>
      </c>
    </row>
    <row r="1639" spans="1:23" x14ac:dyDescent="0.25">
      <c r="A1639" s="2" t="s">
        <v>628</v>
      </c>
      <c r="B1639" s="2" t="s">
        <v>918</v>
      </c>
      <c r="C1639" s="2">
        <v>540187</v>
      </c>
      <c r="D1639" s="2" t="s">
        <v>827</v>
      </c>
      <c r="E1639" s="2" t="s">
        <v>79</v>
      </c>
      <c r="F1639" s="2" t="s">
        <v>115</v>
      </c>
      <c r="G1639" s="2">
        <v>1</v>
      </c>
      <c r="H1639" s="2">
        <v>0</v>
      </c>
      <c r="I1639" s="2">
        <v>0</v>
      </c>
      <c r="J1639" s="2">
        <v>0</v>
      </c>
      <c r="K1639" s="2">
        <v>0</v>
      </c>
      <c r="L1639" s="2">
        <v>0</v>
      </c>
      <c r="M1639" s="2">
        <v>0</v>
      </c>
      <c r="N1639" s="2">
        <v>0</v>
      </c>
      <c r="O1639" s="2">
        <v>0</v>
      </c>
      <c r="P1639" s="2">
        <v>0</v>
      </c>
      <c r="Q1639" s="2">
        <v>0</v>
      </c>
      <c r="R1639" s="2">
        <v>0</v>
      </c>
      <c r="S1639" s="2" t="s">
        <v>488</v>
      </c>
      <c r="T1639" s="2" t="s">
        <v>488</v>
      </c>
      <c r="U1639" s="2">
        <v>0</v>
      </c>
      <c r="V1639" s="2">
        <v>0</v>
      </c>
      <c r="W1639">
        <f t="shared" si="25"/>
        <v>0</v>
      </c>
    </row>
    <row r="1640" spans="1:23" x14ac:dyDescent="0.25">
      <c r="A1640" s="255" t="s">
        <v>628</v>
      </c>
      <c r="B1640" s="255" t="s">
        <v>918</v>
      </c>
      <c r="C1640" s="255"/>
      <c r="D1640" s="255"/>
      <c r="E1640" s="255" t="s">
        <v>79</v>
      </c>
      <c r="F1640" s="255"/>
      <c r="G1640" s="255"/>
      <c r="H1640" s="255">
        <v>0</v>
      </c>
      <c r="I1640" s="255">
        <v>0</v>
      </c>
      <c r="J1640" s="255">
        <v>0</v>
      </c>
      <c r="K1640" s="255">
        <v>0</v>
      </c>
      <c r="L1640" s="255">
        <v>0</v>
      </c>
      <c r="M1640" s="255">
        <v>0</v>
      </c>
      <c r="N1640" s="255">
        <v>0</v>
      </c>
      <c r="O1640" s="255">
        <v>0</v>
      </c>
      <c r="P1640" s="255">
        <v>0</v>
      </c>
      <c r="Q1640" s="255">
        <v>0</v>
      </c>
      <c r="R1640" s="255">
        <v>0</v>
      </c>
      <c r="S1640" s="255" t="s">
        <v>488</v>
      </c>
      <c r="T1640" s="255" t="s">
        <v>488</v>
      </c>
      <c r="U1640" s="255">
        <v>1</v>
      </c>
      <c r="V1640" s="255">
        <v>0</v>
      </c>
      <c r="W1640">
        <f t="shared" si="25"/>
        <v>1</v>
      </c>
    </row>
    <row r="1641" spans="1:23" x14ac:dyDescent="0.25">
      <c r="A1641" s="2" t="s">
        <v>628</v>
      </c>
      <c r="B1641" s="2" t="s">
        <v>918</v>
      </c>
      <c r="C1641" s="2">
        <v>540188</v>
      </c>
      <c r="D1641" s="2" t="s">
        <v>828</v>
      </c>
      <c r="E1641" s="2" t="s">
        <v>81</v>
      </c>
      <c r="F1641" s="2" t="s">
        <v>5</v>
      </c>
      <c r="G1641" s="2">
        <v>6</v>
      </c>
      <c r="H1641" s="2">
        <v>0</v>
      </c>
      <c r="I1641" s="2">
        <v>0</v>
      </c>
      <c r="J1641" s="2">
        <v>0</v>
      </c>
      <c r="K1641" s="2">
        <v>0</v>
      </c>
      <c r="L1641" s="2">
        <v>0</v>
      </c>
      <c r="M1641" s="2">
        <v>0</v>
      </c>
      <c r="N1641" s="2">
        <v>0</v>
      </c>
      <c r="O1641" s="2">
        <v>0</v>
      </c>
      <c r="P1641" s="2">
        <v>0</v>
      </c>
      <c r="Q1641" s="2">
        <v>0</v>
      </c>
      <c r="R1641" s="2">
        <v>1</v>
      </c>
      <c r="S1641" s="2" t="s">
        <v>488</v>
      </c>
      <c r="T1641" s="2" t="s">
        <v>488</v>
      </c>
      <c r="U1641" s="2">
        <v>0</v>
      </c>
      <c r="V1641" s="2">
        <v>0</v>
      </c>
      <c r="W1641">
        <f t="shared" si="25"/>
        <v>1</v>
      </c>
    </row>
    <row r="1642" spans="1:23" x14ac:dyDescent="0.25">
      <c r="A1642" s="2" t="s">
        <v>628</v>
      </c>
      <c r="B1642" s="2" t="s">
        <v>918</v>
      </c>
      <c r="C1642" s="2">
        <v>540189</v>
      </c>
      <c r="D1642" s="2" t="s">
        <v>829</v>
      </c>
      <c r="E1642" s="2" t="s">
        <v>81</v>
      </c>
      <c r="F1642" s="2" t="s">
        <v>115</v>
      </c>
      <c r="G1642" s="2">
        <v>6</v>
      </c>
      <c r="H1642" s="2">
        <v>0</v>
      </c>
      <c r="I1642" s="2">
        <v>0</v>
      </c>
      <c r="J1642" s="2">
        <v>0</v>
      </c>
      <c r="K1642" s="2">
        <v>0</v>
      </c>
      <c r="L1642" s="2">
        <v>0</v>
      </c>
      <c r="M1642" s="2">
        <v>0</v>
      </c>
      <c r="N1642" s="2">
        <v>0</v>
      </c>
      <c r="O1642" s="2">
        <v>0</v>
      </c>
      <c r="P1642" s="2">
        <v>0</v>
      </c>
      <c r="Q1642" s="2">
        <v>0</v>
      </c>
      <c r="R1642" s="2">
        <v>0</v>
      </c>
      <c r="S1642" s="2" t="s">
        <v>488</v>
      </c>
      <c r="T1642" s="2" t="s">
        <v>488</v>
      </c>
      <c r="U1642" s="2">
        <v>0</v>
      </c>
      <c r="V1642" s="2">
        <v>0</v>
      </c>
      <c r="W1642">
        <f t="shared" si="25"/>
        <v>0</v>
      </c>
    </row>
    <row r="1643" spans="1:23" x14ac:dyDescent="0.25">
      <c r="A1643" s="2" t="s">
        <v>628</v>
      </c>
      <c r="B1643" s="2" t="s">
        <v>918</v>
      </c>
      <c r="C1643" s="2">
        <v>540190</v>
      </c>
      <c r="D1643" s="2" t="s">
        <v>830</v>
      </c>
      <c r="E1643" s="2" t="s">
        <v>81</v>
      </c>
      <c r="F1643" s="2" t="s">
        <v>115</v>
      </c>
      <c r="G1643" s="2">
        <v>6</v>
      </c>
      <c r="H1643" s="2">
        <v>0</v>
      </c>
      <c r="I1643" s="2">
        <v>0</v>
      </c>
      <c r="J1643" s="2">
        <v>0</v>
      </c>
      <c r="K1643" s="2">
        <v>0</v>
      </c>
      <c r="L1643" s="2">
        <v>0</v>
      </c>
      <c r="M1643" s="2">
        <v>0</v>
      </c>
      <c r="N1643" s="2">
        <v>0</v>
      </c>
      <c r="O1643" s="2">
        <v>0</v>
      </c>
      <c r="P1643" s="2">
        <v>0</v>
      </c>
      <c r="Q1643" s="2">
        <v>0</v>
      </c>
      <c r="R1643" s="2">
        <v>0</v>
      </c>
      <c r="S1643" s="2" t="s">
        <v>488</v>
      </c>
      <c r="T1643" s="2" t="s">
        <v>488</v>
      </c>
      <c r="U1643" s="2">
        <v>0</v>
      </c>
      <c r="V1643" s="2">
        <v>0</v>
      </c>
      <c r="W1643">
        <f t="shared" si="25"/>
        <v>0</v>
      </c>
    </row>
    <row r="1644" spans="1:23" x14ac:dyDescent="0.25">
      <c r="A1644" s="255" t="s">
        <v>628</v>
      </c>
      <c r="B1644" s="255" t="s">
        <v>918</v>
      </c>
      <c r="C1644" s="255"/>
      <c r="D1644" s="255"/>
      <c r="E1644" s="255" t="s">
        <v>81</v>
      </c>
      <c r="F1644" s="255"/>
      <c r="G1644" s="255"/>
      <c r="H1644" s="255">
        <v>0</v>
      </c>
      <c r="I1644" s="255">
        <v>0</v>
      </c>
      <c r="J1644" s="255">
        <v>0</v>
      </c>
      <c r="K1644" s="255">
        <v>0</v>
      </c>
      <c r="L1644" s="255">
        <v>0</v>
      </c>
      <c r="M1644" s="255">
        <v>0</v>
      </c>
      <c r="N1644" s="255">
        <v>0</v>
      </c>
      <c r="O1644" s="255">
        <v>0</v>
      </c>
      <c r="P1644" s="255">
        <v>0</v>
      </c>
      <c r="Q1644" s="255">
        <v>0</v>
      </c>
      <c r="R1644" s="255">
        <v>1</v>
      </c>
      <c r="S1644" s="255" t="s">
        <v>488</v>
      </c>
      <c r="T1644" s="255" t="s">
        <v>488</v>
      </c>
      <c r="U1644" s="255">
        <v>0</v>
      </c>
      <c r="V1644" s="255">
        <v>0</v>
      </c>
      <c r="W1644">
        <f t="shared" si="25"/>
        <v>1</v>
      </c>
    </row>
    <row r="1645" spans="1:23" x14ac:dyDescent="0.25">
      <c r="A1645" s="2" t="s">
        <v>628</v>
      </c>
      <c r="B1645" s="2" t="s">
        <v>918</v>
      </c>
      <c r="C1645" s="2">
        <v>540198</v>
      </c>
      <c r="D1645" s="2" t="s">
        <v>831</v>
      </c>
      <c r="E1645" s="2" t="s">
        <v>83</v>
      </c>
      <c r="F1645" s="2" t="s">
        <v>5</v>
      </c>
      <c r="G1645" s="2">
        <v>7</v>
      </c>
      <c r="H1645" s="2">
        <v>1</v>
      </c>
      <c r="I1645" s="2">
        <v>0</v>
      </c>
      <c r="J1645" s="2">
        <v>0</v>
      </c>
      <c r="K1645" s="2">
        <v>0</v>
      </c>
      <c r="L1645" s="2">
        <v>0</v>
      </c>
      <c r="M1645" s="2">
        <v>0</v>
      </c>
      <c r="N1645" s="2">
        <v>1</v>
      </c>
      <c r="O1645" s="2">
        <v>0</v>
      </c>
      <c r="P1645" s="2">
        <v>0</v>
      </c>
      <c r="Q1645" s="2" t="s">
        <v>488</v>
      </c>
      <c r="R1645" s="2" t="s">
        <v>488</v>
      </c>
      <c r="S1645" s="2" t="s">
        <v>488</v>
      </c>
      <c r="T1645" s="2" t="s">
        <v>488</v>
      </c>
      <c r="U1645" s="2">
        <v>0</v>
      </c>
      <c r="V1645" s="2">
        <v>0</v>
      </c>
      <c r="W1645">
        <f t="shared" si="25"/>
        <v>1</v>
      </c>
    </row>
    <row r="1646" spans="1:23" x14ac:dyDescent="0.25">
      <c r="A1646" s="2" t="s">
        <v>628</v>
      </c>
      <c r="B1646" s="2" t="s">
        <v>918</v>
      </c>
      <c r="C1646" s="2">
        <v>540199</v>
      </c>
      <c r="D1646" s="2" t="s">
        <v>832</v>
      </c>
      <c r="E1646" s="2" t="s">
        <v>83</v>
      </c>
      <c r="F1646" s="2" t="s">
        <v>115</v>
      </c>
      <c r="G1646" s="2">
        <v>7</v>
      </c>
      <c r="H1646" s="2">
        <v>0</v>
      </c>
      <c r="I1646" s="2">
        <v>1</v>
      </c>
      <c r="J1646" s="2">
        <v>0</v>
      </c>
      <c r="K1646" s="2">
        <v>0</v>
      </c>
      <c r="L1646" s="2">
        <v>0</v>
      </c>
      <c r="M1646" s="2">
        <v>1</v>
      </c>
      <c r="N1646" s="2">
        <v>1</v>
      </c>
      <c r="O1646" s="2">
        <v>0</v>
      </c>
      <c r="P1646" s="2">
        <v>0</v>
      </c>
      <c r="Q1646" s="2" t="s">
        <v>488</v>
      </c>
      <c r="R1646" s="2" t="s">
        <v>488</v>
      </c>
      <c r="S1646" s="2" t="s">
        <v>488</v>
      </c>
      <c r="T1646" s="2" t="s">
        <v>488</v>
      </c>
      <c r="U1646" s="2">
        <v>0</v>
      </c>
      <c r="V1646" s="2">
        <v>0</v>
      </c>
      <c r="W1646">
        <f t="shared" si="25"/>
        <v>1</v>
      </c>
    </row>
    <row r="1647" spans="1:23" x14ac:dyDescent="0.25">
      <c r="A1647" s="255" t="s">
        <v>628</v>
      </c>
      <c r="B1647" s="255" t="s">
        <v>918</v>
      </c>
      <c r="C1647" s="255"/>
      <c r="D1647" s="255"/>
      <c r="E1647" s="255" t="s">
        <v>83</v>
      </c>
      <c r="F1647" s="255"/>
      <c r="G1647" s="255"/>
      <c r="H1647" s="255">
        <v>1</v>
      </c>
      <c r="I1647" s="255">
        <v>1</v>
      </c>
      <c r="J1647" s="255">
        <v>0</v>
      </c>
      <c r="K1647" s="255">
        <v>0</v>
      </c>
      <c r="L1647" s="255">
        <v>0</v>
      </c>
      <c r="M1647" s="255">
        <v>1</v>
      </c>
      <c r="N1647" s="255">
        <v>2</v>
      </c>
      <c r="O1647" s="255">
        <v>0</v>
      </c>
      <c r="P1647" s="255">
        <v>0</v>
      </c>
      <c r="Q1647" s="255" t="s">
        <v>488</v>
      </c>
      <c r="R1647" s="255" t="s">
        <v>488</v>
      </c>
      <c r="S1647" s="255" t="s">
        <v>488</v>
      </c>
      <c r="T1647" s="255" t="s">
        <v>488</v>
      </c>
      <c r="U1647" s="255">
        <v>0</v>
      </c>
      <c r="V1647" s="255">
        <v>0</v>
      </c>
      <c r="W1647">
        <f t="shared" si="25"/>
        <v>2</v>
      </c>
    </row>
    <row r="1648" spans="1:23" x14ac:dyDescent="0.25">
      <c r="A1648" s="2" t="s">
        <v>628</v>
      </c>
      <c r="B1648" s="2" t="s">
        <v>918</v>
      </c>
      <c r="C1648" s="2">
        <v>540200</v>
      </c>
      <c r="D1648" s="2" t="s">
        <v>833</v>
      </c>
      <c r="E1648" s="2" t="s">
        <v>85</v>
      </c>
      <c r="F1648" s="2" t="s">
        <v>5</v>
      </c>
      <c r="G1648" s="2">
        <v>2</v>
      </c>
      <c r="H1648" s="2">
        <v>1</v>
      </c>
      <c r="I1648" s="2">
        <v>1</v>
      </c>
      <c r="J1648" s="2">
        <v>0</v>
      </c>
      <c r="K1648" s="2">
        <v>0</v>
      </c>
      <c r="L1648" s="2">
        <v>0</v>
      </c>
      <c r="M1648" s="2">
        <v>1</v>
      </c>
      <c r="N1648" s="2">
        <v>2</v>
      </c>
      <c r="O1648" s="2">
        <v>0</v>
      </c>
      <c r="P1648" s="2">
        <v>0</v>
      </c>
      <c r="Q1648" s="2">
        <v>0</v>
      </c>
      <c r="R1648" s="2">
        <v>0</v>
      </c>
      <c r="S1648" s="2" t="s">
        <v>488</v>
      </c>
      <c r="T1648" s="2" t="s">
        <v>488</v>
      </c>
      <c r="U1648" s="2">
        <v>0</v>
      </c>
      <c r="V1648" s="2">
        <v>0</v>
      </c>
      <c r="W1648">
        <f t="shared" si="25"/>
        <v>2</v>
      </c>
    </row>
    <row r="1649" spans="1:23" x14ac:dyDescent="0.25">
      <c r="A1649" s="2" t="s">
        <v>628</v>
      </c>
      <c r="B1649" s="2" t="s">
        <v>918</v>
      </c>
      <c r="C1649" s="2">
        <v>540018</v>
      </c>
      <c r="D1649" s="2" t="s">
        <v>651</v>
      </c>
      <c r="E1649" s="2" t="s">
        <v>85</v>
      </c>
      <c r="F1649" s="2" t="s">
        <v>115</v>
      </c>
      <c r="G1649" s="2">
        <v>2</v>
      </c>
      <c r="H1649" s="2">
        <v>0</v>
      </c>
      <c r="I1649" s="2">
        <v>0</v>
      </c>
      <c r="J1649" s="2">
        <v>0</v>
      </c>
      <c r="K1649" s="2">
        <v>0</v>
      </c>
      <c r="L1649" s="2">
        <v>0</v>
      </c>
      <c r="M1649" s="2">
        <v>0</v>
      </c>
      <c r="N1649" s="2">
        <v>0</v>
      </c>
      <c r="O1649" s="2">
        <v>0</v>
      </c>
      <c r="P1649" s="2">
        <v>0</v>
      </c>
      <c r="Q1649" s="2">
        <v>0</v>
      </c>
      <c r="R1649" s="2">
        <v>0</v>
      </c>
      <c r="S1649" s="2" t="s">
        <v>488</v>
      </c>
      <c r="T1649" s="2" t="s">
        <v>488</v>
      </c>
      <c r="U1649" s="2">
        <v>0</v>
      </c>
      <c r="V1649" s="2">
        <v>1</v>
      </c>
      <c r="W1649">
        <f t="shared" si="25"/>
        <v>1</v>
      </c>
    </row>
    <row r="1650" spans="1:23" x14ac:dyDescent="0.25">
      <c r="A1650" s="2" t="s">
        <v>628</v>
      </c>
      <c r="B1650" s="2" t="s">
        <v>918</v>
      </c>
      <c r="C1650" s="2">
        <v>540202</v>
      </c>
      <c r="D1650" s="2" t="s">
        <v>834</v>
      </c>
      <c r="E1650" s="2" t="s">
        <v>85</v>
      </c>
      <c r="F1650" s="2" t="s">
        <v>115</v>
      </c>
      <c r="G1650" s="2">
        <v>2</v>
      </c>
      <c r="H1650" s="2">
        <v>0</v>
      </c>
      <c r="I1650" s="2">
        <v>0</v>
      </c>
      <c r="J1650" s="2">
        <v>0</v>
      </c>
      <c r="K1650" s="2">
        <v>0</v>
      </c>
      <c r="L1650" s="2">
        <v>0</v>
      </c>
      <c r="M1650" s="2">
        <v>0</v>
      </c>
      <c r="N1650" s="2">
        <v>0</v>
      </c>
      <c r="O1650" s="2">
        <v>0</v>
      </c>
      <c r="P1650" s="2">
        <v>0</v>
      </c>
      <c r="Q1650" s="2">
        <v>0</v>
      </c>
      <c r="R1650" s="2">
        <v>0</v>
      </c>
      <c r="S1650" s="2" t="s">
        <v>488</v>
      </c>
      <c r="T1650" s="2" t="s">
        <v>488</v>
      </c>
      <c r="U1650" s="2">
        <v>1</v>
      </c>
      <c r="V1650" s="2">
        <v>0</v>
      </c>
      <c r="W1650">
        <f t="shared" si="25"/>
        <v>1</v>
      </c>
    </row>
    <row r="1651" spans="1:23" x14ac:dyDescent="0.25">
      <c r="A1651" s="2" t="s">
        <v>628</v>
      </c>
      <c r="B1651" s="2" t="s">
        <v>918</v>
      </c>
      <c r="C1651" s="2">
        <v>540221</v>
      </c>
      <c r="D1651" s="2" t="s">
        <v>835</v>
      </c>
      <c r="E1651" s="2" t="s">
        <v>85</v>
      </c>
      <c r="F1651" s="2" t="s">
        <v>115</v>
      </c>
      <c r="G1651" s="2">
        <v>2</v>
      </c>
      <c r="H1651" s="2">
        <v>0</v>
      </c>
      <c r="I1651" s="2">
        <v>0</v>
      </c>
      <c r="J1651" s="2">
        <v>0</v>
      </c>
      <c r="K1651" s="2">
        <v>0</v>
      </c>
      <c r="L1651" s="2">
        <v>0</v>
      </c>
      <c r="M1651" s="2">
        <v>0</v>
      </c>
      <c r="N1651" s="2">
        <v>0</v>
      </c>
      <c r="O1651" s="2">
        <v>0</v>
      </c>
      <c r="P1651" s="2">
        <v>0</v>
      </c>
      <c r="Q1651" s="2">
        <v>0</v>
      </c>
      <c r="R1651" s="2">
        <v>0</v>
      </c>
      <c r="S1651" s="2" t="s">
        <v>488</v>
      </c>
      <c r="T1651" s="2" t="s">
        <v>488</v>
      </c>
      <c r="U1651" s="2">
        <v>0</v>
      </c>
      <c r="V1651" s="2">
        <v>0</v>
      </c>
      <c r="W1651">
        <f t="shared" si="25"/>
        <v>0</v>
      </c>
    </row>
    <row r="1652" spans="1:23" x14ac:dyDescent="0.25">
      <c r="A1652" s="2" t="s">
        <v>628</v>
      </c>
      <c r="B1652" s="2" t="s">
        <v>918</v>
      </c>
      <c r="C1652" s="2">
        <v>540231</v>
      </c>
      <c r="D1652" s="2" t="s">
        <v>836</v>
      </c>
      <c r="E1652" s="2" t="s">
        <v>85</v>
      </c>
      <c r="F1652" s="2" t="s">
        <v>115</v>
      </c>
      <c r="G1652" s="2">
        <v>2</v>
      </c>
      <c r="H1652" s="2">
        <v>0</v>
      </c>
      <c r="I1652" s="2">
        <v>1</v>
      </c>
      <c r="J1652" s="2">
        <v>0</v>
      </c>
      <c r="K1652" s="2">
        <v>0</v>
      </c>
      <c r="L1652" s="2">
        <v>0</v>
      </c>
      <c r="M1652" s="2">
        <v>1</v>
      </c>
      <c r="N1652" s="2">
        <v>1</v>
      </c>
      <c r="O1652" s="2">
        <v>0</v>
      </c>
      <c r="P1652" s="2">
        <v>0</v>
      </c>
      <c r="Q1652" s="2">
        <v>0</v>
      </c>
      <c r="R1652" s="2">
        <v>0</v>
      </c>
      <c r="S1652" s="2" t="s">
        <v>488</v>
      </c>
      <c r="T1652" s="2" t="s">
        <v>488</v>
      </c>
      <c r="U1652" s="2">
        <v>0</v>
      </c>
      <c r="V1652" s="2">
        <v>0</v>
      </c>
      <c r="W1652">
        <f t="shared" si="25"/>
        <v>1</v>
      </c>
    </row>
    <row r="1653" spans="1:23" x14ac:dyDescent="0.25">
      <c r="A1653" s="2" t="s">
        <v>628</v>
      </c>
      <c r="B1653" s="2" t="s">
        <v>918</v>
      </c>
      <c r="C1653" s="2">
        <v>540232</v>
      </c>
      <c r="D1653" s="2" t="s">
        <v>837</v>
      </c>
      <c r="E1653" s="2" t="s">
        <v>85</v>
      </c>
      <c r="F1653" s="2" t="s">
        <v>115</v>
      </c>
      <c r="G1653" s="2">
        <v>2</v>
      </c>
      <c r="H1653" s="2">
        <v>0</v>
      </c>
      <c r="I1653" s="2">
        <v>0</v>
      </c>
      <c r="J1653" s="2">
        <v>0</v>
      </c>
      <c r="K1653" s="2">
        <v>0</v>
      </c>
      <c r="L1653" s="2">
        <v>0</v>
      </c>
      <c r="M1653" s="2">
        <v>0</v>
      </c>
      <c r="N1653" s="2">
        <v>0</v>
      </c>
      <c r="O1653" s="2">
        <v>0</v>
      </c>
      <c r="P1653" s="2">
        <v>0</v>
      </c>
      <c r="Q1653" s="2">
        <v>0</v>
      </c>
      <c r="R1653" s="2">
        <v>0</v>
      </c>
      <c r="S1653" s="2" t="s">
        <v>488</v>
      </c>
      <c r="T1653" s="2" t="s">
        <v>488</v>
      </c>
      <c r="U1653" s="2">
        <v>0</v>
      </c>
      <c r="V1653" s="2">
        <v>1</v>
      </c>
      <c r="W1653">
        <f t="shared" si="25"/>
        <v>1</v>
      </c>
    </row>
    <row r="1654" spans="1:23" x14ac:dyDescent="0.25">
      <c r="A1654" s="255" t="s">
        <v>628</v>
      </c>
      <c r="B1654" s="255" t="s">
        <v>918</v>
      </c>
      <c r="C1654" s="255"/>
      <c r="D1654" s="255"/>
      <c r="E1654" s="255" t="s">
        <v>85</v>
      </c>
      <c r="F1654" s="255"/>
      <c r="G1654" s="255"/>
      <c r="H1654" s="255">
        <v>1</v>
      </c>
      <c r="I1654" s="255">
        <v>2</v>
      </c>
      <c r="J1654" s="255">
        <v>0</v>
      </c>
      <c r="K1654" s="255">
        <v>0</v>
      </c>
      <c r="L1654" s="255">
        <v>0</v>
      </c>
      <c r="M1654" s="255">
        <v>2</v>
      </c>
      <c r="N1654" s="255">
        <v>3</v>
      </c>
      <c r="O1654" s="255">
        <v>0</v>
      </c>
      <c r="P1654" s="255">
        <v>0</v>
      </c>
      <c r="Q1654" s="255">
        <v>0</v>
      </c>
      <c r="R1654" s="255">
        <v>0</v>
      </c>
      <c r="S1654" s="255" t="s">
        <v>488</v>
      </c>
      <c r="T1654" s="255" t="s">
        <v>488</v>
      </c>
      <c r="U1654" s="255">
        <v>1</v>
      </c>
      <c r="V1654" s="255">
        <v>2</v>
      </c>
      <c r="W1654">
        <f t="shared" si="25"/>
        <v>6</v>
      </c>
    </row>
    <row r="1655" spans="1:23" x14ac:dyDescent="0.25">
      <c r="A1655" s="2" t="s">
        <v>628</v>
      </c>
      <c r="B1655" s="2" t="s">
        <v>918</v>
      </c>
      <c r="C1655" s="2">
        <v>540203</v>
      </c>
      <c r="D1655" s="2" t="s">
        <v>838</v>
      </c>
      <c r="E1655" s="2" t="s">
        <v>87</v>
      </c>
      <c r="F1655" s="2" t="s">
        <v>5</v>
      </c>
      <c r="G1655" s="2">
        <v>4</v>
      </c>
      <c r="H1655" s="2">
        <v>0</v>
      </c>
      <c r="I1655" s="2">
        <v>1</v>
      </c>
      <c r="J1655" s="2">
        <v>0</v>
      </c>
      <c r="K1655" s="2">
        <v>0</v>
      </c>
      <c r="L1655" s="2">
        <v>0</v>
      </c>
      <c r="M1655" s="2">
        <v>1</v>
      </c>
      <c r="N1655" s="2">
        <v>1</v>
      </c>
      <c r="O1655" s="2">
        <v>0</v>
      </c>
      <c r="P1655" s="2">
        <v>0</v>
      </c>
      <c r="Q1655" s="2" t="s">
        <v>488</v>
      </c>
      <c r="R1655" s="2" t="s">
        <v>488</v>
      </c>
      <c r="S1655" s="2" t="s">
        <v>488</v>
      </c>
      <c r="T1655" s="2" t="s">
        <v>488</v>
      </c>
      <c r="U1655" s="2">
        <v>1</v>
      </c>
      <c r="V1655" s="2">
        <v>0</v>
      </c>
      <c r="W1655">
        <f t="shared" si="25"/>
        <v>2</v>
      </c>
    </row>
    <row r="1656" spans="1:23" x14ac:dyDescent="0.25">
      <c r="A1656" s="2" t="s">
        <v>628</v>
      </c>
      <c r="B1656" s="2" t="s">
        <v>918</v>
      </c>
      <c r="C1656" s="2">
        <v>540204</v>
      </c>
      <c r="D1656" s="2" t="s">
        <v>839</v>
      </c>
      <c r="E1656" s="2" t="s">
        <v>87</v>
      </c>
      <c r="F1656" s="2" t="s">
        <v>115</v>
      </c>
      <c r="G1656" s="2">
        <v>4</v>
      </c>
      <c r="H1656" s="2">
        <v>0</v>
      </c>
      <c r="I1656" s="2">
        <v>1</v>
      </c>
      <c r="J1656" s="2">
        <v>0</v>
      </c>
      <c r="K1656" s="2">
        <v>0</v>
      </c>
      <c r="L1656" s="2">
        <v>0</v>
      </c>
      <c r="M1656" s="2">
        <v>1</v>
      </c>
      <c r="N1656" s="2">
        <v>1</v>
      </c>
      <c r="O1656" s="2">
        <v>0</v>
      </c>
      <c r="P1656" s="2">
        <v>0</v>
      </c>
      <c r="Q1656" s="2" t="s">
        <v>488</v>
      </c>
      <c r="R1656" s="2" t="s">
        <v>488</v>
      </c>
      <c r="S1656" s="2" t="s">
        <v>488</v>
      </c>
      <c r="T1656" s="2" t="s">
        <v>488</v>
      </c>
      <c r="U1656" s="2">
        <v>0</v>
      </c>
      <c r="V1656" s="2">
        <v>0</v>
      </c>
      <c r="W1656">
        <f t="shared" si="25"/>
        <v>1</v>
      </c>
    </row>
    <row r="1657" spans="1:23" x14ac:dyDescent="0.25">
      <c r="A1657" s="2" t="s">
        <v>628</v>
      </c>
      <c r="B1657" s="2" t="s">
        <v>918</v>
      </c>
      <c r="C1657" s="2">
        <v>540205</v>
      </c>
      <c r="D1657" s="2" t="s">
        <v>840</v>
      </c>
      <c r="E1657" s="2" t="s">
        <v>87</v>
      </c>
      <c r="F1657" s="2" t="s">
        <v>115</v>
      </c>
      <c r="G1657" s="2">
        <v>4</v>
      </c>
      <c r="H1657" s="2">
        <v>0</v>
      </c>
      <c r="I1657" s="2">
        <v>0</v>
      </c>
      <c r="J1657" s="2">
        <v>0</v>
      </c>
      <c r="K1657" s="2">
        <v>0</v>
      </c>
      <c r="L1657" s="2">
        <v>0</v>
      </c>
      <c r="M1657" s="2">
        <v>0</v>
      </c>
      <c r="N1657" s="2">
        <v>0</v>
      </c>
      <c r="O1657" s="2">
        <v>0</v>
      </c>
      <c r="P1657" s="2">
        <v>0</v>
      </c>
      <c r="Q1657" s="2" t="s">
        <v>488</v>
      </c>
      <c r="R1657" s="2" t="s">
        <v>488</v>
      </c>
      <c r="S1657" s="2" t="s">
        <v>488</v>
      </c>
      <c r="T1657" s="2" t="s">
        <v>488</v>
      </c>
      <c r="U1657" s="2">
        <v>0</v>
      </c>
      <c r="V1657" s="2">
        <v>0</v>
      </c>
      <c r="W1657">
        <f t="shared" si="25"/>
        <v>0</v>
      </c>
    </row>
    <row r="1658" spans="1:23" x14ac:dyDescent="0.25">
      <c r="A1658" s="2" t="s">
        <v>628</v>
      </c>
      <c r="B1658" s="2" t="s">
        <v>918</v>
      </c>
      <c r="C1658" s="2">
        <v>540206</v>
      </c>
      <c r="D1658" s="2" t="s">
        <v>841</v>
      </c>
      <c r="E1658" s="2" t="s">
        <v>87</v>
      </c>
      <c r="F1658" s="2" t="s">
        <v>115</v>
      </c>
      <c r="G1658" s="2">
        <v>4</v>
      </c>
      <c r="H1658" s="2">
        <v>0</v>
      </c>
      <c r="I1658" s="2">
        <v>0</v>
      </c>
      <c r="J1658" s="2">
        <v>0</v>
      </c>
      <c r="K1658" s="2">
        <v>0</v>
      </c>
      <c r="L1658" s="2">
        <v>0</v>
      </c>
      <c r="M1658" s="2">
        <v>0</v>
      </c>
      <c r="N1658" s="2">
        <v>0</v>
      </c>
      <c r="O1658" s="2">
        <v>0</v>
      </c>
      <c r="P1658" s="2">
        <v>0</v>
      </c>
      <c r="Q1658" s="2" t="s">
        <v>488</v>
      </c>
      <c r="R1658" s="2" t="s">
        <v>488</v>
      </c>
      <c r="S1658" s="2" t="s">
        <v>488</v>
      </c>
      <c r="T1658" s="2" t="s">
        <v>488</v>
      </c>
      <c r="U1658" s="2">
        <v>0</v>
      </c>
      <c r="V1658" s="2">
        <v>0</v>
      </c>
      <c r="W1658">
        <f t="shared" si="25"/>
        <v>0</v>
      </c>
    </row>
    <row r="1659" spans="1:23" x14ac:dyDescent="0.25">
      <c r="A1659" s="255" t="s">
        <v>628</v>
      </c>
      <c r="B1659" s="255" t="s">
        <v>918</v>
      </c>
      <c r="C1659" s="255"/>
      <c r="D1659" s="255"/>
      <c r="E1659" s="255" t="s">
        <v>87</v>
      </c>
      <c r="F1659" s="255"/>
      <c r="G1659" s="255"/>
      <c r="H1659" s="255">
        <v>0</v>
      </c>
      <c r="I1659" s="255">
        <v>2</v>
      </c>
      <c r="J1659" s="255">
        <v>0</v>
      </c>
      <c r="K1659" s="255">
        <v>0</v>
      </c>
      <c r="L1659" s="255">
        <v>0</v>
      </c>
      <c r="M1659" s="255">
        <v>2</v>
      </c>
      <c r="N1659" s="255">
        <v>2</v>
      </c>
      <c r="O1659" s="255">
        <v>0</v>
      </c>
      <c r="P1659" s="255">
        <v>0</v>
      </c>
      <c r="Q1659" s="255" t="s">
        <v>488</v>
      </c>
      <c r="R1659" s="255" t="s">
        <v>488</v>
      </c>
      <c r="S1659" s="255" t="s">
        <v>488</v>
      </c>
      <c r="T1659" s="255" t="s">
        <v>488</v>
      </c>
      <c r="U1659" s="255">
        <v>1</v>
      </c>
      <c r="V1659" s="255">
        <v>0</v>
      </c>
      <c r="W1659">
        <f t="shared" si="25"/>
        <v>3</v>
      </c>
    </row>
    <row r="1660" spans="1:23" x14ac:dyDescent="0.25">
      <c r="A1660" s="2" t="s">
        <v>628</v>
      </c>
      <c r="B1660" s="2" t="s">
        <v>918</v>
      </c>
      <c r="C1660" s="2">
        <v>540207</v>
      </c>
      <c r="D1660" s="2" t="s">
        <v>842</v>
      </c>
      <c r="E1660" s="2" t="s">
        <v>89</v>
      </c>
      <c r="F1660" s="2" t="s">
        <v>5</v>
      </c>
      <c r="G1660" s="2">
        <v>10</v>
      </c>
      <c r="H1660" s="2">
        <v>1</v>
      </c>
      <c r="I1660" s="2">
        <v>0</v>
      </c>
      <c r="J1660" s="2">
        <v>0</v>
      </c>
      <c r="K1660" s="2">
        <v>0</v>
      </c>
      <c r="L1660" s="2">
        <v>0</v>
      </c>
      <c r="M1660" s="2">
        <v>0</v>
      </c>
      <c r="N1660" s="2">
        <v>1</v>
      </c>
      <c r="O1660" s="2">
        <v>0</v>
      </c>
      <c r="P1660" s="2">
        <v>0</v>
      </c>
      <c r="Q1660" s="2" t="s">
        <v>488</v>
      </c>
      <c r="R1660" s="2" t="s">
        <v>488</v>
      </c>
      <c r="S1660" s="2" t="s">
        <v>488</v>
      </c>
      <c r="T1660" s="2" t="s">
        <v>488</v>
      </c>
      <c r="U1660" s="2">
        <v>0</v>
      </c>
      <c r="V1660" s="2">
        <v>0</v>
      </c>
      <c r="W1660">
        <f t="shared" si="25"/>
        <v>1</v>
      </c>
    </row>
    <row r="1661" spans="1:23" x14ac:dyDescent="0.25">
      <c r="A1661" s="2" t="s">
        <v>628</v>
      </c>
      <c r="B1661" s="2" t="s">
        <v>918</v>
      </c>
      <c r="C1661" s="2">
        <v>540196</v>
      </c>
      <c r="D1661" s="2" t="s">
        <v>843</v>
      </c>
      <c r="E1661" s="2" t="s">
        <v>89</v>
      </c>
      <c r="F1661" s="2" t="s">
        <v>115</v>
      </c>
      <c r="G1661" s="2">
        <v>5</v>
      </c>
      <c r="H1661" s="2">
        <v>0</v>
      </c>
      <c r="I1661" s="2">
        <v>0</v>
      </c>
      <c r="J1661" s="2">
        <v>0</v>
      </c>
      <c r="K1661" s="2">
        <v>0</v>
      </c>
      <c r="L1661" s="2">
        <v>0</v>
      </c>
      <c r="M1661" s="2">
        <v>0</v>
      </c>
      <c r="N1661" s="2">
        <v>0</v>
      </c>
      <c r="O1661" s="2">
        <v>0</v>
      </c>
      <c r="P1661" s="2">
        <v>0</v>
      </c>
      <c r="Q1661" s="2" t="s">
        <v>488</v>
      </c>
      <c r="R1661" s="2" t="s">
        <v>488</v>
      </c>
      <c r="S1661" s="2" t="s">
        <v>488</v>
      </c>
      <c r="T1661" s="2" t="s">
        <v>488</v>
      </c>
      <c r="U1661" s="2">
        <v>0</v>
      </c>
      <c r="V1661" s="2">
        <v>0</v>
      </c>
      <c r="W1661">
        <f t="shared" si="25"/>
        <v>0</v>
      </c>
    </row>
    <row r="1662" spans="1:23" x14ac:dyDescent="0.25">
      <c r="A1662" s="2" t="s">
        <v>628</v>
      </c>
      <c r="B1662" s="2" t="s">
        <v>918</v>
      </c>
      <c r="C1662" s="2">
        <v>540208</v>
      </c>
      <c r="D1662" s="2" t="s">
        <v>844</v>
      </c>
      <c r="E1662" s="2" t="s">
        <v>89</v>
      </c>
      <c r="F1662" s="2" t="s">
        <v>115</v>
      </c>
      <c r="G1662" s="2">
        <v>10</v>
      </c>
      <c r="H1662" s="2">
        <v>0</v>
      </c>
      <c r="I1662" s="2">
        <v>0</v>
      </c>
      <c r="J1662" s="2">
        <v>1</v>
      </c>
      <c r="K1662" s="2">
        <v>0</v>
      </c>
      <c r="L1662" s="2">
        <v>0</v>
      </c>
      <c r="M1662" s="2">
        <v>1</v>
      </c>
      <c r="N1662" s="2">
        <v>1</v>
      </c>
      <c r="O1662" s="2">
        <v>0</v>
      </c>
      <c r="P1662" s="2">
        <v>0</v>
      </c>
      <c r="Q1662" s="2" t="s">
        <v>488</v>
      </c>
      <c r="R1662" s="2" t="s">
        <v>488</v>
      </c>
      <c r="S1662" s="2" t="s">
        <v>488</v>
      </c>
      <c r="T1662" s="2" t="s">
        <v>488</v>
      </c>
      <c r="U1662" s="2">
        <v>0</v>
      </c>
      <c r="V1662" s="2">
        <v>0</v>
      </c>
      <c r="W1662">
        <f t="shared" si="25"/>
        <v>1</v>
      </c>
    </row>
    <row r="1663" spans="1:23" x14ac:dyDescent="0.25">
      <c r="A1663" s="2" t="s">
        <v>628</v>
      </c>
      <c r="B1663" s="2" t="s">
        <v>918</v>
      </c>
      <c r="C1663" s="2">
        <v>540210</v>
      </c>
      <c r="D1663" s="2" t="s">
        <v>845</v>
      </c>
      <c r="E1663" s="2" t="s">
        <v>89</v>
      </c>
      <c r="F1663" s="2" t="s">
        <v>115</v>
      </c>
      <c r="G1663" s="2">
        <v>10</v>
      </c>
      <c r="H1663" s="2">
        <v>1</v>
      </c>
      <c r="I1663" s="2">
        <v>0</v>
      </c>
      <c r="J1663" s="2">
        <v>0</v>
      </c>
      <c r="K1663" s="2">
        <v>0</v>
      </c>
      <c r="L1663" s="2">
        <v>0</v>
      </c>
      <c r="M1663" s="2">
        <v>0</v>
      </c>
      <c r="N1663" s="2">
        <v>1</v>
      </c>
      <c r="O1663" s="2">
        <v>0</v>
      </c>
      <c r="P1663" s="2">
        <v>0</v>
      </c>
      <c r="Q1663" s="2" t="s">
        <v>488</v>
      </c>
      <c r="R1663" s="2" t="s">
        <v>488</v>
      </c>
      <c r="S1663" s="2" t="s">
        <v>488</v>
      </c>
      <c r="T1663" s="2" t="s">
        <v>488</v>
      </c>
      <c r="U1663" s="2">
        <v>0</v>
      </c>
      <c r="V1663" s="2">
        <v>0</v>
      </c>
      <c r="W1663">
        <f t="shared" si="25"/>
        <v>1</v>
      </c>
    </row>
    <row r="1664" spans="1:23" x14ac:dyDescent="0.25">
      <c r="A1664" s="2" t="s">
        <v>628</v>
      </c>
      <c r="B1664" s="2" t="s">
        <v>918</v>
      </c>
      <c r="C1664" s="2">
        <v>540256</v>
      </c>
      <c r="D1664" s="2" t="s">
        <v>846</v>
      </c>
      <c r="E1664" s="2" t="s">
        <v>89</v>
      </c>
      <c r="F1664" s="2" t="s">
        <v>115</v>
      </c>
      <c r="G1664" s="2">
        <v>10</v>
      </c>
      <c r="H1664" s="2">
        <v>1</v>
      </c>
      <c r="I1664" s="2">
        <v>0</v>
      </c>
      <c r="J1664" s="2">
        <v>0</v>
      </c>
      <c r="K1664" s="2">
        <v>0</v>
      </c>
      <c r="L1664" s="2">
        <v>0</v>
      </c>
      <c r="M1664" s="2">
        <v>0</v>
      </c>
      <c r="N1664" s="2">
        <v>1</v>
      </c>
      <c r="O1664" s="2">
        <v>0</v>
      </c>
      <c r="P1664" s="2">
        <v>0</v>
      </c>
      <c r="Q1664" s="2" t="s">
        <v>488</v>
      </c>
      <c r="R1664" s="2" t="s">
        <v>488</v>
      </c>
      <c r="S1664" s="2" t="s">
        <v>488</v>
      </c>
      <c r="T1664" s="2" t="s">
        <v>488</v>
      </c>
      <c r="U1664" s="2">
        <v>0</v>
      </c>
      <c r="V1664" s="2">
        <v>0</v>
      </c>
      <c r="W1664">
        <f t="shared" si="25"/>
        <v>1</v>
      </c>
    </row>
    <row r="1665" spans="1:23" x14ac:dyDescent="0.25">
      <c r="A1665" s="2" t="s">
        <v>628</v>
      </c>
      <c r="B1665" s="2" t="s">
        <v>918</v>
      </c>
      <c r="C1665" s="2">
        <v>540258</v>
      </c>
      <c r="D1665" s="2" t="s">
        <v>847</v>
      </c>
      <c r="E1665" s="2" t="s">
        <v>89</v>
      </c>
      <c r="F1665" s="2" t="s">
        <v>115</v>
      </c>
      <c r="G1665" s="2">
        <v>10</v>
      </c>
      <c r="H1665" s="2">
        <v>0</v>
      </c>
      <c r="I1665" s="2">
        <v>0</v>
      </c>
      <c r="J1665" s="2">
        <v>0</v>
      </c>
      <c r="K1665" s="2">
        <v>0</v>
      </c>
      <c r="L1665" s="2">
        <v>0</v>
      </c>
      <c r="M1665" s="2">
        <v>0</v>
      </c>
      <c r="N1665" s="2">
        <v>0</v>
      </c>
      <c r="O1665" s="2">
        <v>0</v>
      </c>
      <c r="P1665" s="2">
        <v>0</v>
      </c>
      <c r="Q1665" s="2" t="s">
        <v>488</v>
      </c>
      <c r="R1665" s="2" t="s">
        <v>488</v>
      </c>
      <c r="S1665" s="2" t="s">
        <v>488</v>
      </c>
      <c r="T1665" s="2" t="s">
        <v>488</v>
      </c>
      <c r="U1665" s="2">
        <v>0</v>
      </c>
      <c r="V1665" s="2">
        <v>0</v>
      </c>
      <c r="W1665">
        <f t="shared" si="25"/>
        <v>0</v>
      </c>
    </row>
    <row r="1666" spans="1:23" x14ac:dyDescent="0.25">
      <c r="A1666" s="255" t="s">
        <v>628</v>
      </c>
      <c r="B1666" s="255" t="s">
        <v>918</v>
      </c>
      <c r="C1666" s="255"/>
      <c r="D1666" s="255"/>
      <c r="E1666" s="255" t="s">
        <v>89</v>
      </c>
      <c r="F1666" s="255"/>
      <c r="G1666" s="255"/>
      <c r="H1666" s="255">
        <v>3</v>
      </c>
      <c r="I1666" s="255">
        <v>0</v>
      </c>
      <c r="J1666" s="255">
        <v>1</v>
      </c>
      <c r="K1666" s="255">
        <v>0</v>
      </c>
      <c r="L1666" s="255">
        <v>0</v>
      </c>
      <c r="M1666" s="255">
        <v>1</v>
      </c>
      <c r="N1666" s="255">
        <v>4</v>
      </c>
      <c r="O1666" s="255">
        <v>0</v>
      </c>
      <c r="P1666" s="255">
        <v>0</v>
      </c>
      <c r="Q1666" s="255" t="s">
        <v>488</v>
      </c>
      <c r="R1666" s="255" t="s">
        <v>488</v>
      </c>
      <c r="S1666" s="255" t="s">
        <v>488</v>
      </c>
      <c r="T1666" s="255" t="s">
        <v>488</v>
      </c>
      <c r="U1666" s="255">
        <v>0</v>
      </c>
      <c r="V1666" s="255">
        <v>0</v>
      </c>
      <c r="W1666">
        <f t="shared" si="25"/>
        <v>4</v>
      </c>
    </row>
    <row r="1667" spans="1:23" x14ac:dyDescent="0.25">
      <c r="A1667" s="2" t="s">
        <v>628</v>
      </c>
      <c r="B1667" s="2" t="s">
        <v>918</v>
      </c>
      <c r="C1667" s="2">
        <v>540211</v>
      </c>
      <c r="D1667" s="2" t="s">
        <v>848</v>
      </c>
      <c r="E1667" s="2" t="s">
        <v>91</v>
      </c>
      <c r="F1667" s="2" t="s">
        <v>5</v>
      </c>
      <c r="G1667" s="2">
        <v>5</v>
      </c>
      <c r="H1667" s="2">
        <v>0</v>
      </c>
      <c r="I1667" s="2">
        <v>0</v>
      </c>
      <c r="J1667" s="2">
        <v>0</v>
      </c>
      <c r="K1667" s="2">
        <v>0</v>
      </c>
      <c r="L1667" s="2">
        <v>0</v>
      </c>
      <c r="M1667" s="2">
        <v>0</v>
      </c>
      <c r="N1667" s="2">
        <v>0</v>
      </c>
      <c r="O1667" s="2">
        <v>0</v>
      </c>
      <c r="P1667" s="2">
        <v>0</v>
      </c>
      <c r="Q1667" s="2" t="s">
        <v>488</v>
      </c>
      <c r="R1667" s="2" t="s">
        <v>488</v>
      </c>
      <c r="S1667" s="2" t="s">
        <v>488</v>
      </c>
      <c r="T1667" s="2" t="s">
        <v>488</v>
      </c>
      <c r="U1667" s="2">
        <v>0</v>
      </c>
      <c r="V1667" s="2">
        <v>0</v>
      </c>
      <c r="W1667">
        <f t="shared" ref="W1667:W1730" si="26">SUM(N1667,P1667,R1667,T1667,U1667,V1667)</f>
        <v>0</v>
      </c>
    </row>
    <row r="1668" spans="1:23" x14ac:dyDescent="0.25">
      <c r="A1668" s="2" t="s">
        <v>628</v>
      </c>
      <c r="B1668" s="2" t="s">
        <v>918</v>
      </c>
      <c r="C1668" s="2">
        <v>540212</v>
      </c>
      <c r="D1668" s="2" t="s">
        <v>849</v>
      </c>
      <c r="E1668" s="2" t="s">
        <v>91</v>
      </c>
      <c r="F1668" s="2" t="s">
        <v>115</v>
      </c>
      <c r="G1668" s="2">
        <v>5</v>
      </c>
      <c r="H1668" s="2">
        <v>0</v>
      </c>
      <c r="I1668" s="2">
        <v>0</v>
      </c>
      <c r="J1668" s="2">
        <v>0</v>
      </c>
      <c r="K1668" s="2">
        <v>0</v>
      </c>
      <c r="L1668" s="2">
        <v>0</v>
      </c>
      <c r="M1668" s="2">
        <v>0</v>
      </c>
      <c r="N1668" s="2">
        <v>0</v>
      </c>
      <c r="O1668" s="2">
        <v>0</v>
      </c>
      <c r="P1668" s="2">
        <v>0</v>
      </c>
      <c r="Q1668" s="2" t="s">
        <v>488</v>
      </c>
      <c r="R1668" s="2" t="s">
        <v>488</v>
      </c>
      <c r="S1668" s="2" t="s">
        <v>488</v>
      </c>
      <c r="T1668" s="2" t="s">
        <v>488</v>
      </c>
      <c r="U1668" s="2">
        <v>0</v>
      </c>
      <c r="V1668" s="2">
        <v>0</v>
      </c>
      <c r="W1668">
        <f t="shared" si="26"/>
        <v>0</v>
      </c>
    </row>
    <row r="1669" spans="1:23" x14ac:dyDescent="0.25">
      <c r="A1669" s="255" t="s">
        <v>628</v>
      </c>
      <c r="B1669" s="255" t="s">
        <v>918</v>
      </c>
      <c r="C1669" s="255"/>
      <c r="D1669" s="255"/>
      <c r="E1669" s="255" t="s">
        <v>91</v>
      </c>
      <c r="F1669" s="255"/>
      <c r="G1669" s="255"/>
      <c r="H1669" s="255">
        <v>0</v>
      </c>
      <c r="I1669" s="255">
        <v>0</v>
      </c>
      <c r="J1669" s="255">
        <v>0</v>
      </c>
      <c r="K1669" s="255">
        <v>0</v>
      </c>
      <c r="L1669" s="255">
        <v>0</v>
      </c>
      <c r="M1669" s="255">
        <v>0</v>
      </c>
      <c r="N1669" s="255">
        <v>0</v>
      </c>
      <c r="O1669" s="255">
        <v>0</v>
      </c>
      <c r="P1669" s="255">
        <v>0</v>
      </c>
      <c r="Q1669" s="255" t="s">
        <v>488</v>
      </c>
      <c r="R1669" s="255" t="s">
        <v>488</v>
      </c>
      <c r="S1669" s="255" t="s">
        <v>488</v>
      </c>
      <c r="T1669" s="255" t="s">
        <v>488</v>
      </c>
      <c r="U1669" s="255">
        <v>0</v>
      </c>
      <c r="V1669" s="255">
        <v>0</v>
      </c>
      <c r="W1669">
        <f t="shared" si="26"/>
        <v>0</v>
      </c>
    </row>
    <row r="1670" spans="1:23" x14ac:dyDescent="0.25">
      <c r="A1670" s="2" t="s">
        <v>628</v>
      </c>
      <c r="B1670" s="2" t="s">
        <v>918</v>
      </c>
      <c r="C1670" s="2">
        <v>540213</v>
      </c>
      <c r="D1670" s="2" t="s">
        <v>850</v>
      </c>
      <c r="E1670" s="2" t="s">
        <v>93</v>
      </c>
      <c r="F1670" s="2" t="s">
        <v>5</v>
      </c>
      <c r="G1670" s="2">
        <v>5</v>
      </c>
      <c r="H1670" s="2">
        <v>1</v>
      </c>
      <c r="I1670" s="2">
        <v>1</v>
      </c>
      <c r="J1670" s="2">
        <v>0</v>
      </c>
      <c r="K1670" s="2">
        <v>0</v>
      </c>
      <c r="L1670" s="2">
        <v>0</v>
      </c>
      <c r="M1670" s="2">
        <v>1</v>
      </c>
      <c r="N1670" s="2">
        <v>2</v>
      </c>
      <c r="O1670" s="2">
        <v>0</v>
      </c>
      <c r="P1670" s="2">
        <v>0</v>
      </c>
      <c r="Q1670" s="2" t="s">
        <v>488</v>
      </c>
      <c r="R1670" s="2" t="s">
        <v>488</v>
      </c>
      <c r="S1670" s="2" t="s">
        <v>488</v>
      </c>
      <c r="T1670" s="2" t="s">
        <v>488</v>
      </c>
      <c r="U1670" s="2">
        <v>1</v>
      </c>
      <c r="V1670" s="2">
        <v>0</v>
      </c>
      <c r="W1670">
        <f t="shared" si="26"/>
        <v>3</v>
      </c>
    </row>
    <row r="1671" spans="1:23" x14ac:dyDescent="0.25">
      <c r="A1671" s="2" t="s">
        <v>628</v>
      </c>
      <c r="B1671" s="2" t="s">
        <v>918</v>
      </c>
      <c r="C1671" s="2">
        <v>540042</v>
      </c>
      <c r="D1671" s="2" t="s">
        <v>851</v>
      </c>
      <c r="E1671" s="2" t="s">
        <v>93</v>
      </c>
      <c r="F1671" s="2" t="s">
        <v>115</v>
      </c>
      <c r="G1671" s="2">
        <v>5</v>
      </c>
      <c r="H1671" s="2">
        <v>0</v>
      </c>
      <c r="I1671" s="2">
        <v>0</v>
      </c>
      <c r="J1671" s="2">
        <v>0</v>
      </c>
      <c r="K1671" s="2">
        <v>0</v>
      </c>
      <c r="L1671" s="2">
        <v>0</v>
      </c>
      <c r="M1671" s="2">
        <v>0</v>
      </c>
      <c r="N1671" s="2">
        <v>0</v>
      </c>
      <c r="O1671" s="2">
        <v>0</v>
      </c>
      <c r="P1671" s="2">
        <v>0</v>
      </c>
      <c r="Q1671" s="2" t="s">
        <v>488</v>
      </c>
      <c r="R1671" s="2" t="s">
        <v>488</v>
      </c>
      <c r="S1671" s="2" t="s">
        <v>488</v>
      </c>
      <c r="T1671" s="2" t="s">
        <v>488</v>
      </c>
      <c r="U1671" s="2">
        <v>0</v>
      </c>
      <c r="V1671" s="2">
        <v>0</v>
      </c>
      <c r="W1671">
        <f t="shared" si="26"/>
        <v>0</v>
      </c>
    </row>
    <row r="1672" spans="1:23" x14ac:dyDescent="0.25">
      <c r="A1672" s="2" t="s">
        <v>628</v>
      </c>
      <c r="B1672" s="2" t="s">
        <v>918</v>
      </c>
      <c r="C1672" s="2">
        <v>540214</v>
      </c>
      <c r="D1672" s="2" t="s">
        <v>852</v>
      </c>
      <c r="E1672" s="2" t="s">
        <v>93</v>
      </c>
      <c r="F1672" s="2" t="s">
        <v>115</v>
      </c>
      <c r="G1672" s="2">
        <v>5</v>
      </c>
      <c r="H1672" s="2">
        <v>0</v>
      </c>
      <c r="I1672" s="2">
        <v>0</v>
      </c>
      <c r="J1672" s="2">
        <v>0</v>
      </c>
      <c r="K1672" s="2">
        <v>0</v>
      </c>
      <c r="L1672" s="2">
        <v>0</v>
      </c>
      <c r="M1672" s="2">
        <v>0</v>
      </c>
      <c r="N1672" s="2">
        <v>0</v>
      </c>
      <c r="O1672" s="2">
        <v>0</v>
      </c>
      <c r="P1672" s="2">
        <v>0</v>
      </c>
      <c r="Q1672" s="2" t="s">
        <v>488</v>
      </c>
      <c r="R1672" s="2" t="s">
        <v>488</v>
      </c>
      <c r="S1672" s="2" t="s">
        <v>488</v>
      </c>
      <c r="T1672" s="2" t="s">
        <v>488</v>
      </c>
      <c r="U1672" s="2">
        <v>0</v>
      </c>
      <c r="V1672" s="2">
        <v>1</v>
      </c>
      <c r="W1672">
        <f t="shared" si="26"/>
        <v>1</v>
      </c>
    </row>
    <row r="1673" spans="1:23" x14ac:dyDescent="0.25">
      <c r="A1673" s="2" t="s">
        <v>628</v>
      </c>
      <c r="B1673" s="2" t="s">
        <v>918</v>
      </c>
      <c r="C1673" s="2">
        <v>540215</v>
      </c>
      <c r="D1673" s="2" t="s">
        <v>853</v>
      </c>
      <c r="E1673" s="2" t="s">
        <v>93</v>
      </c>
      <c r="F1673" s="2" t="s">
        <v>115</v>
      </c>
      <c r="G1673" s="2">
        <v>5</v>
      </c>
      <c r="H1673" s="2">
        <v>0</v>
      </c>
      <c r="I1673" s="2">
        <v>0</v>
      </c>
      <c r="J1673" s="2">
        <v>0</v>
      </c>
      <c r="K1673" s="2">
        <v>0</v>
      </c>
      <c r="L1673" s="2">
        <v>0</v>
      </c>
      <c r="M1673" s="2">
        <v>0</v>
      </c>
      <c r="N1673" s="2">
        <v>0</v>
      </c>
      <c r="O1673" s="2">
        <v>0</v>
      </c>
      <c r="P1673" s="2">
        <v>0</v>
      </c>
      <c r="Q1673" s="2" t="s">
        <v>488</v>
      </c>
      <c r="R1673" s="2" t="s">
        <v>488</v>
      </c>
      <c r="S1673" s="2" t="s">
        <v>488</v>
      </c>
      <c r="T1673" s="2" t="s">
        <v>488</v>
      </c>
      <c r="U1673" s="2">
        <v>0</v>
      </c>
      <c r="V1673" s="2">
        <v>0</v>
      </c>
      <c r="W1673">
        <f t="shared" si="26"/>
        <v>0</v>
      </c>
    </row>
    <row r="1674" spans="1:23" x14ac:dyDescent="0.25">
      <c r="A1674" s="2" t="s">
        <v>628</v>
      </c>
      <c r="B1674" s="2" t="s">
        <v>918</v>
      </c>
      <c r="C1674" s="2">
        <v>540216</v>
      </c>
      <c r="D1674" s="2" t="s">
        <v>854</v>
      </c>
      <c r="E1674" s="2" t="s">
        <v>93</v>
      </c>
      <c r="F1674" s="2" t="s">
        <v>115</v>
      </c>
      <c r="G1674" s="2">
        <v>5</v>
      </c>
      <c r="H1674" s="2">
        <v>0</v>
      </c>
      <c r="I1674" s="2">
        <v>0</v>
      </c>
      <c r="J1674" s="2">
        <v>0</v>
      </c>
      <c r="K1674" s="2">
        <v>0</v>
      </c>
      <c r="L1674" s="2">
        <v>0</v>
      </c>
      <c r="M1674" s="2">
        <v>0</v>
      </c>
      <c r="N1674" s="2">
        <v>0</v>
      </c>
      <c r="O1674" s="2">
        <v>0</v>
      </c>
      <c r="P1674" s="2">
        <v>0</v>
      </c>
      <c r="Q1674" s="2" t="s">
        <v>488</v>
      </c>
      <c r="R1674" s="2" t="s">
        <v>488</v>
      </c>
      <c r="S1674" s="2" t="s">
        <v>488</v>
      </c>
      <c r="T1674" s="2" t="s">
        <v>488</v>
      </c>
      <c r="U1674" s="2">
        <v>0</v>
      </c>
      <c r="V1674" s="2">
        <v>0</v>
      </c>
      <c r="W1674">
        <f t="shared" si="26"/>
        <v>0</v>
      </c>
    </row>
    <row r="1675" spans="1:23" x14ac:dyDescent="0.25">
      <c r="A1675" s="255" t="s">
        <v>628</v>
      </c>
      <c r="B1675" s="255" t="s">
        <v>918</v>
      </c>
      <c r="C1675" s="255"/>
      <c r="D1675" s="255"/>
      <c r="E1675" s="255" t="s">
        <v>93</v>
      </c>
      <c r="F1675" s="255"/>
      <c r="G1675" s="255"/>
      <c r="H1675" s="255">
        <v>1</v>
      </c>
      <c r="I1675" s="255">
        <v>1</v>
      </c>
      <c r="J1675" s="255">
        <v>0</v>
      </c>
      <c r="K1675" s="255">
        <v>0</v>
      </c>
      <c r="L1675" s="255">
        <v>0</v>
      </c>
      <c r="M1675" s="255">
        <v>1</v>
      </c>
      <c r="N1675" s="255">
        <v>2</v>
      </c>
      <c r="O1675" s="255">
        <v>0</v>
      </c>
      <c r="P1675" s="255">
        <v>0</v>
      </c>
      <c r="Q1675" s="255" t="s">
        <v>488</v>
      </c>
      <c r="R1675" s="255" t="s">
        <v>488</v>
      </c>
      <c r="S1675" s="255" t="s">
        <v>488</v>
      </c>
      <c r="T1675" s="255" t="s">
        <v>488</v>
      </c>
      <c r="U1675" s="255">
        <v>1</v>
      </c>
      <c r="V1675" s="255">
        <v>1</v>
      </c>
      <c r="W1675">
        <f t="shared" si="26"/>
        <v>4</v>
      </c>
    </row>
    <row r="1676" spans="1:23" x14ac:dyDescent="0.25">
      <c r="A1676" s="2" t="s">
        <v>628</v>
      </c>
      <c r="B1676" s="2" t="s">
        <v>918</v>
      </c>
      <c r="C1676" s="2">
        <v>540224</v>
      </c>
      <c r="D1676" s="2" t="s">
        <v>855</v>
      </c>
      <c r="E1676" s="2" t="s">
        <v>97</v>
      </c>
      <c r="F1676" s="2" t="s">
        <v>5</v>
      </c>
      <c r="G1676" s="2">
        <v>5</v>
      </c>
      <c r="H1676" s="2">
        <v>0</v>
      </c>
      <c r="I1676" s="2">
        <v>0</v>
      </c>
      <c r="J1676" s="2">
        <v>0</v>
      </c>
      <c r="K1676" s="2">
        <v>0</v>
      </c>
      <c r="L1676" s="2">
        <v>0</v>
      </c>
      <c r="M1676" s="2">
        <v>0</v>
      </c>
      <c r="N1676" s="2">
        <v>0</v>
      </c>
      <c r="O1676" s="2">
        <v>0</v>
      </c>
      <c r="P1676" s="2">
        <v>0</v>
      </c>
      <c r="Q1676" s="2">
        <v>0</v>
      </c>
      <c r="R1676" s="2">
        <v>0</v>
      </c>
      <c r="S1676" s="2" t="s">
        <v>488</v>
      </c>
      <c r="T1676" s="2" t="s">
        <v>488</v>
      </c>
      <c r="U1676" s="2">
        <v>0</v>
      </c>
      <c r="V1676" s="2">
        <v>0</v>
      </c>
      <c r="W1676">
        <f t="shared" si="26"/>
        <v>0</v>
      </c>
    </row>
    <row r="1677" spans="1:23" x14ac:dyDescent="0.25">
      <c r="A1677" s="2" t="s">
        <v>628</v>
      </c>
      <c r="B1677" s="2" t="s">
        <v>918</v>
      </c>
      <c r="C1677" s="2">
        <v>540132</v>
      </c>
      <c r="D1677" s="2" t="s">
        <v>856</v>
      </c>
      <c r="E1677" s="2" t="s">
        <v>97</v>
      </c>
      <c r="F1677" s="2" t="s">
        <v>115</v>
      </c>
      <c r="G1677" s="2">
        <v>5</v>
      </c>
      <c r="H1677" s="2">
        <v>0</v>
      </c>
      <c r="I1677" s="2">
        <v>0</v>
      </c>
      <c r="J1677" s="2">
        <v>0</v>
      </c>
      <c r="K1677" s="2">
        <v>0</v>
      </c>
      <c r="L1677" s="2">
        <v>0</v>
      </c>
      <c r="M1677" s="2">
        <v>0</v>
      </c>
      <c r="N1677" s="2">
        <v>0</v>
      </c>
      <c r="O1677" s="2">
        <v>0</v>
      </c>
      <c r="P1677" s="2">
        <v>0</v>
      </c>
      <c r="Q1677" s="2">
        <v>0</v>
      </c>
      <c r="R1677" s="2">
        <v>0</v>
      </c>
      <c r="S1677" s="2" t="s">
        <v>488</v>
      </c>
      <c r="T1677" s="2" t="s">
        <v>488</v>
      </c>
      <c r="U1677" s="2">
        <v>0</v>
      </c>
      <c r="V1677" s="2">
        <v>0</v>
      </c>
      <c r="W1677">
        <f t="shared" si="26"/>
        <v>0</v>
      </c>
    </row>
    <row r="1678" spans="1:23" x14ac:dyDescent="0.25">
      <c r="A1678" s="2" t="s">
        <v>628</v>
      </c>
      <c r="B1678" s="2" t="s">
        <v>918</v>
      </c>
      <c r="C1678" s="2">
        <v>540179</v>
      </c>
      <c r="D1678" s="2" t="s">
        <v>857</v>
      </c>
      <c r="E1678" s="2" t="s">
        <v>97</v>
      </c>
      <c r="F1678" s="2" t="s">
        <v>115</v>
      </c>
      <c r="G1678" s="2">
        <v>5</v>
      </c>
      <c r="H1678" s="2">
        <v>0</v>
      </c>
      <c r="I1678" s="2">
        <v>0</v>
      </c>
      <c r="J1678" s="2">
        <v>0</v>
      </c>
      <c r="K1678" s="2">
        <v>0</v>
      </c>
      <c r="L1678" s="2">
        <v>0</v>
      </c>
      <c r="M1678" s="2">
        <v>0</v>
      </c>
      <c r="N1678" s="2">
        <v>0</v>
      </c>
      <c r="O1678" s="2">
        <v>0</v>
      </c>
      <c r="P1678" s="2">
        <v>0</v>
      </c>
      <c r="Q1678" s="2">
        <v>0</v>
      </c>
      <c r="R1678" s="2">
        <v>0</v>
      </c>
      <c r="S1678" s="2" t="s">
        <v>488</v>
      </c>
      <c r="T1678" s="2" t="s">
        <v>488</v>
      </c>
      <c r="U1678" s="2">
        <v>0</v>
      </c>
      <c r="V1678" s="2">
        <v>0</v>
      </c>
      <c r="W1678">
        <f t="shared" si="26"/>
        <v>0</v>
      </c>
    </row>
    <row r="1679" spans="1:23" x14ac:dyDescent="0.25">
      <c r="A1679" s="2" t="s">
        <v>628</v>
      </c>
      <c r="B1679" s="2" t="s">
        <v>918</v>
      </c>
      <c r="C1679" s="2">
        <v>540180</v>
      </c>
      <c r="D1679" s="2" t="s">
        <v>858</v>
      </c>
      <c r="E1679" s="2" t="s">
        <v>97</v>
      </c>
      <c r="F1679" s="2" t="s">
        <v>115</v>
      </c>
      <c r="G1679" s="2">
        <v>5</v>
      </c>
      <c r="H1679" s="2">
        <v>0</v>
      </c>
      <c r="I1679" s="2">
        <v>0</v>
      </c>
      <c r="J1679" s="2">
        <v>0</v>
      </c>
      <c r="K1679" s="2">
        <v>0</v>
      </c>
      <c r="L1679" s="2">
        <v>0</v>
      </c>
      <c r="M1679" s="2">
        <v>0</v>
      </c>
      <c r="N1679" s="2">
        <v>0</v>
      </c>
      <c r="O1679" s="2">
        <v>0</v>
      </c>
      <c r="P1679" s="2">
        <v>0</v>
      </c>
      <c r="Q1679" s="2">
        <v>0</v>
      </c>
      <c r="R1679" s="2">
        <v>0</v>
      </c>
      <c r="S1679" s="2" t="s">
        <v>488</v>
      </c>
      <c r="T1679" s="2" t="s">
        <v>488</v>
      </c>
      <c r="U1679" s="2">
        <v>0</v>
      </c>
      <c r="V1679" s="2">
        <v>0</v>
      </c>
      <c r="W1679">
        <f t="shared" si="26"/>
        <v>0</v>
      </c>
    </row>
    <row r="1680" spans="1:23" x14ac:dyDescent="0.25">
      <c r="A1680" s="2" t="s">
        <v>628</v>
      </c>
      <c r="B1680" s="2" t="s">
        <v>918</v>
      </c>
      <c r="C1680" s="2">
        <v>540182</v>
      </c>
      <c r="D1680" s="2" t="s">
        <v>859</v>
      </c>
      <c r="E1680" s="2" t="s">
        <v>97</v>
      </c>
      <c r="F1680" s="2" t="s">
        <v>115</v>
      </c>
      <c r="G1680" s="2">
        <v>5</v>
      </c>
      <c r="H1680" s="2">
        <v>0</v>
      </c>
      <c r="I1680" s="2">
        <v>0</v>
      </c>
      <c r="J1680" s="2">
        <v>0</v>
      </c>
      <c r="K1680" s="2">
        <v>0</v>
      </c>
      <c r="L1680" s="2">
        <v>0</v>
      </c>
      <c r="M1680" s="2">
        <v>0</v>
      </c>
      <c r="N1680" s="2">
        <v>0</v>
      </c>
      <c r="O1680" s="2">
        <v>0</v>
      </c>
      <c r="P1680" s="2">
        <v>0</v>
      </c>
      <c r="Q1680" s="2">
        <v>0</v>
      </c>
      <c r="R1680" s="2">
        <v>0</v>
      </c>
      <c r="S1680" s="2" t="s">
        <v>488</v>
      </c>
      <c r="T1680" s="2" t="s">
        <v>488</v>
      </c>
      <c r="U1680" s="2">
        <v>0</v>
      </c>
      <c r="V1680" s="2">
        <v>0</v>
      </c>
      <c r="W1680">
        <f t="shared" si="26"/>
        <v>0</v>
      </c>
    </row>
    <row r="1681" spans="1:23" x14ac:dyDescent="0.25">
      <c r="A1681" s="2" t="s">
        <v>628</v>
      </c>
      <c r="B1681" s="2" t="s">
        <v>918</v>
      </c>
      <c r="C1681" s="2">
        <v>540262</v>
      </c>
      <c r="D1681" s="2" t="s">
        <v>860</v>
      </c>
      <c r="E1681" s="2" t="s">
        <v>97</v>
      </c>
      <c r="F1681" s="2" t="s">
        <v>115</v>
      </c>
      <c r="G1681" s="2">
        <v>5</v>
      </c>
      <c r="H1681" s="2">
        <v>0</v>
      </c>
      <c r="I1681" s="2">
        <v>0</v>
      </c>
      <c r="J1681" s="2">
        <v>0</v>
      </c>
      <c r="K1681" s="2">
        <v>0</v>
      </c>
      <c r="L1681" s="2">
        <v>0</v>
      </c>
      <c r="M1681" s="2">
        <v>0</v>
      </c>
      <c r="N1681" s="2">
        <v>0</v>
      </c>
      <c r="O1681" s="2">
        <v>0</v>
      </c>
      <c r="P1681" s="2">
        <v>0</v>
      </c>
      <c r="Q1681" s="2">
        <v>0</v>
      </c>
      <c r="R1681" s="2">
        <v>0</v>
      </c>
      <c r="S1681" s="2" t="s">
        <v>488</v>
      </c>
      <c r="T1681" s="2" t="s">
        <v>488</v>
      </c>
      <c r="U1681" s="2">
        <v>0</v>
      </c>
      <c r="V1681" s="2">
        <v>0</v>
      </c>
      <c r="W1681">
        <f t="shared" si="26"/>
        <v>0</v>
      </c>
    </row>
    <row r="1682" spans="1:23" x14ac:dyDescent="0.25">
      <c r="A1682" s="2" t="s">
        <v>628</v>
      </c>
      <c r="B1682" s="2" t="s">
        <v>918</v>
      </c>
      <c r="C1682" s="2">
        <v>540263</v>
      </c>
      <c r="D1682" s="2" t="s">
        <v>861</v>
      </c>
      <c r="E1682" s="2" t="s">
        <v>97</v>
      </c>
      <c r="F1682" s="2" t="s">
        <v>115</v>
      </c>
      <c r="G1682" s="2">
        <v>5</v>
      </c>
      <c r="H1682" s="2">
        <v>0</v>
      </c>
      <c r="I1682" s="2">
        <v>0</v>
      </c>
      <c r="J1682" s="2">
        <v>0</v>
      </c>
      <c r="K1682" s="2">
        <v>0</v>
      </c>
      <c r="L1682" s="2">
        <v>0</v>
      </c>
      <c r="M1682" s="2">
        <v>0</v>
      </c>
      <c r="N1682" s="2">
        <v>0</v>
      </c>
      <c r="O1682" s="2">
        <v>0</v>
      </c>
      <c r="P1682" s="2">
        <v>0</v>
      </c>
      <c r="Q1682" s="2">
        <v>0</v>
      </c>
      <c r="R1682" s="2">
        <v>0</v>
      </c>
      <c r="S1682" s="2" t="s">
        <v>488</v>
      </c>
      <c r="T1682" s="2" t="s">
        <v>488</v>
      </c>
      <c r="U1682" s="2">
        <v>0</v>
      </c>
      <c r="V1682" s="2">
        <v>0</v>
      </c>
      <c r="W1682">
        <f t="shared" si="26"/>
        <v>0</v>
      </c>
    </row>
    <row r="1683" spans="1:23" x14ac:dyDescent="0.25">
      <c r="A1683" s="255" t="s">
        <v>628</v>
      </c>
      <c r="B1683" s="255" t="s">
        <v>918</v>
      </c>
      <c r="C1683" s="255"/>
      <c r="D1683" s="255"/>
      <c r="E1683" s="255" t="s">
        <v>97</v>
      </c>
      <c r="F1683" s="255"/>
      <c r="G1683" s="255"/>
      <c r="H1683" s="255">
        <v>0</v>
      </c>
      <c r="I1683" s="255">
        <v>0</v>
      </c>
      <c r="J1683" s="255">
        <v>0</v>
      </c>
      <c r="K1683" s="255">
        <v>0</v>
      </c>
      <c r="L1683" s="255">
        <v>0</v>
      </c>
      <c r="M1683" s="255">
        <v>0</v>
      </c>
      <c r="N1683" s="255">
        <v>0</v>
      </c>
      <c r="O1683" s="255">
        <v>0</v>
      </c>
      <c r="P1683" s="255">
        <v>0</v>
      </c>
      <c r="Q1683" s="255">
        <v>0</v>
      </c>
      <c r="R1683" s="255">
        <v>0</v>
      </c>
      <c r="S1683" s="255" t="s">
        <v>488</v>
      </c>
      <c r="T1683" s="255" t="s">
        <v>488</v>
      </c>
      <c r="U1683" s="255">
        <v>0</v>
      </c>
      <c r="V1683" s="255">
        <v>0</v>
      </c>
      <c r="W1683">
        <f t="shared" si="26"/>
        <v>0</v>
      </c>
    </row>
    <row r="1684" spans="1:23" x14ac:dyDescent="0.25">
      <c r="A1684" s="2" t="s">
        <v>628</v>
      </c>
      <c r="B1684" s="2" t="s">
        <v>918</v>
      </c>
      <c r="C1684" s="2">
        <v>540225</v>
      </c>
      <c r="D1684" s="2" t="s">
        <v>862</v>
      </c>
      <c r="E1684" s="2" t="s">
        <v>99</v>
      </c>
      <c r="F1684" s="2" t="s">
        <v>5</v>
      </c>
      <c r="G1684" s="2">
        <v>5</v>
      </c>
      <c r="H1684" s="2">
        <v>0</v>
      </c>
      <c r="I1684" s="2">
        <v>0</v>
      </c>
      <c r="J1684" s="2">
        <v>0</v>
      </c>
      <c r="K1684" s="2">
        <v>0</v>
      </c>
      <c r="L1684" s="2">
        <v>0</v>
      </c>
      <c r="M1684" s="2">
        <v>0</v>
      </c>
      <c r="N1684" s="2">
        <v>0</v>
      </c>
      <c r="O1684" s="2">
        <v>0</v>
      </c>
      <c r="P1684" s="2">
        <v>0</v>
      </c>
      <c r="Q1684" s="2">
        <v>0</v>
      </c>
      <c r="R1684" s="2">
        <v>0</v>
      </c>
      <c r="S1684" s="2" t="s">
        <v>488</v>
      </c>
      <c r="T1684" s="2" t="s">
        <v>488</v>
      </c>
      <c r="U1684" s="2">
        <v>0</v>
      </c>
      <c r="V1684" s="2">
        <v>0</v>
      </c>
      <c r="W1684">
        <f t="shared" si="26"/>
        <v>0</v>
      </c>
    </row>
    <row r="1685" spans="1:23" x14ac:dyDescent="0.25">
      <c r="A1685" s="2" t="s">
        <v>628</v>
      </c>
      <c r="B1685" s="2" t="s">
        <v>918</v>
      </c>
      <c r="C1685" s="2">
        <v>540156</v>
      </c>
      <c r="D1685" s="2" t="s">
        <v>863</v>
      </c>
      <c r="E1685" s="2" t="s">
        <v>99</v>
      </c>
      <c r="F1685" s="2" t="s">
        <v>115</v>
      </c>
      <c r="G1685" s="2">
        <v>5</v>
      </c>
      <c r="H1685" s="2">
        <v>0</v>
      </c>
      <c r="I1685" s="2">
        <v>0</v>
      </c>
      <c r="J1685" s="2">
        <v>0</v>
      </c>
      <c r="K1685" s="2">
        <v>0</v>
      </c>
      <c r="L1685" s="2">
        <v>0</v>
      </c>
      <c r="M1685" s="2">
        <v>0</v>
      </c>
      <c r="N1685" s="2">
        <v>0</v>
      </c>
      <c r="O1685" s="2">
        <v>0</v>
      </c>
      <c r="P1685" s="2">
        <v>0</v>
      </c>
      <c r="Q1685" s="2">
        <v>0</v>
      </c>
      <c r="R1685" s="2">
        <v>0</v>
      </c>
      <c r="S1685" s="2" t="s">
        <v>488</v>
      </c>
      <c r="T1685" s="2" t="s">
        <v>488</v>
      </c>
      <c r="U1685" s="2">
        <v>0</v>
      </c>
      <c r="V1685" s="2">
        <v>0</v>
      </c>
      <c r="W1685">
        <f t="shared" si="26"/>
        <v>0</v>
      </c>
    </row>
    <row r="1686" spans="1:23" x14ac:dyDescent="0.25">
      <c r="A1686" s="2" t="s">
        <v>628</v>
      </c>
      <c r="B1686" s="2" t="s">
        <v>918</v>
      </c>
      <c r="C1686" s="2">
        <v>540253</v>
      </c>
      <c r="D1686" s="2" t="s">
        <v>864</v>
      </c>
      <c r="E1686" s="2" t="s">
        <v>99</v>
      </c>
      <c r="F1686" s="2" t="s">
        <v>115</v>
      </c>
      <c r="G1686" s="2">
        <v>5</v>
      </c>
      <c r="H1686" s="2">
        <v>0</v>
      </c>
      <c r="I1686" s="2">
        <v>0</v>
      </c>
      <c r="J1686" s="2">
        <v>0</v>
      </c>
      <c r="K1686" s="2">
        <v>0</v>
      </c>
      <c r="L1686" s="2">
        <v>0</v>
      </c>
      <c r="M1686" s="2">
        <v>0</v>
      </c>
      <c r="N1686" s="2">
        <v>0</v>
      </c>
      <c r="O1686" s="2">
        <v>0</v>
      </c>
      <c r="P1686" s="2">
        <v>0</v>
      </c>
      <c r="Q1686" s="2">
        <v>0</v>
      </c>
      <c r="R1686" s="2">
        <v>0</v>
      </c>
      <c r="S1686" s="2" t="s">
        <v>488</v>
      </c>
      <c r="T1686" s="2" t="s">
        <v>488</v>
      </c>
      <c r="U1686" s="2">
        <v>0</v>
      </c>
      <c r="V1686" s="2">
        <v>0</v>
      </c>
      <c r="W1686">
        <f t="shared" si="26"/>
        <v>0</v>
      </c>
    </row>
    <row r="1687" spans="1:23" x14ac:dyDescent="0.25">
      <c r="A1687" s="255" t="s">
        <v>628</v>
      </c>
      <c r="B1687" s="255" t="s">
        <v>918</v>
      </c>
      <c r="C1687" s="255"/>
      <c r="D1687" s="255"/>
      <c r="E1687" s="255" t="s">
        <v>99</v>
      </c>
      <c r="F1687" s="255"/>
      <c r="G1687" s="255"/>
      <c r="H1687" s="255">
        <v>0</v>
      </c>
      <c r="I1687" s="255">
        <v>0</v>
      </c>
      <c r="J1687" s="255">
        <v>0</v>
      </c>
      <c r="K1687" s="255">
        <v>0</v>
      </c>
      <c r="L1687" s="255">
        <v>0</v>
      </c>
      <c r="M1687" s="255">
        <v>0</v>
      </c>
      <c r="N1687" s="255">
        <v>0</v>
      </c>
      <c r="O1687" s="255">
        <v>0</v>
      </c>
      <c r="P1687" s="255">
        <v>0</v>
      </c>
      <c r="Q1687" s="255">
        <v>0</v>
      </c>
      <c r="R1687" s="255">
        <v>0</v>
      </c>
      <c r="S1687" s="255" t="s">
        <v>488</v>
      </c>
      <c r="T1687" s="255" t="s">
        <v>488</v>
      </c>
      <c r="U1687" s="255">
        <v>0</v>
      </c>
      <c r="V1687" s="255">
        <v>0</v>
      </c>
      <c r="W1687">
        <f t="shared" si="26"/>
        <v>0</v>
      </c>
    </row>
    <row r="1688" spans="1:23" x14ac:dyDescent="0.25">
      <c r="A1688" s="2" t="s">
        <v>628</v>
      </c>
      <c r="B1688" s="2" t="s">
        <v>918</v>
      </c>
      <c r="C1688" s="2">
        <v>540226</v>
      </c>
      <c r="D1688" s="2" t="s">
        <v>865</v>
      </c>
      <c r="E1688" s="2" t="s">
        <v>101</v>
      </c>
      <c r="F1688" s="2" t="s">
        <v>5</v>
      </c>
      <c r="G1688" s="2">
        <v>8</v>
      </c>
      <c r="H1688" s="2">
        <v>1</v>
      </c>
      <c r="I1688" s="2">
        <v>0</v>
      </c>
      <c r="J1688" s="2">
        <v>0</v>
      </c>
      <c r="K1688" s="2">
        <v>0</v>
      </c>
      <c r="L1688" s="2">
        <v>0</v>
      </c>
      <c r="M1688" s="2">
        <v>0</v>
      </c>
      <c r="N1688" s="2">
        <v>1</v>
      </c>
      <c r="O1688" s="2">
        <v>0</v>
      </c>
      <c r="P1688" s="2">
        <v>0</v>
      </c>
      <c r="Q1688" s="2" t="s">
        <v>488</v>
      </c>
      <c r="R1688" s="2" t="s">
        <v>488</v>
      </c>
      <c r="S1688" s="2" t="s">
        <v>488</v>
      </c>
      <c r="T1688" s="2" t="s">
        <v>488</v>
      </c>
      <c r="U1688" s="2">
        <v>0</v>
      </c>
      <c r="V1688" s="2">
        <v>0</v>
      </c>
      <c r="W1688">
        <f t="shared" si="26"/>
        <v>1</v>
      </c>
    </row>
    <row r="1689" spans="1:23" x14ac:dyDescent="0.25">
      <c r="A1689" s="2" t="s">
        <v>628</v>
      </c>
      <c r="B1689" s="2" t="s">
        <v>918</v>
      </c>
      <c r="C1689" s="2">
        <v>540046</v>
      </c>
      <c r="D1689" s="2" t="s">
        <v>866</v>
      </c>
      <c r="E1689" s="2" t="s">
        <v>101</v>
      </c>
      <c r="F1689" s="2" t="s">
        <v>115</v>
      </c>
      <c r="G1689" s="2">
        <v>8</v>
      </c>
      <c r="H1689" s="2">
        <v>0</v>
      </c>
      <c r="I1689" s="2">
        <v>0</v>
      </c>
      <c r="J1689" s="2">
        <v>0</v>
      </c>
      <c r="K1689" s="2">
        <v>0</v>
      </c>
      <c r="L1689" s="2">
        <v>0</v>
      </c>
      <c r="M1689" s="2">
        <v>0</v>
      </c>
      <c r="N1689" s="2">
        <v>0</v>
      </c>
      <c r="O1689" s="2">
        <v>0</v>
      </c>
      <c r="P1689" s="2">
        <v>0</v>
      </c>
      <c r="Q1689" s="2" t="s">
        <v>488</v>
      </c>
      <c r="R1689" s="2" t="s">
        <v>488</v>
      </c>
      <c r="S1689" s="2" t="s">
        <v>488</v>
      </c>
      <c r="T1689" s="2" t="s">
        <v>488</v>
      </c>
      <c r="U1689" s="2">
        <v>1</v>
      </c>
      <c r="V1689" s="2">
        <v>0</v>
      </c>
      <c r="W1689">
        <f t="shared" si="26"/>
        <v>1</v>
      </c>
    </row>
    <row r="1690" spans="1:23" x14ac:dyDescent="0.25">
      <c r="A1690" s="2" t="s">
        <v>628</v>
      </c>
      <c r="B1690" s="2" t="s">
        <v>918</v>
      </c>
      <c r="C1690" s="2">
        <v>540276</v>
      </c>
      <c r="D1690" s="2" t="s">
        <v>867</v>
      </c>
      <c r="E1690" s="2" t="s">
        <v>101</v>
      </c>
      <c r="F1690" s="2" t="s">
        <v>115</v>
      </c>
      <c r="G1690" s="2">
        <v>8</v>
      </c>
      <c r="H1690" s="2">
        <v>0</v>
      </c>
      <c r="I1690" s="2">
        <v>0</v>
      </c>
      <c r="J1690" s="2">
        <v>0</v>
      </c>
      <c r="K1690" s="2">
        <v>0</v>
      </c>
      <c r="L1690" s="2">
        <v>0</v>
      </c>
      <c r="M1690" s="2">
        <v>0</v>
      </c>
      <c r="N1690" s="2">
        <v>0</v>
      </c>
      <c r="O1690" s="2">
        <v>0</v>
      </c>
      <c r="P1690" s="2">
        <v>0</v>
      </c>
      <c r="Q1690" s="2" t="s">
        <v>488</v>
      </c>
      <c r="R1690" s="2" t="s">
        <v>488</v>
      </c>
      <c r="S1690" s="2" t="s">
        <v>488</v>
      </c>
      <c r="T1690" s="2" t="s">
        <v>488</v>
      </c>
      <c r="U1690" s="2">
        <v>0</v>
      </c>
      <c r="V1690" s="2">
        <v>0</v>
      </c>
      <c r="W1690">
        <f t="shared" si="26"/>
        <v>0</v>
      </c>
    </row>
    <row r="1691" spans="1:23" x14ac:dyDescent="0.25">
      <c r="A1691" s="255" t="s">
        <v>628</v>
      </c>
      <c r="B1691" s="255" t="s">
        <v>918</v>
      </c>
      <c r="C1691" s="255"/>
      <c r="D1691" s="255"/>
      <c r="E1691" s="255" t="s">
        <v>101</v>
      </c>
      <c r="F1691" s="255"/>
      <c r="G1691" s="255"/>
      <c r="H1691" s="255">
        <v>1</v>
      </c>
      <c r="I1691" s="255">
        <v>0</v>
      </c>
      <c r="J1691" s="255">
        <v>0</v>
      </c>
      <c r="K1691" s="255">
        <v>0</v>
      </c>
      <c r="L1691" s="255">
        <v>0</v>
      </c>
      <c r="M1691" s="255">
        <v>0</v>
      </c>
      <c r="N1691" s="255">
        <v>1</v>
      </c>
      <c r="O1691" s="255">
        <v>0</v>
      </c>
      <c r="P1691" s="255">
        <v>0</v>
      </c>
      <c r="Q1691" s="255" t="s">
        <v>488</v>
      </c>
      <c r="R1691" s="255" t="s">
        <v>488</v>
      </c>
      <c r="S1691" s="255" t="s">
        <v>488</v>
      </c>
      <c r="T1691" s="255" t="s">
        <v>488</v>
      </c>
      <c r="U1691" s="255">
        <v>1</v>
      </c>
      <c r="V1691" s="255">
        <v>0</v>
      </c>
      <c r="W1691">
        <f t="shared" si="26"/>
        <v>2</v>
      </c>
    </row>
    <row r="1692" spans="1:23" x14ac:dyDescent="0.25">
      <c r="A1692" s="2" t="s">
        <v>628</v>
      </c>
      <c r="B1692" s="2" t="s">
        <v>918</v>
      </c>
      <c r="C1692" s="2">
        <v>540277</v>
      </c>
      <c r="D1692" s="2" t="s">
        <v>868</v>
      </c>
      <c r="E1692" s="2" t="s">
        <v>103</v>
      </c>
      <c r="F1692" s="2" t="s">
        <v>5</v>
      </c>
      <c r="G1692" s="2">
        <v>5</v>
      </c>
      <c r="H1692" s="2">
        <v>1</v>
      </c>
      <c r="I1692" s="2">
        <v>0</v>
      </c>
      <c r="J1692" s="2">
        <v>0</v>
      </c>
      <c r="K1692" s="2">
        <v>0</v>
      </c>
      <c r="L1692" s="2">
        <v>0</v>
      </c>
      <c r="M1692" s="2">
        <v>0</v>
      </c>
      <c r="N1692" s="2">
        <v>1</v>
      </c>
      <c r="O1692" s="2">
        <v>0</v>
      </c>
      <c r="P1692" s="2">
        <v>0</v>
      </c>
      <c r="Q1692" s="2">
        <v>0</v>
      </c>
      <c r="R1692" s="2">
        <v>0</v>
      </c>
      <c r="S1692" s="2" t="s">
        <v>488</v>
      </c>
      <c r="T1692" s="2" t="s">
        <v>488</v>
      </c>
      <c r="U1692" s="2">
        <v>0</v>
      </c>
      <c r="V1692" s="2">
        <v>0</v>
      </c>
      <c r="W1692">
        <f t="shared" si="26"/>
        <v>1</v>
      </c>
    </row>
    <row r="1693" spans="1:23" x14ac:dyDescent="0.25">
      <c r="A1693" s="2" t="s">
        <v>628</v>
      </c>
      <c r="B1693" s="2" t="s">
        <v>918</v>
      </c>
      <c r="C1693" s="2">
        <v>540195</v>
      </c>
      <c r="D1693" s="2" t="s">
        <v>869</v>
      </c>
      <c r="E1693" s="2" t="s">
        <v>103</v>
      </c>
      <c r="F1693" s="2" t="s">
        <v>115</v>
      </c>
      <c r="G1693" s="2">
        <v>5</v>
      </c>
      <c r="H1693" s="2">
        <v>0</v>
      </c>
      <c r="I1693" s="2">
        <v>0</v>
      </c>
      <c r="J1693" s="2">
        <v>0</v>
      </c>
      <c r="K1693" s="2">
        <v>0</v>
      </c>
      <c r="L1693" s="2">
        <v>0</v>
      </c>
      <c r="M1693" s="2">
        <v>0</v>
      </c>
      <c r="N1693" s="2">
        <v>0</v>
      </c>
      <c r="O1693" s="2">
        <v>0</v>
      </c>
      <c r="P1693" s="2">
        <v>0</v>
      </c>
      <c r="Q1693" s="2">
        <v>0</v>
      </c>
      <c r="R1693" s="2">
        <v>0</v>
      </c>
      <c r="S1693" s="2" t="s">
        <v>488</v>
      </c>
      <c r="T1693" s="2" t="s">
        <v>488</v>
      </c>
      <c r="U1693" s="2">
        <v>0</v>
      </c>
      <c r="V1693" s="2">
        <v>0</v>
      </c>
      <c r="W1693">
        <f t="shared" si="26"/>
        <v>0</v>
      </c>
    </row>
    <row r="1694" spans="1:23" x14ac:dyDescent="0.25">
      <c r="A1694" s="2" t="s">
        <v>628</v>
      </c>
      <c r="B1694" s="2" t="s">
        <v>918</v>
      </c>
      <c r="C1694" s="2">
        <v>540196</v>
      </c>
      <c r="D1694" s="2" t="s">
        <v>843</v>
      </c>
      <c r="E1694" s="2" t="s">
        <v>103</v>
      </c>
      <c r="F1694" s="2" t="s">
        <v>115</v>
      </c>
      <c r="G1694" s="2">
        <v>5</v>
      </c>
      <c r="H1694" s="2">
        <v>0</v>
      </c>
      <c r="I1694" s="2">
        <v>0</v>
      </c>
      <c r="J1694" s="2">
        <v>0</v>
      </c>
      <c r="K1694" s="2">
        <v>0</v>
      </c>
      <c r="L1694" s="2">
        <v>0</v>
      </c>
      <c r="M1694" s="2">
        <v>0</v>
      </c>
      <c r="N1694" s="2">
        <v>0</v>
      </c>
      <c r="O1694" s="2">
        <v>0</v>
      </c>
      <c r="P1694" s="2">
        <v>0</v>
      </c>
      <c r="Q1694" s="2">
        <v>0</v>
      </c>
      <c r="R1694" s="2">
        <v>0</v>
      </c>
      <c r="S1694" s="2" t="s">
        <v>488</v>
      </c>
      <c r="T1694" s="2" t="s">
        <v>488</v>
      </c>
      <c r="U1694" s="2">
        <v>0</v>
      </c>
      <c r="V1694" s="2">
        <v>0</v>
      </c>
      <c r="W1694">
        <f t="shared" si="26"/>
        <v>0</v>
      </c>
    </row>
    <row r="1695" spans="1:23" x14ac:dyDescent="0.25">
      <c r="A1695" s="2" t="s">
        <v>628</v>
      </c>
      <c r="B1695" s="2" t="s">
        <v>918</v>
      </c>
      <c r="C1695" s="2">
        <v>540197</v>
      </c>
      <c r="D1695" s="2" t="s">
        <v>870</v>
      </c>
      <c r="E1695" s="2" t="s">
        <v>103</v>
      </c>
      <c r="F1695" s="2" t="s">
        <v>115</v>
      </c>
      <c r="G1695" s="2">
        <v>5</v>
      </c>
      <c r="H1695" s="2">
        <v>0</v>
      </c>
      <c r="I1695" s="2">
        <v>0</v>
      </c>
      <c r="J1695" s="2">
        <v>0</v>
      </c>
      <c r="K1695" s="2">
        <v>0</v>
      </c>
      <c r="L1695" s="2">
        <v>0</v>
      </c>
      <c r="M1695" s="2">
        <v>0</v>
      </c>
      <c r="N1695" s="2">
        <v>0</v>
      </c>
      <c r="O1695" s="2">
        <v>0</v>
      </c>
      <c r="P1695" s="2">
        <v>0</v>
      </c>
      <c r="Q1695" s="2">
        <v>0</v>
      </c>
      <c r="R1695" s="2">
        <v>0</v>
      </c>
      <c r="S1695" s="2" t="s">
        <v>488</v>
      </c>
      <c r="T1695" s="2" t="s">
        <v>488</v>
      </c>
      <c r="U1695" s="2">
        <v>0</v>
      </c>
      <c r="V1695" s="2">
        <v>0</v>
      </c>
      <c r="W1695">
        <f t="shared" si="26"/>
        <v>0</v>
      </c>
    </row>
    <row r="1696" spans="1:23" x14ac:dyDescent="0.25">
      <c r="A1696" s="2" t="s">
        <v>628</v>
      </c>
      <c r="B1696" s="2" t="s">
        <v>918</v>
      </c>
      <c r="C1696" s="2">
        <v>540259</v>
      </c>
      <c r="D1696" s="2" t="s">
        <v>871</v>
      </c>
      <c r="E1696" s="2" t="s">
        <v>103</v>
      </c>
      <c r="F1696" s="2" t="s">
        <v>115</v>
      </c>
      <c r="G1696" s="2">
        <v>5</v>
      </c>
      <c r="H1696" s="2">
        <v>0</v>
      </c>
      <c r="I1696" s="2">
        <v>0</v>
      </c>
      <c r="J1696" s="2">
        <v>0</v>
      </c>
      <c r="K1696" s="2">
        <v>0</v>
      </c>
      <c r="L1696" s="2">
        <v>0</v>
      </c>
      <c r="M1696" s="2">
        <v>0</v>
      </c>
      <c r="N1696" s="2">
        <v>0</v>
      </c>
      <c r="O1696" s="2">
        <v>0</v>
      </c>
      <c r="P1696" s="2">
        <v>0</v>
      </c>
      <c r="Q1696" s="2">
        <v>0</v>
      </c>
      <c r="R1696" s="2">
        <v>0</v>
      </c>
      <c r="S1696" s="2" t="s">
        <v>488</v>
      </c>
      <c r="T1696" s="2" t="s">
        <v>488</v>
      </c>
      <c r="U1696" s="2">
        <v>0</v>
      </c>
      <c r="V1696" s="2">
        <v>0</v>
      </c>
      <c r="W1696">
        <f t="shared" si="26"/>
        <v>0</v>
      </c>
    </row>
    <row r="1697" spans="1:23" x14ac:dyDescent="0.25">
      <c r="A1697" s="255" t="s">
        <v>628</v>
      </c>
      <c r="B1697" s="255" t="s">
        <v>918</v>
      </c>
      <c r="C1697" s="255"/>
      <c r="D1697" s="255"/>
      <c r="E1697" s="255" t="s">
        <v>103</v>
      </c>
      <c r="F1697" s="255"/>
      <c r="G1697" s="255"/>
      <c r="H1697" s="255">
        <v>1</v>
      </c>
      <c r="I1697" s="255">
        <v>0</v>
      </c>
      <c r="J1697" s="255">
        <v>0</v>
      </c>
      <c r="K1697" s="255">
        <v>0</v>
      </c>
      <c r="L1697" s="255">
        <v>0</v>
      </c>
      <c r="M1697" s="255">
        <v>0</v>
      </c>
      <c r="N1697" s="255">
        <v>1</v>
      </c>
      <c r="O1697" s="255">
        <v>0</v>
      </c>
      <c r="P1697" s="255">
        <v>0</v>
      </c>
      <c r="Q1697" s="255">
        <v>0</v>
      </c>
      <c r="R1697" s="255">
        <v>0</v>
      </c>
      <c r="S1697" s="255" t="s">
        <v>488</v>
      </c>
      <c r="T1697" s="255" t="s">
        <v>488</v>
      </c>
      <c r="U1697" s="255">
        <v>0</v>
      </c>
      <c r="V1697" s="255">
        <v>0</v>
      </c>
      <c r="W1697">
        <f t="shared" si="26"/>
        <v>1</v>
      </c>
    </row>
    <row r="1698" spans="1:23" x14ac:dyDescent="0.25">
      <c r="A1698" s="2" t="s">
        <v>628</v>
      </c>
      <c r="B1698" s="2" t="s">
        <v>918</v>
      </c>
      <c r="C1698" s="2">
        <v>540278</v>
      </c>
      <c r="D1698" s="2" t="s">
        <v>872</v>
      </c>
      <c r="E1698" s="2" t="s">
        <v>105</v>
      </c>
      <c r="F1698" s="2" t="s">
        <v>5</v>
      </c>
      <c r="G1698" s="2">
        <v>1</v>
      </c>
      <c r="H1698" s="2">
        <v>2</v>
      </c>
      <c r="I1698" s="2">
        <v>0</v>
      </c>
      <c r="J1698" s="2">
        <v>0</v>
      </c>
      <c r="K1698" s="2">
        <v>0</v>
      </c>
      <c r="L1698" s="2">
        <v>0</v>
      </c>
      <c r="M1698" s="2">
        <v>0</v>
      </c>
      <c r="N1698" s="2">
        <v>2</v>
      </c>
      <c r="O1698" s="2">
        <v>1</v>
      </c>
      <c r="P1698" s="2">
        <v>0</v>
      </c>
      <c r="Q1698" s="2">
        <v>2</v>
      </c>
      <c r="R1698" s="2">
        <v>0</v>
      </c>
      <c r="S1698" s="2" t="s">
        <v>488</v>
      </c>
      <c r="T1698" s="2" t="s">
        <v>488</v>
      </c>
      <c r="U1698" s="2">
        <v>0</v>
      </c>
      <c r="V1698" s="2">
        <v>0</v>
      </c>
      <c r="W1698">
        <f t="shared" si="26"/>
        <v>2</v>
      </c>
    </row>
    <row r="1699" spans="1:23" x14ac:dyDescent="0.25">
      <c r="A1699" s="2" t="s">
        <v>628</v>
      </c>
      <c r="B1699" s="2" t="s">
        <v>918</v>
      </c>
      <c r="C1699" s="2">
        <v>540041</v>
      </c>
      <c r="D1699" s="2" t="s">
        <v>666</v>
      </c>
      <c r="E1699" s="2" t="s">
        <v>105</v>
      </c>
      <c r="F1699" s="2" t="s">
        <v>115</v>
      </c>
      <c r="G1699" s="2">
        <v>1</v>
      </c>
      <c r="H1699" s="2">
        <v>0</v>
      </c>
      <c r="I1699" s="2">
        <v>0</v>
      </c>
      <c r="J1699" s="2">
        <v>0</v>
      </c>
      <c r="K1699" s="2">
        <v>0</v>
      </c>
      <c r="L1699" s="2">
        <v>0</v>
      </c>
      <c r="M1699" s="2">
        <v>0</v>
      </c>
      <c r="N1699" s="2">
        <v>0</v>
      </c>
      <c r="O1699" s="2">
        <v>0</v>
      </c>
      <c r="P1699" s="2">
        <v>0</v>
      </c>
      <c r="Q1699" s="2">
        <v>0</v>
      </c>
      <c r="R1699" s="2">
        <v>0</v>
      </c>
      <c r="S1699" s="2" t="s">
        <v>488</v>
      </c>
      <c r="T1699" s="2" t="s">
        <v>488</v>
      </c>
      <c r="U1699" s="2">
        <v>1</v>
      </c>
      <c r="V1699" s="2">
        <v>0</v>
      </c>
      <c r="W1699">
        <f t="shared" si="26"/>
        <v>1</v>
      </c>
    </row>
    <row r="1700" spans="1:23" x14ac:dyDescent="0.25">
      <c r="A1700" s="2" t="s">
        <v>628</v>
      </c>
      <c r="B1700" s="2" t="s">
        <v>918</v>
      </c>
      <c r="C1700" s="2">
        <v>540143</v>
      </c>
      <c r="D1700" s="2" t="s">
        <v>873</v>
      </c>
      <c r="E1700" s="2" t="s">
        <v>105</v>
      </c>
      <c r="F1700" s="2" t="s">
        <v>115</v>
      </c>
      <c r="G1700" s="2">
        <v>1</v>
      </c>
      <c r="H1700" s="2">
        <v>0</v>
      </c>
      <c r="I1700" s="2">
        <v>0</v>
      </c>
      <c r="J1700" s="2">
        <v>0</v>
      </c>
      <c r="K1700" s="2">
        <v>0</v>
      </c>
      <c r="L1700" s="2">
        <v>0</v>
      </c>
      <c r="M1700" s="2">
        <v>0</v>
      </c>
      <c r="N1700" s="2">
        <v>0</v>
      </c>
      <c r="O1700" s="2">
        <v>0</v>
      </c>
      <c r="P1700" s="2">
        <v>0</v>
      </c>
      <c r="Q1700" s="2">
        <v>0</v>
      </c>
      <c r="R1700" s="2">
        <v>0</v>
      </c>
      <c r="S1700" s="2" t="s">
        <v>488</v>
      </c>
      <c r="T1700" s="2" t="s">
        <v>488</v>
      </c>
      <c r="U1700" s="2">
        <v>0</v>
      </c>
      <c r="V1700" s="2">
        <v>0</v>
      </c>
      <c r="W1700">
        <f t="shared" si="26"/>
        <v>0</v>
      </c>
    </row>
    <row r="1701" spans="1:23" x14ac:dyDescent="0.25">
      <c r="A1701" s="2" t="s">
        <v>628</v>
      </c>
      <c r="B1701" s="2" t="s">
        <v>918</v>
      </c>
      <c r="C1701" s="2">
        <v>540290</v>
      </c>
      <c r="D1701" s="2" t="s">
        <v>874</v>
      </c>
      <c r="E1701" s="2" t="s">
        <v>105</v>
      </c>
      <c r="F1701" s="2" t="s">
        <v>115</v>
      </c>
      <c r="G1701" s="2">
        <v>1</v>
      </c>
      <c r="H1701" s="2">
        <v>0</v>
      </c>
      <c r="I1701" s="2">
        <v>0</v>
      </c>
      <c r="J1701" s="2">
        <v>0</v>
      </c>
      <c r="K1701" s="2">
        <v>0</v>
      </c>
      <c r="L1701" s="2">
        <v>0</v>
      </c>
      <c r="M1701" s="2">
        <v>0</v>
      </c>
      <c r="N1701" s="2">
        <v>0</v>
      </c>
      <c r="O1701" s="2">
        <v>0</v>
      </c>
      <c r="P1701" s="2">
        <v>0</v>
      </c>
      <c r="Q1701" s="2">
        <v>0</v>
      </c>
      <c r="R1701" s="2">
        <v>0</v>
      </c>
      <c r="S1701" s="2" t="s">
        <v>488</v>
      </c>
      <c r="T1701" s="2" t="s">
        <v>488</v>
      </c>
      <c r="U1701" s="2">
        <v>0</v>
      </c>
      <c r="V1701" s="2">
        <v>0</v>
      </c>
      <c r="W1701">
        <f t="shared" si="26"/>
        <v>0</v>
      </c>
    </row>
    <row r="1702" spans="1:23" x14ac:dyDescent="0.25">
      <c r="A1702" s="255" t="s">
        <v>628</v>
      </c>
      <c r="B1702" s="255" t="s">
        <v>918</v>
      </c>
      <c r="C1702" s="255"/>
      <c r="D1702" s="255"/>
      <c r="E1702" s="255" t="s">
        <v>105</v>
      </c>
      <c r="F1702" s="255"/>
      <c r="G1702" s="255"/>
      <c r="H1702" s="255">
        <v>2</v>
      </c>
      <c r="I1702" s="255">
        <v>0</v>
      </c>
      <c r="J1702" s="255">
        <v>0</v>
      </c>
      <c r="K1702" s="255">
        <v>0</v>
      </c>
      <c r="L1702" s="255">
        <v>0</v>
      </c>
      <c r="M1702" s="255">
        <v>0</v>
      </c>
      <c r="N1702" s="255">
        <v>2</v>
      </c>
      <c r="O1702" s="255">
        <v>1</v>
      </c>
      <c r="P1702" s="255">
        <v>0</v>
      </c>
      <c r="Q1702" s="255">
        <v>2</v>
      </c>
      <c r="R1702" s="255">
        <v>0</v>
      </c>
      <c r="S1702" s="255" t="s">
        <v>488</v>
      </c>
      <c r="T1702" s="255" t="s">
        <v>488</v>
      </c>
      <c r="U1702" s="255">
        <v>1</v>
      </c>
      <c r="V1702" s="255">
        <v>0</v>
      </c>
      <c r="W1702">
        <f t="shared" si="26"/>
        <v>3</v>
      </c>
    </row>
    <row r="1703" spans="1:23" x14ac:dyDescent="0.25">
      <c r="A1703" s="2" t="s">
        <v>628</v>
      </c>
      <c r="B1703" s="2" t="s">
        <v>918</v>
      </c>
      <c r="C1703" s="2">
        <v>540282</v>
      </c>
      <c r="D1703" s="2" t="s">
        <v>875</v>
      </c>
      <c r="E1703" s="2" t="s">
        <v>107</v>
      </c>
      <c r="F1703" s="2" t="s">
        <v>5</v>
      </c>
      <c r="G1703" s="2">
        <v>9</v>
      </c>
      <c r="H1703" s="2">
        <v>0</v>
      </c>
      <c r="I1703" s="2">
        <v>0</v>
      </c>
      <c r="J1703" s="2">
        <v>0</v>
      </c>
      <c r="K1703" s="2">
        <v>0</v>
      </c>
      <c r="L1703" s="2">
        <v>0</v>
      </c>
      <c r="M1703" s="2">
        <v>0</v>
      </c>
      <c r="N1703" s="2">
        <v>0</v>
      </c>
      <c r="O1703" s="2">
        <v>0</v>
      </c>
      <c r="P1703" s="2">
        <v>0</v>
      </c>
      <c r="Q1703" s="2">
        <v>0</v>
      </c>
      <c r="R1703" s="2">
        <v>0</v>
      </c>
      <c r="S1703" s="2">
        <v>0</v>
      </c>
      <c r="T1703" s="2">
        <v>0</v>
      </c>
      <c r="U1703" s="2">
        <v>0</v>
      </c>
      <c r="V1703" s="2">
        <v>0</v>
      </c>
      <c r="W1703">
        <f t="shared" si="26"/>
        <v>0</v>
      </c>
    </row>
    <row r="1704" spans="1:23" x14ac:dyDescent="0.25">
      <c r="A1704" s="2" t="s">
        <v>628</v>
      </c>
      <c r="B1704" s="2" t="s">
        <v>918</v>
      </c>
      <c r="C1704" s="2">
        <v>540006</v>
      </c>
      <c r="D1704" s="2" t="s">
        <v>876</v>
      </c>
      <c r="E1704" s="2" t="s">
        <v>107</v>
      </c>
      <c r="F1704" s="2" t="s">
        <v>115</v>
      </c>
      <c r="G1704" s="2">
        <v>9</v>
      </c>
      <c r="H1704" s="2">
        <v>0</v>
      </c>
      <c r="I1704" s="2">
        <v>0</v>
      </c>
      <c r="J1704" s="2">
        <v>0</v>
      </c>
      <c r="K1704" s="2">
        <v>0</v>
      </c>
      <c r="L1704" s="2">
        <v>0</v>
      </c>
      <c r="M1704" s="2">
        <v>0</v>
      </c>
      <c r="N1704" s="2">
        <v>0</v>
      </c>
      <c r="O1704" s="2">
        <v>0</v>
      </c>
      <c r="P1704" s="2">
        <v>0</v>
      </c>
      <c r="Q1704" s="2">
        <v>0</v>
      </c>
      <c r="R1704" s="2">
        <v>0</v>
      </c>
      <c r="S1704" s="2">
        <v>0</v>
      </c>
      <c r="T1704" s="2">
        <v>0</v>
      </c>
      <c r="U1704" s="2">
        <v>0</v>
      </c>
      <c r="V1704" s="2">
        <v>0</v>
      </c>
      <c r="W1704">
        <f t="shared" si="26"/>
        <v>0</v>
      </c>
    </row>
    <row r="1705" spans="1:23" x14ac:dyDescent="0.25">
      <c r="A1705" s="2" t="s">
        <v>628</v>
      </c>
      <c r="B1705" s="2" t="s">
        <v>918</v>
      </c>
      <c r="C1705" s="2">
        <v>545550</v>
      </c>
      <c r="D1705" s="2" t="s">
        <v>877</v>
      </c>
      <c r="E1705" s="2" t="s">
        <v>107</v>
      </c>
      <c r="F1705" s="2" t="s">
        <v>115</v>
      </c>
      <c r="G1705" s="2">
        <v>9</v>
      </c>
      <c r="H1705" s="2">
        <v>0</v>
      </c>
      <c r="I1705" s="2">
        <v>0</v>
      </c>
      <c r="J1705" s="2">
        <v>0</v>
      </c>
      <c r="K1705" s="2">
        <v>0</v>
      </c>
      <c r="L1705" s="2">
        <v>0</v>
      </c>
      <c r="M1705" s="2">
        <v>0</v>
      </c>
      <c r="N1705" s="2">
        <v>0</v>
      </c>
      <c r="O1705" s="2">
        <v>0</v>
      </c>
      <c r="P1705" s="2">
        <v>0</v>
      </c>
      <c r="Q1705" s="2">
        <v>0</v>
      </c>
      <c r="R1705" s="2">
        <v>0</v>
      </c>
      <c r="S1705" s="2">
        <v>0</v>
      </c>
      <c r="T1705" s="2">
        <v>0</v>
      </c>
      <c r="U1705" s="2">
        <v>0</v>
      </c>
      <c r="V1705" s="2">
        <v>0</v>
      </c>
      <c r="W1705">
        <f t="shared" si="26"/>
        <v>0</v>
      </c>
    </row>
    <row r="1706" spans="1:23" x14ac:dyDescent="0.25">
      <c r="A1706" s="255" t="s">
        <v>628</v>
      </c>
      <c r="B1706" s="255" t="s">
        <v>918</v>
      </c>
      <c r="C1706" s="255"/>
      <c r="D1706" s="255"/>
      <c r="E1706" s="255" t="s">
        <v>107</v>
      </c>
      <c r="F1706" s="255"/>
      <c r="G1706" s="255"/>
      <c r="H1706" s="255">
        <v>0</v>
      </c>
      <c r="I1706" s="255">
        <v>0</v>
      </c>
      <c r="J1706" s="255">
        <v>0</v>
      </c>
      <c r="K1706" s="255">
        <v>0</v>
      </c>
      <c r="L1706" s="255">
        <v>0</v>
      </c>
      <c r="M1706" s="255">
        <v>0</v>
      </c>
      <c r="N1706" s="255">
        <v>0</v>
      </c>
      <c r="O1706" s="255">
        <v>0</v>
      </c>
      <c r="P1706" s="255">
        <v>0</v>
      </c>
      <c r="Q1706" s="255">
        <v>0</v>
      </c>
      <c r="R1706" s="255">
        <v>0</v>
      </c>
      <c r="S1706" s="255">
        <v>0</v>
      </c>
      <c r="T1706" s="255">
        <v>0</v>
      </c>
      <c r="U1706" s="255">
        <v>0</v>
      </c>
      <c r="V1706" s="255">
        <v>0</v>
      </c>
      <c r="W1706">
        <f t="shared" si="26"/>
        <v>0</v>
      </c>
    </row>
    <row r="1707" spans="1:23" x14ac:dyDescent="0.25">
      <c r="A1707" s="2" t="s">
        <v>628</v>
      </c>
      <c r="B1707" s="2" t="s">
        <v>918</v>
      </c>
      <c r="C1707" s="2">
        <v>540283</v>
      </c>
      <c r="D1707" s="2" t="s">
        <v>878</v>
      </c>
      <c r="E1707" s="2" t="s">
        <v>109</v>
      </c>
      <c r="F1707" s="2" t="s">
        <v>5</v>
      </c>
      <c r="G1707" s="2">
        <v>4</v>
      </c>
      <c r="H1707" s="2">
        <v>0</v>
      </c>
      <c r="I1707" s="2">
        <v>0</v>
      </c>
      <c r="J1707" s="2">
        <v>0</v>
      </c>
      <c r="K1707" s="2">
        <v>0</v>
      </c>
      <c r="L1707" s="2">
        <v>0</v>
      </c>
      <c r="M1707" s="2">
        <v>0</v>
      </c>
      <c r="N1707" s="2">
        <v>0</v>
      </c>
      <c r="O1707" s="2">
        <v>0</v>
      </c>
      <c r="P1707" s="2">
        <v>0</v>
      </c>
      <c r="Q1707" s="2" t="s">
        <v>488</v>
      </c>
      <c r="R1707" s="2" t="s">
        <v>488</v>
      </c>
      <c r="S1707" s="2" t="s">
        <v>488</v>
      </c>
      <c r="T1707" s="2" t="s">
        <v>488</v>
      </c>
      <c r="U1707" s="2">
        <v>0</v>
      </c>
      <c r="V1707" s="2">
        <v>0</v>
      </c>
      <c r="W1707">
        <f t="shared" si="26"/>
        <v>0</v>
      </c>
    </row>
    <row r="1708" spans="1:23" x14ac:dyDescent="0.25">
      <c r="A1708" s="2" t="s">
        <v>628</v>
      </c>
      <c r="B1708" s="2" t="s">
        <v>918</v>
      </c>
      <c r="C1708" s="2">
        <v>540158</v>
      </c>
      <c r="D1708" s="2" t="s">
        <v>879</v>
      </c>
      <c r="E1708" s="2" t="s">
        <v>109</v>
      </c>
      <c r="F1708" s="2" t="s">
        <v>115</v>
      </c>
      <c r="G1708" s="2">
        <v>4</v>
      </c>
      <c r="H1708" s="2">
        <v>0</v>
      </c>
      <c r="I1708" s="2">
        <v>0</v>
      </c>
      <c r="J1708" s="2">
        <v>0</v>
      </c>
      <c r="K1708" s="2">
        <v>0</v>
      </c>
      <c r="L1708" s="2">
        <v>0</v>
      </c>
      <c r="M1708" s="2">
        <v>0</v>
      </c>
      <c r="N1708" s="2">
        <v>0</v>
      </c>
      <c r="O1708" s="2">
        <v>0</v>
      </c>
      <c r="P1708" s="2">
        <v>0</v>
      </c>
      <c r="Q1708" s="2" t="s">
        <v>488</v>
      </c>
      <c r="R1708" s="2" t="s">
        <v>488</v>
      </c>
      <c r="S1708" s="2" t="s">
        <v>488</v>
      </c>
      <c r="T1708" s="2" t="s">
        <v>488</v>
      </c>
      <c r="U1708" s="2">
        <v>0</v>
      </c>
      <c r="V1708" s="2">
        <v>0</v>
      </c>
      <c r="W1708">
        <f t="shared" si="26"/>
        <v>0</v>
      </c>
    </row>
    <row r="1709" spans="1:23" x14ac:dyDescent="0.25">
      <c r="A1709" s="2" t="s">
        <v>628</v>
      </c>
      <c r="B1709" s="2" t="s">
        <v>918</v>
      </c>
      <c r="C1709" s="2">
        <v>540159</v>
      </c>
      <c r="D1709" s="2" t="s">
        <v>880</v>
      </c>
      <c r="E1709" s="2" t="s">
        <v>109</v>
      </c>
      <c r="F1709" s="2" t="s">
        <v>115</v>
      </c>
      <c r="G1709" s="2">
        <v>4</v>
      </c>
      <c r="H1709" s="2">
        <v>0</v>
      </c>
      <c r="I1709" s="2">
        <v>2</v>
      </c>
      <c r="J1709" s="2">
        <v>0</v>
      </c>
      <c r="K1709" s="2">
        <v>0</v>
      </c>
      <c r="L1709" s="2">
        <v>0</v>
      </c>
      <c r="M1709" s="2">
        <v>2</v>
      </c>
      <c r="N1709" s="2">
        <v>2</v>
      </c>
      <c r="O1709" s="2">
        <v>0</v>
      </c>
      <c r="P1709" s="2">
        <v>0</v>
      </c>
      <c r="Q1709" s="2" t="s">
        <v>488</v>
      </c>
      <c r="R1709" s="2" t="s">
        <v>488</v>
      </c>
      <c r="S1709" s="2" t="s">
        <v>488</v>
      </c>
      <c r="T1709" s="2" t="s">
        <v>488</v>
      </c>
      <c r="U1709" s="2">
        <v>0</v>
      </c>
      <c r="V1709" s="2">
        <v>0</v>
      </c>
      <c r="W1709">
        <f t="shared" si="26"/>
        <v>2</v>
      </c>
    </row>
    <row r="1710" spans="1:23" x14ac:dyDescent="0.25">
      <c r="A1710" s="2" t="s">
        <v>628</v>
      </c>
      <c r="B1710" s="2" t="s">
        <v>918</v>
      </c>
      <c r="C1710" s="2">
        <v>540288</v>
      </c>
      <c r="D1710" s="2" t="s">
        <v>881</v>
      </c>
      <c r="E1710" s="2" t="s">
        <v>109</v>
      </c>
      <c r="F1710" s="2" t="s">
        <v>115</v>
      </c>
      <c r="G1710" s="2">
        <v>4</v>
      </c>
      <c r="H1710" s="2">
        <v>0</v>
      </c>
      <c r="I1710" s="2">
        <v>0</v>
      </c>
      <c r="J1710" s="2">
        <v>0</v>
      </c>
      <c r="K1710" s="2">
        <v>0</v>
      </c>
      <c r="L1710" s="2">
        <v>0</v>
      </c>
      <c r="M1710" s="2">
        <v>0</v>
      </c>
      <c r="N1710" s="2">
        <v>0</v>
      </c>
      <c r="O1710" s="2">
        <v>0</v>
      </c>
      <c r="P1710" s="2">
        <v>0</v>
      </c>
      <c r="Q1710" s="2" t="s">
        <v>488</v>
      </c>
      <c r="R1710" s="2" t="s">
        <v>488</v>
      </c>
      <c r="S1710" s="2" t="s">
        <v>488</v>
      </c>
      <c r="T1710" s="2" t="s">
        <v>488</v>
      </c>
      <c r="U1710" s="2">
        <v>0</v>
      </c>
      <c r="V1710" s="2">
        <v>0</v>
      </c>
      <c r="W1710">
        <f t="shared" si="26"/>
        <v>0</v>
      </c>
    </row>
    <row r="1711" spans="1:23" x14ac:dyDescent="0.25">
      <c r="A1711" s="255" t="s">
        <v>628</v>
      </c>
      <c r="B1711" s="255" t="s">
        <v>918</v>
      </c>
      <c r="C1711" s="255"/>
      <c r="D1711" s="255"/>
      <c r="E1711" s="255" t="s">
        <v>109</v>
      </c>
      <c r="F1711" s="255"/>
      <c r="G1711" s="255"/>
      <c r="H1711" s="255">
        <v>0</v>
      </c>
      <c r="I1711" s="255">
        <v>2</v>
      </c>
      <c r="J1711" s="255">
        <v>0</v>
      </c>
      <c r="K1711" s="255">
        <v>0</v>
      </c>
      <c r="L1711" s="255">
        <v>0</v>
      </c>
      <c r="M1711" s="255">
        <v>2</v>
      </c>
      <c r="N1711" s="255">
        <v>2</v>
      </c>
      <c r="O1711" s="255">
        <v>0</v>
      </c>
      <c r="P1711" s="255">
        <v>0</v>
      </c>
      <c r="Q1711" s="255" t="s">
        <v>488</v>
      </c>
      <c r="R1711" s="255" t="s">
        <v>488</v>
      </c>
      <c r="S1711" s="255" t="s">
        <v>488</v>
      </c>
      <c r="T1711" s="255" t="s">
        <v>488</v>
      </c>
      <c r="U1711" s="255">
        <v>0</v>
      </c>
      <c r="V1711" s="255">
        <v>0</v>
      </c>
      <c r="W1711">
        <f t="shared" si="26"/>
        <v>2</v>
      </c>
    </row>
    <row r="1712" spans="1:23" x14ac:dyDescent="0.25">
      <c r="A1712" s="2" t="s">
        <v>628</v>
      </c>
      <c r="B1712" s="2" t="s">
        <v>918</v>
      </c>
      <c r="C1712" s="2">
        <v>545536</v>
      </c>
      <c r="D1712" s="2" t="s">
        <v>882</v>
      </c>
      <c r="E1712" s="2" t="s">
        <v>111</v>
      </c>
      <c r="F1712" s="2" t="s">
        <v>5</v>
      </c>
      <c r="G1712" s="2">
        <v>2</v>
      </c>
      <c r="H1712" s="2">
        <v>1</v>
      </c>
      <c r="I1712" s="2">
        <v>2</v>
      </c>
      <c r="J1712" s="2">
        <v>0</v>
      </c>
      <c r="K1712" s="2">
        <v>0</v>
      </c>
      <c r="L1712" s="2">
        <v>0</v>
      </c>
      <c r="M1712" s="2">
        <v>2</v>
      </c>
      <c r="N1712" s="2">
        <v>3</v>
      </c>
      <c r="O1712" s="2">
        <v>0</v>
      </c>
      <c r="P1712" s="2">
        <v>0</v>
      </c>
      <c r="Q1712" s="2">
        <v>0</v>
      </c>
      <c r="R1712" s="2">
        <v>0</v>
      </c>
      <c r="S1712" s="2" t="s">
        <v>488</v>
      </c>
      <c r="T1712" s="2" t="s">
        <v>488</v>
      </c>
      <c r="U1712" s="2">
        <v>1</v>
      </c>
      <c r="V1712" s="2">
        <v>0</v>
      </c>
      <c r="W1712">
        <f t="shared" si="26"/>
        <v>4</v>
      </c>
    </row>
    <row r="1713" spans="1:23" x14ac:dyDescent="0.25">
      <c r="A1713" s="2" t="s">
        <v>628</v>
      </c>
      <c r="B1713" s="2" t="s">
        <v>918</v>
      </c>
      <c r="C1713" s="2">
        <v>540092</v>
      </c>
      <c r="D1713" s="2" t="s">
        <v>883</v>
      </c>
      <c r="E1713" s="2" t="s">
        <v>111</v>
      </c>
      <c r="F1713" s="2" t="s">
        <v>115</v>
      </c>
      <c r="G1713" s="2">
        <v>2</v>
      </c>
      <c r="H1713" s="2">
        <v>0</v>
      </c>
      <c r="I1713" s="2">
        <v>0</v>
      </c>
      <c r="J1713" s="2">
        <v>0</v>
      </c>
      <c r="K1713" s="2">
        <v>0</v>
      </c>
      <c r="L1713" s="2">
        <v>0</v>
      </c>
      <c r="M1713" s="2">
        <v>0</v>
      </c>
      <c r="N1713" s="2">
        <v>0</v>
      </c>
      <c r="O1713" s="2">
        <v>0</v>
      </c>
      <c r="P1713" s="2">
        <v>0</v>
      </c>
      <c r="Q1713" s="2">
        <v>0</v>
      </c>
      <c r="R1713" s="2">
        <v>0</v>
      </c>
      <c r="S1713" s="2" t="s">
        <v>488</v>
      </c>
      <c r="T1713" s="2" t="s">
        <v>488</v>
      </c>
      <c r="U1713" s="2">
        <v>0</v>
      </c>
      <c r="V1713" s="2">
        <v>0</v>
      </c>
      <c r="W1713">
        <f t="shared" si="26"/>
        <v>0</v>
      </c>
    </row>
    <row r="1714" spans="1:23" x14ac:dyDescent="0.25">
      <c r="A1714" s="2" t="s">
        <v>628</v>
      </c>
      <c r="B1714" s="2" t="s">
        <v>918</v>
      </c>
      <c r="C1714" s="2">
        <v>540095</v>
      </c>
      <c r="D1714" s="2" t="s">
        <v>884</v>
      </c>
      <c r="E1714" s="2" t="s">
        <v>111</v>
      </c>
      <c r="F1714" s="2" t="s">
        <v>115</v>
      </c>
      <c r="G1714" s="2">
        <v>2</v>
      </c>
      <c r="H1714" s="2">
        <v>0</v>
      </c>
      <c r="I1714" s="2">
        <v>0</v>
      </c>
      <c r="J1714" s="2">
        <v>0</v>
      </c>
      <c r="K1714" s="2">
        <v>0</v>
      </c>
      <c r="L1714" s="2">
        <v>0</v>
      </c>
      <c r="M1714" s="2">
        <v>0</v>
      </c>
      <c r="N1714" s="2">
        <v>0</v>
      </c>
      <c r="O1714" s="2">
        <v>0</v>
      </c>
      <c r="P1714" s="2">
        <v>0</v>
      </c>
      <c r="Q1714" s="2">
        <v>0</v>
      </c>
      <c r="R1714" s="2">
        <v>0</v>
      </c>
      <c r="S1714" s="2" t="s">
        <v>488</v>
      </c>
      <c r="T1714" s="2" t="s">
        <v>488</v>
      </c>
      <c r="U1714" s="2">
        <v>0</v>
      </c>
      <c r="V1714" s="2">
        <v>0</v>
      </c>
      <c r="W1714">
        <f t="shared" si="26"/>
        <v>0</v>
      </c>
    </row>
    <row r="1715" spans="1:23" x14ac:dyDescent="0.25">
      <c r="A1715" s="2" t="s">
        <v>628</v>
      </c>
      <c r="B1715" s="2" t="s">
        <v>918</v>
      </c>
      <c r="C1715" s="2">
        <v>545535</v>
      </c>
      <c r="D1715" s="2" t="s">
        <v>885</v>
      </c>
      <c r="E1715" s="2" t="s">
        <v>111</v>
      </c>
      <c r="F1715" s="2" t="s">
        <v>115</v>
      </c>
      <c r="G1715" s="2">
        <v>2</v>
      </c>
      <c r="H1715" s="2">
        <v>0</v>
      </c>
      <c r="I1715" s="2">
        <v>0</v>
      </c>
      <c r="J1715" s="2">
        <v>0</v>
      </c>
      <c r="K1715" s="2">
        <v>0</v>
      </c>
      <c r="L1715" s="2">
        <v>0</v>
      </c>
      <c r="M1715" s="2">
        <v>0</v>
      </c>
      <c r="N1715" s="2">
        <v>0</v>
      </c>
      <c r="O1715" s="2">
        <v>0</v>
      </c>
      <c r="P1715" s="2">
        <v>0</v>
      </c>
      <c r="Q1715" s="2">
        <v>0</v>
      </c>
      <c r="R1715" s="2">
        <v>0</v>
      </c>
      <c r="S1715" s="2" t="s">
        <v>488</v>
      </c>
      <c r="T1715" s="2" t="s">
        <v>488</v>
      </c>
      <c r="U1715" s="2">
        <v>0</v>
      </c>
      <c r="V1715" s="2">
        <v>0</v>
      </c>
      <c r="W1715">
        <f t="shared" si="26"/>
        <v>0</v>
      </c>
    </row>
    <row r="1716" spans="1:23" x14ac:dyDescent="0.25">
      <c r="A1716" s="2" t="s">
        <v>628</v>
      </c>
      <c r="B1716" s="2" t="s">
        <v>918</v>
      </c>
      <c r="C1716" s="2">
        <v>545537</v>
      </c>
      <c r="D1716" s="2" t="s">
        <v>886</v>
      </c>
      <c r="E1716" s="2" t="s">
        <v>111</v>
      </c>
      <c r="F1716" s="2" t="s">
        <v>115</v>
      </c>
      <c r="G1716" s="2">
        <v>2</v>
      </c>
      <c r="H1716" s="2">
        <v>0</v>
      </c>
      <c r="I1716" s="2">
        <v>1</v>
      </c>
      <c r="J1716" s="2">
        <v>0</v>
      </c>
      <c r="K1716" s="2">
        <v>0</v>
      </c>
      <c r="L1716" s="2">
        <v>0</v>
      </c>
      <c r="M1716" s="2">
        <v>1</v>
      </c>
      <c r="N1716" s="2">
        <v>1</v>
      </c>
      <c r="O1716" s="2">
        <v>0</v>
      </c>
      <c r="P1716" s="2">
        <v>0</v>
      </c>
      <c r="Q1716" s="2">
        <v>0</v>
      </c>
      <c r="R1716" s="2">
        <v>0</v>
      </c>
      <c r="S1716" s="2" t="s">
        <v>488</v>
      </c>
      <c r="T1716" s="2" t="s">
        <v>488</v>
      </c>
      <c r="U1716" s="2">
        <v>0</v>
      </c>
      <c r="V1716" s="2">
        <v>0</v>
      </c>
      <c r="W1716">
        <f t="shared" si="26"/>
        <v>1</v>
      </c>
    </row>
    <row r="1717" spans="1:23" x14ac:dyDescent="0.25">
      <c r="A1717" s="2" t="s">
        <v>628</v>
      </c>
      <c r="B1717" s="2" t="s">
        <v>918</v>
      </c>
      <c r="C1717" s="2">
        <v>545539</v>
      </c>
      <c r="D1717" s="2" t="s">
        <v>887</v>
      </c>
      <c r="E1717" s="2" t="s">
        <v>111</v>
      </c>
      <c r="F1717" s="2" t="s">
        <v>115</v>
      </c>
      <c r="G1717" s="2">
        <v>2</v>
      </c>
      <c r="H1717" s="2">
        <v>0</v>
      </c>
      <c r="I1717" s="2">
        <v>0</v>
      </c>
      <c r="J1717" s="2">
        <v>0</v>
      </c>
      <c r="K1717" s="2">
        <v>0</v>
      </c>
      <c r="L1717" s="2">
        <v>0</v>
      </c>
      <c r="M1717" s="2">
        <v>0</v>
      </c>
      <c r="N1717" s="2">
        <v>0</v>
      </c>
      <c r="O1717" s="2">
        <v>0</v>
      </c>
      <c r="P1717" s="2">
        <v>0</v>
      </c>
      <c r="Q1717" s="2">
        <v>0</v>
      </c>
      <c r="R1717" s="2">
        <v>0</v>
      </c>
      <c r="S1717" s="2" t="s">
        <v>488</v>
      </c>
      <c r="T1717" s="2" t="s">
        <v>488</v>
      </c>
      <c r="U1717" s="2">
        <v>0</v>
      </c>
      <c r="V1717" s="2">
        <v>0</v>
      </c>
      <c r="W1717">
        <f t="shared" si="26"/>
        <v>0</v>
      </c>
    </row>
    <row r="1718" spans="1:23" x14ac:dyDescent="0.25">
      <c r="A1718" s="255" t="s">
        <v>628</v>
      </c>
      <c r="B1718" s="255" t="s">
        <v>918</v>
      </c>
      <c r="C1718" s="255"/>
      <c r="D1718" s="255"/>
      <c r="E1718" s="255" t="s">
        <v>111</v>
      </c>
      <c r="F1718" s="255"/>
      <c r="G1718" s="255"/>
      <c r="H1718" s="255">
        <v>1</v>
      </c>
      <c r="I1718" s="255">
        <v>3</v>
      </c>
      <c r="J1718" s="255">
        <v>0</v>
      </c>
      <c r="K1718" s="255">
        <v>0</v>
      </c>
      <c r="L1718" s="255">
        <v>0</v>
      </c>
      <c r="M1718" s="255">
        <v>3</v>
      </c>
      <c r="N1718" s="255">
        <v>4</v>
      </c>
      <c r="O1718" s="255">
        <v>0</v>
      </c>
      <c r="P1718" s="255">
        <v>0</v>
      </c>
      <c r="Q1718" s="255">
        <v>0</v>
      </c>
      <c r="R1718" s="255">
        <v>0</v>
      </c>
      <c r="S1718" s="255" t="s">
        <v>488</v>
      </c>
      <c r="T1718" s="255" t="s">
        <v>488</v>
      </c>
      <c r="U1718" s="255">
        <v>1</v>
      </c>
      <c r="V1718" s="255">
        <v>0</v>
      </c>
      <c r="W1718">
        <f t="shared" si="26"/>
        <v>5</v>
      </c>
    </row>
    <row r="1719" spans="1:23" x14ac:dyDescent="0.25">
      <c r="A1719" s="2" t="s">
        <v>628</v>
      </c>
      <c r="B1719" s="2" t="s">
        <v>918</v>
      </c>
      <c r="C1719" s="2">
        <v>540191</v>
      </c>
      <c r="D1719" s="2" t="s">
        <v>888</v>
      </c>
      <c r="E1719" s="2" t="s">
        <v>113</v>
      </c>
      <c r="F1719" s="2" t="s">
        <v>5</v>
      </c>
      <c r="G1719" s="2">
        <v>7</v>
      </c>
      <c r="H1719" s="2">
        <v>0</v>
      </c>
      <c r="I1719" s="2">
        <v>0</v>
      </c>
      <c r="J1719" s="2">
        <v>0</v>
      </c>
      <c r="K1719" s="2">
        <v>0</v>
      </c>
      <c r="L1719" s="2">
        <v>0</v>
      </c>
      <c r="M1719" s="2">
        <v>0</v>
      </c>
      <c r="N1719" s="2">
        <v>0</v>
      </c>
      <c r="O1719" s="2">
        <v>0</v>
      </c>
      <c r="P1719" s="2">
        <v>0</v>
      </c>
      <c r="Q1719" s="2">
        <v>0</v>
      </c>
      <c r="R1719" s="2">
        <v>0</v>
      </c>
      <c r="S1719" s="2" t="s">
        <v>488</v>
      </c>
      <c r="T1719" s="2" t="s">
        <v>488</v>
      </c>
      <c r="U1719" s="2">
        <v>0</v>
      </c>
      <c r="V1719" s="2">
        <v>0</v>
      </c>
      <c r="W1719">
        <f t="shared" si="26"/>
        <v>0</v>
      </c>
    </row>
    <row r="1720" spans="1:23" x14ac:dyDescent="0.25">
      <c r="A1720" s="2" t="s">
        <v>628</v>
      </c>
      <c r="B1720" s="2" t="s">
        <v>918</v>
      </c>
      <c r="C1720" s="2">
        <v>540193</v>
      </c>
      <c r="D1720" s="2" t="s">
        <v>889</v>
      </c>
      <c r="E1720" s="2" t="s">
        <v>113</v>
      </c>
      <c r="F1720" s="2" t="s">
        <v>115</v>
      </c>
      <c r="G1720" s="2">
        <v>7</v>
      </c>
      <c r="H1720" s="2">
        <v>0</v>
      </c>
      <c r="I1720" s="2">
        <v>0</v>
      </c>
      <c r="J1720" s="2">
        <v>0</v>
      </c>
      <c r="K1720" s="2">
        <v>0</v>
      </c>
      <c r="L1720" s="2">
        <v>0</v>
      </c>
      <c r="M1720" s="2">
        <v>0</v>
      </c>
      <c r="N1720" s="2">
        <v>0</v>
      </c>
      <c r="O1720" s="2">
        <v>0</v>
      </c>
      <c r="P1720" s="2">
        <v>0</v>
      </c>
      <c r="Q1720" s="2">
        <v>0</v>
      </c>
      <c r="R1720" s="2">
        <v>0</v>
      </c>
      <c r="S1720" s="2" t="s">
        <v>488</v>
      </c>
      <c r="T1720" s="2" t="s">
        <v>488</v>
      </c>
      <c r="U1720" s="2">
        <v>0</v>
      </c>
      <c r="V1720" s="2">
        <v>0</v>
      </c>
      <c r="W1720">
        <f t="shared" si="26"/>
        <v>0</v>
      </c>
    </row>
    <row r="1721" spans="1:23" x14ac:dyDescent="0.25">
      <c r="A1721" s="2" t="s">
        <v>628</v>
      </c>
      <c r="B1721" s="2" t="s">
        <v>918</v>
      </c>
      <c r="C1721" s="2">
        <v>540192</v>
      </c>
      <c r="D1721" s="2" t="s">
        <v>890</v>
      </c>
      <c r="E1721" s="2" t="s">
        <v>113</v>
      </c>
      <c r="F1721" s="2" t="s">
        <v>115</v>
      </c>
      <c r="G1721" s="2">
        <v>7</v>
      </c>
      <c r="H1721" s="2">
        <v>0</v>
      </c>
      <c r="I1721" s="2">
        <v>0</v>
      </c>
      <c r="J1721" s="2">
        <v>0</v>
      </c>
      <c r="K1721" s="2">
        <v>0</v>
      </c>
      <c r="L1721" s="2">
        <v>0</v>
      </c>
      <c r="M1721" s="2">
        <v>0</v>
      </c>
      <c r="N1721" s="2">
        <v>0</v>
      </c>
      <c r="O1721" s="2">
        <v>0</v>
      </c>
      <c r="P1721" s="2">
        <v>0</v>
      </c>
      <c r="Q1721" s="2">
        <v>0</v>
      </c>
      <c r="R1721" s="2">
        <v>0</v>
      </c>
      <c r="S1721" s="2" t="s">
        <v>488</v>
      </c>
      <c r="T1721" s="2" t="s">
        <v>488</v>
      </c>
      <c r="U1721" s="2">
        <v>0</v>
      </c>
      <c r="V1721" s="2">
        <v>0</v>
      </c>
      <c r="W1721">
        <f t="shared" si="26"/>
        <v>0</v>
      </c>
    </row>
    <row r="1722" spans="1:23" x14ac:dyDescent="0.25">
      <c r="A1722" s="2" t="s">
        <v>628</v>
      </c>
      <c r="B1722" s="2" t="s">
        <v>918</v>
      </c>
      <c r="C1722" s="2">
        <v>540194</v>
      </c>
      <c r="D1722" s="2" t="s">
        <v>891</v>
      </c>
      <c r="E1722" s="2" t="s">
        <v>113</v>
      </c>
      <c r="F1722" s="2" t="s">
        <v>115</v>
      </c>
      <c r="G1722" s="2">
        <v>7</v>
      </c>
      <c r="H1722" s="2">
        <v>0</v>
      </c>
      <c r="I1722" s="2">
        <v>1</v>
      </c>
      <c r="J1722" s="2">
        <v>0</v>
      </c>
      <c r="K1722" s="2">
        <v>0</v>
      </c>
      <c r="L1722" s="2">
        <v>0</v>
      </c>
      <c r="M1722" s="2">
        <v>1</v>
      </c>
      <c r="N1722" s="2">
        <v>1</v>
      </c>
      <c r="O1722" s="2">
        <v>0</v>
      </c>
      <c r="P1722" s="2">
        <v>0</v>
      </c>
      <c r="Q1722" s="2">
        <v>0</v>
      </c>
      <c r="R1722" s="2">
        <v>0</v>
      </c>
      <c r="S1722" s="2" t="s">
        <v>488</v>
      </c>
      <c r="T1722" s="2" t="s">
        <v>488</v>
      </c>
      <c r="U1722" s="2">
        <v>0</v>
      </c>
      <c r="V1722" s="2">
        <v>0</v>
      </c>
      <c r="W1722">
        <f t="shared" si="26"/>
        <v>1</v>
      </c>
    </row>
    <row r="1723" spans="1:23" x14ac:dyDescent="0.25">
      <c r="A1723" s="2" t="s">
        <v>628</v>
      </c>
      <c r="B1723" s="2" t="s">
        <v>918</v>
      </c>
      <c r="C1723" s="2">
        <v>540261</v>
      </c>
      <c r="D1723" s="2" t="s">
        <v>892</v>
      </c>
      <c r="E1723" s="2" t="s">
        <v>113</v>
      </c>
      <c r="F1723" s="2" t="s">
        <v>115</v>
      </c>
      <c r="G1723" s="2">
        <v>7</v>
      </c>
      <c r="H1723" s="2">
        <v>0</v>
      </c>
      <c r="I1723" s="2">
        <v>0</v>
      </c>
      <c r="J1723" s="2">
        <v>0</v>
      </c>
      <c r="K1723" s="2">
        <v>0</v>
      </c>
      <c r="L1723" s="2">
        <v>0</v>
      </c>
      <c r="M1723" s="2">
        <v>0</v>
      </c>
      <c r="N1723" s="2">
        <v>0</v>
      </c>
      <c r="O1723" s="2">
        <v>0</v>
      </c>
      <c r="P1723" s="2">
        <v>0</v>
      </c>
      <c r="Q1723" s="2">
        <v>0</v>
      </c>
      <c r="R1723" s="2">
        <v>0</v>
      </c>
      <c r="S1723" s="2" t="s">
        <v>488</v>
      </c>
      <c r="T1723" s="2" t="s">
        <v>488</v>
      </c>
      <c r="U1723" s="2">
        <v>0</v>
      </c>
      <c r="V1723" s="2">
        <v>0</v>
      </c>
      <c r="W1723">
        <f t="shared" si="26"/>
        <v>0</v>
      </c>
    </row>
    <row r="1724" spans="1:23" x14ac:dyDescent="0.25">
      <c r="A1724" s="2" t="s">
        <v>628</v>
      </c>
      <c r="B1724" s="2" t="s">
        <v>918</v>
      </c>
      <c r="C1724" s="2">
        <v>540260</v>
      </c>
      <c r="D1724" s="2" t="s">
        <v>893</v>
      </c>
      <c r="E1724" s="2" t="s">
        <v>113</v>
      </c>
      <c r="F1724" s="2" t="s">
        <v>115</v>
      </c>
      <c r="G1724" s="2">
        <v>7</v>
      </c>
      <c r="H1724" s="2">
        <v>0</v>
      </c>
      <c r="I1724" s="2">
        <v>0</v>
      </c>
      <c r="J1724" s="2">
        <v>0</v>
      </c>
      <c r="K1724" s="2">
        <v>0</v>
      </c>
      <c r="L1724" s="2">
        <v>0</v>
      </c>
      <c r="M1724" s="2">
        <v>0</v>
      </c>
      <c r="N1724" s="2">
        <v>0</v>
      </c>
      <c r="O1724" s="2">
        <v>0</v>
      </c>
      <c r="P1724" s="2">
        <v>0</v>
      </c>
      <c r="Q1724" s="2">
        <v>0</v>
      </c>
      <c r="R1724" s="2">
        <v>0</v>
      </c>
      <c r="S1724" s="2" t="s">
        <v>488</v>
      </c>
      <c r="T1724" s="2" t="s">
        <v>488</v>
      </c>
      <c r="U1724" s="2">
        <v>0</v>
      </c>
      <c r="V1724" s="2">
        <v>0</v>
      </c>
      <c r="W1724">
        <f t="shared" si="26"/>
        <v>0</v>
      </c>
    </row>
    <row r="1725" spans="1:23" x14ac:dyDescent="0.25">
      <c r="A1725" s="255" t="s">
        <v>628</v>
      </c>
      <c r="B1725" s="255" t="s">
        <v>918</v>
      </c>
      <c r="C1725" s="255"/>
      <c r="D1725" s="255"/>
      <c r="E1725" s="255" t="s">
        <v>113</v>
      </c>
      <c r="F1725" s="255"/>
      <c r="G1725" s="255"/>
      <c r="H1725" s="255">
        <v>0</v>
      </c>
      <c r="I1725" s="255">
        <v>1</v>
      </c>
      <c r="J1725" s="255">
        <v>0</v>
      </c>
      <c r="K1725" s="255">
        <v>0</v>
      </c>
      <c r="L1725" s="255">
        <v>0</v>
      </c>
      <c r="M1725" s="255">
        <v>1</v>
      </c>
      <c r="N1725" s="255">
        <v>1</v>
      </c>
      <c r="O1725" s="255">
        <v>0</v>
      </c>
      <c r="P1725" s="255">
        <v>0</v>
      </c>
      <c r="Q1725" s="255">
        <v>0</v>
      </c>
      <c r="R1725" s="255">
        <v>0</v>
      </c>
      <c r="S1725" s="255" t="s">
        <v>488</v>
      </c>
      <c r="T1725" s="255" t="s">
        <v>488</v>
      </c>
      <c r="U1725" s="255">
        <v>0</v>
      </c>
      <c r="V1725" s="255">
        <v>0</v>
      </c>
      <c r="W1725">
        <f t="shared" si="26"/>
        <v>1</v>
      </c>
    </row>
    <row r="1726" spans="1:23" x14ac:dyDescent="0.25">
      <c r="A1726" s="2" t="s">
        <v>628</v>
      </c>
      <c r="B1726" s="2" t="s">
        <v>918</v>
      </c>
      <c r="C1726" s="2">
        <v>540027</v>
      </c>
      <c r="D1726" s="2" t="s">
        <v>894</v>
      </c>
      <c r="E1726" s="2" t="s">
        <v>21</v>
      </c>
      <c r="F1726" s="2" t="s">
        <v>115</v>
      </c>
      <c r="G1726" s="2">
        <v>4</v>
      </c>
      <c r="H1726" s="2">
        <v>0</v>
      </c>
      <c r="I1726" s="2">
        <v>0</v>
      </c>
      <c r="J1726" s="2">
        <v>0</v>
      </c>
      <c r="K1726" s="2">
        <v>0</v>
      </c>
      <c r="L1726" s="2">
        <v>0</v>
      </c>
      <c r="M1726" s="2">
        <v>0</v>
      </c>
      <c r="N1726" s="2">
        <v>0</v>
      </c>
      <c r="O1726" s="2">
        <v>0</v>
      </c>
      <c r="P1726" s="2">
        <v>0</v>
      </c>
      <c r="Q1726" s="2">
        <v>0</v>
      </c>
      <c r="R1726" s="2">
        <v>0</v>
      </c>
      <c r="S1726" s="2" t="s">
        <v>488</v>
      </c>
      <c r="T1726" s="2" t="s">
        <v>488</v>
      </c>
      <c r="U1726" s="2">
        <v>0</v>
      </c>
      <c r="V1726" s="2">
        <v>0</v>
      </c>
      <c r="W1726">
        <f t="shared" si="26"/>
        <v>0</v>
      </c>
    </row>
    <row r="1727" spans="1:23" x14ac:dyDescent="0.25">
      <c r="A1727" s="2" t="s">
        <v>628</v>
      </c>
      <c r="B1727" s="2" t="s">
        <v>918</v>
      </c>
      <c r="C1727" s="2">
        <v>540028</v>
      </c>
      <c r="D1727" s="2" t="s">
        <v>895</v>
      </c>
      <c r="E1727" s="2" t="s">
        <v>21</v>
      </c>
      <c r="F1727" s="2" t="s">
        <v>115</v>
      </c>
      <c r="G1727" s="2">
        <v>4</v>
      </c>
      <c r="H1727" s="2">
        <v>0</v>
      </c>
      <c r="I1727" s="2">
        <v>0</v>
      </c>
      <c r="J1727" s="2">
        <v>0</v>
      </c>
      <c r="K1727" s="2">
        <v>0</v>
      </c>
      <c r="L1727" s="2">
        <v>0</v>
      </c>
      <c r="M1727" s="2">
        <v>0</v>
      </c>
      <c r="N1727" s="2">
        <v>0</v>
      </c>
      <c r="O1727" s="2">
        <v>0</v>
      </c>
      <c r="P1727" s="2">
        <v>0</v>
      </c>
      <c r="Q1727" s="2">
        <v>0</v>
      </c>
      <c r="R1727" s="2">
        <v>0</v>
      </c>
      <c r="S1727" s="2" t="s">
        <v>488</v>
      </c>
      <c r="T1727" s="2" t="s">
        <v>488</v>
      </c>
      <c r="U1727" s="2">
        <v>0</v>
      </c>
      <c r="V1727" s="2">
        <v>0</v>
      </c>
      <c r="W1727">
        <f t="shared" si="26"/>
        <v>0</v>
      </c>
    </row>
    <row r="1728" spans="1:23" x14ac:dyDescent="0.25">
      <c r="A1728" s="2" t="s">
        <v>628</v>
      </c>
      <c r="B1728" s="2" t="s">
        <v>918</v>
      </c>
      <c r="C1728" s="2">
        <v>540029</v>
      </c>
      <c r="D1728" s="2" t="s">
        <v>701</v>
      </c>
      <c r="E1728" s="2" t="s">
        <v>21</v>
      </c>
      <c r="F1728" s="2" t="s">
        <v>115</v>
      </c>
      <c r="G1728" s="2">
        <v>4</v>
      </c>
      <c r="H1728" s="2">
        <v>0</v>
      </c>
      <c r="I1728" s="2">
        <v>0</v>
      </c>
      <c r="J1728" s="2">
        <v>0</v>
      </c>
      <c r="K1728" s="2">
        <v>0</v>
      </c>
      <c r="L1728" s="2">
        <v>0</v>
      </c>
      <c r="M1728" s="2">
        <v>0</v>
      </c>
      <c r="N1728" s="2">
        <v>0</v>
      </c>
      <c r="O1728" s="2">
        <v>0</v>
      </c>
      <c r="P1728" s="2">
        <v>0</v>
      </c>
      <c r="Q1728" s="2">
        <v>0</v>
      </c>
      <c r="R1728" s="2">
        <v>0</v>
      </c>
      <c r="S1728" s="2" t="s">
        <v>488</v>
      </c>
      <c r="T1728" s="2" t="s">
        <v>488</v>
      </c>
      <c r="U1728" s="2">
        <v>0</v>
      </c>
      <c r="V1728" s="2">
        <v>0</v>
      </c>
      <c r="W1728">
        <f t="shared" si="26"/>
        <v>0</v>
      </c>
    </row>
    <row r="1729" spans="1:23" x14ac:dyDescent="0.25">
      <c r="A1729" s="2" t="s">
        <v>628</v>
      </c>
      <c r="B1729" s="2" t="s">
        <v>918</v>
      </c>
      <c r="C1729" s="2">
        <v>540031</v>
      </c>
      <c r="D1729" s="2" t="s">
        <v>896</v>
      </c>
      <c r="E1729" s="2" t="s">
        <v>21</v>
      </c>
      <c r="F1729" s="2" t="s">
        <v>115</v>
      </c>
      <c r="G1729" s="2">
        <v>4</v>
      </c>
      <c r="H1729" s="2">
        <v>0</v>
      </c>
      <c r="I1729" s="2">
        <v>0</v>
      </c>
      <c r="J1729" s="2">
        <v>0</v>
      </c>
      <c r="K1729" s="2">
        <v>0</v>
      </c>
      <c r="L1729" s="2">
        <v>0</v>
      </c>
      <c r="M1729" s="2">
        <v>0</v>
      </c>
      <c r="N1729" s="2">
        <v>0</v>
      </c>
      <c r="O1729" s="2">
        <v>0</v>
      </c>
      <c r="P1729" s="2">
        <v>0</v>
      </c>
      <c r="Q1729" s="2">
        <v>0</v>
      </c>
      <c r="R1729" s="2">
        <v>0</v>
      </c>
      <c r="S1729" s="2" t="s">
        <v>488</v>
      </c>
      <c r="T1729" s="2" t="s">
        <v>488</v>
      </c>
      <c r="U1729" s="2">
        <v>0</v>
      </c>
      <c r="V1729" s="2">
        <v>0</v>
      </c>
      <c r="W1729">
        <f t="shared" si="26"/>
        <v>0</v>
      </c>
    </row>
    <row r="1730" spans="1:23" x14ac:dyDescent="0.25">
      <c r="A1730" s="2" t="s">
        <v>628</v>
      </c>
      <c r="B1730" s="2" t="s">
        <v>918</v>
      </c>
      <c r="C1730" s="2">
        <v>540032</v>
      </c>
      <c r="D1730" s="2" t="s">
        <v>897</v>
      </c>
      <c r="E1730" s="2" t="s">
        <v>21</v>
      </c>
      <c r="F1730" s="2" t="s">
        <v>115</v>
      </c>
      <c r="G1730" s="2">
        <v>4</v>
      </c>
      <c r="H1730" s="2">
        <v>0</v>
      </c>
      <c r="I1730" s="2">
        <v>1</v>
      </c>
      <c r="J1730" s="2">
        <v>0</v>
      </c>
      <c r="K1730" s="2">
        <v>0</v>
      </c>
      <c r="L1730" s="2">
        <v>0</v>
      </c>
      <c r="M1730" s="2">
        <v>1</v>
      </c>
      <c r="N1730" s="2">
        <v>1</v>
      </c>
      <c r="O1730" s="2">
        <v>0</v>
      </c>
      <c r="P1730" s="2">
        <v>0</v>
      </c>
      <c r="Q1730" s="2">
        <v>0</v>
      </c>
      <c r="R1730" s="2">
        <v>0</v>
      </c>
      <c r="S1730" s="2" t="s">
        <v>488</v>
      </c>
      <c r="T1730" s="2" t="s">
        <v>488</v>
      </c>
      <c r="U1730" s="2">
        <v>0</v>
      </c>
      <c r="V1730" s="2">
        <v>0</v>
      </c>
      <c r="W1730">
        <f t="shared" si="26"/>
        <v>1</v>
      </c>
    </row>
    <row r="1731" spans="1:23" x14ac:dyDescent="0.25">
      <c r="A1731" s="2" t="s">
        <v>628</v>
      </c>
      <c r="B1731" s="2" t="s">
        <v>918</v>
      </c>
      <c r="C1731" s="2">
        <v>540050</v>
      </c>
      <c r="D1731" s="2" t="s">
        <v>898</v>
      </c>
      <c r="E1731" s="2" t="s">
        <v>21</v>
      </c>
      <c r="F1731" s="2" t="s">
        <v>115</v>
      </c>
      <c r="G1731" s="2">
        <v>4</v>
      </c>
      <c r="H1731" s="2">
        <v>0</v>
      </c>
      <c r="I1731" s="2">
        <v>0</v>
      </c>
      <c r="J1731" s="2">
        <v>0</v>
      </c>
      <c r="K1731" s="2">
        <v>0</v>
      </c>
      <c r="L1731" s="2">
        <v>0</v>
      </c>
      <c r="M1731" s="2">
        <v>0</v>
      </c>
      <c r="N1731" s="2">
        <v>0</v>
      </c>
      <c r="O1731" s="2">
        <v>0</v>
      </c>
      <c r="P1731" s="2">
        <v>0</v>
      </c>
      <c r="Q1731" s="2">
        <v>0</v>
      </c>
      <c r="R1731" s="2">
        <v>0</v>
      </c>
      <c r="S1731" s="2" t="s">
        <v>488</v>
      </c>
      <c r="T1731" s="2" t="s">
        <v>488</v>
      </c>
      <c r="U1731" s="2">
        <v>0</v>
      </c>
      <c r="V1731" s="2">
        <v>0</v>
      </c>
      <c r="W1731">
        <f t="shared" ref="W1731:W1794" si="27">SUM(N1731,P1731,R1731,T1731,U1731,V1731)</f>
        <v>0</v>
      </c>
    </row>
    <row r="1732" spans="1:23" x14ac:dyDescent="0.25">
      <c r="A1732" s="2" t="s">
        <v>628</v>
      </c>
      <c r="B1732" s="2" t="s">
        <v>918</v>
      </c>
      <c r="C1732" s="2">
        <v>540293</v>
      </c>
      <c r="D1732" s="2" t="s">
        <v>899</v>
      </c>
      <c r="E1732" s="2" t="s">
        <v>21</v>
      </c>
      <c r="F1732" s="2" t="s">
        <v>115</v>
      </c>
      <c r="G1732" s="2">
        <v>4</v>
      </c>
      <c r="H1732" s="2">
        <v>0</v>
      </c>
      <c r="I1732" s="2">
        <v>0</v>
      </c>
      <c r="J1732" s="2">
        <v>0</v>
      </c>
      <c r="K1732" s="2">
        <v>0</v>
      </c>
      <c r="L1732" s="2">
        <v>0</v>
      </c>
      <c r="M1732" s="2">
        <v>0</v>
      </c>
      <c r="N1732" s="2">
        <v>0</v>
      </c>
      <c r="O1732" s="2">
        <v>0</v>
      </c>
      <c r="P1732" s="2">
        <v>0</v>
      </c>
      <c r="Q1732" s="2">
        <v>0</v>
      </c>
      <c r="R1732" s="2">
        <v>0</v>
      </c>
      <c r="S1732" s="2" t="s">
        <v>488</v>
      </c>
      <c r="T1732" s="2" t="s">
        <v>488</v>
      </c>
      <c r="U1732" s="2">
        <v>0</v>
      </c>
      <c r="V1732" s="2">
        <v>0</v>
      </c>
      <c r="W1732">
        <f t="shared" si="27"/>
        <v>0</v>
      </c>
    </row>
    <row r="1733" spans="1:23" x14ac:dyDescent="0.25">
      <c r="A1733" s="2" t="s">
        <v>628</v>
      </c>
      <c r="B1733" s="2" t="s">
        <v>918</v>
      </c>
      <c r="C1733" s="2">
        <v>540294</v>
      </c>
      <c r="D1733" s="2" t="s">
        <v>900</v>
      </c>
      <c r="E1733" s="2" t="s">
        <v>21</v>
      </c>
      <c r="F1733" s="2" t="s">
        <v>115</v>
      </c>
      <c r="G1733" s="2">
        <v>4</v>
      </c>
      <c r="H1733" s="2">
        <v>0</v>
      </c>
      <c r="I1733" s="2">
        <v>0</v>
      </c>
      <c r="J1733" s="2">
        <v>0</v>
      </c>
      <c r="K1733" s="2">
        <v>0</v>
      </c>
      <c r="L1733" s="2">
        <v>0</v>
      </c>
      <c r="M1733" s="2">
        <v>0</v>
      </c>
      <c r="N1733" s="2">
        <v>0</v>
      </c>
      <c r="O1733" s="2">
        <v>0</v>
      </c>
      <c r="P1733" s="2">
        <v>0</v>
      </c>
      <c r="Q1733" s="2">
        <v>0</v>
      </c>
      <c r="R1733" s="2">
        <v>0</v>
      </c>
      <c r="S1733" s="2" t="s">
        <v>488</v>
      </c>
      <c r="T1733" s="2" t="s">
        <v>488</v>
      </c>
      <c r="U1733" s="2">
        <v>1</v>
      </c>
      <c r="V1733" s="2">
        <v>0</v>
      </c>
      <c r="W1733">
        <f t="shared" si="27"/>
        <v>1</v>
      </c>
    </row>
    <row r="1734" spans="1:23" x14ac:dyDescent="0.25">
      <c r="A1734" s="2" t="s">
        <v>628</v>
      </c>
      <c r="B1734" s="2" t="s">
        <v>918</v>
      </c>
      <c r="C1734" s="2">
        <v>540033</v>
      </c>
      <c r="D1734" s="2" t="s">
        <v>716</v>
      </c>
      <c r="E1734" s="2" t="s">
        <v>21</v>
      </c>
      <c r="F1734" s="2" t="s">
        <v>115</v>
      </c>
      <c r="G1734" s="2">
        <v>4</v>
      </c>
      <c r="H1734" s="2">
        <v>0</v>
      </c>
      <c r="I1734" s="2">
        <v>0</v>
      </c>
      <c r="J1734" s="2">
        <v>0</v>
      </c>
      <c r="K1734" s="2">
        <v>0</v>
      </c>
      <c r="L1734" s="2">
        <v>0</v>
      </c>
      <c r="M1734" s="2">
        <v>0</v>
      </c>
      <c r="N1734" s="2">
        <v>0</v>
      </c>
      <c r="O1734" s="2">
        <v>0</v>
      </c>
      <c r="P1734" s="2">
        <v>0</v>
      </c>
      <c r="Q1734" s="2">
        <v>0</v>
      </c>
      <c r="R1734" s="2">
        <v>0</v>
      </c>
      <c r="S1734" s="2" t="s">
        <v>488</v>
      </c>
      <c r="T1734" s="2" t="s">
        <v>488</v>
      </c>
      <c r="U1734" s="2">
        <v>1</v>
      </c>
      <c r="V1734" s="2">
        <v>0</v>
      </c>
      <c r="W1734">
        <f t="shared" si="27"/>
        <v>1</v>
      </c>
    </row>
    <row r="1735" spans="1:23" x14ac:dyDescent="0.25">
      <c r="A1735" s="2" t="s">
        <v>628</v>
      </c>
      <c r="B1735" s="2" t="s">
        <v>918</v>
      </c>
      <c r="C1735" s="2">
        <v>540280</v>
      </c>
      <c r="D1735" s="2" t="s">
        <v>901</v>
      </c>
      <c r="E1735" s="2" t="s">
        <v>21</v>
      </c>
      <c r="F1735" s="2" t="s">
        <v>115</v>
      </c>
      <c r="G1735" s="2">
        <v>4</v>
      </c>
      <c r="H1735" s="2">
        <v>0</v>
      </c>
      <c r="I1735" s="2">
        <v>0</v>
      </c>
      <c r="J1735" s="2">
        <v>0</v>
      </c>
      <c r="K1735" s="2">
        <v>0</v>
      </c>
      <c r="L1735" s="2">
        <v>0</v>
      </c>
      <c r="M1735" s="2">
        <v>0</v>
      </c>
      <c r="N1735" s="2">
        <v>0</v>
      </c>
      <c r="O1735" s="2">
        <v>0</v>
      </c>
      <c r="P1735" s="2">
        <v>0</v>
      </c>
      <c r="Q1735" s="2">
        <v>0</v>
      </c>
      <c r="R1735" s="2">
        <v>0</v>
      </c>
      <c r="S1735" s="2" t="s">
        <v>488</v>
      </c>
      <c r="T1735" s="2" t="s">
        <v>488</v>
      </c>
      <c r="U1735" s="2">
        <v>0</v>
      </c>
      <c r="V1735" s="2">
        <v>0</v>
      </c>
      <c r="W1735">
        <f t="shared" si="27"/>
        <v>0</v>
      </c>
    </row>
    <row r="1736" spans="1:23" x14ac:dyDescent="0.25">
      <c r="A1736" s="2" t="s">
        <v>628</v>
      </c>
      <c r="B1736" s="2" t="s">
        <v>918</v>
      </c>
      <c r="C1736" s="2">
        <v>540026</v>
      </c>
      <c r="D1736" s="2" t="s">
        <v>902</v>
      </c>
      <c r="E1736" s="2" t="s">
        <v>21</v>
      </c>
      <c r="F1736" s="2" t="s">
        <v>5</v>
      </c>
      <c r="G1736" s="2">
        <v>4</v>
      </c>
      <c r="H1736" s="2">
        <v>2</v>
      </c>
      <c r="I1736" s="2">
        <v>0</v>
      </c>
      <c r="J1736" s="2">
        <v>0</v>
      </c>
      <c r="K1736" s="2">
        <v>0</v>
      </c>
      <c r="L1736" s="2">
        <v>0</v>
      </c>
      <c r="M1736" s="2">
        <v>0</v>
      </c>
      <c r="N1736" s="2">
        <v>2</v>
      </c>
      <c r="O1736" s="2">
        <v>0</v>
      </c>
      <c r="P1736" s="2">
        <v>0</v>
      </c>
      <c r="Q1736" s="2">
        <v>1</v>
      </c>
      <c r="R1736" s="2">
        <v>0</v>
      </c>
      <c r="S1736" s="2" t="s">
        <v>488</v>
      </c>
      <c r="T1736" s="2" t="s">
        <v>488</v>
      </c>
      <c r="U1736" s="2">
        <v>0</v>
      </c>
      <c r="V1736" s="2">
        <v>0</v>
      </c>
      <c r="W1736">
        <f t="shared" si="27"/>
        <v>2</v>
      </c>
    </row>
    <row r="1737" spans="1:23" x14ac:dyDescent="0.25">
      <c r="A1737" s="255" t="s">
        <v>628</v>
      </c>
      <c r="B1737" s="255" t="s">
        <v>918</v>
      </c>
      <c r="C1737" s="255"/>
      <c r="D1737" s="255"/>
      <c r="E1737" s="255" t="s">
        <v>21</v>
      </c>
      <c r="F1737" s="255"/>
      <c r="G1737" s="255"/>
      <c r="H1737" s="255">
        <v>2</v>
      </c>
      <c r="I1737" s="255">
        <v>1</v>
      </c>
      <c r="J1737" s="255">
        <v>0</v>
      </c>
      <c r="K1737" s="255">
        <v>0</v>
      </c>
      <c r="L1737" s="255">
        <v>0</v>
      </c>
      <c r="M1737" s="255">
        <v>1</v>
      </c>
      <c r="N1737" s="255">
        <v>3</v>
      </c>
      <c r="O1737" s="255">
        <v>0</v>
      </c>
      <c r="P1737" s="255">
        <v>0</v>
      </c>
      <c r="Q1737" s="255">
        <v>1</v>
      </c>
      <c r="R1737" s="255">
        <v>0</v>
      </c>
      <c r="S1737" s="255" t="s">
        <v>488</v>
      </c>
      <c r="T1737" s="255" t="s">
        <v>488</v>
      </c>
      <c r="U1737" s="255">
        <v>2</v>
      </c>
      <c r="V1737" s="255">
        <v>0</v>
      </c>
      <c r="W1737">
        <f t="shared" si="27"/>
        <v>5</v>
      </c>
    </row>
    <row r="1738" spans="1:23" x14ac:dyDescent="0.25">
      <c r="A1738" s="2" t="s">
        <v>628</v>
      </c>
      <c r="B1738" s="2" t="s">
        <v>918</v>
      </c>
      <c r="C1738" s="2">
        <v>540176</v>
      </c>
      <c r="D1738" s="2" t="s">
        <v>903</v>
      </c>
      <c r="E1738" s="2" t="s">
        <v>75</v>
      </c>
      <c r="F1738" s="2" t="s">
        <v>115</v>
      </c>
      <c r="G1738" s="2">
        <v>7</v>
      </c>
      <c r="H1738" s="2">
        <v>0</v>
      </c>
      <c r="I1738" s="2">
        <v>0</v>
      </c>
      <c r="J1738" s="2">
        <v>0</v>
      </c>
      <c r="K1738" s="2">
        <v>0</v>
      </c>
      <c r="L1738" s="2">
        <v>0</v>
      </c>
      <c r="M1738" s="2">
        <v>0</v>
      </c>
      <c r="N1738" s="2">
        <v>0</v>
      </c>
      <c r="O1738" s="2">
        <v>0</v>
      </c>
      <c r="P1738" s="2">
        <v>0</v>
      </c>
      <c r="Q1738" s="2">
        <v>0</v>
      </c>
      <c r="R1738" s="2">
        <v>0</v>
      </c>
      <c r="S1738" s="2" t="s">
        <v>488</v>
      </c>
      <c r="T1738" s="2" t="s">
        <v>488</v>
      </c>
      <c r="U1738" s="2">
        <v>0</v>
      </c>
      <c r="V1738" s="2">
        <v>0</v>
      </c>
      <c r="W1738">
        <f t="shared" si="27"/>
        <v>0</v>
      </c>
    </row>
    <row r="1739" spans="1:23" x14ac:dyDescent="0.25">
      <c r="A1739" s="2" t="s">
        <v>628</v>
      </c>
      <c r="B1739" s="2" t="s">
        <v>918</v>
      </c>
      <c r="C1739" s="2">
        <v>540178</v>
      </c>
      <c r="D1739" s="2" t="s">
        <v>904</v>
      </c>
      <c r="E1739" s="2" t="s">
        <v>75</v>
      </c>
      <c r="F1739" s="2" t="s">
        <v>115</v>
      </c>
      <c r="G1739" s="2">
        <v>7</v>
      </c>
      <c r="H1739" s="2">
        <v>1</v>
      </c>
      <c r="I1739" s="2">
        <v>0</v>
      </c>
      <c r="J1739" s="2">
        <v>0</v>
      </c>
      <c r="K1739" s="2">
        <v>0</v>
      </c>
      <c r="L1739" s="2">
        <v>0</v>
      </c>
      <c r="M1739" s="2">
        <v>0</v>
      </c>
      <c r="N1739" s="2">
        <v>1</v>
      </c>
      <c r="O1739" s="2">
        <v>0</v>
      </c>
      <c r="P1739" s="2">
        <v>0</v>
      </c>
      <c r="Q1739" s="2">
        <v>1</v>
      </c>
      <c r="R1739" s="2">
        <v>0</v>
      </c>
      <c r="S1739" s="2" t="s">
        <v>488</v>
      </c>
      <c r="T1739" s="2" t="s">
        <v>488</v>
      </c>
      <c r="U1739" s="2">
        <v>0</v>
      </c>
      <c r="V1739" s="2">
        <v>0</v>
      </c>
      <c r="W1739">
        <f t="shared" si="27"/>
        <v>1</v>
      </c>
    </row>
    <row r="1740" spans="1:23" x14ac:dyDescent="0.25">
      <c r="A1740" s="2" t="s">
        <v>628</v>
      </c>
      <c r="B1740" s="2" t="s">
        <v>918</v>
      </c>
      <c r="C1740" s="2">
        <v>540264</v>
      </c>
      <c r="D1740" s="2" t="s">
        <v>905</v>
      </c>
      <c r="E1740" s="2" t="s">
        <v>75</v>
      </c>
      <c r="F1740" s="2" t="s">
        <v>115</v>
      </c>
      <c r="G1740" s="2">
        <v>7</v>
      </c>
      <c r="H1740" s="2">
        <v>0</v>
      </c>
      <c r="I1740" s="2">
        <v>0</v>
      </c>
      <c r="J1740" s="2">
        <v>0</v>
      </c>
      <c r="K1740" s="2">
        <v>0</v>
      </c>
      <c r="L1740" s="2">
        <v>0</v>
      </c>
      <c r="M1740" s="2">
        <v>0</v>
      </c>
      <c r="N1740" s="2">
        <v>0</v>
      </c>
      <c r="O1740" s="2">
        <v>0</v>
      </c>
      <c r="P1740" s="2">
        <v>0</v>
      </c>
      <c r="Q1740" s="2">
        <v>0</v>
      </c>
      <c r="R1740" s="2">
        <v>0</v>
      </c>
      <c r="S1740" s="2" t="s">
        <v>488</v>
      </c>
      <c r="T1740" s="2" t="s">
        <v>488</v>
      </c>
      <c r="U1740" s="2">
        <v>0</v>
      </c>
      <c r="V1740" s="2">
        <v>0</v>
      </c>
      <c r="W1740">
        <f t="shared" si="27"/>
        <v>0</v>
      </c>
    </row>
    <row r="1741" spans="1:23" x14ac:dyDescent="0.25">
      <c r="A1741" s="2" t="s">
        <v>628</v>
      </c>
      <c r="B1741" s="2" t="s">
        <v>918</v>
      </c>
      <c r="C1741" s="2">
        <v>540265</v>
      </c>
      <c r="D1741" s="2" t="s">
        <v>906</v>
      </c>
      <c r="E1741" s="2" t="s">
        <v>75</v>
      </c>
      <c r="F1741" s="2" t="s">
        <v>115</v>
      </c>
      <c r="G1741" s="2">
        <v>7</v>
      </c>
      <c r="H1741" s="2">
        <v>0</v>
      </c>
      <c r="I1741" s="2">
        <v>0</v>
      </c>
      <c r="J1741" s="2">
        <v>0</v>
      </c>
      <c r="K1741" s="2">
        <v>0</v>
      </c>
      <c r="L1741" s="2">
        <v>0</v>
      </c>
      <c r="M1741" s="2">
        <v>0</v>
      </c>
      <c r="N1741" s="2">
        <v>0</v>
      </c>
      <c r="O1741" s="2">
        <v>0</v>
      </c>
      <c r="P1741" s="2">
        <v>0</v>
      </c>
      <c r="Q1741" s="2">
        <v>0</v>
      </c>
      <c r="R1741" s="2">
        <v>0</v>
      </c>
      <c r="S1741" s="2" t="s">
        <v>488</v>
      </c>
      <c r="T1741" s="2" t="s">
        <v>488</v>
      </c>
      <c r="U1741" s="2">
        <v>0</v>
      </c>
      <c r="V1741" s="2">
        <v>0</v>
      </c>
      <c r="W1741">
        <f t="shared" si="27"/>
        <v>0</v>
      </c>
    </row>
    <row r="1742" spans="1:23" x14ac:dyDescent="0.25">
      <c r="A1742" s="2" t="s">
        <v>628</v>
      </c>
      <c r="B1742" s="2" t="s">
        <v>918</v>
      </c>
      <c r="C1742" s="2">
        <v>540266</v>
      </c>
      <c r="D1742" s="2" t="s">
        <v>907</v>
      </c>
      <c r="E1742" s="2" t="s">
        <v>75</v>
      </c>
      <c r="F1742" s="2" t="s">
        <v>115</v>
      </c>
      <c r="G1742" s="2">
        <v>7</v>
      </c>
      <c r="H1742" s="2">
        <v>0</v>
      </c>
      <c r="I1742" s="2">
        <v>0</v>
      </c>
      <c r="J1742" s="2">
        <v>0</v>
      </c>
      <c r="K1742" s="2">
        <v>0</v>
      </c>
      <c r="L1742" s="2">
        <v>0</v>
      </c>
      <c r="M1742" s="2">
        <v>0</v>
      </c>
      <c r="N1742" s="2">
        <v>0</v>
      </c>
      <c r="O1742" s="2">
        <v>0</v>
      </c>
      <c r="P1742" s="2">
        <v>0</v>
      </c>
      <c r="Q1742" s="2">
        <v>0</v>
      </c>
      <c r="R1742" s="2">
        <v>0</v>
      </c>
      <c r="S1742" s="2" t="s">
        <v>488</v>
      </c>
      <c r="T1742" s="2" t="s">
        <v>488</v>
      </c>
      <c r="U1742" s="2">
        <v>0</v>
      </c>
      <c r="V1742" s="2">
        <v>0</v>
      </c>
      <c r="W1742">
        <f t="shared" si="27"/>
        <v>0</v>
      </c>
    </row>
    <row r="1743" spans="1:23" x14ac:dyDescent="0.25">
      <c r="A1743" s="2" t="s">
        <v>628</v>
      </c>
      <c r="B1743" s="2" t="s">
        <v>918</v>
      </c>
      <c r="C1743" s="2">
        <v>540267</v>
      </c>
      <c r="D1743" s="2" t="s">
        <v>908</v>
      </c>
      <c r="E1743" s="2" t="s">
        <v>75</v>
      </c>
      <c r="F1743" s="2" t="s">
        <v>115</v>
      </c>
      <c r="G1743" s="2">
        <v>7</v>
      </c>
      <c r="H1743" s="2">
        <v>0</v>
      </c>
      <c r="I1743" s="2">
        <v>0</v>
      </c>
      <c r="J1743" s="2">
        <v>0</v>
      </c>
      <c r="K1743" s="2">
        <v>0</v>
      </c>
      <c r="L1743" s="2">
        <v>0</v>
      </c>
      <c r="M1743" s="2">
        <v>0</v>
      </c>
      <c r="N1743" s="2">
        <v>0</v>
      </c>
      <c r="O1743" s="2">
        <v>0</v>
      </c>
      <c r="P1743" s="2">
        <v>0</v>
      </c>
      <c r="Q1743" s="2">
        <v>0</v>
      </c>
      <c r="R1743" s="2">
        <v>0</v>
      </c>
      <c r="S1743" s="2" t="s">
        <v>488</v>
      </c>
      <c r="T1743" s="2" t="s">
        <v>488</v>
      </c>
      <c r="U1743" s="2">
        <v>0</v>
      </c>
      <c r="V1743" s="2">
        <v>0</v>
      </c>
      <c r="W1743">
        <f t="shared" si="27"/>
        <v>0</v>
      </c>
    </row>
    <row r="1744" spans="1:23" x14ac:dyDescent="0.25">
      <c r="A1744" s="2" t="s">
        <v>628</v>
      </c>
      <c r="B1744" s="2" t="s">
        <v>918</v>
      </c>
      <c r="C1744" s="2">
        <v>540177</v>
      </c>
      <c r="D1744" s="2" t="s">
        <v>909</v>
      </c>
      <c r="E1744" s="2" t="s">
        <v>75</v>
      </c>
      <c r="F1744" s="2" t="s">
        <v>115</v>
      </c>
      <c r="G1744" s="2">
        <v>7</v>
      </c>
      <c r="H1744" s="2">
        <v>0</v>
      </c>
      <c r="I1744" s="2">
        <v>0</v>
      </c>
      <c r="J1744" s="2">
        <v>0</v>
      </c>
      <c r="K1744" s="2">
        <v>0</v>
      </c>
      <c r="L1744" s="2">
        <v>0</v>
      </c>
      <c r="M1744" s="2">
        <v>0</v>
      </c>
      <c r="N1744" s="2">
        <v>0</v>
      </c>
      <c r="O1744" s="2">
        <v>0</v>
      </c>
      <c r="P1744" s="2">
        <v>0</v>
      </c>
      <c r="Q1744" s="2">
        <v>0</v>
      </c>
      <c r="R1744" s="2">
        <v>0</v>
      </c>
      <c r="S1744" s="2" t="s">
        <v>488</v>
      </c>
      <c r="T1744" s="2" t="s">
        <v>488</v>
      </c>
      <c r="U1744" s="2">
        <v>0</v>
      </c>
      <c r="V1744" s="2">
        <v>0</v>
      </c>
      <c r="W1744">
        <f t="shared" si="27"/>
        <v>0</v>
      </c>
    </row>
    <row r="1745" spans="1:23" x14ac:dyDescent="0.25">
      <c r="A1745" s="2" t="s">
        <v>628</v>
      </c>
      <c r="B1745" s="2" t="s">
        <v>918</v>
      </c>
      <c r="C1745" s="2">
        <v>540175</v>
      </c>
      <c r="D1745" s="2" t="s">
        <v>910</v>
      </c>
      <c r="E1745" s="2" t="s">
        <v>75</v>
      </c>
      <c r="F1745" s="2" t="s">
        <v>5</v>
      </c>
      <c r="G1745" s="2">
        <v>7</v>
      </c>
      <c r="H1745" s="2">
        <v>2</v>
      </c>
      <c r="I1745" s="2">
        <v>0</v>
      </c>
      <c r="J1745" s="2">
        <v>0</v>
      </c>
      <c r="K1745" s="2">
        <v>0</v>
      </c>
      <c r="L1745" s="2">
        <v>0</v>
      </c>
      <c r="M1745" s="2">
        <v>0</v>
      </c>
      <c r="N1745" s="2">
        <v>2</v>
      </c>
      <c r="O1745" s="2">
        <v>0</v>
      </c>
      <c r="P1745" s="2">
        <v>0</v>
      </c>
      <c r="Q1745" s="2">
        <v>2</v>
      </c>
      <c r="R1745" s="2">
        <v>0</v>
      </c>
      <c r="S1745" s="2" t="s">
        <v>488</v>
      </c>
      <c r="T1745" s="2" t="s">
        <v>488</v>
      </c>
      <c r="U1745" s="2">
        <v>0</v>
      </c>
      <c r="V1745" s="2">
        <v>0</v>
      </c>
      <c r="W1745">
        <f t="shared" si="27"/>
        <v>2</v>
      </c>
    </row>
    <row r="1746" spans="1:23" x14ac:dyDescent="0.25">
      <c r="A1746" s="255" t="s">
        <v>628</v>
      </c>
      <c r="B1746" s="255" t="s">
        <v>918</v>
      </c>
      <c r="C1746" s="255"/>
      <c r="D1746" s="255"/>
      <c r="E1746" s="255" t="s">
        <v>75</v>
      </c>
      <c r="F1746" s="255"/>
      <c r="G1746" s="255"/>
      <c r="H1746" s="255">
        <v>3</v>
      </c>
      <c r="I1746" s="255">
        <v>0</v>
      </c>
      <c r="J1746" s="255">
        <v>0</v>
      </c>
      <c r="K1746" s="255">
        <v>0</v>
      </c>
      <c r="L1746" s="255">
        <v>0</v>
      </c>
      <c r="M1746" s="255">
        <v>0</v>
      </c>
      <c r="N1746" s="255">
        <v>3</v>
      </c>
      <c r="O1746" s="255">
        <v>0</v>
      </c>
      <c r="P1746" s="255">
        <v>0</v>
      </c>
      <c r="Q1746" s="255">
        <v>3</v>
      </c>
      <c r="R1746" s="255">
        <v>0</v>
      </c>
      <c r="S1746" s="255" t="s">
        <v>488</v>
      </c>
      <c r="T1746" s="255" t="s">
        <v>488</v>
      </c>
      <c r="U1746" s="255">
        <v>0</v>
      </c>
      <c r="V1746" s="255">
        <v>0</v>
      </c>
      <c r="W1746">
        <f t="shared" si="27"/>
        <v>3</v>
      </c>
    </row>
    <row r="1747" spans="1:23" x14ac:dyDescent="0.25">
      <c r="A1747" s="2" t="s">
        <v>628</v>
      </c>
      <c r="B1747" s="2" t="s">
        <v>918</v>
      </c>
      <c r="C1747" s="2">
        <v>540219</v>
      </c>
      <c r="D1747" s="2" t="s">
        <v>911</v>
      </c>
      <c r="E1747" s="2" t="s">
        <v>95</v>
      </c>
      <c r="F1747" s="2" t="s">
        <v>115</v>
      </c>
      <c r="G1747" s="2">
        <v>1</v>
      </c>
      <c r="H1747" s="2">
        <v>0</v>
      </c>
      <c r="I1747" s="2">
        <v>0</v>
      </c>
      <c r="J1747" s="2">
        <v>0</v>
      </c>
      <c r="K1747" s="2">
        <v>0</v>
      </c>
      <c r="L1747" s="2">
        <v>0</v>
      </c>
      <c r="M1747" s="2">
        <v>0</v>
      </c>
      <c r="N1747" s="2">
        <v>0</v>
      </c>
      <c r="O1747" s="2">
        <v>0</v>
      </c>
      <c r="P1747" s="2">
        <v>0</v>
      </c>
      <c r="Q1747" s="2">
        <v>0</v>
      </c>
      <c r="R1747" s="2">
        <v>0</v>
      </c>
      <c r="S1747" s="2">
        <v>0</v>
      </c>
      <c r="T1747" s="2">
        <v>0</v>
      </c>
      <c r="U1747" s="2">
        <v>0</v>
      </c>
      <c r="V1747" s="2">
        <v>0</v>
      </c>
      <c r="W1747">
        <f t="shared" si="27"/>
        <v>0</v>
      </c>
    </row>
    <row r="1748" spans="1:23" x14ac:dyDescent="0.25">
      <c r="A1748" s="2" t="s">
        <v>628</v>
      </c>
      <c r="B1748" s="2" t="s">
        <v>918</v>
      </c>
      <c r="C1748" s="2">
        <v>540220</v>
      </c>
      <c r="D1748" s="2" t="s">
        <v>912</v>
      </c>
      <c r="E1748" s="2" t="s">
        <v>95</v>
      </c>
      <c r="F1748" s="2" t="s">
        <v>115</v>
      </c>
      <c r="G1748" s="2">
        <v>1</v>
      </c>
      <c r="H1748" s="2">
        <v>0</v>
      </c>
      <c r="I1748" s="2">
        <v>0</v>
      </c>
      <c r="J1748" s="2">
        <v>0</v>
      </c>
      <c r="K1748" s="2">
        <v>0</v>
      </c>
      <c r="L1748" s="2">
        <v>0</v>
      </c>
      <c r="M1748" s="2">
        <v>0</v>
      </c>
      <c r="N1748" s="2">
        <v>0</v>
      </c>
      <c r="O1748" s="2">
        <v>0</v>
      </c>
      <c r="P1748" s="2">
        <v>0</v>
      </c>
      <c r="Q1748" s="2">
        <v>0</v>
      </c>
      <c r="R1748" s="2">
        <v>0</v>
      </c>
      <c r="S1748" s="2">
        <v>0</v>
      </c>
      <c r="T1748" s="2">
        <v>0</v>
      </c>
      <c r="U1748" s="2">
        <v>0</v>
      </c>
      <c r="V1748" s="2">
        <v>0</v>
      </c>
      <c r="W1748">
        <f t="shared" si="27"/>
        <v>0</v>
      </c>
    </row>
    <row r="1749" spans="1:23" x14ac:dyDescent="0.25">
      <c r="A1749" s="2" t="s">
        <v>628</v>
      </c>
      <c r="B1749" s="2" t="s">
        <v>918</v>
      </c>
      <c r="C1749" s="2">
        <v>540218</v>
      </c>
      <c r="D1749" s="2" t="s">
        <v>913</v>
      </c>
      <c r="E1749" s="2" t="s">
        <v>95</v>
      </c>
      <c r="F1749" s="2" t="s">
        <v>115</v>
      </c>
      <c r="G1749" s="2">
        <v>1</v>
      </c>
      <c r="H1749" s="2">
        <v>0</v>
      </c>
      <c r="I1749" s="2">
        <v>1</v>
      </c>
      <c r="J1749" s="2">
        <v>0</v>
      </c>
      <c r="K1749" s="2">
        <v>0</v>
      </c>
      <c r="L1749" s="2">
        <v>0</v>
      </c>
      <c r="M1749" s="2">
        <v>1</v>
      </c>
      <c r="N1749" s="2">
        <v>1</v>
      </c>
      <c r="O1749" s="2">
        <v>0</v>
      </c>
      <c r="P1749" s="2">
        <v>0</v>
      </c>
      <c r="Q1749" s="2">
        <v>0</v>
      </c>
      <c r="R1749" s="2">
        <v>0</v>
      </c>
      <c r="S1749" s="2">
        <v>0</v>
      </c>
      <c r="T1749" s="2">
        <v>0</v>
      </c>
      <c r="U1749" s="2">
        <v>0</v>
      </c>
      <c r="V1749" s="2">
        <v>0</v>
      </c>
      <c r="W1749">
        <f t="shared" si="27"/>
        <v>1</v>
      </c>
    </row>
    <row r="1750" spans="1:23" x14ac:dyDescent="0.25">
      <c r="A1750" s="2" t="s">
        <v>628</v>
      </c>
      <c r="B1750" s="2" t="s">
        <v>918</v>
      </c>
      <c r="C1750" s="2">
        <v>540217</v>
      </c>
      <c r="D1750" s="2" t="s">
        <v>914</v>
      </c>
      <c r="E1750" s="2" t="s">
        <v>95</v>
      </c>
      <c r="F1750" s="2" t="s">
        <v>5</v>
      </c>
      <c r="G1750" s="2">
        <v>1</v>
      </c>
      <c r="H1750" s="2">
        <v>0</v>
      </c>
      <c r="I1750" s="2">
        <v>2</v>
      </c>
      <c r="J1750" s="2">
        <v>0</v>
      </c>
      <c r="K1750" s="2">
        <v>0</v>
      </c>
      <c r="L1750" s="2">
        <v>0</v>
      </c>
      <c r="M1750" s="2">
        <v>2</v>
      </c>
      <c r="N1750" s="2">
        <v>2</v>
      </c>
      <c r="O1750" s="2">
        <v>0</v>
      </c>
      <c r="P1750" s="2">
        <v>0</v>
      </c>
      <c r="Q1750" s="2">
        <v>0</v>
      </c>
      <c r="R1750" s="2">
        <v>1</v>
      </c>
      <c r="S1750" s="2">
        <v>0</v>
      </c>
      <c r="T1750" s="2">
        <v>0</v>
      </c>
      <c r="U1750" s="2">
        <v>0</v>
      </c>
      <c r="V1750" s="2">
        <v>0</v>
      </c>
      <c r="W1750">
        <f t="shared" si="27"/>
        <v>3</v>
      </c>
    </row>
    <row r="1751" spans="1:23" x14ac:dyDescent="0.25">
      <c r="A1751" s="255" t="s">
        <v>628</v>
      </c>
      <c r="B1751" s="255" t="s">
        <v>918</v>
      </c>
      <c r="C1751" s="255"/>
      <c r="D1751" s="255"/>
      <c r="E1751" s="255" t="s">
        <v>95</v>
      </c>
      <c r="F1751" s="255"/>
      <c r="G1751" s="255"/>
      <c r="H1751" s="255">
        <v>0</v>
      </c>
      <c r="I1751" s="255">
        <v>3</v>
      </c>
      <c r="J1751" s="255">
        <v>0</v>
      </c>
      <c r="K1751" s="255">
        <v>0</v>
      </c>
      <c r="L1751" s="255">
        <v>0</v>
      </c>
      <c r="M1751" s="255">
        <v>3</v>
      </c>
      <c r="N1751" s="255">
        <v>3</v>
      </c>
      <c r="O1751" s="255">
        <v>0</v>
      </c>
      <c r="P1751" s="255">
        <v>0</v>
      </c>
      <c r="Q1751" s="255">
        <v>0</v>
      </c>
      <c r="R1751" s="255">
        <v>1</v>
      </c>
      <c r="S1751" s="255">
        <v>0</v>
      </c>
      <c r="T1751" s="255">
        <v>0</v>
      </c>
      <c r="U1751" s="255">
        <v>0</v>
      </c>
      <c r="V1751" s="255">
        <v>0</v>
      </c>
      <c r="W1751">
        <f t="shared" si="27"/>
        <v>4</v>
      </c>
    </row>
    <row r="1752" spans="1:23" x14ac:dyDescent="0.25">
      <c r="A1752" s="2" t="s">
        <v>628</v>
      </c>
      <c r="B1752" s="2" t="s">
        <v>919</v>
      </c>
      <c r="C1752" s="2">
        <v>540001</v>
      </c>
      <c r="D1752" s="2" t="s">
        <v>627</v>
      </c>
      <c r="E1752" s="2" t="s">
        <v>4</v>
      </c>
      <c r="F1752" s="2" t="s">
        <v>5</v>
      </c>
      <c r="G1752" s="2">
        <v>7</v>
      </c>
      <c r="H1752" s="2">
        <v>0</v>
      </c>
      <c r="I1752" s="2">
        <v>0</v>
      </c>
      <c r="J1752" s="2">
        <v>0</v>
      </c>
      <c r="K1752" s="2">
        <v>0</v>
      </c>
      <c r="L1752" s="2">
        <v>0</v>
      </c>
      <c r="M1752" s="2">
        <v>0</v>
      </c>
      <c r="N1752" s="2">
        <v>0</v>
      </c>
      <c r="O1752" s="2">
        <v>0</v>
      </c>
      <c r="P1752" s="2">
        <v>0</v>
      </c>
      <c r="Q1752" s="2">
        <v>0</v>
      </c>
      <c r="R1752" s="2">
        <v>0</v>
      </c>
      <c r="S1752" s="2" t="s">
        <v>488</v>
      </c>
      <c r="T1752" s="2" t="s">
        <v>488</v>
      </c>
      <c r="U1752" s="2">
        <v>0</v>
      </c>
      <c r="V1752" s="2">
        <v>0</v>
      </c>
      <c r="W1752">
        <f t="shared" si="27"/>
        <v>0</v>
      </c>
    </row>
    <row r="1753" spans="1:23" x14ac:dyDescent="0.25">
      <c r="A1753" s="2" t="s">
        <v>628</v>
      </c>
      <c r="B1753" s="2" t="s">
        <v>919</v>
      </c>
      <c r="C1753" s="2">
        <v>540002</v>
      </c>
      <c r="D1753" s="2" t="s">
        <v>629</v>
      </c>
      <c r="E1753" s="2" t="s">
        <v>4</v>
      </c>
      <c r="F1753" s="2" t="s">
        <v>115</v>
      </c>
      <c r="G1753" s="2">
        <v>7</v>
      </c>
      <c r="H1753" s="2">
        <v>0</v>
      </c>
      <c r="I1753" s="2">
        <v>0</v>
      </c>
      <c r="J1753" s="2">
        <v>0</v>
      </c>
      <c r="K1753" s="2">
        <v>0</v>
      </c>
      <c r="L1753" s="2">
        <v>0</v>
      </c>
      <c r="M1753" s="2">
        <v>0</v>
      </c>
      <c r="N1753" s="2">
        <v>0</v>
      </c>
      <c r="O1753" s="2">
        <v>0</v>
      </c>
      <c r="P1753" s="2">
        <v>0</v>
      </c>
      <c r="Q1753" s="2">
        <v>0</v>
      </c>
      <c r="R1753" s="2">
        <v>0</v>
      </c>
      <c r="S1753" s="2" t="s">
        <v>488</v>
      </c>
      <c r="T1753" s="2" t="s">
        <v>488</v>
      </c>
      <c r="U1753" s="2">
        <v>0</v>
      </c>
      <c r="V1753" s="2">
        <v>0</v>
      </c>
      <c r="W1753">
        <f t="shared" si="27"/>
        <v>0</v>
      </c>
    </row>
    <row r="1754" spans="1:23" x14ac:dyDescent="0.25">
      <c r="A1754" s="2" t="s">
        <v>628</v>
      </c>
      <c r="B1754" s="2" t="s">
        <v>919</v>
      </c>
      <c r="C1754" s="2">
        <v>540003</v>
      </c>
      <c r="D1754" s="2" t="s">
        <v>630</v>
      </c>
      <c r="E1754" s="2" t="s">
        <v>4</v>
      </c>
      <c r="F1754" s="2" t="s">
        <v>115</v>
      </c>
      <c r="G1754" s="2">
        <v>7</v>
      </c>
      <c r="H1754" s="2">
        <v>0</v>
      </c>
      <c r="I1754" s="2">
        <v>0</v>
      </c>
      <c r="J1754" s="2">
        <v>0</v>
      </c>
      <c r="K1754" s="2">
        <v>0</v>
      </c>
      <c r="L1754" s="2">
        <v>0</v>
      </c>
      <c r="M1754" s="2">
        <v>0</v>
      </c>
      <c r="N1754" s="2">
        <v>0</v>
      </c>
      <c r="O1754" s="2">
        <v>0</v>
      </c>
      <c r="P1754" s="2">
        <v>0</v>
      </c>
      <c r="Q1754" s="2">
        <v>0</v>
      </c>
      <c r="R1754" s="2">
        <v>0</v>
      </c>
      <c r="S1754" s="2" t="s">
        <v>488</v>
      </c>
      <c r="T1754" s="2" t="s">
        <v>488</v>
      </c>
      <c r="U1754" s="2">
        <v>0</v>
      </c>
      <c r="V1754" s="2">
        <v>0</v>
      </c>
      <c r="W1754">
        <f t="shared" si="27"/>
        <v>0</v>
      </c>
    </row>
    <row r="1755" spans="1:23" x14ac:dyDescent="0.25">
      <c r="A1755" s="2" t="s">
        <v>628</v>
      </c>
      <c r="B1755" s="2" t="s">
        <v>919</v>
      </c>
      <c r="C1755" s="2">
        <v>540004</v>
      </c>
      <c r="D1755" s="2" t="s">
        <v>631</v>
      </c>
      <c r="E1755" s="2" t="s">
        <v>4</v>
      </c>
      <c r="F1755" s="2" t="s">
        <v>115</v>
      </c>
      <c r="G1755" s="2">
        <v>7</v>
      </c>
      <c r="H1755" s="2">
        <v>0</v>
      </c>
      <c r="I1755" s="2">
        <v>0</v>
      </c>
      <c r="J1755" s="2">
        <v>0</v>
      </c>
      <c r="K1755" s="2">
        <v>0</v>
      </c>
      <c r="L1755" s="2">
        <v>0</v>
      </c>
      <c r="M1755" s="2">
        <v>0</v>
      </c>
      <c r="N1755" s="2">
        <v>0</v>
      </c>
      <c r="O1755" s="2">
        <v>0</v>
      </c>
      <c r="P1755" s="2">
        <v>0</v>
      </c>
      <c r="Q1755" s="2">
        <v>0</v>
      </c>
      <c r="R1755" s="2">
        <v>0</v>
      </c>
      <c r="S1755" s="2" t="s">
        <v>488</v>
      </c>
      <c r="T1755" s="2" t="s">
        <v>488</v>
      </c>
      <c r="U1755" s="2">
        <v>0</v>
      </c>
      <c r="V1755" s="2">
        <v>0</v>
      </c>
      <c r="W1755">
        <f t="shared" si="27"/>
        <v>0</v>
      </c>
    </row>
    <row r="1756" spans="1:23" x14ac:dyDescent="0.25">
      <c r="A1756" s="255" t="s">
        <v>628</v>
      </c>
      <c r="B1756" s="255" t="s">
        <v>919</v>
      </c>
      <c r="C1756" s="255"/>
      <c r="D1756" s="255"/>
      <c r="E1756" s="255" t="s">
        <v>4</v>
      </c>
      <c r="F1756" s="255"/>
      <c r="G1756" s="255"/>
      <c r="H1756" s="255">
        <v>0</v>
      </c>
      <c r="I1756" s="255">
        <v>0</v>
      </c>
      <c r="J1756" s="255">
        <v>0</v>
      </c>
      <c r="K1756" s="255">
        <v>0</v>
      </c>
      <c r="L1756" s="255">
        <v>0</v>
      </c>
      <c r="M1756" s="255">
        <v>0</v>
      </c>
      <c r="N1756" s="255">
        <v>0</v>
      </c>
      <c r="O1756" s="255">
        <v>0</v>
      </c>
      <c r="P1756" s="255">
        <v>0</v>
      </c>
      <c r="Q1756" s="255">
        <v>0</v>
      </c>
      <c r="R1756" s="255">
        <v>0</v>
      </c>
      <c r="S1756" s="255" t="s">
        <v>488</v>
      </c>
      <c r="T1756" s="255" t="s">
        <v>488</v>
      </c>
      <c r="U1756" s="255">
        <v>0</v>
      </c>
      <c r="V1756" s="255">
        <v>0</v>
      </c>
      <c r="W1756">
        <f t="shared" si="27"/>
        <v>0</v>
      </c>
    </row>
    <row r="1757" spans="1:23" x14ac:dyDescent="0.25">
      <c r="A1757" s="2" t="s">
        <v>628</v>
      </c>
      <c r="B1757" s="2" t="s">
        <v>919</v>
      </c>
      <c r="C1757" s="2">
        <v>540007</v>
      </c>
      <c r="D1757" s="2" t="s">
        <v>632</v>
      </c>
      <c r="E1757" s="2" t="s">
        <v>7</v>
      </c>
      <c r="F1757" s="2" t="s">
        <v>5</v>
      </c>
      <c r="G1757" s="2">
        <v>3</v>
      </c>
      <c r="H1757" s="2">
        <v>0</v>
      </c>
      <c r="I1757" s="2">
        <v>0</v>
      </c>
      <c r="J1757" s="2">
        <v>0</v>
      </c>
      <c r="K1757" s="2">
        <v>0</v>
      </c>
      <c r="L1757" s="2">
        <v>0</v>
      </c>
      <c r="M1757" s="2">
        <v>0</v>
      </c>
      <c r="N1757" s="2">
        <v>0</v>
      </c>
      <c r="O1757" s="2">
        <v>0</v>
      </c>
      <c r="P1757" s="2">
        <v>0</v>
      </c>
      <c r="Q1757" s="2">
        <v>0</v>
      </c>
      <c r="R1757" s="2">
        <v>0</v>
      </c>
      <c r="S1757" s="2" t="s">
        <v>488</v>
      </c>
      <c r="T1757" s="2" t="s">
        <v>488</v>
      </c>
      <c r="U1757" s="2">
        <v>0</v>
      </c>
      <c r="V1757" s="2">
        <v>0</v>
      </c>
      <c r="W1757">
        <f t="shared" si="27"/>
        <v>0</v>
      </c>
    </row>
    <row r="1758" spans="1:23" x14ac:dyDescent="0.25">
      <c r="A1758" s="2" t="s">
        <v>628</v>
      </c>
      <c r="B1758" s="2" t="s">
        <v>919</v>
      </c>
      <c r="C1758" s="2">
        <v>540008</v>
      </c>
      <c r="D1758" s="2" t="s">
        <v>633</v>
      </c>
      <c r="E1758" s="2" t="s">
        <v>7</v>
      </c>
      <c r="F1758" s="2" t="s">
        <v>115</v>
      </c>
      <c r="G1758" s="2">
        <v>3</v>
      </c>
      <c r="H1758" s="2">
        <v>0</v>
      </c>
      <c r="I1758" s="2">
        <v>0</v>
      </c>
      <c r="J1758" s="2">
        <v>0</v>
      </c>
      <c r="K1758" s="2">
        <v>0</v>
      </c>
      <c r="L1758" s="2">
        <v>0</v>
      </c>
      <c r="M1758" s="2">
        <v>0</v>
      </c>
      <c r="N1758" s="2">
        <v>0</v>
      </c>
      <c r="O1758" s="2">
        <v>0</v>
      </c>
      <c r="P1758" s="2">
        <v>0</v>
      </c>
      <c r="Q1758" s="2">
        <v>0</v>
      </c>
      <c r="R1758" s="2">
        <v>0</v>
      </c>
      <c r="S1758" s="2" t="s">
        <v>488</v>
      </c>
      <c r="T1758" s="2" t="s">
        <v>488</v>
      </c>
      <c r="U1758" s="2">
        <v>0</v>
      </c>
      <c r="V1758" s="2">
        <v>0</v>
      </c>
      <c r="W1758">
        <f t="shared" si="27"/>
        <v>0</v>
      </c>
    </row>
    <row r="1759" spans="1:23" x14ac:dyDescent="0.25">
      <c r="A1759" s="2" t="s">
        <v>628</v>
      </c>
      <c r="B1759" s="2" t="s">
        <v>919</v>
      </c>
      <c r="C1759" s="2">
        <v>540229</v>
      </c>
      <c r="D1759" s="2" t="s">
        <v>634</v>
      </c>
      <c r="E1759" s="2" t="s">
        <v>7</v>
      </c>
      <c r="F1759" s="2" t="s">
        <v>115</v>
      </c>
      <c r="G1759" s="2">
        <v>3</v>
      </c>
      <c r="H1759" s="2">
        <v>0</v>
      </c>
      <c r="I1759" s="2">
        <v>0</v>
      </c>
      <c r="J1759" s="2">
        <v>0</v>
      </c>
      <c r="K1759" s="2">
        <v>0</v>
      </c>
      <c r="L1759" s="2">
        <v>0</v>
      </c>
      <c r="M1759" s="2">
        <v>0</v>
      </c>
      <c r="N1759" s="2">
        <v>0</v>
      </c>
      <c r="O1759" s="2">
        <v>0</v>
      </c>
      <c r="P1759" s="2">
        <v>0</v>
      </c>
      <c r="Q1759" s="2">
        <v>0</v>
      </c>
      <c r="R1759" s="2">
        <v>0</v>
      </c>
      <c r="S1759" s="2" t="s">
        <v>488</v>
      </c>
      <c r="T1759" s="2" t="s">
        <v>488</v>
      </c>
      <c r="U1759" s="2">
        <v>0</v>
      </c>
      <c r="V1759" s="2">
        <v>0</v>
      </c>
      <c r="W1759">
        <f t="shared" si="27"/>
        <v>0</v>
      </c>
    </row>
    <row r="1760" spans="1:23" x14ac:dyDescent="0.25">
      <c r="A1760" s="2" t="s">
        <v>628</v>
      </c>
      <c r="B1760" s="2" t="s">
        <v>919</v>
      </c>
      <c r="C1760" s="2">
        <v>540230</v>
      </c>
      <c r="D1760" s="2" t="s">
        <v>635</v>
      </c>
      <c r="E1760" s="2" t="s">
        <v>7</v>
      </c>
      <c r="F1760" s="2" t="s">
        <v>115</v>
      </c>
      <c r="G1760" s="2">
        <v>3</v>
      </c>
      <c r="H1760" s="2">
        <v>0</v>
      </c>
      <c r="I1760" s="2">
        <v>0</v>
      </c>
      <c r="J1760" s="2">
        <v>0</v>
      </c>
      <c r="K1760" s="2">
        <v>0</v>
      </c>
      <c r="L1760" s="2">
        <v>0</v>
      </c>
      <c r="M1760" s="2">
        <v>0</v>
      </c>
      <c r="N1760" s="2">
        <v>0</v>
      </c>
      <c r="O1760" s="2">
        <v>0</v>
      </c>
      <c r="P1760" s="2">
        <v>0</v>
      </c>
      <c r="Q1760" s="2">
        <v>0</v>
      </c>
      <c r="R1760" s="2">
        <v>0</v>
      </c>
      <c r="S1760" s="2" t="s">
        <v>488</v>
      </c>
      <c r="T1760" s="2" t="s">
        <v>488</v>
      </c>
      <c r="U1760" s="2">
        <v>0</v>
      </c>
      <c r="V1760" s="2">
        <v>0</v>
      </c>
      <c r="W1760">
        <f t="shared" si="27"/>
        <v>0</v>
      </c>
    </row>
    <row r="1761" spans="1:23" x14ac:dyDescent="0.25">
      <c r="A1761" s="2" t="s">
        <v>628</v>
      </c>
      <c r="B1761" s="2" t="s">
        <v>919</v>
      </c>
      <c r="C1761" s="2">
        <v>540238</v>
      </c>
      <c r="D1761" s="2" t="s">
        <v>636</v>
      </c>
      <c r="E1761" s="2" t="s">
        <v>7</v>
      </c>
      <c r="F1761" s="2" t="s">
        <v>115</v>
      </c>
      <c r="G1761" s="2">
        <v>3</v>
      </c>
      <c r="H1761" s="2">
        <v>0</v>
      </c>
      <c r="I1761" s="2">
        <v>0</v>
      </c>
      <c r="J1761" s="2">
        <v>0</v>
      </c>
      <c r="K1761" s="2">
        <v>0</v>
      </c>
      <c r="L1761" s="2">
        <v>0</v>
      </c>
      <c r="M1761" s="2">
        <v>0</v>
      </c>
      <c r="N1761" s="2">
        <v>0</v>
      </c>
      <c r="O1761" s="2">
        <v>0</v>
      </c>
      <c r="P1761" s="2">
        <v>0</v>
      </c>
      <c r="Q1761" s="2">
        <v>0</v>
      </c>
      <c r="R1761" s="2">
        <v>0</v>
      </c>
      <c r="S1761" s="2" t="s">
        <v>488</v>
      </c>
      <c r="T1761" s="2" t="s">
        <v>488</v>
      </c>
      <c r="U1761" s="2">
        <v>0</v>
      </c>
      <c r="V1761" s="2">
        <v>0</v>
      </c>
      <c r="W1761">
        <f t="shared" si="27"/>
        <v>0</v>
      </c>
    </row>
    <row r="1762" spans="1:23" x14ac:dyDescent="0.25">
      <c r="A1762" s="255" t="s">
        <v>628</v>
      </c>
      <c r="B1762" s="255" t="s">
        <v>919</v>
      </c>
      <c r="C1762" s="255"/>
      <c r="D1762" s="255"/>
      <c r="E1762" s="255" t="s">
        <v>7</v>
      </c>
      <c r="F1762" s="255"/>
      <c r="G1762" s="255"/>
      <c r="H1762" s="255">
        <v>0</v>
      </c>
      <c r="I1762" s="255">
        <v>0</v>
      </c>
      <c r="J1762" s="255">
        <v>0</v>
      </c>
      <c r="K1762" s="255">
        <v>0</v>
      </c>
      <c r="L1762" s="255">
        <v>0</v>
      </c>
      <c r="M1762" s="255">
        <v>0</v>
      </c>
      <c r="N1762" s="255">
        <v>0</v>
      </c>
      <c r="O1762" s="255">
        <v>0</v>
      </c>
      <c r="P1762" s="255">
        <v>0</v>
      </c>
      <c r="Q1762" s="255">
        <v>0</v>
      </c>
      <c r="R1762" s="255">
        <v>0</v>
      </c>
      <c r="S1762" s="255" t="s">
        <v>488</v>
      </c>
      <c r="T1762" s="255" t="s">
        <v>488</v>
      </c>
      <c r="U1762" s="255">
        <v>0</v>
      </c>
      <c r="V1762" s="255">
        <v>0</v>
      </c>
      <c r="W1762">
        <f t="shared" si="27"/>
        <v>0</v>
      </c>
    </row>
    <row r="1763" spans="1:23" x14ac:dyDescent="0.25">
      <c r="A1763" s="2" t="s">
        <v>628</v>
      </c>
      <c r="B1763" s="2" t="s">
        <v>919</v>
      </c>
      <c r="C1763" s="2">
        <v>540009</v>
      </c>
      <c r="D1763" s="2" t="s">
        <v>637</v>
      </c>
      <c r="E1763" s="2" t="s">
        <v>9</v>
      </c>
      <c r="F1763" s="2" t="s">
        <v>5</v>
      </c>
      <c r="G1763" s="2">
        <v>7</v>
      </c>
      <c r="H1763" s="2">
        <v>0</v>
      </c>
      <c r="I1763" s="2">
        <v>0</v>
      </c>
      <c r="J1763" s="2">
        <v>0</v>
      </c>
      <c r="K1763" s="2">
        <v>0</v>
      </c>
      <c r="L1763" s="2">
        <v>0</v>
      </c>
      <c r="M1763" s="2">
        <v>0</v>
      </c>
      <c r="N1763" s="2">
        <v>0</v>
      </c>
      <c r="O1763" s="2">
        <v>0</v>
      </c>
      <c r="P1763" s="2">
        <v>0</v>
      </c>
      <c r="Q1763" s="2" t="s">
        <v>488</v>
      </c>
      <c r="R1763" s="2" t="s">
        <v>488</v>
      </c>
      <c r="S1763" s="2" t="s">
        <v>488</v>
      </c>
      <c r="T1763" s="2" t="s">
        <v>488</v>
      </c>
      <c r="U1763" s="2">
        <v>0</v>
      </c>
      <c r="V1763" s="2">
        <v>0</v>
      </c>
      <c r="W1763">
        <f t="shared" si="27"/>
        <v>0</v>
      </c>
    </row>
    <row r="1764" spans="1:23" x14ac:dyDescent="0.25">
      <c r="A1764" s="2" t="s">
        <v>628</v>
      </c>
      <c r="B1764" s="2" t="s">
        <v>919</v>
      </c>
      <c r="C1764" s="2">
        <v>540010</v>
      </c>
      <c r="D1764" s="2" t="s">
        <v>638</v>
      </c>
      <c r="E1764" s="2" t="s">
        <v>9</v>
      </c>
      <c r="F1764" s="2" t="s">
        <v>115</v>
      </c>
      <c r="G1764" s="2">
        <v>7</v>
      </c>
      <c r="H1764" s="2">
        <v>0</v>
      </c>
      <c r="I1764" s="2">
        <v>0</v>
      </c>
      <c r="J1764" s="2">
        <v>0</v>
      </c>
      <c r="K1764" s="2">
        <v>0</v>
      </c>
      <c r="L1764" s="2">
        <v>0</v>
      </c>
      <c r="M1764" s="2">
        <v>0</v>
      </c>
      <c r="N1764" s="2">
        <v>0</v>
      </c>
      <c r="O1764" s="2">
        <v>0</v>
      </c>
      <c r="P1764" s="2">
        <v>0</v>
      </c>
      <c r="Q1764" s="2" t="s">
        <v>488</v>
      </c>
      <c r="R1764" s="2" t="s">
        <v>488</v>
      </c>
      <c r="S1764" s="2" t="s">
        <v>488</v>
      </c>
      <c r="T1764" s="2" t="s">
        <v>488</v>
      </c>
      <c r="U1764" s="2">
        <v>0</v>
      </c>
      <c r="V1764" s="2">
        <v>0</v>
      </c>
      <c r="W1764">
        <f t="shared" si="27"/>
        <v>0</v>
      </c>
    </row>
    <row r="1765" spans="1:23" x14ac:dyDescent="0.25">
      <c r="A1765" s="2" t="s">
        <v>628</v>
      </c>
      <c r="B1765" s="2" t="s">
        <v>919</v>
      </c>
      <c r="C1765" s="2">
        <v>540235</v>
      </c>
      <c r="D1765" s="2" t="s">
        <v>639</v>
      </c>
      <c r="E1765" s="2" t="s">
        <v>9</v>
      </c>
      <c r="F1765" s="2" t="s">
        <v>115</v>
      </c>
      <c r="G1765" s="2">
        <v>7</v>
      </c>
      <c r="H1765" s="2">
        <v>0</v>
      </c>
      <c r="I1765" s="2">
        <v>0</v>
      </c>
      <c r="J1765" s="2">
        <v>0</v>
      </c>
      <c r="K1765" s="2">
        <v>0</v>
      </c>
      <c r="L1765" s="2">
        <v>0</v>
      </c>
      <c r="M1765" s="2">
        <v>0</v>
      </c>
      <c r="N1765" s="2">
        <v>0</v>
      </c>
      <c r="O1765" s="2">
        <v>0</v>
      </c>
      <c r="P1765" s="2">
        <v>0</v>
      </c>
      <c r="Q1765" s="2" t="s">
        <v>488</v>
      </c>
      <c r="R1765" s="2" t="s">
        <v>488</v>
      </c>
      <c r="S1765" s="2" t="s">
        <v>488</v>
      </c>
      <c r="T1765" s="2" t="s">
        <v>488</v>
      </c>
      <c r="U1765" s="2">
        <v>0</v>
      </c>
      <c r="V1765" s="2">
        <v>0</v>
      </c>
      <c r="W1765">
        <f t="shared" si="27"/>
        <v>0</v>
      </c>
    </row>
    <row r="1766" spans="1:23" x14ac:dyDescent="0.25">
      <c r="A1766" s="2" t="s">
        <v>628</v>
      </c>
      <c r="B1766" s="2" t="s">
        <v>919</v>
      </c>
      <c r="C1766" s="2">
        <v>540236</v>
      </c>
      <c r="D1766" s="2" t="s">
        <v>640</v>
      </c>
      <c r="E1766" s="2" t="s">
        <v>9</v>
      </c>
      <c r="F1766" s="2" t="s">
        <v>115</v>
      </c>
      <c r="G1766" s="2">
        <v>7</v>
      </c>
      <c r="H1766" s="2">
        <v>0</v>
      </c>
      <c r="I1766" s="2">
        <v>0</v>
      </c>
      <c r="J1766" s="2">
        <v>0</v>
      </c>
      <c r="K1766" s="2">
        <v>0</v>
      </c>
      <c r="L1766" s="2">
        <v>0</v>
      </c>
      <c r="M1766" s="2">
        <v>0</v>
      </c>
      <c r="N1766" s="2">
        <v>0</v>
      </c>
      <c r="O1766" s="2">
        <v>0</v>
      </c>
      <c r="P1766" s="2">
        <v>0</v>
      </c>
      <c r="Q1766" s="2" t="s">
        <v>488</v>
      </c>
      <c r="R1766" s="2" t="s">
        <v>488</v>
      </c>
      <c r="S1766" s="2" t="s">
        <v>488</v>
      </c>
      <c r="T1766" s="2" t="s">
        <v>488</v>
      </c>
      <c r="U1766" s="2">
        <v>0</v>
      </c>
      <c r="V1766" s="2">
        <v>0</v>
      </c>
      <c r="W1766">
        <f t="shared" si="27"/>
        <v>0</v>
      </c>
    </row>
    <row r="1767" spans="1:23" x14ac:dyDescent="0.25">
      <c r="A1767" s="2" t="s">
        <v>628</v>
      </c>
      <c r="B1767" s="2" t="s">
        <v>919</v>
      </c>
      <c r="C1767" s="2">
        <v>540237</v>
      </c>
      <c r="D1767" s="2" t="s">
        <v>641</v>
      </c>
      <c r="E1767" s="2" t="s">
        <v>9</v>
      </c>
      <c r="F1767" s="2" t="s">
        <v>115</v>
      </c>
      <c r="G1767" s="2">
        <v>7</v>
      </c>
      <c r="H1767" s="2">
        <v>0</v>
      </c>
      <c r="I1767" s="2">
        <v>0</v>
      </c>
      <c r="J1767" s="2">
        <v>0</v>
      </c>
      <c r="K1767" s="2">
        <v>0</v>
      </c>
      <c r="L1767" s="2">
        <v>0</v>
      </c>
      <c r="M1767" s="2">
        <v>0</v>
      </c>
      <c r="N1767" s="2">
        <v>0</v>
      </c>
      <c r="O1767" s="2">
        <v>0</v>
      </c>
      <c r="P1767" s="2">
        <v>0</v>
      </c>
      <c r="Q1767" s="2" t="s">
        <v>488</v>
      </c>
      <c r="R1767" s="2" t="s">
        <v>488</v>
      </c>
      <c r="S1767" s="2" t="s">
        <v>488</v>
      </c>
      <c r="T1767" s="2" t="s">
        <v>488</v>
      </c>
      <c r="U1767" s="2">
        <v>0</v>
      </c>
      <c r="V1767" s="2">
        <v>0</v>
      </c>
      <c r="W1767">
        <f t="shared" si="27"/>
        <v>0</v>
      </c>
    </row>
    <row r="1768" spans="1:23" x14ac:dyDescent="0.25">
      <c r="A1768" s="255" t="s">
        <v>628</v>
      </c>
      <c r="B1768" s="255" t="s">
        <v>919</v>
      </c>
      <c r="C1768" s="255"/>
      <c r="D1768" s="255"/>
      <c r="E1768" s="255" t="s">
        <v>9</v>
      </c>
      <c r="F1768" s="255"/>
      <c r="G1768" s="255"/>
      <c r="H1768" s="255">
        <v>0</v>
      </c>
      <c r="I1768" s="255">
        <v>0</v>
      </c>
      <c r="J1768" s="255">
        <v>0</v>
      </c>
      <c r="K1768" s="255">
        <v>0</v>
      </c>
      <c r="L1768" s="255">
        <v>0</v>
      </c>
      <c r="M1768" s="255">
        <v>0</v>
      </c>
      <c r="N1768" s="255">
        <v>0</v>
      </c>
      <c r="O1768" s="255">
        <v>0</v>
      </c>
      <c r="P1768" s="255">
        <v>0</v>
      </c>
      <c r="Q1768" s="255" t="s">
        <v>488</v>
      </c>
      <c r="R1768" s="255" t="s">
        <v>488</v>
      </c>
      <c r="S1768" s="255" t="s">
        <v>488</v>
      </c>
      <c r="T1768" s="255" t="s">
        <v>488</v>
      </c>
      <c r="U1768" s="255">
        <v>0</v>
      </c>
      <c r="V1768" s="255">
        <v>0</v>
      </c>
      <c r="W1768">
        <f t="shared" si="27"/>
        <v>0</v>
      </c>
    </row>
    <row r="1769" spans="1:23" x14ac:dyDescent="0.25">
      <c r="A1769" s="2" t="s">
        <v>628</v>
      </c>
      <c r="B1769" s="2" t="s">
        <v>919</v>
      </c>
      <c r="C1769" s="2">
        <v>540011</v>
      </c>
      <c r="D1769" s="2" t="s">
        <v>642</v>
      </c>
      <c r="E1769" s="2" t="s">
        <v>11</v>
      </c>
      <c r="F1769" s="2" t="s">
        <v>5</v>
      </c>
      <c r="G1769" s="2">
        <v>11</v>
      </c>
      <c r="H1769" s="2">
        <v>0</v>
      </c>
      <c r="I1769" s="2">
        <v>0</v>
      </c>
      <c r="J1769" s="2">
        <v>0</v>
      </c>
      <c r="K1769" s="2">
        <v>0</v>
      </c>
      <c r="L1769" s="2">
        <v>0</v>
      </c>
      <c r="M1769" s="2">
        <v>0</v>
      </c>
      <c r="N1769" s="2">
        <v>0</v>
      </c>
      <c r="O1769" s="2">
        <v>0</v>
      </c>
      <c r="P1769" s="2">
        <v>0</v>
      </c>
      <c r="Q1769" s="2">
        <v>0</v>
      </c>
      <c r="R1769" s="2">
        <v>0</v>
      </c>
      <c r="S1769" s="2" t="s">
        <v>488</v>
      </c>
      <c r="T1769" s="2" t="s">
        <v>488</v>
      </c>
      <c r="U1769" s="2">
        <v>0</v>
      </c>
      <c r="V1769" s="2">
        <v>0</v>
      </c>
      <c r="W1769">
        <f t="shared" si="27"/>
        <v>0</v>
      </c>
    </row>
    <row r="1770" spans="1:23" x14ac:dyDescent="0.25">
      <c r="A1770" s="2" t="s">
        <v>628</v>
      </c>
      <c r="B1770" s="2" t="s">
        <v>919</v>
      </c>
      <c r="C1770" s="2">
        <v>540012</v>
      </c>
      <c r="D1770" s="2" t="s">
        <v>643</v>
      </c>
      <c r="E1770" s="2" t="s">
        <v>11</v>
      </c>
      <c r="F1770" s="2" t="s">
        <v>115</v>
      </c>
      <c r="G1770" s="2">
        <v>11</v>
      </c>
      <c r="H1770" s="2">
        <v>0</v>
      </c>
      <c r="I1770" s="2">
        <v>0</v>
      </c>
      <c r="J1770" s="2">
        <v>0</v>
      </c>
      <c r="K1770" s="2">
        <v>0</v>
      </c>
      <c r="L1770" s="2">
        <v>0</v>
      </c>
      <c r="M1770" s="2">
        <v>0</v>
      </c>
      <c r="N1770" s="2">
        <v>0</v>
      </c>
      <c r="O1770" s="2">
        <v>0</v>
      </c>
      <c r="P1770" s="2">
        <v>0</v>
      </c>
      <c r="Q1770" s="2">
        <v>0</v>
      </c>
      <c r="R1770" s="2">
        <v>0</v>
      </c>
      <c r="S1770" s="2" t="s">
        <v>488</v>
      </c>
      <c r="T1770" s="2" t="s">
        <v>488</v>
      </c>
      <c r="U1770" s="2">
        <v>0</v>
      </c>
      <c r="V1770" s="2">
        <v>0</v>
      </c>
      <c r="W1770">
        <f t="shared" si="27"/>
        <v>0</v>
      </c>
    </row>
    <row r="1771" spans="1:23" x14ac:dyDescent="0.25">
      <c r="A1771" s="2" t="s">
        <v>628</v>
      </c>
      <c r="B1771" s="2" t="s">
        <v>919</v>
      </c>
      <c r="C1771" s="2">
        <v>540013</v>
      </c>
      <c r="D1771" s="2" t="s">
        <v>644</v>
      </c>
      <c r="E1771" s="2" t="s">
        <v>11</v>
      </c>
      <c r="F1771" s="2" t="s">
        <v>115</v>
      </c>
      <c r="G1771" s="2">
        <v>11</v>
      </c>
      <c r="H1771" s="2">
        <v>0</v>
      </c>
      <c r="I1771" s="2">
        <v>0</v>
      </c>
      <c r="J1771" s="2">
        <v>0</v>
      </c>
      <c r="K1771" s="2">
        <v>0</v>
      </c>
      <c r="L1771" s="2">
        <v>0</v>
      </c>
      <c r="M1771" s="2">
        <v>0</v>
      </c>
      <c r="N1771" s="2">
        <v>0</v>
      </c>
      <c r="O1771" s="2">
        <v>0</v>
      </c>
      <c r="P1771" s="2">
        <v>0</v>
      </c>
      <c r="Q1771" s="2">
        <v>0</v>
      </c>
      <c r="R1771" s="2">
        <v>0</v>
      </c>
      <c r="S1771" s="2" t="s">
        <v>488</v>
      </c>
      <c r="T1771" s="2" t="s">
        <v>488</v>
      </c>
      <c r="U1771" s="2">
        <v>0</v>
      </c>
      <c r="V1771" s="2">
        <v>0</v>
      </c>
      <c r="W1771">
        <f t="shared" si="27"/>
        <v>0</v>
      </c>
    </row>
    <row r="1772" spans="1:23" x14ac:dyDescent="0.25">
      <c r="A1772" s="2" t="s">
        <v>628</v>
      </c>
      <c r="B1772" s="2" t="s">
        <v>919</v>
      </c>
      <c r="C1772" s="2">
        <v>540014</v>
      </c>
      <c r="D1772" s="2" t="s">
        <v>645</v>
      </c>
      <c r="E1772" s="2" t="s">
        <v>11</v>
      </c>
      <c r="F1772" s="2" t="s">
        <v>115</v>
      </c>
      <c r="G1772" s="2">
        <v>11</v>
      </c>
      <c r="H1772" s="2">
        <v>0</v>
      </c>
      <c r="I1772" s="2">
        <v>0</v>
      </c>
      <c r="J1772" s="2">
        <v>0</v>
      </c>
      <c r="K1772" s="2">
        <v>0</v>
      </c>
      <c r="L1772" s="2">
        <v>0</v>
      </c>
      <c r="M1772" s="2">
        <v>0</v>
      </c>
      <c r="N1772" s="2">
        <v>0</v>
      </c>
      <c r="O1772" s="2">
        <v>0</v>
      </c>
      <c r="P1772" s="2">
        <v>0</v>
      </c>
      <c r="Q1772" s="2">
        <v>0</v>
      </c>
      <c r="R1772" s="2">
        <v>0</v>
      </c>
      <c r="S1772" s="2" t="s">
        <v>488</v>
      </c>
      <c r="T1772" s="2" t="s">
        <v>488</v>
      </c>
      <c r="U1772" s="2">
        <v>0</v>
      </c>
      <c r="V1772" s="2">
        <v>0</v>
      </c>
      <c r="W1772">
        <f t="shared" si="27"/>
        <v>0</v>
      </c>
    </row>
    <row r="1773" spans="1:23" x14ac:dyDescent="0.25">
      <c r="A1773" s="2" t="s">
        <v>628</v>
      </c>
      <c r="B1773" s="2" t="s">
        <v>919</v>
      </c>
      <c r="C1773" s="2">
        <v>540015</v>
      </c>
      <c r="D1773" s="2" t="s">
        <v>646</v>
      </c>
      <c r="E1773" s="2" t="s">
        <v>11</v>
      </c>
      <c r="F1773" s="2" t="s">
        <v>115</v>
      </c>
      <c r="G1773" s="2">
        <v>11</v>
      </c>
      <c r="H1773" s="2">
        <v>0</v>
      </c>
      <c r="I1773" s="2">
        <v>0</v>
      </c>
      <c r="J1773" s="2">
        <v>0</v>
      </c>
      <c r="K1773" s="2">
        <v>0</v>
      </c>
      <c r="L1773" s="2">
        <v>0</v>
      </c>
      <c r="M1773" s="2">
        <v>0</v>
      </c>
      <c r="N1773" s="2">
        <v>0</v>
      </c>
      <c r="O1773" s="2">
        <v>0</v>
      </c>
      <c r="P1773" s="2">
        <v>0</v>
      </c>
      <c r="Q1773" s="2">
        <v>0</v>
      </c>
      <c r="R1773" s="2">
        <v>0</v>
      </c>
      <c r="S1773" s="2" t="s">
        <v>488</v>
      </c>
      <c r="T1773" s="2" t="s">
        <v>488</v>
      </c>
      <c r="U1773" s="2">
        <v>0</v>
      </c>
      <c r="V1773" s="2">
        <v>0</v>
      </c>
      <c r="W1773">
        <f t="shared" si="27"/>
        <v>0</v>
      </c>
    </row>
    <row r="1774" spans="1:23" x14ac:dyDescent="0.25">
      <c r="A1774" s="2" t="s">
        <v>628</v>
      </c>
      <c r="B1774" s="2" t="s">
        <v>919</v>
      </c>
      <c r="C1774" s="2">
        <v>540093</v>
      </c>
      <c r="D1774" s="2" t="s">
        <v>647</v>
      </c>
      <c r="E1774" s="2" t="s">
        <v>11</v>
      </c>
      <c r="F1774" s="2" t="s">
        <v>115</v>
      </c>
      <c r="G1774" s="2">
        <v>11</v>
      </c>
      <c r="H1774" s="2">
        <v>0</v>
      </c>
      <c r="I1774" s="2">
        <v>0</v>
      </c>
      <c r="J1774" s="2">
        <v>0</v>
      </c>
      <c r="K1774" s="2">
        <v>0</v>
      </c>
      <c r="L1774" s="2">
        <v>0</v>
      </c>
      <c r="M1774" s="2">
        <v>0</v>
      </c>
      <c r="N1774" s="2">
        <v>0</v>
      </c>
      <c r="O1774" s="2">
        <v>0</v>
      </c>
      <c r="P1774" s="2">
        <v>0</v>
      </c>
      <c r="Q1774" s="2">
        <v>0</v>
      </c>
      <c r="R1774" s="2">
        <v>0</v>
      </c>
      <c r="S1774" s="2" t="s">
        <v>488</v>
      </c>
      <c r="T1774" s="2" t="s">
        <v>488</v>
      </c>
      <c r="U1774" s="2">
        <v>0</v>
      </c>
      <c r="V1774" s="2">
        <v>0</v>
      </c>
      <c r="W1774">
        <f t="shared" si="27"/>
        <v>0</v>
      </c>
    </row>
    <row r="1775" spans="1:23" x14ac:dyDescent="0.25">
      <c r="A1775" s="2" t="s">
        <v>628</v>
      </c>
      <c r="B1775" s="2" t="s">
        <v>919</v>
      </c>
      <c r="C1775" s="2">
        <v>540084</v>
      </c>
      <c r="D1775" s="2" t="s">
        <v>648</v>
      </c>
      <c r="E1775" s="2" t="s">
        <v>11</v>
      </c>
      <c r="F1775" s="2" t="s">
        <v>115</v>
      </c>
      <c r="G1775" s="2">
        <v>11</v>
      </c>
      <c r="H1775" s="2">
        <v>0</v>
      </c>
      <c r="I1775" s="2">
        <v>0</v>
      </c>
      <c r="J1775" s="2">
        <v>0</v>
      </c>
      <c r="K1775" s="2">
        <v>0</v>
      </c>
      <c r="L1775" s="2">
        <v>0</v>
      </c>
      <c r="M1775" s="2">
        <v>0</v>
      </c>
      <c r="N1775" s="2">
        <v>0</v>
      </c>
      <c r="O1775" s="2">
        <v>0</v>
      </c>
      <c r="P1775" s="2">
        <v>0</v>
      </c>
      <c r="Q1775" s="2">
        <v>0</v>
      </c>
      <c r="R1775" s="2">
        <v>0</v>
      </c>
      <c r="S1775" s="2" t="s">
        <v>488</v>
      </c>
      <c r="T1775" s="2" t="s">
        <v>488</v>
      </c>
      <c r="U1775" s="2">
        <v>0</v>
      </c>
      <c r="V1775" s="2">
        <v>0</v>
      </c>
      <c r="W1775">
        <f t="shared" si="27"/>
        <v>0</v>
      </c>
    </row>
    <row r="1776" spans="1:23" x14ac:dyDescent="0.25">
      <c r="A1776" s="255" t="s">
        <v>628</v>
      </c>
      <c r="B1776" s="255" t="s">
        <v>919</v>
      </c>
      <c r="C1776" s="255"/>
      <c r="D1776" s="255"/>
      <c r="E1776" s="255" t="s">
        <v>11</v>
      </c>
      <c r="F1776" s="255"/>
      <c r="G1776" s="255"/>
      <c r="H1776" s="255">
        <v>0</v>
      </c>
      <c r="I1776" s="255">
        <v>0</v>
      </c>
      <c r="J1776" s="255">
        <v>0</v>
      </c>
      <c r="K1776" s="255">
        <v>0</v>
      </c>
      <c r="L1776" s="255">
        <v>0</v>
      </c>
      <c r="M1776" s="255">
        <v>0</v>
      </c>
      <c r="N1776" s="255">
        <v>0</v>
      </c>
      <c r="O1776" s="255">
        <v>0</v>
      </c>
      <c r="P1776" s="255">
        <v>0</v>
      </c>
      <c r="Q1776" s="255">
        <v>0</v>
      </c>
      <c r="R1776" s="255">
        <v>0</v>
      </c>
      <c r="S1776" s="255" t="s">
        <v>488</v>
      </c>
      <c r="T1776" s="255" t="s">
        <v>488</v>
      </c>
      <c r="U1776" s="255">
        <v>0</v>
      </c>
      <c r="V1776" s="255">
        <v>0</v>
      </c>
      <c r="W1776">
        <f t="shared" si="27"/>
        <v>0</v>
      </c>
    </row>
    <row r="1777" spans="1:23" x14ac:dyDescent="0.25">
      <c r="A1777" s="2" t="s">
        <v>628</v>
      </c>
      <c r="B1777" s="2" t="s">
        <v>919</v>
      </c>
      <c r="C1777" s="2">
        <v>540016</v>
      </c>
      <c r="D1777" s="2" t="s">
        <v>649</v>
      </c>
      <c r="E1777" s="2" t="s">
        <v>13</v>
      </c>
      <c r="F1777" s="2" t="s">
        <v>5</v>
      </c>
      <c r="G1777" s="2">
        <v>2</v>
      </c>
      <c r="H1777" s="2">
        <v>0</v>
      </c>
      <c r="I1777" s="2">
        <v>0</v>
      </c>
      <c r="J1777" s="2">
        <v>0</v>
      </c>
      <c r="K1777" s="2">
        <v>0</v>
      </c>
      <c r="L1777" s="2">
        <v>0</v>
      </c>
      <c r="M1777" s="2">
        <v>0</v>
      </c>
      <c r="N1777" s="2">
        <v>0</v>
      </c>
      <c r="O1777" s="2">
        <v>0</v>
      </c>
      <c r="P1777" s="2">
        <v>0</v>
      </c>
      <c r="Q1777" s="2">
        <v>0</v>
      </c>
      <c r="R1777" s="2">
        <v>0</v>
      </c>
      <c r="S1777" s="2" t="s">
        <v>488</v>
      </c>
      <c r="T1777" s="2" t="s">
        <v>488</v>
      </c>
      <c r="U1777" s="2">
        <v>0</v>
      </c>
      <c r="V1777" s="2">
        <v>0</v>
      </c>
      <c r="W1777">
        <f t="shared" si="27"/>
        <v>0</v>
      </c>
    </row>
    <row r="1778" spans="1:23" x14ac:dyDescent="0.25">
      <c r="A1778" s="2" t="s">
        <v>628</v>
      </c>
      <c r="B1778" s="2" t="s">
        <v>919</v>
      </c>
      <c r="C1778" s="2">
        <v>540017</v>
      </c>
      <c r="D1778" s="2" t="s">
        <v>650</v>
      </c>
      <c r="E1778" s="2" t="s">
        <v>13</v>
      </c>
      <c r="F1778" s="2" t="s">
        <v>115</v>
      </c>
      <c r="G1778" s="2">
        <v>2</v>
      </c>
      <c r="H1778" s="2">
        <v>0</v>
      </c>
      <c r="I1778" s="2">
        <v>0</v>
      </c>
      <c r="J1778" s="2">
        <v>0</v>
      </c>
      <c r="K1778" s="2">
        <v>0</v>
      </c>
      <c r="L1778" s="2">
        <v>0</v>
      </c>
      <c r="M1778" s="2">
        <v>0</v>
      </c>
      <c r="N1778" s="2">
        <v>0</v>
      </c>
      <c r="O1778" s="2">
        <v>0</v>
      </c>
      <c r="P1778" s="2">
        <v>0</v>
      </c>
      <c r="Q1778" s="2">
        <v>0</v>
      </c>
      <c r="R1778" s="2">
        <v>0</v>
      </c>
      <c r="S1778" s="2" t="s">
        <v>488</v>
      </c>
      <c r="T1778" s="2" t="s">
        <v>488</v>
      </c>
      <c r="U1778" s="2">
        <v>0</v>
      </c>
      <c r="V1778" s="2">
        <v>0</v>
      </c>
      <c r="W1778">
        <f t="shared" si="27"/>
        <v>0</v>
      </c>
    </row>
    <row r="1779" spans="1:23" x14ac:dyDescent="0.25">
      <c r="A1779" s="2" t="s">
        <v>628</v>
      </c>
      <c r="B1779" s="2" t="s">
        <v>919</v>
      </c>
      <c r="C1779" s="2">
        <v>540018</v>
      </c>
      <c r="D1779" s="2" t="s">
        <v>651</v>
      </c>
      <c r="E1779" s="2" t="s">
        <v>13</v>
      </c>
      <c r="F1779" s="2" t="s">
        <v>115</v>
      </c>
      <c r="G1779" s="2">
        <v>2</v>
      </c>
      <c r="H1779" s="2">
        <v>0</v>
      </c>
      <c r="I1779" s="2">
        <v>0</v>
      </c>
      <c r="J1779" s="2">
        <v>0</v>
      </c>
      <c r="K1779" s="2">
        <v>0</v>
      </c>
      <c r="L1779" s="2">
        <v>0</v>
      </c>
      <c r="M1779" s="2">
        <v>0</v>
      </c>
      <c r="N1779" s="2">
        <v>0</v>
      </c>
      <c r="O1779" s="2">
        <v>0</v>
      </c>
      <c r="P1779" s="2">
        <v>0</v>
      </c>
      <c r="Q1779" s="2">
        <v>0</v>
      </c>
      <c r="R1779" s="2">
        <v>0</v>
      </c>
      <c r="S1779" s="2" t="s">
        <v>488</v>
      </c>
      <c r="T1779" s="2" t="s">
        <v>488</v>
      </c>
      <c r="U1779" s="2">
        <v>0</v>
      </c>
      <c r="V1779" s="2">
        <v>0</v>
      </c>
      <c r="W1779">
        <f t="shared" si="27"/>
        <v>0</v>
      </c>
    </row>
    <row r="1780" spans="1:23" x14ac:dyDescent="0.25">
      <c r="A1780" s="2" t="s">
        <v>628</v>
      </c>
      <c r="B1780" s="2" t="s">
        <v>919</v>
      </c>
      <c r="C1780" s="2">
        <v>540019</v>
      </c>
      <c r="D1780" s="2" t="s">
        <v>652</v>
      </c>
      <c r="E1780" s="2" t="s">
        <v>13</v>
      </c>
      <c r="F1780" s="2" t="s">
        <v>115</v>
      </c>
      <c r="G1780" s="2">
        <v>2</v>
      </c>
      <c r="H1780" s="2">
        <v>0</v>
      </c>
      <c r="I1780" s="2">
        <v>0</v>
      </c>
      <c r="J1780" s="2">
        <v>0</v>
      </c>
      <c r="K1780" s="2">
        <v>0</v>
      </c>
      <c r="L1780" s="2">
        <v>0</v>
      </c>
      <c r="M1780" s="2">
        <v>0</v>
      </c>
      <c r="N1780" s="2">
        <v>0</v>
      </c>
      <c r="O1780" s="2">
        <v>0</v>
      </c>
      <c r="P1780" s="2">
        <v>0</v>
      </c>
      <c r="Q1780" s="2">
        <v>0</v>
      </c>
      <c r="R1780" s="2">
        <v>0</v>
      </c>
      <c r="S1780" s="2" t="s">
        <v>488</v>
      </c>
      <c r="T1780" s="2" t="s">
        <v>488</v>
      </c>
      <c r="U1780" s="2">
        <v>0</v>
      </c>
      <c r="V1780" s="2">
        <v>0</v>
      </c>
      <c r="W1780">
        <f t="shared" si="27"/>
        <v>0</v>
      </c>
    </row>
    <row r="1781" spans="1:23" x14ac:dyDescent="0.25">
      <c r="A1781" s="255" t="s">
        <v>628</v>
      </c>
      <c r="B1781" s="255" t="s">
        <v>919</v>
      </c>
      <c r="C1781" s="255"/>
      <c r="D1781" s="255"/>
      <c r="E1781" s="255" t="s">
        <v>13</v>
      </c>
      <c r="F1781" s="255"/>
      <c r="G1781" s="255"/>
      <c r="H1781" s="255">
        <v>0</v>
      </c>
      <c r="I1781" s="255">
        <v>0</v>
      </c>
      <c r="J1781" s="255">
        <v>0</v>
      </c>
      <c r="K1781" s="255">
        <v>0</v>
      </c>
      <c r="L1781" s="255">
        <v>0</v>
      </c>
      <c r="M1781" s="255">
        <v>0</v>
      </c>
      <c r="N1781" s="255">
        <v>0</v>
      </c>
      <c r="O1781" s="255">
        <v>0</v>
      </c>
      <c r="P1781" s="255">
        <v>0</v>
      </c>
      <c r="Q1781" s="255">
        <v>0</v>
      </c>
      <c r="R1781" s="255">
        <v>0</v>
      </c>
      <c r="S1781" s="255" t="s">
        <v>488</v>
      </c>
      <c r="T1781" s="255" t="s">
        <v>488</v>
      </c>
      <c r="U1781" s="255">
        <v>0</v>
      </c>
      <c r="V1781" s="255">
        <v>0</v>
      </c>
      <c r="W1781">
        <f t="shared" si="27"/>
        <v>0</v>
      </c>
    </row>
    <row r="1782" spans="1:23" x14ac:dyDescent="0.25">
      <c r="A1782" s="2" t="s">
        <v>628</v>
      </c>
      <c r="B1782" s="2" t="s">
        <v>919</v>
      </c>
      <c r="C1782" s="2">
        <v>540020</v>
      </c>
      <c r="D1782" s="2" t="s">
        <v>653</v>
      </c>
      <c r="E1782" s="2" t="s">
        <v>15</v>
      </c>
      <c r="F1782" s="2" t="s">
        <v>5</v>
      </c>
      <c r="G1782" s="2">
        <v>5</v>
      </c>
      <c r="H1782" s="2">
        <v>0</v>
      </c>
      <c r="I1782" s="2">
        <v>0</v>
      </c>
      <c r="J1782" s="2">
        <v>0</v>
      </c>
      <c r="K1782" s="2">
        <v>0</v>
      </c>
      <c r="L1782" s="2">
        <v>0</v>
      </c>
      <c r="M1782" s="2">
        <v>0</v>
      </c>
      <c r="N1782" s="2">
        <v>0</v>
      </c>
      <c r="O1782" s="2">
        <v>0</v>
      </c>
      <c r="P1782" s="2">
        <v>0</v>
      </c>
      <c r="Q1782" s="2" t="s">
        <v>488</v>
      </c>
      <c r="R1782" s="2" t="s">
        <v>488</v>
      </c>
      <c r="S1782" s="2" t="s">
        <v>488</v>
      </c>
      <c r="T1782" s="2" t="s">
        <v>488</v>
      </c>
      <c r="U1782" s="2">
        <v>0</v>
      </c>
      <c r="V1782" s="2">
        <v>0</v>
      </c>
      <c r="W1782">
        <f t="shared" si="27"/>
        <v>0</v>
      </c>
    </row>
    <row r="1783" spans="1:23" x14ac:dyDescent="0.25">
      <c r="A1783" s="2" t="s">
        <v>628</v>
      </c>
      <c r="B1783" s="2" t="s">
        <v>919</v>
      </c>
      <c r="C1783" s="2">
        <v>540021</v>
      </c>
      <c r="D1783" s="2" t="s">
        <v>654</v>
      </c>
      <c r="E1783" s="2" t="s">
        <v>15</v>
      </c>
      <c r="F1783" s="2" t="s">
        <v>115</v>
      </c>
      <c r="G1783" s="2">
        <v>5</v>
      </c>
      <c r="H1783" s="2">
        <v>0</v>
      </c>
      <c r="I1783" s="2">
        <v>0</v>
      </c>
      <c r="J1783" s="2">
        <v>0</v>
      </c>
      <c r="K1783" s="2">
        <v>0</v>
      </c>
      <c r="L1783" s="2">
        <v>0</v>
      </c>
      <c r="M1783" s="2">
        <v>0</v>
      </c>
      <c r="N1783" s="2">
        <v>0</v>
      </c>
      <c r="O1783" s="2">
        <v>0</v>
      </c>
      <c r="P1783" s="2">
        <v>0</v>
      </c>
      <c r="Q1783" s="2" t="s">
        <v>488</v>
      </c>
      <c r="R1783" s="2" t="s">
        <v>488</v>
      </c>
      <c r="S1783" s="2" t="s">
        <v>488</v>
      </c>
      <c r="T1783" s="2" t="s">
        <v>488</v>
      </c>
      <c r="U1783" s="2">
        <v>0</v>
      </c>
      <c r="V1783" s="2">
        <v>0</v>
      </c>
      <c r="W1783">
        <f t="shared" si="27"/>
        <v>0</v>
      </c>
    </row>
    <row r="1784" spans="1:23" x14ac:dyDescent="0.25">
      <c r="A1784" s="255" t="s">
        <v>628</v>
      </c>
      <c r="B1784" s="255" t="s">
        <v>919</v>
      </c>
      <c r="C1784" s="255"/>
      <c r="D1784" s="255"/>
      <c r="E1784" s="255" t="s">
        <v>15</v>
      </c>
      <c r="F1784" s="255"/>
      <c r="G1784" s="255"/>
      <c r="H1784" s="255">
        <v>0</v>
      </c>
      <c r="I1784" s="255">
        <v>0</v>
      </c>
      <c r="J1784" s="255">
        <v>0</v>
      </c>
      <c r="K1784" s="255">
        <v>0</v>
      </c>
      <c r="L1784" s="255">
        <v>0</v>
      </c>
      <c r="M1784" s="255">
        <v>0</v>
      </c>
      <c r="N1784" s="255">
        <v>0</v>
      </c>
      <c r="O1784" s="255">
        <v>0</v>
      </c>
      <c r="P1784" s="255">
        <v>0</v>
      </c>
      <c r="Q1784" s="255" t="s">
        <v>488</v>
      </c>
      <c r="R1784" s="255" t="s">
        <v>488</v>
      </c>
      <c r="S1784" s="255" t="s">
        <v>488</v>
      </c>
      <c r="T1784" s="255" t="s">
        <v>488</v>
      </c>
      <c r="U1784" s="255">
        <v>0</v>
      </c>
      <c r="V1784" s="255">
        <v>0</v>
      </c>
      <c r="W1784">
        <f t="shared" si="27"/>
        <v>0</v>
      </c>
    </row>
    <row r="1785" spans="1:23" x14ac:dyDescent="0.25">
      <c r="A1785" s="2" t="s">
        <v>628</v>
      </c>
      <c r="B1785" s="2" t="s">
        <v>919</v>
      </c>
      <c r="C1785" s="2">
        <v>540022</v>
      </c>
      <c r="D1785" s="2" t="s">
        <v>655</v>
      </c>
      <c r="E1785" s="2" t="s">
        <v>17</v>
      </c>
      <c r="F1785" s="2" t="s">
        <v>5</v>
      </c>
      <c r="G1785" s="2">
        <v>3</v>
      </c>
      <c r="H1785" s="2">
        <v>0</v>
      </c>
      <c r="I1785" s="2">
        <v>0</v>
      </c>
      <c r="J1785" s="2">
        <v>0</v>
      </c>
      <c r="K1785" s="2">
        <v>0</v>
      </c>
      <c r="L1785" s="2">
        <v>0</v>
      </c>
      <c r="M1785" s="2">
        <v>0</v>
      </c>
      <c r="N1785" s="2">
        <v>0</v>
      </c>
      <c r="O1785" s="2">
        <v>0</v>
      </c>
      <c r="P1785" s="2">
        <v>0</v>
      </c>
      <c r="Q1785" s="2" t="s">
        <v>488</v>
      </c>
      <c r="R1785" s="2" t="s">
        <v>488</v>
      </c>
      <c r="S1785" s="2" t="s">
        <v>488</v>
      </c>
      <c r="T1785" s="2" t="s">
        <v>488</v>
      </c>
      <c r="U1785" s="2">
        <v>0</v>
      </c>
      <c r="V1785" s="2">
        <v>0</v>
      </c>
      <c r="W1785">
        <f t="shared" si="27"/>
        <v>0</v>
      </c>
    </row>
    <row r="1786" spans="1:23" x14ac:dyDescent="0.25">
      <c r="A1786" s="2" t="s">
        <v>628</v>
      </c>
      <c r="B1786" s="2" t="s">
        <v>919</v>
      </c>
      <c r="C1786" s="2">
        <v>540023</v>
      </c>
      <c r="D1786" s="2" t="s">
        <v>656</v>
      </c>
      <c r="E1786" s="2" t="s">
        <v>17</v>
      </c>
      <c r="F1786" s="2" t="s">
        <v>115</v>
      </c>
      <c r="G1786" s="2">
        <v>3</v>
      </c>
      <c r="H1786" s="2">
        <v>0</v>
      </c>
      <c r="I1786" s="2">
        <v>0</v>
      </c>
      <c r="J1786" s="2">
        <v>0</v>
      </c>
      <c r="K1786" s="2">
        <v>0</v>
      </c>
      <c r="L1786" s="2">
        <v>0</v>
      </c>
      <c r="M1786" s="2">
        <v>0</v>
      </c>
      <c r="N1786" s="2">
        <v>0</v>
      </c>
      <c r="O1786" s="2">
        <v>0</v>
      </c>
      <c r="P1786" s="2">
        <v>0</v>
      </c>
      <c r="Q1786" s="2" t="s">
        <v>488</v>
      </c>
      <c r="R1786" s="2" t="s">
        <v>488</v>
      </c>
      <c r="S1786" s="2" t="s">
        <v>488</v>
      </c>
      <c r="T1786" s="2" t="s">
        <v>488</v>
      </c>
      <c r="U1786" s="2">
        <v>0</v>
      </c>
      <c r="V1786" s="2">
        <v>0</v>
      </c>
      <c r="W1786">
        <f t="shared" si="27"/>
        <v>0</v>
      </c>
    </row>
    <row r="1787" spans="1:23" x14ac:dyDescent="0.25">
      <c r="A1787" s="255" t="s">
        <v>628</v>
      </c>
      <c r="B1787" s="255" t="s">
        <v>919</v>
      </c>
      <c r="C1787" s="255"/>
      <c r="D1787" s="255"/>
      <c r="E1787" s="255" t="s">
        <v>17</v>
      </c>
      <c r="F1787" s="255"/>
      <c r="G1787" s="255"/>
      <c r="H1787" s="255">
        <v>0</v>
      </c>
      <c r="I1787" s="255">
        <v>0</v>
      </c>
      <c r="J1787" s="255">
        <v>0</v>
      </c>
      <c r="K1787" s="255">
        <v>0</v>
      </c>
      <c r="L1787" s="255">
        <v>0</v>
      </c>
      <c r="M1787" s="255">
        <v>0</v>
      </c>
      <c r="N1787" s="255">
        <v>0</v>
      </c>
      <c r="O1787" s="255">
        <v>0</v>
      </c>
      <c r="P1787" s="255">
        <v>0</v>
      </c>
      <c r="Q1787" s="255" t="s">
        <v>488</v>
      </c>
      <c r="R1787" s="255" t="s">
        <v>488</v>
      </c>
      <c r="S1787" s="255" t="s">
        <v>488</v>
      </c>
      <c r="T1787" s="255" t="s">
        <v>488</v>
      </c>
      <c r="U1787" s="255">
        <v>0</v>
      </c>
      <c r="V1787" s="255">
        <v>0</v>
      </c>
      <c r="W1787">
        <f t="shared" si="27"/>
        <v>0</v>
      </c>
    </row>
    <row r="1788" spans="1:23" x14ac:dyDescent="0.25">
      <c r="A1788" s="2" t="s">
        <v>628</v>
      </c>
      <c r="B1788" s="2" t="s">
        <v>919</v>
      </c>
      <c r="C1788" s="2">
        <v>540024</v>
      </c>
      <c r="D1788" s="2" t="s">
        <v>657</v>
      </c>
      <c r="E1788" s="2" t="s">
        <v>19</v>
      </c>
      <c r="F1788" s="2" t="s">
        <v>5</v>
      </c>
      <c r="G1788" s="2">
        <v>6</v>
      </c>
      <c r="H1788" s="2">
        <v>0</v>
      </c>
      <c r="I1788" s="2">
        <v>0</v>
      </c>
      <c r="J1788" s="2">
        <v>0</v>
      </c>
      <c r="K1788" s="2">
        <v>0</v>
      </c>
      <c r="L1788" s="2">
        <v>0</v>
      </c>
      <c r="M1788" s="2">
        <v>0</v>
      </c>
      <c r="N1788" s="2">
        <v>0</v>
      </c>
      <c r="O1788" s="2">
        <v>0</v>
      </c>
      <c r="P1788" s="2">
        <v>0</v>
      </c>
      <c r="Q1788" s="2">
        <v>0</v>
      </c>
      <c r="R1788" s="2">
        <v>0</v>
      </c>
      <c r="S1788" s="2" t="s">
        <v>488</v>
      </c>
      <c r="T1788" s="2" t="s">
        <v>488</v>
      </c>
      <c r="U1788" s="2">
        <v>0</v>
      </c>
      <c r="V1788" s="2">
        <v>0</v>
      </c>
      <c r="W1788">
        <f t="shared" si="27"/>
        <v>0</v>
      </c>
    </row>
    <row r="1789" spans="1:23" x14ac:dyDescent="0.25">
      <c r="A1789" s="2" t="s">
        <v>628</v>
      </c>
      <c r="B1789" s="2" t="s">
        <v>919</v>
      </c>
      <c r="C1789" s="2">
        <v>540025</v>
      </c>
      <c r="D1789" s="2" t="s">
        <v>658</v>
      </c>
      <c r="E1789" s="2" t="s">
        <v>19</v>
      </c>
      <c r="F1789" s="2" t="s">
        <v>115</v>
      </c>
      <c r="G1789" s="2">
        <v>6</v>
      </c>
      <c r="H1789" s="2">
        <v>0</v>
      </c>
      <c r="I1789" s="2">
        <v>0</v>
      </c>
      <c r="J1789" s="2">
        <v>0</v>
      </c>
      <c r="K1789" s="2">
        <v>0</v>
      </c>
      <c r="L1789" s="2">
        <v>0</v>
      </c>
      <c r="M1789" s="2">
        <v>0</v>
      </c>
      <c r="N1789" s="2">
        <v>0</v>
      </c>
      <c r="O1789" s="2">
        <v>0</v>
      </c>
      <c r="P1789" s="2">
        <v>0</v>
      </c>
      <c r="Q1789" s="2">
        <v>0</v>
      </c>
      <c r="R1789" s="2">
        <v>0</v>
      </c>
      <c r="S1789" s="2" t="s">
        <v>488</v>
      </c>
      <c r="T1789" s="2" t="s">
        <v>488</v>
      </c>
      <c r="U1789" s="2">
        <v>0</v>
      </c>
      <c r="V1789" s="2">
        <v>0</v>
      </c>
      <c r="W1789">
        <f t="shared" si="27"/>
        <v>0</v>
      </c>
    </row>
    <row r="1790" spans="1:23" x14ac:dyDescent="0.25">
      <c r="A1790" s="255" t="s">
        <v>628</v>
      </c>
      <c r="B1790" s="255" t="s">
        <v>919</v>
      </c>
      <c r="C1790" s="255"/>
      <c r="D1790" s="255"/>
      <c r="E1790" s="255" t="s">
        <v>19</v>
      </c>
      <c r="F1790" s="255"/>
      <c r="G1790" s="255"/>
      <c r="H1790" s="255">
        <v>0</v>
      </c>
      <c r="I1790" s="255">
        <v>0</v>
      </c>
      <c r="J1790" s="255">
        <v>0</v>
      </c>
      <c r="K1790" s="255">
        <v>0</v>
      </c>
      <c r="L1790" s="255">
        <v>0</v>
      </c>
      <c r="M1790" s="255">
        <v>0</v>
      </c>
      <c r="N1790" s="255">
        <v>0</v>
      </c>
      <c r="O1790" s="255">
        <v>0</v>
      </c>
      <c r="P1790" s="255">
        <v>0</v>
      </c>
      <c r="Q1790" s="255">
        <v>0</v>
      </c>
      <c r="R1790" s="255">
        <v>0</v>
      </c>
      <c r="S1790" s="255" t="s">
        <v>488</v>
      </c>
      <c r="T1790" s="255" t="s">
        <v>488</v>
      </c>
      <c r="U1790" s="255">
        <v>0</v>
      </c>
      <c r="V1790" s="255">
        <v>0</v>
      </c>
      <c r="W1790">
        <f t="shared" si="27"/>
        <v>0</v>
      </c>
    </row>
    <row r="1791" spans="1:23" x14ac:dyDescent="0.25">
      <c r="A1791" s="2" t="s">
        <v>628</v>
      </c>
      <c r="B1791" s="2" t="s">
        <v>919</v>
      </c>
      <c r="C1791" s="2">
        <v>540035</v>
      </c>
      <c r="D1791" s="2" t="s">
        <v>659</v>
      </c>
      <c r="E1791" s="2" t="s">
        <v>23</v>
      </c>
      <c r="F1791" s="2" t="s">
        <v>5</v>
      </c>
      <c r="G1791" s="2">
        <v>7</v>
      </c>
      <c r="H1791" s="2">
        <v>0</v>
      </c>
      <c r="I1791" s="2">
        <v>0</v>
      </c>
      <c r="J1791" s="2">
        <v>0</v>
      </c>
      <c r="K1791" s="2">
        <v>0</v>
      </c>
      <c r="L1791" s="2">
        <v>0</v>
      </c>
      <c r="M1791" s="2">
        <v>0</v>
      </c>
      <c r="N1791" s="2">
        <v>0</v>
      </c>
      <c r="O1791" s="2">
        <v>0</v>
      </c>
      <c r="P1791" s="2">
        <v>0</v>
      </c>
      <c r="Q1791" s="2" t="s">
        <v>488</v>
      </c>
      <c r="R1791" s="2" t="s">
        <v>488</v>
      </c>
      <c r="S1791" s="2" t="s">
        <v>488</v>
      </c>
      <c r="T1791" s="2" t="s">
        <v>488</v>
      </c>
      <c r="U1791" s="2">
        <v>0</v>
      </c>
      <c r="V1791" s="2">
        <v>0</v>
      </c>
      <c r="W1791">
        <f t="shared" si="27"/>
        <v>0</v>
      </c>
    </row>
    <row r="1792" spans="1:23" x14ac:dyDescent="0.25">
      <c r="A1792" s="2" t="s">
        <v>628</v>
      </c>
      <c r="B1792" s="2" t="s">
        <v>919</v>
      </c>
      <c r="C1792" s="2">
        <v>540036</v>
      </c>
      <c r="D1792" s="2" t="s">
        <v>660</v>
      </c>
      <c r="E1792" s="2" t="s">
        <v>23</v>
      </c>
      <c r="F1792" s="2" t="s">
        <v>115</v>
      </c>
      <c r="G1792" s="2">
        <v>7</v>
      </c>
      <c r="H1792" s="2">
        <v>0</v>
      </c>
      <c r="I1792" s="2">
        <v>0</v>
      </c>
      <c r="J1792" s="2">
        <v>0</v>
      </c>
      <c r="K1792" s="2">
        <v>0</v>
      </c>
      <c r="L1792" s="2">
        <v>0</v>
      </c>
      <c r="M1792" s="2">
        <v>0</v>
      </c>
      <c r="N1792" s="2">
        <v>0</v>
      </c>
      <c r="O1792" s="2">
        <v>0</v>
      </c>
      <c r="P1792" s="2">
        <v>0</v>
      </c>
      <c r="Q1792" s="2" t="s">
        <v>488</v>
      </c>
      <c r="R1792" s="2" t="s">
        <v>488</v>
      </c>
      <c r="S1792" s="2" t="s">
        <v>488</v>
      </c>
      <c r="T1792" s="2" t="s">
        <v>488</v>
      </c>
      <c r="U1792" s="2">
        <v>0</v>
      </c>
      <c r="V1792" s="2">
        <v>0</v>
      </c>
      <c r="W1792">
        <f t="shared" si="27"/>
        <v>0</v>
      </c>
    </row>
    <row r="1793" spans="1:23" x14ac:dyDescent="0.25">
      <c r="A1793" s="2" t="s">
        <v>628</v>
      </c>
      <c r="B1793" s="2" t="s">
        <v>919</v>
      </c>
      <c r="C1793" s="2">
        <v>540037</v>
      </c>
      <c r="D1793" s="2" t="s">
        <v>661</v>
      </c>
      <c r="E1793" s="2" t="s">
        <v>23</v>
      </c>
      <c r="F1793" s="2" t="s">
        <v>115</v>
      </c>
      <c r="G1793" s="2">
        <v>7</v>
      </c>
      <c r="H1793" s="2">
        <v>0</v>
      </c>
      <c r="I1793" s="2">
        <v>0</v>
      </c>
      <c r="J1793" s="2">
        <v>0</v>
      </c>
      <c r="K1793" s="2">
        <v>0</v>
      </c>
      <c r="L1793" s="2">
        <v>0</v>
      </c>
      <c r="M1793" s="2">
        <v>0</v>
      </c>
      <c r="N1793" s="2">
        <v>0</v>
      </c>
      <c r="O1793" s="2">
        <v>0</v>
      </c>
      <c r="P1793" s="2">
        <v>0</v>
      </c>
      <c r="Q1793" s="2" t="s">
        <v>488</v>
      </c>
      <c r="R1793" s="2" t="s">
        <v>488</v>
      </c>
      <c r="S1793" s="2" t="s">
        <v>488</v>
      </c>
      <c r="T1793" s="2" t="s">
        <v>488</v>
      </c>
      <c r="U1793" s="2">
        <v>0</v>
      </c>
      <c r="V1793" s="2">
        <v>0</v>
      </c>
      <c r="W1793">
        <f t="shared" si="27"/>
        <v>0</v>
      </c>
    </row>
    <row r="1794" spans="1:23" x14ac:dyDescent="0.25">
      <c r="A1794" s="255" t="s">
        <v>628</v>
      </c>
      <c r="B1794" s="255" t="s">
        <v>919</v>
      </c>
      <c r="C1794" s="255"/>
      <c r="D1794" s="255"/>
      <c r="E1794" s="255" t="s">
        <v>23</v>
      </c>
      <c r="F1794" s="255"/>
      <c r="G1794" s="255"/>
      <c r="H1794" s="255">
        <v>0</v>
      </c>
      <c r="I1794" s="255">
        <v>0</v>
      </c>
      <c r="J1794" s="255">
        <v>0</v>
      </c>
      <c r="K1794" s="255">
        <v>0</v>
      </c>
      <c r="L1794" s="255">
        <v>0</v>
      </c>
      <c r="M1794" s="255">
        <v>0</v>
      </c>
      <c r="N1794" s="255">
        <v>0</v>
      </c>
      <c r="O1794" s="255">
        <v>0</v>
      </c>
      <c r="P1794" s="255">
        <v>0</v>
      </c>
      <c r="Q1794" s="255" t="s">
        <v>488</v>
      </c>
      <c r="R1794" s="255" t="s">
        <v>488</v>
      </c>
      <c r="S1794" s="255" t="s">
        <v>488</v>
      </c>
      <c r="T1794" s="255" t="s">
        <v>488</v>
      </c>
      <c r="U1794" s="255">
        <v>0</v>
      </c>
      <c r="V1794" s="255">
        <v>0</v>
      </c>
      <c r="W1794">
        <f t="shared" si="27"/>
        <v>0</v>
      </c>
    </row>
    <row r="1795" spans="1:23" x14ac:dyDescent="0.25">
      <c r="A1795" s="2" t="s">
        <v>628</v>
      </c>
      <c r="B1795" s="2" t="s">
        <v>919</v>
      </c>
      <c r="C1795" s="2">
        <v>540038</v>
      </c>
      <c r="D1795" s="2" t="s">
        <v>662</v>
      </c>
      <c r="E1795" s="2" t="s">
        <v>25</v>
      </c>
      <c r="F1795" s="2" t="s">
        <v>5</v>
      </c>
      <c r="G1795" s="2">
        <v>8</v>
      </c>
      <c r="H1795" s="2">
        <v>0</v>
      </c>
      <c r="I1795" s="2">
        <v>0</v>
      </c>
      <c r="J1795" s="2">
        <v>0</v>
      </c>
      <c r="K1795" s="2">
        <v>0</v>
      </c>
      <c r="L1795" s="2">
        <v>0</v>
      </c>
      <c r="M1795" s="2">
        <v>0</v>
      </c>
      <c r="N1795" s="2">
        <v>0</v>
      </c>
      <c r="O1795" s="2">
        <v>0</v>
      </c>
      <c r="P1795" s="2">
        <v>0</v>
      </c>
      <c r="Q1795" s="2" t="s">
        <v>488</v>
      </c>
      <c r="R1795" s="2" t="s">
        <v>488</v>
      </c>
      <c r="S1795" s="2" t="s">
        <v>488</v>
      </c>
      <c r="T1795" s="2" t="s">
        <v>488</v>
      </c>
      <c r="U1795" s="2">
        <v>0</v>
      </c>
      <c r="V1795" s="2">
        <v>0</v>
      </c>
      <c r="W1795">
        <f t="shared" ref="W1795:W1858" si="28">SUM(N1795,P1795,R1795,T1795,U1795,V1795)</f>
        <v>0</v>
      </c>
    </row>
    <row r="1796" spans="1:23" x14ac:dyDescent="0.25">
      <c r="A1796" s="2" t="s">
        <v>628</v>
      </c>
      <c r="B1796" s="2" t="s">
        <v>919</v>
      </c>
      <c r="C1796" s="2">
        <v>540039</v>
      </c>
      <c r="D1796" s="2" t="s">
        <v>663</v>
      </c>
      <c r="E1796" s="2" t="s">
        <v>25</v>
      </c>
      <c r="F1796" s="2" t="s">
        <v>115</v>
      </c>
      <c r="G1796" s="2">
        <v>8</v>
      </c>
      <c r="H1796" s="2">
        <v>0</v>
      </c>
      <c r="I1796" s="2">
        <v>0</v>
      </c>
      <c r="J1796" s="2">
        <v>0</v>
      </c>
      <c r="K1796" s="2">
        <v>0</v>
      </c>
      <c r="L1796" s="2">
        <v>0</v>
      </c>
      <c r="M1796" s="2">
        <v>0</v>
      </c>
      <c r="N1796" s="2">
        <v>0</v>
      </c>
      <c r="O1796" s="2">
        <v>0</v>
      </c>
      <c r="P1796" s="2">
        <v>0</v>
      </c>
      <c r="Q1796" s="2" t="s">
        <v>488</v>
      </c>
      <c r="R1796" s="2" t="s">
        <v>488</v>
      </c>
      <c r="S1796" s="2" t="s">
        <v>488</v>
      </c>
      <c r="T1796" s="2" t="s">
        <v>488</v>
      </c>
      <c r="U1796" s="2">
        <v>0</v>
      </c>
      <c r="V1796" s="2">
        <v>0</v>
      </c>
      <c r="W1796">
        <f t="shared" si="28"/>
        <v>0</v>
      </c>
    </row>
    <row r="1797" spans="1:23" x14ac:dyDescent="0.25">
      <c r="A1797" s="2" t="s">
        <v>628</v>
      </c>
      <c r="B1797" s="2" t="s">
        <v>919</v>
      </c>
      <c r="C1797" s="2">
        <v>540240</v>
      </c>
      <c r="D1797" s="2" t="s">
        <v>664</v>
      </c>
      <c r="E1797" s="2" t="s">
        <v>25</v>
      </c>
      <c r="F1797" s="2" t="s">
        <v>115</v>
      </c>
      <c r="G1797" s="2">
        <v>8</v>
      </c>
      <c r="H1797" s="2">
        <v>0</v>
      </c>
      <c r="I1797" s="2">
        <v>0</v>
      </c>
      <c r="J1797" s="2">
        <v>0</v>
      </c>
      <c r="K1797" s="2">
        <v>0</v>
      </c>
      <c r="L1797" s="2">
        <v>0</v>
      </c>
      <c r="M1797" s="2">
        <v>0</v>
      </c>
      <c r="N1797" s="2">
        <v>0</v>
      </c>
      <c r="O1797" s="2">
        <v>0</v>
      </c>
      <c r="P1797" s="2">
        <v>0</v>
      </c>
      <c r="Q1797" s="2" t="s">
        <v>488</v>
      </c>
      <c r="R1797" s="2" t="s">
        <v>488</v>
      </c>
      <c r="S1797" s="2" t="s">
        <v>488</v>
      </c>
      <c r="T1797" s="2" t="s">
        <v>488</v>
      </c>
      <c r="U1797" s="2">
        <v>0</v>
      </c>
      <c r="V1797" s="2">
        <v>0</v>
      </c>
      <c r="W1797">
        <f t="shared" si="28"/>
        <v>0</v>
      </c>
    </row>
    <row r="1798" spans="1:23" x14ac:dyDescent="0.25">
      <c r="A1798" s="255" t="s">
        <v>628</v>
      </c>
      <c r="B1798" s="255" t="s">
        <v>919</v>
      </c>
      <c r="C1798" s="255"/>
      <c r="D1798" s="255"/>
      <c r="E1798" s="255" t="s">
        <v>25</v>
      </c>
      <c r="F1798" s="255"/>
      <c r="G1798" s="255"/>
      <c r="H1798" s="255">
        <v>0</v>
      </c>
      <c r="I1798" s="255">
        <v>0</v>
      </c>
      <c r="J1798" s="255">
        <v>0</v>
      </c>
      <c r="K1798" s="255">
        <v>0</v>
      </c>
      <c r="L1798" s="255">
        <v>0</v>
      </c>
      <c r="M1798" s="255">
        <v>0</v>
      </c>
      <c r="N1798" s="255">
        <v>0</v>
      </c>
      <c r="O1798" s="255">
        <v>0</v>
      </c>
      <c r="P1798" s="255">
        <v>0</v>
      </c>
      <c r="Q1798" s="255" t="s">
        <v>488</v>
      </c>
      <c r="R1798" s="255" t="s">
        <v>488</v>
      </c>
      <c r="S1798" s="255" t="s">
        <v>488</v>
      </c>
      <c r="T1798" s="255" t="s">
        <v>488</v>
      </c>
      <c r="U1798" s="255">
        <v>0</v>
      </c>
      <c r="V1798" s="255">
        <v>0</v>
      </c>
      <c r="W1798">
        <f t="shared" si="28"/>
        <v>0</v>
      </c>
    </row>
    <row r="1799" spans="1:23" x14ac:dyDescent="0.25">
      <c r="A1799" s="2" t="s">
        <v>628</v>
      </c>
      <c r="B1799" s="2" t="s">
        <v>919</v>
      </c>
      <c r="C1799" s="2">
        <v>540040</v>
      </c>
      <c r="D1799" s="2" t="s">
        <v>665</v>
      </c>
      <c r="E1799" s="2" t="s">
        <v>27</v>
      </c>
      <c r="F1799" s="2" t="s">
        <v>5</v>
      </c>
      <c r="G1799" s="2">
        <v>4</v>
      </c>
      <c r="H1799" s="2">
        <v>0</v>
      </c>
      <c r="I1799" s="2">
        <v>0</v>
      </c>
      <c r="J1799" s="2">
        <v>0</v>
      </c>
      <c r="K1799" s="2">
        <v>0</v>
      </c>
      <c r="L1799" s="2">
        <v>0</v>
      </c>
      <c r="M1799" s="2">
        <v>0</v>
      </c>
      <c r="N1799" s="2">
        <v>0</v>
      </c>
      <c r="O1799" s="2">
        <v>0</v>
      </c>
      <c r="P1799" s="2">
        <v>0</v>
      </c>
      <c r="Q1799" s="2">
        <v>0</v>
      </c>
      <c r="R1799" s="2">
        <v>0</v>
      </c>
      <c r="S1799" s="2" t="s">
        <v>488</v>
      </c>
      <c r="T1799" s="2" t="s">
        <v>488</v>
      </c>
      <c r="U1799" s="2">
        <v>0</v>
      </c>
      <c r="V1799" s="2">
        <v>0</v>
      </c>
      <c r="W1799">
        <f t="shared" si="28"/>
        <v>0</v>
      </c>
    </row>
    <row r="1800" spans="1:23" x14ac:dyDescent="0.25">
      <c r="A1800" s="2" t="s">
        <v>628</v>
      </c>
      <c r="B1800" s="2" t="s">
        <v>919</v>
      </c>
      <c r="C1800" s="2">
        <v>540041</v>
      </c>
      <c r="D1800" s="2" t="s">
        <v>666</v>
      </c>
      <c r="E1800" s="2" t="s">
        <v>27</v>
      </c>
      <c r="F1800" s="2" t="s">
        <v>115</v>
      </c>
      <c r="G1800" s="2">
        <v>4</v>
      </c>
      <c r="H1800" s="2">
        <v>0</v>
      </c>
      <c r="I1800" s="2">
        <v>0</v>
      </c>
      <c r="J1800" s="2">
        <v>0</v>
      </c>
      <c r="K1800" s="2">
        <v>0</v>
      </c>
      <c r="L1800" s="2">
        <v>0</v>
      </c>
      <c r="M1800" s="2">
        <v>0</v>
      </c>
      <c r="N1800" s="2">
        <v>0</v>
      </c>
      <c r="O1800" s="2">
        <v>0</v>
      </c>
      <c r="P1800" s="2">
        <v>0</v>
      </c>
      <c r="Q1800" s="2">
        <v>0</v>
      </c>
      <c r="R1800" s="2">
        <v>0</v>
      </c>
      <c r="S1800" s="2" t="s">
        <v>488</v>
      </c>
      <c r="T1800" s="2" t="s">
        <v>488</v>
      </c>
      <c r="U1800" s="2">
        <v>0</v>
      </c>
      <c r="V1800" s="2">
        <v>0</v>
      </c>
      <c r="W1800">
        <f t="shared" si="28"/>
        <v>0</v>
      </c>
    </row>
    <row r="1801" spans="1:23" x14ac:dyDescent="0.25">
      <c r="A1801" s="2" t="s">
        <v>628</v>
      </c>
      <c r="B1801" s="2" t="s">
        <v>919</v>
      </c>
      <c r="C1801" s="2">
        <v>540043</v>
      </c>
      <c r="D1801" s="2" t="s">
        <v>667</v>
      </c>
      <c r="E1801" s="2" t="s">
        <v>27</v>
      </c>
      <c r="F1801" s="2" t="s">
        <v>115</v>
      </c>
      <c r="G1801" s="2">
        <v>4</v>
      </c>
      <c r="H1801" s="2">
        <v>0</v>
      </c>
      <c r="I1801" s="2">
        <v>0</v>
      </c>
      <c r="J1801" s="2">
        <v>0</v>
      </c>
      <c r="K1801" s="2">
        <v>0</v>
      </c>
      <c r="L1801" s="2">
        <v>0</v>
      </c>
      <c r="M1801" s="2">
        <v>0</v>
      </c>
      <c r="N1801" s="2">
        <v>0</v>
      </c>
      <c r="O1801" s="2">
        <v>0</v>
      </c>
      <c r="P1801" s="2">
        <v>0</v>
      </c>
      <c r="Q1801" s="2">
        <v>0</v>
      </c>
      <c r="R1801" s="2">
        <v>0</v>
      </c>
      <c r="S1801" s="2" t="s">
        <v>488</v>
      </c>
      <c r="T1801" s="2" t="s">
        <v>488</v>
      </c>
      <c r="U1801" s="2">
        <v>0</v>
      </c>
      <c r="V1801" s="2">
        <v>0</v>
      </c>
      <c r="W1801">
        <f t="shared" si="28"/>
        <v>0</v>
      </c>
    </row>
    <row r="1802" spans="1:23" x14ac:dyDescent="0.25">
      <c r="A1802" s="2" t="s">
        <v>628</v>
      </c>
      <c r="B1802" s="2" t="s">
        <v>919</v>
      </c>
      <c r="C1802" s="2">
        <v>540044</v>
      </c>
      <c r="D1802" s="2" t="s">
        <v>668</v>
      </c>
      <c r="E1802" s="2" t="s">
        <v>27</v>
      </c>
      <c r="F1802" s="2" t="s">
        <v>115</v>
      </c>
      <c r="G1802" s="2">
        <v>4</v>
      </c>
      <c r="H1802" s="2">
        <v>0</v>
      </c>
      <c r="I1802" s="2">
        <v>0</v>
      </c>
      <c r="J1802" s="2">
        <v>0</v>
      </c>
      <c r="K1802" s="2">
        <v>0</v>
      </c>
      <c r="L1802" s="2">
        <v>0</v>
      </c>
      <c r="M1802" s="2">
        <v>0</v>
      </c>
      <c r="N1802" s="2">
        <v>0</v>
      </c>
      <c r="O1802" s="2">
        <v>0</v>
      </c>
      <c r="P1802" s="2">
        <v>0</v>
      </c>
      <c r="Q1802" s="2">
        <v>0</v>
      </c>
      <c r="R1802" s="2">
        <v>0</v>
      </c>
      <c r="S1802" s="2" t="s">
        <v>488</v>
      </c>
      <c r="T1802" s="2" t="s">
        <v>488</v>
      </c>
      <c r="U1802" s="2">
        <v>0</v>
      </c>
      <c r="V1802" s="2">
        <v>0</v>
      </c>
      <c r="W1802">
        <f t="shared" si="28"/>
        <v>0</v>
      </c>
    </row>
    <row r="1803" spans="1:23" x14ac:dyDescent="0.25">
      <c r="A1803" s="2" t="s">
        <v>628</v>
      </c>
      <c r="B1803" s="2" t="s">
        <v>919</v>
      </c>
      <c r="C1803" s="2">
        <v>540045</v>
      </c>
      <c r="D1803" s="2" t="s">
        <v>669</v>
      </c>
      <c r="E1803" s="2" t="s">
        <v>27</v>
      </c>
      <c r="F1803" s="2" t="s">
        <v>115</v>
      </c>
      <c r="G1803" s="2">
        <v>4</v>
      </c>
      <c r="H1803" s="2">
        <v>0</v>
      </c>
      <c r="I1803" s="2">
        <v>0</v>
      </c>
      <c r="J1803" s="2">
        <v>0</v>
      </c>
      <c r="K1803" s="2">
        <v>0</v>
      </c>
      <c r="L1803" s="2">
        <v>0</v>
      </c>
      <c r="M1803" s="2">
        <v>0</v>
      </c>
      <c r="N1803" s="2">
        <v>0</v>
      </c>
      <c r="O1803" s="2">
        <v>0</v>
      </c>
      <c r="P1803" s="2">
        <v>0</v>
      </c>
      <c r="Q1803" s="2">
        <v>0</v>
      </c>
      <c r="R1803" s="2">
        <v>0</v>
      </c>
      <c r="S1803" s="2" t="s">
        <v>488</v>
      </c>
      <c r="T1803" s="2" t="s">
        <v>488</v>
      </c>
      <c r="U1803" s="2">
        <v>0</v>
      </c>
      <c r="V1803" s="2">
        <v>0</v>
      </c>
      <c r="W1803">
        <f t="shared" si="28"/>
        <v>0</v>
      </c>
    </row>
    <row r="1804" spans="1:23" x14ac:dyDescent="0.25">
      <c r="A1804" s="2" t="s">
        <v>628</v>
      </c>
      <c r="B1804" s="2" t="s">
        <v>919</v>
      </c>
      <c r="C1804" s="2">
        <v>540228</v>
      </c>
      <c r="D1804" s="2" t="s">
        <v>670</v>
      </c>
      <c r="E1804" s="2" t="s">
        <v>27</v>
      </c>
      <c r="F1804" s="2" t="s">
        <v>115</v>
      </c>
      <c r="G1804" s="2">
        <v>4</v>
      </c>
      <c r="H1804" s="2">
        <v>0</v>
      </c>
      <c r="I1804" s="2">
        <v>0</v>
      </c>
      <c r="J1804" s="2">
        <v>0</v>
      </c>
      <c r="K1804" s="2">
        <v>0</v>
      </c>
      <c r="L1804" s="2">
        <v>0</v>
      </c>
      <c r="M1804" s="2">
        <v>0</v>
      </c>
      <c r="N1804" s="2">
        <v>0</v>
      </c>
      <c r="O1804" s="2">
        <v>0</v>
      </c>
      <c r="P1804" s="2">
        <v>0</v>
      </c>
      <c r="Q1804" s="2">
        <v>0</v>
      </c>
      <c r="R1804" s="2">
        <v>0</v>
      </c>
      <c r="S1804" s="2" t="s">
        <v>488</v>
      </c>
      <c r="T1804" s="2" t="s">
        <v>488</v>
      </c>
      <c r="U1804" s="2">
        <v>0</v>
      </c>
      <c r="V1804" s="2">
        <v>0</v>
      </c>
      <c r="W1804">
        <f t="shared" si="28"/>
        <v>0</v>
      </c>
    </row>
    <row r="1805" spans="1:23" x14ac:dyDescent="0.25">
      <c r="A1805" s="2" t="s">
        <v>628</v>
      </c>
      <c r="B1805" s="2" t="s">
        <v>919</v>
      </c>
      <c r="C1805" s="2">
        <v>540243</v>
      </c>
      <c r="D1805" s="2" t="s">
        <v>671</v>
      </c>
      <c r="E1805" s="2" t="s">
        <v>27</v>
      </c>
      <c r="F1805" s="2" t="s">
        <v>115</v>
      </c>
      <c r="G1805" s="2">
        <v>4</v>
      </c>
      <c r="H1805" s="2">
        <v>0</v>
      </c>
      <c r="I1805" s="2">
        <v>0</v>
      </c>
      <c r="J1805" s="2">
        <v>0</v>
      </c>
      <c r="K1805" s="2">
        <v>0</v>
      </c>
      <c r="L1805" s="2">
        <v>0</v>
      </c>
      <c r="M1805" s="2">
        <v>0</v>
      </c>
      <c r="N1805" s="2">
        <v>0</v>
      </c>
      <c r="O1805" s="2">
        <v>0</v>
      </c>
      <c r="P1805" s="2">
        <v>0</v>
      </c>
      <c r="Q1805" s="2">
        <v>0</v>
      </c>
      <c r="R1805" s="2">
        <v>0</v>
      </c>
      <c r="S1805" s="2" t="s">
        <v>488</v>
      </c>
      <c r="T1805" s="2" t="s">
        <v>488</v>
      </c>
      <c r="U1805" s="2">
        <v>0</v>
      </c>
      <c r="V1805" s="2">
        <v>0</v>
      </c>
      <c r="W1805">
        <f t="shared" si="28"/>
        <v>0</v>
      </c>
    </row>
    <row r="1806" spans="1:23" x14ac:dyDescent="0.25">
      <c r="A1806" s="2" t="s">
        <v>628</v>
      </c>
      <c r="B1806" s="2" t="s">
        <v>919</v>
      </c>
      <c r="C1806" s="2">
        <v>540244</v>
      </c>
      <c r="D1806" s="2" t="s">
        <v>672</v>
      </c>
      <c r="E1806" s="2" t="s">
        <v>27</v>
      </c>
      <c r="F1806" s="2" t="s">
        <v>115</v>
      </c>
      <c r="G1806" s="2">
        <v>4</v>
      </c>
      <c r="H1806" s="2">
        <v>0</v>
      </c>
      <c r="I1806" s="2">
        <v>0</v>
      </c>
      <c r="J1806" s="2">
        <v>0</v>
      </c>
      <c r="K1806" s="2">
        <v>0</v>
      </c>
      <c r="L1806" s="2">
        <v>0</v>
      </c>
      <c r="M1806" s="2">
        <v>0</v>
      </c>
      <c r="N1806" s="2">
        <v>0</v>
      </c>
      <c r="O1806" s="2">
        <v>0</v>
      </c>
      <c r="P1806" s="2">
        <v>0</v>
      </c>
      <c r="Q1806" s="2">
        <v>0</v>
      </c>
      <c r="R1806" s="2">
        <v>0</v>
      </c>
      <c r="S1806" s="2" t="s">
        <v>488</v>
      </c>
      <c r="T1806" s="2" t="s">
        <v>488</v>
      </c>
      <c r="U1806" s="2">
        <v>0</v>
      </c>
      <c r="V1806" s="2">
        <v>0</v>
      </c>
      <c r="W1806">
        <f t="shared" si="28"/>
        <v>0</v>
      </c>
    </row>
    <row r="1807" spans="1:23" x14ac:dyDescent="0.25">
      <c r="A1807" s="2" t="s">
        <v>628</v>
      </c>
      <c r="B1807" s="2" t="s">
        <v>919</v>
      </c>
      <c r="C1807" s="2">
        <v>540281</v>
      </c>
      <c r="D1807" s="2" t="s">
        <v>673</v>
      </c>
      <c r="E1807" s="2" t="s">
        <v>27</v>
      </c>
      <c r="F1807" s="2" t="s">
        <v>115</v>
      </c>
      <c r="G1807" s="2">
        <v>4</v>
      </c>
      <c r="H1807" s="2">
        <v>0</v>
      </c>
      <c r="I1807" s="2">
        <v>0</v>
      </c>
      <c r="J1807" s="2">
        <v>0</v>
      </c>
      <c r="K1807" s="2">
        <v>0</v>
      </c>
      <c r="L1807" s="2">
        <v>0</v>
      </c>
      <c r="M1807" s="2">
        <v>0</v>
      </c>
      <c r="N1807" s="2">
        <v>0</v>
      </c>
      <c r="O1807" s="2">
        <v>0</v>
      </c>
      <c r="P1807" s="2">
        <v>0</v>
      </c>
      <c r="Q1807" s="2">
        <v>0</v>
      </c>
      <c r="R1807" s="2">
        <v>0</v>
      </c>
      <c r="S1807" s="2" t="s">
        <v>488</v>
      </c>
      <c r="T1807" s="2" t="s">
        <v>488</v>
      </c>
      <c r="U1807" s="2">
        <v>0</v>
      </c>
      <c r="V1807" s="2">
        <v>0</v>
      </c>
      <c r="W1807">
        <f t="shared" si="28"/>
        <v>0</v>
      </c>
    </row>
    <row r="1808" spans="1:23" x14ac:dyDescent="0.25">
      <c r="A1808" s="255" t="s">
        <v>628</v>
      </c>
      <c r="B1808" s="255" t="s">
        <v>919</v>
      </c>
      <c r="C1808" s="255"/>
      <c r="D1808" s="255"/>
      <c r="E1808" s="255" t="s">
        <v>27</v>
      </c>
      <c r="F1808" s="255"/>
      <c r="G1808" s="255"/>
      <c r="H1808" s="255">
        <v>0</v>
      </c>
      <c r="I1808" s="255">
        <v>0</v>
      </c>
      <c r="J1808" s="255">
        <v>0</v>
      </c>
      <c r="K1808" s="255">
        <v>0</v>
      </c>
      <c r="L1808" s="255">
        <v>0</v>
      </c>
      <c r="M1808" s="255">
        <v>0</v>
      </c>
      <c r="N1808" s="255">
        <v>0</v>
      </c>
      <c r="O1808" s="255">
        <v>0</v>
      </c>
      <c r="P1808" s="255">
        <v>0</v>
      </c>
      <c r="Q1808" s="255">
        <v>0</v>
      </c>
      <c r="R1808" s="255">
        <v>0</v>
      </c>
      <c r="S1808" s="255" t="s">
        <v>488</v>
      </c>
      <c r="T1808" s="255" t="s">
        <v>488</v>
      </c>
      <c r="U1808" s="255">
        <v>0</v>
      </c>
      <c r="V1808" s="255">
        <v>0</v>
      </c>
      <c r="W1808">
        <f t="shared" si="28"/>
        <v>0</v>
      </c>
    </row>
    <row r="1809" spans="1:23" x14ac:dyDescent="0.25">
      <c r="A1809" s="2" t="s">
        <v>628</v>
      </c>
      <c r="B1809" s="2" t="s">
        <v>919</v>
      </c>
      <c r="C1809" s="2">
        <v>540047</v>
      </c>
      <c r="D1809" s="2" t="s">
        <v>674</v>
      </c>
      <c r="E1809" s="2" t="s">
        <v>29</v>
      </c>
      <c r="F1809" s="2" t="s">
        <v>5</v>
      </c>
      <c r="G1809" s="2">
        <v>11</v>
      </c>
      <c r="H1809" s="2">
        <v>0</v>
      </c>
      <c r="I1809" s="2">
        <v>0</v>
      </c>
      <c r="J1809" s="2">
        <v>0</v>
      </c>
      <c r="K1809" s="2">
        <v>0</v>
      </c>
      <c r="L1809" s="2">
        <v>0</v>
      </c>
      <c r="M1809" s="2">
        <v>0</v>
      </c>
      <c r="N1809" s="2">
        <v>0</v>
      </c>
      <c r="O1809" s="2">
        <v>0</v>
      </c>
      <c r="P1809" s="2">
        <v>0</v>
      </c>
      <c r="Q1809" s="2">
        <v>0</v>
      </c>
      <c r="R1809" s="2">
        <v>0</v>
      </c>
      <c r="S1809" s="2" t="s">
        <v>488</v>
      </c>
      <c r="T1809" s="2" t="s">
        <v>488</v>
      </c>
      <c r="U1809" s="2">
        <v>0</v>
      </c>
      <c r="V1809" s="2">
        <v>0</v>
      </c>
      <c r="W1809">
        <f t="shared" si="28"/>
        <v>0</v>
      </c>
    </row>
    <row r="1810" spans="1:23" x14ac:dyDescent="0.25">
      <c r="A1810" s="2" t="s">
        <v>628</v>
      </c>
      <c r="B1810" s="2" t="s">
        <v>919</v>
      </c>
      <c r="C1810" s="2">
        <v>540014</v>
      </c>
      <c r="D1810" s="2" t="s">
        <v>645</v>
      </c>
      <c r="E1810" s="2" t="s">
        <v>29</v>
      </c>
      <c r="F1810" s="2" t="s">
        <v>115</v>
      </c>
      <c r="G1810" s="2">
        <v>11</v>
      </c>
      <c r="H1810" s="2">
        <v>0</v>
      </c>
      <c r="I1810" s="2">
        <v>0</v>
      </c>
      <c r="J1810" s="2">
        <v>0</v>
      </c>
      <c r="K1810" s="2">
        <v>0</v>
      </c>
      <c r="L1810" s="2">
        <v>0</v>
      </c>
      <c r="M1810" s="2">
        <v>0</v>
      </c>
      <c r="N1810" s="2">
        <v>0</v>
      </c>
      <c r="O1810" s="2">
        <v>0</v>
      </c>
      <c r="P1810" s="2">
        <v>0</v>
      </c>
      <c r="Q1810" s="2">
        <v>0</v>
      </c>
      <c r="R1810" s="2">
        <v>0</v>
      </c>
      <c r="S1810" s="2" t="s">
        <v>488</v>
      </c>
      <c r="T1810" s="2" t="s">
        <v>488</v>
      </c>
      <c r="U1810" s="2">
        <v>0</v>
      </c>
      <c r="V1810" s="2">
        <v>0</v>
      </c>
      <c r="W1810">
        <f t="shared" si="28"/>
        <v>0</v>
      </c>
    </row>
    <row r="1811" spans="1:23" x14ac:dyDescent="0.25">
      <c r="A1811" s="2" t="s">
        <v>628</v>
      </c>
      <c r="B1811" s="2" t="s">
        <v>919</v>
      </c>
      <c r="C1811" s="2">
        <v>540048</v>
      </c>
      <c r="D1811" s="2" t="s">
        <v>675</v>
      </c>
      <c r="E1811" s="2" t="s">
        <v>29</v>
      </c>
      <c r="F1811" s="2" t="s">
        <v>115</v>
      </c>
      <c r="G1811" s="2">
        <v>11</v>
      </c>
      <c r="H1811" s="2">
        <v>0</v>
      </c>
      <c r="I1811" s="2">
        <v>0</v>
      </c>
      <c r="J1811" s="2">
        <v>0</v>
      </c>
      <c r="K1811" s="2">
        <v>0</v>
      </c>
      <c r="L1811" s="2">
        <v>0</v>
      </c>
      <c r="M1811" s="2">
        <v>0</v>
      </c>
      <c r="N1811" s="2">
        <v>0</v>
      </c>
      <c r="O1811" s="2">
        <v>0</v>
      </c>
      <c r="P1811" s="2">
        <v>0</v>
      </c>
      <c r="Q1811" s="2">
        <v>0</v>
      </c>
      <c r="R1811" s="2">
        <v>0</v>
      </c>
      <c r="S1811" s="2" t="s">
        <v>488</v>
      </c>
      <c r="T1811" s="2" t="s">
        <v>488</v>
      </c>
      <c r="U1811" s="2">
        <v>0</v>
      </c>
      <c r="V1811" s="2">
        <v>0</v>
      </c>
      <c r="W1811">
        <f t="shared" si="28"/>
        <v>0</v>
      </c>
    </row>
    <row r="1812" spans="1:23" x14ac:dyDescent="0.25">
      <c r="A1812" s="2" t="s">
        <v>628</v>
      </c>
      <c r="B1812" s="2" t="s">
        <v>919</v>
      </c>
      <c r="C1812" s="2">
        <v>540049</v>
      </c>
      <c r="D1812" s="2" t="s">
        <v>676</v>
      </c>
      <c r="E1812" s="2" t="s">
        <v>29</v>
      </c>
      <c r="F1812" s="2" t="s">
        <v>115</v>
      </c>
      <c r="G1812" s="2">
        <v>11</v>
      </c>
      <c r="H1812" s="2">
        <v>0</v>
      </c>
      <c r="I1812" s="2">
        <v>0</v>
      </c>
      <c r="J1812" s="2">
        <v>0</v>
      </c>
      <c r="K1812" s="2">
        <v>0</v>
      </c>
      <c r="L1812" s="2">
        <v>0</v>
      </c>
      <c r="M1812" s="2">
        <v>0</v>
      </c>
      <c r="N1812" s="2">
        <v>0</v>
      </c>
      <c r="O1812" s="2">
        <v>0</v>
      </c>
      <c r="P1812" s="2">
        <v>0</v>
      </c>
      <c r="Q1812" s="2">
        <v>0</v>
      </c>
      <c r="R1812" s="2">
        <v>0</v>
      </c>
      <c r="S1812" s="2" t="s">
        <v>488</v>
      </c>
      <c r="T1812" s="2" t="s">
        <v>488</v>
      </c>
      <c r="U1812" s="2">
        <v>0</v>
      </c>
      <c r="V1812" s="2">
        <v>0</v>
      </c>
      <c r="W1812">
        <f t="shared" si="28"/>
        <v>0</v>
      </c>
    </row>
    <row r="1813" spans="1:23" x14ac:dyDescent="0.25">
      <c r="A1813" s="255" t="s">
        <v>628</v>
      </c>
      <c r="B1813" s="255" t="s">
        <v>919</v>
      </c>
      <c r="C1813" s="255"/>
      <c r="D1813" s="255"/>
      <c r="E1813" s="255" t="s">
        <v>29</v>
      </c>
      <c r="F1813" s="255"/>
      <c r="G1813" s="255"/>
      <c r="H1813" s="255">
        <v>0</v>
      </c>
      <c r="I1813" s="255">
        <v>0</v>
      </c>
      <c r="J1813" s="255">
        <v>0</v>
      </c>
      <c r="K1813" s="255">
        <v>0</v>
      </c>
      <c r="L1813" s="255">
        <v>0</v>
      </c>
      <c r="M1813" s="255">
        <v>0</v>
      </c>
      <c r="N1813" s="255">
        <v>0</v>
      </c>
      <c r="O1813" s="255">
        <v>0</v>
      </c>
      <c r="P1813" s="255">
        <v>0</v>
      </c>
      <c r="Q1813" s="255">
        <v>0</v>
      </c>
      <c r="R1813" s="255">
        <v>0</v>
      </c>
      <c r="S1813" s="255" t="s">
        <v>488</v>
      </c>
      <c r="T1813" s="255" t="s">
        <v>488</v>
      </c>
      <c r="U1813" s="255">
        <v>0</v>
      </c>
      <c r="V1813" s="255">
        <v>0</v>
      </c>
      <c r="W1813">
        <f t="shared" si="28"/>
        <v>0</v>
      </c>
    </row>
    <row r="1814" spans="1:23" x14ac:dyDescent="0.25">
      <c r="A1814" s="2" t="s">
        <v>628</v>
      </c>
      <c r="B1814" s="2" t="s">
        <v>919</v>
      </c>
      <c r="C1814" s="2">
        <v>540051</v>
      </c>
      <c r="D1814" s="2" t="s">
        <v>677</v>
      </c>
      <c r="E1814" s="2" t="s">
        <v>31</v>
      </c>
      <c r="F1814" s="2" t="s">
        <v>5</v>
      </c>
      <c r="G1814" s="2">
        <v>8</v>
      </c>
      <c r="H1814" s="2">
        <v>0</v>
      </c>
      <c r="I1814" s="2">
        <v>0</v>
      </c>
      <c r="J1814" s="2">
        <v>0</v>
      </c>
      <c r="K1814" s="2">
        <v>0</v>
      </c>
      <c r="L1814" s="2">
        <v>0</v>
      </c>
      <c r="M1814" s="2">
        <v>0</v>
      </c>
      <c r="N1814" s="2">
        <v>0</v>
      </c>
      <c r="O1814" s="2">
        <v>0</v>
      </c>
      <c r="P1814" s="2">
        <v>0</v>
      </c>
      <c r="Q1814" s="2" t="s">
        <v>488</v>
      </c>
      <c r="R1814" s="2" t="s">
        <v>488</v>
      </c>
      <c r="S1814" s="2" t="s">
        <v>488</v>
      </c>
      <c r="T1814" s="2" t="s">
        <v>488</v>
      </c>
      <c r="U1814" s="2">
        <v>0</v>
      </c>
      <c r="V1814" s="2">
        <v>0</v>
      </c>
      <c r="W1814">
        <f t="shared" si="28"/>
        <v>0</v>
      </c>
    </row>
    <row r="1815" spans="1:23" x14ac:dyDescent="0.25">
      <c r="A1815" s="2" t="s">
        <v>628</v>
      </c>
      <c r="B1815" s="2" t="s">
        <v>919</v>
      </c>
      <c r="C1815" s="2">
        <v>540052</v>
      </c>
      <c r="D1815" s="2" t="s">
        <v>678</v>
      </c>
      <c r="E1815" s="2" t="s">
        <v>31</v>
      </c>
      <c r="F1815" s="2" t="s">
        <v>115</v>
      </c>
      <c r="G1815" s="2">
        <v>8</v>
      </c>
      <c r="H1815" s="2">
        <v>0</v>
      </c>
      <c r="I1815" s="2">
        <v>0</v>
      </c>
      <c r="J1815" s="2">
        <v>0</v>
      </c>
      <c r="K1815" s="2">
        <v>0</v>
      </c>
      <c r="L1815" s="2">
        <v>0</v>
      </c>
      <c r="M1815" s="2">
        <v>0</v>
      </c>
      <c r="N1815" s="2">
        <v>0</v>
      </c>
      <c r="O1815" s="2">
        <v>0</v>
      </c>
      <c r="P1815" s="2">
        <v>0</v>
      </c>
      <c r="Q1815" s="2" t="s">
        <v>488</v>
      </c>
      <c r="R1815" s="2" t="s">
        <v>488</v>
      </c>
      <c r="S1815" s="2" t="s">
        <v>488</v>
      </c>
      <c r="T1815" s="2" t="s">
        <v>488</v>
      </c>
      <c r="U1815" s="2">
        <v>0</v>
      </c>
      <c r="V1815" s="2">
        <v>0</v>
      </c>
      <c r="W1815">
        <f t="shared" si="28"/>
        <v>0</v>
      </c>
    </row>
    <row r="1816" spans="1:23" x14ac:dyDescent="0.25">
      <c r="A1816" s="2" t="s">
        <v>628</v>
      </c>
      <c r="B1816" s="2" t="s">
        <v>919</v>
      </c>
      <c r="C1816" s="2">
        <v>540245</v>
      </c>
      <c r="D1816" s="2" t="s">
        <v>679</v>
      </c>
      <c r="E1816" s="2" t="s">
        <v>31</v>
      </c>
      <c r="F1816" s="2" t="s">
        <v>115</v>
      </c>
      <c r="G1816" s="2">
        <v>8</v>
      </c>
      <c r="H1816" s="2">
        <v>0</v>
      </c>
      <c r="I1816" s="2">
        <v>0</v>
      </c>
      <c r="J1816" s="2">
        <v>0</v>
      </c>
      <c r="K1816" s="2">
        <v>0</v>
      </c>
      <c r="L1816" s="2">
        <v>0</v>
      </c>
      <c r="M1816" s="2">
        <v>0</v>
      </c>
      <c r="N1816" s="2">
        <v>0</v>
      </c>
      <c r="O1816" s="2">
        <v>0</v>
      </c>
      <c r="P1816" s="2">
        <v>0</v>
      </c>
      <c r="Q1816" s="2" t="s">
        <v>488</v>
      </c>
      <c r="R1816" s="2" t="s">
        <v>488</v>
      </c>
      <c r="S1816" s="2" t="s">
        <v>488</v>
      </c>
      <c r="T1816" s="2" t="s">
        <v>488</v>
      </c>
      <c r="U1816" s="2">
        <v>0</v>
      </c>
      <c r="V1816" s="2">
        <v>0</v>
      </c>
      <c r="W1816">
        <f t="shared" si="28"/>
        <v>0</v>
      </c>
    </row>
    <row r="1817" spans="1:23" x14ac:dyDescent="0.25">
      <c r="A1817" s="255" t="s">
        <v>628</v>
      </c>
      <c r="B1817" s="255" t="s">
        <v>919</v>
      </c>
      <c r="C1817" s="255"/>
      <c r="D1817" s="255"/>
      <c r="E1817" s="255" t="s">
        <v>31</v>
      </c>
      <c r="F1817" s="255"/>
      <c r="G1817" s="255"/>
      <c r="H1817" s="255">
        <v>0</v>
      </c>
      <c r="I1817" s="255">
        <v>0</v>
      </c>
      <c r="J1817" s="255">
        <v>0</v>
      </c>
      <c r="K1817" s="255">
        <v>0</v>
      </c>
      <c r="L1817" s="255">
        <v>0</v>
      </c>
      <c r="M1817" s="255">
        <v>0</v>
      </c>
      <c r="N1817" s="255">
        <v>0</v>
      </c>
      <c r="O1817" s="255">
        <v>0</v>
      </c>
      <c r="P1817" s="255">
        <v>0</v>
      </c>
      <c r="Q1817" s="255" t="s">
        <v>488</v>
      </c>
      <c r="R1817" s="255" t="s">
        <v>488</v>
      </c>
      <c r="S1817" s="255" t="s">
        <v>488</v>
      </c>
      <c r="T1817" s="255" t="s">
        <v>488</v>
      </c>
      <c r="U1817" s="255">
        <v>0</v>
      </c>
      <c r="V1817" s="255">
        <v>0</v>
      </c>
      <c r="W1817">
        <f t="shared" si="28"/>
        <v>0</v>
      </c>
    </row>
    <row r="1818" spans="1:23" x14ac:dyDescent="0.25">
      <c r="A1818" s="2" t="s">
        <v>628</v>
      </c>
      <c r="B1818" s="2" t="s">
        <v>919</v>
      </c>
      <c r="C1818" s="2">
        <v>540053</v>
      </c>
      <c r="D1818" s="2" t="s">
        <v>680</v>
      </c>
      <c r="E1818" s="2" t="s">
        <v>33</v>
      </c>
      <c r="F1818" s="2" t="s">
        <v>5</v>
      </c>
      <c r="G1818" s="2">
        <v>6</v>
      </c>
      <c r="H1818" s="2">
        <v>0</v>
      </c>
      <c r="I1818" s="2">
        <v>0</v>
      </c>
      <c r="J1818" s="2">
        <v>0</v>
      </c>
      <c r="K1818" s="2">
        <v>0</v>
      </c>
      <c r="L1818" s="2">
        <v>0</v>
      </c>
      <c r="M1818" s="2">
        <v>0</v>
      </c>
      <c r="N1818" s="2">
        <v>0</v>
      </c>
      <c r="O1818" s="2">
        <v>0</v>
      </c>
      <c r="P1818" s="2">
        <v>0</v>
      </c>
      <c r="Q1818" s="2">
        <v>0</v>
      </c>
      <c r="R1818" s="2">
        <v>0</v>
      </c>
      <c r="S1818" s="2" t="s">
        <v>488</v>
      </c>
      <c r="T1818" s="2" t="s">
        <v>488</v>
      </c>
      <c r="U1818" s="2">
        <v>0</v>
      </c>
      <c r="V1818" s="2">
        <v>0</v>
      </c>
      <c r="W1818">
        <f t="shared" si="28"/>
        <v>0</v>
      </c>
    </row>
    <row r="1819" spans="1:23" x14ac:dyDescent="0.25">
      <c r="A1819" s="2" t="s">
        <v>628</v>
      </c>
      <c r="B1819" s="2" t="s">
        <v>919</v>
      </c>
      <c r="C1819" s="2">
        <v>540054</v>
      </c>
      <c r="D1819" s="2" t="s">
        <v>681</v>
      </c>
      <c r="E1819" s="2" t="s">
        <v>33</v>
      </c>
      <c r="F1819" s="2" t="s">
        <v>115</v>
      </c>
      <c r="G1819" s="2">
        <v>6</v>
      </c>
      <c r="H1819" s="2">
        <v>0</v>
      </c>
      <c r="I1819" s="2">
        <v>0</v>
      </c>
      <c r="J1819" s="2">
        <v>0</v>
      </c>
      <c r="K1819" s="2">
        <v>0</v>
      </c>
      <c r="L1819" s="2">
        <v>0</v>
      </c>
      <c r="M1819" s="2">
        <v>0</v>
      </c>
      <c r="N1819" s="2">
        <v>0</v>
      </c>
      <c r="O1819" s="2">
        <v>0</v>
      </c>
      <c r="P1819" s="2">
        <v>0</v>
      </c>
      <c r="Q1819" s="2">
        <v>0</v>
      </c>
      <c r="R1819" s="2">
        <v>0</v>
      </c>
      <c r="S1819" s="2" t="s">
        <v>488</v>
      </c>
      <c r="T1819" s="2" t="s">
        <v>488</v>
      </c>
      <c r="U1819" s="2">
        <v>0</v>
      </c>
      <c r="V1819" s="2">
        <v>0</v>
      </c>
      <c r="W1819">
        <f t="shared" si="28"/>
        <v>0</v>
      </c>
    </row>
    <row r="1820" spans="1:23" x14ac:dyDescent="0.25">
      <c r="A1820" s="2" t="s">
        <v>628</v>
      </c>
      <c r="B1820" s="2" t="s">
        <v>919</v>
      </c>
      <c r="C1820" s="2">
        <v>540055</v>
      </c>
      <c r="D1820" s="2" t="s">
        <v>682</v>
      </c>
      <c r="E1820" s="2" t="s">
        <v>33</v>
      </c>
      <c r="F1820" s="2" t="s">
        <v>115</v>
      </c>
      <c r="G1820" s="2">
        <v>6</v>
      </c>
      <c r="H1820" s="2">
        <v>0</v>
      </c>
      <c r="I1820" s="2">
        <v>0</v>
      </c>
      <c r="J1820" s="2">
        <v>0</v>
      </c>
      <c r="K1820" s="2">
        <v>0</v>
      </c>
      <c r="L1820" s="2">
        <v>0</v>
      </c>
      <c r="M1820" s="2">
        <v>0</v>
      </c>
      <c r="N1820" s="2">
        <v>0</v>
      </c>
      <c r="O1820" s="2">
        <v>0</v>
      </c>
      <c r="P1820" s="2">
        <v>0</v>
      </c>
      <c r="Q1820" s="2">
        <v>0</v>
      </c>
      <c r="R1820" s="2">
        <v>0</v>
      </c>
      <c r="S1820" s="2" t="s">
        <v>488</v>
      </c>
      <c r="T1820" s="2" t="s">
        <v>488</v>
      </c>
      <c r="U1820" s="2">
        <v>0</v>
      </c>
      <c r="V1820" s="2">
        <v>0</v>
      </c>
      <c r="W1820">
        <f t="shared" si="28"/>
        <v>0</v>
      </c>
    </row>
    <row r="1821" spans="1:23" x14ac:dyDescent="0.25">
      <c r="A1821" s="2" t="s">
        <v>628</v>
      </c>
      <c r="B1821" s="2" t="s">
        <v>919</v>
      </c>
      <c r="C1821" s="2">
        <v>540056</v>
      </c>
      <c r="D1821" s="2" t="s">
        <v>683</v>
      </c>
      <c r="E1821" s="2" t="s">
        <v>33</v>
      </c>
      <c r="F1821" s="2" t="s">
        <v>115</v>
      </c>
      <c r="G1821" s="2">
        <v>6</v>
      </c>
      <c r="H1821" s="2">
        <v>0</v>
      </c>
      <c r="I1821" s="2">
        <v>0</v>
      </c>
      <c r="J1821" s="2">
        <v>0</v>
      </c>
      <c r="K1821" s="2">
        <v>0</v>
      </c>
      <c r="L1821" s="2">
        <v>0</v>
      </c>
      <c r="M1821" s="2">
        <v>0</v>
      </c>
      <c r="N1821" s="2">
        <v>0</v>
      </c>
      <c r="O1821" s="2">
        <v>0</v>
      </c>
      <c r="P1821" s="2">
        <v>0</v>
      </c>
      <c r="Q1821" s="2">
        <v>0</v>
      </c>
      <c r="R1821" s="2">
        <v>0</v>
      </c>
      <c r="S1821" s="2" t="s">
        <v>488</v>
      </c>
      <c r="T1821" s="2" t="s">
        <v>488</v>
      </c>
      <c r="U1821" s="2">
        <v>0</v>
      </c>
      <c r="V1821" s="2">
        <v>0</v>
      </c>
      <c r="W1821">
        <f t="shared" si="28"/>
        <v>0</v>
      </c>
    </row>
    <row r="1822" spans="1:23" x14ac:dyDescent="0.25">
      <c r="A1822" s="2" t="s">
        <v>628</v>
      </c>
      <c r="B1822" s="2" t="s">
        <v>919</v>
      </c>
      <c r="C1822" s="2">
        <v>540057</v>
      </c>
      <c r="D1822" s="2" t="s">
        <v>684</v>
      </c>
      <c r="E1822" s="2" t="s">
        <v>33</v>
      </c>
      <c r="F1822" s="2" t="s">
        <v>115</v>
      </c>
      <c r="G1822" s="2">
        <v>6</v>
      </c>
      <c r="H1822" s="2">
        <v>0</v>
      </c>
      <c r="I1822" s="2">
        <v>0</v>
      </c>
      <c r="J1822" s="2">
        <v>0</v>
      </c>
      <c r="K1822" s="2">
        <v>0</v>
      </c>
      <c r="L1822" s="2">
        <v>0</v>
      </c>
      <c r="M1822" s="2">
        <v>0</v>
      </c>
      <c r="N1822" s="2">
        <v>0</v>
      </c>
      <c r="O1822" s="2">
        <v>0</v>
      </c>
      <c r="P1822" s="2">
        <v>0</v>
      </c>
      <c r="Q1822" s="2">
        <v>0</v>
      </c>
      <c r="R1822" s="2">
        <v>0</v>
      </c>
      <c r="S1822" s="2" t="s">
        <v>488</v>
      </c>
      <c r="T1822" s="2" t="s">
        <v>488</v>
      </c>
      <c r="U1822" s="2">
        <v>0</v>
      </c>
      <c r="V1822" s="2">
        <v>0</v>
      </c>
      <c r="W1822">
        <f t="shared" si="28"/>
        <v>0</v>
      </c>
    </row>
    <row r="1823" spans="1:23" x14ac:dyDescent="0.25">
      <c r="A1823" s="2" t="s">
        <v>628</v>
      </c>
      <c r="B1823" s="2" t="s">
        <v>919</v>
      </c>
      <c r="C1823" s="2">
        <v>540058</v>
      </c>
      <c r="D1823" s="2" t="s">
        <v>685</v>
      </c>
      <c r="E1823" s="2" t="s">
        <v>33</v>
      </c>
      <c r="F1823" s="2" t="s">
        <v>115</v>
      </c>
      <c r="G1823" s="2">
        <v>6</v>
      </c>
      <c r="H1823" s="2">
        <v>0</v>
      </c>
      <c r="I1823" s="2">
        <v>0</v>
      </c>
      <c r="J1823" s="2">
        <v>0</v>
      </c>
      <c r="K1823" s="2">
        <v>0</v>
      </c>
      <c r="L1823" s="2">
        <v>0</v>
      </c>
      <c r="M1823" s="2">
        <v>0</v>
      </c>
      <c r="N1823" s="2">
        <v>0</v>
      </c>
      <c r="O1823" s="2">
        <v>0</v>
      </c>
      <c r="P1823" s="2">
        <v>0</v>
      </c>
      <c r="Q1823" s="2">
        <v>0</v>
      </c>
      <c r="R1823" s="2">
        <v>0</v>
      </c>
      <c r="S1823" s="2" t="s">
        <v>488</v>
      </c>
      <c r="T1823" s="2" t="s">
        <v>488</v>
      </c>
      <c r="U1823" s="2">
        <v>0</v>
      </c>
      <c r="V1823" s="2">
        <v>0</v>
      </c>
      <c r="W1823">
        <f t="shared" si="28"/>
        <v>0</v>
      </c>
    </row>
    <row r="1824" spans="1:23" x14ac:dyDescent="0.25">
      <c r="A1824" s="2" t="s">
        <v>628</v>
      </c>
      <c r="B1824" s="2" t="s">
        <v>919</v>
      </c>
      <c r="C1824" s="2">
        <v>540059</v>
      </c>
      <c r="D1824" s="2" t="s">
        <v>686</v>
      </c>
      <c r="E1824" s="2" t="s">
        <v>33</v>
      </c>
      <c r="F1824" s="2" t="s">
        <v>115</v>
      </c>
      <c r="G1824" s="2">
        <v>6</v>
      </c>
      <c r="H1824" s="2">
        <v>0</v>
      </c>
      <c r="I1824" s="2">
        <v>0</v>
      </c>
      <c r="J1824" s="2">
        <v>0</v>
      </c>
      <c r="K1824" s="2">
        <v>0</v>
      </c>
      <c r="L1824" s="2">
        <v>0</v>
      </c>
      <c r="M1824" s="2">
        <v>0</v>
      </c>
      <c r="N1824" s="2">
        <v>0</v>
      </c>
      <c r="O1824" s="2">
        <v>0</v>
      </c>
      <c r="P1824" s="2">
        <v>0</v>
      </c>
      <c r="Q1824" s="2">
        <v>0</v>
      </c>
      <c r="R1824" s="2">
        <v>0</v>
      </c>
      <c r="S1824" s="2" t="s">
        <v>488</v>
      </c>
      <c r="T1824" s="2" t="s">
        <v>488</v>
      </c>
      <c r="U1824" s="2">
        <v>0</v>
      </c>
      <c r="V1824" s="2">
        <v>0</v>
      </c>
      <c r="W1824">
        <f t="shared" si="28"/>
        <v>0</v>
      </c>
    </row>
    <row r="1825" spans="1:23" x14ac:dyDescent="0.25">
      <c r="A1825" s="2" t="s">
        <v>628</v>
      </c>
      <c r="B1825" s="2" t="s">
        <v>919</v>
      </c>
      <c r="C1825" s="2">
        <v>540060</v>
      </c>
      <c r="D1825" s="2" t="s">
        <v>687</v>
      </c>
      <c r="E1825" s="2" t="s">
        <v>33</v>
      </c>
      <c r="F1825" s="2" t="s">
        <v>115</v>
      </c>
      <c r="G1825" s="2">
        <v>6</v>
      </c>
      <c r="H1825" s="2">
        <v>0</v>
      </c>
      <c r="I1825" s="2">
        <v>0</v>
      </c>
      <c r="J1825" s="2">
        <v>0</v>
      </c>
      <c r="K1825" s="2">
        <v>0</v>
      </c>
      <c r="L1825" s="2">
        <v>0</v>
      </c>
      <c r="M1825" s="2">
        <v>0</v>
      </c>
      <c r="N1825" s="2">
        <v>0</v>
      </c>
      <c r="O1825" s="2">
        <v>0</v>
      </c>
      <c r="P1825" s="2">
        <v>0</v>
      </c>
      <c r="Q1825" s="2">
        <v>0</v>
      </c>
      <c r="R1825" s="2">
        <v>0</v>
      </c>
      <c r="S1825" s="2" t="s">
        <v>488</v>
      </c>
      <c r="T1825" s="2" t="s">
        <v>488</v>
      </c>
      <c r="U1825" s="2">
        <v>0</v>
      </c>
      <c r="V1825" s="2">
        <v>0</v>
      </c>
      <c r="W1825">
        <f t="shared" si="28"/>
        <v>0</v>
      </c>
    </row>
    <row r="1826" spans="1:23" x14ac:dyDescent="0.25">
      <c r="A1826" s="2" t="s">
        <v>628</v>
      </c>
      <c r="B1826" s="2" t="s">
        <v>919</v>
      </c>
      <c r="C1826" s="2">
        <v>540061</v>
      </c>
      <c r="D1826" s="2" t="s">
        <v>688</v>
      </c>
      <c r="E1826" s="2" t="s">
        <v>33</v>
      </c>
      <c r="F1826" s="2" t="s">
        <v>115</v>
      </c>
      <c r="G1826" s="2">
        <v>6</v>
      </c>
      <c r="H1826" s="2">
        <v>0</v>
      </c>
      <c r="I1826" s="2">
        <v>0</v>
      </c>
      <c r="J1826" s="2">
        <v>0</v>
      </c>
      <c r="K1826" s="2">
        <v>0</v>
      </c>
      <c r="L1826" s="2">
        <v>0</v>
      </c>
      <c r="M1826" s="2">
        <v>0</v>
      </c>
      <c r="N1826" s="2">
        <v>0</v>
      </c>
      <c r="O1826" s="2">
        <v>0</v>
      </c>
      <c r="P1826" s="2">
        <v>0</v>
      </c>
      <c r="Q1826" s="2">
        <v>0</v>
      </c>
      <c r="R1826" s="2">
        <v>0</v>
      </c>
      <c r="S1826" s="2" t="s">
        <v>488</v>
      </c>
      <c r="T1826" s="2" t="s">
        <v>488</v>
      </c>
      <c r="U1826" s="2">
        <v>0</v>
      </c>
      <c r="V1826" s="2">
        <v>0</v>
      </c>
      <c r="W1826">
        <f t="shared" si="28"/>
        <v>0</v>
      </c>
    </row>
    <row r="1827" spans="1:23" x14ac:dyDescent="0.25">
      <c r="A1827" s="2" t="s">
        <v>628</v>
      </c>
      <c r="B1827" s="2" t="s">
        <v>919</v>
      </c>
      <c r="C1827" s="2">
        <v>540062</v>
      </c>
      <c r="D1827" s="2" t="s">
        <v>689</v>
      </c>
      <c r="E1827" s="2" t="s">
        <v>33</v>
      </c>
      <c r="F1827" s="2" t="s">
        <v>115</v>
      </c>
      <c r="G1827" s="2">
        <v>6</v>
      </c>
      <c r="H1827" s="2">
        <v>0</v>
      </c>
      <c r="I1827" s="2">
        <v>0</v>
      </c>
      <c r="J1827" s="2">
        <v>0</v>
      </c>
      <c r="K1827" s="2">
        <v>0</v>
      </c>
      <c r="L1827" s="2">
        <v>0</v>
      </c>
      <c r="M1827" s="2">
        <v>0</v>
      </c>
      <c r="N1827" s="2">
        <v>0</v>
      </c>
      <c r="O1827" s="2">
        <v>0</v>
      </c>
      <c r="P1827" s="2">
        <v>0</v>
      </c>
      <c r="Q1827" s="2">
        <v>0</v>
      </c>
      <c r="R1827" s="2">
        <v>0</v>
      </c>
      <c r="S1827" s="2" t="s">
        <v>488</v>
      </c>
      <c r="T1827" s="2" t="s">
        <v>488</v>
      </c>
      <c r="U1827" s="2">
        <v>0</v>
      </c>
      <c r="V1827" s="2">
        <v>0</v>
      </c>
      <c r="W1827">
        <f t="shared" si="28"/>
        <v>0</v>
      </c>
    </row>
    <row r="1828" spans="1:23" x14ac:dyDescent="0.25">
      <c r="A1828" s="2" t="s">
        <v>628</v>
      </c>
      <c r="B1828" s="2" t="s">
        <v>919</v>
      </c>
      <c r="C1828" s="2">
        <v>540242</v>
      </c>
      <c r="D1828" s="2" t="s">
        <v>690</v>
      </c>
      <c r="E1828" s="2" t="s">
        <v>33</v>
      </c>
      <c r="F1828" s="2" t="s">
        <v>115</v>
      </c>
      <c r="G1828" s="2">
        <v>6</v>
      </c>
      <c r="H1828" s="2">
        <v>0</v>
      </c>
      <c r="I1828" s="2">
        <v>0</v>
      </c>
      <c r="J1828" s="2">
        <v>0</v>
      </c>
      <c r="K1828" s="2">
        <v>0</v>
      </c>
      <c r="L1828" s="2">
        <v>0</v>
      </c>
      <c r="M1828" s="2">
        <v>0</v>
      </c>
      <c r="N1828" s="2">
        <v>0</v>
      </c>
      <c r="O1828" s="2">
        <v>0</v>
      </c>
      <c r="P1828" s="2">
        <v>0</v>
      </c>
      <c r="Q1828" s="2">
        <v>0</v>
      </c>
      <c r="R1828" s="2">
        <v>0</v>
      </c>
      <c r="S1828" s="2" t="s">
        <v>488</v>
      </c>
      <c r="T1828" s="2" t="s">
        <v>488</v>
      </c>
      <c r="U1828" s="2">
        <v>0</v>
      </c>
      <c r="V1828" s="2">
        <v>0</v>
      </c>
      <c r="W1828">
        <f t="shared" si="28"/>
        <v>0</v>
      </c>
    </row>
    <row r="1829" spans="1:23" x14ac:dyDescent="0.25">
      <c r="A1829" s="255" t="s">
        <v>628</v>
      </c>
      <c r="B1829" s="255" t="s">
        <v>919</v>
      </c>
      <c r="C1829" s="255"/>
      <c r="D1829" s="255"/>
      <c r="E1829" s="255" t="s">
        <v>33</v>
      </c>
      <c r="F1829" s="255"/>
      <c r="G1829" s="255"/>
      <c r="H1829" s="255">
        <v>0</v>
      </c>
      <c r="I1829" s="255">
        <v>0</v>
      </c>
      <c r="J1829" s="255">
        <v>0</v>
      </c>
      <c r="K1829" s="255">
        <v>0</v>
      </c>
      <c r="L1829" s="255">
        <v>0</v>
      </c>
      <c r="M1829" s="255">
        <v>0</v>
      </c>
      <c r="N1829" s="255">
        <v>0</v>
      </c>
      <c r="O1829" s="255">
        <v>0</v>
      </c>
      <c r="P1829" s="255">
        <v>0</v>
      </c>
      <c r="Q1829" s="255">
        <v>0</v>
      </c>
      <c r="R1829" s="255">
        <v>0</v>
      </c>
      <c r="S1829" s="255" t="s">
        <v>488</v>
      </c>
      <c r="T1829" s="255" t="s">
        <v>488</v>
      </c>
      <c r="U1829" s="255">
        <v>0</v>
      </c>
      <c r="V1829" s="255">
        <v>0</v>
      </c>
      <c r="W1829">
        <f t="shared" si="28"/>
        <v>0</v>
      </c>
    </row>
    <row r="1830" spans="1:23" x14ac:dyDescent="0.25">
      <c r="A1830" s="2" t="s">
        <v>628</v>
      </c>
      <c r="B1830" s="2" t="s">
        <v>919</v>
      </c>
      <c r="C1830" s="2">
        <v>540063</v>
      </c>
      <c r="D1830" s="2" t="s">
        <v>691</v>
      </c>
      <c r="E1830" s="2" t="s">
        <v>35</v>
      </c>
      <c r="F1830" s="2" t="s">
        <v>5</v>
      </c>
      <c r="G1830" s="2">
        <v>5</v>
      </c>
      <c r="H1830" s="2">
        <v>0</v>
      </c>
      <c r="I1830" s="2">
        <v>0</v>
      </c>
      <c r="J1830" s="2">
        <v>0</v>
      </c>
      <c r="K1830" s="2">
        <v>0</v>
      </c>
      <c r="L1830" s="2">
        <v>0</v>
      </c>
      <c r="M1830" s="2">
        <v>0</v>
      </c>
      <c r="N1830" s="2">
        <v>0</v>
      </c>
      <c r="O1830" s="2">
        <v>0</v>
      </c>
      <c r="P1830" s="2">
        <v>0</v>
      </c>
      <c r="Q1830" s="2" t="s">
        <v>488</v>
      </c>
      <c r="R1830" s="2" t="s">
        <v>488</v>
      </c>
      <c r="S1830" s="2" t="s">
        <v>488</v>
      </c>
      <c r="T1830" s="2" t="s">
        <v>488</v>
      </c>
      <c r="U1830" s="2">
        <v>0</v>
      </c>
      <c r="V1830" s="2">
        <v>0</v>
      </c>
      <c r="W1830">
        <f t="shared" si="28"/>
        <v>0</v>
      </c>
    </row>
    <row r="1831" spans="1:23" x14ac:dyDescent="0.25">
      <c r="A1831" s="2" t="s">
        <v>628</v>
      </c>
      <c r="B1831" s="2" t="s">
        <v>919</v>
      </c>
      <c r="C1831" s="2">
        <v>540064</v>
      </c>
      <c r="D1831" s="2" t="s">
        <v>692</v>
      </c>
      <c r="E1831" s="2" t="s">
        <v>35</v>
      </c>
      <c r="F1831" s="2" t="s">
        <v>115</v>
      </c>
      <c r="G1831" s="2">
        <v>5</v>
      </c>
      <c r="H1831" s="2">
        <v>0</v>
      </c>
      <c r="I1831" s="2">
        <v>0</v>
      </c>
      <c r="J1831" s="2">
        <v>0</v>
      </c>
      <c r="K1831" s="2">
        <v>0</v>
      </c>
      <c r="L1831" s="2">
        <v>0</v>
      </c>
      <c r="M1831" s="2">
        <v>0</v>
      </c>
      <c r="N1831" s="2">
        <v>0</v>
      </c>
      <c r="O1831" s="2">
        <v>0</v>
      </c>
      <c r="P1831" s="2">
        <v>0</v>
      </c>
      <c r="Q1831" s="2" t="s">
        <v>488</v>
      </c>
      <c r="R1831" s="2" t="s">
        <v>488</v>
      </c>
      <c r="S1831" s="2" t="s">
        <v>488</v>
      </c>
      <c r="T1831" s="2" t="s">
        <v>488</v>
      </c>
      <c r="U1831" s="2">
        <v>0</v>
      </c>
      <c r="V1831" s="2">
        <v>0</v>
      </c>
      <c r="W1831">
        <f t="shared" si="28"/>
        <v>0</v>
      </c>
    </row>
    <row r="1832" spans="1:23" x14ac:dyDescent="0.25">
      <c r="A1832" s="2" t="s">
        <v>628</v>
      </c>
      <c r="B1832" s="2" t="s">
        <v>919</v>
      </c>
      <c r="C1832" s="2">
        <v>540241</v>
      </c>
      <c r="D1832" s="2" t="s">
        <v>693</v>
      </c>
      <c r="E1832" s="2" t="s">
        <v>35</v>
      </c>
      <c r="F1832" s="2" t="s">
        <v>115</v>
      </c>
      <c r="G1832" s="2">
        <v>5</v>
      </c>
      <c r="H1832" s="2">
        <v>0</v>
      </c>
      <c r="I1832" s="2">
        <v>0</v>
      </c>
      <c r="J1832" s="2">
        <v>0</v>
      </c>
      <c r="K1832" s="2">
        <v>0</v>
      </c>
      <c r="L1832" s="2">
        <v>0</v>
      </c>
      <c r="M1832" s="2">
        <v>0</v>
      </c>
      <c r="N1832" s="2">
        <v>0</v>
      </c>
      <c r="O1832" s="2">
        <v>0</v>
      </c>
      <c r="P1832" s="2">
        <v>0</v>
      </c>
      <c r="Q1832" s="2" t="s">
        <v>488</v>
      </c>
      <c r="R1832" s="2" t="s">
        <v>488</v>
      </c>
      <c r="S1832" s="2" t="s">
        <v>488</v>
      </c>
      <c r="T1832" s="2" t="s">
        <v>488</v>
      </c>
      <c r="U1832" s="2">
        <v>0</v>
      </c>
      <c r="V1832" s="2">
        <v>0</v>
      </c>
      <c r="W1832">
        <f t="shared" si="28"/>
        <v>0</v>
      </c>
    </row>
    <row r="1833" spans="1:23" x14ac:dyDescent="0.25">
      <c r="A1833" s="255" t="s">
        <v>628</v>
      </c>
      <c r="B1833" s="255" t="s">
        <v>919</v>
      </c>
      <c r="C1833" s="255"/>
      <c r="D1833" s="255"/>
      <c r="E1833" s="255" t="s">
        <v>35</v>
      </c>
      <c r="F1833" s="255"/>
      <c r="G1833" s="255"/>
      <c r="H1833" s="255">
        <v>0</v>
      </c>
      <c r="I1833" s="255">
        <v>0</v>
      </c>
      <c r="J1833" s="255">
        <v>0</v>
      </c>
      <c r="K1833" s="255">
        <v>0</v>
      </c>
      <c r="L1833" s="255">
        <v>0</v>
      </c>
      <c r="M1833" s="255">
        <v>0</v>
      </c>
      <c r="N1833" s="255">
        <v>0</v>
      </c>
      <c r="O1833" s="255">
        <v>0</v>
      </c>
      <c r="P1833" s="255">
        <v>0</v>
      </c>
      <c r="Q1833" s="255" t="s">
        <v>488</v>
      </c>
      <c r="R1833" s="255" t="s">
        <v>488</v>
      </c>
      <c r="S1833" s="255" t="s">
        <v>488</v>
      </c>
      <c r="T1833" s="255" t="s">
        <v>488</v>
      </c>
      <c r="U1833" s="255">
        <v>0</v>
      </c>
      <c r="V1833" s="255">
        <v>0</v>
      </c>
      <c r="W1833">
        <f t="shared" si="28"/>
        <v>0</v>
      </c>
    </row>
    <row r="1834" spans="1:23" x14ac:dyDescent="0.25">
      <c r="A1834" s="2" t="s">
        <v>628</v>
      </c>
      <c r="B1834" s="2" t="s">
        <v>919</v>
      </c>
      <c r="C1834" s="2">
        <v>540065</v>
      </c>
      <c r="D1834" s="2" t="s">
        <v>694</v>
      </c>
      <c r="E1834" s="2" t="s">
        <v>37</v>
      </c>
      <c r="F1834" s="2" t="s">
        <v>5</v>
      </c>
      <c r="G1834" s="2">
        <v>9</v>
      </c>
      <c r="H1834" s="2">
        <v>0</v>
      </c>
      <c r="I1834" s="2">
        <v>0</v>
      </c>
      <c r="J1834" s="2">
        <v>0</v>
      </c>
      <c r="K1834" s="2">
        <v>0</v>
      </c>
      <c r="L1834" s="2">
        <v>0</v>
      </c>
      <c r="M1834" s="2">
        <v>0</v>
      </c>
      <c r="N1834" s="2">
        <v>0</v>
      </c>
      <c r="O1834" s="2">
        <v>0</v>
      </c>
      <c r="P1834" s="2">
        <v>0</v>
      </c>
      <c r="Q1834" s="2">
        <v>0</v>
      </c>
      <c r="R1834" s="2">
        <v>0</v>
      </c>
      <c r="S1834" s="2">
        <v>0</v>
      </c>
      <c r="T1834" s="2">
        <v>0</v>
      </c>
      <c r="U1834" s="2">
        <v>0</v>
      </c>
      <c r="V1834" s="2">
        <v>0</v>
      </c>
      <c r="W1834">
        <f t="shared" si="28"/>
        <v>0</v>
      </c>
    </row>
    <row r="1835" spans="1:23" x14ac:dyDescent="0.25">
      <c r="A1835" s="2" t="s">
        <v>628</v>
      </c>
      <c r="B1835" s="2" t="s">
        <v>919</v>
      </c>
      <c r="C1835" s="2">
        <v>540030</v>
      </c>
      <c r="D1835" s="2" t="s">
        <v>695</v>
      </c>
      <c r="E1835" s="2" t="s">
        <v>37</v>
      </c>
      <c r="F1835" s="2" t="s">
        <v>115</v>
      </c>
      <c r="G1835" s="2">
        <v>9</v>
      </c>
      <c r="H1835" s="2">
        <v>0</v>
      </c>
      <c r="I1835" s="2">
        <v>0</v>
      </c>
      <c r="J1835" s="2">
        <v>0</v>
      </c>
      <c r="K1835" s="2">
        <v>0</v>
      </c>
      <c r="L1835" s="2">
        <v>0</v>
      </c>
      <c r="M1835" s="2">
        <v>0</v>
      </c>
      <c r="N1835" s="2">
        <v>0</v>
      </c>
      <c r="O1835" s="2">
        <v>0</v>
      </c>
      <c r="P1835" s="2">
        <v>0</v>
      </c>
      <c r="Q1835" s="2">
        <v>0</v>
      </c>
      <c r="R1835" s="2">
        <v>0</v>
      </c>
      <c r="S1835" s="2">
        <v>0</v>
      </c>
      <c r="T1835" s="2">
        <v>0</v>
      </c>
      <c r="U1835" s="2">
        <v>0</v>
      </c>
      <c r="V1835" s="2">
        <v>0</v>
      </c>
      <c r="W1835">
        <f t="shared" si="28"/>
        <v>0</v>
      </c>
    </row>
    <row r="1836" spans="1:23" x14ac:dyDescent="0.25">
      <c r="A1836" s="2" t="s">
        <v>628</v>
      </c>
      <c r="B1836" s="2" t="s">
        <v>919</v>
      </c>
      <c r="C1836" s="2">
        <v>540066</v>
      </c>
      <c r="D1836" s="2" t="s">
        <v>696</v>
      </c>
      <c r="E1836" s="2" t="s">
        <v>37</v>
      </c>
      <c r="F1836" s="2" t="s">
        <v>115</v>
      </c>
      <c r="G1836" s="2">
        <v>9</v>
      </c>
      <c r="H1836" s="2">
        <v>0</v>
      </c>
      <c r="I1836" s="2">
        <v>0</v>
      </c>
      <c r="J1836" s="2">
        <v>0</v>
      </c>
      <c r="K1836" s="2">
        <v>0</v>
      </c>
      <c r="L1836" s="2">
        <v>0</v>
      </c>
      <c r="M1836" s="2">
        <v>0</v>
      </c>
      <c r="N1836" s="2">
        <v>0</v>
      </c>
      <c r="O1836" s="2">
        <v>0</v>
      </c>
      <c r="P1836" s="2">
        <v>0</v>
      </c>
      <c r="Q1836" s="2">
        <v>0</v>
      </c>
      <c r="R1836" s="2">
        <v>0</v>
      </c>
      <c r="S1836" s="2">
        <v>0</v>
      </c>
      <c r="T1836" s="2">
        <v>0</v>
      </c>
      <c r="U1836" s="2">
        <v>0</v>
      </c>
      <c r="V1836" s="2">
        <v>0</v>
      </c>
      <c r="W1836">
        <f t="shared" si="28"/>
        <v>0</v>
      </c>
    </row>
    <row r="1837" spans="1:23" x14ac:dyDescent="0.25">
      <c r="A1837" s="2" t="s">
        <v>628</v>
      </c>
      <c r="B1837" s="2" t="s">
        <v>919</v>
      </c>
      <c r="C1837" s="2">
        <v>540067</v>
      </c>
      <c r="D1837" s="2" t="s">
        <v>697</v>
      </c>
      <c r="E1837" s="2" t="s">
        <v>37</v>
      </c>
      <c r="F1837" s="2" t="s">
        <v>115</v>
      </c>
      <c r="G1837" s="2">
        <v>9</v>
      </c>
      <c r="H1837" s="2">
        <v>0</v>
      </c>
      <c r="I1837" s="2">
        <v>0</v>
      </c>
      <c r="J1837" s="2">
        <v>0</v>
      </c>
      <c r="K1837" s="2">
        <v>0</v>
      </c>
      <c r="L1837" s="2">
        <v>0</v>
      </c>
      <c r="M1837" s="2">
        <v>0</v>
      </c>
      <c r="N1837" s="2">
        <v>0</v>
      </c>
      <c r="O1837" s="2">
        <v>0</v>
      </c>
      <c r="P1837" s="2">
        <v>0</v>
      </c>
      <c r="Q1837" s="2">
        <v>0</v>
      </c>
      <c r="R1837" s="2">
        <v>0</v>
      </c>
      <c r="S1837" s="2">
        <v>0</v>
      </c>
      <c r="T1837" s="2">
        <v>0</v>
      </c>
      <c r="U1837" s="2">
        <v>0</v>
      </c>
      <c r="V1837" s="2">
        <v>0</v>
      </c>
      <c r="W1837">
        <f t="shared" si="28"/>
        <v>0</v>
      </c>
    </row>
    <row r="1838" spans="1:23" x14ac:dyDescent="0.25">
      <c r="A1838" s="2" t="s">
        <v>628</v>
      </c>
      <c r="B1838" s="2" t="s">
        <v>919</v>
      </c>
      <c r="C1838" s="2">
        <v>540068</v>
      </c>
      <c r="D1838" s="2" t="s">
        <v>698</v>
      </c>
      <c r="E1838" s="2" t="s">
        <v>37</v>
      </c>
      <c r="F1838" s="2" t="s">
        <v>115</v>
      </c>
      <c r="G1838" s="2">
        <v>9</v>
      </c>
      <c r="H1838" s="2">
        <v>0</v>
      </c>
      <c r="I1838" s="2">
        <v>0</v>
      </c>
      <c r="J1838" s="2">
        <v>0</v>
      </c>
      <c r="K1838" s="2">
        <v>0</v>
      </c>
      <c r="L1838" s="2">
        <v>0</v>
      </c>
      <c r="M1838" s="2">
        <v>0</v>
      </c>
      <c r="N1838" s="2">
        <v>0</v>
      </c>
      <c r="O1838" s="2">
        <v>0</v>
      </c>
      <c r="P1838" s="2">
        <v>0</v>
      </c>
      <c r="Q1838" s="2">
        <v>0</v>
      </c>
      <c r="R1838" s="2">
        <v>0</v>
      </c>
      <c r="S1838" s="2">
        <v>0</v>
      </c>
      <c r="T1838" s="2">
        <v>0</v>
      </c>
      <c r="U1838" s="2">
        <v>0</v>
      </c>
      <c r="V1838" s="2">
        <v>0</v>
      </c>
      <c r="W1838">
        <f t="shared" si="28"/>
        <v>0</v>
      </c>
    </row>
    <row r="1839" spans="1:23" x14ac:dyDescent="0.25">
      <c r="A1839" s="2" t="s">
        <v>628</v>
      </c>
      <c r="B1839" s="2" t="s">
        <v>919</v>
      </c>
      <c r="C1839" s="2">
        <v>540069</v>
      </c>
      <c r="D1839" s="2" t="s">
        <v>699</v>
      </c>
      <c r="E1839" s="2" t="s">
        <v>37</v>
      </c>
      <c r="F1839" s="2" t="s">
        <v>115</v>
      </c>
      <c r="G1839" s="2">
        <v>9</v>
      </c>
      <c r="H1839" s="2">
        <v>0</v>
      </c>
      <c r="I1839" s="2">
        <v>0</v>
      </c>
      <c r="J1839" s="2">
        <v>0</v>
      </c>
      <c r="K1839" s="2">
        <v>0</v>
      </c>
      <c r="L1839" s="2">
        <v>0</v>
      </c>
      <c r="M1839" s="2">
        <v>0</v>
      </c>
      <c r="N1839" s="2">
        <v>0</v>
      </c>
      <c r="O1839" s="2">
        <v>0</v>
      </c>
      <c r="P1839" s="2">
        <v>0</v>
      </c>
      <c r="Q1839" s="2">
        <v>0</v>
      </c>
      <c r="R1839" s="2">
        <v>0</v>
      </c>
      <c r="S1839" s="2">
        <v>0</v>
      </c>
      <c r="T1839" s="2">
        <v>0</v>
      </c>
      <c r="U1839" s="2">
        <v>0</v>
      </c>
      <c r="V1839" s="2">
        <v>0</v>
      </c>
      <c r="W1839">
        <f t="shared" si="28"/>
        <v>0</v>
      </c>
    </row>
    <row r="1840" spans="1:23" x14ac:dyDescent="0.25">
      <c r="A1840" s="255" t="s">
        <v>628</v>
      </c>
      <c r="B1840" s="255" t="s">
        <v>919</v>
      </c>
      <c r="C1840" s="255"/>
      <c r="D1840" s="255"/>
      <c r="E1840" s="255" t="s">
        <v>37</v>
      </c>
      <c r="F1840" s="255"/>
      <c r="G1840" s="255"/>
      <c r="H1840" s="255">
        <v>0</v>
      </c>
      <c r="I1840" s="255">
        <v>0</v>
      </c>
      <c r="J1840" s="255">
        <v>0</v>
      </c>
      <c r="K1840" s="255">
        <v>0</v>
      </c>
      <c r="L1840" s="255">
        <v>0</v>
      </c>
      <c r="M1840" s="255">
        <v>0</v>
      </c>
      <c r="N1840" s="255">
        <v>0</v>
      </c>
      <c r="O1840" s="255">
        <v>0</v>
      </c>
      <c r="P1840" s="255">
        <v>0</v>
      </c>
      <c r="Q1840" s="255">
        <v>0</v>
      </c>
      <c r="R1840" s="255">
        <v>0</v>
      </c>
      <c r="S1840" s="255">
        <v>0</v>
      </c>
      <c r="T1840" s="255">
        <v>0</v>
      </c>
      <c r="U1840" s="255">
        <v>0</v>
      </c>
      <c r="V1840" s="255">
        <v>0</v>
      </c>
      <c r="W1840">
        <f t="shared" si="28"/>
        <v>0</v>
      </c>
    </row>
    <row r="1841" spans="1:23" x14ac:dyDescent="0.25">
      <c r="A1841" s="2" t="s">
        <v>628</v>
      </c>
      <c r="B1841" s="2" t="s">
        <v>919</v>
      </c>
      <c r="C1841" s="2">
        <v>540070</v>
      </c>
      <c r="D1841" s="2" t="s">
        <v>700</v>
      </c>
      <c r="E1841" s="2" t="s">
        <v>39</v>
      </c>
      <c r="F1841" s="2" t="s">
        <v>5</v>
      </c>
      <c r="G1841" s="2">
        <v>3</v>
      </c>
      <c r="H1841" s="2">
        <v>0</v>
      </c>
      <c r="I1841" s="2">
        <v>0</v>
      </c>
      <c r="J1841" s="2">
        <v>0</v>
      </c>
      <c r="K1841" s="2">
        <v>0</v>
      </c>
      <c r="L1841" s="2">
        <v>0</v>
      </c>
      <c r="M1841" s="2">
        <v>0</v>
      </c>
      <c r="N1841" s="2">
        <v>0</v>
      </c>
      <c r="O1841" s="2">
        <v>0</v>
      </c>
      <c r="P1841" s="2">
        <v>0</v>
      </c>
      <c r="Q1841" s="2">
        <v>0</v>
      </c>
      <c r="R1841" s="2">
        <v>0</v>
      </c>
      <c r="S1841" s="2" t="s">
        <v>488</v>
      </c>
      <c r="T1841" s="2" t="s">
        <v>488</v>
      </c>
      <c r="U1841" s="2">
        <v>0</v>
      </c>
      <c r="V1841" s="2">
        <v>0</v>
      </c>
      <c r="W1841">
        <f t="shared" si="28"/>
        <v>0</v>
      </c>
    </row>
    <row r="1842" spans="1:23" x14ac:dyDescent="0.25">
      <c r="A1842" s="2" t="s">
        <v>628</v>
      </c>
      <c r="B1842" s="2" t="s">
        <v>919</v>
      </c>
      <c r="C1842" s="2">
        <v>540029</v>
      </c>
      <c r="D1842" s="2" t="s">
        <v>701</v>
      </c>
      <c r="E1842" s="2" t="s">
        <v>39</v>
      </c>
      <c r="F1842" s="2" t="s">
        <v>115</v>
      </c>
      <c r="G1842" s="2">
        <v>3</v>
      </c>
      <c r="H1842" s="2">
        <v>0</v>
      </c>
      <c r="I1842" s="2">
        <v>0</v>
      </c>
      <c r="J1842" s="2">
        <v>0</v>
      </c>
      <c r="K1842" s="2">
        <v>0</v>
      </c>
      <c r="L1842" s="2">
        <v>0</v>
      </c>
      <c r="M1842" s="2">
        <v>0</v>
      </c>
      <c r="N1842" s="2">
        <v>0</v>
      </c>
      <c r="O1842" s="2">
        <v>0</v>
      </c>
      <c r="P1842" s="2">
        <v>0</v>
      </c>
      <c r="Q1842" s="2">
        <v>0</v>
      </c>
      <c r="R1842" s="2">
        <v>0</v>
      </c>
      <c r="S1842" s="2" t="s">
        <v>488</v>
      </c>
      <c r="T1842" s="2" t="s">
        <v>488</v>
      </c>
      <c r="U1842" s="2">
        <v>0</v>
      </c>
      <c r="V1842" s="2">
        <v>0</v>
      </c>
      <c r="W1842">
        <f t="shared" si="28"/>
        <v>0</v>
      </c>
    </row>
    <row r="1843" spans="1:23" x14ac:dyDescent="0.25">
      <c r="A1843" s="2" t="s">
        <v>628</v>
      </c>
      <c r="B1843" s="2" t="s">
        <v>919</v>
      </c>
      <c r="C1843" s="2">
        <v>540071</v>
      </c>
      <c r="D1843" s="2" t="s">
        <v>702</v>
      </c>
      <c r="E1843" s="2" t="s">
        <v>39</v>
      </c>
      <c r="F1843" s="2" t="s">
        <v>115</v>
      </c>
      <c r="G1843" s="2">
        <v>3</v>
      </c>
      <c r="H1843" s="2">
        <v>0</v>
      </c>
      <c r="I1843" s="2">
        <v>0</v>
      </c>
      <c r="J1843" s="2">
        <v>0</v>
      </c>
      <c r="K1843" s="2">
        <v>0</v>
      </c>
      <c r="L1843" s="2">
        <v>0</v>
      </c>
      <c r="M1843" s="2">
        <v>0</v>
      </c>
      <c r="N1843" s="2">
        <v>0</v>
      </c>
      <c r="O1843" s="2">
        <v>0</v>
      </c>
      <c r="P1843" s="2">
        <v>0</v>
      </c>
      <c r="Q1843" s="2">
        <v>0</v>
      </c>
      <c r="R1843" s="2">
        <v>0</v>
      </c>
      <c r="S1843" s="2" t="s">
        <v>488</v>
      </c>
      <c r="T1843" s="2" t="s">
        <v>488</v>
      </c>
      <c r="U1843" s="2">
        <v>0</v>
      </c>
      <c r="V1843" s="2">
        <v>0</v>
      </c>
      <c r="W1843">
        <f t="shared" si="28"/>
        <v>0</v>
      </c>
    </row>
    <row r="1844" spans="1:23" x14ac:dyDescent="0.25">
      <c r="A1844" s="2" t="s">
        <v>628</v>
      </c>
      <c r="B1844" s="2" t="s">
        <v>919</v>
      </c>
      <c r="C1844" s="2">
        <v>540072</v>
      </c>
      <c r="D1844" s="2" t="s">
        <v>703</v>
      </c>
      <c r="E1844" s="2" t="s">
        <v>39</v>
      </c>
      <c r="F1844" s="2" t="s">
        <v>115</v>
      </c>
      <c r="G1844" s="2">
        <v>3</v>
      </c>
      <c r="H1844" s="2">
        <v>0</v>
      </c>
      <c r="I1844" s="2">
        <v>0</v>
      </c>
      <c r="J1844" s="2">
        <v>0</v>
      </c>
      <c r="K1844" s="2">
        <v>0</v>
      </c>
      <c r="L1844" s="2">
        <v>0</v>
      </c>
      <c r="M1844" s="2">
        <v>0</v>
      </c>
      <c r="N1844" s="2">
        <v>0</v>
      </c>
      <c r="O1844" s="2">
        <v>0</v>
      </c>
      <c r="P1844" s="2">
        <v>0</v>
      </c>
      <c r="Q1844" s="2">
        <v>0</v>
      </c>
      <c r="R1844" s="2">
        <v>0</v>
      </c>
      <c r="S1844" s="2" t="s">
        <v>488</v>
      </c>
      <c r="T1844" s="2" t="s">
        <v>488</v>
      </c>
      <c r="U1844" s="2">
        <v>0</v>
      </c>
      <c r="V1844" s="2">
        <v>0</v>
      </c>
      <c r="W1844">
        <f t="shared" si="28"/>
        <v>0</v>
      </c>
    </row>
    <row r="1845" spans="1:23" x14ac:dyDescent="0.25">
      <c r="A1845" s="2" t="s">
        <v>628</v>
      </c>
      <c r="B1845" s="2" t="s">
        <v>919</v>
      </c>
      <c r="C1845" s="2">
        <v>540073</v>
      </c>
      <c r="D1845" s="2" t="s">
        <v>704</v>
      </c>
      <c r="E1845" s="2" t="s">
        <v>39</v>
      </c>
      <c r="F1845" s="2" t="s">
        <v>115</v>
      </c>
      <c r="G1845" s="2">
        <v>3</v>
      </c>
      <c r="H1845" s="2">
        <v>0</v>
      </c>
      <c r="I1845" s="2">
        <v>0</v>
      </c>
      <c r="J1845" s="2">
        <v>0</v>
      </c>
      <c r="K1845" s="2">
        <v>0</v>
      </c>
      <c r="L1845" s="2">
        <v>0</v>
      </c>
      <c r="M1845" s="2">
        <v>0</v>
      </c>
      <c r="N1845" s="2">
        <v>0</v>
      </c>
      <c r="O1845" s="2">
        <v>0</v>
      </c>
      <c r="P1845" s="2">
        <v>0</v>
      </c>
      <c r="Q1845" s="2">
        <v>0</v>
      </c>
      <c r="R1845" s="2">
        <v>0</v>
      </c>
      <c r="S1845" s="2" t="s">
        <v>488</v>
      </c>
      <c r="T1845" s="2" t="s">
        <v>488</v>
      </c>
      <c r="U1845" s="2">
        <v>5</v>
      </c>
      <c r="V1845" s="2">
        <v>0</v>
      </c>
      <c r="W1845">
        <f t="shared" si="28"/>
        <v>5</v>
      </c>
    </row>
    <row r="1846" spans="1:23" x14ac:dyDescent="0.25">
      <c r="A1846" s="2" t="s">
        <v>628</v>
      </c>
      <c r="B1846" s="2" t="s">
        <v>919</v>
      </c>
      <c r="C1846" s="2">
        <v>540074</v>
      </c>
      <c r="D1846" s="2" t="s">
        <v>705</v>
      </c>
      <c r="E1846" s="2" t="s">
        <v>39</v>
      </c>
      <c r="F1846" s="2" t="s">
        <v>115</v>
      </c>
      <c r="G1846" s="2">
        <v>3</v>
      </c>
      <c r="H1846" s="2">
        <v>0</v>
      </c>
      <c r="I1846" s="2">
        <v>0</v>
      </c>
      <c r="J1846" s="2">
        <v>0</v>
      </c>
      <c r="K1846" s="2">
        <v>0</v>
      </c>
      <c r="L1846" s="2">
        <v>0</v>
      </c>
      <c r="M1846" s="2">
        <v>0</v>
      </c>
      <c r="N1846" s="2">
        <v>0</v>
      </c>
      <c r="O1846" s="2">
        <v>0</v>
      </c>
      <c r="P1846" s="2">
        <v>0</v>
      </c>
      <c r="Q1846" s="2">
        <v>0</v>
      </c>
      <c r="R1846" s="2">
        <v>0</v>
      </c>
      <c r="S1846" s="2" t="s">
        <v>488</v>
      </c>
      <c r="T1846" s="2" t="s">
        <v>488</v>
      </c>
      <c r="U1846" s="2">
        <v>0</v>
      </c>
      <c r="V1846" s="2">
        <v>0</v>
      </c>
      <c r="W1846">
        <f t="shared" si="28"/>
        <v>0</v>
      </c>
    </row>
    <row r="1847" spans="1:23" x14ac:dyDescent="0.25">
      <c r="A1847" s="2" t="s">
        <v>628</v>
      </c>
      <c r="B1847" s="2" t="s">
        <v>919</v>
      </c>
      <c r="C1847" s="2">
        <v>540075</v>
      </c>
      <c r="D1847" s="2" t="s">
        <v>706</v>
      </c>
      <c r="E1847" s="2" t="s">
        <v>39</v>
      </c>
      <c r="F1847" s="2" t="s">
        <v>115</v>
      </c>
      <c r="G1847" s="2">
        <v>3</v>
      </c>
      <c r="H1847" s="2">
        <v>0</v>
      </c>
      <c r="I1847" s="2">
        <v>0</v>
      </c>
      <c r="J1847" s="2">
        <v>0</v>
      </c>
      <c r="K1847" s="2">
        <v>0</v>
      </c>
      <c r="L1847" s="2">
        <v>0</v>
      </c>
      <c r="M1847" s="2">
        <v>0</v>
      </c>
      <c r="N1847" s="2">
        <v>0</v>
      </c>
      <c r="O1847" s="2">
        <v>0</v>
      </c>
      <c r="P1847" s="2">
        <v>0</v>
      </c>
      <c r="Q1847" s="2">
        <v>0</v>
      </c>
      <c r="R1847" s="2">
        <v>0</v>
      </c>
      <c r="S1847" s="2" t="s">
        <v>488</v>
      </c>
      <c r="T1847" s="2" t="s">
        <v>488</v>
      </c>
      <c r="U1847" s="2">
        <v>0</v>
      </c>
      <c r="V1847" s="2">
        <v>0</v>
      </c>
      <c r="W1847">
        <f t="shared" si="28"/>
        <v>0</v>
      </c>
    </row>
    <row r="1848" spans="1:23" x14ac:dyDescent="0.25">
      <c r="A1848" s="2" t="s">
        <v>628</v>
      </c>
      <c r="B1848" s="2" t="s">
        <v>919</v>
      </c>
      <c r="C1848" s="2">
        <v>540076</v>
      </c>
      <c r="D1848" s="2" t="s">
        <v>707</v>
      </c>
      <c r="E1848" s="2" t="s">
        <v>39</v>
      </c>
      <c r="F1848" s="2" t="s">
        <v>115</v>
      </c>
      <c r="G1848" s="2">
        <v>3</v>
      </c>
      <c r="H1848" s="2">
        <v>0</v>
      </c>
      <c r="I1848" s="2">
        <v>0</v>
      </c>
      <c r="J1848" s="2">
        <v>0</v>
      </c>
      <c r="K1848" s="2">
        <v>0</v>
      </c>
      <c r="L1848" s="2">
        <v>0</v>
      </c>
      <c r="M1848" s="2">
        <v>0</v>
      </c>
      <c r="N1848" s="2">
        <v>0</v>
      </c>
      <c r="O1848" s="2">
        <v>0</v>
      </c>
      <c r="P1848" s="2">
        <v>0</v>
      </c>
      <c r="Q1848" s="2">
        <v>0</v>
      </c>
      <c r="R1848" s="2">
        <v>0</v>
      </c>
      <c r="S1848" s="2" t="s">
        <v>488</v>
      </c>
      <c r="T1848" s="2" t="s">
        <v>488</v>
      </c>
      <c r="U1848" s="2">
        <v>0</v>
      </c>
      <c r="V1848" s="2">
        <v>0</v>
      </c>
      <c r="W1848">
        <f t="shared" si="28"/>
        <v>0</v>
      </c>
    </row>
    <row r="1849" spans="1:23" x14ac:dyDescent="0.25">
      <c r="A1849" s="2" t="s">
        <v>628</v>
      </c>
      <c r="B1849" s="2" t="s">
        <v>919</v>
      </c>
      <c r="C1849" s="2">
        <v>540077</v>
      </c>
      <c r="D1849" s="2" t="s">
        <v>708</v>
      </c>
      <c r="E1849" s="2" t="s">
        <v>39</v>
      </c>
      <c r="F1849" s="2" t="s">
        <v>115</v>
      </c>
      <c r="G1849" s="2">
        <v>3</v>
      </c>
      <c r="H1849" s="2">
        <v>0</v>
      </c>
      <c r="I1849" s="2">
        <v>0</v>
      </c>
      <c r="J1849" s="2">
        <v>0</v>
      </c>
      <c r="K1849" s="2">
        <v>0</v>
      </c>
      <c r="L1849" s="2">
        <v>0</v>
      </c>
      <c r="M1849" s="2">
        <v>0</v>
      </c>
      <c r="N1849" s="2">
        <v>0</v>
      </c>
      <c r="O1849" s="2">
        <v>0</v>
      </c>
      <c r="P1849" s="2">
        <v>0</v>
      </c>
      <c r="Q1849" s="2">
        <v>0</v>
      </c>
      <c r="R1849" s="2">
        <v>0</v>
      </c>
      <c r="S1849" s="2" t="s">
        <v>488</v>
      </c>
      <c r="T1849" s="2" t="s">
        <v>488</v>
      </c>
      <c r="U1849" s="2">
        <v>0</v>
      </c>
      <c r="V1849" s="2">
        <v>0</v>
      </c>
      <c r="W1849">
        <f t="shared" si="28"/>
        <v>0</v>
      </c>
    </row>
    <row r="1850" spans="1:23" x14ac:dyDescent="0.25">
      <c r="A1850" s="2" t="s">
        <v>628</v>
      </c>
      <c r="B1850" s="2" t="s">
        <v>919</v>
      </c>
      <c r="C1850" s="2">
        <v>540078</v>
      </c>
      <c r="D1850" s="2" t="s">
        <v>709</v>
      </c>
      <c r="E1850" s="2" t="s">
        <v>39</v>
      </c>
      <c r="F1850" s="2" t="s">
        <v>115</v>
      </c>
      <c r="G1850" s="2">
        <v>3</v>
      </c>
      <c r="H1850" s="2">
        <v>0</v>
      </c>
      <c r="I1850" s="2">
        <v>0</v>
      </c>
      <c r="J1850" s="2">
        <v>0</v>
      </c>
      <c r="K1850" s="2">
        <v>0</v>
      </c>
      <c r="L1850" s="2">
        <v>0</v>
      </c>
      <c r="M1850" s="2">
        <v>0</v>
      </c>
      <c r="N1850" s="2">
        <v>0</v>
      </c>
      <c r="O1850" s="2">
        <v>0</v>
      </c>
      <c r="P1850" s="2">
        <v>0</v>
      </c>
      <c r="Q1850" s="2">
        <v>0</v>
      </c>
      <c r="R1850" s="2">
        <v>0</v>
      </c>
      <c r="S1850" s="2" t="s">
        <v>488</v>
      </c>
      <c r="T1850" s="2" t="s">
        <v>488</v>
      </c>
      <c r="U1850" s="2">
        <v>0</v>
      </c>
      <c r="V1850" s="2">
        <v>0</v>
      </c>
      <c r="W1850">
        <f t="shared" si="28"/>
        <v>0</v>
      </c>
    </row>
    <row r="1851" spans="1:23" x14ac:dyDescent="0.25">
      <c r="A1851" s="2" t="s">
        <v>628</v>
      </c>
      <c r="B1851" s="2" t="s">
        <v>919</v>
      </c>
      <c r="C1851" s="2">
        <v>540079</v>
      </c>
      <c r="D1851" s="2" t="s">
        <v>710</v>
      </c>
      <c r="E1851" s="2" t="s">
        <v>39</v>
      </c>
      <c r="F1851" s="2" t="s">
        <v>115</v>
      </c>
      <c r="G1851" s="2">
        <v>3</v>
      </c>
      <c r="H1851" s="2">
        <v>0</v>
      </c>
      <c r="I1851" s="2">
        <v>0</v>
      </c>
      <c r="J1851" s="2">
        <v>0</v>
      </c>
      <c r="K1851" s="2">
        <v>0</v>
      </c>
      <c r="L1851" s="2">
        <v>0</v>
      </c>
      <c r="M1851" s="2">
        <v>0</v>
      </c>
      <c r="N1851" s="2">
        <v>0</v>
      </c>
      <c r="O1851" s="2">
        <v>0</v>
      </c>
      <c r="P1851" s="2">
        <v>0</v>
      </c>
      <c r="Q1851" s="2">
        <v>0</v>
      </c>
      <c r="R1851" s="2">
        <v>0</v>
      </c>
      <c r="S1851" s="2" t="s">
        <v>488</v>
      </c>
      <c r="T1851" s="2" t="s">
        <v>488</v>
      </c>
      <c r="U1851" s="2">
        <v>0</v>
      </c>
      <c r="V1851" s="2">
        <v>0</v>
      </c>
      <c r="W1851">
        <f t="shared" si="28"/>
        <v>0</v>
      </c>
    </row>
    <row r="1852" spans="1:23" x14ac:dyDescent="0.25">
      <c r="A1852" s="2" t="s">
        <v>628</v>
      </c>
      <c r="B1852" s="2" t="s">
        <v>919</v>
      </c>
      <c r="C1852" s="2">
        <v>540081</v>
      </c>
      <c r="D1852" s="2" t="s">
        <v>711</v>
      </c>
      <c r="E1852" s="2" t="s">
        <v>39</v>
      </c>
      <c r="F1852" s="2" t="s">
        <v>115</v>
      </c>
      <c r="G1852" s="2">
        <v>3</v>
      </c>
      <c r="H1852" s="2">
        <v>0</v>
      </c>
      <c r="I1852" s="2">
        <v>0</v>
      </c>
      <c r="J1852" s="2">
        <v>0</v>
      </c>
      <c r="K1852" s="2">
        <v>0</v>
      </c>
      <c r="L1852" s="2">
        <v>0</v>
      </c>
      <c r="M1852" s="2">
        <v>0</v>
      </c>
      <c r="N1852" s="2">
        <v>0</v>
      </c>
      <c r="O1852" s="2">
        <v>0</v>
      </c>
      <c r="P1852" s="2">
        <v>0</v>
      </c>
      <c r="Q1852" s="2">
        <v>0</v>
      </c>
      <c r="R1852" s="2">
        <v>0</v>
      </c>
      <c r="S1852" s="2" t="s">
        <v>488</v>
      </c>
      <c r="T1852" s="2" t="s">
        <v>488</v>
      </c>
      <c r="U1852" s="2">
        <v>0</v>
      </c>
      <c r="V1852" s="2">
        <v>0</v>
      </c>
      <c r="W1852">
        <f t="shared" si="28"/>
        <v>0</v>
      </c>
    </row>
    <row r="1853" spans="1:23" x14ac:dyDescent="0.25">
      <c r="A1853" s="2" t="s">
        <v>628</v>
      </c>
      <c r="B1853" s="2" t="s">
        <v>919</v>
      </c>
      <c r="C1853" s="2">
        <v>540082</v>
      </c>
      <c r="D1853" s="2" t="s">
        <v>712</v>
      </c>
      <c r="E1853" s="2" t="s">
        <v>39</v>
      </c>
      <c r="F1853" s="2" t="s">
        <v>115</v>
      </c>
      <c r="G1853" s="2">
        <v>3</v>
      </c>
      <c r="H1853" s="2">
        <v>0</v>
      </c>
      <c r="I1853" s="2">
        <v>0</v>
      </c>
      <c r="J1853" s="2">
        <v>0</v>
      </c>
      <c r="K1853" s="2">
        <v>0</v>
      </c>
      <c r="L1853" s="2">
        <v>0</v>
      </c>
      <c r="M1853" s="2">
        <v>0</v>
      </c>
      <c r="N1853" s="2">
        <v>0</v>
      </c>
      <c r="O1853" s="2">
        <v>0</v>
      </c>
      <c r="P1853" s="2">
        <v>0</v>
      </c>
      <c r="Q1853" s="2">
        <v>0</v>
      </c>
      <c r="R1853" s="2">
        <v>0</v>
      </c>
      <c r="S1853" s="2" t="s">
        <v>488</v>
      </c>
      <c r="T1853" s="2" t="s">
        <v>488</v>
      </c>
      <c r="U1853" s="2">
        <v>0</v>
      </c>
      <c r="V1853" s="2">
        <v>0</v>
      </c>
      <c r="W1853">
        <f t="shared" si="28"/>
        <v>0</v>
      </c>
    </row>
    <row r="1854" spans="1:23" x14ac:dyDescent="0.25">
      <c r="A1854" s="2" t="s">
        <v>628</v>
      </c>
      <c r="B1854" s="2" t="s">
        <v>919</v>
      </c>
      <c r="C1854" s="2">
        <v>540083</v>
      </c>
      <c r="D1854" s="2" t="s">
        <v>713</v>
      </c>
      <c r="E1854" s="2" t="s">
        <v>39</v>
      </c>
      <c r="F1854" s="2" t="s">
        <v>115</v>
      </c>
      <c r="G1854" s="2">
        <v>3</v>
      </c>
      <c r="H1854" s="2">
        <v>0</v>
      </c>
      <c r="I1854" s="2">
        <v>0</v>
      </c>
      <c r="J1854" s="2">
        <v>0</v>
      </c>
      <c r="K1854" s="2">
        <v>0</v>
      </c>
      <c r="L1854" s="2">
        <v>0</v>
      </c>
      <c r="M1854" s="2">
        <v>0</v>
      </c>
      <c r="N1854" s="2">
        <v>0</v>
      </c>
      <c r="O1854" s="2">
        <v>0</v>
      </c>
      <c r="P1854" s="2">
        <v>0</v>
      </c>
      <c r="Q1854" s="2">
        <v>0</v>
      </c>
      <c r="R1854" s="2">
        <v>0</v>
      </c>
      <c r="S1854" s="2" t="s">
        <v>488</v>
      </c>
      <c r="T1854" s="2" t="s">
        <v>488</v>
      </c>
      <c r="U1854" s="2">
        <v>0</v>
      </c>
      <c r="V1854" s="2">
        <v>0</v>
      </c>
      <c r="W1854">
        <f t="shared" si="28"/>
        <v>0</v>
      </c>
    </row>
    <row r="1855" spans="1:23" x14ac:dyDescent="0.25">
      <c r="A1855" s="2" t="s">
        <v>628</v>
      </c>
      <c r="B1855" s="2" t="s">
        <v>919</v>
      </c>
      <c r="C1855" s="2">
        <v>540223</v>
      </c>
      <c r="D1855" s="2" t="s">
        <v>714</v>
      </c>
      <c r="E1855" s="2" t="s">
        <v>39</v>
      </c>
      <c r="F1855" s="2" t="s">
        <v>115</v>
      </c>
      <c r="G1855" s="2">
        <v>3</v>
      </c>
      <c r="H1855" s="2">
        <v>0</v>
      </c>
      <c r="I1855" s="2">
        <v>0</v>
      </c>
      <c r="J1855" s="2">
        <v>0</v>
      </c>
      <c r="K1855" s="2">
        <v>0</v>
      </c>
      <c r="L1855" s="2">
        <v>0</v>
      </c>
      <c r="M1855" s="2">
        <v>0</v>
      </c>
      <c r="N1855" s="2">
        <v>0</v>
      </c>
      <c r="O1855" s="2">
        <v>0</v>
      </c>
      <c r="P1855" s="2">
        <v>0</v>
      </c>
      <c r="Q1855" s="2">
        <v>0</v>
      </c>
      <c r="R1855" s="2">
        <v>0</v>
      </c>
      <c r="S1855" s="2" t="s">
        <v>488</v>
      </c>
      <c r="T1855" s="2" t="s">
        <v>488</v>
      </c>
      <c r="U1855" s="2">
        <v>1</v>
      </c>
      <c r="V1855" s="2">
        <v>0</v>
      </c>
      <c r="W1855">
        <f t="shared" si="28"/>
        <v>1</v>
      </c>
    </row>
    <row r="1856" spans="1:23" x14ac:dyDescent="0.25">
      <c r="A1856" s="2" t="s">
        <v>628</v>
      </c>
      <c r="B1856" s="2" t="s">
        <v>919</v>
      </c>
      <c r="C1856" s="2">
        <v>540279</v>
      </c>
      <c r="D1856" s="2" t="s">
        <v>715</v>
      </c>
      <c r="E1856" s="2" t="s">
        <v>39</v>
      </c>
      <c r="F1856" s="2" t="s">
        <v>115</v>
      </c>
      <c r="G1856" s="2">
        <v>3</v>
      </c>
      <c r="H1856" s="2">
        <v>0</v>
      </c>
      <c r="I1856" s="2">
        <v>0</v>
      </c>
      <c r="J1856" s="2">
        <v>0</v>
      </c>
      <c r="K1856" s="2">
        <v>0</v>
      </c>
      <c r="L1856" s="2">
        <v>0</v>
      </c>
      <c r="M1856" s="2">
        <v>0</v>
      </c>
      <c r="N1856" s="2">
        <v>0</v>
      </c>
      <c r="O1856" s="2">
        <v>0</v>
      </c>
      <c r="P1856" s="2">
        <v>0</v>
      </c>
      <c r="Q1856" s="2">
        <v>0</v>
      </c>
      <c r="R1856" s="2">
        <v>0</v>
      </c>
      <c r="S1856" s="2" t="s">
        <v>488</v>
      </c>
      <c r="T1856" s="2" t="s">
        <v>488</v>
      </c>
      <c r="U1856" s="2">
        <v>0</v>
      </c>
      <c r="V1856" s="2">
        <v>0</v>
      </c>
      <c r="W1856">
        <f t="shared" si="28"/>
        <v>0</v>
      </c>
    </row>
    <row r="1857" spans="1:23" x14ac:dyDescent="0.25">
      <c r="A1857" s="2" t="s">
        <v>628</v>
      </c>
      <c r="B1857" s="2" t="s">
        <v>919</v>
      </c>
      <c r="C1857" s="2">
        <v>540033</v>
      </c>
      <c r="D1857" s="2" t="s">
        <v>716</v>
      </c>
      <c r="E1857" s="2" t="s">
        <v>39</v>
      </c>
      <c r="F1857" s="2" t="s">
        <v>115</v>
      </c>
      <c r="G1857" s="2">
        <v>3</v>
      </c>
      <c r="H1857" s="2">
        <v>0</v>
      </c>
      <c r="I1857" s="2">
        <v>0</v>
      </c>
      <c r="J1857" s="2">
        <v>0</v>
      </c>
      <c r="K1857" s="2">
        <v>0</v>
      </c>
      <c r="L1857" s="2">
        <v>0</v>
      </c>
      <c r="M1857" s="2">
        <v>0</v>
      </c>
      <c r="N1857" s="2">
        <v>0</v>
      </c>
      <c r="O1857" s="2">
        <v>0</v>
      </c>
      <c r="P1857" s="2">
        <v>0</v>
      </c>
      <c r="Q1857" s="2">
        <v>0</v>
      </c>
      <c r="R1857" s="2">
        <v>0</v>
      </c>
      <c r="S1857" s="2" t="s">
        <v>488</v>
      </c>
      <c r="T1857" s="2" t="s">
        <v>488</v>
      </c>
      <c r="U1857" s="2">
        <v>0</v>
      </c>
      <c r="V1857" s="2">
        <v>0</v>
      </c>
      <c r="W1857">
        <f t="shared" si="28"/>
        <v>0</v>
      </c>
    </row>
    <row r="1858" spans="1:23" x14ac:dyDescent="0.25">
      <c r="A1858" s="255" t="s">
        <v>628</v>
      </c>
      <c r="B1858" s="255" t="s">
        <v>919</v>
      </c>
      <c r="C1858" s="255"/>
      <c r="D1858" s="255"/>
      <c r="E1858" s="255" t="s">
        <v>39</v>
      </c>
      <c r="F1858" s="255"/>
      <c r="G1858" s="255"/>
      <c r="H1858" s="255">
        <v>0</v>
      </c>
      <c r="I1858" s="255">
        <v>0</v>
      </c>
      <c r="J1858" s="255">
        <v>0</v>
      </c>
      <c r="K1858" s="255">
        <v>0</v>
      </c>
      <c r="L1858" s="255">
        <v>0</v>
      </c>
      <c r="M1858" s="255">
        <v>0</v>
      </c>
      <c r="N1858" s="255">
        <v>0</v>
      </c>
      <c r="O1858" s="255">
        <v>0</v>
      </c>
      <c r="P1858" s="255">
        <v>0</v>
      </c>
      <c r="Q1858" s="255">
        <v>0</v>
      </c>
      <c r="R1858" s="255">
        <v>0</v>
      </c>
      <c r="S1858" s="255" t="s">
        <v>488</v>
      </c>
      <c r="T1858" s="255" t="s">
        <v>488</v>
      </c>
      <c r="U1858" s="255">
        <v>6</v>
      </c>
      <c r="V1858" s="255">
        <v>0</v>
      </c>
      <c r="W1858">
        <f t="shared" si="28"/>
        <v>6</v>
      </c>
    </row>
    <row r="1859" spans="1:23" x14ac:dyDescent="0.25">
      <c r="A1859" s="2" t="s">
        <v>628</v>
      </c>
      <c r="B1859" s="2" t="s">
        <v>919</v>
      </c>
      <c r="C1859" s="2">
        <v>540085</v>
      </c>
      <c r="D1859" s="2" t="s">
        <v>717</v>
      </c>
      <c r="E1859" s="2" t="s">
        <v>41</v>
      </c>
      <c r="F1859" s="2" t="s">
        <v>5</v>
      </c>
      <c r="G1859" s="2">
        <v>7</v>
      </c>
      <c r="H1859" s="2">
        <v>0</v>
      </c>
      <c r="I1859" s="2">
        <v>0</v>
      </c>
      <c r="J1859" s="2">
        <v>0</v>
      </c>
      <c r="K1859" s="2">
        <v>0</v>
      </c>
      <c r="L1859" s="2">
        <v>0</v>
      </c>
      <c r="M1859" s="2">
        <v>0</v>
      </c>
      <c r="N1859" s="2">
        <v>0</v>
      </c>
      <c r="O1859" s="2">
        <v>0</v>
      </c>
      <c r="P1859" s="2">
        <v>0</v>
      </c>
      <c r="Q1859" s="2">
        <v>0</v>
      </c>
      <c r="R1859" s="2">
        <v>0</v>
      </c>
      <c r="S1859" s="2" t="s">
        <v>488</v>
      </c>
      <c r="T1859" s="2" t="s">
        <v>488</v>
      </c>
      <c r="U1859" s="2">
        <v>0</v>
      </c>
      <c r="V1859" s="2">
        <v>0</v>
      </c>
      <c r="W1859">
        <f t="shared" ref="W1859:W1922" si="29">SUM(N1859,P1859,R1859,T1859,U1859,V1859)</f>
        <v>0</v>
      </c>
    </row>
    <row r="1860" spans="1:23" x14ac:dyDescent="0.25">
      <c r="A1860" s="2" t="s">
        <v>628</v>
      </c>
      <c r="B1860" s="2" t="s">
        <v>919</v>
      </c>
      <c r="C1860" s="2">
        <v>540086</v>
      </c>
      <c r="D1860" s="2" t="s">
        <v>718</v>
      </c>
      <c r="E1860" s="2" t="s">
        <v>41</v>
      </c>
      <c r="F1860" s="2" t="s">
        <v>115</v>
      </c>
      <c r="G1860" s="2">
        <v>7</v>
      </c>
      <c r="H1860" s="2">
        <v>0</v>
      </c>
      <c r="I1860" s="2">
        <v>0</v>
      </c>
      <c r="J1860" s="2">
        <v>0</v>
      </c>
      <c r="K1860" s="2">
        <v>0</v>
      </c>
      <c r="L1860" s="2">
        <v>0</v>
      </c>
      <c r="M1860" s="2">
        <v>0</v>
      </c>
      <c r="N1860" s="2">
        <v>0</v>
      </c>
      <c r="O1860" s="2">
        <v>0</v>
      </c>
      <c r="P1860" s="2">
        <v>0</v>
      </c>
      <c r="Q1860" s="2">
        <v>0</v>
      </c>
      <c r="R1860" s="2">
        <v>0</v>
      </c>
      <c r="S1860" s="2" t="s">
        <v>488</v>
      </c>
      <c r="T1860" s="2" t="s">
        <v>488</v>
      </c>
      <c r="U1860" s="2">
        <v>0</v>
      </c>
      <c r="V1860" s="2">
        <v>0</v>
      </c>
      <c r="W1860">
        <f t="shared" si="29"/>
        <v>0</v>
      </c>
    </row>
    <row r="1861" spans="1:23" x14ac:dyDescent="0.25">
      <c r="A1861" s="2" t="s">
        <v>628</v>
      </c>
      <c r="B1861" s="2" t="s">
        <v>919</v>
      </c>
      <c r="C1861" s="2">
        <v>540087</v>
      </c>
      <c r="D1861" s="2" t="s">
        <v>719</v>
      </c>
      <c r="E1861" s="2" t="s">
        <v>41</v>
      </c>
      <c r="F1861" s="2" t="s">
        <v>115</v>
      </c>
      <c r="G1861" s="2">
        <v>7</v>
      </c>
      <c r="H1861" s="2">
        <v>1</v>
      </c>
      <c r="I1861" s="2">
        <v>0</v>
      </c>
      <c r="J1861" s="2">
        <v>0</v>
      </c>
      <c r="K1861" s="2">
        <v>0</v>
      </c>
      <c r="L1861" s="2">
        <v>0</v>
      </c>
      <c r="M1861" s="2">
        <v>0</v>
      </c>
      <c r="N1861" s="2">
        <v>1</v>
      </c>
      <c r="O1861" s="2">
        <v>0</v>
      </c>
      <c r="P1861" s="2">
        <v>0</v>
      </c>
      <c r="Q1861" s="2">
        <v>1</v>
      </c>
      <c r="R1861" s="2">
        <v>0</v>
      </c>
      <c r="S1861" s="2" t="s">
        <v>488</v>
      </c>
      <c r="T1861" s="2" t="s">
        <v>488</v>
      </c>
      <c r="U1861" s="2">
        <v>0</v>
      </c>
      <c r="V1861" s="2">
        <v>0</v>
      </c>
      <c r="W1861">
        <f t="shared" si="29"/>
        <v>1</v>
      </c>
    </row>
    <row r="1862" spans="1:23" x14ac:dyDescent="0.25">
      <c r="A1862" s="255" t="s">
        <v>628</v>
      </c>
      <c r="B1862" s="255" t="s">
        <v>919</v>
      </c>
      <c r="C1862" s="255"/>
      <c r="D1862" s="255"/>
      <c r="E1862" s="255" t="s">
        <v>41</v>
      </c>
      <c r="F1862" s="255"/>
      <c r="G1862" s="255"/>
      <c r="H1862" s="255">
        <v>1</v>
      </c>
      <c r="I1862" s="255">
        <v>0</v>
      </c>
      <c r="J1862" s="255">
        <v>0</v>
      </c>
      <c r="K1862" s="255">
        <v>0</v>
      </c>
      <c r="L1862" s="255">
        <v>0</v>
      </c>
      <c r="M1862" s="255">
        <v>0</v>
      </c>
      <c r="N1862" s="255">
        <v>1</v>
      </c>
      <c r="O1862" s="255">
        <v>0</v>
      </c>
      <c r="P1862" s="255">
        <v>0</v>
      </c>
      <c r="Q1862" s="255">
        <v>1</v>
      </c>
      <c r="R1862" s="255">
        <v>0</v>
      </c>
      <c r="S1862" s="255" t="s">
        <v>488</v>
      </c>
      <c r="T1862" s="255" t="s">
        <v>488</v>
      </c>
      <c r="U1862" s="255">
        <v>0</v>
      </c>
      <c r="V1862" s="255">
        <v>0</v>
      </c>
      <c r="W1862">
        <f t="shared" si="29"/>
        <v>1</v>
      </c>
    </row>
    <row r="1863" spans="1:23" x14ac:dyDescent="0.25">
      <c r="A1863" s="2" t="s">
        <v>628</v>
      </c>
      <c r="B1863" s="2" t="s">
        <v>919</v>
      </c>
      <c r="C1863" s="2">
        <v>540088</v>
      </c>
      <c r="D1863" s="2" t="s">
        <v>720</v>
      </c>
      <c r="E1863" s="2" t="s">
        <v>43</v>
      </c>
      <c r="F1863" s="2" t="s">
        <v>5</v>
      </c>
      <c r="G1863" s="2">
        <v>2</v>
      </c>
      <c r="H1863" s="2">
        <v>0</v>
      </c>
      <c r="I1863" s="2">
        <v>0</v>
      </c>
      <c r="J1863" s="2">
        <v>0</v>
      </c>
      <c r="K1863" s="2">
        <v>0</v>
      </c>
      <c r="L1863" s="2">
        <v>0</v>
      </c>
      <c r="M1863" s="2">
        <v>0</v>
      </c>
      <c r="N1863" s="2">
        <v>0</v>
      </c>
      <c r="O1863" s="2">
        <v>0</v>
      </c>
      <c r="P1863" s="2">
        <v>0</v>
      </c>
      <c r="Q1863" s="2" t="s">
        <v>488</v>
      </c>
      <c r="R1863" s="2" t="s">
        <v>488</v>
      </c>
      <c r="S1863" s="2" t="s">
        <v>488</v>
      </c>
      <c r="T1863" s="2" t="s">
        <v>488</v>
      </c>
      <c r="U1863" s="2">
        <v>0</v>
      </c>
      <c r="V1863" s="2">
        <v>0</v>
      </c>
      <c r="W1863">
        <f t="shared" si="29"/>
        <v>0</v>
      </c>
    </row>
    <row r="1864" spans="1:23" x14ac:dyDescent="0.25">
      <c r="A1864" s="2" t="s">
        <v>628</v>
      </c>
      <c r="B1864" s="2" t="s">
        <v>919</v>
      </c>
      <c r="C1864" s="2">
        <v>540089</v>
      </c>
      <c r="D1864" s="2" t="s">
        <v>721</v>
      </c>
      <c r="E1864" s="2" t="s">
        <v>43</v>
      </c>
      <c r="F1864" s="2" t="s">
        <v>115</v>
      </c>
      <c r="G1864" s="2">
        <v>2</v>
      </c>
      <c r="H1864" s="2">
        <v>0</v>
      </c>
      <c r="I1864" s="2">
        <v>0</v>
      </c>
      <c r="J1864" s="2">
        <v>0</v>
      </c>
      <c r="K1864" s="2">
        <v>0</v>
      </c>
      <c r="L1864" s="2">
        <v>0</v>
      </c>
      <c r="M1864" s="2">
        <v>0</v>
      </c>
      <c r="N1864" s="2">
        <v>0</v>
      </c>
      <c r="O1864" s="2">
        <v>0</v>
      </c>
      <c r="P1864" s="2">
        <v>0</v>
      </c>
      <c r="Q1864" s="2" t="s">
        <v>488</v>
      </c>
      <c r="R1864" s="2" t="s">
        <v>488</v>
      </c>
      <c r="S1864" s="2" t="s">
        <v>488</v>
      </c>
      <c r="T1864" s="2" t="s">
        <v>488</v>
      </c>
      <c r="U1864" s="2">
        <v>0</v>
      </c>
      <c r="V1864" s="2">
        <v>0</v>
      </c>
      <c r="W1864">
        <f t="shared" si="29"/>
        <v>0</v>
      </c>
    </row>
    <row r="1865" spans="1:23" x14ac:dyDescent="0.25">
      <c r="A1865" s="2" t="s">
        <v>628</v>
      </c>
      <c r="B1865" s="2" t="s">
        <v>919</v>
      </c>
      <c r="C1865" s="2">
        <v>540090</v>
      </c>
      <c r="D1865" s="2" t="s">
        <v>722</v>
      </c>
      <c r="E1865" s="2" t="s">
        <v>43</v>
      </c>
      <c r="F1865" s="2" t="s">
        <v>115</v>
      </c>
      <c r="G1865" s="2">
        <v>2</v>
      </c>
      <c r="H1865" s="2">
        <v>0</v>
      </c>
      <c r="I1865" s="2">
        <v>0</v>
      </c>
      <c r="J1865" s="2">
        <v>0</v>
      </c>
      <c r="K1865" s="2">
        <v>0</v>
      </c>
      <c r="L1865" s="2">
        <v>0</v>
      </c>
      <c r="M1865" s="2">
        <v>0</v>
      </c>
      <c r="N1865" s="2">
        <v>0</v>
      </c>
      <c r="O1865" s="2">
        <v>0</v>
      </c>
      <c r="P1865" s="2">
        <v>0</v>
      </c>
      <c r="Q1865" s="2" t="s">
        <v>488</v>
      </c>
      <c r="R1865" s="2" t="s">
        <v>488</v>
      </c>
      <c r="S1865" s="2" t="s">
        <v>488</v>
      </c>
      <c r="T1865" s="2" t="s">
        <v>488</v>
      </c>
      <c r="U1865" s="2">
        <v>0</v>
      </c>
      <c r="V1865" s="2">
        <v>0</v>
      </c>
      <c r="W1865">
        <f t="shared" si="29"/>
        <v>0</v>
      </c>
    </row>
    <row r="1866" spans="1:23" x14ac:dyDescent="0.25">
      <c r="A1866" s="255" t="s">
        <v>628</v>
      </c>
      <c r="B1866" s="255" t="s">
        <v>919</v>
      </c>
      <c r="C1866" s="255"/>
      <c r="D1866" s="255"/>
      <c r="E1866" s="255" t="s">
        <v>43</v>
      </c>
      <c r="F1866" s="255"/>
      <c r="G1866" s="255"/>
      <c r="H1866" s="255">
        <v>0</v>
      </c>
      <c r="I1866" s="255">
        <v>0</v>
      </c>
      <c r="J1866" s="255">
        <v>0</v>
      </c>
      <c r="K1866" s="255">
        <v>0</v>
      </c>
      <c r="L1866" s="255">
        <v>0</v>
      </c>
      <c r="M1866" s="255">
        <v>0</v>
      </c>
      <c r="N1866" s="255">
        <v>0</v>
      </c>
      <c r="O1866" s="255">
        <v>0</v>
      </c>
      <c r="P1866" s="255">
        <v>0</v>
      </c>
      <c r="Q1866" s="255" t="s">
        <v>488</v>
      </c>
      <c r="R1866" s="255" t="s">
        <v>488</v>
      </c>
      <c r="S1866" s="255" t="s">
        <v>488</v>
      </c>
      <c r="T1866" s="255" t="s">
        <v>488</v>
      </c>
      <c r="U1866" s="255">
        <v>0</v>
      </c>
      <c r="V1866" s="255">
        <v>0</v>
      </c>
      <c r="W1866">
        <f t="shared" si="29"/>
        <v>0</v>
      </c>
    </row>
    <row r="1867" spans="1:23" x14ac:dyDescent="0.25">
      <c r="A1867" s="2" t="s">
        <v>628</v>
      </c>
      <c r="B1867" s="2" t="s">
        <v>919</v>
      </c>
      <c r="C1867" s="2">
        <v>540097</v>
      </c>
      <c r="D1867" s="2" t="s">
        <v>723</v>
      </c>
      <c r="E1867" s="2" t="s">
        <v>45</v>
      </c>
      <c r="F1867" s="2" t="s">
        <v>5</v>
      </c>
      <c r="G1867" s="2">
        <v>6</v>
      </c>
      <c r="H1867" s="2">
        <v>0</v>
      </c>
      <c r="I1867" s="2">
        <v>0</v>
      </c>
      <c r="J1867" s="2">
        <v>0</v>
      </c>
      <c r="K1867" s="2">
        <v>0</v>
      </c>
      <c r="L1867" s="2">
        <v>0</v>
      </c>
      <c r="M1867" s="2">
        <v>0</v>
      </c>
      <c r="N1867" s="2">
        <v>0</v>
      </c>
      <c r="O1867" s="2">
        <v>0</v>
      </c>
      <c r="P1867" s="2">
        <v>0</v>
      </c>
      <c r="Q1867" s="2">
        <v>0</v>
      </c>
      <c r="R1867" s="2">
        <v>0</v>
      </c>
      <c r="S1867" s="2" t="s">
        <v>488</v>
      </c>
      <c r="T1867" s="2" t="s">
        <v>488</v>
      </c>
      <c r="U1867" s="2">
        <v>0</v>
      </c>
      <c r="V1867" s="2">
        <v>0</v>
      </c>
      <c r="W1867">
        <f t="shared" si="29"/>
        <v>0</v>
      </c>
    </row>
    <row r="1868" spans="1:23" x14ac:dyDescent="0.25">
      <c r="A1868" s="2" t="s">
        <v>628</v>
      </c>
      <c r="B1868" s="2" t="s">
        <v>919</v>
      </c>
      <c r="C1868" s="2">
        <v>540098</v>
      </c>
      <c r="D1868" s="2" t="s">
        <v>724</v>
      </c>
      <c r="E1868" s="2" t="s">
        <v>45</v>
      </c>
      <c r="F1868" s="2" t="s">
        <v>115</v>
      </c>
      <c r="G1868" s="2">
        <v>6</v>
      </c>
      <c r="H1868" s="2">
        <v>0</v>
      </c>
      <c r="I1868" s="2">
        <v>0</v>
      </c>
      <c r="J1868" s="2">
        <v>0</v>
      </c>
      <c r="K1868" s="2">
        <v>0</v>
      </c>
      <c r="L1868" s="2">
        <v>0</v>
      </c>
      <c r="M1868" s="2">
        <v>0</v>
      </c>
      <c r="N1868" s="2">
        <v>0</v>
      </c>
      <c r="O1868" s="2">
        <v>0</v>
      </c>
      <c r="P1868" s="2">
        <v>0</v>
      </c>
      <c r="Q1868" s="2">
        <v>0</v>
      </c>
      <c r="R1868" s="2">
        <v>0</v>
      </c>
      <c r="S1868" s="2" t="s">
        <v>488</v>
      </c>
      <c r="T1868" s="2" t="s">
        <v>488</v>
      </c>
      <c r="U1868" s="2">
        <v>0</v>
      </c>
      <c r="V1868" s="2">
        <v>0</v>
      </c>
      <c r="W1868">
        <f t="shared" si="29"/>
        <v>0</v>
      </c>
    </row>
    <row r="1869" spans="1:23" x14ac:dyDescent="0.25">
      <c r="A1869" s="2" t="s">
        <v>628</v>
      </c>
      <c r="B1869" s="2" t="s">
        <v>919</v>
      </c>
      <c r="C1869" s="2">
        <v>540099</v>
      </c>
      <c r="D1869" s="2" t="s">
        <v>725</v>
      </c>
      <c r="E1869" s="2" t="s">
        <v>45</v>
      </c>
      <c r="F1869" s="2" t="s">
        <v>115</v>
      </c>
      <c r="G1869" s="2">
        <v>6</v>
      </c>
      <c r="H1869" s="2">
        <v>0</v>
      </c>
      <c r="I1869" s="2">
        <v>0</v>
      </c>
      <c r="J1869" s="2">
        <v>0</v>
      </c>
      <c r="K1869" s="2">
        <v>0</v>
      </c>
      <c r="L1869" s="2">
        <v>0</v>
      </c>
      <c r="M1869" s="2">
        <v>0</v>
      </c>
      <c r="N1869" s="2">
        <v>0</v>
      </c>
      <c r="O1869" s="2">
        <v>0</v>
      </c>
      <c r="P1869" s="2">
        <v>0</v>
      </c>
      <c r="Q1869" s="2">
        <v>0</v>
      </c>
      <c r="R1869" s="2">
        <v>0</v>
      </c>
      <c r="S1869" s="2" t="s">
        <v>488</v>
      </c>
      <c r="T1869" s="2" t="s">
        <v>488</v>
      </c>
      <c r="U1869" s="2">
        <v>0</v>
      </c>
      <c r="V1869" s="2">
        <v>0</v>
      </c>
      <c r="W1869">
        <f t="shared" si="29"/>
        <v>0</v>
      </c>
    </row>
    <row r="1870" spans="1:23" x14ac:dyDescent="0.25">
      <c r="A1870" s="2" t="s">
        <v>628</v>
      </c>
      <c r="B1870" s="2" t="s">
        <v>919</v>
      </c>
      <c r="C1870" s="2">
        <v>540100</v>
      </c>
      <c r="D1870" s="2" t="s">
        <v>726</v>
      </c>
      <c r="E1870" s="2" t="s">
        <v>45</v>
      </c>
      <c r="F1870" s="2" t="s">
        <v>115</v>
      </c>
      <c r="G1870" s="2">
        <v>6</v>
      </c>
      <c r="H1870" s="2">
        <v>0</v>
      </c>
      <c r="I1870" s="2">
        <v>0</v>
      </c>
      <c r="J1870" s="2">
        <v>0</v>
      </c>
      <c r="K1870" s="2">
        <v>0</v>
      </c>
      <c r="L1870" s="2">
        <v>0</v>
      </c>
      <c r="M1870" s="2">
        <v>0</v>
      </c>
      <c r="N1870" s="2">
        <v>0</v>
      </c>
      <c r="O1870" s="2">
        <v>0</v>
      </c>
      <c r="P1870" s="2">
        <v>0</v>
      </c>
      <c r="Q1870" s="2">
        <v>0</v>
      </c>
      <c r="R1870" s="2">
        <v>0</v>
      </c>
      <c r="S1870" s="2" t="s">
        <v>488</v>
      </c>
      <c r="T1870" s="2" t="s">
        <v>488</v>
      </c>
      <c r="U1870" s="2">
        <v>0</v>
      </c>
      <c r="V1870" s="2">
        <v>0</v>
      </c>
      <c r="W1870">
        <f t="shared" si="29"/>
        <v>0</v>
      </c>
    </row>
    <row r="1871" spans="1:23" x14ac:dyDescent="0.25">
      <c r="A1871" s="2" t="s">
        <v>628</v>
      </c>
      <c r="B1871" s="2" t="s">
        <v>919</v>
      </c>
      <c r="C1871" s="2">
        <v>540101</v>
      </c>
      <c r="D1871" s="2" t="s">
        <v>727</v>
      </c>
      <c r="E1871" s="2" t="s">
        <v>45</v>
      </c>
      <c r="F1871" s="2" t="s">
        <v>115</v>
      </c>
      <c r="G1871" s="2">
        <v>6</v>
      </c>
      <c r="H1871" s="2">
        <v>0</v>
      </c>
      <c r="I1871" s="2">
        <v>0</v>
      </c>
      <c r="J1871" s="2">
        <v>0</v>
      </c>
      <c r="K1871" s="2">
        <v>0</v>
      </c>
      <c r="L1871" s="2">
        <v>0</v>
      </c>
      <c r="M1871" s="2">
        <v>0</v>
      </c>
      <c r="N1871" s="2">
        <v>0</v>
      </c>
      <c r="O1871" s="2">
        <v>0</v>
      </c>
      <c r="P1871" s="2">
        <v>0</v>
      </c>
      <c r="Q1871" s="2">
        <v>0</v>
      </c>
      <c r="R1871" s="2">
        <v>0</v>
      </c>
      <c r="S1871" s="2" t="s">
        <v>488</v>
      </c>
      <c r="T1871" s="2" t="s">
        <v>488</v>
      </c>
      <c r="U1871" s="2">
        <v>0</v>
      </c>
      <c r="V1871" s="2">
        <v>0</v>
      </c>
      <c r="W1871">
        <f t="shared" si="29"/>
        <v>0</v>
      </c>
    </row>
    <row r="1872" spans="1:23" x14ac:dyDescent="0.25">
      <c r="A1872" s="2" t="s">
        <v>628</v>
      </c>
      <c r="B1872" s="2" t="s">
        <v>919</v>
      </c>
      <c r="C1872" s="2">
        <v>540102</v>
      </c>
      <c r="D1872" s="2" t="s">
        <v>728</v>
      </c>
      <c r="E1872" s="2" t="s">
        <v>45</v>
      </c>
      <c r="F1872" s="2" t="s">
        <v>115</v>
      </c>
      <c r="G1872" s="2">
        <v>6</v>
      </c>
      <c r="H1872" s="2">
        <v>0</v>
      </c>
      <c r="I1872" s="2">
        <v>0</v>
      </c>
      <c r="J1872" s="2">
        <v>0</v>
      </c>
      <c r="K1872" s="2">
        <v>0</v>
      </c>
      <c r="L1872" s="2">
        <v>0</v>
      </c>
      <c r="M1872" s="2">
        <v>0</v>
      </c>
      <c r="N1872" s="2">
        <v>0</v>
      </c>
      <c r="O1872" s="2">
        <v>0</v>
      </c>
      <c r="P1872" s="2">
        <v>0</v>
      </c>
      <c r="Q1872" s="2">
        <v>0</v>
      </c>
      <c r="R1872" s="2">
        <v>0</v>
      </c>
      <c r="S1872" s="2" t="s">
        <v>488</v>
      </c>
      <c r="T1872" s="2" t="s">
        <v>488</v>
      </c>
      <c r="U1872" s="2">
        <v>0</v>
      </c>
      <c r="V1872" s="2">
        <v>0</v>
      </c>
      <c r="W1872">
        <f t="shared" si="29"/>
        <v>0</v>
      </c>
    </row>
    <row r="1873" spans="1:23" x14ac:dyDescent="0.25">
      <c r="A1873" s="2" t="s">
        <v>628</v>
      </c>
      <c r="B1873" s="2" t="s">
        <v>919</v>
      </c>
      <c r="C1873" s="2">
        <v>540103</v>
      </c>
      <c r="D1873" s="2" t="s">
        <v>729</v>
      </c>
      <c r="E1873" s="2" t="s">
        <v>45</v>
      </c>
      <c r="F1873" s="2" t="s">
        <v>115</v>
      </c>
      <c r="G1873" s="2">
        <v>6</v>
      </c>
      <c r="H1873" s="2">
        <v>0</v>
      </c>
      <c r="I1873" s="2">
        <v>0</v>
      </c>
      <c r="J1873" s="2">
        <v>0</v>
      </c>
      <c r="K1873" s="2">
        <v>0</v>
      </c>
      <c r="L1873" s="2">
        <v>0</v>
      </c>
      <c r="M1873" s="2">
        <v>0</v>
      </c>
      <c r="N1873" s="2">
        <v>0</v>
      </c>
      <c r="O1873" s="2">
        <v>0</v>
      </c>
      <c r="P1873" s="2">
        <v>0</v>
      </c>
      <c r="Q1873" s="2">
        <v>0</v>
      </c>
      <c r="R1873" s="2">
        <v>0</v>
      </c>
      <c r="S1873" s="2" t="s">
        <v>488</v>
      </c>
      <c r="T1873" s="2" t="s">
        <v>488</v>
      </c>
      <c r="U1873" s="2">
        <v>0</v>
      </c>
      <c r="V1873" s="2">
        <v>0</v>
      </c>
      <c r="W1873">
        <f t="shared" si="29"/>
        <v>0</v>
      </c>
    </row>
    <row r="1874" spans="1:23" x14ac:dyDescent="0.25">
      <c r="A1874" s="2" t="s">
        <v>628</v>
      </c>
      <c r="B1874" s="2" t="s">
        <v>919</v>
      </c>
      <c r="C1874" s="2">
        <v>540104</v>
      </c>
      <c r="D1874" s="2" t="s">
        <v>730</v>
      </c>
      <c r="E1874" s="2" t="s">
        <v>45</v>
      </c>
      <c r="F1874" s="2" t="s">
        <v>115</v>
      </c>
      <c r="G1874" s="2">
        <v>6</v>
      </c>
      <c r="H1874" s="2">
        <v>0</v>
      </c>
      <c r="I1874" s="2">
        <v>0</v>
      </c>
      <c r="J1874" s="2">
        <v>0</v>
      </c>
      <c r="K1874" s="2">
        <v>0</v>
      </c>
      <c r="L1874" s="2">
        <v>0</v>
      </c>
      <c r="M1874" s="2">
        <v>0</v>
      </c>
      <c r="N1874" s="2">
        <v>0</v>
      </c>
      <c r="O1874" s="2">
        <v>0</v>
      </c>
      <c r="P1874" s="2">
        <v>0</v>
      </c>
      <c r="Q1874" s="2">
        <v>0</v>
      </c>
      <c r="R1874" s="2">
        <v>0</v>
      </c>
      <c r="S1874" s="2" t="s">
        <v>488</v>
      </c>
      <c r="T1874" s="2" t="s">
        <v>488</v>
      </c>
      <c r="U1874" s="2">
        <v>0</v>
      </c>
      <c r="V1874" s="2">
        <v>0</v>
      </c>
      <c r="W1874">
        <f t="shared" si="29"/>
        <v>0</v>
      </c>
    </row>
    <row r="1875" spans="1:23" x14ac:dyDescent="0.25">
      <c r="A1875" s="2" t="s">
        <v>628</v>
      </c>
      <c r="B1875" s="2" t="s">
        <v>919</v>
      </c>
      <c r="C1875" s="2">
        <v>540105</v>
      </c>
      <c r="D1875" s="2" t="s">
        <v>731</v>
      </c>
      <c r="E1875" s="2" t="s">
        <v>45</v>
      </c>
      <c r="F1875" s="2" t="s">
        <v>115</v>
      </c>
      <c r="G1875" s="2">
        <v>6</v>
      </c>
      <c r="H1875" s="2">
        <v>0</v>
      </c>
      <c r="I1875" s="2">
        <v>0</v>
      </c>
      <c r="J1875" s="2">
        <v>0</v>
      </c>
      <c r="K1875" s="2">
        <v>0</v>
      </c>
      <c r="L1875" s="2">
        <v>0</v>
      </c>
      <c r="M1875" s="2">
        <v>0</v>
      </c>
      <c r="N1875" s="2">
        <v>0</v>
      </c>
      <c r="O1875" s="2">
        <v>0</v>
      </c>
      <c r="P1875" s="2">
        <v>0</v>
      </c>
      <c r="Q1875" s="2">
        <v>0</v>
      </c>
      <c r="R1875" s="2">
        <v>0</v>
      </c>
      <c r="S1875" s="2" t="s">
        <v>488</v>
      </c>
      <c r="T1875" s="2" t="s">
        <v>488</v>
      </c>
      <c r="U1875" s="2">
        <v>0</v>
      </c>
      <c r="V1875" s="2">
        <v>0</v>
      </c>
      <c r="W1875">
        <f t="shared" si="29"/>
        <v>0</v>
      </c>
    </row>
    <row r="1876" spans="1:23" x14ac:dyDescent="0.25">
      <c r="A1876" s="2" t="s">
        <v>628</v>
      </c>
      <c r="B1876" s="2" t="s">
        <v>919</v>
      </c>
      <c r="C1876" s="2">
        <v>540106</v>
      </c>
      <c r="D1876" s="2" t="s">
        <v>732</v>
      </c>
      <c r="E1876" s="2" t="s">
        <v>45</v>
      </c>
      <c r="F1876" s="2" t="s">
        <v>115</v>
      </c>
      <c r="G1876" s="2">
        <v>6</v>
      </c>
      <c r="H1876" s="2">
        <v>0</v>
      </c>
      <c r="I1876" s="2">
        <v>0</v>
      </c>
      <c r="J1876" s="2">
        <v>0</v>
      </c>
      <c r="K1876" s="2">
        <v>0</v>
      </c>
      <c r="L1876" s="2">
        <v>0</v>
      </c>
      <c r="M1876" s="2">
        <v>0</v>
      </c>
      <c r="N1876" s="2">
        <v>0</v>
      </c>
      <c r="O1876" s="2">
        <v>0</v>
      </c>
      <c r="P1876" s="2">
        <v>0</v>
      </c>
      <c r="Q1876" s="2">
        <v>0</v>
      </c>
      <c r="R1876" s="2">
        <v>0</v>
      </c>
      <c r="S1876" s="2" t="s">
        <v>488</v>
      </c>
      <c r="T1876" s="2" t="s">
        <v>488</v>
      </c>
      <c r="U1876" s="2">
        <v>0</v>
      </c>
      <c r="V1876" s="2">
        <v>0</v>
      </c>
      <c r="W1876">
        <f t="shared" si="29"/>
        <v>0</v>
      </c>
    </row>
    <row r="1877" spans="1:23" x14ac:dyDescent="0.25">
      <c r="A1877" s="2" t="s">
        <v>628</v>
      </c>
      <c r="B1877" s="2" t="s">
        <v>919</v>
      </c>
      <c r="C1877" s="2">
        <v>540292</v>
      </c>
      <c r="D1877" s="2" t="s">
        <v>733</v>
      </c>
      <c r="E1877" s="2" t="s">
        <v>45</v>
      </c>
      <c r="F1877" s="2" t="s">
        <v>115</v>
      </c>
      <c r="G1877" s="2">
        <v>6</v>
      </c>
      <c r="H1877" s="2">
        <v>0</v>
      </c>
      <c r="I1877" s="2">
        <v>0</v>
      </c>
      <c r="J1877" s="2">
        <v>0</v>
      </c>
      <c r="K1877" s="2">
        <v>0</v>
      </c>
      <c r="L1877" s="2">
        <v>0</v>
      </c>
      <c r="M1877" s="2">
        <v>0</v>
      </c>
      <c r="N1877" s="2">
        <v>0</v>
      </c>
      <c r="O1877" s="2">
        <v>0</v>
      </c>
      <c r="P1877" s="2">
        <v>0</v>
      </c>
      <c r="Q1877" s="2">
        <v>0</v>
      </c>
      <c r="R1877" s="2">
        <v>0</v>
      </c>
      <c r="S1877" s="2" t="s">
        <v>488</v>
      </c>
      <c r="T1877" s="2" t="s">
        <v>488</v>
      </c>
      <c r="U1877" s="2">
        <v>0</v>
      </c>
      <c r="V1877" s="2">
        <v>0</v>
      </c>
      <c r="W1877">
        <f t="shared" si="29"/>
        <v>0</v>
      </c>
    </row>
    <row r="1878" spans="1:23" x14ac:dyDescent="0.25">
      <c r="A1878" s="2" t="s">
        <v>628</v>
      </c>
      <c r="B1878" s="2" t="s">
        <v>919</v>
      </c>
      <c r="C1878" s="2">
        <v>545556</v>
      </c>
      <c r="D1878" s="2" t="s">
        <v>734</v>
      </c>
      <c r="E1878" s="2" t="s">
        <v>45</v>
      </c>
      <c r="F1878" s="2" t="s">
        <v>115</v>
      </c>
      <c r="G1878" s="2">
        <v>6</v>
      </c>
      <c r="H1878" s="2">
        <v>0</v>
      </c>
      <c r="I1878" s="2">
        <v>0</v>
      </c>
      <c r="J1878" s="2">
        <v>0</v>
      </c>
      <c r="K1878" s="2">
        <v>0</v>
      </c>
      <c r="L1878" s="2">
        <v>0</v>
      </c>
      <c r="M1878" s="2">
        <v>0</v>
      </c>
      <c r="N1878" s="2">
        <v>0</v>
      </c>
      <c r="O1878" s="2">
        <v>0</v>
      </c>
      <c r="P1878" s="2">
        <v>0</v>
      </c>
      <c r="Q1878" s="2">
        <v>0</v>
      </c>
      <c r="R1878" s="2">
        <v>0</v>
      </c>
      <c r="S1878" s="2" t="s">
        <v>488</v>
      </c>
      <c r="T1878" s="2" t="s">
        <v>488</v>
      </c>
      <c r="U1878" s="2">
        <v>0</v>
      </c>
      <c r="V1878" s="2">
        <v>0</v>
      </c>
      <c r="W1878">
        <f t="shared" si="29"/>
        <v>0</v>
      </c>
    </row>
    <row r="1879" spans="1:23" x14ac:dyDescent="0.25">
      <c r="A1879" s="255" t="s">
        <v>628</v>
      </c>
      <c r="B1879" s="255" t="s">
        <v>919</v>
      </c>
      <c r="C1879" s="255"/>
      <c r="D1879" s="255"/>
      <c r="E1879" s="255" t="s">
        <v>45</v>
      </c>
      <c r="F1879" s="255"/>
      <c r="G1879" s="255"/>
      <c r="H1879" s="255">
        <v>0</v>
      </c>
      <c r="I1879" s="255">
        <v>0</v>
      </c>
      <c r="J1879" s="255">
        <v>0</v>
      </c>
      <c r="K1879" s="255">
        <v>0</v>
      </c>
      <c r="L1879" s="255">
        <v>0</v>
      </c>
      <c r="M1879" s="255">
        <v>0</v>
      </c>
      <c r="N1879" s="255">
        <v>0</v>
      </c>
      <c r="O1879" s="255">
        <v>0</v>
      </c>
      <c r="P1879" s="255">
        <v>0</v>
      </c>
      <c r="Q1879" s="255">
        <v>0</v>
      </c>
      <c r="R1879" s="255">
        <v>0</v>
      </c>
      <c r="S1879" s="255" t="s">
        <v>488</v>
      </c>
      <c r="T1879" s="255" t="s">
        <v>488</v>
      </c>
      <c r="U1879" s="255">
        <v>0</v>
      </c>
      <c r="V1879" s="255">
        <v>0</v>
      </c>
      <c r="W1879">
        <f t="shared" si="29"/>
        <v>0</v>
      </c>
    </row>
    <row r="1880" spans="1:23" x14ac:dyDescent="0.25">
      <c r="A1880" s="2" t="s">
        <v>628</v>
      </c>
      <c r="B1880" s="2" t="s">
        <v>919</v>
      </c>
      <c r="C1880" s="2">
        <v>540107</v>
      </c>
      <c r="D1880" s="2" t="s">
        <v>735</v>
      </c>
      <c r="E1880" s="2" t="s">
        <v>47</v>
      </c>
      <c r="F1880" s="2" t="s">
        <v>5</v>
      </c>
      <c r="G1880" s="2">
        <v>10</v>
      </c>
      <c r="H1880" s="2">
        <v>0</v>
      </c>
      <c r="I1880" s="2">
        <v>0</v>
      </c>
      <c r="J1880" s="2">
        <v>0</v>
      </c>
      <c r="K1880" s="2">
        <v>0</v>
      </c>
      <c r="L1880" s="2">
        <v>0</v>
      </c>
      <c r="M1880" s="2">
        <v>0</v>
      </c>
      <c r="N1880" s="2">
        <v>0</v>
      </c>
      <c r="O1880" s="2">
        <v>0</v>
      </c>
      <c r="P1880" s="2">
        <v>0</v>
      </c>
      <c r="Q1880" s="2" t="s">
        <v>488</v>
      </c>
      <c r="R1880" s="2" t="s">
        <v>488</v>
      </c>
      <c r="S1880" s="2" t="s">
        <v>488</v>
      </c>
      <c r="T1880" s="2" t="s">
        <v>488</v>
      </c>
      <c r="U1880" s="2">
        <v>0</v>
      </c>
      <c r="V1880" s="2">
        <v>0</v>
      </c>
      <c r="W1880">
        <f t="shared" si="29"/>
        <v>0</v>
      </c>
    </row>
    <row r="1881" spans="1:23" x14ac:dyDescent="0.25">
      <c r="A1881" s="2" t="s">
        <v>628</v>
      </c>
      <c r="B1881" s="2" t="s">
        <v>919</v>
      </c>
      <c r="C1881" s="2">
        <v>540108</v>
      </c>
      <c r="D1881" s="2" t="s">
        <v>736</v>
      </c>
      <c r="E1881" s="2" t="s">
        <v>47</v>
      </c>
      <c r="F1881" s="2" t="s">
        <v>115</v>
      </c>
      <c r="G1881" s="2">
        <v>10</v>
      </c>
      <c r="H1881" s="2">
        <v>0</v>
      </c>
      <c r="I1881" s="2">
        <v>0</v>
      </c>
      <c r="J1881" s="2">
        <v>0</v>
      </c>
      <c r="K1881" s="2">
        <v>0</v>
      </c>
      <c r="L1881" s="2">
        <v>0</v>
      </c>
      <c r="M1881" s="2">
        <v>0</v>
      </c>
      <c r="N1881" s="2">
        <v>0</v>
      </c>
      <c r="O1881" s="2">
        <v>0</v>
      </c>
      <c r="P1881" s="2">
        <v>0</v>
      </c>
      <c r="Q1881" s="2" t="s">
        <v>488</v>
      </c>
      <c r="R1881" s="2" t="s">
        <v>488</v>
      </c>
      <c r="S1881" s="2" t="s">
        <v>488</v>
      </c>
      <c r="T1881" s="2" t="s">
        <v>488</v>
      </c>
      <c r="U1881" s="2">
        <v>0</v>
      </c>
      <c r="V1881" s="2">
        <v>0</v>
      </c>
      <c r="W1881">
        <f t="shared" si="29"/>
        <v>0</v>
      </c>
    </row>
    <row r="1882" spans="1:23" x14ac:dyDescent="0.25">
      <c r="A1882" s="2" t="s">
        <v>628</v>
      </c>
      <c r="B1882" s="2" t="s">
        <v>919</v>
      </c>
      <c r="C1882" s="2">
        <v>540109</v>
      </c>
      <c r="D1882" s="2" t="s">
        <v>737</v>
      </c>
      <c r="E1882" s="2" t="s">
        <v>47</v>
      </c>
      <c r="F1882" s="2" t="s">
        <v>115</v>
      </c>
      <c r="G1882" s="2">
        <v>10</v>
      </c>
      <c r="H1882" s="2">
        <v>0</v>
      </c>
      <c r="I1882" s="2">
        <v>0</v>
      </c>
      <c r="J1882" s="2">
        <v>0</v>
      </c>
      <c r="K1882" s="2">
        <v>0</v>
      </c>
      <c r="L1882" s="2">
        <v>0</v>
      </c>
      <c r="M1882" s="2">
        <v>0</v>
      </c>
      <c r="N1882" s="2">
        <v>0</v>
      </c>
      <c r="O1882" s="2">
        <v>0</v>
      </c>
      <c r="P1882" s="2">
        <v>0</v>
      </c>
      <c r="Q1882" s="2" t="s">
        <v>488</v>
      </c>
      <c r="R1882" s="2" t="s">
        <v>488</v>
      </c>
      <c r="S1882" s="2" t="s">
        <v>488</v>
      </c>
      <c r="T1882" s="2" t="s">
        <v>488</v>
      </c>
      <c r="U1882" s="2">
        <v>0</v>
      </c>
      <c r="V1882" s="2">
        <v>0</v>
      </c>
      <c r="W1882">
        <f t="shared" si="29"/>
        <v>0</v>
      </c>
    </row>
    <row r="1883" spans="1:23" x14ac:dyDescent="0.25">
      <c r="A1883" s="2" t="s">
        <v>628</v>
      </c>
      <c r="B1883" s="2" t="s">
        <v>919</v>
      </c>
      <c r="C1883" s="2">
        <v>540110</v>
      </c>
      <c r="D1883" s="2" t="s">
        <v>738</v>
      </c>
      <c r="E1883" s="2" t="s">
        <v>47</v>
      </c>
      <c r="F1883" s="2" t="s">
        <v>115</v>
      </c>
      <c r="G1883" s="2">
        <v>10</v>
      </c>
      <c r="H1883" s="2">
        <v>0</v>
      </c>
      <c r="I1883" s="2">
        <v>0</v>
      </c>
      <c r="J1883" s="2">
        <v>0</v>
      </c>
      <c r="K1883" s="2">
        <v>0</v>
      </c>
      <c r="L1883" s="2">
        <v>0</v>
      </c>
      <c r="M1883" s="2">
        <v>0</v>
      </c>
      <c r="N1883" s="2">
        <v>0</v>
      </c>
      <c r="O1883" s="2">
        <v>0</v>
      </c>
      <c r="P1883" s="2">
        <v>0</v>
      </c>
      <c r="Q1883" s="2" t="s">
        <v>488</v>
      </c>
      <c r="R1883" s="2" t="s">
        <v>488</v>
      </c>
      <c r="S1883" s="2" t="s">
        <v>488</v>
      </c>
      <c r="T1883" s="2" t="s">
        <v>488</v>
      </c>
      <c r="U1883" s="2">
        <v>0</v>
      </c>
      <c r="V1883" s="2">
        <v>0</v>
      </c>
      <c r="W1883">
        <f t="shared" si="29"/>
        <v>0</v>
      </c>
    </row>
    <row r="1884" spans="1:23" x14ac:dyDescent="0.25">
      <c r="A1884" s="2" t="s">
        <v>628</v>
      </c>
      <c r="B1884" s="2" t="s">
        <v>919</v>
      </c>
      <c r="C1884" s="2">
        <v>540111</v>
      </c>
      <c r="D1884" s="2" t="s">
        <v>739</v>
      </c>
      <c r="E1884" s="2" t="s">
        <v>47</v>
      </c>
      <c r="F1884" s="2" t="s">
        <v>115</v>
      </c>
      <c r="G1884" s="2">
        <v>10</v>
      </c>
      <c r="H1884" s="2">
        <v>0</v>
      </c>
      <c r="I1884" s="2">
        <v>0</v>
      </c>
      <c r="J1884" s="2">
        <v>0</v>
      </c>
      <c r="K1884" s="2">
        <v>0</v>
      </c>
      <c r="L1884" s="2">
        <v>0</v>
      </c>
      <c r="M1884" s="2">
        <v>0</v>
      </c>
      <c r="N1884" s="2">
        <v>0</v>
      </c>
      <c r="O1884" s="2">
        <v>0</v>
      </c>
      <c r="P1884" s="2">
        <v>0</v>
      </c>
      <c r="Q1884" s="2" t="s">
        <v>488</v>
      </c>
      <c r="R1884" s="2" t="s">
        <v>488</v>
      </c>
      <c r="S1884" s="2" t="s">
        <v>488</v>
      </c>
      <c r="T1884" s="2" t="s">
        <v>488</v>
      </c>
      <c r="U1884" s="2">
        <v>0</v>
      </c>
      <c r="V1884" s="2">
        <v>0</v>
      </c>
      <c r="W1884">
        <f t="shared" si="29"/>
        <v>0</v>
      </c>
    </row>
    <row r="1885" spans="1:23" x14ac:dyDescent="0.25">
      <c r="A1885" s="2" t="s">
        <v>628</v>
      </c>
      <c r="B1885" s="2" t="s">
        <v>919</v>
      </c>
      <c r="C1885" s="2">
        <v>540287</v>
      </c>
      <c r="D1885" s="2" t="s">
        <v>740</v>
      </c>
      <c r="E1885" s="2" t="s">
        <v>47</v>
      </c>
      <c r="F1885" s="2" t="s">
        <v>115</v>
      </c>
      <c r="G1885" s="2">
        <v>10</v>
      </c>
      <c r="H1885" s="2">
        <v>0</v>
      </c>
      <c r="I1885" s="2">
        <v>0</v>
      </c>
      <c r="J1885" s="2">
        <v>0</v>
      </c>
      <c r="K1885" s="2">
        <v>0</v>
      </c>
      <c r="L1885" s="2">
        <v>0</v>
      </c>
      <c r="M1885" s="2">
        <v>0</v>
      </c>
      <c r="N1885" s="2">
        <v>0</v>
      </c>
      <c r="O1885" s="2">
        <v>0</v>
      </c>
      <c r="P1885" s="2">
        <v>0</v>
      </c>
      <c r="Q1885" s="2" t="s">
        <v>488</v>
      </c>
      <c r="R1885" s="2" t="s">
        <v>488</v>
      </c>
      <c r="S1885" s="2" t="s">
        <v>488</v>
      </c>
      <c r="T1885" s="2" t="s">
        <v>488</v>
      </c>
      <c r="U1885" s="2">
        <v>0</v>
      </c>
      <c r="V1885" s="2">
        <v>0</v>
      </c>
      <c r="W1885">
        <f t="shared" si="29"/>
        <v>0</v>
      </c>
    </row>
    <row r="1886" spans="1:23" x14ac:dyDescent="0.25">
      <c r="A1886" s="2" t="s">
        <v>628</v>
      </c>
      <c r="B1886" s="2" t="s">
        <v>919</v>
      </c>
      <c r="C1886" s="2">
        <v>540152</v>
      </c>
      <c r="D1886" s="2" t="s">
        <v>741</v>
      </c>
      <c r="E1886" s="2" t="s">
        <v>47</v>
      </c>
      <c r="F1886" s="2" t="s">
        <v>115</v>
      </c>
      <c r="G1886" s="2">
        <v>10</v>
      </c>
      <c r="H1886" s="2">
        <v>0</v>
      </c>
      <c r="I1886" s="2">
        <v>0</v>
      </c>
      <c r="J1886" s="2">
        <v>0</v>
      </c>
      <c r="K1886" s="2">
        <v>0</v>
      </c>
      <c r="L1886" s="2">
        <v>0</v>
      </c>
      <c r="M1886" s="2">
        <v>0</v>
      </c>
      <c r="N1886" s="2">
        <v>0</v>
      </c>
      <c r="O1886" s="2">
        <v>0</v>
      </c>
      <c r="P1886" s="2">
        <v>0</v>
      </c>
      <c r="Q1886" s="2" t="s">
        <v>488</v>
      </c>
      <c r="R1886" s="2" t="s">
        <v>488</v>
      </c>
      <c r="S1886" s="2" t="s">
        <v>488</v>
      </c>
      <c r="T1886" s="2" t="s">
        <v>488</v>
      </c>
      <c r="U1886" s="2">
        <v>0</v>
      </c>
      <c r="V1886" s="2">
        <v>0</v>
      </c>
      <c r="W1886">
        <f t="shared" si="29"/>
        <v>0</v>
      </c>
    </row>
    <row r="1887" spans="1:23" x14ac:dyDescent="0.25">
      <c r="A1887" s="255" t="s">
        <v>628</v>
      </c>
      <c r="B1887" s="255" t="s">
        <v>919</v>
      </c>
      <c r="C1887" s="255"/>
      <c r="D1887" s="255"/>
      <c r="E1887" s="255" t="s">
        <v>47</v>
      </c>
      <c r="F1887" s="255"/>
      <c r="G1887" s="255"/>
      <c r="H1887" s="255">
        <v>0</v>
      </c>
      <c r="I1887" s="255">
        <v>0</v>
      </c>
      <c r="J1887" s="255">
        <v>0</v>
      </c>
      <c r="K1887" s="255">
        <v>0</v>
      </c>
      <c r="L1887" s="255">
        <v>0</v>
      </c>
      <c r="M1887" s="255">
        <v>0</v>
      </c>
      <c r="N1887" s="255">
        <v>0</v>
      </c>
      <c r="O1887" s="255">
        <v>0</v>
      </c>
      <c r="P1887" s="255">
        <v>0</v>
      </c>
      <c r="Q1887" s="255" t="s">
        <v>488</v>
      </c>
      <c r="R1887" s="255" t="s">
        <v>488</v>
      </c>
      <c r="S1887" s="255" t="s">
        <v>488</v>
      </c>
      <c r="T1887" s="255" t="s">
        <v>488</v>
      </c>
      <c r="U1887" s="255">
        <v>0</v>
      </c>
      <c r="V1887" s="255">
        <v>0</v>
      </c>
      <c r="W1887">
        <f t="shared" si="29"/>
        <v>0</v>
      </c>
    </row>
    <row r="1888" spans="1:23" x14ac:dyDescent="0.25">
      <c r="A1888" s="2" t="s">
        <v>628</v>
      </c>
      <c r="B1888" s="2" t="s">
        <v>919</v>
      </c>
      <c r="C1888" s="2">
        <v>540112</v>
      </c>
      <c r="D1888" s="2" t="s">
        <v>742</v>
      </c>
      <c r="E1888" s="2" t="s">
        <v>49</v>
      </c>
      <c r="F1888" s="2" t="s">
        <v>5</v>
      </c>
      <c r="G1888" s="2">
        <v>2</v>
      </c>
      <c r="H1888" s="2">
        <v>0</v>
      </c>
      <c r="I1888" s="2">
        <v>0</v>
      </c>
      <c r="J1888" s="2">
        <v>0</v>
      </c>
      <c r="K1888" s="2">
        <v>0</v>
      </c>
      <c r="L1888" s="2">
        <v>0</v>
      </c>
      <c r="M1888" s="2">
        <v>0</v>
      </c>
      <c r="N1888" s="2">
        <v>0</v>
      </c>
      <c r="O1888" s="2">
        <v>0</v>
      </c>
      <c r="P1888" s="2">
        <v>0</v>
      </c>
      <c r="Q1888" s="2" t="s">
        <v>488</v>
      </c>
      <c r="R1888" s="2" t="s">
        <v>488</v>
      </c>
      <c r="S1888" s="2" t="s">
        <v>488</v>
      </c>
      <c r="T1888" s="2" t="s">
        <v>488</v>
      </c>
      <c r="U1888" s="2">
        <v>0</v>
      </c>
      <c r="V1888" s="2">
        <v>0</v>
      </c>
      <c r="W1888">
        <f t="shared" si="29"/>
        <v>0</v>
      </c>
    </row>
    <row r="1889" spans="1:23" x14ac:dyDescent="0.25">
      <c r="A1889" s="2" t="s">
        <v>628</v>
      </c>
      <c r="B1889" s="2" t="s">
        <v>919</v>
      </c>
      <c r="C1889" s="2">
        <v>540113</v>
      </c>
      <c r="D1889" s="2" t="s">
        <v>743</v>
      </c>
      <c r="E1889" s="2" t="s">
        <v>49</v>
      </c>
      <c r="F1889" s="2" t="s">
        <v>115</v>
      </c>
      <c r="G1889" s="2">
        <v>2</v>
      </c>
      <c r="H1889" s="2">
        <v>0</v>
      </c>
      <c r="I1889" s="2">
        <v>0</v>
      </c>
      <c r="J1889" s="2">
        <v>0</v>
      </c>
      <c r="K1889" s="2">
        <v>0</v>
      </c>
      <c r="L1889" s="2">
        <v>0</v>
      </c>
      <c r="M1889" s="2">
        <v>0</v>
      </c>
      <c r="N1889" s="2">
        <v>0</v>
      </c>
      <c r="O1889" s="2">
        <v>0</v>
      </c>
      <c r="P1889" s="2">
        <v>0</v>
      </c>
      <c r="Q1889" s="2" t="s">
        <v>488</v>
      </c>
      <c r="R1889" s="2" t="s">
        <v>488</v>
      </c>
      <c r="S1889" s="2" t="s">
        <v>488</v>
      </c>
      <c r="T1889" s="2" t="s">
        <v>488</v>
      </c>
      <c r="U1889" s="2">
        <v>0</v>
      </c>
      <c r="V1889" s="2">
        <v>0</v>
      </c>
      <c r="W1889">
        <f t="shared" si="29"/>
        <v>0</v>
      </c>
    </row>
    <row r="1890" spans="1:23" x14ac:dyDescent="0.25">
      <c r="A1890" s="2" t="s">
        <v>628</v>
      </c>
      <c r="B1890" s="2" t="s">
        <v>919</v>
      </c>
      <c r="C1890" s="2">
        <v>540247</v>
      </c>
      <c r="D1890" s="2" t="s">
        <v>744</v>
      </c>
      <c r="E1890" s="2" t="s">
        <v>49</v>
      </c>
      <c r="F1890" s="2" t="s">
        <v>115</v>
      </c>
      <c r="G1890" s="2">
        <v>2</v>
      </c>
      <c r="H1890" s="2">
        <v>0</v>
      </c>
      <c r="I1890" s="2">
        <v>0</v>
      </c>
      <c r="J1890" s="2">
        <v>0</v>
      </c>
      <c r="K1890" s="2">
        <v>0</v>
      </c>
      <c r="L1890" s="2">
        <v>0</v>
      </c>
      <c r="M1890" s="2">
        <v>0</v>
      </c>
      <c r="N1890" s="2">
        <v>0</v>
      </c>
      <c r="O1890" s="2">
        <v>0</v>
      </c>
      <c r="P1890" s="2">
        <v>0</v>
      </c>
      <c r="Q1890" s="2" t="s">
        <v>488</v>
      </c>
      <c r="R1890" s="2" t="s">
        <v>488</v>
      </c>
      <c r="S1890" s="2" t="s">
        <v>488</v>
      </c>
      <c r="T1890" s="2" t="s">
        <v>488</v>
      </c>
      <c r="U1890" s="2">
        <v>0</v>
      </c>
      <c r="V1890" s="2">
        <v>0</v>
      </c>
      <c r="W1890">
        <f t="shared" si="29"/>
        <v>0</v>
      </c>
    </row>
    <row r="1891" spans="1:23" x14ac:dyDescent="0.25">
      <c r="A1891" s="2" t="s">
        <v>628</v>
      </c>
      <c r="B1891" s="2" t="s">
        <v>919</v>
      </c>
      <c r="C1891" s="2">
        <v>540248</v>
      </c>
      <c r="D1891" s="2" t="s">
        <v>745</v>
      </c>
      <c r="E1891" s="2" t="s">
        <v>49</v>
      </c>
      <c r="F1891" s="2" t="s">
        <v>115</v>
      </c>
      <c r="G1891" s="2">
        <v>2</v>
      </c>
      <c r="H1891" s="2">
        <v>0</v>
      </c>
      <c r="I1891" s="2">
        <v>0</v>
      </c>
      <c r="J1891" s="2">
        <v>0</v>
      </c>
      <c r="K1891" s="2">
        <v>0</v>
      </c>
      <c r="L1891" s="2">
        <v>0</v>
      </c>
      <c r="M1891" s="2">
        <v>0</v>
      </c>
      <c r="N1891" s="2">
        <v>0</v>
      </c>
      <c r="O1891" s="2">
        <v>0</v>
      </c>
      <c r="P1891" s="2">
        <v>0</v>
      </c>
      <c r="Q1891" s="2" t="s">
        <v>488</v>
      </c>
      <c r="R1891" s="2" t="s">
        <v>488</v>
      </c>
      <c r="S1891" s="2" t="s">
        <v>488</v>
      </c>
      <c r="T1891" s="2" t="s">
        <v>488</v>
      </c>
      <c r="U1891" s="2">
        <v>0</v>
      </c>
      <c r="V1891" s="2">
        <v>0</v>
      </c>
      <c r="W1891">
        <f t="shared" si="29"/>
        <v>0</v>
      </c>
    </row>
    <row r="1892" spans="1:23" x14ac:dyDescent="0.25">
      <c r="A1892" s="2" t="s">
        <v>628</v>
      </c>
      <c r="B1892" s="2" t="s">
        <v>919</v>
      </c>
      <c r="C1892" s="2">
        <v>540249</v>
      </c>
      <c r="D1892" s="2" t="s">
        <v>746</v>
      </c>
      <c r="E1892" s="2" t="s">
        <v>49</v>
      </c>
      <c r="F1892" s="2" t="s">
        <v>115</v>
      </c>
      <c r="G1892" s="2">
        <v>2</v>
      </c>
      <c r="H1892" s="2">
        <v>0</v>
      </c>
      <c r="I1892" s="2">
        <v>0</v>
      </c>
      <c r="J1892" s="2">
        <v>0</v>
      </c>
      <c r="K1892" s="2">
        <v>0</v>
      </c>
      <c r="L1892" s="2">
        <v>0</v>
      </c>
      <c r="M1892" s="2">
        <v>0</v>
      </c>
      <c r="N1892" s="2">
        <v>0</v>
      </c>
      <c r="O1892" s="2">
        <v>0</v>
      </c>
      <c r="P1892" s="2">
        <v>0</v>
      </c>
      <c r="Q1892" s="2" t="s">
        <v>488</v>
      </c>
      <c r="R1892" s="2" t="s">
        <v>488</v>
      </c>
      <c r="S1892" s="2" t="s">
        <v>488</v>
      </c>
      <c r="T1892" s="2" t="s">
        <v>488</v>
      </c>
      <c r="U1892" s="2">
        <v>0</v>
      </c>
      <c r="V1892" s="2">
        <v>0</v>
      </c>
      <c r="W1892">
        <f t="shared" si="29"/>
        <v>0</v>
      </c>
    </row>
    <row r="1893" spans="1:23" x14ac:dyDescent="0.25">
      <c r="A1893" s="2" t="s">
        <v>628</v>
      </c>
      <c r="B1893" s="2" t="s">
        <v>919</v>
      </c>
      <c r="C1893" s="2">
        <v>540250</v>
      </c>
      <c r="D1893" s="2" t="s">
        <v>747</v>
      </c>
      <c r="E1893" s="2" t="s">
        <v>49</v>
      </c>
      <c r="F1893" s="2" t="s">
        <v>115</v>
      </c>
      <c r="G1893" s="2">
        <v>2</v>
      </c>
      <c r="H1893" s="2">
        <v>0</v>
      </c>
      <c r="I1893" s="2">
        <v>0</v>
      </c>
      <c r="J1893" s="2">
        <v>0</v>
      </c>
      <c r="K1893" s="2">
        <v>0</v>
      </c>
      <c r="L1893" s="2">
        <v>0</v>
      </c>
      <c r="M1893" s="2">
        <v>0</v>
      </c>
      <c r="N1893" s="2">
        <v>0</v>
      </c>
      <c r="O1893" s="2">
        <v>0</v>
      </c>
      <c r="P1893" s="2">
        <v>0</v>
      </c>
      <c r="Q1893" s="2" t="s">
        <v>488</v>
      </c>
      <c r="R1893" s="2" t="s">
        <v>488</v>
      </c>
      <c r="S1893" s="2" t="s">
        <v>488</v>
      </c>
      <c r="T1893" s="2" t="s">
        <v>488</v>
      </c>
      <c r="U1893" s="2">
        <v>0</v>
      </c>
      <c r="V1893" s="2">
        <v>0</v>
      </c>
      <c r="W1893">
        <f t="shared" si="29"/>
        <v>0</v>
      </c>
    </row>
    <row r="1894" spans="1:23" x14ac:dyDescent="0.25">
      <c r="A1894" s="2" t="s">
        <v>628</v>
      </c>
      <c r="B1894" s="2" t="s">
        <v>919</v>
      </c>
      <c r="C1894" s="2">
        <v>540251</v>
      </c>
      <c r="D1894" s="2" t="s">
        <v>748</v>
      </c>
      <c r="E1894" s="2" t="s">
        <v>49</v>
      </c>
      <c r="F1894" s="2" t="s">
        <v>115</v>
      </c>
      <c r="G1894" s="2">
        <v>2</v>
      </c>
      <c r="H1894" s="2">
        <v>0</v>
      </c>
      <c r="I1894" s="2">
        <v>0</v>
      </c>
      <c r="J1894" s="2">
        <v>0</v>
      </c>
      <c r="K1894" s="2">
        <v>0</v>
      </c>
      <c r="L1894" s="2">
        <v>0</v>
      </c>
      <c r="M1894" s="2">
        <v>0</v>
      </c>
      <c r="N1894" s="2">
        <v>0</v>
      </c>
      <c r="O1894" s="2">
        <v>0</v>
      </c>
      <c r="P1894" s="2">
        <v>0</v>
      </c>
      <c r="Q1894" s="2" t="s">
        <v>488</v>
      </c>
      <c r="R1894" s="2" t="s">
        <v>488</v>
      </c>
      <c r="S1894" s="2" t="s">
        <v>488</v>
      </c>
      <c r="T1894" s="2" t="s">
        <v>488</v>
      </c>
      <c r="U1894" s="2">
        <v>0</v>
      </c>
      <c r="V1894" s="2">
        <v>0</v>
      </c>
      <c r="W1894">
        <f t="shared" si="29"/>
        <v>0</v>
      </c>
    </row>
    <row r="1895" spans="1:23" x14ac:dyDescent="0.25">
      <c r="A1895" s="255" t="s">
        <v>628</v>
      </c>
      <c r="B1895" s="255" t="s">
        <v>919</v>
      </c>
      <c r="C1895" s="255"/>
      <c r="D1895" s="255"/>
      <c r="E1895" s="255" t="s">
        <v>49</v>
      </c>
      <c r="F1895" s="255"/>
      <c r="G1895" s="255"/>
      <c r="H1895" s="255">
        <v>0</v>
      </c>
      <c r="I1895" s="255">
        <v>0</v>
      </c>
      <c r="J1895" s="255">
        <v>0</v>
      </c>
      <c r="K1895" s="255">
        <v>0</v>
      </c>
      <c r="L1895" s="255">
        <v>0</v>
      </c>
      <c r="M1895" s="255">
        <v>0</v>
      </c>
      <c r="N1895" s="255">
        <v>0</v>
      </c>
      <c r="O1895" s="255">
        <v>0</v>
      </c>
      <c r="P1895" s="255">
        <v>0</v>
      </c>
      <c r="Q1895" s="255" t="s">
        <v>488</v>
      </c>
      <c r="R1895" s="255" t="s">
        <v>488</v>
      </c>
      <c r="S1895" s="255" t="s">
        <v>488</v>
      </c>
      <c r="T1895" s="255" t="s">
        <v>488</v>
      </c>
      <c r="U1895" s="255">
        <v>0</v>
      </c>
      <c r="V1895" s="255">
        <v>0</v>
      </c>
      <c r="W1895">
        <f t="shared" si="29"/>
        <v>0</v>
      </c>
    </row>
    <row r="1896" spans="1:23" x14ac:dyDescent="0.25">
      <c r="A1896" s="2" t="s">
        <v>628</v>
      </c>
      <c r="B1896" s="2" t="s">
        <v>919</v>
      </c>
      <c r="C1896" s="2">
        <v>540114</v>
      </c>
      <c r="D1896" s="2" t="s">
        <v>749</v>
      </c>
      <c r="E1896" s="2" t="s">
        <v>51</v>
      </c>
      <c r="F1896" s="2" t="s">
        <v>5</v>
      </c>
      <c r="G1896" s="2">
        <v>1</v>
      </c>
      <c r="H1896" s="2">
        <v>0</v>
      </c>
      <c r="I1896" s="2">
        <v>0</v>
      </c>
      <c r="J1896" s="2">
        <v>0</v>
      </c>
      <c r="K1896" s="2">
        <v>0</v>
      </c>
      <c r="L1896" s="2">
        <v>0</v>
      </c>
      <c r="M1896" s="2">
        <v>0</v>
      </c>
      <c r="N1896" s="2">
        <v>0</v>
      </c>
      <c r="O1896" s="2">
        <v>0</v>
      </c>
      <c r="P1896" s="2">
        <v>0</v>
      </c>
      <c r="Q1896" s="2">
        <v>0</v>
      </c>
      <c r="R1896" s="2">
        <v>0</v>
      </c>
      <c r="S1896" s="2">
        <v>0</v>
      </c>
      <c r="T1896" s="2">
        <v>0</v>
      </c>
      <c r="U1896" s="2">
        <v>0</v>
      </c>
      <c r="V1896" s="2">
        <v>0</v>
      </c>
      <c r="W1896">
        <f t="shared" si="29"/>
        <v>0</v>
      </c>
    </row>
    <row r="1897" spans="1:23" x14ac:dyDescent="0.25">
      <c r="A1897" s="2" t="s">
        <v>628</v>
      </c>
      <c r="B1897" s="2" t="s">
        <v>919</v>
      </c>
      <c r="C1897" s="2">
        <v>540115</v>
      </c>
      <c r="D1897" s="2" t="s">
        <v>750</v>
      </c>
      <c r="E1897" s="2" t="s">
        <v>51</v>
      </c>
      <c r="F1897" s="2" t="s">
        <v>115</v>
      </c>
      <c r="G1897" s="2">
        <v>1</v>
      </c>
      <c r="H1897" s="2">
        <v>0</v>
      </c>
      <c r="I1897" s="2">
        <v>0</v>
      </c>
      <c r="J1897" s="2">
        <v>0</v>
      </c>
      <c r="K1897" s="2">
        <v>0</v>
      </c>
      <c r="L1897" s="2">
        <v>0</v>
      </c>
      <c r="M1897" s="2">
        <v>0</v>
      </c>
      <c r="N1897" s="2">
        <v>0</v>
      </c>
      <c r="O1897" s="2">
        <v>0</v>
      </c>
      <c r="P1897" s="2">
        <v>0</v>
      </c>
      <c r="Q1897" s="2">
        <v>0</v>
      </c>
      <c r="R1897" s="2">
        <v>0</v>
      </c>
      <c r="S1897" s="2">
        <v>0</v>
      </c>
      <c r="T1897" s="2">
        <v>0</v>
      </c>
      <c r="U1897" s="2">
        <v>0</v>
      </c>
      <c r="V1897" s="2">
        <v>0</v>
      </c>
      <c r="W1897">
        <f t="shared" si="29"/>
        <v>0</v>
      </c>
    </row>
    <row r="1898" spans="1:23" x14ac:dyDescent="0.25">
      <c r="A1898" s="2" t="s">
        <v>628</v>
      </c>
      <c r="B1898" s="2" t="s">
        <v>919</v>
      </c>
      <c r="C1898" s="2">
        <v>540116</v>
      </c>
      <c r="D1898" s="2" t="s">
        <v>751</v>
      </c>
      <c r="E1898" s="2" t="s">
        <v>51</v>
      </c>
      <c r="F1898" s="2" t="s">
        <v>115</v>
      </c>
      <c r="G1898" s="2">
        <v>1</v>
      </c>
      <c r="H1898" s="2">
        <v>0</v>
      </c>
      <c r="I1898" s="2">
        <v>0</v>
      </c>
      <c r="J1898" s="2">
        <v>0</v>
      </c>
      <c r="K1898" s="2">
        <v>0</v>
      </c>
      <c r="L1898" s="2">
        <v>0</v>
      </c>
      <c r="M1898" s="2">
        <v>0</v>
      </c>
      <c r="N1898" s="2">
        <v>0</v>
      </c>
      <c r="O1898" s="2">
        <v>0</v>
      </c>
      <c r="P1898" s="2">
        <v>0</v>
      </c>
      <c r="Q1898" s="2">
        <v>0</v>
      </c>
      <c r="R1898" s="2">
        <v>0</v>
      </c>
      <c r="S1898" s="2">
        <v>0</v>
      </c>
      <c r="T1898" s="2">
        <v>0</v>
      </c>
      <c r="U1898" s="2">
        <v>0</v>
      </c>
      <c r="V1898" s="2">
        <v>0</v>
      </c>
      <c r="W1898">
        <f t="shared" si="29"/>
        <v>0</v>
      </c>
    </row>
    <row r="1899" spans="1:23" x14ac:dyDescent="0.25">
      <c r="A1899" s="2" t="s">
        <v>628</v>
      </c>
      <c r="B1899" s="2" t="s">
        <v>919</v>
      </c>
      <c r="C1899" s="2">
        <v>540117</v>
      </c>
      <c r="D1899" s="2" t="s">
        <v>752</v>
      </c>
      <c r="E1899" s="2" t="s">
        <v>51</v>
      </c>
      <c r="F1899" s="2" t="s">
        <v>115</v>
      </c>
      <c r="G1899" s="2">
        <v>1</v>
      </c>
      <c r="H1899" s="2">
        <v>0</v>
      </c>
      <c r="I1899" s="2">
        <v>0</v>
      </c>
      <c r="J1899" s="2">
        <v>0</v>
      </c>
      <c r="K1899" s="2">
        <v>0</v>
      </c>
      <c r="L1899" s="2">
        <v>0</v>
      </c>
      <c r="M1899" s="2">
        <v>0</v>
      </c>
      <c r="N1899" s="2">
        <v>0</v>
      </c>
      <c r="O1899" s="2">
        <v>0</v>
      </c>
      <c r="P1899" s="2">
        <v>0</v>
      </c>
      <c r="Q1899" s="2">
        <v>0</v>
      </c>
      <c r="R1899" s="2">
        <v>0</v>
      </c>
      <c r="S1899" s="2">
        <v>0</v>
      </c>
      <c r="T1899" s="2">
        <v>0</v>
      </c>
      <c r="U1899" s="2">
        <v>0</v>
      </c>
      <c r="V1899" s="2">
        <v>0</v>
      </c>
      <c r="W1899">
        <f t="shared" si="29"/>
        <v>0</v>
      </c>
    </row>
    <row r="1900" spans="1:23" x14ac:dyDescent="0.25">
      <c r="A1900" s="2" t="s">
        <v>628</v>
      </c>
      <c r="B1900" s="2" t="s">
        <v>919</v>
      </c>
      <c r="C1900" s="2">
        <v>540118</v>
      </c>
      <c r="D1900" s="2" t="s">
        <v>753</v>
      </c>
      <c r="E1900" s="2" t="s">
        <v>51</v>
      </c>
      <c r="F1900" s="2" t="s">
        <v>115</v>
      </c>
      <c r="G1900" s="2">
        <v>1</v>
      </c>
      <c r="H1900" s="2">
        <v>0</v>
      </c>
      <c r="I1900" s="2">
        <v>0</v>
      </c>
      <c r="J1900" s="2">
        <v>0</v>
      </c>
      <c r="K1900" s="2">
        <v>0</v>
      </c>
      <c r="L1900" s="2">
        <v>0</v>
      </c>
      <c r="M1900" s="2">
        <v>0</v>
      </c>
      <c r="N1900" s="2">
        <v>0</v>
      </c>
      <c r="O1900" s="2">
        <v>0</v>
      </c>
      <c r="P1900" s="2">
        <v>0</v>
      </c>
      <c r="Q1900" s="2">
        <v>0</v>
      </c>
      <c r="R1900" s="2">
        <v>0</v>
      </c>
      <c r="S1900" s="2">
        <v>0</v>
      </c>
      <c r="T1900" s="2">
        <v>0</v>
      </c>
      <c r="U1900" s="2">
        <v>0</v>
      </c>
      <c r="V1900" s="2">
        <v>0</v>
      </c>
      <c r="W1900">
        <f t="shared" si="29"/>
        <v>0</v>
      </c>
    </row>
    <row r="1901" spans="1:23" x14ac:dyDescent="0.25">
      <c r="A1901" s="2" t="s">
        <v>628</v>
      </c>
      <c r="B1901" s="2" t="s">
        <v>919</v>
      </c>
      <c r="C1901" s="2">
        <v>540119</v>
      </c>
      <c r="D1901" s="2" t="s">
        <v>754</v>
      </c>
      <c r="E1901" s="2" t="s">
        <v>51</v>
      </c>
      <c r="F1901" s="2" t="s">
        <v>115</v>
      </c>
      <c r="G1901" s="2">
        <v>1</v>
      </c>
      <c r="H1901" s="2">
        <v>0</v>
      </c>
      <c r="I1901" s="2">
        <v>0</v>
      </c>
      <c r="J1901" s="2">
        <v>0</v>
      </c>
      <c r="K1901" s="2">
        <v>0</v>
      </c>
      <c r="L1901" s="2">
        <v>0</v>
      </c>
      <c r="M1901" s="2">
        <v>0</v>
      </c>
      <c r="N1901" s="2">
        <v>0</v>
      </c>
      <c r="O1901" s="2">
        <v>0</v>
      </c>
      <c r="P1901" s="2">
        <v>0</v>
      </c>
      <c r="Q1901" s="2">
        <v>0</v>
      </c>
      <c r="R1901" s="2">
        <v>0</v>
      </c>
      <c r="S1901" s="2">
        <v>0</v>
      </c>
      <c r="T1901" s="2">
        <v>0</v>
      </c>
      <c r="U1901" s="2">
        <v>0</v>
      </c>
      <c r="V1901" s="2">
        <v>0</v>
      </c>
      <c r="W1901">
        <f t="shared" si="29"/>
        <v>0</v>
      </c>
    </row>
    <row r="1902" spans="1:23" x14ac:dyDescent="0.25">
      <c r="A1902" s="2" t="s">
        <v>628</v>
      </c>
      <c r="B1902" s="2" t="s">
        <v>919</v>
      </c>
      <c r="C1902" s="2">
        <v>540120</v>
      </c>
      <c r="D1902" s="2" t="s">
        <v>755</v>
      </c>
      <c r="E1902" s="2" t="s">
        <v>51</v>
      </c>
      <c r="F1902" s="2" t="s">
        <v>115</v>
      </c>
      <c r="G1902" s="2">
        <v>1</v>
      </c>
      <c r="H1902" s="2">
        <v>0</v>
      </c>
      <c r="I1902" s="2">
        <v>0</v>
      </c>
      <c r="J1902" s="2">
        <v>0</v>
      </c>
      <c r="K1902" s="2">
        <v>0</v>
      </c>
      <c r="L1902" s="2">
        <v>0</v>
      </c>
      <c r="M1902" s="2">
        <v>0</v>
      </c>
      <c r="N1902" s="2">
        <v>0</v>
      </c>
      <c r="O1902" s="2">
        <v>0</v>
      </c>
      <c r="P1902" s="2">
        <v>0</v>
      </c>
      <c r="Q1902" s="2">
        <v>0</v>
      </c>
      <c r="R1902" s="2">
        <v>0</v>
      </c>
      <c r="S1902" s="2">
        <v>0</v>
      </c>
      <c r="T1902" s="2">
        <v>0</v>
      </c>
      <c r="U1902" s="2">
        <v>0</v>
      </c>
      <c r="V1902" s="2">
        <v>0</v>
      </c>
      <c r="W1902">
        <f t="shared" si="29"/>
        <v>0</v>
      </c>
    </row>
    <row r="1903" spans="1:23" x14ac:dyDescent="0.25">
      <c r="A1903" s="2" t="s">
        <v>628</v>
      </c>
      <c r="B1903" s="2" t="s">
        <v>919</v>
      </c>
      <c r="C1903" s="2">
        <v>540121</v>
      </c>
      <c r="D1903" s="2" t="s">
        <v>756</v>
      </c>
      <c r="E1903" s="2" t="s">
        <v>51</v>
      </c>
      <c r="F1903" s="2" t="s">
        <v>115</v>
      </c>
      <c r="G1903" s="2">
        <v>1</v>
      </c>
      <c r="H1903" s="2">
        <v>0</v>
      </c>
      <c r="I1903" s="2">
        <v>0</v>
      </c>
      <c r="J1903" s="2">
        <v>0</v>
      </c>
      <c r="K1903" s="2">
        <v>0</v>
      </c>
      <c r="L1903" s="2">
        <v>0</v>
      </c>
      <c r="M1903" s="2">
        <v>0</v>
      </c>
      <c r="N1903" s="2">
        <v>0</v>
      </c>
      <c r="O1903" s="2">
        <v>0</v>
      </c>
      <c r="P1903" s="2">
        <v>0</v>
      </c>
      <c r="Q1903" s="2">
        <v>0</v>
      </c>
      <c r="R1903" s="2">
        <v>0</v>
      </c>
      <c r="S1903" s="2">
        <v>0</v>
      </c>
      <c r="T1903" s="2">
        <v>0</v>
      </c>
      <c r="U1903" s="2">
        <v>0</v>
      </c>
      <c r="V1903" s="2">
        <v>0</v>
      </c>
      <c r="W1903">
        <f t="shared" si="29"/>
        <v>0</v>
      </c>
    </row>
    <row r="1904" spans="1:23" x14ac:dyDescent="0.25">
      <c r="A1904" s="2" t="s">
        <v>628</v>
      </c>
      <c r="B1904" s="2" t="s">
        <v>919</v>
      </c>
      <c r="C1904" s="2">
        <v>540122</v>
      </c>
      <c r="D1904" s="2" t="s">
        <v>757</v>
      </c>
      <c r="E1904" s="2" t="s">
        <v>51</v>
      </c>
      <c r="F1904" s="2" t="s">
        <v>115</v>
      </c>
      <c r="G1904" s="2">
        <v>1</v>
      </c>
      <c r="H1904" s="2">
        <v>0</v>
      </c>
      <c r="I1904" s="2">
        <v>0</v>
      </c>
      <c r="J1904" s="2">
        <v>0</v>
      </c>
      <c r="K1904" s="2">
        <v>0</v>
      </c>
      <c r="L1904" s="2">
        <v>0</v>
      </c>
      <c r="M1904" s="2">
        <v>0</v>
      </c>
      <c r="N1904" s="2">
        <v>0</v>
      </c>
      <c r="O1904" s="2">
        <v>0</v>
      </c>
      <c r="P1904" s="2">
        <v>0</v>
      </c>
      <c r="Q1904" s="2">
        <v>0</v>
      </c>
      <c r="R1904" s="2">
        <v>0</v>
      </c>
      <c r="S1904" s="2">
        <v>0</v>
      </c>
      <c r="T1904" s="2">
        <v>0</v>
      </c>
      <c r="U1904" s="2">
        <v>0</v>
      </c>
      <c r="V1904" s="2">
        <v>0</v>
      </c>
      <c r="W1904">
        <f t="shared" si="29"/>
        <v>0</v>
      </c>
    </row>
    <row r="1905" spans="1:23" x14ac:dyDescent="0.25">
      <c r="A1905" s="2" t="s">
        <v>628</v>
      </c>
      <c r="B1905" s="2" t="s">
        <v>919</v>
      </c>
      <c r="C1905" s="2">
        <v>540123</v>
      </c>
      <c r="D1905" s="2" t="s">
        <v>758</v>
      </c>
      <c r="E1905" s="2" t="s">
        <v>51</v>
      </c>
      <c r="F1905" s="2" t="s">
        <v>115</v>
      </c>
      <c r="G1905" s="2">
        <v>1</v>
      </c>
      <c r="H1905" s="2">
        <v>0</v>
      </c>
      <c r="I1905" s="2">
        <v>0</v>
      </c>
      <c r="J1905" s="2">
        <v>0</v>
      </c>
      <c r="K1905" s="2">
        <v>0</v>
      </c>
      <c r="L1905" s="2">
        <v>0</v>
      </c>
      <c r="M1905" s="2">
        <v>0</v>
      </c>
      <c r="N1905" s="2">
        <v>0</v>
      </c>
      <c r="O1905" s="2">
        <v>0</v>
      </c>
      <c r="P1905" s="2">
        <v>0</v>
      </c>
      <c r="Q1905" s="2">
        <v>0</v>
      </c>
      <c r="R1905" s="2">
        <v>0</v>
      </c>
      <c r="S1905" s="2">
        <v>0</v>
      </c>
      <c r="T1905" s="2">
        <v>1</v>
      </c>
      <c r="U1905" s="2">
        <v>0</v>
      </c>
      <c r="V1905" s="2">
        <v>0</v>
      </c>
      <c r="W1905">
        <f t="shared" si="29"/>
        <v>1</v>
      </c>
    </row>
    <row r="1906" spans="1:23" x14ac:dyDescent="0.25">
      <c r="A1906" s="2" t="s">
        <v>628</v>
      </c>
      <c r="B1906" s="2" t="s">
        <v>919</v>
      </c>
      <c r="C1906" s="2">
        <v>540291</v>
      </c>
      <c r="D1906" s="2" t="s">
        <v>759</v>
      </c>
      <c r="E1906" s="2" t="s">
        <v>51</v>
      </c>
      <c r="F1906" s="2" t="s">
        <v>115</v>
      </c>
      <c r="G1906" s="2">
        <v>1</v>
      </c>
      <c r="H1906" s="2">
        <v>0</v>
      </c>
      <c r="I1906" s="2">
        <v>0</v>
      </c>
      <c r="J1906" s="2">
        <v>0</v>
      </c>
      <c r="K1906" s="2">
        <v>0</v>
      </c>
      <c r="L1906" s="2">
        <v>0</v>
      </c>
      <c r="M1906" s="2">
        <v>0</v>
      </c>
      <c r="N1906" s="2">
        <v>0</v>
      </c>
      <c r="O1906" s="2">
        <v>0</v>
      </c>
      <c r="P1906" s="2">
        <v>0</v>
      </c>
      <c r="Q1906" s="2">
        <v>0</v>
      </c>
      <c r="R1906" s="2">
        <v>0</v>
      </c>
      <c r="S1906" s="2">
        <v>0</v>
      </c>
      <c r="T1906" s="2">
        <v>0</v>
      </c>
      <c r="U1906" s="2">
        <v>0</v>
      </c>
      <c r="V1906" s="2">
        <v>0</v>
      </c>
      <c r="W1906">
        <f t="shared" si="29"/>
        <v>0</v>
      </c>
    </row>
    <row r="1907" spans="1:23" x14ac:dyDescent="0.25">
      <c r="A1907" s="255" t="s">
        <v>628</v>
      </c>
      <c r="B1907" s="255" t="s">
        <v>919</v>
      </c>
      <c r="C1907" s="255"/>
      <c r="D1907" s="255"/>
      <c r="E1907" s="255" t="s">
        <v>51</v>
      </c>
      <c r="F1907" s="255"/>
      <c r="G1907" s="255"/>
      <c r="H1907" s="255">
        <v>0</v>
      </c>
      <c r="I1907" s="255">
        <v>0</v>
      </c>
      <c r="J1907" s="255">
        <v>0</v>
      </c>
      <c r="K1907" s="255">
        <v>0</v>
      </c>
      <c r="L1907" s="255">
        <v>0</v>
      </c>
      <c r="M1907" s="255">
        <v>0</v>
      </c>
      <c r="N1907" s="255">
        <v>0</v>
      </c>
      <c r="O1907" s="255">
        <v>0</v>
      </c>
      <c r="P1907" s="255">
        <v>0</v>
      </c>
      <c r="Q1907" s="255">
        <v>0</v>
      </c>
      <c r="R1907" s="255">
        <v>0</v>
      </c>
      <c r="S1907" s="255">
        <v>0</v>
      </c>
      <c r="T1907" s="255">
        <v>1</v>
      </c>
      <c r="U1907" s="255">
        <v>0</v>
      </c>
      <c r="V1907" s="255">
        <v>0</v>
      </c>
      <c r="W1907">
        <f t="shared" si="29"/>
        <v>1</v>
      </c>
    </row>
    <row r="1908" spans="1:23" x14ac:dyDescent="0.25">
      <c r="A1908" s="2" t="s">
        <v>628</v>
      </c>
      <c r="B1908" s="2" t="s">
        <v>919</v>
      </c>
      <c r="C1908" s="2">
        <v>540124</v>
      </c>
      <c r="D1908" s="2" t="s">
        <v>760</v>
      </c>
      <c r="E1908" s="2" t="s">
        <v>53</v>
      </c>
      <c r="F1908" s="2" t="s">
        <v>5</v>
      </c>
      <c r="G1908" s="2">
        <v>1</v>
      </c>
      <c r="H1908" s="2">
        <v>0</v>
      </c>
      <c r="I1908" s="2">
        <v>0</v>
      </c>
      <c r="J1908" s="2">
        <v>0</v>
      </c>
      <c r="K1908" s="2">
        <v>0</v>
      </c>
      <c r="L1908" s="2">
        <v>0</v>
      </c>
      <c r="M1908" s="2">
        <v>0</v>
      </c>
      <c r="N1908" s="2">
        <v>0</v>
      </c>
      <c r="O1908" s="2">
        <v>0</v>
      </c>
      <c r="P1908" s="2">
        <v>0</v>
      </c>
      <c r="Q1908" s="2">
        <v>0</v>
      </c>
      <c r="R1908" s="2">
        <v>0</v>
      </c>
      <c r="S1908" s="2" t="s">
        <v>488</v>
      </c>
      <c r="T1908" s="2" t="s">
        <v>488</v>
      </c>
      <c r="U1908" s="2">
        <v>0</v>
      </c>
      <c r="V1908" s="2">
        <v>0</v>
      </c>
      <c r="W1908">
        <f t="shared" si="29"/>
        <v>0</v>
      </c>
    </row>
    <row r="1909" spans="1:23" x14ac:dyDescent="0.25">
      <c r="A1909" s="2" t="s">
        <v>628</v>
      </c>
      <c r="B1909" s="2" t="s">
        <v>919</v>
      </c>
      <c r="C1909" s="2">
        <v>540125</v>
      </c>
      <c r="D1909" s="2" t="s">
        <v>761</v>
      </c>
      <c r="E1909" s="2" t="s">
        <v>53</v>
      </c>
      <c r="F1909" s="2" t="s">
        <v>115</v>
      </c>
      <c r="G1909" s="2">
        <v>1</v>
      </c>
      <c r="H1909" s="2">
        <v>0</v>
      </c>
      <c r="I1909" s="2">
        <v>0</v>
      </c>
      <c r="J1909" s="2">
        <v>0</v>
      </c>
      <c r="K1909" s="2">
        <v>0</v>
      </c>
      <c r="L1909" s="2">
        <v>0</v>
      </c>
      <c r="M1909" s="2">
        <v>0</v>
      </c>
      <c r="N1909" s="2">
        <v>0</v>
      </c>
      <c r="O1909" s="2">
        <v>0</v>
      </c>
      <c r="P1909" s="2">
        <v>0</v>
      </c>
      <c r="Q1909" s="2">
        <v>0</v>
      </c>
      <c r="R1909" s="2">
        <v>0</v>
      </c>
      <c r="S1909" s="2" t="s">
        <v>488</v>
      </c>
      <c r="T1909" s="2" t="s">
        <v>488</v>
      </c>
      <c r="U1909" s="2">
        <v>0</v>
      </c>
      <c r="V1909" s="2">
        <v>0</v>
      </c>
      <c r="W1909">
        <f t="shared" si="29"/>
        <v>0</v>
      </c>
    </row>
    <row r="1910" spans="1:23" x14ac:dyDescent="0.25">
      <c r="A1910" s="2" t="s">
        <v>628</v>
      </c>
      <c r="B1910" s="2" t="s">
        <v>919</v>
      </c>
      <c r="C1910" s="2">
        <v>540126</v>
      </c>
      <c r="D1910" s="2" t="s">
        <v>762</v>
      </c>
      <c r="E1910" s="2" t="s">
        <v>53</v>
      </c>
      <c r="F1910" s="2" t="s">
        <v>115</v>
      </c>
      <c r="G1910" s="2">
        <v>1</v>
      </c>
      <c r="H1910" s="2">
        <v>0</v>
      </c>
      <c r="I1910" s="2">
        <v>0</v>
      </c>
      <c r="J1910" s="2">
        <v>0</v>
      </c>
      <c r="K1910" s="2">
        <v>0</v>
      </c>
      <c r="L1910" s="2">
        <v>0</v>
      </c>
      <c r="M1910" s="2">
        <v>0</v>
      </c>
      <c r="N1910" s="2">
        <v>0</v>
      </c>
      <c r="O1910" s="2">
        <v>0</v>
      </c>
      <c r="P1910" s="2">
        <v>0</v>
      </c>
      <c r="Q1910" s="2">
        <v>0</v>
      </c>
      <c r="R1910" s="2">
        <v>0</v>
      </c>
      <c r="S1910" s="2" t="s">
        <v>488</v>
      </c>
      <c r="T1910" s="2" t="s">
        <v>488</v>
      </c>
      <c r="U1910" s="2">
        <v>0</v>
      </c>
      <c r="V1910" s="2">
        <v>0</v>
      </c>
      <c r="W1910">
        <f t="shared" si="29"/>
        <v>0</v>
      </c>
    </row>
    <row r="1911" spans="1:23" x14ac:dyDescent="0.25">
      <c r="A1911" s="2" t="s">
        <v>628</v>
      </c>
      <c r="B1911" s="2" t="s">
        <v>919</v>
      </c>
      <c r="C1911" s="2">
        <v>540127</v>
      </c>
      <c r="D1911" s="2" t="s">
        <v>763</v>
      </c>
      <c r="E1911" s="2" t="s">
        <v>53</v>
      </c>
      <c r="F1911" s="2" t="s">
        <v>115</v>
      </c>
      <c r="G1911" s="2">
        <v>1</v>
      </c>
      <c r="H1911" s="2">
        <v>0</v>
      </c>
      <c r="I1911" s="2">
        <v>0</v>
      </c>
      <c r="J1911" s="2">
        <v>0</v>
      </c>
      <c r="K1911" s="2">
        <v>0</v>
      </c>
      <c r="L1911" s="2">
        <v>0</v>
      </c>
      <c r="M1911" s="2">
        <v>0</v>
      </c>
      <c r="N1911" s="2">
        <v>0</v>
      </c>
      <c r="O1911" s="2">
        <v>0</v>
      </c>
      <c r="P1911" s="2">
        <v>0</v>
      </c>
      <c r="Q1911" s="2">
        <v>0</v>
      </c>
      <c r="R1911" s="2">
        <v>0</v>
      </c>
      <c r="S1911" s="2" t="s">
        <v>488</v>
      </c>
      <c r="T1911" s="2" t="s">
        <v>488</v>
      </c>
      <c r="U1911" s="2">
        <v>0</v>
      </c>
      <c r="V1911" s="2">
        <v>0</v>
      </c>
      <c r="W1911">
        <f t="shared" si="29"/>
        <v>0</v>
      </c>
    </row>
    <row r="1912" spans="1:23" x14ac:dyDescent="0.25">
      <c r="A1912" s="2" t="s">
        <v>628</v>
      </c>
      <c r="B1912" s="2" t="s">
        <v>919</v>
      </c>
      <c r="C1912" s="2">
        <v>540128</v>
      </c>
      <c r="D1912" s="2" t="s">
        <v>764</v>
      </c>
      <c r="E1912" s="2" t="s">
        <v>53</v>
      </c>
      <c r="F1912" s="2" t="s">
        <v>115</v>
      </c>
      <c r="G1912" s="2">
        <v>1</v>
      </c>
      <c r="H1912" s="2">
        <v>0</v>
      </c>
      <c r="I1912" s="2">
        <v>0</v>
      </c>
      <c r="J1912" s="2">
        <v>0</v>
      </c>
      <c r="K1912" s="2">
        <v>0</v>
      </c>
      <c r="L1912" s="2">
        <v>0</v>
      </c>
      <c r="M1912" s="2">
        <v>0</v>
      </c>
      <c r="N1912" s="2">
        <v>0</v>
      </c>
      <c r="O1912" s="2">
        <v>0</v>
      </c>
      <c r="P1912" s="2">
        <v>0</v>
      </c>
      <c r="Q1912" s="2">
        <v>0</v>
      </c>
      <c r="R1912" s="2">
        <v>0</v>
      </c>
      <c r="S1912" s="2" t="s">
        <v>488</v>
      </c>
      <c r="T1912" s="2" t="s">
        <v>488</v>
      </c>
      <c r="U1912" s="2">
        <v>0</v>
      </c>
      <c r="V1912" s="2">
        <v>0</v>
      </c>
      <c r="W1912">
        <f t="shared" si="29"/>
        <v>0</v>
      </c>
    </row>
    <row r="1913" spans="1:23" x14ac:dyDescent="0.25">
      <c r="A1913" s="2" t="s">
        <v>628</v>
      </c>
      <c r="B1913" s="2" t="s">
        <v>919</v>
      </c>
      <c r="C1913" s="2">
        <v>540172</v>
      </c>
      <c r="D1913" s="2" t="s">
        <v>765</v>
      </c>
      <c r="E1913" s="2" t="s">
        <v>53</v>
      </c>
      <c r="F1913" s="2" t="s">
        <v>115</v>
      </c>
      <c r="G1913" s="2">
        <v>1</v>
      </c>
      <c r="H1913" s="2">
        <v>0</v>
      </c>
      <c r="I1913" s="2">
        <v>0</v>
      </c>
      <c r="J1913" s="2">
        <v>0</v>
      </c>
      <c r="K1913" s="2">
        <v>0</v>
      </c>
      <c r="L1913" s="2">
        <v>0</v>
      </c>
      <c r="M1913" s="2">
        <v>0</v>
      </c>
      <c r="N1913" s="2">
        <v>0</v>
      </c>
      <c r="O1913" s="2">
        <v>0</v>
      </c>
      <c r="P1913" s="2">
        <v>0</v>
      </c>
      <c r="Q1913" s="2">
        <v>0</v>
      </c>
      <c r="R1913" s="2">
        <v>0</v>
      </c>
      <c r="S1913" s="2" t="s">
        <v>488</v>
      </c>
      <c r="T1913" s="2" t="s">
        <v>488</v>
      </c>
      <c r="U1913" s="2">
        <v>0</v>
      </c>
      <c r="V1913" s="2">
        <v>0</v>
      </c>
      <c r="W1913">
        <f t="shared" si="29"/>
        <v>0</v>
      </c>
    </row>
    <row r="1914" spans="1:23" x14ac:dyDescent="0.25">
      <c r="A1914" s="2" t="s">
        <v>628</v>
      </c>
      <c r="B1914" s="2" t="s">
        <v>919</v>
      </c>
      <c r="C1914" s="2">
        <v>540285</v>
      </c>
      <c r="D1914" s="2" t="s">
        <v>766</v>
      </c>
      <c r="E1914" s="2" t="s">
        <v>53</v>
      </c>
      <c r="F1914" s="2" t="s">
        <v>115</v>
      </c>
      <c r="G1914" s="2">
        <v>1</v>
      </c>
      <c r="H1914" s="2">
        <v>0</v>
      </c>
      <c r="I1914" s="2">
        <v>0</v>
      </c>
      <c r="J1914" s="2">
        <v>0</v>
      </c>
      <c r="K1914" s="2">
        <v>0</v>
      </c>
      <c r="L1914" s="2">
        <v>0</v>
      </c>
      <c r="M1914" s="2">
        <v>0</v>
      </c>
      <c r="N1914" s="2">
        <v>0</v>
      </c>
      <c r="O1914" s="2">
        <v>0</v>
      </c>
      <c r="P1914" s="2">
        <v>0</v>
      </c>
      <c r="Q1914" s="2">
        <v>0</v>
      </c>
      <c r="R1914" s="2">
        <v>0</v>
      </c>
      <c r="S1914" s="2" t="s">
        <v>488</v>
      </c>
      <c r="T1914" s="2" t="s">
        <v>488</v>
      </c>
      <c r="U1914" s="2">
        <v>0</v>
      </c>
      <c r="V1914" s="2">
        <v>0</v>
      </c>
      <c r="W1914">
        <f t="shared" si="29"/>
        <v>0</v>
      </c>
    </row>
    <row r="1915" spans="1:23" x14ac:dyDescent="0.25">
      <c r="A1915" s="255" t="s">
        <v>628</v>
      </c>
      <c r="B1915" s="255" t="s">
        <v>919</v>
      </c>
      <c r="C1915" s="255"/>
      <c r="D1915" s="255"/>
      <c r="E1915" s="255" t="s">
        <v>53</v>
      </c>
      <c r="F1915" s="255"/>
      <c r="G1915" s="255"/>
      <c r="H1915" s="255">
        <v>0</v>
      </c>
      <c r="I1915" s="255">
        <v>0</v>
      </c>
      <c r="J1915" s="255">
        <v>0</v>
      </c>
      <c r="K1915" s="255">
        <v>0</v>
      </c>
      <c r="L1915" s="255">
        <v>0</v>
      </c>
      <c r="M1915" s="255">
        <v>0</v>
      </c>
      <c r="N1915" s="255">
        <v>0</v>
      </c>
      <c r="O1915" s="255">
        <v>0</v>
      </c>
      <c r="P1915" s="255">
        <v>0</v>
      </c>
      <c r="Q1915" s="255">
        <v>0</v>
      </c>
      <c r="R1915" s="255">
        <v>0</v>
      </c>
      <c r="S1915" s="255" t="s">
        <v>488</v>
      </c>
      <c r="T1915" s="255" t="s">
        <v>488</v>
      </c>
      <c r="U1915" s="255">
        <v>0</v>
      </c>
      <c r="V1915" s="255">
        <v>0</v>
      </c>
      <c r="W1915">
        <f t="shared" si="29"/>
        <v>0</v>
      </c>
    </row>
    <row r="1916" spans="1:23" x14ac:dyDescent="0.25">
      <c r="A1916" s="2" t="s">
        <v>628</v>
      </c>
      <c r="B1916" s="2" t="s">
        <v>919</v>
      </c>
      <c r="C1916" s="2">
        <v>540129</v>
      </c>
      <c r="D1916" s="2" t="s">
        <v>767</v>
      </c>
      <c r="E1916" s="2" t="s">
        <v>55</v>
      </c>
      <c r="F1916" s="2" t="s">
        <v>5</v>
      </c>
      <c r="G1916" s="2">
        <v>8</v>
      </c>
      <c r="H1916" s="2">
        <v>0</v>
      </c>
      <c r="I1916" s="2">
        <v>0</v>
      </c>
      <c r="J1916" s="2">
        <v>0</v>
      </c>
      <c r="K1916" s="2">
        <v>0</v>
      </c>
      <c r="L1916" s="2">
        <v>0</v>
      </c>
      <c r="M1916" s="2">
        <v>0</v>
      </c>
      <c r="N1916" s="2">
        <v>0</v>
      </c>
      <c r="O1916" s="2">
        <v>0</v>
      </c>
      <c r="P1916" s="2">
        <v>0</v>
      </c>
      <c r="Q1916" s="2">
        <v>0</v>
      </c>
      <c r="R1916" s="2">
        <v>0</v>
      </c>
      <c r="S1916" s="2" t="s">
        <v>488</v>
      </c>
      <c r="T1916" s="2" t="s">
        <v>488</v>
      </c>
      <c r="U1916" s="2">
        <v>1</v>
      </c>
      <c r="V1916" s="2">
        <v>0</v>
      </c>
      <c r="W1916">
        <f t="shared" si="29"/>
        <v>1</v>
      </c>
    </row>
    <row r="1917" spans="1:23" x14ac:dyDescent="0.25">
      <c r="A1917" s="2" t="s">
        <v>628</v>
      </c>
      <c r="B1917" s="2" t="s">
        <v>919</v>
      </c>
      <c r="C1917" s="2">
        <v>540130</v>
      </c>
      <c r="D1917" s="2" t="s">
        <v>768</v>
      </c>
      <c r="E1917" s="2" t="s">
        <v>55</v>
      </c>
      <c r="F1917" s="2" t="s">
        <v>115</v>
      </c>
      <c r="G1917" s="2">
        <v>8</v>
      </c>
      <c r="H1917" s="2">
        <v>0</v>
      </c>
      <c r="I1917" s="2">
        <v>0</v>
      </c>
      <c r="J1917" s="2">
        <v>0</v>
      </c>
      <c r="K1917" s="2">
        <v>0</v>
      </c>
      <c r="L1917" s="2">
        <v>0</v>
      </c>
      <c r="M1917" s="2">
        <v>0</v>
      </c>
      <c r="N1917" s="2">
        <v>0</v>
      </c>
      <c r="O1917" s="2">
        <v>0</v>
      </c>
      <c r="P1917" s="2">
        <v>0</v>
      </c>
      <c r="Q1917" s="2">
        <v>0</v>
      </c>
      <c r="R1917" s="2">
        <v>0</v>
      </c>
      <c r="S1917" s="2" t="s">
        <v>488</v>
      </c>
      <c r="T1917" s="2" t="s">
        <v>488</v>
      </c>
      <c r="U1917" s="2">
        <v>0</v>
      </c>
      <c r="V1917" s="2">
        <v>0</v>
      </c>
      <c r="W1917">
        <f t="shared" si="29"/>
        <v>0</v>
      </c>
    </row>
    <row r="1918" spans="1:23" x14ac:dyDescent="0.25">
      <c r="A1918" s="2" t="s">
        <v>628</v>
      </c>
      <c r="B1918" s="2" t="s">
        <v>919</v>
      </c>
      <c r="C1918" s="2">
        <v>540131</v>
      </c>
      <c r="D1918" s="2" t="s">
        <v>769</v>
      </c>
      <c r="E1918" s="2" t="s">
        <v>55</v>
      </c>
      <c r="F1918" s="2" t="s">
        <v>115</v>
      </c>
      <c r="G1918" s="2">
        <v>8</v>
      </c>
      <c r="H1918" s="2">
        <v>0</v>
      </c>
      <c r="I1918" s="2">
        <v>0</v>
      </c>
      <c r="J1918" s="2">
        <v>0</v>
      </c>
      <c r="K1918" s="2">
        <v>0</v>
      </c>
      <c r="L1918" s="2">
        <v>0</v>
      </c>
      <c r="M1918" s="2">
        <v>0</v>
      </c>
      <c r="N1918" s="2">
        <v>0</v>
      </c>
      <c r="O1918" s="2">
        <v>0</v>
      </c>
      <c r="P1918" s="2">
        <v>0</v>
      </c>
      <c r="Q1918" s="2">
        <v>0</v>
      </c>
      <c r="R1918" s="2">
        <v>0</v>
      </c>
      <c r="S1918" s="2" t="s">
        <v>488</v>
      </c>
      <c r="T1918" s="2" t="s">
        <v>488</v>
      </c>
      <c r="U1918" s="2">
        <v>0</v>
      </c>
      <c r="V1918" s="2">
        <v>0</v>
      </c>
      <c r="W1918">
        <f t="shared" si="29"/>
        <v>0</v>
      </c>
    </row>
    <row r="1919" spans="1:23" x14ac:dyDescent="0.25">
      <c r="A1919" s="2" t="s">
        <v>628</v>
      </c>
      <c r="B1919" s="2" t="s">
        <v>919</v>
      </c>
      <c r="C1919" s="2">
        <v>540155</v>
      </c>
      <c r="D1919" s="2" t="s">
        <v>770</v>
      </c>
      <c r="E1919" s="2" t="s">
        <v>55</v>
      </c>
      <c r="F1919" s="2" t="s">
        <v>115</v>
      </c>
      <c r="G1919" s="2">
        <v>8</v>
      </c>
      <c r="H1919" s="2">
        <v>0</v>
      </c>
      <c r="I1919" s="2">
        <v>0</v>
      </c>
      <c r="J1919" s="2">
        <v>0</v>
      </c>
      <c r="K1919" s="2">
        <v>0</v>
      </c>
      <c r="L1919" s="2">
        <v>0</v>
      </c>
      <c r="M1919" s="2">
        <v>0</v>
      </c>
      <c r="N1919" s="2">
        <v>0</v>
      </c>
      <c r="O1919" s="2">
        <v>0</v>
      </c>
      <c r="P1919" s="2">
        <v>0</v>
      </c>
      <c r="Q1919" s="2">
        <v>0</v>
      </c>
      <c r="R1919" s="2">
        <v>0</v>
      </c>
      <c r="S1919" s="2" t="s">
        <v>488</v>
      </c>
      <c r="T1919" s="2" t="s">
        <v>488</v>
      </c>
      <c r="U1919" s="2">
        <v>0</v>
      </c>
      <c r="V1919" s="2">
        <v>0</v>
      </c>
      <c r="W1919">
        <f t="shared" si="29"/>
        <v>0</v>
      </c>
    </row>
    <row r="1920" spans="1:23" x14ac:dyDescent="0.25">
      <c r="A1920" s="2" t="s">
        <v>628</v>
      </c>
      <c r="B1920" s="2" t="s">
        <v>919</v>
      </c>
      <c r="C1920" s="2">
        <v>545555</v>
      </c>
      <c r="D1920" s="2" t="s">
        <v>771</v>
      </c>
      <c r="E1920" s="2" t="s">
        <v>55</v>
      </c>
      <c r="F1920" s="2" t="s">
        <v>115</v>
      </c>
      <c r="G1920" s="2">
        <v>8</v>
      </c>
      <c r="H1920" s="2">
        <v>0</v>
      </c>
      <c r="I1920" s="2">
        <v>0</v>
      </c>
      <c r="J1920" s="2">
        <v>0</v>
      </c>
      <c r="K1920" s="2">
        <v>0</v>
      </c>
      <c r="L1920" s="2">
        <v>0</v>
      </c>
      <c r="M1920" s="2">
        <v>0</v>
      </c>
      <c r="N1920" s="2">
        <v>0</v>
      </c>
      <c r="O1920" s="2">
        <v>0</v>
      </c>
      <c r="P1920" s="2">
        <v>0</v>
      </c>
      <c r="Q1920" s="2">
        <v>0</v>
      </c>
      <c r="R1920" s="2">
        <v>0</v>
      </c>
      <c r="S1920" s="2" t="s">
        <v>488</v>
      </c>
      <c r="T1920" s="2" t="s">
        <v>488</v>
      </c>
      <c r="U1920" s="2">
        <v>0</v>
      </c>
      <c r="V1920" s="2">
        <v>0</v>
      </c>
      <c r="W1920">
        <f t="shared" si="29"/>
        <v>0</v>
      </c>
    </row>
    <row r="1921" spans="1:23" x14ac:dyDescent="0.25">
      <c r="A1921" s="2" t="s">
        <v>628</v>
      </c>
      <c r="B1921" s="2" t="s">
        <v>919</v>
      </c>
      <c r="C1921" s="2">
        <v>540091</v>
      </c>
      <c r="D1921" s="2" t="s">
        <v>772</v>
      </c>
      <c r="E1921" s="2" t="s">
        <v>55</v>
      </c>
      <c r="F1921" s="2" t="s">
        <v>115</v>
      </c>
      <c r="G1921" s="2">
        <v>8</v>
      </c>
      <c r="H1921" s="2">
        <v>0</v>
      </c>
      <c r="I1921" s="2">
        <v>0</v>
      </c>
      <c r="J1921" s="2">
        <v>0</v>
      </c>
      <c r="K1921" s="2">
        <v>0</v>
      </c>
      <c r="L1921" s="2">
        <v>0</v>
      </c>
      <c r="M1921" s="2">
        <v>0</v>
      </c>
      <c r="N1921" s="2">
        <v>0</v>
      </c>
      <c r="O1921" s="2">
        <v>0</v>
      </c>
      <c r="P1921" s="2">
        <v>0</v>
      </c>
      <c r="Q1921" s="2">
        <v>0</v>
      </c>
      <c r="R1921" s="2">
        <v>0</v>
      </c>
      <c r="S1921" s="2" t="s">
        <v>488</v>
      </c>
      <c r="T1921" s="2" t="s">
        <v>488</v>
      </c>
      <c r="U1921" s="2">
        <v>0</v>
      </c>
      <c r="V1921" s="2">
        <v>0</v>
      </c>
      <c r="W1921">
        <f t="shared" si="29"/>
        <v>0</v>
      </c>
    </row>
    <row r="1922" spans="1:23" x14ac:dyDescent="0.25">
      <c r="A1922" s="255" t="s">
        <v>628</v>
      </c>
      <c r="B1922" s="255" t="s">
        <v>919</v>
      </c>
      <c r="C1922" s="255"/>
      <c r="D1922" s="255"/>
      <c r="E1922" s="255" t="s">
        <v>55</v>
      </c>
      <c r="F1922" s="255"/>
      <c r="G1922" s="255"/>
      <c r="H1922" s="255">
        <v>0</v>
      </c>
      <c r="I1922" s="255">
        <v>0</v>
      </c>
      <c r="J1922" s="255">
        <v>0</v>
      </c>
      <c r="K1922" s="255">
        <v>0</v>
      </c>
      <c r="L1922" s="255">
        <v>0</v>
      </c>
      <c r="M1922" s="255">
        <v>0</v>
      </c>
      <c r="N1922" s="255">
        <v>0</v>
      </c>
      <c r="O1922" s="255">
        <v>0</v>
      </c>
      <c r="P1922" s="255">
        <v>0</v>
      </c>
      <c r="Q1922" s="255">
        <v>0</v>
      </c>
      <c r="R1922" s="255">
        <v>0</v>
      </c>
      <c r="S1922" s="255" t="s">
        <v>488</v>
      </c>
      <c r="T1922" s="255" t="s">
        <v>488</v>
      </c>
      <c r="U1922" s="255">
        <v>1</v>
      </c>
      <c r="V1922" s="255">
        <v>0</v>
      </c>
      <c r="W1922">
        <f t="shared" si="29"/>
        <v>1</v>
      </c>
    </row>
    <row r="1923" spans="1:23" x14ac:dyDescent="0.25">
      <c r="A1923" s="2" t="s">
        <v>628</v>
      </c>
      <c r="B1923" s="2" t="s">
        <v>919</v>
      </c>
      <c r="C1923" s="2">
        <v>540133</v>
      </c>
      <c r="D1923" s="2" t="s">
        <v>773</v>
      </c>
      <c r="E1923" s="2" t="s">
        <v>57</v>
      </c>
      <c r="F1923" s="2" t="s">
        <v>5</v>
      </c>
      <c r="G1923" s="2">
        <v>2</v>
      </c>
      <c r="H1923" s="2">
        <v>0</v>
      </c>
      <c r="I1923" s="2">
        <v>0</v>
      </c>
      <c r="J1923" s="2">
        <v>0</v>
      </c>
      <c r="K1923" s="2">
        <v>0</v>
      </c>
      <c r="L1923" s="2">
        <v>0</v>
      </c>
      <c r="M1923" s="2">
        <v>0</v>
      </c>
      <c r="N1923" s="2">
        <v>0</v>
      </c>
      <c r="O1923" s="2">
        <v>0</v>
      </c>
      <c r="P1923" s="2">
        <v>0</v>
      </c>
      <c r="Q1923" s="2">
        <v>0</v>
      </c>
      <c r="R1923" s="2">
        <v>0</v>
      </c>
      <c r="S1923" s="2" t="s">
        <v>488</v>
      </c>
      <c r="T1923" s="2" t="s">
        <v>488</v>
      </c>
      <c r="U1923" s="2">
        <v>0</v>
      </c>
      <c r="V1923" s="2">
        <v>0</v>
      </c>
      <c r="W1923">
        <f t="shared" ref="W1923:W1986" si="30">SUM(N1923,P1923,R1923,T1923,U1923,V1923)</f>
        <v>0</v>
      </c>
    </row>
    <row r="1924" spans="1:23" x14ac:dyDescent="0.25">
      <c r="A1924" s="2" t="s">
        <v>628</v>
      </c>
      <c r="B1924" s="2" t="s">
        <v>919</v>
      </c>
      <c r="C1924" s="2">
        <v>540134</v>
      </c>
      <c r="D1924" s="2" t="s">
        <v>774</v>
      </c>
      <c r="E1924" s="2" t="s">
        <v>57</v>
      </c>
      <c r="F1924" s="2" t="s">
        <v>115</v>
      </c>
      <c r="G1924" s="2">
        <v>2</v>
      </c>
      <c r="H1924" s="2">
        <v>0</v>
      </c>
      <c r="I1924" s="2">
        <v>0</v>
      </c>
      <c r="J1924" s="2">
        <v>0</v>
      </c>
      <c r="K1924" s="2">
        <v>0</v>
      </c>
      <c r="L1924" s="2">
        <v>0</v>
      </c>
      <c r="M1924" s="2">
        <v>0</v>
      </c>
      <c r="N1924" s="2">
        <v>0</v>
      </c>
      <c r="O1924" s="2">
        <v>0</v>
      </c>
      <c r="P1924" s="2">
        <v>0</v>
      </c>
      <c r="Q1924" s="2">
        <v>0</v>
      </c>
      <c r="R1924" s="2">
        <v>0</v>
      </c>
      <c r="S1924" s="2" t="s">
        <v>488</v>
      </c>
      <c r="T1924" s="2" t="s">
        <v>488</v>
      </c>
      <c r="U1924" s="2">
        <v>0</v>
      </c>
      <c r="V1924" s="2">
        <v>0</v>
      </c>
      <c r="W1924">
        <f t="shared" si="30"/>
        <v>0</v>
      </c>
    </row>
    <row r="1925" spans="1:23" x14ac:dyDescent="0.25">
      <c r="A1925" s="2" t="s">
        <v>628</v>
      </c>
      <c r="B1925" s="2" t="s">
        <v>919</v>
      </c>
      <c r="C1925" s="2">
        <v>540135</v>
      </c>
      <c r="D1925" s="2" t="s">
        <v>775</v>
      </c>
      <c r="E1925" s="2" t="s">
        <v>57</v>
      </c>
      <c r="F1925" s="2" t="s">
        <v>115</v>
      </c>
      <c r="G1925" s="2">
        <v>2</v>
      </c>
      <c r="H1925" s="2">
        <v>0</v>
      </c>
      <c r="I1925" s="2">
        <v>0</v>
      </c>
      <c r="J1925" s="2">
        <v>0</v>
      </c>
      <c r="K1925" s="2">
        <v>0</v>
      </c>
      <c r="L1925" s="2">
        <v>0</v>
      </c>
      <c r="M1925" s="2">
        <v>0</v>
      </c>
      <c r="N1925" s="2">
        <v>0</v>
      </c>
      <c r="O1925" s="2">
        <v>0</v>
      </c>
      <c r="P1925" s="2">
        <v>0</v>
      </c>
      <c r="Q1925" s="2">
        <v>0</v>
      </c>
      <c r="R1925" s="2">
        <v>0</v>
      </c>
      <c r="S1925" s="2" t="s">
        <v>488</v>
      </c>
      <c r="T1925" s="2" t="s">
        <v>488</v>
      </c>
      <c r="U1925" s="2">
        <v>0</v>
      </c>
      <c r="V1925" s="2">
        <v>0</v>
      </c>
      <c r="W1925">
        <f t="shared" si="30"/>
        <v>0</v>
      </c>
    </row>
    <row r="1926" spans="1:23" x14ac:dyDescent="0.25">
      <c r="A1926" s="2" t="s">
        <v>628</v>
      </c>
      <c r="B1926" s="2" t="s">
        <v>919</v>
      </c>
      <c r="C1926" s="2">
        <v>540136</v>
      </c>
      <c r="D1926" s="2" t="s">
        <v>776</v>
      </c>
      <c r="E1926" s="2" t="s">
        <v>57</v>
      </c>
      <c r="F1926" s="2" t="s">
        <v>115</v>
      </c>
      <c r="G1926" s="2">
        <v>2</v>
      </c>
      <c r="H1926" s="2">
        <v>0</v>
      </c>
      <c r="I1926" s="2">
        <v>0</v>
      </c>
      <c r="J1926" s="2">
        <v>0</v>
      </c>
      <c r="K1926" s="2">
        <v>0</v>
      </c>
      <c r="L1926" s="2">
        <v>0</v>
      </c>
      <c r="M1926" s="2">
        <v>0</v>
      </c>
      <c r="N1926" s="2">
        <v>0</v>
      </c>
      <c r="O1926" s="2">
        <v>0</v>
      </c>
      <c r="P1926" s="2">
        <v>0</v>
      </c>
      <c r="Q1926" s="2">
        <v>0</v>
      </c>
      <c r="R1926" s="2">
        <v>0</v>
      </c>
      <c r="S1926" s="2" t="s">
        <v>488</v>
      </c>
      <c r="T1926" s="2" t="s">
        <v>488</v>
      </c>
      <c r="U1926" s="2">
        <v>0</v>
      </c>
      <c r="V1926" s="2">
        <v>0</v>
      </c>
      <c r="W1926">
        <f t="shared" si="30"/>
        <v>0</v>
      </c>
    </row>
    <row r="1927" spans="1:23" x14ac:dyDescent="0.25">
      <c r="A1927" s="2" t="s">
        <v>628</v>
      </c>
      <c r="B1927" s="2" t="s">
        <v>919</v>
      </c>
      <c r="C1927" s="2">
        <v>540138</v>
      </c>
      <c r="D1927" s="2" t="s">
        <v>777</v>
      </c>
      <c r="E1927" s="2" t="s">
        <v>57</v>
      </c>
      <c r="F1927" s="2" t="s">
        <v>115</v>
      </c>
      <c r="G1927" s="2">
        <v>2</v>
      </c>
      <c r="H1927" s="2">
        <v>0</v>
      </c>
      <c r="I1927" s="2">
        <v>0</v>
      </c>
      <c r="J1927" s="2">
        <v>0</v>
      </c>
      <c r="K1927" s="2">
        <v>0</v>
      </c>
      <c r="L1927" s="2">
        <v>0</v>
      </c>
      <c r="M1927" s="2">
        <v>0</v>
      </c>
      <c r="N1927" s="2">
        <v>0</v>
      </c>
      <c r="O1927" s="2">
        <v>0</v>
      </c>
      <c r="P1927" s="2">
        <v>0</v>
      </c>
      <c r="Q1927" s="2">
        <v>0</v>
      </c>
      <c r="R1927" s="2">
        <v>0</v>
      </c>
      <c r="S1927" s="2" t="s">
        <v>488</v>
      </c>
      <c r="T1927" s="2" t="s">
        <v>488</v>
      </c>
      <c r="U1927" s="2">
        <v>0</v>
      </c>
      <c r="V1927" s="2">
        <v>0</v>
      </c>
      <c r="W1927">
        <f t="shared" si="30"/>
        <v>0</v>
      </c>
    </row>
    <row r="1928" spans="1:23" x14ac:dyDescent="0.25">
      <c r="A1928" s="2" t="s">
        <v>628</v>
      </c>
      <c r="B1928" s="2" t="s">
        <v>919</v>
      </c>
      <c r="C1928" s="2">
        <v>545538</v>
      </c>
      <c r="D1928" s="2" t="s">
        <v>778</v>
      </c>
      <c r="E1928" s="2" t="s">
        <v>57</v>
      </c>
      <c r="F1928" s="2" t="s">
        <v>115</v>
      </c>
      <c r="G1928" s="2">
        <v>2</v>
      </c>
      <c r="H1928" s="2">
        <v>0</v>
      </c>
      <c r="I1928" s="2">
        <v>0</v>
      </c>
      <c r="J1928" s="2">
        <v>0</v>
      </c>
      <c r="K1928" s="2">
        <v>0</v>
      </c>
      <c r="L1928" s="2">
        <v>0</v>
      </c>
      <c r="M1928" s="2">
        <v>0</v>
      </c>
      <c r="N1928" s="2">
        <v>0</v>
      </c>
      <c r="O1928" s="2">
        <v>0</v>
      </c>
      <c r="P1928" s="2">
        <v>0</v>
      </c>
      <c r="Q1928" s="2">
        <v>0</v>
      </c>
      <c r="R1928" s="2">
        <v>0</v>
      </c>
      <c r="S1928" s="2" t="s">
        <v>488</v>
      </c>
      <c r="T1928" s="2" t="s">
        <v>488</v>
      </c>
      <c r="U1928" s="2">
        <v>0</v>
      </c>
      <c r="V1928" s="2">
        <v>0</v>
      </c>
      <c r="W1928">
        <f t="shared" si="30"/>
        <v>0</v>
      </c>
    </row>
    <row r="1929" spans="1:23" x14ac:dyDescent="0.25">
      <c r="A1929" s="255" t="s">
        <v>628</v>
      </c>
      <c r="B1929" s="255" t="s">
        <v>919</v>
      </c>
      <c r="C1929" s="255"/>
      <c r="D1929" s="255"/>
      <c r="E1929" s="255" t="s">
        <v>57</v>
      </c>
      <c r="F1929" s="255"/>
      <c r="G1929" s="255"/>
      <c r="H1929" s="255">
        <v>0</v>
      </c>
      <c r="I1929" s="255">
        <v>0</v>
      </c>
      <c r="J1929" s="255">
        <v>0</v>
      </c>
      <c r="K1929" s="255">
        <v>0</v>
      </c>
      <c r="L1929" s="255">
        <v>0</v>
      </c>
      <c r="M1929" s="255">
        <v>0</v>
      </c>
      <c r="N1929" s="255">
        <v>0</v>
      </c>
      <c r="O1929" s="255">
        <v>0</v>
      </c>
      <c r="P1929" s="255">
        <v>0</v>
      </c>
      <c r="Q1929" s="255">
        <v>0</v>
      </c>
      <c r="R1929" s="255">
        <v>0</v>
      </c>
      <c r="S1929" s="255" t="s">
        <v>488</v>
      </c>
      <c r="T1929" s="255" t="s">
        <v>488</v>
      </c>
      <c r="U1929" s="255">
        <v>0</v>
      </c>
      <c r="V1929" s="255">
        <v>0</v>
      </c>
      <c r="W1929">
        <f t="shared" si="30"/>
        <v>0</v>
      </c>
    </row>
    <row r="1930" spans="1:23" x14ac:dyDescent="0.25">
      <c r="A1930" s="2" t="s">
        <v>628</v>
      </c>
      <c r="B1930" s="2" t="s">
        <v>919</v>
      </c>
      <c r="C1930" s="2">
        <v>540139</v>
      </c>
      <c r="D1930" s="2" t="s">
        <v>779</v>
      </c>
      <c r="E1930" s="2" t="s">
        <v>59</v>
      </c>
      <c r="F1930" s="2" t="s">
        <v>5</v>
      </c>
      <c r="G1930" s="2">
        <v>6</v>
      </c>
      <c r="H1930" s="2">
        <v>0</v>
      </c>
      <c r="I1930" s="2">
        <v>0</v>
      </c>
      <c r="J1930" s="2">
        <v>0</v>
      </c>
      <c r="K1930" s="2">
        <v>0</v>
      </c>
      <c r="L1930" s="2">
        <v>0</v>
      </c>
      <c r="M1930" s="2">
        <v>0</v>
      </c>
      <c r="N1930" s="2">
        <v>0</v>
      </c>
      <c r="O1930" s="2">
        <v>0</v>
      </c>
      <c r="P1930" s="2">
        <v>0</v>
      </c>
      <c r="Q1930" s="2">
        <v>0</v>
      </c>
      <c r="R1930" s="2">
        <v>0</v>
      </c>
      <c r="S1930" s="2" t="s">
        <v>488</v>
      </c>
      <c r="T1930" s="2" t="s">
        <v>488</v>
      </c>
      <c r="U1930" s="2">
        <v>0</v>
      </c>
      <c r="V1930" s="2">
        <v>0</v>
      </c>
      <c r="W1930">
        <f t="shared" si="30"/>
        <v>0</v>
      </c>
    </row>
    <row r="1931" spans="1:23" x14ac:dyDescent="0.25">
      <c r="A1931" s="2" t="s">
        <v>628</v>
      </c>
      <c r="B1931" s="2" t="s">
        <v>919</v>
      </c>
      <c r="C1931" s="2">
        <v>540140</v>
      </c>
      <c r="D1931" s="2" t="s">
        <v>780</v>
      </c>
      <c r="E1931" s="2" t="s">
        <v>59</v>
      </c>
      <c r="F1931" s="2" t="s">
        <v>115</v>
      </c>
      <c r="G1931" s="2">
        <v>6</v>
      </c>
      <c r="H1931" s="2">
        <v>0</v>
      </c>
      <c r="I1931" s="2">
        <v>0</v>
      </c>
      <c r="J1931" s="2">
        <v>0</v>
      </c>
      <c r="K1931" s="2">
        <v>0</v>
      </c>
      <c r="L1931" s="2">
        <v>0</v>
      </c>
      <c r="M1931" s="2">
        <v>0</v>
      </c>
      <c r="N1931" s="2">
        <v>0</v>
      </c>
      <c r="O1931" s="2">
        <v>0</v>
      </c>
      <c r="P1931" s="2">
        <v>0</v>
      </c>
      <c r="Q1931" s="2">
        <v>0</v>
      </c>
      <c r="R1931" s="2">
        <v>0</v>
      </c>
      <c r="S1931" s="2" t="s">
        <v>488</v>
      </c>
      <c r="T1931" s="2" t="s">
        <v>488</v>
      </c>
      <c r="U1931" s="2">
        <v>0</v>
      </c>
      <c r="V1931" s="2">
        <v>0</v>
      </c>
      <c r="W1931">
        <f t="shared" si="30"/>
        <v>0</v>
      </c>
    </row>
    <row r="1932" spans="1:23" x14ac:dyDescent="0.25">
      <c r="A1932" s="2" t="s">
        <v>628</v>
      </c>
      <c r="B1932" s="2" t="s">
        <v>919</v>
      </c>
      <c r="C1932" s="2">
        <v>540141</v>
      </c>
      <c r="D1932" s="2" t="s">
        <v>781</v>
      </c>
      <c r="E1932" s="2" t="s">
        <v>59</v>
      </c>
      <c r="F1932" s="2" t="s">
        <v>115</v>
      </c>
      <c r="G1932" s="2">
        <v>6</v>
      </c>
      <c r="H1932" s="2">
        <v>0</v>
      </c>
      <c r="I1932" s="2">
        <v>0</v>
      </c>
      <c r="J1932" s="2">
        <v>0</v>
      </c>
      <c r="K1932" s="2">
        <v>0</v>
      </c>
      <c r="L1932" s="2">
        <v>0</v>
      </c>
      <c r="M1932" s="2">
        <v>0</v>
      </c>
      <c r="N1932" s="2">
        <v>0</v>
      </c>
      <c r="O1932" s="2">
        <v>0</v>
      </c>
      <c r="P1932" s="2">
        <v>0</v>
      </c>
      <c r="Q1932" s="2">
        <v>0</v>
      </c>
      <c r="R1932" s="2">
        <v>0</v>
      </c>
      <c r="S1932" s="2" t="s">
        <v>488</v>
      </c>
      <c r="T1932" s="2" t="s">
        <v>488</v>
      </c>
      <c r="U1932" s="2">
        <v>0</v>
      </c>
      <c r="V1932" s="2">
        <v>0</v>
      </c>
      <c r="W1932">
        <f t="shared" si="30"/>
        <v>0</v>
      </c>
    </row>
    <row r="1933" spans="1:23" x14ac:dyDescent="0.25">
      <c r="A1933" s="2" t="s">
        <v>628</v>
      </c>
      <c r="B1933" s="2" t="s">
        <v>919</v>
      </c>
      <c r="C1933" s="2">
        <v>540272</v>
      </c>
      <c r="D1933" s="2" t="s">
        <v>782</v>
      </c>
      <c r="E1933" s="2" t="s">
        <v>59</v>
      </c>
      <c r="F1933" s="2" t="s">
        <v>115</v>
      </c>
      <c r="G1933" s="2">
        <v>6</v>
      </c>
      <c r="H1933" s="2">
        <v>0</v>
      </c>
      <c r="I1933" s="2">
        <v>0</v>
      </c>
      <c r="J1933" s="2">
        <v>0</v>
      </c>
      <c r="K1933" s="2">
        <v>0</v>
      </c>
      <c r="L1933" s="2">
        <v>0</v>
      </c>
      <c r="M1933" s="2">
        <v>0</v>
      </c>
      <c r="N1933" s="2">
        <v>0</v>
      </c>
      <c r="O1933" s="2">
        <v>0</v>
      </c>
      <c r="P1933" s="2">
        <v>0</v>
      </c>
      <c r="Q1933" s="2">
        <v>0</v>
      </c>
      <c r="R1933" s="2">
        <v>0</v>
      </c>
      <c r="S1933" s="2" t="s">
        <v>488</v>
      </c>
      <c r="T1933" s="2" t="s">
        <v>488</v>
      </c>
      <c r="U1933" s="2">
        <v>0</v>
      </c>
      <c r="V1933" s="2">
        <v>0</v>
      </c>
      <c r="W1933">
        <f t="shared" si="30"/>
        <v>0</v>
      </c>
    </row>
    <row r="1934" spans="1:23" x14ac:dyDescent="0.25">
      <c r="A1934" s="2" t="s">
        <v>628</v>
      </c>
      <c r="B1934" s="2" t="s">
        <v>919</v>
      </c>
      <c r="C1934" s="2">
        <v>540273</v>
      </c>
      <c r="D1934" s="2" t="s">
        <v>783</v>
      </c>
      <c r="E1934" s="2" t="s">
        <v>59</v>
      </c>
      <c r="F1934" s="2" t="s">
        <v>115</v>
      </c>
      <c r="G1934" s="2">
        <v>6</v>
      </c>
      <c r="H1934" s="2">
        <v>0</v>
      </c>
      <c r="I1934" s="2">
        <v>0</v>
      </c>
      <c r="J1934" s="2">
        <v>0</v>
      </c>
      <c r="K1934" s="2">
        <v>0</v>
      </c>
      <c r="L1934" s="2">
        <v>0</v>
      </c>
      <c r="M1934" s="2">
        <v>0</v>
      </c>
      <c r="N1934" s="2">
        <v>0</v>
      </c>
      <c r="O1934" s="2">
        <v>0</v>
      </c>
      <c r="P1934" s="2">
        <v>0</v>
      </c>
      <c r="Q1934" s="2">
        <v>0</v>
      </c>
      <c r="R1934" s="2">
        <v>0</v>
      </c>
      <c r="S1934" s="2" t="s">
        <v>488</v>
      </c>
      <c r="T1934" s="2" t="s">
        <v>488</v>
      </c>
      <c r="U1934" s="2">
        <v>0</v>
      </c>
      <c r="V1934" s="2">
        <v>0</v>
      </c>
      <c r="W1934">
        <f t="shared" si="30"/>
        <v>0</v>
      </c>
    </row>
    <row r="1935" spans="1:23" x14ac:dyDescent="0.25">
      <c r="A1935" s="2" t="s">
        <v>628</v>
      </c>
      <c r="B1935" s="2" t="s">
        <v>919</v>
      </c>
      <c r="C1935" s="2">
        <v>540274</v>
      </c>
      <c r="D1935" s="2" t="s">
        <v>784</v>
      </c>
      <c r="E1935" s="2" t="s">
        <v>59</v>
      </c>
      <c r="F1935" s="2" t="s">
        <v>115</v>
      </c>
      <c r="G1935" s="2">
        <v>6</v>
      </c>
      <c r="H1935" s="2">
        <v>0</v>
      </c>
      <c r="I1935" s="2">
        <v>0</v>
      </c>
      <c r="J1935" s="2">
        <v>0</v>
      </c>
      <c r="K1935" s="2">
        <v>0</v>
      </c>
      <c r="L1935" s="2">
        <v>0</v>
      </c>
      <c r="M1935" s="2">
        <v>0</v>
      </c>
      <c r="N1935" s="2">
        <v>0</v>
      </c>
      <c r="O1935" s="2">
        <v>0</v>
      </c>
      <c r="P1935" s="2">
        <v>0</v>
      </c>
      <c r="Q1935" s="2">
        <v>0</v>
      </c>
      <c r="R1935" s="2">
        <v>0</v>
      </c>
      <c r="S1935" s="2" t="s">
        <v>488</v>
      </c>
      <c r="T1935" s="2" t="s">
        <v>488</v>
      </c>
      <c r="U1935" s="2">
        <v>0</v>
      </c>
      <c r="V1935" s="2">
        <v>0</v>
      </c>
      <c r="W1935">
        <f t="shared" si="30"/>
        <v>0</v>
      </c>
    </row>
    <row r="1936" spans="1:23" x14ac:dyDescent="0.25">
      <c r="A1936" s="255" t="s">
        <v>628</v>
      </c>
      <c r="B1936" s="255" t="s">
        <v>919</v>
      </c>
      <c r="C1936" s="255"/>
      <c r="D1936" s="255"/>
      <c r="E1936" s="255" t="s">
        <v>59</v>
      </c>
      <c r="F1936" s="255"/>
      <c r="G1936" s="255"/>
      <c r="H1936" s="255">
        <v>0</v>
      </c>
      <c r="I1936" s="255">
        <v>0</v>
      </c>
      <c r="J1936" s="255">
        <v>0</v>
      </c>
      <c r="K1936" s="255">
        <v>0</v>
      </c>
      <c r="L1936" s="255">
        <v>0</v>
      </c>
      <c r="M1936" s="255">
        <v>0</v>
      </c>
      <c r="N1936" s="255">
        <v>0</v>
      </c>
      <c r="O1936" s="255">
        <v>0</v>
      </c>
      <c r="P1936" s="255">
        <v>0</v>
      </c>
      <c r="Q1936" s="255">
        <v>0</v>
      </c>
      <c r="R1936" s="255">
        <v>0</v>
      </c>
      <c r="S1936" s="255" t="s">
        <v>488</v>
      </c>
      <c r="T1936" s="255" t="s">
        <v>488</v>
      </c>
      <c r="U1936" s="255">
        <v>0</v>
      </c>
      <c r="V1936" s="255">
        <v>0</v>
      </c>
      <c r="W1936">
        <f t="shared" si="30"/>
        <v>0</v>
      </c>
    </row>
    <row r="1937" spans="1:23" x14ac:dyDescent="0.25">
      <c r="A1937" s="2" t="s">
        <v>628</v>
      </c>
      <c r="B1937" s="2" t="s">
        <v>919</v>
      </c>
      <c r="C1937" s="2">
        <v>540144</v>
      </c>
      <c r="D1937" s="2" t="s">
        <v>785</v>
      </c>
      <c r="E1937" s="2" t="s">
        <v>61</v>
      </c>
      <c r="F1937" s="2" t="s">
        <v>5</v>
      </c>
      <c r="G1937" s="2">
        <v>9</v>
      </c>
      <c r="H1937" s="2">
        <v>0</v>
      </c>
      <c r="I1937" s="2">
        <v>0</v>
      </c>
      <c r="J1937" s="2">
        <v>0</v>
      </c>
      <c r="K1937" s="2">
        <v>0</v>
      </c>
      <c r="L1937" s="2">
        <v>0</v>
      </c>
      <c r="M1937" s="2">
        <v>0</v>
      </c>
      <c r="N1937" s="2">
        <v>0</v>
      </c>
      <c r="O1937" s="2">
        <v>0</v>
      </c>
      <c r="P1937" s="2">
        <v>0</v>
      </c>
      <c r="Q1937" s="2">
        <v>0</v>
      </c>
      <c r="R1937" s="2">
        <v>0</v>
      </c>
      <c r="S1937" s="2">
        <v>0</v>
      </c>
      <c r="T1937" s="2">
        <v>0</v>
      </c>
      <c r="U1937" s="2">
        <v>0</v>
      </c>
      <c r="V1937" s="2">
        <v>0</v>
      </c>
      <c r="W1937">
        <f t="shared" si="30"/>
        <v>0</v>
      </c>
    </row>
    <row r="1938" spans="1:23" x14ac:dyDescent="0.25">
      <c r="A1938" s="2" t="s">
        <v>628</v>
      </c>
      <c r="B1938" s="2" t="s">
        <v>919</v>
      </c>
      <c r="C1938" s="2">
        <v>540005</v>
      </c>
      <c r="D1938" s="2" t="s">
        <v>786</v>
      </c>
      <c r="E1938" s="2" t="s">
        <v>61</v>
      </c>
      <c r="F1938" s="2" t="s">
        <v>115</v>
      </c>
      <c r="G1938" s="2">
        <v>9</v>
      </c>
      <c r="H1938" s="2">
        <v>0</v>
      </c>
      <c r="I1938" s="2">
        <v>0</v>
      </c>
      <c r="J1938" s="2">
        <v>0</v>
      </c>
      <c r="K1938" s="2">
        <v>0</v>
      </c>
      <c r="L1938" s="2">
        <v>0</v>
      </c>
      <c r="M1938" s="2">
        <v>0</v>
      </c>
      <c r="N1938" s="2">
        <v>0</v>
      </c>
      <c r="O1938" s="2">
        <v>0</v>
      </c>
      <c r="P1938" s="2">
        <v>0</v>
      </c>
      <c r="Q1938" s="2">
        <v>0</v>
      </c>
      <c r="R1938" s="2">
        <v>0</v>
      </c>
      <c r="S1938" s="2">
        <v>0</v>
      </c>
      <c r="T1938" s="2">
        <v>0</v>
      </c>
      <c r="U1938" s="2">
        <v>0</v>
      </c>
      <c r="V1938" s="2">
        <v>0</v>
      </c>
      <c r="W1938">
        <f t="shared" si="30"/>
        <v>0</v>
      </c>
    </row>
    <row r="1939" spans="1:23" x14ac:dyDescent="0.25">
      <c r="A1939" s="2" t="s">
        <v>628</v>
      </c>
      <c r="B1939" s="2" t="s">
        <v>919</v>
      </c>
      <c r="C1939" s="2">
        <v>540252</v>
      </c>
      <c r="D1939" s="2" t="s">
        <v>787</v>
      </c>
      <c r="E1939" s="2" t="s">
        <v>61</v>
      </c>
      <c r="F1939" s="2" t="s">
        <v>115</v>
      </c>
      <c r="G1939" s="2">
        <v>9</v>
      </c>
      <c r="H1939" s="2">
        <v>0</v>
      </c>
      <c r="I1939" s="2">
        <v>0</v>
      </c>
      <c r="J1939" s="2">
        <v>0</v>
      </c>
      <c r="K1939" s="2">
        <v>0</v>
      </c>
      <c r="L1939" s="2">
        <v>0</v>
      </c>
      <c r="M1939" s="2">
        <v>0</v>
      </c>
      <c r="N1939" s="2">
        <v>0</v>
      </c>
      <c r="O1939" s="2">
        <v>0</v>
      </c>
      <c r="P1939" s="2">
        <v>0</v>
      </c>
      <c r="Q1939" s="2">
        <v>0</v>
      </c>
      <c r="R1939" s="2">
        <v>0</v>
      </c>
      <c r="S1939" s="2">
        <v>0</v>
      </c>
      <c r="T1939" s="2">
        <v>0</v>
      </c>
      <c r="U1939" s="2">
        <v>0</v>
      </c>
      <c r="V1939" s="2">
        <v>0</v>
      </c>
      <c r="W1939">
        <f t="shared" si="30"/>
        <v>0</v>
      </c>
    </row>
    <row r="1940" spans="1:23" x14ac:dyDescent="0.25">
      <c r="A1940" s="255" t="s">
        <v>628</v>
      </c>
      <c r="B1940" s="255" t="s">
        <v>919</v>
      </c>
      <c r="C1940" s="255"/>
      <c r="D1940" s="255"/>
      <c r="E1940" s="255" t="s">
        <v>61</v>
      </c>
      <c r="F1940" s="255"/>
      <c r="G1940" s="255"/>
      <c r="H1940" s="255">
        <v>0</v>
      </c>
      <c r="I1940" s="255">
        <v>0</v>
      </c>
      <c r="J1940" s="255">
        <v>0</v>
      </c>
      <c r="K1940" s="255">
        <v>0</v>
      </c>
      <c r="L1940" s="255">
        <v>0</v>
      </c>
      <c r="M1940" s="255">
        <v>0</v>
      </c>
      <c r="N1940" s="255">
        <v>0</v>
      </c>
      <c r="O1940" s="255">
        <v>0</v>
      </c>
      <c r="P1940" s="255">
        <v>0</v>
      </c>
      <c r="Q1940" s="255">
        <v>0</v>
      </c>
      <c r="R1940" s="255">
        <v>0</v>
      </c>
      <c r="S1940" s="255">
        <v>0</v>
      </c>
      <c r="T1940" s="255">
        <v>0</v>
      </c>
      <c r="U1940" s="255">
        <v>0</v>
      </c>
      <c r="V1940" s="255">
        <v>0</v>
      </c>
      <c r="W1940">
        <f t="shared" si="30"/>
        <v>0</v>
      </c>
    </row>
    <row r="1941" spans="1:23" x14ac:dyDescent="0.25">
      <c r="A1941" s="2" t="s">
        <v>628</v>
      </c>
      <c r="B1941" s="2" t="s">
        <v>919</v>
      </c>
      <c r="C1941" s="2">
        <v>540146</v>
      </c>
      <c r="D1941" s="2" t="s">
        <v>788</v>
      </c>
      <c r="E1941" s="2" t="s">
        <v>63</v>
      </c>
      <c r="F1941" s="2" t="s">
        <v>5</v>
      </c>
      <c r="G1941" s="2">
        <v>4</v>
      </c>
      <c r="H1941" s="2">
        <v>0</v>
      </c>
      <c r="I1941" s="2">
        <v>0</v>
      </c>
      <c r="J1941" s="2">
        <v>0</v>
      </c>
      <c r="K1941" s="2">
        <v>0</v>
      </c>
      <c r="L1941" s="2">
        <v>0</v>
      </c>
      <c r="M1941" s="2">
        <v>0</v>
      </c>
      <c r="N1941" s="2">
        <v>0</v>
      </c>
      <c r="O1941" s="2">
        <v>0</v>
      </c>
      <c r="P1941" s="2">
        <v>0</v>
      </c>
      <c r="Q1941" s="2" t="s">
        <v>488</v>
      </c>
      <c r="R1941" s="2" t="s">
        <v>488</v>
      </c>
      <c r="S1941" s="2" t="s">
        <v>488</v>
      </c>
      <c r="T1941" s="2" t="s">
        <v>488</v>
      </c>
      <c r="U1941" s="2">
        <v>0</v>
      </c>
      <c r="V1941" s="2">
        <v>0</v>
      </c>
      <c r="W1941">
        <f t="shared" si="30"/>
        <v>0</v>
      </c>
    </row>
    <row r="1942" spans="1:23" x14ac:dyDescent="0.25">
      <c r="A1942" s="2" t="s">
        <v>628</v>
      </c>
      <c r="B1942" s="2" t="s">
        <v>919</v>
      </c>
      <c r="C1942" s="2">
        <v>540147</v>
      </c>
      <c r="D1942" s="2" t="s">
        <v>789</v>
      </c>
      <c r="E1942" s="2" t="s">
        <v>63</v>
      </c>
      <c r="F1942" s="2" t="s">
        <v>115</v>
      </c>
      <c r="G1942" s="2">
        <v>4</v>
      </c>
      <c r="H1942" s="2">
        <v>0</v>
      </c>
      <c r="I1942" s="2">
        <v>0</v>
      </c>
      <c r="J1942" s="2">
        <v>0</v>
      </c>
      <c r="K1942" s="2">
        <v>0</v>
      </c>
      <c r="L1942" s="2">
        <v>0</v>
      </c>
      <c r="M1942" s="2">
        <v>0</v>
      </c>
      <c r="N1942" s="2">
        <v>0</v>
      </c>
      <c r="O1942" s="2">
        <v>0</v>
      </c>
      <c r="P1942" s="2">
        <v>0</v>
      </c>
      <c r="Q1942" s="2" t="s">
        <v>488</v>
      </c>
      <c r="R1942" s="2" t="s">
        <v>488</v>
      </c>
      <c r="S1942" s="2" t="s">
        <v>488</v>
      </c>
      <c r="T1942" s="2" t="s">
        <v>488</v>
      </c>
      <c r="U1942" s="2">
        <v>0</v>
      </c>
      <c r="V1942" s="2">
        <v>0</v>
      </c>
      <c r="W1942">
        <f t="shared" si="30"/>
        <v>0</v>
      </c>
    </row>
    <row r="1943" spans="1:23" x14ac:dyDescent="0.25">
      <c r="A1943" s="2" t="s">
        <v>628</v>
      </c>
      <c r="B1943" s="2" t="s">
        <v>919</v>
      </c>
      <c r="C1943" s="2">
        <v>540148</v>
      </c>
      <c r="D1943" s="2" t="s">
        <v>790</v>
      </c>
      <c r="E1943" s="2" t="s">
        <v>63</v>
      </c>
      <c r="F1943" s="2" t="s">
        <v>115</v>
      </c>
      <c r="G1943" s="2">
        <v>4</v>
      </c>
      <c r="H1943" s="2">
        <v>0</v>
      </c>
      <c r="I1943" s="2">
        <v>0</v>
      </c>
      <c r="J1943" s="2">
        <v>0</v>
      </c>
      <c r="K1943" s="2">
        <v>0</v>
      </c>
      <c r="L1943" s="2">
        <v>0</v>
      </c>
      <c r="M1943" s="2">
        <v>0</v>
      </c>
      <c r="N1943" s="2">
        <v>0</v>
      </c>
      <c r="O1943" s="2">
        <v>0</v>
      </c>
      <c r="P1943" s="2">
        <v>0</v>
      </c>
      <c r="Q1943" s="2" t="s">
        <v>488</v>
      </c>
      <c r="R1943" s="2" t="s">
        <v>488</v>
      </c>
      <c r="S1943" s="2" t="s">
        <v>488</v>
      </c>
      <c r="T1943" s="2" t="s">
        <v>488</v>
      </c>
      <c r="U1943" s="2">
        <v>0</v>
      </c>
      <c r="V1943" s="2">
        <v>0</v>
      </c>
      <c r="W1943">
        <f t="shared" si="30"/>
        <v>0</v>
      </c>
    </row>
    <row r="1944" spans="1:23" x14ac:dyDescent="0.25">
      <c r="A1944" s="255" t="s">
        <v>628</v>
      </c>
      <c r="B1944" s="255" t="s">
        <v>919</v>
      </c>
      <c r="C1944" s="255"/>
      <c r="D1944" s="255"/>
      <c r="E1944" s="255" t="s">
        <v>63</v>
      </c>
      <c r="F1944" s="255"/>
      <c r="G1944" s="255"/>
      <c r="H1944" s="255">
        <v>0</v>
      </c>
      <c r="I1944" s="255">
        <v>0</v>
      </c>
      <c r="J1944" s="255">
        <v>0</v>
      </c>
      <c r="K1944" s="255">
        <v>0</v>
      </c>
      <c r="L1944" s="255">
        <v>0</v>
      </c>
      <c r="M1944" s="255">
        <v>0</v>
      </c>
      <c r="N1944" s="255">
        <v>0</v>
      </c>
      <c r="O1944" s="255">
        <v>0</v>
      </c>
      <c r="P1944" s="255">
        <v>0</v>
      </c>
      <c r="Q1944" s="255" t="s">
        <v>488</v>
      </c>
      <c r="R1944" s="255" t="s">
        <v>488</v>
      </c>
      <c r="S1944" s="255" t="s">
        <v>488</v>
      </c>
      <c r="T1944" s="255" t="s">
        <v>488</v>
      </c>
      <c r="U1944" s="255">
        <v>0</v>
      </c>
      <c r="V1944" s="255">
        <v>0</v>
      </c>
      <c r="W1944">
        <f t="shared" si="30"/>
        <v>0</v>
      </c>
    </row>
    <row r="1945" spans="1:23" x14ac:dyDescent="0.25">
      <c r="A1945" s="2" t="s">
        <v>628</v>
      </c>
      <c r="B1945" s="2" t="s">
        <v>919</v>
      </c>
      <c r="C1945" s="2">
        <v>540149</v>
      </c>
      <c r="D1945" s="2" t="s">
        <v>791</v>
      </c>
      <c r="E1945" s="2" t="s">
        <v>65</v>
      </c>
      <c r="F1945" s="2" t="s">
        <v>5</v>
      </c>
      <c r="G1945" s="2">
        <v>10</v>
      </c>
      <c r="H1945" s="2">
        <v>0</v>
      </c>
      <c r="I1945" s="2">
        <v>0</v>
      </c>
      <c r="J1945" s="2">
        <v>0</v>
      </c>
      <c r="K1945" s="2">
        <v>0</v>
      </c>
      <c r="L1945" s="2">
        <v>0</v>
      </c>
      <c r="M1945" s="2">
        <v>0</v>
      </c>
      <c r="N1945" s="2">
        <v>0</v>
      </c>
      <c r="O1945" s="2">
        <v>0</v>
      </c>
      <c r="P1945" s="2">
        <v>0</v>
      </c>
      <c r="Q1945" s="2">
        <v>0</v>
      </c>
      <c r="R1945" s="2">
        <v>0</v>
      </c>
      <c r="S1945" s="2" t="s">
        <v>488</v>
      </c>
      <c r="T1945" s="2" t="s">
        <v>488</v>
      </c>
      <c r="U1945" s="2">
        <v>0</v>
      </c>
      <c r="V1945" s="2">
        <v>0</v>
      </c>
      <c r="W1945">
        <f t="shared" si="30"/>
        <v>0</v>
      </c>
    </row>
    <row r="1946" spans="1:23" x14ac:dyDescent="0.25">
      <c r="A1946" s="2" t="s">
        <v>628</v>
      </c>
      <c r="B1946" s="2" t="s">
        <v>919</v>
      </c>
      <c r="C1946" s="2">
        <v>540080</v>
      </c>
      <c r="D1946" s="2" t="s">
        <v>792</v>
      </c>
      <c r="E1946" s="2" t="s">
        <v>65</v>
      </c>
      <c r="F1946" s="2" t="s">
        <v>115</v>
      </c>
      <c r="G1946" s="2">
        <v>10</v>
      </c>
      <c r="H1946" s="2">
        <v>0</v>
      </c>
      <c r="I1946" s="2">
        <v>0</v>
      </c>
      <c r="J1946" s="2">
        <v>0</v>
      </c>
      <c r="K1946" s="2">
        <v>0</v>
      </c>
      <c r="L1946" s="2">
        <v>0</v>
      </c>
      <c r="M1946" s="2">
        <v>0</v>
      </c>
      <c r="N1946" s="2">
        <v>0</v>
      </c>
      <c r="O1946" s="2">
        <v>0</v>
      </c>
      <c r="P1946" s="2">
        <v>0</v>
      </c>
      <c r="Q1946" s="2">
        <v>0</v>
      </c>
      <c r="R1946" s="2">
        <v>0</v>
      </c>
      <c r="S1946" s="2" t="s">
        <v>488</v>
      </c>
      <c r="T1946" s="2" t="s">
        <v>488</v>
      </c>
      <c r="U1946" s="2">
        <v>0</v>
      </c>
      <c r="V1946" s="2">
        <v>0</v>
      </c>
      <c r="W1946">
        <f t="shared" si="30"/>
        <v>0</v>
      </c>
    </row>
    <row r="1947" spans="1:23" x14ac:dyDescent="0.25">
      <c r="A1947" s="2" t="s">
        <v>628</v>
      </c>
      <c r="B1947" s="2" t="s">
        <v>919</v>
      </c>
      <c r="C1947" s="2">
        <v>540094</v>
      </c>
      <c r="D1947" s="2" t="s">
        <v>793</v>
      </c>
      <c r="E1947" s="2" t="s">
        <v>65</v>
      </c>
      <c r="F1947" s="2" t="s">
        <v>115</v>
      </c>
      <c r="G1947" s="2">
        <v>10</v>
      </c>
      <c r="H1947" s="2">
        <v>0</v>
      </c>
      <c r="I1947" s="2">
        <v>0</v>
      </c>
      <c r="J1947" s="2">
        <v>0</v>
      </c>
      <c r="K1947" s="2">
        <v>0</v>
      </c>
      <c r="L1947" s="2">
        <v>0</v>
      </c>
      <c r="M1947" s="2">
        <v>0</v>
      </c>
      <c r="N1947" s="2">
        <v>0</v>
      </c>
      <c r="O1947" s="2">
        <v>0</v>
      </c>
      <c r="P1947" s="2">
        <v>0</v>
      </c>
      <c r="Q1947" s="2">
        <v>0</v>
      </c>
      <c r="R1947" s="2">
        <v>0</v>
      </c>
      <c r="S1947" s="2" t="s">
        <v>488</v>
      </c>
      <c r="T1947" s="2" t="s">
        <v>488</v>
      </c>
      <c r="U1947" s="2">
        <v>0</v>
      </c>
      <c r="V1947" s="2">
        <v>0</v>
      </c>
      <c r="W1947">
        <f t="shared" si="30"/>
        <v>0</v>
      </c>
    </row>
    <row r="1948" spans="1:23" x14ac:dyDescent="0.25">
      <c r="A1948" s="2" t="s">
        <v>628</v>
      </c>
      <c r="B1948" s="2" t="s">
        <v>919</v>
      </c>
      <c r="C1948" s="2">
        <v>540150</v>
      </c>
      <c r="D1948" s="2" t="s">
        <v>794</v>
      </c>
      <c r="E1948" s="2" t="s">
        <v>65</v>
      </c>
      <c r="F1948" s="2" t="s">
        <v>115</v>
      </c>
      <c r="G1948" s="2">
        <v>10</v>
      </c>
      <c r="H1948" s="2">
        <v>0</v>
      </c>
      <c r="I1948" s="2">
        <v>0</v>
      </c>
      <c r="J1948" s="2">
        <v>0</v>
      </c>
      <c r="K1948" s="2">
        <v>0</v>
      </c>
      <c r="L1948" s="2">
        <v>0</v>
      </c>
      <c r="M1948" s="2">
        <v>0</v>
      </c>
      <c r="N1948" s="2">
        <v>0</v>
      </c>
      <c r="O1948" s="2">
        <v>0</v>
      </c>
      <c r="P1948" s="2">
        <v>0</v>
      </c>
      <c r="Q1948" s="2">
        <v>0</v>
      </c>
      <c r="R1948" s="2">
        <v>0</v>
      </c>
      <c r="S1948" s="2" t="s">
        <v>488</v>
      </c>
      <c r="T1948" s="2" t="s">
        <v>488</v>
      </c>
      <c r="U1948" s="2">
        <v>0</v>
      </c>
      <c r="V1948" s="2">
        <v>0</v>
      </c>
      <c r="W1948">
        <f t="shared" si="30"/>
        <v>0</v>
      </c>
    </row>
    <row r="1949" spans="1:23" x14ac:dyDescent="0.25">
      <c r="A1949" s="2" t="s">
        <v>628</v>
      </c>
      <c r="B1949" s="2" t="s">
        <v>919</v>
      </c>
      <c r="C1949" s="2">
        <v>540151</v>
      </c>
      <c r="D1949" s="2" t="s">
        <v>795</v>
      </c>
      <c r="E1949" s="2" t="s">
        <v>65</v>
      </c>
      <c r="F1949" s="2" t="s">
        <v>115</v>
      </c>
      <c r="G1949" s="2">
        <v>10</v>
      </c>
      <c r="H1949" s="2">
        <v>0</v>
      </c>
      <c r="I1949" s="2">
        <v>0</v>
      </c>
      <c r="J1949" s="2">
        <v>0</v>
      </c>
      <c r="K1949" s="2">
        <v>0</v>
      </c>
      <c r="L1949" s="2">
        <v>0</v>
      </c>
      <c r="M1949" s="2">
        <v>0</v>
      </c>
      <c r="N1949" s="2">
        <v>0</v>
      </c>
      <c r="O1949" s="2">
        <v>0</v>
      </c>
      <c r="P1949" s="2">
        <v>0</v>
      </c>
      <c r="Q1949" s="2">
        <v>0</v>
      </c>
      <c r="R1949" s="2">
        <v>0</v>
      </c>
      <c r="S1949" s="2" t="s">
        <v>488</v>
      </c>
      <c r="T1949" s="2" t="s">
        <v>488</v>
      </c>
      <c r="U1949" s="2">
        <v>0</v>
      </c>
      <c r="V1949" s="2">
        <v>0</v>
      </c>
      <c r="W1949">
        <f t="shared" si="30"/>
        <v>0</v>
      </c>
    </row>
    <row r="1950" spans="1:23" x14ac:dyDescent="0.25">
      <c r="A1950" s="2" t="s">
        <v>628</v>
      </c>
      <c r="B1950" s="2" t="s">
        <v>919</v>
      </c>
      <c r="C1950" s="2">
        <v>540152</v>
      </c>
      <c r="D1950" s="2" t="s">
        <v>741</v>
      </c>
      <c r="E1950" s="2" t="s">
        <v>65</v>
      </c>
      <c r="F1950" s="2" t="s">
        <v>115</v>
      </c>
      <c r="G1950" s="2">
        <v>10</v>
      </c>
      <c r="H1950" s="2">
        <v>0</v>
      </c>
      <c r="I1950" s="2">
        <v>0</v>
      </c>
      <c r="J1950" s="2">
        <v>0</v>
      </c>
      <c r="K1950" s="2">
        <v>0</v>
      </c>
      <c r="L1950" s="2">
        <v>0</v>
      </c>
      <c r="M1950" s="2">
        <v>0</v>
      </c>
      <c r="N1950" s="2">
        <v>0</v>
      </c>
      <c r="O1950" s="2">
        <v>0</v>
      </c>
      <c r="P1950" s="2">
        <v>0</v>
      </c>
      <c r="Q1950" s="2">
        <v>0</v>
      </c>
      <c r="R1950" s="2">
        <v>0</v>
      </c>
      <c r="S1950" s="2" t="s">
        <v>488</v>
      </c>
      <c r="T1950" s="2" t="s">
        <v>488</v>
      </c>
      <c r="U1950" s="2">
        <v>0</v>
      </c>
      <c r="V1950" s="2">
        <v>0</v>
      </c>
      <c r="W1950">
        <f t="shared" si="30"/>
        <v>0</v>
      </c>
    </row>
    <row r="1951" spans="1:23" x14ac:dyDescent="0.25">
      <c r="A1951" s="2" t="s">
        <v>628</v>
      </c>
      <c r="B1951" s="2" t="s">
        <v>919</v>
      </c>
      <c r="C1951" s="2">
        <v>540275</v>
      </c>
      <c r="D1951" s="2" t="s">
        <v>796</v>
      </c>
      <c r="E1951" s="2" t="s">
        <v>65</v>
      </c>
      <c r="F1951" s="2" t="s">
        <v>115</v>
      </c>
      <c r="G1951" s="2">
        <v>10</v>
      </c>
      <c r="H1951" s="2">
        <v>0</v>
      </c>
      <c r="I1951" s="2">
        <v>0</v>
      </c>
      <c r="J1951" s="2">
        <v>0</v>
      </c>
      <c r="K1951" s="2">
        <v>0</v>
      </c>
      <c r="L1951" s="2">
        <v>0</v>
      </c>
      <c r="M1951" s="2">
        <v>0</v>
      </c>
      <c r="N1951" s="2">
        <v>0</v>
      </c>
      <c r="O1951" s="2">
        <v>0</v>
      </c>
      <c r="P1951" s="2">
        <v>0</v>
      </c>
      <c r="Q1951" s="2">
        <v>0</v>
      </c>
      <c r="R1951" s="2">
        <v>0</v>
      </c>
      <c r="S1951" s="2" t="s">
        <v>488</v>
      </c>
      <c r="T1951" s="2" t="s">
        <v>488</v>
      </c>
      <c r="U1951" s="2">
        <v>0</v>
      </c>
      <c r="V1951" s="2">
        <v>0</v>
      </c>
      <c r="W1951">
        <f t="shared" si="30"/>
        <v>0</v>
      </c>
    </row>
    <row r="1952" spans="1:23" x14ac:dyDescent="0.25">
      <c r="A1952" s="255" t="s">
        <v>628</v>
      </c>
      <c r="B1952" s="255" t="s">
        <v>919</v>
      </c>
      <c r="C1952" s="255"/>
      <c r="D1952" s="255"/>
      <c r="E1952" s="255" t="s">
        <v>65</v>
      </c>
      <c r="F1952" s="255"/>
      <c r="G1952" s="255"/>
      <c r="H1952" s="255">
        <v>0</v>
      </c>
      <c r="I1952" s="255">
        <v>0</v>
      </c>
      <c r="J1952" s="255">
        <v>0</v>
      </c>
      <c r="K1952" s="255">
        <v>0</v>
      </c>
      <c r="L1952" s="255">
        <v>0</v>
      </c>
      <c r="M1952" s="255">
        <v>0</v>
      </c>
      <c r="N1952" s="255">
        <v>0</v>
      </c>
      <c r="O1952" s="255">
        <v>0</v>
      </c>
      <c r="P1952" s="255">
        <v>0</v>
      </c>
      <c r="Q1952" s="255">
        <v>0</v>
      </c>
      <c r="R1952" s="255">
        <v>0</v>
      </c>
      <c r="S1952" s="255" t="s">
        <v>488</v>
      </c>
      <c r="T1952" s="255" t="s">
        <v>488</v>
      </c>
      <c r="U1952" s="255">
        <v>0</v>
      </c>
      <c r="V1952" s="255">
        <v>0</v>
      </c>
      <c r="W1952">
        <f t="shared" si="30"/>
        <v>0</v>
      </c>
    </row>
    <row r="1953" spans="1:23" x14ac:dyDescent="0.25">
      <c r="A1953" s="2" t="s">
        <v>628</v>
      </c>
      <c r="B1953" s="2" t="s">
        <v>919</v>
      </c>
      <c r="C1953" s="2">
        <v>540153</v>
      </c>
      <c r="D1953" s="2" t="s">
        <v>797</v>
      </c>
      <c r="E1953" s="2" t="s">
        <v>67</v>
      </c>
      <c r="F1953" s="2" t="s">
        <v>5</v>
      </c>
      <c r="G1953" s="2">
        <v>8</v>
      </c>
      <c r="H1953" s="2">
        <v>0</v>
      </c>
      <c r="I1953" s="2">
        <v>0</v>
      </c>
      <c r="J1953" s="2">
        <v>0</v>
      </c>
      <c r="K1953" s="2">
        <v>0</v>
      </c>
      <c r="L1953" s="2">
        <v>0</v>
      </c>
      <c r="M1953" s="2">
        <v>0</v>
      </c>
      <c r="N1953" s="2">
        <v>0</v>
      </c>
      <c r="O1953" s="2">
        <v>0</v>
      </c>
      <c r="P1953" s="2">
        <v>0</v>
      </c>
      <c r="Q1953" s="2" t="s">
        <v>488</v>
      </c>
      <c r="R1953" s="2" t="s">
        <v>488</v>
      </c>
      <c r="S1953" s="2" t="s">
        <v>488</v>
      </c>
      <c r="T1953" s="2" t="s">
        <v>488</v>
      </c>
      <c r="U1953" s="2">
        <v>0</v>
      </c>
      <c r="V1953" s="2">
        <v>0</v>
      </c>
      <c r="W1953">
        <f t="shared" si="30"/>
        <v>0</v>
      </c>
    </row>
    <row r="1954" spans="1:23" x14ac:dyDescent="0.25">
      <c r="A1954" s="2" t="s">
        <v>628</v>
      </c>
      <c r="B1954" s="2" t="s">
        <v>919</v>
      </c>
      <c r="C1954" s="2">
        <v>540154</v>
      </c>
      <c r="D1954" s="2" t="s">
        <v>798</v>
      </c>
      <c r="E1954" s="2" t="s">
        <v>67</v>
      </c>
      <c r="F1954" s="2" t="s">
        <v>115</v>
      </c>
      <c r="G1954" s="2">
        <v>8</v>
      </c>
      <c r="H1954" s="2">
        <v>0</v>
      </c>
      <c r="I1954" s="2">
        <v>0</v>
      </c>
      <c r="J1954" s="2">
        <v>0</v>
      </c>
      <c r="K1954" s="2">
        <v>0</v>
      </c>
      <c r="L1954" s="2">
        <v>0</v>
      </c>
      <c r="M1954" s="2">
        <v>0</v>
      </c>
      <c r="N1954" s="2">
        <v>0</v>
      </c>
      <c r="O1954" s="2">
        <v>0</v>
      </c>
      <c r="P1954" s="2">
        <v>0</v>
      </c>
      <c r="Q1954" s="2" t="s">
        <v>488</v>
      </c>
      <c r="R1954" s="2" t="s">
        <v>488</v>
      </c>
      <c r="S1954" s="2" t="s">
        <v>488</v>
      </c>
      <c r="T1954" s="2" t="s">
        <v>488</v>
      </c>
      <c r="U1954" s="2">
        <v>0</v>
      </c>
      <c r="V1954" s="2">
        <v>0</v>
      </c>
      <c r="W1954">
        <f t="shared" si="30"/>
        <v>0</v>
      </c>
    </row>
    <row r="1955" spans="1:23" x14ac:dyDescent="0.25">
      <c r="A1955" s="255" t="s">
        <v>628</v>
      </c>
      <c r="B1955" s="255" t="s">
        <v>919</v>
      </c>
      <c r="C1955" s="255"/>
      <c r="D1955" s="255"/>
      <c r="E1955" s="255" t="s">
        <v>67</v>
      </c>
      <c r="F1955" s="255"/>
      <c r="G1955" s="255"/>
      <c r="H1955" s="255">
        <v>0</v>
      </c>
      <c r="I1955" s="255">
        <v>0</v>
      </c>
      <c r="J1955" s="255">
        <v>0</v>
      </c>
      <c r="K1955" s="255">
        <v>0</v>
      </c>
      <c r="L1955" s="255">
        <v>0</v>
      </c>
      <c r="M1955" s="255">
        <v>0</v>
      </c>
      <c r="N1955" s="255">
        <v>0</v>
      </c>
      <c r="O1955" s="255">
        <v>0</v>
      </c>
      <c r="P1955" s="255">
        <v>0</v>
      </c>
      <c r="Q1955" s="255" t="s">
        <v>488</v>
      </c>
      <c r="R1955" s="255" t="s">
        <v>488</v>
      </c>
      <c r="S1955" s="255" t="s">
        <v>488</v>
      </c>
      <c r="T1955" s="255" t="s">
        <v>488</v>
      </c>
      <c r="U1955" s="255">
        <v>0</v>
      </c>
      <c r="V1955" s="255">
        <v>0</v>
      </c>
      <c r="W1955">
        <f t="shared" si="30"/>
        <v>0</v>
      </c>
    </row>
    <row r="1956" spans="1:23" x14ac:dyDescent="0.25">
      <c r="A1956" s="2" t="s">
        <v>628</v>
      </c>
      <c r="B1956" s="2" t="s">
        <v>919</v>
      </c>
      <c r="C1956" s="2">
        <v>540160</v>
      </c>
      <c r="D1956" s="2" t="s">
        <v>799</v>
      </c>
      <c r="E1956" s="2" t="s">
        <v>69</v>
      </c>
      <c r="F1956" s="2" t="s">
        <v>5</v>
      </c>
      <c r="G1956" s="2">
        <v>6</v>
      </c>
      <c r="H1956" s="2">
        <v>0</v>
      </c>
      <c r="I1956" s="2">
        <v>0</v>
      </c>
      <c r="J1956" s="2">
        <v>0</v>
      </c>
      <c r="K1956" s="2">
        <v>0</v>
      </c>
      <c r="L1956" s="2">
        <v>0</v>
      </c>
      <c r="M1956" s="2">
        <v>0</v>
      </c>
      <c r="N1956" s="2">
        <v>0</v>
      </c>
      <c r="O1956" s="2">
        <v>0</v>
      </c>
      <c r="P1956" s="2">
        <v>0</v>
      </c>
      <c r="Q1956" s="2">
        <v>0</v>
      </c>
      <c r="R1956" s="2">
        <v>0</v>
      </c>
      <c r="S1956" s="2" t="s">
        <v>488</v>
      </c>
      <c r="T1956" s="2" t="s">
        <v>488</v>
      </c>
      <c r="U1956" s="2">
        <v>0</v>
      </c>
      <c r="V1956" s="2">
        <v>0</v>
      </c>
      <c r="W1956">
        <f t="shared" si="30"/>
        <v>0</v>
      </c>
    </row>
    <row r="1957" spans="1:23" x14ac:dyDescent="0.25">
      <c r="A1957" s="2" t="s">
        <v>628</v>
      </c>
      <c r="B1957" s="2" t="s">
        <v>919</v>
      </c>
      <c r="C1957" s="2">
        <v>540137</v>
      </c>
      <c r="D1957" s="2" t="s">
        <v>800</v>
      </c>
      <c r="E1957" s="2" t="s">
        <v>69</v>
      </c>
      <c r="F1957" s="2" t="s">
        <v>115</v>
      </c>
      <c r="G1957" s="2">
        <v>6</v>
      </c>
      <c r="H1957" s="2">
        <v>0</v>
      </c>
      <c r="I1957" s="2">
        <v>0</v>
      </c>
      <c r="J1957" s="2">
        <v>0</v>
      </c>
      <c r="K1957" s="2">
        <v>0</v>
      </c>
      <c r="L1957" s="2">
        <v>0</v>
      </c>
      <c r="M1957" s="2">
        <v>0</v>
      </c>
      <c r="N1957" s="2">
        <v>0</v>
      </c>
      <c r="O1957" s="2">
        <v>0</v>
      </c>
      <c r="P1957" s="2">
        <v>0</v>
      </c>
      <c r="Q1957" s="2">
        <v>0</v>
      </c>
      <c r="R1957" s="2">
        <v>0</v>
      </c>
      <c r="S1957" s="2" t="s">
        <v>488</v>
      </c>
      <c r="T1957" s="2" t="s">
        <v>488</v>
      </c>
      <c r="U1957" s="2">
        <v>0</v>
      </c>
      <c r="V1957" s="2">
        <v>0</v>
      </c>
      <c r="W1957">
        <f t="shared" si="30"/>
        <v>0</v>
      </c>
    </row>
    <row r="1958" spans="1:23" x14ac:dyDescent="0.25">
      <c r="A1958" s="2" t="s">
        <v>628</v>
      </c>
      <c r="B1958" s="2" t="s">
        <v>919</v>
      </c>
      <c r="C1958" s="2">
        <v>540161</v>
      </c>
      <c r="D1958" s="2" t="s">
        <v>801</v>
      </c>
      <c r="E1958" s="2" t="s">
        <v>69</v>
      </c>
      <c r="F1958" s="2" t="s">
        <v>115</v>
      </c>
      <c r="G1958" s="2">
        <v>6</v>
      </c>
      <c r="H1958" s="2">
        <v>0</v>
      </c>
      <c r="I1958" s="2">
        <v>0</v>
      </c>
      <c r="J1958" s="2">
        <v>0</v>
      </c>
      <c r="K1958" s="2">
        <v>0</v>
      </c>
      <c r="L1958" s="2">
        <v>0</v>
      </c>
      <c r="M1958" s="2">
        <v>0</v>
      </c>
      <c r="N1958" s="2">
        <v>0</v>
      </c>
      <c r="O1958" s="2">
        <v>0</v>
      </c>
      <c r="P1958" s="2">
        <v>0</v>
      </c>
      <c r="Q1958" s="2">
        <v>0</v>
      </c>
      <c r="R1958" s="2">
        <v>0</v>
      </c>
      <c r="S1958" s="2" t="s">
        <v>488</v>
      </c>
      <c r="T1958" s="2" t="s">
        <v>488</v>
      </c>
      <c r="U1958" s="2">
        <v>0</v>
      </c>
      <c r="V1958" s="2">
        <v>0</v>
      </c>
      <c r="W1958">
        <f t="shared" si="30"/>
        <v>0</v>
      </c>
    </row>
    <row r="1959" spans="1:23" x14ac:dyDescent="0.25">
      <c r="A1959" s="2" t="s">
        <v>628</v>
      </c>
      <c r="B1959" s="2" t="s">
        <v>919</v>
      </c>
      <c r="C1959" s="2">
        <v>540162</v>
      </c>
      <c r="D1959" s="2" t="s">
        <v>802</v>
      </c>
      <c r="E1959" s="2" t="s">
        <v>69</v>
      </c>
      <c r="F1959" s="2" t="s">
        <v>115</v>
      </c>
      <c r="G1959" s="2">
        <v>6</v>
      </c>
      <c r="H1959" s="2">
        <v>0</v>
      </c>
      <c r="I1959" s="2">
        <v>0</v>
      </c>
      <c r="J1959" s="2">
        <v>0</v>
      </c>
      <c r="K1959" s="2">
        <v>0</v>
      </c>
      <c r="L1959" s="2">
        <v>0</v>
      </c>
      <c r="M1959" s="2">
        <v>0</v>
      </c>
      <c r="N1959" s="2">
        <v>0</v>
      </c>
      <c r="O1959" s="2">
        <v>0</v>
      </c>
      <c r="P1959" s="2">
        <v>0</v>
      </c>
      <c r="Q1959" s="2">
        <v>0</v>
      </c>
      <c r="R1959" s="2">
        <v>0</v>
      </c>
      <c r="S1959" s="2" t="s">
        <v>488</v>
      </c>
      <c r="T1959" s="2" t="s">
        <v>488</v>
      </c>
      <c r="U1959" s="2">
        <v>0</v>
      </c>
      <c r="V1959" s="2">
        <v>0</v>
      </c>
      <c r="W1959">
        <f t="shared" si="30"/>
        <v>0</v>
      </c>
    </row>
    <row r="1960" spans="1:23" x14ac:dyDescent="0.25">
      <c r="A1960" s="2" t="s">
        <v>628</v>
      </c>
      <c r="B1960" s="2" t="s">
        <v>919</v>
      </c>
      <c r="C1960" s="2">
        <v>540163</v>
      </c>
      <c r="D1960" s="2" t="s">
        <v>803</v>
      </c>
      <c r="E1960" s="2" t="s">
        <v>69</v>
      </c>
      <c r="F1960" s="2" t="s">
        <v>115</v>
      </c>
      <c r="G1960" s="2">
        <v>6</v>
      </c>
      <c r="H1960" s="2">
        <v>0</v>
      </c>
      <c r="I1960" s="2">
        <v>0</v>
      </c>
      <c r="J1960" s="2">
        <v>0</v>
      </c>
      <c r="K1960" s="2">
        <v>0</v>
      </c>
      <c r="L1960" s="2">
        <v>0</v>
      </c>
      <c r="M1960" s="2">
        <v>0</v>
      </c>
      <c r="N1960" s="2">
        <v>0</v>
      </c>
      <c r="O1960" s="2">
        <v>0</v>
      </c>
      <c r="P1960" s="2">
        <v>0</v>
      </c>
      <c r="Q1960" s="2">
        <v>0</v>
      </c>
      <c r="R1960" s="2">
        <v>0</v>
      </c>
      <c r="S1960" s="2" t="s">
        <v>488</v>
      </c>
      <c r="T1960" s="2" t="s">
        <v>488</v>
      </c>
      <c r="U1960" s="2">
        <v>0</v>
      </c>
      <c r="V1960" s="2">
        <v>0</v>
      </c>
      <c r="W1960">
        <f t="shared" si="30"/>
        <v>0</v>
      </c>
    </row>
    <row r="1961" spans="1:23" x14ac:dyDescent="0.25">
      <c r="A1961" s="2" t="s">
        <v>628</v>
      </c>
      <c r="B1961" s="2" t="s">
        <v>919</v>
      </c>
      <c r="C1961" s="2">
        <v>540254</v>
      </c>
      <c r="D1961" s="2" t="s">
        <v>804</v>
      </c>
      <c r="E1961" s="2" t="s">
        <v>69</v>
      </c>
      <c r="F1961" s="2" t="s">
        <v>115</v>
      </c>
      <c r="G1961" s="2">
        <v>6</v>
      </c>
      <c r="H1961" s="2">
        <v>0</v>
      </c>
      <c r="I1961" s="2">
        <v>0</v>
      </c>
      <c r="J1961" s="2">
        <v>0</v>
      </c>
      <c r="K1961" s="2">
        <v>0</v>
      </c>
      <c r="L1961" s="2">
        <v>0</v>
      </c>
      <c r="M1961" s="2">
        <v>0</v>
      </c>
      <c r="N1961" s="2">
        <v>0</v>
      </c>
      <c r="O1961" s="2">
        <v>0</v>
      </c>
      <c r="P1961" s="2">
        <v>0</v>
      </c>
      <c r="Q1961" s="2">
        <v>0</v>
      </c>
      <c r="R1961" s="2">
        <v>0</v>
      </c>
      <c r="S1961" s="2" t="s">
        <v>488</v>
      </c>
      <c r="T1961" s="2" t="s">
        <v>488</v>
      </c>
      <c r="U1961" s="2">
        <v>0</v>
      </c>
      <c r="V1961" s="2">
        <v>0</v>
      </c>
      <c r="W1961">
        <f t="shared" si="30"/>
        <v>0</v>
      </c>
    </row>
    <row r="1962" spans="1:23" x14ac:dyDescent="0.25">
      <c r="A1962" s="2" t="s">
        <v>628</v>
      </c>
      <c r="B1962" s="2" t="s">
        <v>919</v>
      </c>
      <c r="C1962" s="2">
        <v>540257</v>
      </c>
      <c r="D1962" s="2" t="s">
        <v>805</v>
      </c>
      <c r="E1962" s="2" t="s">
        <v>69</v>
      </c>
      <c r="F1962" s="2" t="s">
        <v>115</v>
      </c>
      <c r="G1962" s="2">
        <v>6</v>
      </c>
      <c r="H1962" s="2">
        <v>0</v>
      </c>
      <c r="I1962" s="2">
        <v>0</v>
      </c>
      <c r="J1962" s="2">
        <v>0</v>
      </c>
      <c r="K1962" s="2">
        <v>0</v>
      </c>
      <c r="L1962" s="2">
        <v>0</v>
      </c>
      <c r="M1962" s="2">
        <v>0</v>
      </c>
      <c r="N1962" s="2">
        <v>0</v>
      </c>
      <c r="O1962" s="2">
        <v>0</v>
      </c>
      <c r="P1962" s="2">
        <v>0</v>
      </c>
      <c r="Q1962" s="2">
        <v>0</v>
      </c>
      <c r="R1962" s="2">
        <v>0</v>
      </c>
      <c r="S1962" s="2" t="s">
        <v>488</v>
      </c>
      <c r="T1962" s="2" t="s">
        <v>488</v>
      </c>
      <c r="U1962" s="2">
        <v>0</v>
      </c>
      <c r="V1962" s="2">
        <v>0</v>
      </c>
      <c r="W1962">
        <f t="shared" si="30"/>
        <v>0</v>
      </c>
    </row>
    <row r="1963" spans="1:23" x14ac:dyDescent="0.25">
      <c r="A1963" s="2" t="s">
        <v>628</v>
      </c>
      <c r="B1963" s="2" t="s">
        <v>919</v>
      </c>
      <c r="C1963" s="2">
        <v>540268</v>
      </c>
      <c r="D1963" s="2" t="s">
        <v>806</v>
      </c>
      <c r="E1963" s="2" t="s">
        <v>69</v>
      </c>
      <c r="F1963" s="2" t="s">
        <v>115</v>
      </c>
      <c r="G1963" s="2">
        <v>6</v>
      </c>
      <c r="H1963" s="2">
        <v>0</v>
      </c>
      <c r="I1963" s="2">
        <v>0</v>
      </c>
      <c r="J1963" s="2">
        <v>0</v>
      </c>
      <c r="K1963" s="2">
        <v>0</v>
      </c>
      <c r="L1963" s="2">
        <v>0</v>
      </c>
      <c r="M1963" s="2">
        <v>0</v>
      </c>
      <c r="N1963" s="2">
        <v>0</v>
      </c>
      <c r="O1963" s="2">
        <v>0</v>
      </c>
      <c r="P1963" s="2">
        <v>0</v>
      </c>
      <c r="Q1963" s="2">
        <v>0</v>
      </c>
      <c r="R1963" s="2">
        <v>0</v>
      </c>
      <c r="S1963" s="2" t="s">
        <v>488</v>
      </c>
      <c r="T1963" s="2" t="s">
        <v>488</v>
      </c>
      <c r="U1963" s="2">
        <v>0</v>
      </c>
      <c r="V1963" s="2">
        <v>0</v>
      </c>
      <c r="W1963">
        <f t="shared" si="30"/>
        <v>0</v>
      </c>
    </row>
    <row r="1964" spans="1:23" x14ac:dyDescent="0.25">
      <c r="A1964" s="2" t="s">
        <v>628</v>
      </c>
      <c r="B1964" s="2" t="s">
        <v>919</v>
      </c>
      <c r="C1964" s="2">
        <v>540269</v>
      </c>
      <c r="D1964" s="2" t="s">
        <v>807</v>
      </c>
      <c r="E1964" s="2" t="s">
        <v>69</v>
      </c>
      <c r="F1964" s="2" t="s">
        <v>115</v>
      </c>
      <c r="G1964" s="2">
        <v>6</v>
      </c>
      <c r="H1964" s="2">
        <v>0</v>
      </c>
      <c r="I1964" s="2">
        <v>0</v>
      </c>
      <c r="J1964" s="2">
        <v>0</v>
      </c>
      <c r="K1964" s="2">
        <v>0</v>
      </c>
      <c r="L1964" s="2">
        <v>0</v>
      </c>
      <c r="M1964" s="2">
        <v>0</v>
      </c>
      <c r="N1964" s="2">
        <v>0</v>
      </c>
      <c r="O1964" s="2">
        <v>0</v>
      </c>
      <c r="P1964" s="2">
        <v>0</v>
      </c>
      <c r="Q1964" s="2">
        <v>0</v>
      </c>
      <c r="R1964" s="2">
        <v>0</v>
      </c>
      <c r="S1964" s="2" t="s">
        <v>488</v>
      </c>
      <c r="T1964" s="2" t="s">
        <v>488</v>
      </c>
      <c r="U1964" s="2">
        <v>0</v>
      </c>
      <c r="V1964" s="2">
        <v>0</v>
      </c>
      <c r="W1964">
        <f t="shared" si="30"/>
        <v>0</v>
      </c>
    </row>
    <row r="1965" spans="1:23" x14ac:dyDescent="0.25">
      <c r="A1965" s="2" t="s">
        <v>628</v>
      </c>
      <c r="B1965" s="2" t="s">
        <v>919</v>
      </c>
      <c r="C1965" s="2">
        <v>540270</v>
      </c>
      <c r="D1965" s="2" t="s">
        <v>808</v>
      </c>
      <c r="E1965" s="2" t="s">
        <v>69</v>
      </c>
      <c r="F1965" s="2" t="s">
        <v>115</v>
      </c>
      <c r="G1965" s="2">
        <v>6</v>
      </c>
      <c r="H1965" s="2">
        <v>0</v>
      </c>
      <c r="I1965" s="2">
        <v>0</v>
      </c>
      <c r="J1965" s="2">
        <v>0</v>
      </c>
      <c r="K1965" s="2">
        <v>0</v>
      </c>
      <c r="L1965" s="2">
        <v>0</v>
      </c>
      <c r="M1965" s="2">
        <v>0</v>
      </c>
      <c r="N1965" s="2">
        <v>0</v>
      </c>
      <c r="O1965" s="2">
        <v>0</v>
      </c>
      <c r="P1965" s="2">
        <v>0</v>
      </c>
      <c r="Q1965" s="2">
        <v>0</v>
      </c>
      <c r="R1965" s="2">
        <v>0</v>
      </c>
      <c r="S1965" s="2" t="s">
        <v>488</v>
      </c>
      <c r="T1965" s="2" t="s">
        <v>488</v>
      </c>
      <c r="U1965" s="2">
        <v>0</v>
      </c>
      <c r="V1965" s="2">
        <v>0</v>
      </c>
      <c r="W1965">
        <f t="shared" si="30"/>
        <v>0</v>
      </c>
    </row>
    <row r="1966" spans="1:23" x14ac:dyDescent="0.25">
      <c r="A1966" s="2" t="s">
        <v>628</v>
      </c>
      <c r="B1966" s="2" t="s">
        <v>919</v>
      </c>
      <c r="C1966" s="2">
        <v>540284</v>
      </c>
      <c r="D1966" s="2" t="s">
        <v>809</v>
      </c>
      <c r="E1966" s="2" t="s">
        <v>69</v>
      </c>
      <c r="F1966" s="2" t="s">
        <v>115</v>
      </c>
      <c r="G1966" s="2">
        <v>6</v>
      </c>
      <c r="H1966" s="2">
        <v>0</v>
      </c>
      <c r="I1966" s="2">
        <v>0</v>
      </c>
      <c r="J1966" s="2">
        <v>0</v>
      </c>
      <c r="K1966" s="2">
        <v>0</v>
      </c>
      <c r="L1966" s="2">
        <v>0</v>
      </c>
      <c r="M1966" s="2">
        <v>0</v>
      </c>
      <c r="N1966" s="2">
        <v>0</v>
      </c>
      <c r="O1966" s="2">
        <v>0</v>
      </c>
      <c r="P1966" s="2">
        <v>0</v>
      </c>
      <c r="Q1966" s="2">
        <v>0</v>
      </c>
      <c r="R1966" s="2">
        <v>0</v>
      </c>
      <c r="S1966" s="2" t="s">
        <v>488</v>
      </c>
      <c r="T1966" s="2" t="s">
        <v>488</v>
      </c>
      <c r="U1966" s="2">
        <v>0</v>
      </c>
      <c r="V1966" s="2">
        <v>0</v>
      </c>
      <c r="W1966">
        <f t="shared" si="30"/>
        <v>0</v>
      </c>
    </row>
    <row r="1967" spans="1:23" x14ac:dyDescent="0.25">
      <c r="A1967" s="255" t="s">
        <v>628</v>
      </c>
      <c r="B1967" s="255" t="s">
        <v>919</v>
      </c>
      <c r="C1967" s="255"/>
      <c r="D1967" s="255"/>
      <c r="E1967" s="255" t="s">
        <v>69</v>
      </c>
      <c r="F1967" s="255"/>
      <c r="G1967" s="255"/>
      <c r="H1967" s="255">
        <v>0</v>
      </c>
      <c r="I1967" s="255">
        <v>0</v>
      </c>
      <c r="J1967" s="255">
        <v>0</v>
      </c>
      <c r="K1967" s="255">
        <v>0</v>
      </c>
      <c r="L1967" s="255">
        <v>0</v>
      </c>
      <c r="M1967" s="255">
        <v>0</v>
      </c>
      <c r="N1967" s="255">
        <v>0</v>
      </c>
      <c r="O1967" s="255">
        <v>0</v>
      </c>
      <c r="P1967" s="255">
        <v>0</v>
      </c>
      <c r="Q1967" s="255">
        <v>0</v>
      </c>
      <c r="R1967" s="255">
        <v>0</v>
      </c>
      <c r="S1967" s="255" t="s">
        <v>488</v>
      </c>
      <c r="T1967" s="255" t="s">
        <v>488</v>
      </c>
      <c r="U1967" s="255">
        <v>0</v>
      </c>
      <c r="V1967" s="255">
        <v>0</v>
      </c>
      <c r="W1967">
        <f t="shared" si="30"/>
        <v>0</v>
      </c>
    </row>
    <row r="1968" spans="1:23" x14ac:dyDescent="0.25">
      <c r="A1968" s="2" t="s">
        <v>628</v>
      </c>
      <c r="B1968" s="2" t="s">
        <v>919</v>
      </c>
      <c r="C1968" s="2">
        <v>540164</v>
      </c>
      <c r="D1968" s="2" t="s">
        <v>810</v>
      </c>
      <c r="E1968" s="2" t="s">
        <v>71</v>
      </c>
      <c r="F1968" s="2" t="s">
        <v>5</v>
      </c>
      <c r="G1968" s="2">
        <v>3</v>
      </c>
      <c r="H1968" s="2">
        <v>0</v>
      </c>
      <c r="I1968" s="2">
        <v>0</v>
      </c>
      <c r="J1968" s="2">
        <v>0</v>
      </c>
      <c r="K1968" s="2">
        <v>0</v>
      </c>
      <c r="L1968" s="2">
        <v>0</v>
      </c>
      <c r="M1968" s="2">
        <v>0</v>
      </c>
      <c r="N1968" s="2">
        <v>0</v>
      </c>
      <c r="O1968" s="2">
        <v>0</v>
      </c>
      <c r="P1968" s="2">
        <v>0</v>
      </c>
      <c r="Q1968" s="2">
        <v>0</v>
      </c>
      <c r="R1968" s="2">
        <v>0</v>
      </c>
      <c r="S1968" s="2" t="s">
        <v>488</v>
      </c>
      <c r="T1968" s="2" t="s">
        <v>488</v>
      </c>
      <c r="U1968" s="2">
        <v>0</v>
      </c>
      <c r="V1968" s="2">
        <v>0</v>
      </c>
      <c r="W1968">
        <f t="shared" si="30"/>
        <v>0</v>
      </c>
    </row>
    <row r="1969" spans="1:23" x14ac:dyDescent="0.25">
      <c r="A1969" s="2" t="s">
        <v>628</v>
      </c>
      <c r="B1969" s="2" t="s">
        <v>919</v>
      </c>
      <c r="C1969" s="2">
        <v>540081</v>
      </c>
      <c r="D1969" s="2" t="s">
        <v>711</v>
      </c>
      <c r="E1969" s="2" t="s">
        <v>71</v>
      </c>
      <c r="F1969" s="2" t="s">
        <v>115</v>
      </c>
      <c r="G1969" s="2">
        <v>3</v>
      </c>
      <c r="H1969" s="2">
        <v>0</v>
      </c>
      <c r="I1969" s="2">
        <v>0</v>
      </c>
      <c r="J1969" s="2">
        <v>0</v>
      </c>
      <c r="K1969" s="2">
        <v>0</v>
      </c>
      <c r="L1969" s="2">
        <v>0</v>
      </c>
      <c r="M1969" s="2">
        <v>0</v>
      </c>
      <c r="N1969" s="2">
        <v>0</v>
      </c>
      <c r="O1969" s="2">
        <v>0</v>
      </c>
      <c r="P1969" s="2">
        <v>0</v>
      </c>
      <c r="Q1969" s="2">
        <v>0</v>
      </c>
      <c r="R1969" s="2">
        <v>0</v>
      </c>
      <c r="S1969" s="2" t="s">
        <v>488</v>
      </c>
      <c r="T1969" s="2" t="s">
        <v>488</v>
      </c>
      <c r="U1969" s="2">
        <v>0</v>
      </c>
      <c r="V1969" s="2">
        <v>0</v>
      </c>
      <c r="W1969">
        <f t="shared" si="30"/>
        <v>0</v>
      </c>
    </row>
    <row r="1970" spans="1:23" x14ac:dyDescent="0.25">
      <c r="A1970" s="2" t="s">
        <v>628</v>
      </c>
      <c r="B1970" s="2" t="s">
        <v>919</v>
      </c>
      <c r="C1970" s="2">
        <v>540165</v>
      </c>
      <c r="D1970" s="2" t="s">
        <v>811</v>
      </c>
      <c r="E1970" s="2" t="s">
        <v>71</v>
      </c>
      <c r="F1970" s="2" t="s">
        <v>115</v>
      </c>
      <c r="G1970" s="2">
        <v>3</v>
      </c>
      <c r="H1970" s="2">
        <v>0</v>
      </c>
      <c r="I1970" s="2">
        <v>0</v>
      </c>
      <c r="J1970" s="2">
        <v>0</v>
      </c>
      <c r="K1970" s="2">
        <v>0</v>
      </c>
      <c r="L1970" s="2">
        <v>0</v>
      </c>
      <c r="M1970" s="2">
        <v>0</v>
      </c>
      <c r="N1970" s="2">
        <v>0</v>
      </c>
      <c r="O1970" s="2">
        <v>0</v>
      </c>
      <c r="P1970" s="2">
        <v>0</v>
      </c>
      <c r="Q1970" s="2">
        <v>0</v>
      </c>
      <c r="R1970" s="2">
        <v>0</v>
      </c>
      <c r="S1970" s="2" t="s">
        <v>488</v>
      </c>
      <c r="T1970" s="2" t="s">
        <v>488</v>
      </c>
      <c r="U1970" s="2">
        <v>0</v>
      </c>
      <c r="V1970" s="2">
        <v>0</v>
      </c>
      <c r="W1970">
        <f t="shared" si="30"/>
        <v>0</v>
      </c>
    </row>
    <row r="1971" spans="1:23" x14ac:dyDescent="0.25">
      <c r="A1971" s="2" t="s">
        <v>628</v>
      </c>
      <c r="B1971" s="2" t="s">
        <v>919</v>
      </c>
      <c r="C1971" s="2">
        <v>540166</v>
      </c>
      <c r="D1971" s="2" t="s">
        <v>812</v>
      </c>
      <c r="E1971" s="2" t="s">
        <v>71</v>
      </c>
      <c r="F1971" s="2" t="s">
        <v>115</v>
      </c>
      <c r="G1971" s="2">
        <v>3</v>
      </c>
      <c r="H1971" s="2">
        <v>0</v>
      </c>
      <c r="I1971" s="2">
        <v>0</v>
      </c>
      <c r="J1971" s="2">
        <v>0</v>
      </c>
      <c r="K1971" s="2">
        <v>0</v>
      </c>
      <c r="L1971" s="2">
        <v>0</v>
      </c>
      <c r="M1971" s="2">
        <v>0</v>
      </c>
      <c r="N1971" s="2">
        <v>0</v>
      </c>
      <c r="O1971" s="2">
        <v>0</v>
      </c>
      <c r="P1971" s="2">
        <v>0</v>
      </c>
      <c r="Q1971" s="2">
        <v>0</v>
      </c>
      <c r="R1971" s="2">
        <v>0</v>
      </c>
      <c r="S1971" s="2" t="s">
        <v>488</v>
      </c>
      <c r="T1971" s="2" t="s">
        <v>488</v>
      </c>
      <c r="U1971" s="2">
        <v>0</v>
      </c>
      <c r="V1971" s="2">
        <v>0</v>
      </c>
      <c r="W1971">
        <f t="shared" si="30"/>
        <v>0</v>
      </c>
    </row>
    <row r="1972" spans="1:23" x14ac:dyDescent="0.25">
      <c r="A1972" s="2" t="s">
        <v>628</v>
      </c>
      <c r="B1972" s="2" t="s">
        <v>919</v>
      </c>
      <c r="C1972" s="2">
        <v>540167</v>
      </c>
      <c r="D1972" s="2" t="s">
        <v>813</v>
      </c>
      <c r="E1972" s="2" t="s">
        <v>71</v>
      </c>
      <c r="F1972" s="2" t="s">
        <v>115</v>
      </c>
      <c r="G1972" s="2">
        <v>3</v>
      </c>
      <c r="H1972" s="2">
        <v>0</v>
      </c>
      <c r="I1972" s="2">
        <v>0</v>
      </c>
      <c r="J1972" s="2">
        <v>0</v>
      </c>
      <c r="K1972" s="2">
        <v>0</v>
      </c>
      <c r="L1972" s="2">
        <v>0</v>
      </c>
      <c r="M1972" s="2">
        <v>0</v>
      </c>
      <c r="N1972" s="2">
        <v>0</v>
      </c>
      <c r="O1972" s="2">
        <v>0</v>
      </c>
      <c r="P1972" s="2">
        <v>0</v>
      </c>
      <c r="Q1972" s="2">
        <v>0</v>
      </c>
      <c r="R1972" s="2">
        <v>0</v>
      </c>
      <c r="S1972" s="2" t="s">
        <v>488</v>
      </c>
      <c r="T1972" s="2" t="s">
        <v>488</v>
      </c>
      <c r="U1972" s="2">
        <v>0</v>
      </c>
      <c r="V1972" s="2">
        <v>0</v>
      </c>
      <c r="W1972">
        <f t="shared" si="30"/>
        <v>0</v>
      </c>
    </row>
    <row r="1973" spans="1:23" x14ac:dyDescent="0.25">
      <c r="A1973" s="2" t="s">
        <v>628</v>
      </c>
      <c r="B1973" s="2" t="s">
        <v>919</v>
      </c>
      <c r="C1973" s="2">
        <v>540168</v>
      </c>
      <c r="D1973" s="2" t="s">
        <v>814</v>
      </c>
      <c r="E1973" s="2" t="s">
        <v>71</v>
      </c>
      <c r="F1973" s="2" t="s">
        <v>115</v>
      </c>
      <c r="G1973" s="2">
        <v>3</v>
      </c>
      <c r="H1973" s="2">
        <v>0</v>
      </c>
      <c r="I1973" s="2">
        <v>0</v>
      </c>
      <c r="J1973" s="2">
        <v>0</v>
      </c>
      <c r="K1973" s="2">
        <v>0</v>
      </c>
      <c r="L1973" s="2">
        <v>0</v>
      </c>
      <c r="M1973" s="2">
        <v>0</v>
      </c>
      <c r="N1973" s="2">
        <v>0</v>
      </c>
      <c r="O1973" s="2">
        <v>0</v>
      </c>
      <c r="P1973" s="2">
        <v>0</v>
      </c>
      <c r="Q1973" s="2">
        <v>0</v>
      </c>
      <c r="R1973" s="2">
        <v>0</v>
      </c>
      <c r="S1973" s="2" t="s">
        <v>488</v>
      </c>
      <c r="T1973" s="2" t="s">
        <v>488</v>
      </c>
      <c r="U1973" s="2">
        <v>0</v>
      </c>
      <c r="V1973" s="2">
        <v>0</v>
      </c>
      <c r="W1973">
        <f t="shared" si="30"/>
        <v>0</v>
      </c>
    </row>
    <row r="1974" spans="1:23" x14ac:dyDescent="0.25">
      <c r="A1974" s="2" t="s">
        <v>628</v>
      </c>
      <c r="B1974" s="2" t="s">
        <v>919</v>
      </c>
      <c r="C1974" s="2">
        <v>540222</v>
      </c>
      <c r="D1974" s="2" t="s">
        <v>815</v>
      </c>
      <c r="E1974" s="2" t="s">
        <v>71</v>
      </c>
      <c r="F1974" s="2" t="s">
        <v>115</v>
      </c>
      <c r="G1974" s="2">
        <v>3</v>
      </c>
      <c r="H1974" s="2">
        <v>0</v>
      </c>
      <c r="I1974" s="2">
        <v>0</v>
      </c>
      <c r="J1974" s="2">
        <v>0</v>
      </c>
      <c r="K1974" s="2">
        <v>0</v>
      </c>
      <c r="L1974" s="2">
        <v>0</v>
      </c>
      <c r="M1974" s="2">
        <v>0</v>
      </c>
      <c r="N1974" s="2">
        <v>0</v>
      </c>
      <c r="O1974" s="2">
        <v>0</v>
      </c>
      <c r="P1974" s="2">
        <v>0</v>
      </c>
      <c r="Q1974" s="2">
        <v>0</v>
      </c>
      <c r="R1974" s="2">
        <v>0</v>
      </c>
      <c r="S1974" s="2" t="s">
        <v>488</v>
      </c>
      <c r="T1974" s="2" t="s">
        <v>488</v>
      </c>
      <c r="U1974" s="2">
        <v>0</v>
      </c>
      <c r="V1974" s="2">
        <v>0</v>
      </c>
      <c r="W1974">
        <f t="shared" si="30"/>
        <v>0</v>
      </c>
    </row>
    <row r="1975" spans="1:23" x14ac:dyDescent="0.25">
      <c r="A1975" s="2" t="s">
        <v>628</v>
      </c>
      <c r="B1975" s="2" t="s">
        <v>919</v>
      </c>
      <c r="C1975" s="2">
        <v>540271</v>
      </c>
      <c r="D1975" s="2" t="s">
        <v>816</v>
      </c>
      <c r="E1975" s="2" t="s">
        <v>71</v>
      </c>
      <c r="F1975" s="2" t="s">
        <v>115</v>
      </c>
      <c r="G1975" s="2">
        <v>3</v>
      </c>
      <c r="H1975" s="2">
        <v>0</v>
      </c>
      <c r="I1975" s="2">
        <v>0</v>
      </c>
      <c r="J1975" s="2">
        <v>0</v>
      </c>
      <c r="K1975" s="2">
        <v>0</v>
      </c>
      <c r="L1975" s="2">
        <v>0</v>
      </c>
      <c r="M1975" s="2">
        <v>0</v>
      </c>
      <c r="N1975" s="2">
        <v>0</v>
      </c>
      <c r="O1975" s="2">
        <v>0</v>
      </c>
      <c r="P1975" s="2">
        <v>0</v>
      </c>
      <c r="Q1975" s="2">
        <v>0</v>
      </c>
      <c r="R1975" s="2">
        <v>0</v>
      </c>
      <c r="S1975" s="2" t="s">
        <v>488</v>
      </c>
      <c r="T1975" s="2" t="s">
        <v>488</v>
      </c>
      <c r="U1975" s="2">
        <v>0</v>
      </c>
      <c r="V1975" s="2">
        <v>0</v>
      </c>
      <c r="W1975">
        <f t="shared" si="30"/>
        <v>0</v>
      </c>
    </row>
    <row r="1976" spans="1:23" x14ac:dyDescent="0.25">
      <c r="A1976" s="255" t="s">
        <v>628</v>
      </c>
      <c r="B1976" s="255" t="s">
        <v>919</v>
      </c>
      <c r="C1976" s="255"/>
      <c r="D1976" s="255"/>
      <c r="E1976" s="255" t="s">
        <v>71</v>
      </c>
      <c r="F1976" s="255"/>
      <c r="G1976" s="255"/>
      <c r="H1976" s="255">
        <v>0</v>
      </c>
      <c r="I1976" s="255">
        <v>0</v>
      </c>
      <c r="J1976" s="255">
        <v>0</v>
      </c>
      <c r="K1976" s="255">
        <v>0</v>
      </c>
      <c r="L1976" s="255">
        <v>0</v>
      </c>
      <c r="M1976" s="255">
        <v>0</v>
      </c>
      <c r="N1976" s="255">
        <v>0</v>
      </c>
      <c r="O1976" s="255">
        <v>0</v>
      </c>
      <c r="P1976" s="255">
        <v>0</v>
      </c>
      <c r="Q1976" s="255">
        <v>0</v>
      </c>
      <c r="R1976" s="255">
        <v>0</v>
      </c>
      <c r="S1976" s="255" t="s">
        <v>488</v>
      </c>
      <c r="T1976" s="255" t="s">
        <v>488</v>
      </c>
      <c r="U1976" s="255">
        <v>0</v>
      </c>
      <c r="V1976" s="255">
        <v>0</v>
      </c>
      <c r="W1976">
        <f t="shared" si="30"/>
        <v>0</v>
      </c>
    </row>
    <row r="1977" spans="1:23" x14ac:dyDescent="0.25">
      <c r="A1977" s="2" t="s">
        <v>628</v>
      </c>
      <c r="B1977" s="2" t="s">
        <v>919</v>
      </c>
      <c r="C1977" s="2">
        <v>540169</v>
      </c>
      <c r="D1977" s="2" t="s">
        <v>817</v>
      </c>
      <c r="E1977" s="2" t="s">
        <v>73</v>
      </c>
      <c r="F1977" s="2" t="s">
        <v>5</v>
      </c>
      <c r="G1977" s="2">
        <v>1</v>
      </c>
      <c r="H1977" s="2">
        <v>0</v>
      </c>
      <c r="I1977" s="2">
        <v>0</v>
      </c>
      <c r="J1977" s="2">
        <v>0</v>
      </c>
      <c r="K1977" s="2">
        <v>0</v>
      </c>
      <c r="L1977" s="2">
        <v>0</v>
      </c>
      <c r="M1977" s="2">
        <v>0</v>
      </c>
      <c r="N1977" s="2">
        <v>0</v>
      </c>
      <c r="O1977" s="2">
        <v>0</v>
      </c>
      <c r="P1977" s="2">
        <v>0</v>
      </c>
      <c r="Q1977" s="2">
        <v>0</v>
      </c>
      <c r="R1977" s="2">
        <v>0</v>
      </c>
      <c r="S1977" s="2" t="s">
        <v>488</v>
      </c>
      <c r="T1977" s="2" t="s">
        <v>488</v>
      </c>
      <c r="U1977" s="2">
        <v>0</v>
      </c>
      <c r="V1977" s="2">
        <v>0</v>
      </c>
      <c r="W1977">
        <f t="shared" si="30"/>
        <v>0</v>
      </c>
    </row>
    <row r="1978" spans="1:23" x14ac:dyDescent="0.25">
      <c r="A1978" s="2" t="s">
        <v>628</v>
      </c>
      <c r="B1978" s="2" t="s">
        <v>919</v>
      </c>
      <c r="C1978" s="2">
        <v>540170</v>
      </c>
      <c r="D1978" s="2" t="s">
        <v>818</v>
      </c>
      <c r="E1978" s="2" t="s">
        <v>73</v>
      </c>
      <c r="F1978" s="2" t="s">
        <v>115</v>
      </c>
      <c r="G1978" s="2">
        <v>1</v>
      </c>
      <c r="H1978" s="2">
        <v>0</v>
      </c>
      <c r="I1978" s="2">
        <v>0</v>
      </c>
      <c r="J1978" s="2">
        <v>0</v>
      </c>
      <c r="K1978" s="2">
        <v>0</v>
      </c>
      <c r="L1978" s="2">
        <v>0</v>
      </c>
      <c r="M1978" s="2">
        <v>0</v>
      </c>
      <c r="N1978" s="2">
        <v>0</v>
      </c>
      <c r="O1978" s="2">
        <v>0</v>
      </c>
      <c r="P1978" s="2">
        <v>0</v>
      </c>
      <c r="Q1978" s="2">
        <v>0</v>
      </c>
      <c r="R1978" s="2">
        <v>0</v>
      </c>
      <c r="S1978" s="2" t="s">
        <v>488</v>
      </c>
      <c r="T1978" s="2" t="s">
        <v>488</v>
      </c>
      <c r="U1978" s="2">
        <v>0</v>
      </c>
      <c r="V1978" s="2">
        <v>0</v>
      </c>
      <c r="W1978">
        <f t="shared" si="30"/>
        <v>0</v>
      </c>
    </row>
    <row r="1979" spans="1:23" x14ac:dyDescent="0.25">
      <c r="A1979" s="2" t="s">
        <v>628</v>
      </c>
      <c r="B1979" s="2" t="s">
        <v>919</v>
      </c>
      <c r="C1979" s="2">
        <v>540171</v>
      </c>
      <c r="D1979" s="2" t="s">
        <v>819</v>
      </c>
      <c r="E1979" s="2" t="s">
        <v>73</v>
      </c>
      <c r="F1979" s="2" t="s">
        <v>115</v>
      </c>
      <c r="G1979" s="2">
        <v>1</v>
      </c>
      <c r="H1979" s="2">
        <v>0</v>
      </c>
      <c r="I1979" s="2">
        <v>0</v>
      </c>
      <c r="J1979" s="2">
        <v>0</v>
      </c>
      <c r="K1979" s="2">
        <v>0</v>
      </c>
      <c r="L1979" s="2">
        <v>0</v>
      </c>
      <c r="M1979" s="2">
        <v>0</v>
      </c>
      <c r="N1979" s="2">
        <v>0</v>
      </c>
      <c r="O1979" s="2">
        <v>0</v>
      </c>
      <c r="P1979" s="2">
        <v>0</v>
      </c>
      <c r="Q1979" s="2">
        <v>0</v>
      </c>
      <c r="R1979" s="2">
        <v>0</v>
      </c>
      <c r="S1979" s="2" t="s">
        <v>488</v>
      </c>
      <c r="T1979" s="2" t="s">
        <v>488</v>
      </c>
      <c r="U1979" s="2">
        <v>0</v>
      </c>
      <c r="V1979" s="2">
        <v>0</v>
      </c>
      <c r="W1979">
        <f t="shared" si="30"/>
        <v>0</v>
      </c>
    </row>
    <row r="1980" spans="1:23" x14ac:dyDescent="0.25">
      <c r="A1980" s="2" t="s">
        <v>628</v>
      </c>
      <c r="B1980" s="2" t="s">
        <v>919</v>
      </c>
      <c r="C1980" s="2">
        <v>540173</v>
      </c>
      <c r="D1980" s="2" t="s">
        <v>820</v>
      </c>
      <c r="E1980" s="2" t="s">
        <v>73</v>
      </c>
      <c r="F1980" s="2" t="s">
        <v>115</v>
      </c>
      <c r="G1980" s="2">
        <v>1</v>
      </c>
      <c r="H1980" s="2">
        <v>0</v>
      </c>
      <c r="I1980" s="2">
        <v>0</v>
      </c>
      <c r="J1980" s="2">
        <v>0</v>
      </c>
      <c r="K1980" s="2">
        <v>0</v>
      </c>
      <c r="L1980" s="2">
        <v>0</v>
      </c>
      <c r="M1980" s="2">
        <v>0</v>
      </c>
      <c r="N1980" s="2">
        <v>0</v>
      </c>
      <c r="O1980" s="2">
        <v>0</v>
      </c>
      <c r="P1980" s="2">
        <v>0</v>
      </c>
      <c r="Q1980" s="2">
        <v>0</v>
      </c>
      <c r="R1980" s="2">
        <v>0</v>
      </c>
      <c r="S1980" s="2" t="s">
        <v>488</v>
      </c>
      <c r="T1980" s="2" t="s">
        <v>488</v>
      </c>
      <c r="U1980" s="2">
        <v>0</v>
      </c>
      <c r="V1980" s="2">
        <v>0</v>
      </c>
      <c r="W1980">
        <f t="shared" si="30"/>
        <v>0</v>
      </c>
    </row>
    <row r="1981" spans="1:23" x14ac:dyDescent="0.25">
      <c r="A1981" s="2" t="s">
        <v>628</v>
      </c>
      <c r="B1981" s="2" t="s">
        <v>919</v>
      </c>
      <c r="C1981" s="2">
        <v>540174</v>
      </c>
      <c r="D1981" s="2" t="s">
        <v>821</v>
      </c>
      <c r="E1981" s="2" t="s">
        <v>73</v>
      </c>
      <c r="F1981" s="2" t="s">
        <v>115</v>
      </c>
      <c r="G1981" s="2">
        <v>1</v>
      </c>
      <c r="H1981" s="2">
        <v>0</v>
      </c>
      <c r="I1981" s="2">
        <v>0</v>
      </c>
      <c r="J1981" s="2">
        <v>0</v>
      </c>
      <c r="K1981" s="2">
        <v>0</v>
      </c>
      <c r="L1981" s="2">
        <v>0</v>
      </c>
      <c r="M1981" s="2">
        <v>0</v>
      </c>
      <c r="N1981" s="2">
        <v>0</v>
      </c>
      <c r="O1981" s="2">
        <v>0</v>
      </c>
      <c r="P1981" s="2">
        <v>0</v>
      </c>
      <c r="Q1981" s="2">
        <v>0</v>
      </c>
      <c r="R1981" s="2">
        <v>0</v>
      </c>
      <c r="S1981" s="2" t="s">
        <v>488</v>
      </c>
      <c r="T1981" s="2" t="s">
        <v>488</v>
      </c>
      <c r="U1981" s="2">
        <v>0</v>
      </c>
      <c r="V1981" s="2">
        <v>0</v>
      </c>
      <c r="W1981">
        <f t="shared" si="30"/>
        <v>0</v>
      </c>
    </row>
    <row r="1982" spans="1:23" x14ac:dyDescent="0.25">
      <c r="A1982" s="2" t="s">
        <v>628</v>
      </c>
      <c r="B1982" s="2" t="s">
        <v>919</v>
      </c>
      <c r="C1982" s="2">
        <v>540286</v>
      </c>
      <c r="D1982" s="2" t="s">
        <v>822</v>
      </c>
      <c r="E1982" s="2" t="s">
        <v>73</v>
      </c>
      <c r="F1982" s="2" t="s">
        <v>115</v>
      </c>
      <c r="G1982" s="2">
        <v>1</v>
      </c>
      <c r="H1982" s="2">
        <v>0</v>
      </c>
      <c r="I1982" s="2">
        <v>0</v>
      </c>
      <c r="J1982" s="2">
        <v>0</v>
      </c>
      <c r="K1982" s="2">
        <v>0</v>
      </c>
      <c r="L1982" s="2">
        <v>0</v>
      </c>
      <c r="M1982" s="2">
        <v>0</v>
      </c>
      <c r="N1982" s="2">
        <v>0</v>
      </c>
      <c r="O1982" s="2">
        <v>0</v>
      </c>
      <c r="P1982" s="2">
        <v>0</v>
      </c>
      <c r="Q1982" s="2">
        <v>0</v>
      </c>
      <c r="R1982" s="2">
        <v>0</v>
      </c>
      <c r="S1982" s="2" t="s">
        <v>488</v>
      </c>
      <c r="T1982" s="2" t="s">
        <v>488</v>
      </c>
      <c r="U1982" s="2">
        <v>0</v>
      </c>
      <c r="V1982" s="2">
        <v>0</v>
      </c>
      <c r="W1982">
        <f t="shared" si="30"/>
        <v>0</v>
      </c>
    </row>
    <row r="1983" spans="1:23" x14ac:dyDescent="0.25">
      <c r="A1983" s="255" t="s">
        <v>628</v>
      </c>
      <c r="B1983" s="255" t="s">
        <v>919</v>
      </c>
      <c r="C1983" s="255"/>
      <c r="D1983" s="255"/>
      <c r="E1983" s="255" t="s">
        <v>73</v>
      </c>
      <c r="F1983" s="255"/>
      <c r="G1983" s="255"/>
      <c r="H1983" s="255">
        <v>0</v>
      </c>
      <c r="I1983" s="255">
        <v>0</v>
      </c>
      <c r="J1983" s="255">
        <v>0</v>
      </c>
      <c r="K1983" s="255">
        <v>0</v>
      </c>
      <c r="L1983" s="255">
        <v>0</v>
      </c>
      <c r="M1983" s="255">
        <v>0</v>
      </c>
      <c r="N1983" s="255">
        <v>0</v>
      </c>
      <c r="O1983" s="255">
        <v>0</v>
      </c>
      <c r="P1983" s="255">
        <v>0</v>
      </c>
      <c r="Q1983" s="255">
        <v>0</v>
      </c>
      <c r="R1983" s="255">
        <v>0</v>
      </c>
      <c r="S1983" s="255" t="s">
        <v>488</v>
      </c>
      <c r="T1983" s="255" t="s">
        <v>488</v>
      </c>
      <c r="U1983" s="255">
        <v>0</v>
      </c>
      <c r="V1983" s="255">
        <v>0</v>
      </c>
      <c r="W1983">
        <f t="shared" si="30"/>
        <v>0</v>
      </c>
    </row>
    <row r="1984" spans="1:23" x14ac:dyDescent="0.25">
      <c r="A1984" s="2" t="s">
        <v>628</v>
      </c>
      <c r="B1984" s="2" t="s">
        <v>919</v>
      </c>
      <c r="C1984" s="2">
        <v>540183</v>
      </c>
      <c r="D1984" s="2" t="s">
        <v>823</v>
      </c>
      <c r="E1984" s="2" t="s">
        <v>77</v>
      </c>
      <c r="F1984" s="2" t="s">
        <v>5</v>
      </c>
      <c r="G1984" s="2">
        <v>5</v>
      </c>
      <c r="H1984" s="2">
        <v>0</v>
      </c>
      <c r="I1984" s="2">
        <v>0</v>
      </c>
      <c r="J1984" s="2">
        <v>0</v>
      </c>
      <c r="K1984" s="2">
        <v>0</v>
      </c>
      <c r="L1984" s="2">
        <v>0</v>
      </c>
      <c r="M1984" s="2">
        <v>0</v>
      </c>
      <c r="N1984" s="2">
        <v>0</v>
      </c>
      <c r="O1984" s="2">
        <v>0</v>
      </c>
      <c r="P1984" s="2">
        <v>0</v>
      </c>
      <c r="Q1984" s="2">
        <v>0</v>
      </c>
      <c r="R1984" s="2">
        <v>0</v>
      </c>
      <c r="S1984" s="2" t="s">
        <v>488</v>
      </c>
      <c r="T1984" s="2" t="s">
        <v>488</v>
      </c>
      <c r="U1984" s="2">
        <v>0</v>
      </c>
      <c r="V1984" s="2">
        <v>0</v>
      </c>
      <c r="W1984">
        <f t="shared" si="30"/>
        <v>0</v>
      </c>
    </row>
    <row r="1985" spans="1:23" x14ac:dyDescent="0.25">
      <c r="A1985" s="2" t="s">
        <v>628</v>
      </c>
      <c r="B1985" s="2" t="s">
        <v>919</v>
      </c>
      <c r="C1985" s="2">
        <v>540184</v>
      </c>
      <c r="D1985" s="2" t="s">
        <v>824</v>
      </c>
      <c r="E1985" s="2" t="s">
        <v>77</v>
      </c>
      <c r="F1985" s="2" t="s">
        <v>115</v>
      </c>
      <c r="G1985" s="2">
        <v>5</v>
      </c>
      <c r="H1985" s="2">
        <v>0</v>
      </c>
      <c r="I1985" s="2">
        <v>0</v>
      </c>
      <c r="J1985" s="2">
        <v>0</v>
      </c>
      <c r="K1985" s="2">
        <v>0</v>
      </c>
      <c r="L1985" s="2">
        <v>0</v>
      </c>
      <c r="M1985" s="2">
        <v>0</v>
      </c>
      <c r="N1985" s="2">
        <v>0</v>
      </c>
      <c r="O1985" s="2">
        <v>0</v>
      </c>
      <c r="P1985" s="2">
        <v>0</v>
      </c>
      <c r="Q1985" s="2">
        <v>0</v>
      </c>
      <c r="R1985" s="2">
        <v>0</v>
      </c>
      <c r="S1985" s="2" t="s">
        <v>488</v>
      </c>
      <c r="T1985" s="2" t="s">
        <v>488</v>
      </c>
      <c r="U1985" s="2">
        <v>0</v>
      </c>
      <c r="V1985" s="2">
        <v>0</v>
      </c>
      <c r="W1985">
        <f t="shared" si="30"/>
        <v>0</v>
      </c>
    </row>
    <row r="1986" spans="1:23" x14ac:dyDescent="0.25">
      <c r="A1986" s="2" t="s">
        <v>628</v>
      </c>
      <c r="B1986" s="2" t="s">
        <v>919</v>
      </c>
      <c r="C1986" s="2">
        <v>540185</v>
      </c>
      <c r="D1986" s="2" t="s">
        <v>825</v>
      </c>
      <c r="E1986" s="2" t="s">
        <v>77</v>
      </c>
      <c r="F1986" s="2" t="s">
        <v>115</v>
      </c>
      <c r="G1986" s="2">
        <v>5</v>
      </c>
      <c r="H1986" s="2">
        <v>0</v>
      </c>
      <c r="I1986" s="2">
        <v>0</v>
      </c>
      <c r="J1986" s="2">
        <v>0</v>
      </c>
      <c r="K1986" s="2">
        <v>0</v>
      </c>
      <c r="L1986" s="2">
        <v>0</v>
      </c>
      <c r="M1986" s="2">
        <v>0</v>
      </c>
      <c r="N1986" s="2">
        <v>0</v>
      </c>
      <c r="O1986" s="2">
        <v>0</v>
      </c>
      <c r="P1986" s="2">
        <v>0</v>
      </c>
      <c r="Q1986" s="2">
        <v>0</v>
      </c>
      <c r="R1986" s="2">
        <v>0</v>
      </c>
      <c r="S1986" s="2" t="s">
        <v>488</v>
      </c>
      <c r="T1986" s="2" t="s">
        <v>488</v>
      </c>
      <c r="U1986" s="2">
        <v>0</v>
      </c>
      <c r="V1986" s="2">
        <v>0</v>
      </c>
      <c r="W1986">
        <f t="shared" si="30"/>
        <v>0</v>
      </c>
    </row>
    <row r="1987" spans="1:23" x14ac:dyDescent="0.25">
      <c r="A1987" s="255" t="s">
        <v>628</v>
      </c>
      <c r="B1987" s="255" t="s">
        <v>919</v>
      </c>
      <c r="C1987" s="255"/>
      <c r="D1987" s="255"/>
      <c r="E1987" s="255" t="s">
        <v>77</v>
      </c>
      <c r="F1987" s="255"/>
      <c r="G1987" s="255"/>
      <c r="H1987" s="255">
        <v>0</v>
      </c>
      <c r="I1987" s="255">
        <v>0</v>
      </c>
      <c r="J1987" s="255">
        <v>0</v>
      </c>
      <c r="K1987" s="255">
        <v>0</v>
      </c>
      <c r="L1987" s="255">
        <v>0</v>
      </c>
      <c r="M1987" s="255">
        <v>0</v>
      </c>
      <c r="N1987" s="255">
        <v>0</v>
      </c>
      <c r="O1987" s="255">
        <v>0</v>
      </c>
      <c r="P1987" s="255">
        <v>0</v>
      </c>
      <c r="Q1987" s="255">
        <v>0</v>
      </c>
      <c r="R1987" s="255">
        <v>0</v>
      </c>
      <c r="S1987" s="255" t="s">
        <v>488</v>
      </c>
      <c r="T1987" s="255" t="s">
        <v>488</v>
      </c>
      <c r="U1987" s="255">
        <v>0</v>
      </c>
      <c r="V1987" s="255">
        <v>0</v>
      </c>
      <c r="W1987">
        <f t="shared" ref="W1987:W2050" si="31">SUM(N1987,P1987,R1987,T1987,U1987,V1987)</f>
        <v>0</v>
      </c>
    </row>
    <row r="1988" spans="1:23" x14ac:dyDescent="0.25">
      <c r="A1988" s="2" t="s">
        <v>628</v>
      </c>
      <c r="B1988" s="2" t="s">
        <v>919</v>
      </c>
      <c r="C1988" s="2">
        <v>540186</v>
      </c>
      <c r="D1988" s="2" t="s">
        <v>826</v>
      </c>
      <c r="E1988" s="2" t="s">
        <v>79</v>
      </c>
      <c r="F1988" s="2" t="s">
        <v>5</v>
      </c>
      <c r="G1988" s="2">
        <v>1</v>
      </c>
      <c r="H1988" s="2">
        <v>0</v>
      </c>
      <c r="I1988" s="2">
        <v>0</v>
      </c>
      <c r="J1988" s="2">
        <v>0</v>
      </c>
      <c r="K1988" s="2">
        <v>0</v>
      </c>
      <c r="L1988" s="2">
        <v>0</v>
      </c>
      <c r="M1988" s="2">
        <v>0</v>
      </c>
      <c r="N1988" s="2">
        <v>0</v>
      </c>
      <c r="O1988" s="2">
        <v>0</v>
      </c>
      <c r="P1988" s="2">
        <v>0</v>
      </c>
      <c r="Q1988" s="2">
        <v>0</v>
      </c>
      <c r="R1988" s="2">
        <v>0</v>
      </c>
      <c r="S1988" s="2" t="s">
        <v>488</v>
      </c>
      <c r="T1988" s="2" t="s">
        <v>488</v>
      </c>
      <c r="U1988" s="2">
        <v>0</v>
      </c>
      <c r="V1988" s="2">
        <v>0</v>
      </c>
      <c r="W1988">
        <f t="shared" si="31"/>
        <v>0</v>
      </c>
    </row>
    <row r="1989" spans="1:23" x14ac:dyDescent="0.25">
      <c r="A1989" s="2" t="s">
        <v>628</v>
      </c>
      <c r="B1989" s="2" t="s">
        <v>919</v>
      </c>
      <c r="C1989" s="2">
        <v>540187</v>
      </c>
      <c r="D1989" s="2" t="s">
        <v>827</v>
      </c>
      <c r="E1989" s="2" t="s">
        <v>79</v>
      </c>
      <c r="F1989" s="2" t="s">
        <v>115</v>
      </c>
      <c r="G1989" s="2">
        <v>1</v>
      </c>
      <c r="H1989" s="2">
        <v>0</v>
      </c>
      <c r="I1989" s="2">
        <v>0</v>
      </c>
      <c r="J1989" s="2">
        <v>0</v>
      </c>
      <c r="K1989" s="2">
        <v>0</v>
      </c>
      <c r="L1989" s="2">
        <v>0</v>
      </c>
      <c r="M1989" s="2">
        <v>0</v>
      </c>
      <c r="N1989" s="2">
        <v>0</v>
      </c>
      <c r="O1989" s="2">
        <v>0</v>
      </c>
      <c r="P1989" s="2">
        <v>0</v>
      </c>
      <c r="Q1989" s="2">
        <v>0</v>
      </c>
      <c r="R1989" s="2">
        <v>0</v>
      </c>
      <c r="S1989" s="2" t="s">
        <v>488</v>
      </c>
      <c r="T1989" s="2" t="s">
        <v>488</v>
      </c>
      <c r="U1989" s="2">
        <v>0</v>
      </c>
      <c r="V1989" s="2">
        <v>0</v>
      </c>
      <c r="W1989">
        <f t="shared" si="31"/>
        <v>0</v>
      </c>
    </row>
    <row r="1990" spans="1:23" x14ac:dyDescent="0.25">
      <c r="A1990" s="255" t="s">
        <v>628</v>
      </c>
      <c r="B1990" s="255" t="s">
        <v>919</v>
      </c>
      <c r="C1990" s="255"/>
      <c r="D1990" s="255"/>
      <c r="E1990" s="255" t="s">
        <v>79</v>
      </c>
      <c r="F1990" s="255"/>
      <c r="G1990" s="255"/>
      <c r="H1990" s="255">
        <v>0</v>
      </c>
      <c r="I1990" s="255">
        <v>0</v>
      </c>
      <c r="J1990" s="255">
        <v>0</v>
      </c>
      <c r="K1990" s="255">
        <v>0</v>
      </c>
      <c r="L1990" s="255">
        <v>0</v>
      </c>
      <c r="M1990" s="255">
        <v>0</v>
      </c>
      <c r="N1990" s="255">
        <v>0</v>
      </c>
      <c r="O1990" s="255">
        <v>0</v>
      </c>
      <c r="P1990" s="255">
        <v>0</v>
      </c>
      <c r="Q1990" s="255">
        <v>0</v>
      </c>
      <c r="R1990" s="255">
        <v>0</v>
      </c>
      <c r="S1990" s="255" t="s">
        <v>488</v>
      </c>
      <c r="T1990" s="255" t="s">
        <v>488</v>
      </c>
      <c r="U1990" s="255">
        <v>0</v>
      </c>
      <c r="V1990" s="255">
        <v>0</v>
      </c>
      <c r="W1990">
        <f t="shared" si="31"/>
        <v>0</v>
      </c>
    </row>
    <row r="1991" spans="1:23" x14ac:dyDescent="0.25">
      <c r="A1991" s="2" t="s">
        <v>628</v>
      </c>
      <c r="B1991" s="2" t="s">
        <v>919</v>
      </c>
      <c r="C1991" s="2">
        <v>540188</v>
      </c>
      <c r="D1991" s="2" t="s">
        <v>828</v>
      </c>
      <c r="E1991" s="2" t="s">
        <v>81</v>
      </c>
      <c r="F1991" s="2" t="s">
        <v>5</v>
      </c>
      <c r="G1991" s="2">
        <v>6</v>
      </c>
      <c r="H1991" s="2">
        <v>0</v>
      </c>
      <c r="I1991" s="2">
        <v>0</v>
      </c>
      <c r="J1991" s="2">
        <v>0</v>
      </c>
      <c r="K1991" s="2">
        <v>0</v>
      </c>
      <c r="L1991" s="2">
        <v>0</v>
      </c>
      <c r="M1991" s="2">
        <v>0</v>
      </c>
      <c r="N1991" s="2">
        <v>0</v>
      </c>
      <c r="O1991" s="2">
        <v>0</v>
      </c>
      <c r="P1991" s="2">
        <v>0</v>
      </c>
      <c r="Q1991" s="2">
        <v>0</v>
      </c>
      <c r="R1991" s="2">
        <v>0</v>
      </c>
      <c r="S1991" s="2" t="s">
        <v>488</v>
      </c>
      <c r="T1991" s="2" t="s">
        <v>488</v>
      </c>
      <c r="U1991" s="2">
        <v>0</v>
      </c>
      <c r="V1991" s="2">
        <v>0</v>
      </c>
      <c r="W1991">
        <f t="shared" si="31"/>
        <v>0</v>
      </c>
    </row>
    <row r="1992" spans="1:23" x14ac:dyDescent="0.25">
      <c r="A1992" s="2" t="s">
        <v>628</v>
      </c>
      <c r="B1992" s="2" t="s">
        <v>919</v>
      </c>
      <c r="C1992" s="2">
        <v>540189</v>
      </c>
      <c r="D1992" s="2" t="s">
        <v>829</v>
      </c>
      <c r="E1992" s="2" t="s">
        <v>81</v>
      </c>
      <c r="F1992" s="2" t="s">
        <v>115</v>
      </c>
      <c r="G1992" s="2">
        <v>6</v>
      </c>
      <c r="H1992" s="2">
        <v>0</v>
      </c>
      <c r="I1992" s="2">
        <v>0</v>
      </c>
      <c r="J1992" s="2">
        <v>0</v>
      </c>
      <c r="K1992" s="2">
        <v>0</v>
      </c>
      <c r="L1992" s="2">
        <v>0</v>
      </c>
      <c r="M1992" s="2">
        <v>0</v>
      </c>
      <c r="N1992" s="2">
        <v>0</v>
      </c>
      <c r="O1992" s="2">
        <v>0</v>
      </c>
      <c r="P1992" s="2">
        <v>0</v>
      </c>
      <c r="Q1992" s="2">
        <v>0</v>
      </c>
      <c r="R1992" s="2">
        <v>0</v>
      </c>
      <c r="S1992" s="2" t="s">
        <v>488</v>
      </c>
      <c r="T1992" s="2" t="s">
        <v>488</v>
      </c>
      <c r="U1992" s="2">
        <v>0</v>
      </c>
      <c r="V1992" s="2">
        <v>0</v>
      </c>
      <c r="W1992">
        <f t="shared" si="31"/>
        <v>0</v>
      </c>
    </row>
    <row r="1993" spans="1:23" x14ac:dyDescent="0.25">
      <c r="A1993" s="2" t="s">
        <v>628</v>
      </c>
      <c r="B1993" s="2" t="s">
        <v>919</v>
      </c>
      <c r="C1993" s="2">
        <v>540190</v>
      </c>
      <c r="D1993" s="2" t="s">
        <v>830</v>
      </c>
      <c r="E1993" s="2" t="s">
        <v>81</v>
      </c>
      <c r="F1993" s="2" t="s">
        <v>115</v>
      </c>
      <c r="G1993" s="2">
        <v>6</v>
      </c>
      <c r="H1993" s="2">
        <v>0</v>
      </c>
      <c r="I1993" s="2">
        <v>0</v>
      </c>
      <c r="J1993" s="2">
        <v>0</v>
      </c>
      <c r="K1993" s="2">
        <v>0</v>
      </c>
      <c r="L1993" s="2">
        <v>0</v>
      </c>
      <c r="M1993" s="2">
        <v>0</v>
      </c>
      <c r="N1993" s="2">
        <v>0</v>
      </c>
      <c r="O1993" s="2">
        <v>0</v>
      </c>
      <c r="P1993" s="2">
        <v>0</v>
      </c>
      <c r="Q1993" s="2">
        <v>0</v>
      </c>
      <c r="R1993" s="2">
        <v>0</v>
      </c>
      <c r="S1993" s="2" t="s">
        <v>488</v>
      </c>
      <c r="T1993" s="2" t="s">
        <v>488</v>
      </c>
      <c r="U1993" s="2">
        <v>0</v>
      </c>
      <c r="V1993" s="2">
        <v>0</v>
      </c>
      <c r="W1993">
        <f t="shared" si="31"/>
        <v>0</v>
      </c>
    </row>
    <row r="1994" spans="1:23" x14ac:dyDescent="0.25">
      <c r="A1994" s="255" t="s">
        <v>628</v>
      </c>
      <c r="B1994" s="255" t="s">
        <v>919</v>
      </c>
      <c r="C1994" s="255"/>
      <c r="D1994" s="255"/>
      <c r="E1994" s="255" t="s">
        <v>81</v>
      </c>
      <c r="F1994" s="255"/>
      <c r="G1994" s="255"/>
      <c r="H1994" s="255">
        <v>0</v>
      </c>
      <c r="I1994" s="255">
        <v>0</v>
      </c>
      <c r="J1994" s="255">
        <v>0</v>
      </c>
      <c r="K1994" s="255">
        <v>0</v>
      </c>
      <c r="L1994" s="255">
        <v>0</v>
      </c>
      <c r="M1994" s="255">
        <v>0</v>
      </c>
      <c r="N1994" s="255">
        <v>0</v>
      </c>
      <c r="O1994" s="255">
        <v>0</v>
      </c>
      <c r="P1994" s="255">
        <v>0</v>
      </c>
      <c r="Q1994" s="255">
        <v>0</v>
      </c>
      <c r="R1994" s="255">
        <v>0</v>
      </c>
      <c r="S1994" s="255" t="s">
        <v>488</v>
      </c>
      <c r="T1994" s="255" t="s">
        <v>488</v>
      </c>
      <c r="U1994" s="255">
        <v>0</v>
      </c>
      <c r="V1994" s="255">
        <v>0</v>
      </c>
      <c r="W1994">
        <f t="shared" si="31"/>
        <v>0</v>
      </c>
    </row>
    <row r="1995" spans="1:23" x14ac:dyDescent="0.25">
      <c r="A1995" s="2" t="s">
        <v>628</v>
      </c>
      <c r="B1995" s="2" t="s">
        <v>919</v>
      </c>
      <c r="C1995" s="2">
        <v>540198</v>
      </c>
      <c r="D1995" s="2" t="s">
        <v>831</v>
      </c>
      <c r="E1995" s="2" t="s">
        <v>83</v>
      </c>
      <c r="F1995" s="2" t="s">
        <v>5</v>
      </c>
      <c r="G1995" s="2">
        <v>7</v>
      </c>
      <c r="H1995" s="2">
        <v>0</v>
      </c>
      <c r="I1995" s="2">
        <v>0</v>
      </c>
      <c r="J1995" s="2">
        <v>0</v>
      </c>
      <c r="K1995" s="2">
        <v>0</v>
      </c>
      <c r="L1995" s="2">
        <v>0</v>
      </c>
      <c r="M1995" s="2">
        <v>0</v>
      </c>
      <c r="N1995" s="2">
        <v>0</v>
      </c>
      <c r="O1995" s="2">
        <v>0</v>
      </c>
      <c r="P1995" s="2">
        <v>0</v>
      </c>
      <c r="Q1995" s="2" t="s">
        <v>488</v>
      </c>
      <c r="R1995" s="2" t="s">
        <v>488</v>
      </c>
      <c r="S1995" s="2" t="s">
        <v>488</v>
      </c>
      <c r="T1995" s="2" t="s">
        <v>488</v>
      </c>
      <c r="U1995" s="2">
        <v>0</v>
      </c>
      <c r="V1995" s="2">
        <v>0</v>
      </c>
      <c r="W1995">
        <f t="shared" si="31"/>
        <v>0</v>
      </c>
    </row>
    <row r="1996" spans="1:23" x14ac:dyDescent="0.25">
      <c r="A1996" s="2" t="s">
        <v>628</v>
      </c>
      <c r="B1996" s="2" t="s">
        <v>919</v>
      </c>
      <c r="C1996" s="2">
        <v>540199</v>
      </c>
      <c r="D1996" s="2" t="s">
        <v>832</v>
      </c>
      <c r="E1996" s="2" t="s">
        <v>83</v>
      </c>
      <c r="F1996" s="2" t="s">
        <v>115</v>
      </c>
      <c r="G1996" s="2">
        <v>7</v>
      </c>
      <c r="H1996" s="2">
        <v>0</v>
      </c>
      <c r="I1996" s="2">
        <v>0</v>
      </c>
      <c r="J1996" s="2">
        <v>0</v>
      </c>
      <c r="K1996" s="2">
        <v>0</v>
      </c>
      <c r="L1996" s="2">
        <v>0</v>
      </c>
      <c r="M1996" s="2">
        <v>0</v>
      </c>
      <c r="N1996" s="2">
        <v>0</v>
      </c>
      <c r="O1996" s="2">
        <v>0</v>
      </c>
      <c r="P1996" s="2">
        <v>0</v>
      </c>
      <c r="Q1996" s="2" t="s">
        <v>488</v>
      </c>
      <c r="R1996" s="2" t="s">
        <v>488</v>
      </c>
      <c r="S1996" s="2" t="s">
        <v>488</v>
      </c>
      <c r="T1996" s="2" t="s">
        <v>488</v>
      </c>
      <c r="U1996" s="2">
        <v>0</v>
      </c>
      <c r="V1996" s="2">
        <v>0</v>
      </c>
      <c r="W1996">
        <f t="shared" si="31"/>
        <v>0</v>
      </c>
    </row>
    <row r="1997" spans="1:23" x14ac:dyDescent="0.25">
      <c r="A1997" s="255" t="s">
        <v>628</v>
      </c>
      <c r="B1997" s="255" t="s">
        <v>919</v>
      </c>
      <c r="C1997" s="255"/>
      <c r="D1997" s="255"/>
      <c r="E1997" s="255" t="s">
        <v>83</v>
      </c>
      <c r="F1997" s="255"/>
      <c r="G1997" s="255"/>
      <c r="H1997" s="255">
        <v>0</v>
      </c>
      <c r="I1997" s="255">
        <v>0</v>
      </c>
      <c r="J1997" s="255">
        <v>0</v>
      </c>
      <c r="K1997" s="255">
        <v>0</v>
      </c>
      <c r="L1997" s="255">
        <v>0</v>
      </c>
      <c r="M1997" s="255">
        <v>0</v>
      </c>
      <c r="N1997" s="255">
        <v>0</v>
      </c>
      <c r="O1997" s="255">
        <v>0</v>
      </c>
      <c r="P1997" s="255">
        <v>0</v>
      </c>
      <c r="Q1997" s="255" t="s">
        <v>488</v>
      </c>
      <c r="R1997" s="255" t="s">
        <v>488</v>
      </c>
      <c r="S1997" s="255" t="s">
        <v>488</v>
      </c>
      <c r="T1997" s="255" t="s">
        <v>488</v>
      </c>
      <c r="U1997" s="255">
        <v>0</v>
      </c>
      <c r="V1997" s="255">
        <v>0</v>
      </c>
      <c r="W1997">
        <f t="shared" si="31"/>
        <v>0</v>
      </c>
    </row>
    <row r="1998" spans="1:23" x14ac:dyDescent="0.25">
      <c r="A1998" s="2" t="s">
        <v>628</v>
      </c>
      <c r="B1998" s="2" t="s">
        <v>919</v>
      </c>
      <c r="C1998" s="2">
        <v>540200</v>
      </c>
      <c r="D1998" s="2" t="s">
        <v>833</v>
      </c>
      <c r="E1998" s="2" t="s">
        <v>85</v>
      </c>
      <c r="F1998" s="2" t="s">
        <v>5</v>
      </c>
      <c r="G1998" s="2">
        <v>2</v>
      </c>
      <c r="H1998" s="2">
        <v>0</v>
      </c>
      <c r="I1998" s="2">
        <v>0</v>
      </c>
      <c r="J1998" s="2">
        <v>0</v>
      </c>
      <c r="K1998" s="2">
        <v>0</v>
      </c>
      <c r="L1998" s="2">
        <v>0</v>
      </c>
      <c r="M1998" s="2">
        <v>0</v>
      </c>
      <c r="N1998" s="2">
        <v>0</v>
      </c>
      <c r="O1998" s="2">
        <v>0</v>
      </c>
      <c r="P1998" s="2">
        <v>0</v>
      </c>
      <c r="Q1998" s="2">
        <v>0</v>
      </c>
      <c r="R1998" s="2">
        <v>0</v>
      </c>
      <c r="S1998" s="2" t="s">
        <v>488</v>
      </c>
      <c r="T1998" s="2" t="s">
        <v>488</v>
      </c>
      <c r="U1998" s="2">
        <v>0</v>
      </c>
      <c r="V1998" s="2">
        <v>0</v>
      </c>
      <c r="W1998">
        <f t="shared" si="31"/>
        <v>0</v>
      </c>
    </row>
    <row r="1999" spans="1:23" x14ac:dyDescent="0.25">
      <c r="A1999" s="2" t="s">
        <v>628</v>
      </c>
      <c r="B1999" s="2" t="s">
        <v>919</v>
      </c>
      <c r="C1999" s="2">
        <v>540018</v>
      </c>
      <c r="D1999" s="2" t="s">
        <v>651</v>
      </c>
      <c r="E1999" s="2" t="s">
        <v>85</v>
      </c>
      <c r="F1999" s="2" t="s">
        <v>115</v>
      </c>
      <c r="G1999" s="2">
        <v>2</v>
      </c>
      <c r="H1999" s="2">
        <v>0</v>
      </c>
      <c r="I1999" s="2">
        <v>0</v>
      </c>
      <c r="J1999" s="2">
        <v>0</v>
      </c>
      <c r="K1999" s="2">
        <v>0</v>
      </c>
      <c r="L1999" s="2">
        <v>0</v>
      </c>
      <c r="M1999" s="2">
        <v>0</v>
      </c>
      <c r="N1999" s="2">
        <v>0</v>
      </c>
      <c r="O1999" s="2">
        <v>0</v>
      </c>
      <c r="P1999" s="2">
        <v>0</v>
      </c>
      <c r="Q1999" s="2">
        <v>0</v>
      </c>
      <c r="R1999" s="2">
        <v>0</v>
      </c>
      <c r="S1999" s="2" t="s">
        <v>488</v>
      </c>
      <c r="T1999" s="2" t="s">
        <v>488</v>
      </c>
      <c r="U1999" s="2">
        <v>0</v>
      </c>
      <c r="V1999" s="2">
        <v>0</v>
      </c>
      <c r="W1999">
        <f t="shared" si="31"/>
        <v>0</v>
      </c>
    </row>
    <row r="2000" spans="1:23" x14ac:dyDescent="0.25">
      <c r="A2000" s="2" t="s">
        <v>628</v>
      </c>
      <c r="B2000" s="2" t="s">
        <v>919</v>
      </c>
      <c r="C2000" s="2">
        <v>540202</v>
      </c>
      <c r="D2000" s="2" t="s">
        <v>834</v>
      </c>
      <c r="E2000" s="2" t="s">
        <v>85</v>
      </c>
      <c r="F2000" s="2" t="s">
        <v>115</v>
      </c>
      <c r="G2000" s="2">
        <v>2</v>
      </c>
      <c r="H2000" s="2">
        <v>0</v>
      </c>
      <c r="I2000" s="2">
        <v>0</v>
      </c>
      <c r="J2000" s="2">
        <v>0</v>
      </c>
      <c r="K2000" s="2">
        <v>0</v>
      </c>
      <c r="L2000" s="2">
        <v>0</v>
      </c>
      <c r="M2000" s="2">
        <v>0</v>
      </c>
      <c r="N2000" s="2">
        <v>0</v>
      </c>
      <c r="O2000" s="2">
        <v>0</v>
      </c>
      <c r="P2000" s="2">
        <v>0</v>
      </c>
      <c r="Q2000" s="2">
        <v>0</v>
      </c>
      <c r="R2000" s="2">
        <v>0</v>
      </c>
      <c r="S2000" s="2" t="s">
        <v>488</v>
      </c>
      <c r="T2000" s="2" t="s">
        <v>488</v>
      </c>
      <c r="U2000" s="2">
        <v>0</v>
      </c>
      <c r="V2000" s="2">
        <v>0</v>
      </c>
      <c r="W2000">
        <f t="shared" si="31"/>
        <v>0</v>
      </c>
    </row>
    <row r="2001" spans="1:23" x14ac:dyDescent="0.25">
      <c r="A2001" s="2" t="s">
        <v>628</v>
      </c>
      <c r="B2001" s="2" t="s">
        <v>919</v>
      </c>
      <c r="C2001" s="2">
        <v>540221</v>
      </c>
      <c r="D2001" s="2" t="s">
        <v>835</v>
      </c>
      <c r="E2001" s="2" t="s">
        <v>85</v>
      </c>
      <c r="F2001" s="2" t="s">
        <v>115</v>
      </c>
      <c r="G2001" s="2">
        <v>2</v>
      </c>
      <c r="H2001" s="2">
        <v>0</v>
      </c>
      <c r="I2001" s="2">
        <v>0</v>
      </c>
      <c r="J2001" s="2">
        <v>0</v>
      </c>
      <c r="K2001" s="2">
        <v>0</v>
      </c>
      <c r="L2001" s="2">
        <v>0</v>
      </c>
      <c r="M2001" s="2">
        <v>0</v>
      </c>
      <c r="N2001" s="2">
        <v>0</v>
      </c>
      <c r="O2001" s="2">
        <v>0</v>
      </c>
      <c r="P2001" s="2">
        <v>0</v>
      </c>
      <c r="Q2001" s="2">
        <v>0</v>
      </c>
      <c r="R2001" s="2">
        <v>0</v>
      </c>
      <c r="S2001" s="2" t="s">
        <v>488</v>
      </c>
      <c r="T2001" s="2" t="s">
        <v>488</v>
      </c>
      <c r="U2001" s="2">
        <v>0</v>
      </c>
      <c r="V2001" s="2">
        <v>0</v>
      </c>
      <c r="W2001">
        <f t="shared" si="31"/>
        <v>0</v>
      </c>
    </row>
    <row r="2002" spans="1:23" x14ac:dyDescent="0.25">
      <c r="A2002" s="2" t="s">
        <v>628</v>
      </c>
      <c r="B2002" s="2" t="s">
        <v>919</v>
      </c>
      <c r="C2002" s="2">
        <v>540231</v>
      </c>
      <c r="D2002" s="2" t="s">
        <v>836</v>
      </c>
      <c r="E2002" s="2" t="s">
        <v>85</v>
      </c>
      <c r="F2002" s="2" t="s">
        <v>115</v>
      </c>
      <c r="G2002" s="2">
        <v>2</v>
      </c>
      <c r="H2002" s="2">
        <v>0</v>
      </c>
      <c r="I2002" s="2">
        <v>0</v>
      </c>
      <c r="J2002" s="2">
        <v>0</v>
      </c>
      <c r="K2002" s="2">
        <v>0</v>
      </c>
      <c r="L2002" s="2">
        <v>0</v>
      </c>
      <c r="M2002" s="2">
        <v>0</v>
      </c>
      <c r="N2002" s="2">
        <v>0</v>
      </c>
      <c r="O2002" s="2">
        <v>0</v>
      </c>
      <c r="P2002" s="2">
        <v>0</v>
      </c>
      <c r="Q2002" s="2">
        <v>0</v>
      </c>
      <c r="R2002" s="2">
        <v>0</v>
      </c>
      <c r="S2002" s="2" t="s">
        <v>488</v>
      </c>
      <c r="T2002" s="2" t="s">
        <v>488</v>
      </c>
      <c r="U2002" s="2">
        <v>0</v>
      </c>
      <c r="V2002" s="2">
        <v>0</v>
      </c>
      <c r="W2002">
        <f t="shared" si="31"/>
        <v>0</v>
      </c>
    </row>
    <row r="2003" spans="1:23" x14ac:dyDescent="0.25">
      <c r="A2003" s="2" t="s">
        <v>628</v>
      </c>
      <c r="B2003" s="2" t="s">
        <v>919</v>
      </c>
      <c r="C2003" s="2">
        <v>540232</v>
      </c>
      <c r="D2003" s="2" t="s">
        <v>837</v>
      </c>
      <c r="E2003" s="2" t="s">
        <v>85</v>
      </c>
      <c r="F2003" s="2" t="s">
        <v>115</v>
      </c>
      <c r="G2003" s="2">
        <v>2</v>
      </c>
      <c r="H2003" s="2">
        <v>0</v>
      </c>
      <c r="I2003" s="2">
        <v>0</v>
      </c>
      <c r="J2003" s="2">
        <v>0</v>
      </c>
      <c r="K2003" s="2">
        <v>0</v>
      </c>
      <c r="L2003" s="2">
        <v>0</v>
      </c>
      <c r="M2003" s="2">
        <v>0</v>
      </c>
      <c r="N2003" s="2">
        <v>0</v>
      </c>
      <c r="O2003" s="2">
        <v>0</v>
      </c>
      <c r="P2003" s="2">
        <v>0</v>
      </c>
      <c r="Q2003" s="2">
        <v>0</v>
      </c>
      <c r="R2003" s="2">
        <v>0</v>
      </c>
      <c r="S2003" s="2" t="s">
        <v>488</v>
      </c>
      <c r="T2003" s="2" t="s">
        <v>488</v>
      </c>
      <c r="U2003" s="2">
        <v>0</v>
      </c>
      <c r="V2003" s="2">
        <v>0</v>
      </c>
      <c r="W2003">
        <f t="shared" si="31"/>
        <v>0</v>
      </c>
    </row>
    <row r="2004" spans="1:23" x14ac:dyDescent="0.25">
      <c r="A2004" s="255" t="s">
        <v>628</v>
      </c>
      <c r="B2004" s="255" t="s">
        <v>919</v>
      </c>
      <c r="C2004" s="255"/>
      <c r="D2004" s="255"/>
      <c r="E2004" s="255" t="s">
        <v>85</v>
      </c>
      <c r="F2004" s="255"/>
      <c r="G2004" s="255"/>
      <c r="H2004" s="255">
        <v>0</v>
      </c>
      <c r="I2004" s="255">
        <v>0</v>
      </c>
      <c r="J2004" s="255">
        <v>0</v>
      </c>
      <c r="K2004" s="255">
        <v>0</v>
      </c>
      <c r="L2004" s="255">
        <v>0</v>
      </c>
      <c r="M2004" s="255">
        <v>0</v>
      </c>
      <c r="N2004" s="255">
        <v>0</v>
      </c>
      <c r="O2004" s="255">
        <v>0</v>
      </c>
      <c r="P2004" s="255">
        <v>0</v>
      </c>
      <c r="Q2004" s="255">
        <v>0</v>
      </c>
      <c r="R2004" s="255">
        <v>0</v>
      </c>
      <c r="S2004" s="255" t="s">
        <v>488</v>
      </c>
      <c r="T2004" s="255" t="s">
        <v>488</v>
      </c>
      <c r="U2004" s="255">
        <v>0</v>
      </c>
      <c r="V2004" s="255">
        <v>0</v>
      </c>
      <c r="W2004">
        <f t="shared" si="31"/>
        <v>0</v>
      </c>
    </row>
    <row r="2005" spans="1:23" x14ac:dyDescent="0.25">
      <c r="A2005" s="2" t="s">
        <v>628</v>
      </c>
      <c r="B2005" s="2" t="s">
        <v>919</v>
      </c>
      <c r="C2005" s="2">
        <v>540203</v>
      </c>
      <c r="D2005" s="2" t="s">
        <v>838</v>
      </c>
      <c r="E2005" s="2" t="s">
        <v>87</v>
      </c>
      <c r="F2005" s="2" t="s">
        <v>5</v>
      </c>
      <c r="G2005" s="2">
        <v>4</v>
      </c>
      <c r="H2005" s="2">
        <v>0</v>
      </c>
      <c r="I2005" s="2">
        <v>0</v>
      </c>
      <c r="J2005" s="2">
        <v>0</v>
      </c>
      <c r="K2005" s="2">
        <v>0</v>
      </c>
      <c r="L2005" s="2">
        <v>0</v>
      </c>
      <c r="M2005" s="2">
        <v>0</v>
      </c>
      <c r="N2005" s="2">
        <v>0</v>
      </c>
      <c r="O2005" s="2">
        <v>0</v>
      </c>
      <c r="P2005" s="2">
        <v>0</v>
      </c>
      <c r="Q2005" s="2" t="s">
        <v>488</v>
      </c>
      <c r="R2005" s="2" t="s">
        <v>488</v>
      </c>
      <c r="S2005" s="2" t="s">
        <v>488</v>
      </c>
      <c r="T2005" s="2" t="s">
        <v>488</v>
      </c>
      <c r="U2005" s="2">
        <v>0</v>
      </c>
      <c r="V2005" s="2">
        <v>0</v>
      </c>
      <c r="W2005">
        <f t="shared" si="31"/>
        <v>0</v>
      </c>
    </row>
    <row r="2006" spans="1:23" x14ac:dyDescent="0.25">
      <c r="A2006" s="2" t="s">
        <v>628</v>
      </c>
      <c r="B2006" s="2" t="s">
        <v>919</v>
      </c>
      <c r="C2006" s="2">
        <v>540204</v>
      </c>
      <c r="D2006" s="2" t="s">
        <v>839</v>
      </c>
      <c r="E2006" s="2" t="s">
        <v>87</v>
      </c>
      <c r="F2006" s="2" t="s">
        <v>115</v>
      </c>
      <c r="G2006" s="2">
        <v>4</v>
      </c>
      <c r="H2006" s="2">
        <v>0</v>
      </c>
      <c r="I2006" s="2">
        <v>0</v>
      </c>
      <c r="J2006" s="2">
        <v>0</v>
      </c>
      <c r="K2006" s="2">
        <v>0</v>
      </c>
      <c r="L2006" s="2">
        <v>0</v>
      </c>
      <c r="M2006" s="2">
        <v>0</v>
      </c>
      <c r="N2006" s="2">
        <v>0</v>
      </c>
      <c r="O2006" s="2">
        <v>0</v>
      </c>
      <c r="P2006" s="2">
        <v>0</v>
      </c>
      <c r="Q2006" s="2" t="s">
        <v>488</v>
      </c>
      <c r="R2006" s="2" t="s">
        <v>488</v>
      </c>
      <c r="S2006" s="2" t="s">
        <v>488</v>
      </c>
      <c r="T2006" s="2" t="s">
        <v>488</v>
      </c>
      <c r="U2006" s="2">
        <v>0</v>
      </c>
      <c r="V2006" s="2">
        <v>0</v>
      </c>
      <c r="W2006">
        <f t="shared" si="31"/>
        <v>0</v>
      </c>
    </row>
    <row r="2007" spans="1:23" x14ac:dyDescent="0.25">
      <c r="A2007" s="2" t="s">
        <v>628</v>
      </c>
      <c r="B2007" s="2" t="s">
        <v>919</v>
      </c>
      <c r="C2007" s="2">
        <v>540205</v>
      </c>
      <c r="D2007" s="2" t="s">
        <v>840</v>
      </c>
      <c r="E2007" s="2" t="s">
        <v>87</v>
      </c>
      <c r="F2007" s="2" t="s">
        <v>115</v>
      </c>
      <c r="G2007" s="2">
        <v>4</v>
      </c>
      <c r="H2007" s="2">
        <v>0</v>
      </c>
      <c r="I2007" s="2">
        <v>0</v>
      </c>
      <c r="J2007" s="2">
        <v>0</v>
      </c>
      <c r="K2007" s="2">
        <v>0</v>
      </c>
      <c r="L2007" s="2">
        <v>0</v>
      </c>
      <c r="M2007" s="2">
        <v>0</v>
      </c>
      <c r="N2007" s="2">
        <v>0</v>
      </c>
      <c r="O2007" s="2">
        <v>0</v>
      </c>
      <c r="P2007" s="2">
        <v>0</v>
      </c>
      <c r="Q2007" s="2" t="s">
        <v>488</v>
      </c>
      <c r="R2007" s="2" t="s">
        <v>488</v>
      </c>
      <c r="S2007" s="2" t="s">
        <v>488</v>
      </c>
      <c r="T2007" s="2" t="s">
        <v>488</v>
      </c>
      <c r="U2007" s="2">
        <v>0</v>
      </c>
      <c r="V2007" s="2">
        <v>0</v>
      </c>
      <c r="W2007">
        <f t="shared" si="31"/>
        <v>0</v>
      </c>
    </row>
    <row r="2008" spans="1:23" x14ac:dyDescent="0.25">
      <c r="A2008" s="2" t="s">
        <v>628</v>
      </c>
      <c r="B2008" s="2" t="s">
        <v>919</v>
      </c>
      <c r="C2008" s="2">
        <v>540206</v>
      </c>
      <c r="D2008" s="2" t="s">
        <v>841</v>
      </c>
      <c r="E2008" s="2" t="s">
        <v>87</v>
      </c>
      <c r="F2008" s="2" t="s">
        <v>115</v>
      </c>
      <c r="G2008" s="2">
        <v>4</v>
      </c>
      <c r="H2008" s="2">
        <v>0</v>
      </c>
      <c r="I2008" s="2">
        <v>0</v>
      </c>
      <c r="J2008" s="2">
        <v>0</v>
      </c>
      <c r="K2008" s="2">
        <v>0</v>
      </c>
      <c r="L2008" s="2">
        <v>0</v>
      </c>
      <c r="M2008" s="2">
        <v>0</v>
      </c>
      <c r="N2008" s="2">
        <v>0</v>
      </c>
      <c r="O2008" s="2">
        <v>0</v>
      </c>
      <c r="P2008" s="2">
        <v>0</v>
      </c>
      <c r="Q2008" s="2" t="s">
        <v>488</v>
      </c>
      <c r="R2008" s="2" t="s">
        <v>488</v>
      </c>
      <c r="S2008" s="2" t="s">
        <v>488</v>
      </c>
      <c r="T2008" s="2" t="s">
        <v>488</v>
      </c>
      <c r="U2008" s="2">
        <v>0</v>
      </c>
      <c r="V2008" s="2">
        <v>0</v>
      </c>
      <c r="W2008">
        <f t="shared" si="31"/>
        <v>0</v>
      </c>
    </row>
    <row r="2009" spans="1:23" x14ac:dyDescent="0.25">
      <c r="A2009" s="255" t="s">
        <v>628</v>
      </c>
      <c r="B2009" s="255" t="s">
        <v>919</v>
      </c>
      <c r="C2009" s="255"/>
      <c r="D2009" s="255"/>
      <c r="E2009" s="255" t="s">
        <v>87</v>
      </c>
      <c r="F2009" s="255"/>
      <c r="G2009" s="255"/>
      <c r="H2009" s="255">
        <v>0</v>
      </c>
      <c r="I2009" s="255">
        <v>0</v>
      </c>
      <c r="J2009" s="255">
        <v>0</v>
      </c>
      <c r="K2009" s="255">
        <v>0</v>
      </c>
      <c r="L2009" s="255">
        <v>0</v>
      </c>
      <c r="M2009" s="255">
        <v>0</v>
      </c>
      <c r="N2009" s="255">
        <v>0</v>
      </c>
      <c r="O2009" s="255">
        <v>0</v>
      </c>
      <c r="P2009" s="255">
        <v>0</v>
      </c>
      <c r="Q2009" s="255" t="s">
        <v>488</v>
      </c>
      <c r="R2009" s="255" t="s">
        <v>488</v>
      </c>
      <c r="S2009" s="255" t="s">
        <v>488</v>
      </c>
      <c r="T2009" s="255" t="s">
        <v>488</v>
      </c>
      <c r="U2009" s="255">
        <v>0</v>
      </c>
      <c r="V2009" s="255">
        <v>0</v>
      </c>
      <c r="W2009">
        <f t="shared" si="31"/>
        <v>0</v>
      </c>
    </row>
    <row r="2010" spans="1:23" x14ac:dyDescent="0.25">
      <c r="A2010" s="2" t="s">
        <v>628</v>
      </c>
      <c r="B2010" s="2" t="s">
        <v>919</v>
      </c>
      <c r="C2010" s="2">
        <v>540207</v>
      </c>
      <c r="D2010" s="2" t="s">
        <v>842</v>
      </c>
      <c r="E2010" s="2" t="s">
        <v>89</v>
      </c>
      <c r="F2010" s="2" t="s">
        <v>5</v>
      </c>
      <c r="G2010" s="2">
        <v>10</v>
      </c>
      <c r="H2010" s="2">
        <v>0</v>
      </c>
      <c r="I2010" s="2">
        <v>0</v>
      </c>
      <c r="J2010" s="2">
        <v>0</v>
      </c>
      <c r="K2010" s="2">
        <v>0</v>
      </c>
      <c r="L2010" s="2">
        <v>0</v>
      </c>
      <c r="M2010" s="2">
        <v>0</v>
      </c>
      <c r="N2010" s="2">
        <v>0</v>
      </c>
      <c r="O2010" s="2">
        <v>0</v>
      </c>
      <c r="P2010" s="2">
        <v>0</v>
      </c>
      <c r="Q2010" s="2" t="s">
        <v>488</v>
      </c>
      <c r="R2010" s="2" t="s">
        <v>488</v>
      </c>
      <c r="S2010" s="2" t="s">
        <v>488</v>
      </c>
      <c r="T2010" s="2" t="s">
        <v>488</v>
      </c>
      <c r="U2010" s="2">
        <v>0</v>
      </c>
      <c r="V2010" s="2">
        <v>0</v>
      </c>
      <c r="W2010">
        <f t="shared" si="31"/>
        <v>0</v>
      </c>
    </row>
    <row r="2011" spans="1:23" x14ac:dyDescent="0.25">
      <c r="A2011" s="2" t="s">
        <v>628</v>
      </c>
      <c r="B2011" s="2" t="s">
        <v>919</v>
      </c>
      <c r="C2011" s="2">
        <v>540196</v>
      </c>
      <c r="D2011" s="2" t="s">
        <v>843</v>
      </c>
      <c r="E2011" s="2" t="s">
        <v>89</v>
      </c>
      <c r="F2011" s="2" t="s">
        <v>115</v>
      </c>
      <c r="G2011" s="2">
        <v>5</v>
      </c>
      <c r="H2011" s="2">
        <v>0</v>
      </c>
      <c r="I2011" s="2">
        <v>0</v>
      </c>
      <c r="J2011" s="2">
        <v>0</v>
      </c>
      <c r="K2011" s="2">
        <v>0</v>
      </c>
      <c r="L2011" s="2">
        <v>0</v>
      </c>
      <c r="M2011" s="2">
        <v>0</v>
      </c>
      <c r="N2011" s="2">
        <v>0</v>
      </c>
      <c r="O2011" s="2">
        <v>0</v>
      </c>
      <c r="P2011" s="2">
        <v>0</v>
      </c>
      <c r="Q2011" s="2" t="s">
        <v>488</v>
      </c>
      <c r="R2011" s="2" t="s">
        <v>488</v>
      </c>
      <c r="S2011" s="2" t="s">
        <v>488</v>
      </c>
      <c r="T2011" s="2" t="s">
        <v>488</v>
      </c>
      <c r="U2011" s="2">
        <v>0</v>
      </c>
      <c r="V2011" s="2">
        <v>0</v>
      </c>
      <c r="W2011">
        <f t="shared" si="31"/>
        <v>0</v>
      </c>
    </row>
    <row r="2012" spans="1:23" x14ac:dyDescent="0.25">
      <c r="A2012" s="2" t="s">
        <v>628</v>
      </c>
      <c r="B2012" s="2" t="s">
        <v>919</v>
      </c>
      <c r="C2012" s="2">
        <v>540208</v>
      </c>
      <c r="D2012" s="2" t="s">
        <v>844</v>
      </c>
      <c r="E2012" s="2" t="s">
        <v>89</v>
      </c>
      <c r="F2012" s="2" t="s">
        <v>115</v>
      </c>
      <c r="G2012" s="2">
        <v>10</v>
      </c>
      <c r="H2012" s="2">
        <v>0</v>
      </c>
      <c r="I2012" s="2">
        <v>0</v>
      </c>
      <c r="J2012" s="2">
        <v>0</v>
      </c>
      <c r="K2012" s="2">
        <v>0</v>
      </c>
      <c r="L2012" s="2">
        <v>0</v>
      </c>
      <c r="M2012" s="2">
        <v>0</v>
      </c>
      <c r="N2012" s="2">
        <v>0</v>
      </c>
      <c r="O2012" s="2">
        <v>0</v>
      </c>
      <c r="P2012" s="2">
        <v>0</v>
      </c>
      <c r="Q2012" s="2" t="s">
        <v>488</v>
      </c>
      <c r="R2012" s="2" t="s">
        <v>488</v>
      </c>
      <c r="S2012" s="2" t="s">
        <v>488</v>
      </c>
      <c r="T2012" s="2" t="s">
        <v>488</v>
      </c>
      <c r="U2012" s="2">
        <v>0</v>
      </c>
      <c r="V2012" s="2">
        <v>0</v>
      </c>
      <c r="W2012">
        <f t="shared" si="31"/>
        <v>0</v>
      </c>
    </row>
    <row r="2013" spans="1:23" x14ac:dyDescent="0.25">
      <c r="A2013" s="2" t="s">
        <v>628</v>
      </c>
      <c r="B2013" s="2" t="s">
        <v>919</v>
      </c>
      <c r="C2013" s="2">
        <v>540210</v>
      </c>
      <c r="D2013" s="2" t="s">
        <v>845</v>
      </c>
      <c r="E2013" s="2" t="s">
        <v>89</v>
      </c>
      <c r="F2013" s="2" t="s">
        <v>115</v>
      </c>
      <c r="G2013" s="2">
        <v>10</v>
      </c>
      <c r="H2013" s="2">
        <v>0</v>
      </c>
      <c r="I2013" s="2">
        <v>0</v>
      </c>
      <c r="J2013" s="2">
        <v>0</v>
      </c>
      <c r="K2013" s="2">
        <v>0</v>
      </c>
      <c r="L2013" s="2">
        <v>0</v>
      </c>
      <c r="M2013" s="2">
        <v>0</v>
      </c>
      <c r="N2013" s="2">
        <v>0</v>
      </c>
      <c r="O2013" s="2">
        <v>0</v>
      </c>
      <c r="P2013" s="2">
        <v>0</v>
      </c>
      <c r="Q2013" s="2" t="s">
        <v>488</v>
      </c>
      <c r="R2013" s="2" t="s">
        <v>488</v>
      </c>
      <c r="S2013" s="2" t="s">
        <v>488</v>
      </c>
      <c r="T2013" s="2" t="s">
        <v>488</v>
      </c>
      <c r="U2013" s="2">
        <v>0</v>
      </c>
      <c r="V2013" s="2">
        <v>0</v>
      </c>
      <c r="W2013">
        <f t="shared" si="31"/>
        <v>0</v>
      </c>
    </row>
    <row r="2014" spans="1:23" x14ac:dyDescent="0.25">
      <c r="A2014" s="2" t="s">
        <v>628</v>
      </c>
      <c r="B2014" s="2" t="s">
        <v>919</v>
      </c>
      <c r="C2014" s="2">
        <v>540256</v>
      </c>
      <c r="D2014" s="2" t="s">
        <v>846</v>
      </c>
      <c r="E2014" s="2" t="s">
        <v>89</v>
      </c>
      <c r="F2014" s="2" t="s">
        <v>115</v>
      </c>
      <c r="G2014" s="2">
        <v>10</v>
      </c>
      <c r="H2014" s="2">
        <v>0</v>
      </c>
      <c r="I2014" s="2">
        <v>0</v>
      </c>
      <c r="J2014" s="2">
        <v>0</v>
      </c>
      <c r="K2014" s="2">
        <v>0</v>
      </c>
      <c r="L2014" s="2">
        <v>0</v>
      </c>
      <c r="M2014" s="2">
        <v>0</v>
      </c>
      <c r="N2014" s="2">
        <v>0</v>
      </c>
      <c r="O2014" s="2">
        <v>0</v>
      </c>
      <c r="P2014" s="2">
        <v>0</v>
      </c>
      <c r="Q2014" s="2" t="s">
        <v>488</v>
      </c>
      <c r="R2014" s="2" t="s">
        <v>488</v>
      </c>
      <c r="S2014" s="2" t="s">
        <v>488</v>
      </c>
      <c r="T2014" s="2" t="s">
        <v>488</v>
      </c>
      <c r="U2014" s="2">
        <v>0</v>
      </c>
      <c r="V2014" s="2">
        <v>0</v>
      </c>
      <c r="W2014">
        <f t="shared" si="31"/>
        <v>0</v>
      </c>
    </row>
    <row r="2015" spans="1:23" x14ac:dyDescent="0.25">
      <c r="A2015" s="2" t="s">
        <v>628</v>
      </c>
      <c r="B2015" s="2" t="s">
        <v>919</v>
      </c>
      <c r="C2015" s="2">
        <v>540258</v>
      </c>
      <c r="D2015" s="2" t="s">
        <v>847</v>
      </c>
      <c r="E2015" s="2" t="s">
        <v>89</v>
      </c>
      <c r="F2015" s="2" t="s">
        <v>115</v>
      </c>
      <c r="G2015" s="2">
        <v>10</v>
      </c>
      <c r="H2015" s="2">
        <v>0</v>
      </c>
      <c r="I2015" s="2">
        <v>0</v>
      </c>
      <c r="J2015" s="2">
        <v>0</v>
      </c>
      <c r="K2015" s="2">
        <v>0</v>
      </c>
      <c r="L2015" s="2">
        <v>0</v>
      </c>
      <c r="M2015" s="2">
        <v>0</v>
      </c>
      <c r="N2015" s="2">
        <v>0</v>
      </c>
      <c r="O2015" s="2">
        <v>0</v>
      </c>
      <c r="P2015" s="2">
        <v>0</v>
      </c>
      <c r="Q2015" s="2" t="s">
        <v>488</v>
      </c>
      <c r="R2015" s="2" t="s">
        <v>488</v>
      </c>
      <c r="S2015" s="2" t="s">
        <v>488</v>
      </c>
      <c r="T2015" s="2" t="s">
        <v>488</v>
      </c>
      <c r="U2015" s="2">
        <v>0</v>
      </c>
      <c r="V2015" s="2">
        <v>0</v>
      </c>
      <c r="W2015">
        <f t="shared" si="31"/>
        <v>0</v>
      </c>
    </row>
    <row r="2016" spans="1:23" x14ac:dyDescent="0.25">
      <c r="A2016" s="255" t="s">
        <v>628</v>
      </c>
      <c r="B2016" s="255" t="s">
        <v>919</v>
      </c>
      <c r="C2016" s="255"/>
      <c r="D2016" s="255"/>
      <c r="E2016" s="255" t="s">
        <v>89</v>
      </c>
      <c r="F2016" s="255"/>
      <c r="G2016" s="255"/>
      <c r="H2016" s="255">
        <v>0</v>
      </c>
      <c r="I2016" s="255">
        <v>0</v>
      </c>
      <c r="J2016" s="255">
        <v>0</v>
      </c>
      <c r="K2016" s="255">
        <v>0</v>
      </c>
      <c r="L2016" s="255">
        <v>0</v>
      </c>
      <c r="M2016" s="255">
        <v>0</v>
      </c>
      <c r="N2016" s="255">
        <v>0</v>
      </c>
      <c r="O2016" s="255">
        <v>0</v>
      </c>
      <c r="P2016" s="255">
        <v>0</v>
      </c>
      <c r="Q2016" s="255" t="s">
        <v>488</v>
      </c>
      <c r="R2016" s="255" t="s">
        <v>488</v>
      </c>
      <c r="S2016" s="255" t="s">
        <v>488</v>
      </c>
      <c r="T2016" s="255" t="s">
        <v>488</v>
      </c>
      <c r="U2016" s="255">
        <v>0</v>
      </c>
      <c r="V2016" s="255">
        <v>0</v>
      </c>
      <c r="W2016">
        <f t="shared" si="31"/>
        <v>0</v>
      </c>
    </row>
    <row r="2017" spans="1:23" x14ac:dyDescent="0.25">
      <c r="A2017" s="2" t="s">
        <v>628</v>
      </c>
      <c r="B2017" s="2" t="s">
        <v>919</v>
      </c>
      <c r="C2017" s="2">
        <v>540211</v>
      </c>
      <c r="D2017" s="2" t="s">
        <v>848</v>
      </c>
      <c r="E2017" s="2" t="s">
        <v>91</v>
      </c>
      <c r="F2017" s="2" t="s">
        <v>5</v>
      </c>
      <c r="G2017" s="2">
        <v>5</v>
      </c>
      <c r="H2017" s="2">
        <v>0</v>
      </c>
      <c r="I2017" s="2">
        <v>0</v>
      </c>
      <c r="J2017" s="2">
        <v>0</v>
      </c>
      <c r="K2017" s="2">
        <v>0</v>
      </c>
      <c r="L2017" s="2">
        <v>0</v>
      </c>
      <c r="M2017" s="2">
        <v>0</v>
      </c>
      <c r="N2017" s="2">
        <v>0</v>
      </c>
      <c r="O2017" s="2">
        <v>0</v>
      </c>
      <c r="P2017" s="2">
        <v>0</v>
      </c>
      <c r="Q2017" s="2" t="s">
        <v>488</v>
      </c>
      <c r="R2017" s="2" t="s">
        <v>488</v>
      </c>
      <c r="S2017" s="2" t="s">
        <v>488</v>
      </c>
      <c r="T2017" s="2" t="s">
        <v>488</v>
      </c>
      <c r="U2017" s="2">
        <v>0</v>
      </c>
      <c r="V2017" s="2">
        <v>0</v>
      </c>
      <c r="W2017">
        <f t="shared" si="31"/>
        <v>0</v>
      </c>
    </row>
    <row r="2018" spans="1:23" x14ac:dyDescent="0.25">
      <c r="A2018" s="2" t="s">
        <v>628</v>
      </c>
      <c r="B2018" s="2" t="s">
        <v>919</v>
      </c>
      <c r="C2018" s="2">
        <v>540212</v>
      </c>
      <c r="D2018" s="2" t="s">
        <v>849</v>
      </c>
      <c r="E2018" s="2" t="s">
        <v>91</v>
      </c>
      <c r="F2018" s="2" t="s">
        <v>115</v>
      </c>
      <c r="G2018" s="2">
        <v>5</v>
      </c>
      <c r="H2018" s="2">
        <v>0</v>
      </c>
      <c r="I2018" s="2">
        <v>0</v>
      </c>
      <c r="J2018" s="2">
        <v>0</v>
      </c>
      <c r="K2018" s="2">
        <v>0</v>
      </c>
      <c r="L2018" s="2">
        <v>0</v>
      </c>
      <c r="M2018" s="2">
        <v>0</v>
      </c>
      <c r="N2018" s="2">
        <v>0</v>
      </c>
      <c r="O2018" s="2">
        <v>0</v>
      </c>
      <c r="P2018" s="2">
        <v>0</v>
      </c>
      <c r="Q2018" s="2" t="s">
        <v>488</v>
      </c>
      <c r="R2018" s="2" t="s">
        <v>488</v>
      </c>
      <c r="S2018" s="2" t="s">
        <v>488</v>
      </c>
      <c r="T2018" s="2" t="s">
        <v>488</v>
      </c>
      <c r="U2018" s="2">
        <v>0</v>
      </c>
      <c r="V2018" s="2">
        <v>0</v>
      </c>
      <c r="W2018">
        <f t="shared" si="31"/>
        <v>0</v>
      </c>
    </row>
    <row r="2019" spans="1:23" x14ac:dyDescent="0.25">
      <c r="A2019" s="255" t="s">
        <v>628</v>
      </c>
      <c r="B2019" s="255" t="s">
        <v>919</v>
      </c>
      <c r="C2019" s="255"/>
      <c r="D2019" s="255"/>
      <c r="E2019" s="255" t="s">
        <v>91</v>
      </c>
      <c r="F2019" s="255"/>
      <c r="G2019" s="255"/>
      <c r="H2019" s="255">
        <v>0</v>
      </c>
      <c r="I2019" s="255">
        <v>0</v>
      </c>
      <c r="J2019" s="255">
        <v>0</v>
      </c>
      <c r="K2019" s="255">
        <v>0</v>
      </c>
      <c r="L2019" s="255">
        <v>0</v>
      </c>
      <c r="M2019" s="255">
        <v>0</v>
      </c>
      <c r="N2019" s="255">
        <v>0</v>
      </c>
      <c r="O2019" s="255">
        <v>0</v>
      </c>
      <c r="P2019" s="255">
        <v>0</v>
      </c>
      <c r="Q2019" s="255" t="s">
        <v>488</v>
      </c>
      <c r="R2019" s="255" t="s">
        <v>488</v>
      </c>
      <c r="S2019" s="255" t="s">
        <v>488</v>
      </c>
      <c r="T2019" s="255" t="s">
        <v>488</v>
      </c>
      <c r="U2019" s="255">
        <v>0</v>
      </c>
      <c r="V2019" s="255">
        <v>0</v>
      </c>
      <c r="W2019">
        <f t="shared" si="31"/>
        <v>0</v>
      </c>
    </row>
    <row r="2020" spans="1:23" x14ac:dyDescent="0.25">
      <c r="A2020" s="2" t="s">
        <v>628</v>
      </c>
      <c r="B2020" s="2" t="s">
        <v>919</v>
      </c>
      <c r="C2020" s="2">
        <v>540213</v>
      </c>
      <c r="D2020" s="2" t="s">
        <v>850</v>
      </c>
      <c r="E2020" s="2" t="s">
        <v>93</v>
      </c>
      <c r="F2020" s="2" t="s">
        <v>5</v>
      </c>
      <c r="G2020" s="2">
        <v>5</v>
      </c>
      <c r="H2020" s="2">
        <v>0</v>
      </c>
      <c r="I2020" s="2">
        <v>0</v>
      </c>
      <c r="J2020" s="2">
        <v>0</v>
      </c>
      <c r="K2020" s="2">
        <v>0</v>
      </c>
      <c r="L2020" s="2">
        <v>0</v>
      </c>
      <c r="M2020" s="2">
        <v>0</v>
      </c>
      <c r="N2020" s="2">
        <v>0</v>
      </c>
      <c r="O2020" s="2">
        <v>0</v>
      </c>
      <c r="P2020" s="2">
        <v>0</v>
      </c>
      <c r="Q2020" s="2" t="s">
        <v>488</v>
      </c>
      <c r="R2020" s="2" t="s">
        <v>488</v>
      </c>
      <c r="S2020" s="2" t="s">
        <v>488</v>
      </c>
      <c r="T2020" s="2" t="s">
        <v>488</v>
      </c>
      <c r="U2020" s="2">
        <v>0</v>
      </c>
      <c r="V2020" s="2">
        <v>0</v>
      </c>
      <c r="W2020">
        <f t="shared" si="31"/>
        <v>0</v>
      </c>
    </row>
    <row r="2021" spans="1:23" x14ac:dyDescent="0.25">
      <c r="A2021" s="2" t="s">
        <v>628</v>
      </c>
      <c r="B2021" s="2" t="s">
        <v>919</v>
      </c>
      <c r="C2021" s="2">
        <v>540042</v>
      </c>
      <c r="D2021" s="2" t="s">
        <v>851</v>
      </c>
      <c r="E2021" s="2" t="s">
        <v>93</v>
      </c>
      <c r="F2021" s="2" t="s">
        <v>115</v>
      </c>
      <c r="G2021" s="2">
        <v>5</v>
      </c>
      <c r="H2021" s="2">
        <v>0</v>
      </c>
      <c r="I2021" s="2">
        <v>0</v>
      </c>
      <c r="J2021" s="2">
        <v>0</v>
      </c>
      <c r="K2021" s="2">
        <v>0</v>
      </c>
      <c r="L2021" s="2">
        <v>0</v>
      </c>
      <c r="M2021" s="2">
        <v>0</v>
      </c>
      <c r="N2021" s="2">
        <v>0</v>
      </c>
      <c r="O2021" s="2">
        <v>0</v>
      </c>
      <c r="P2021" s="2">
        <v>0</v>
      </c>
      <c r="Q2021" s="2" t="s">
        <v>488</v>
      </c>
      <c r="R2021" s="2" t="s">
        <v>488</v>
      </c>
      <c r="S2021" s="2" t="s">
        <v>488</v>
      </c>
      <c r="T2021" s="2" t="s">
        <v>488</v>
      </c>
      <c r="U2021" s="2">
        <v>0</v>
      </c>
      <c r="V2021" s="2">
        <v>0</v>
      </c>
      <c r="W2021">
        <f t="shared" si="31"/>
        <v>0</v>
      </c>
    </row>
    <row r="2022" spans="1:23" x14ac:dyDescent="0.25">
      <c r="A2022" s="2" t="s">
        <v>628</v>
      </c>
      <c r="B2022" s="2" t="s">
        <v>919</v>
      </c>
      <c r="C2022" s="2">
        <v>540214</v>
      </c>
      <c r="D2022" s="2" t="s">
        <v>852</v>
      </c>
      <c r="E2022" s="2" t="s">
        <v>93</v>
      </c>
      <c r="F2022" s="2" t="s">
        <v>115</v>
      </c>
      <c r="G2022" s="2">
        <v>5</v>
      </c>
      <c r="H2022" s="2">
        <v>0</v>
      </c>
      <c r="I2022" s="2">
        <v>0</v>
      </c>
      <c r="J2022" s="2">
        <v>0</v>
      </c>
      <c r="K2022" s="2">
        <v>0</v>
      </c>
      <c r="L2022" s="2">
        <v>0</v>
      </c>
      <c r="M2022" s="2">
        <v>0</v>
      </c>
      <c r="N2022" s="2">
        <v>0</v>
      </c>
      <c r="O2022" s="2">
        <v>0</v>
      </c>
      <c r="P2022" s="2">
        <v>0</v>
      </c>
      <c r="Q2022" s="2" t="s">
        <v>488</v>
      </c>
      <c r="R2022" s="2" t="s">
        <v>488</v>
      </c>
      <c r="S2022" s="2" t="s">
        <v>488</v>
      </c>
      <c r="T2022" s="2" t="s">
        <v>488</v>
      </c>
      <c r="U2022" s="2">
        <v>0</v>
      </c>
      <c r="V2022" s="2">
        <v>0</v>
      </c>
      <c r="W2022">
        <f t="shared" si="31"/>
        <v>0</v>
      </c>
    </row>
    <row r="2023" spans="1:23" x14ac:dyDescent="0.25">
      <c r="A2023" s="2" t="s">
        <v>628</v>
      </c>
      <c r="B2023" s="2" t="s">
        <v>919</v>
      </c>
      <c r="C2023" s="2">
        <v>540215</v>
      </c>
      <c r="D2023" s="2" t="s">
        <v>853</v>
      </c>
      <c r="E2023" s="2" t="s">
        <v>93</v>
      </c>
      <c r="F2023" s="2" t="s">
        <v>115</v>
      </c>
      <c r="G2023" s="2">
        <v>5</v>
      </c>
      <c r="H2023" s="2">
        <v>0</v>
      </c>
      <c r="I2023" s="2">
        <v>0</v>
      </c>
      <c r="J2023" s="2">
        <v>0</v>
      </c>
      <c r="K2023" s="2">
        <v>0</v>
      </c>
      <c r="L2023" s="2">
        <v>0</v>
      </c>
      <c r="M2023" s="2">
        <v>0</v>
      </c>
      <c r="N2023" s="2">
        <v>0</v>
      </c>
      <c r="O2023" s="2">
        <v>0</v>
      </c>
      <c r="P2023" s="2">
        <v>0</v>
      </c>
      <c r="Q2023" s="2" t="s">
        <v>488</v>
      </c>
      <c r="R2023" s="2" t="s">
        <v>488</v>
      </c>
      <c r="S2023" s="2" t="s">
        <v>488</v>
      </c>
      <c r="T2023" s="2" t="s">
        <v>488</v>
      </c>
      <c r="U2023" s="2">
        <v>0</v>
      </c>
      <c r="V2023" s="2">
        <v>0</v>
      </c>
      <c r="W2023">
        <f t="shared" si="31"/>
        <v>0</v>
      </c>
    </row>
    <row r="2024" spans="1:23" x14ac:dyDescent="0.25">
      <c r="A2024" s="2" t="s">
        <v>628</v>
      </c>
      <c r="B2024" s="2" t="s">
        <v>919</v>
      </c>
      <c r="C2024" s="2">
        <v>540216</v>
      </c>
      <c r="D2024" s="2" t="s">
        <v>854</v>
      </c>
      <c r="E2024" s="2" t="s">
        <v>93</v>
      </c>
      <c r="F2024" s="2" t="s">
        <v>115</v>
      </c>
      <c r="G2024" s="2">
        <v>5</v>
      </c>
      <c r="H2024" s="2">
        <v>0</v>
      </c>
      <c r="I2024" s="2">
        <v>0</v>
      </c>
      <c r="J2024" s="2">
        <v>0</v>
      </c>
      <c r="K2024" s="2">
        <v>0</v>
      </c>
      <c r="L2024" s="2">
        <v>0</v>
      </c>
      <c r="M2024" s="2">
        <v>0</v>
      </c>
      <c r="N2024" s="2">
        <v>0</v>
      </c>
      <c r="O2024" s="2">
        <v>0</v>
      </c>
      <c r="P2024" s="2">
        <v>0</v>
      </c>
      <c r="Q2024" s="2" t="s">
        <v>488</v>
      </c>
      <c r="R2024" s="2" t="s">
        <v>488</v>
      </c>
      <c r="S2024" s="2" t="s">
        <v>488</v>
      </c>
      <c r="T2024" s="2" t="s">
        <v>488</v>
      </c>
      <c r="U2024" s="2">
        <v>0</v>
      </c>
      <c r="V2024" s="2">
        <v>0</v>
      </c>
      <c r="W2024">
        <f t="shared" si="31"/>
        <v>0</v>
      </c>
    </row>
    <row r="2025" spans="1:23" x14ac:dyDescent="0.25">
      <c r="A2025" s="255" t="s">
        <v>628</v>
      </c>
      <c r="B2025" s="255" t="s">
        <v>919</v>
      </c>
      <c r="C2025" s="255"/>
      <c r="D2025" s="255"/>
      <c r="E2025" s="255" t="s">
        <v>93</v>
      </c>
      <c r="F2025" s="255"/>
      <c r="G2025" s="255"/>
      <c r="H2025" s="255">
        <v>0</v>
      </c>
      <c r="I2025" s="255">
        <v>0</v>
      </c>
      <c r="J2025" s="255">
        <v>0</v>
      </c>
      <c r="K2025" s="255">
        <v>0</v>
      </c>
      <c r="L2025" s="255">
        <v>0</v>
      </c>
      <c r="M2025" s="255">
        <v>0</v>
      </c>
      <c r="N2025" s="255">
        <v>0</v>
      </c>
      <c r="O2025" s="255">
        <v>0</v>
      </c>
      <c r="P2025" s="255">
        <v>0</v>
      </c>
      <c r="Q2025" s="255" t="s">
        <v>488</v>
      </c>
      <c r="R2025" s="255" t="s">
        <v>488</v>
      </c>
      <c r="S2025" s="255" t="s">
        <v>488</v>
      </c>
      <c r="T2025" s="255" t="s">
        <v>488</v>
      </c>
      <c r="U2025" s="255">
        <v>0</v>
      </c>
      <c r="V2025" s="255">
        <v>0</v>
      </c>
      <c r="W2025">
        <f t="shared" si="31"/>
        <v>0</v>
      </c>
    </row>
    <row r="2026" spans="1:23" x14ac:dyDescent="0.25">
      <c r="A2026" s="2" t="s">
        <v>628</v>
      </c>
      <c r="B2026" s="2" t="s">
        <v>919</v>
      </c>
      <c r="C2026" s="2">
        <v>540224</v>
      </c>
      <c r="D2026" s="2" t="s">
        <v>855</v>
      </c>
      <c r="E2026" s="2" t="s">
        <v>97</v>
      </c>
      <c r="F2026" s="2" t="s">
        <v>5</v>
      </c>
      <c r="G2026" s="2">
        <v>5</v>
      </c>
      <c r="H2026" s="2">
        <v>0</v>
      </c>
      <c r="I2026" s="2">
        <v>0</v>
      </c>
      <c r="J2026" s="2">
        <v>0</v>
      </c>
      <c r="K2026" s="2">
        <v>0</v>
      </c>
      <c r="L2026" s="2">
        <v>0</v>
      </c>
      <c r="M2026" s="2">
        <v>0</v>
      </c>
      <c r="N2026" s="2">
        <v>0</v>
      </c>
      <c r="O2026" s="2">
        <v>0</v>
      </c>
      <c r="P2026" s="2">
        <v>0</v>
      </c>
      <c r="Q2026" s="2">
        <v>0</v>
      </c>
      <c r="R2026" s="2">
        <v>0</v>
      </c>
      <c r="S2026" s="2" t="s">
        <v>488</v>
      </c>
      <c r="T2026" s="2" t="s">
        <v>488</v>
      </c>
      <c r="U2026" s="2">
        <v>0</v>
      </c>
      <c r="V2026" s="2">
        <v>0</v>
      </c>
      <c r="W2026">
        <f t="shared" si="31"/>
        <v>0</v>
      </c>
    </row>
    <row r="2027" spans="1:23" x14ac:dyDescent="0.25">
      <c r="A2027" s="2" t="s">
        <v>628</v>
      </c>
      <c r="B2027" s="2" t="s">
        <v>919</v>
      </c>
      <c r="C2027" s="2">
        <v>540132</v>
      </c>
      <c r="D2027" s="2" t="s">
        <v>856</v>
      </c>
      <c r="E2027" s="2" t="s">
        <v>97</v>
      </c>
      <c r="F2027" s="2" t="s">
        <v>115</v>
      </c>
      <c r="G2027" s="2">
        <v>5</v>
      </c>
      <c r="H2027" s="2">
        <v>0</v>
      </c>
      <c r="I2027" s="2">
        <v>0</v>
      </c>
      <c r="J2027" s="2">
        <v>0</v>
      </c>
      <c r="K2027" s="2">
        <v>0</v>
      </c>
      <c r="L2027" s="2">
        <v>0</v>
      </c>
      <c r="M2027" s="2">
        <v>0</v>
      </c>
      <c r="N2027" s="2">
        <v>0</v>
      </c>
      <c r="O2027" s="2">
        <v>0</v>
      </c>
      <c r="P2027" s="2">
        <v>0</v>
      </c>
      <c r="Q2027" s="2">
        <v>0</v>
      </c>
      <c r="R2027" s="2">
        <v>0</v>
      </c>
      <c r="S2027" s="2" t="s">
        <v>488</v>
      </c>
      <c r="T2027" s="2" t="s">
        <v>488</v>
      </c>
      <c r="U2027" s="2">
        <v>0</v>
      </c>
      <c r="V2027" s="2">
        <v>0</v>
      </c>
      <c r="W2027">
        <f t="shared" si="31"/>
        <v>0</v>
      </c>
    </row>
    <row r="2028" spans="1:23" x14ac:dyDescent="0.25">
      <c r="A2028" s="2" t="s">
        <v>628</v>
      </c>
      <c r="B2028" s="2" t="s">
        <v>919</v>
      </c>
      <c r="C2028" s="2">
        <v>540179</v>
      </c>
      <c r="D2028" s="2" t="s">
        <v>857</v>
      </c>
      <c r="E2028" s="2" t="s">
        <v>97</v>
      </c>
      <c r="F2028" s="2" t="s">
        <v>115</v>
      </c>
      <c r="G2028" s="2">
        <v>5</v>
      </c>
      <c r="H2028" s="2">
        <v>0</v>
      </c>
      <c r="I2028" s="2">
        <v>0</v>
      </c>
      <c r="J2028" s="2">
        <v>0</v>
      </c>
      <c r="K2028" s="2">
        <v>0</v>
      </c>
      <c r="L2028" s="2">
        <v>0</v>
      </c>
      <c r="M2028" s="2">
        <v>0</v>
      </c>
      <c r="N2028" s="2">
        <v>0</v>
      </c>
      <c r="O2028" s="2">
        <v>0</v>
      </c>
      <c r="P2028" s="2">
        <v>0</v>
      </c>
      <c r="Q2028" s="2">
        <v>0</v>
      </c>
      <c r="R2028" s="2">
        <v>0</v>
      </c>
      <c r="S2028" s="2" t="s">
        <v>488</v>
      </c>
      <c r="T2028" s="2" t="s">
        <v>488</v>
      </c>
      <c r="U2028" s="2">
        <v>0</v>
      </c>
      <c r="V2028" s="2">
        <v>0</v>
      </c>
      <c r="W2028">
        <f t="shared" si="31"/>
        <v>0</v>
      </c>
    </row>
    <row r="2029" spans="1:23" x14ac:dyDescent="0.25">
      <c r="A2029" s="2" t="s">
        <v>628</v>
      </c>
      <c r="B2029" s="2" t="s">
        <v>919</v>
      </c>
      <c r="C2029" s="2">
        <v>540180</v>
      </c>
      <c r="D2029" s="2" t="s">
        <v>858</v>
      </c>
      <c r="E2029" s="2" t="s">
        <v>97</v>
      </c>
      <c r="F2029" s="2" t="s">
        <v>115</v>
      </c>
      <c r="G2029" s="2">
        <v>5</v>
      </c>
      <c r="H2029" s="2">
        <v>0</v>
      </c>
      <c r="I2029" s="2">
        <v>0</v>
      </c>
      <c r="J2029" s="2">
        <v>0</v>
      </c>
      <c r="K2029" s="2">
        <v>0</v>
      </c>
      <c r="L2029" s="2">
        <v>0</v>
      </c>
      <c r="M2029" s="2">
        <v>0</v>
      </c>
      <c r="N2029" s="2">
        <v>0</v>
      </c>
      <c r="O2029" s="2">
        <v>0</v>
      </c>
      <c r="P2029" s="2">
        <v>0</v>
      </c>
      <c r="Q2029" s="2">
        <v>0</v>
      </c>
      <c r="R2029" s="2">
        <v>0</v>
      </c>
      <c r="S2029" s="2" t="s">
        <v>488</v>
      </c>
      <c r="T2029" s="2" t="s">
        <v>488</v>
      </c>
      <c r="U2029" s="2">
        <v>0</v>
      </c>
      <c r="V2029" s="2">
        <v>0</v>
      </c>
      <c r="W2029">
        <f t="shared" si="31"/>
        <v>0</v>
      </c>
    </row>
    <row r="2030" spans="1:23" x14ac:dyDescent="0.25">
      <c r="A2030" s="2" t="s">
        <v>628</v>
      </c>
      <c r="B2030" s="2" t="s">
        <v>919</v>
      </c>
      <c r="C2030" s="2">
        <v>540182</v>
      </c>
      <c r="D2030" s="2" t="s">
        <v>859</v>
      </c>
      <c r="E2030" s="2" t="s">
        <v>97</v>
      </c>
      <c r="F2030" s="2" t="s">
        <v>115</v>
      </c>
      <c r="G2030" s="2">
        <v>5</v>
      </c>
      <c r="H2030" s="2">
        <v>0</v>
      </c>
      <c r="I2030" s="2">
        <v>0</v>
      </c>
      <c r="J2030" s="2">
        <v>0</v>
      </c>
      <c r="K2030" s="2">
        <v>0</v>
      </c>
      <c r="L2030" s="2">
        <v>0</v>
      </c>
      <c r="M2030" s="2">
        <v>0</v>
      </c>
      <c r="N2030" s="2">
        <v>0</v>
      </c>
      <c r="O2030" s="2">
        <v>0</v>
      </c>
      <c r="P2030" s="2">
        <v>0</v>
      </c>
      <c r="Q2030" s="2">
        <v>0</v>
      </c>
      <c r="R2030" s="2">
        <v>0</v>
      </c>
      <c r="S2030" s="2" t="s">
        <v>488</v>
      </c>
      <c r="T2030" s="2" t="s">
        <v>488</v>
      </c>
      <c r="U2030" s="2">
        <v>0</v>
      </c>
      <c r="V2030" s="2">
        <v>0</v>
      </c>
      <c r="W2030">
        <f t="shared" si="31"/>
        <v>0</v>
      </c>
    </row>
    <row r="2031" spans="1:23" x14ac:dyDescent="0.25">
      <c r="A2031" s="2" t="s">
        <v>628</v>
      </c>
      <c r="B2031" s="2" t="s">
        <v>919</v>
      </c>
      <c r="C2031" s="2">
        <v>540262</v>
      </c>
      <c r="D2031" s="2" t="s">
        <v>860</v>
      </c>
      <c r="E2031" s="2" t="s">
        <v>97</v>
      </c>
      <c r="F2031" s="2" t="s">
        <v>115</v>
      </c>
      <c r="G2031" s="2">
        <v>5</v>
      </c>
      <c r="H2031" s="2">
        <v>0</v>
      </c>
      <c r="I2031" s="2">
        <v>0</v>
      </c>
      <c r="J2031" s="2">
        <v>0</v>
      </c>
      <c r="K2031" s="2">
        <v>0</v>
      </c>
      <c r="L2031" s="2">
        <v>0</v>
      </c>
      <c r="M2031" s="2">
        <v>0</v>
      </c>
      <c r="N2031" s="2">
        <v>0</v>
      </c>
      <c r="O2031" s="2">
        <v>0</v>
      </c>
      <c r="P2031" s="2">
        <v>0</v>
      </c>
      <c r="Q2031" s="2">
        <v>0</v>
      </c>
      <c r="R2031" s="2">
        <v>0</v>
      </c>
      <c r="S2031" s="2" t="s">
        <v>488</v>
      </c>
      <c r="T2031" s="2" t="s">
        <v>488</v>
      </c>
      <c r="U2031" s="2">
        <v>0</v>
      </c>
      <c r="V2031" s="2">
        <v>0</v>
      </c>
      <c r="W2031">
        <f t="shared" si="31"/>
        <v>0</v>
      </c>
    </row>
    <row r="2032" spans="1:23" x14ac:dyDescent="0.25">
      <c r="A2032" s="2" t="s">
        <v>628</v>
      </c>
      <c r="B2032" s="2" t="s">
        <v>919</v>
      </c>
      <c r="C2032" s="2">
        <v>540263</v>
      </c>
      <c r="D2032" s="2" t="s">
        <v>861</v>
      </c>
      <c r="E2032" s="2" t="s">
        <v>97</v>
      </c>
      <c r="F2032" s="2" t="s">
        <v>115</v>
      </c>
      <c r="G2032" s="2">
        <v>5</v>
      </c>
      <c r="H2032" s="2">
        <v>0</v>
      </c>
      <c r="I2032" s="2">
        <v>0</v>
      </c>
      <c r="J2032" s="2">
        <v>0</v>
      </c>
      <c r="K2032" s="2">
        <v>0</v>
      </c>
      <c r="L2032" s="2">
        <v>0</v>
      </c>
      <c r="M2032" s="2">
        <v>0</v>
      </c>
      <c r="N2032" s="2">
        <v>0</v>
      </c>
      <c r="O2032" s="2">
        <v>0</v>
      </c>
      <c r="P2032" s="2">
        <v>0</v>
      </c>
      <c r="Q2032" s="2">
        <v>0</v>
      </c>
      <c r="R2032" s="2">
        <v>0</v>
      </c>
      <c r="S2032" s="2" t="s">
        <v>488</v>
      </c>
      <c r="T2032" s="2" t="s">
        <v>488</v>
      </c>
      <c r="U2032" s="2">
        <v>0</v>
      </c>
      <c r="V2032" s="2">
        <v>0</v>
      </c>
      <c r="W2032">
        <f t="shared" si="31"/>
        <v>0</v>
      </c>
    </row>
    <row r="2033" spans="1:23" x14ac:dyDescent="0.25">
      <c r="A2033" s="255" t="s">
        <v>628</v>
      </c>
      <c r="B2033" s="255" t="s">
        <v>919</v>
      </c>
      <c r="C2033" s="255"/>
      <c r="D2033" s="255"/>
      <c r="E2033" s="255" t="s">
        <v>97</v>
      </c>
      <c r="F2033" s="255"/>
      <c r="G2033" s="255"/>
      <c r="H2033" s="255">
        <v>0</v>
      </c>
      <c r="I2033" s="255">
        <v>0</v>
      </c>
      <c r="J2033" s="255">
        <v>0</v>
      </c>
      <c r="K2033" s="255">
        <v>0</v>
      </c>
      <c r="L2033" s="255">
        <v>0</v>
      </c>
      <c r="M2033" s="255">
        <v>0</v>
      </c>
      <c r="N2033" s="255">
        <v>0</v>
      </c>
      <c r="O2033" s="255">
        <v>0</v>
      </c>
      <c r="P2033" s="255">
        <v>0</v>
      </c>
      <c r="Q2033" s="255">
        <v>0</v>
      </c>
      <c r="R2033" s="255">
        <v>0</v>
      </c>
      <c r="S2033" s="255" t="s">
        <v>488</v>
      </c>
      <c r="T2033" s="255" t="s">
        <v>488</v>
      </c>
      <c r="U2033" s="255">
        <v>0</v>
      </c>
      <c r="V2033" s="255">
        <v>0</v>
      </c>
      <c r="W2033">
        <f t="shared" si="31"/>
        <v>0</v>
      </c>
    </row>
    <row r="2034" spans="1:23" x14ac:dyDescent="0.25">
      <c r="A2034" s="2" t="s">
        <v>628</v>
      </c>
      <c r="B2034" s="2" t="s">
        <v>919</v>
      </c>
      <c r="C2034" s="2">
        <v>540225</v>
      </c>
      <c r="D2034" s="2" t="s">
        <v>862</v>
      </c>
      <c r="E2034" s="2" t="s">
        <v>99</v>
      </c>
      <c r="F2034" s="2" t="s">
        <v>5</v>
      </c>
      <c r="G2034" s="2">
        <v>5</v>
      </c>
      <c r="H2034" s="2">
        <v>0</v>
      </c>
      <c r="I2034" s="2">
        <v>0</v>
      </c>
      <c r="J2034" s="2">
        <v>0</v>
      </c>
      <c r="K2034" s="2">
        <v>0</v>
      </c>
      <c r="L2034" s="2">
        <v>0</v>
      </c>
      <c r="M2034" s="2">
        <v>0</v>
      </c>
      <c r="N2034" s="2">
        <v>0</v>
      </c>
      <c r="O2034" s="2">
        <v>0</v>
      </c>
      <c r="P2034" s="2">
        <v>0</v>
      </c>
      <c r="Q2034" s="2">
        <v>0</v>
      </c>
      <c r="R2034" s="2">
        <v>0</v>
      </c>
      <c r="S2034" s="2" t="s">
        <v>488</v>
      </c>
      <c r="T2034" s="2" t="s">
        <v>488</v>
      </c>
      <c r="U2034" s="2">
        <v>0</v>
      </c>
      <c r="V2034" s="2">
        <v>0</v>
      </c>
      <c r="W2034">
        <f t="shared" si="31"/>
        <v>0</v>
      </c>
    </row>
    <row r="2035" spans="1:23" x14ac:dyDescent="0.25">
      <c r="A2035" s="2" t="s">
        <v>628</v>
      </c>
      <c r="B2035" s="2" t="s">
        <v>919</v>
      </c>
      <c r="C2035" s="2">
        <v>540156</v>
      </c>
      <c r="D2035" s="2" t="s">
        <v>863</v>
      </c>
      <c r="E2035" s="2" t="s">
        <v>99</v>
      </c>
      <c r="F2035" s="2" t="s">
        <v>115</v>
      </c>
      <c r="G2035" s="2">
        <v>5</v>
      </c>
      <c r="H2035" s="2">
        <v>0</v>
      </c>
      <c r="I2035" s="2">
        <v>0</v>
      </c>
      <c r="J2035" s="2">
        <v>0</v>
      </c>
      <c r="K2035" s="2">
        <v>0</v>
      </c>
      <c r="L2035" s="2">
        <v>0</v>
      </c>
      <c r="M2035" s="2">
        <v>0</v>
      </c>
      <c r="N2035" s="2">
        <v>0</v>
      </c>
      <c r="O2035" s="2">
        <v>0</v>
      </c>
      <c r="P2035" s="2">
        <v>0</v>
      </c>
      <c r="Q2035" s="2">
        <v>0</v>
      </c>
      <c r="R2035" s="2">
        <v>0</v>
      </c>
      <c r="S2035" s="2" t="s">
        <v>488</v>
      </c>
      <c r="T2035" s="2" t="s">
        <v>488</v>
      </c>
      <c r="U2035" s="2">
        <v>0</v>
      </c>
      <c r="V2035" s="2">
        <v>0</v>
      </c>
      <c r="W2035">
        <f t="shared" si="31"/>
        <v>0</v>
      </c>
    </row>
    <row r="2036" spans="1:23" x14ac:dyDescent="0.25">
      <c r="A2036" s="2" t="s">
        <v>628</v>
      </c>
      <c r="B2036" s="2" t="s">
        <v>919</v>
      </c>
      <c r="C2036" s="2">
        <v>540253</v>
      </c>
      <c r="D2036" s="2" t="s">
        <v>864</v>
      </c>
      <c r="E2036" s="2" t="s">
        <v>99</v>
      </c>
      <c r="F2036" s="2" t="s">
        <v>115</v>
      </c>
      <c r="G2036" s="2">
        <v>5</v>
      </c>
      <c r="H2036" s="2">
        <v>0</v>
      </c>
      <c r="I2036" s="2">
        <v>0</v>
      </c>
      <c r="J2036" s="2">
        <v>0</v>
      </c>
      <c r="K2036" s="2">
        <v>0</v>
      </c>
      <c r="L2036" s="2">
        <v>0</v>
      </c>
      <c r="M2036" s="2">
        <v>0</v>
      </c>
      <c r="N2036" s="2">
        <v>0</v>
      </c>
      <c r="O2036" s="2">
        <v>0</v>
      </c>
      <c r="P2036" s="2">
        <v>0</v>
      </c>
      <c r="Q2036" s="2">
        <v>0</v>
      </c>
      <c r="R2036" s="2">
        <v>0</v>
      </c>
      <c r="S2036" s="2" t="s">
        <v>488</v>
      </c>
      <c r="T2036" s="2" t="s">
        <v>488</v>
      </c>
      <c r="U2036" s="2">
        <v>0</v>
      </c>
      <c r="V2036" s="2">
        <v>0</v>
      </c>
      <c r="W2036">
        <f t="shared" si="31"/>
        <v>0</v>
      </c>
    </row>
    <row r="2037" spans="1:23" x14ac:dyDescent="0.25">
      <c r="A2037" s="255" t="s">
        <v>628</v>
      </c>
      <c r="B2037" s="255" t="s">
        <v>919</v>
      </c>
      <c r="C2037" s="255"/>
      <c r="D2037" s="255"/>
      <c r="E2037" s="255" t="s">
        <v>99</v>
      </c>
      <c r="F2037" s="255"/>
      <c r="G2037" s="255"/>
      <c r="H2037" s="255">
        <v>0</v>
      </c>
      <c r="I2037" s="255">
        <v>0</v>
      </c>
      <c r="J2037" s="255">
        <v>0</v>
      </c>
      <c r="K2037" s="255">
        <v>0</v>
      </c>
      <c r="L2037" s="255">
        <v>0</v>
      </c>
      <c r="M2037" s="255">
        <v>0</v>
      </c>
      <c r="N2037" s="255">
        <v>0</v>
      </c>
      <c r="O2037" s="255">
        <v>0</v>
      </c>
      <c r="P2037" s="255">
        <v>0</v>
      </c>
      <c r="Q2037" s="255">
        <v>0</v>
      </c>
      <c r="R2037" s="255">
        <v>0</v>
      </c>
      <c r="S2037" s="255" t="s">
        <v>488</v>
      </c>
      <c r="T2037" s="255" t="s">
        <v>488</v>
      </c>
      <c r="U2037" s="255">
        <v>0</v>
      </c>
      <c r="V2037" s="255">
        <v>0</v>
      </c>
      <c r="W2037">
        <f t="shared" si="31"/>
        <v>0</v>
      </c>
    </row>
    <row r="2038" spans="1:23" x14ac:dyDescent="0.25">
      <c r="A2038" s="2" t="s">
        <v>628</v>
      </c>
      <c r="B2038" s="2" t="s">
        <v>919</v>
      </c>
      <c r="C2038" s="2">
        <v>540226</v>
      </c>
      <c r="D2038" s="2" t="s">
        <v>865</v>
      </c>
      <c r="E2038" s="2" t="s">
        <v>101</v>
      </c>
      <c r="F2038" s="2" t="s">
        <v>5</v>
      </c>
      <c r="G2038" s="2">
        <v>8</v>
      </c>
      <c r="H2038" s="2">
        <v>0</v>
      </c>
      <c r="I2038" s="2">
        <v>0</v>
      </c>
      <c r="J2038" s="2">
        <v>0</v>
      </c>
      <c r="K2038" s="2">
        <v>0</v>
      </c>
      <c r="L2038" s="2">
        <v>0</v>
      </c>
      <c r="M2038" s="2">
        <v>0</v>
      </c>
      <c r="N2038" s="2">
        <v>0</v>
      </c>
      <c r="O2038" s="2">
        <v>0</v>
      </c>
      <c r="P2038" s="2">
        <v>0</v>
      </c>
      <c r="Q2038" s="2" t="s">
        <v>488</v>
      </c>
      <c r="R2038" s="2" t="s">
        <v>488</v>
      </c>
      <c r="S2038" s="2" t="s">
        <v>488</v>
      </c>
      <c r="T2038" s="2" t="s">
        <v>488</v>
      </c>
      <c r="U2038" s="2">
        <v>0</v>
      </c>
      <c r="V2038" s="2">
        <v>0</v>
      </c>
      <c r="W2038">
        <f t="shared" si="31"/>
        <v>0</v>
      </c>
    </row>
    <row r="2039" spans="1:23" x14ac:dyDescent="0.25">
      <c r="A2039" s="2" t="s">
        <v>628</v>
      </c>
      <c r="B2039" s="2" t="s">
        <v>919</v>
      </c>
      <c r="C2039" s="2">
        <v>540046</v>
      </c>
      <c r="D2039" s="2" t="s">
        <v>866</v>
      </c>
      <c r="E2039" s="2" t="s">
        <v>101</v>
      </c>
      <c r="F2039" s="2" t="s">
        <v>115</v>
      </c>
      <c r="G2039" s="2">
        <v>8</v>
      </c>
      <c r="H2039" s="2">
        <v>0</v>
      </c>
      <c r="I2039" s="2">
        <v>0</v>
      </c>
      <c r="J2039" s="2">
        <v>0</v>
      </c>
      <c r="K2039" s="2">
        <v>0</v>
      </c>
      <c r="L2039" s="2">
        <v>0</v>
      </c>
      <c r="M2039" s="2">
        <v>0</v>
      </c>
      <c r="N2039" s="2">
        <v>0</v>
      </c>
      <c r="O2039" s="2">
        <v>0</v>
      </c>
      <c r="P2039" s="2">
        <v>0</v>
      </c>
      <c r="Q2039" s="2" t="s">
        <v>488</v>
      </c>
      <c r="R2039" s="2" t="s">
        <v>488</v>
      </c>
      <c r="S2039" s="2" t="s">
        <v>488</v>
      </c>
      <c r="T2039" s="2" t="s">
        <v>488</v>
      </c>
      <c r="U2039" s="2">
        <v>0</v>
      </c>
      <c r="V2039" s="2">
        <v>0</v>
      </c>
      <c r="W2039">
        <f t="shared" si="31"/>
        <v>0</v>
      </c>
    </row>
    <row r="2040" spans="1:23" x14ac:dyDescent="0.25">
      <c r="A2040" s="2" t="s">
        <v>628</v>
      </c>
      <c r="B2040" s="2" t="s">
        <v>919</v>
      </c>
      <c r="C2040" s="2">
        <v>540276</v>
      </c>
      <c r="D2040" s="2" t="s">
        <v>867</v>
      </c>
      <c r="E2040" s="2" t="s">
        <v>101</v>
      </c>
      <c r="F2040" s="2" t="s">
        <v>115</v>
      </c>
      <c r="G2040" s="2">
        <v>8</v>
      </c>
      <c r="H2040" s="2">
        <v>0</v>
      </c>
      <c r="I2040" s="2">
        <v>0</v>
      </c>
      <c r="J2040" s="2">
        <v>0</v>
      </c>
      <c r="K2040" s="2">
        <v>0</v>
      </c>
      <c r="L2040" s="2">
        <v>0</v>
      </c>
      <c r="M2040" s="2">
        <v>0</v>
      </c>
      <c r="N2040" s="2">
        <v>0</v>
      </c>
      <c r="O2040" s="2">
        <v>0</v>
      </c>
      <c r="P2040" s="2">
        <v>0</v>
      </c>
      <c r="Q2040" s="2" t="s">
        <v>488</v>
      </c>
      <c r="R2040" s="2" t="s">
        <v>488</v>
      </c>
      <c r="S2040" s="2" t="s">
        <v>488</v>
      </c>
      <c r="T2040" s="2" t="s">
        <v>488</v>
      </c>
      <c r="U2040" s="2">
        <v>0</v>
      </c>
      <c r="V2040" s="2">
        <v>0</v>
      </c>
      <c r="W2040">
        <f t="shared" si="31"/>
        <v>0</v>
      </c>
    </row>
    <row r="2041" spans="1:23" x14ac:dyDescent="0.25">
      <c r="A2041" s="255" t="s">
        <v>628</v>
      </c>
      <c r="B2041" s="255" t="s">
        <v>919</v>
      </c>
      <c r="C2041" s="255"/>
      <c r="D2041" s="255"/>
      <c r="E2041" s="255" t="s">
        <v>101</v>
      </c>
      <c r="F2041" s="255"/>
      <c r="G2041" s="255"/>
      <c r="H2041" s="255">
        <v>0</v>
      </c>
      <c r="I2041" s="255">
        <v>0</v>
      </c>
      <c r="J2041" s="255">
        <v>0</v>
      </c>
      <c r="K2041" s="255">
        <v>0</v>
      </c>
      <c r="L2041" s="255">
        <v>0</v>
      </c>
      <c r="M2041" s="255">
        <v>0</v>
      </c>
      <c r="N2041" s="255">
        <v>0</v>
      </c>
      <c r="O2041" s="255">
        <v>0</v>
      </c>
      <c r="P2041" s="255">
        <v>0</v>
      </c>
      <c r="Q2041" s="255" t="s">
        <v>488</v>
      </c>
      <c r="R2041" s="255" t="s">
        <v>488</v>
      </c>
      <c r="S2041" s="255" t="s">
        <v>488</v>
      </c>
      <c r="T2041" s="255" t="s">
        <v>488</v>
      </c>
      <c r="U2041" s="255">
        <v>0</v>
      </c>
      <c r="V2041" s="255">
        <v>0</v>
      </c>
      <c r="W2041">
        <f t="shared" si="31"/>
        <v>0</v>
      </c>
    </row>
    <row r="2042" spans="1:23" x14ac:dyDescent="0.25">
      <c r="A2042" s="2" t="s">
        <v>628</v>
      </c>
      <c r="B2042" s="2" t="s">
        <v>919</v>
      </c>
      <c r="C2042" s="2">
        <v>540277</v>
      </c>
      <c r="D2042" s="2" t="s">
        <v>868</v>
      </c>
      <c r="E2042" s="2" t="s">
        <v>103</v>
      </c>
      <c r="F2042" s="2" t="s">
        <v>5</v>
      </c>
      <c r="G2042" s="2">
        <v>5</v>
      </c>
      <c r="H2042" s="2">
        <v>0</v>
      </c>
      <c r="I2042" s="2">
        <v>0</v>
      </c>
      <c r="J2042" s="2">
        <v>0</v>
      </c>
      <c r="K2042" s="2">
        <v>0</v>
      </c>
      <c r="L2042" s="2">
        <v>0</v>
      </c>
      <c r="M2042" s="2">
        <v>0</v>
      </c>
      <c r="N2042" s="2">
        <v>0</v>
      </c>
      <c r="O2042" s="2">
        <v>0</v>
      </c>
      <c r="P2042" s="2">
        <v>0</v>
      </c>
      <c r="Q2042" s="2">
        <v>0</v>
      </c>
      <c r="R2042" s="2">
        <v>0</v>
      </c>
      <c r="S2042" s="2" t="s">
        <v>488</v>
      </c>
      <c r="T2042" s="2" t="s">
        <v>488</v>
      </c>
      <c r="U2042" s="2">
        <v>0</v>
      </c>
      <c r="V2042" s="2">
        <v>0</v>
      </c>
      <c r="W2042">
        <f t="shared" si="31"/>
        <v>0</v>
      </c>
    </row>
    <row r="2043" spans="1:23" x14ac:dyDescent="0.25">
      <c r="A2043" s="2" t="s">
        <v>628</v>
      </c>
      <c r="B2043" s="2" t="s">
        <v>919</v>
      </c>
      <c r="C2043" s="2">
        <v>540195</v>
      </c>
      <c r="D2043" s="2" t="s">
        <v>869</v>
      </c>
      <c r="E2043" s="2" t="s">
        <v>103</v>
      </c>
      <c r="F2043" s="2" t="s">
        <v>115</v>
      </c>
      <c r="G2043" s="2">
        <v>5</v>
      </c>
      <c r="H2043" s="2">
        <v>0</v>
      </c>
      <c r="I2043" s="2">
        <v>0</v>
      </c>
      <c r="J2043" s="2">
        <v>0</v>
      </c>
      <c r="K2043" s="2">
        <v>0</v>
      </c>
      <c r="L2043" s="2">
        <v>0</v>
      </c>
      <c r="M2043" s="2">
        <v>0</v>
      </c>
      <c r="N2043" s="2">
        <v>0</v>
      </c>
      <c r="O2043" s="2">
        <v>0</v>
      </c>
      <c r="P2043" s="2">
        <v>0</v>
      </c>
      <c r="Q2043" s="2">
        <v>0</v>
      </c>
      <c r="R2043" s="2">
        <v>0</v>
      </c>
      <c r="S2043" s="2" t="s">
        <v>488</v>
      </c>
      <c r="T2043" s="2" t="s">
        <v>488</v>
      </c>
      <c r="U2043" s="2">
        <v>0</v>
      </c>
      <c r="V2043" s="2">
        <v>0</v>
      </c>
      <c r="W2043">
        <f t="shared" si="31"/>
        <v>0</v>
      </c>
    </row>
    <row r="2044" spans="1:23" x14ac:dyDescent="0.25">
      <c r="A2044" s="2" t="s">
        <v>628</v>
      </c>
      <c r="B2044" s="2" t="s">
        <v>919</v>
      </c>
      <c r="C2044" s="2">
        <v>540196</v>
      </c>
      <c r="D2044" s="2" t="s">
        <v>843</v>
      </c>
      <c r="E2044" s="2" t="s">
        <v>103</v>
      </c>
      <c r="F2044" s="2" t="s">
        <v>115</v>
      </c>
      <c r="G2044" s="2">
        <v>5</v>
      </c>
      <c r="H2044" s="2">
        <v>0</v>
      </c>
      <c r="I2044" s="2">
        <v>0</v>
      </c>
      <c r="J2044" s="2">
        <v>0</v>
      </c>
      <c r="K2044" s="2">
        <v>0</v>
      </c>
      <c r="L2044" s="2">
        <v>0</v>
      </c>
      <c r="M2044" s="2">
        <v>0</v>
      </c>
      <c r="N2044" s="2">
        <v>0</v>
      </c>
      <c r="O2044" s="2">
        <v>0</v>
      </c>
      <c r="P2044" s="2">
        <v>0</v>
      </c>
      <c r="Q2044" s="2">
        <v>0</v>
      </c>
      <c r="R2044" s="2">
        <v>0</v>
      </c>
      <c r="S2044" s="2" t="s">
        <v>488</v>
      </c>
      <c r="T2044" s="2" t="s">
        <v>488</v>
      </c>
      <c r="U2044" s="2">
        <v>0</v>
      </c>
      <c r="V2044" s="2">
        <v>0</v>
      </c>
      <c r="W2044">
        <f t="shared" si="31"/>
        <v>0</v>
      </c>
    </row>
    <row r="2045" spans="1:23" x14ac:dyDescent="0.25">
      <c r="A2045" s="2" t="s">
        <v>628</v>
      </c>
      <c r="B2045" s="2" t="s">
        <v>919</v>
      </c>
      <c r="C2045" s="2">
        <v>540197</v>
      </c>
      <c r="D2045" s="2" t="s">
        <v>870</v>
      </c>
      <c r="E2045" s="2" t="s">
        <v>103</v>
      </c>
      <c r="F2045" s="2" t="s">
        <v>115</v>
      </c>
      <c r="G2045" s="2">
        <v>5</v>
      </c>
      <c r="H2045" s="2">
        <v>0</v>
      </c>
      <c r="I2045" s="2">
        <v>0</v>
      </c>
      <c r="J2045" s="2">
        <v>0</v>
      </c>
      <c r="K2045" s="2">
        <v>0</v>
      </c>
      <c r="L2045" s="2">
        <v>0</v>
      </c>
      <c r="M2045" s="2">
        <v>0</v>
      </c>
      <c r="N2045" s="2">
        <v>0</v>
      </c>
      <c r="O2045" s="2">
        <v>0</v>
      </c>
      <c r="P2045" s="2">
        <v>0</v>
      </c>
      <c r="Q2045" s="2">
        <v>0</v>
      </c>
      <c r="R2045" s="2">
        <v>0</v>
      </c>
      <c r="S2045" s="2" t="s">
        <v>488</v>
      </c>
      <c r="T2045" s="2" t="s">
        <v>488</v>
      </c>
      <c r="U2045" s="2">
        <v>0</v>
      </c>
      <c r="V2045" s="2">
        <v>0</v>
      </c>
      <c r="W2045">
        <f t="shared" si="31"/>
        <v>0</v>
      </c>
    </row>
    <row r="2046" spans="1:23" x14ac:dyDescent="0.25">
      <c r="A2046" s="2" t="s">
        <v>628</v>
      </c>
      <c r="B2046" s="2" t="s">
        <v>919</v>
      </c>
      <c r="C2046" s="2">
        <v>540259</v>
      </c>
      <c r="D2046" s="2" t="s">
        <v>871</v>
      </c>
      <c r="E2046" s="2" t="s">
        <v>103</v>
      </c>
      <c r="F2046" s="2" t="s">
        <v>115</v>
      </c>
      <c r="G2046" s="2">
        <v>5</v>
      </c>
      <c r="H2046" s="2">
        <v>0</v>
      </c>
      <c r="I2046" s="2">
        <v>0</v>
      </c>
      <c r="J2046" s="2">
        <v>0</v>
      </c>
      <c r="K2046" s="2">
        <v>0</v>
      </c>
      <c r="L2046" s="2">
        <v>0</v>
      </c>
      <c r="M2046" s="2">
        <v>0</v>
      </c>
      <c r="N2046" s="2">
        <v>0</v>
      </c>
      <c r="O2046" s="2">
        <v>0</v>
      </c>
      <c r="P2046" s="2">
        <v>0</v>
      </c>
      <c r="Q2046" s="2">
        <v>0</v>
      </c>
      <c r="R2046" s="2">
        <v>0</v>
      </c>
      <c r="S2046" s="2" t="s">
        <v>488</v>
      </c>
      <c r="T2046" s="2" t="s">
        <v>488</v>
      </c>
      <c r="U2046" s="2">
        <v>0</v>
      </c>
      <c r="V2046" s="2">
        <v>0</v>
      </c>
      <c r="W2046">
        <f t="shared" si="31"/>
        <v>0</v>
      </c>
    </row>
    <row r="2047" spans="1:23" x14ac:dyDescent="0.25">
      <c r="A2047" s="255" t="s">
        <v>628</v>
      </c>
      <c r="B2047" s="255" t="s">
        <v>919</v>
      </c>
      <c r="C2047" s="255"/>
      <c r="D2047" s="255"/>
      <c r="E2047" s="255" t="s">
        <v>103</v>
      </c>
      <c r="F2047" s="255"/>
      <c r="G2047" s="255"/>
      <c r="H2047" s="255">
        <v>0</v>
      </c>
      <c r="I2047" s="255">
        <v>0</v>
      </c>
      <c r="J2047" s="255">
        <v>0</v>
      </c>
      <c r="K2047" s="255">
        <v>0</v>
      </c>
      <c r="L2047" s="255">
        <v>0</v>
      </c>
      <c r="M2047" s="255">
        <v>0</v>
      </c>
      <c r="N2047" s="255">
        <v>0</v>
      </c>
      <c r="O2047" s="255">
        <v>0</v>
      </c>
      <c r="P2047" s="255">
        <v>0</v>
      </c>
      <c r="Q2047" s="255">
        <v>0</v>
      </c>
      <c r="R2047" s="255">
        <v>0</v>
      </c>
      <c r="S2047" s="255" t="s">
        <v>488</v>
      </c>
      <c r="T2047" s="255" t="s">
        <v>488</v>
      </c>
      <c r="U2047" s="255">
        <v>0</v>
      </c>
      <c r="V2047" s="255">
        <v>0</v>
      </c>
      <c r="W2047">
        <f t="shared" si="31"/>
        <v>0</v>
      </c>
    </row>
    <row r="2048" spans="1:23" x14ac:dyDescent="0.25">
      <c r="A2048" s="2" t="s">
        <v>628</v>
      </c>
      <c r="B2048" s="2" t="s">
        <v>919</v>
      </c>
      <c r="C2048" s="2">
        <v>540278</v>
      </c>
      <c r="D2048" s="2" t="s">
        <v>872</v>
      </c>
      <c r="E2048" s="2" t="s">
        <v>105</v>
      </c>
      <c r="F2048" s="2" t="s">
        <v>5</v>
      </c>
      <c r="G2048" s="2">
        <v>1</v>
      </c>
      <c r="H2048" s="2">
        <v>0</v>
      </c>
      <c r="I2048" s="2">
        <v>0</v>
      </c>
      <c r="J2048" s="2">
        <v>0</v>
      </c>
      <c r="K2048" s="2">
        <v>0</v>
      </c>
      <c r="L2048" s="2">
        <v>0</v>
      </c>
      <c r="M2048" s="2">
        <v>0</v>
      </c>
      <c r="N2048" s="2">
        <v>0</v>
      </c>
      <c r="O2048" s="2">
        <v>0</v>
      </c>
      <c r="P2048" s="2">
        <v>0</v>
      </c>
      <c r="Q2048" s="2">
        <v>0</v>
      </c>
      <c r="R2048" s="2">
        <v>0</v>
      </c>
      <c r="S2048" s="2" t="s">
        <v>488</v>
      </c>
      <c r="T2048" s="2" t="s">
        <v>488</v>
      </c>
      <c r="U2048" s="2">
        <v>0</v>
      </c>
      <c r="V2048" s="2">
        <v>0</v>
      </c>
      <c r="W2048">
        <f t="shared" si="31"/>
        <v>0</v>
      </c>
    </row>
    <row r="2049" spans="1:23" x14ac:dyDescent="0.25">
      <c r="A2049" s="2" t="s">
        <v>628</v>
      </c>
      <c r="B2049" s="2" t="s">
        <v>919</v>
      </c>
      <c r="C2049" s="2">
        <v>540041</v>
      </c>
      <c r="D2049" s="2" t="s">
        <v>666</v>
      </c>
      <c r="E2049" s="2" t="s">
        <v>105</v>
      </c>
      <c r="F2049" s="2" t="s">
        <v>115</v>
      </c>
      <c r="G2049" s="2">
        <v>1</v>
      </c>
      <c r="H2049" s="2">
        <v>0</v>
      </c>
      <c r="I2049" s="2">
        <v>0</v>
      </c>
      <c r="J2049" s="2">
        <v>0</v>
      </c>
      <c r="K2049" s="2">
        <v>0</v>
      </c>
      <c r="L2049" s="2">
        <v>0</v>
      </c>
      <c r="M2049" s="2">
        <v>0</v>
      </c>
      <c r="N2049" s="2">
        <v>0</v>
      </c>
      <c r="O2049" s="2">
        <v>0</v>
      </c>
      <c r="P2049" s="2">
        <v>0</v>
      </c>
      <c r="Q2049" s="2">
        <v>0</v>
      </c>
      <c r="R2049" s="2">
        <v>0</v>
      </c>
      <c r="S2049" s="2" t="s">
        <v>488</v>
      </c>
      <c r="T2049" s="2" t="s">
        <v>488</v>
      </c>
      <c r="U2049" s="2">
        <v>0</v>
      </c>
      <c r="V2049" s="2">
        <v>0</v>
      </c>
      <c r="W2049">
        <f t="shared" si="31"/>
        <v>0</v>
      </c>
    </row>
    <row r="2050" spans="1:23" x14ac:dyDescent="0.25">
      <c r="A2050" s="2" t="s">
        <v>628</v>
      </c>
      <c r="B2050" s="2" t="s">
        <v>919</v>
      </c>
      <c r="C2050" s="2">
        <v>540143</v>
      </c>
      <c r="D2050" s="2" t="s">
        <v>873</v>
      </c>
      <c r="E2050" s="2" t="s">
        <v>105</v>
      </c>
      <c r="F2050" s="2" t="s">
        <v>115</v>
      </c>
      <c r="G2050" s="2">
        <v>1</v>
      </c>
      <c r="H2050" s="2">
        <v>0</v>
      </c>
      <c r="I2050" s="2">
        <v>0</v>
      </c>
      <c r="J2050" s="2">
        <v>0</v>
      </c>
      <c r="K2050" s="2">
        <v>0</v>
      </c>
      <c r="L2050" s="2">
        <v>0</v>
      </c>
      <c r="M2050" s="2">
        <v>0</v>
      </c>
      <c r="N2050" s="2">
        <v>0</v>
      </c>
      <c r="O2050" s="2">
        <v>0</v>
      </c>
      <c r="P2050" s="2">
        <v>0</v>
      </c>
      <c r="Q2050" s="2">
        <v>0</v>
      </c>
      <c r="R2050" s="2">
        <v>0</v>
      </c>
      <c r="S2050" s="2" t="s">
        <v>488</v>
      </c>
      <c r="T2050" s="2" t="s">
        <v>488</v>
      </c>
      <c r="U2050" s="2">
        <v>0</v>
      </c>
      <c r="V2050" s="2">
        <v>0</v>
      </c>
      <c r="W2050">
        <f t="shared" si="31"/>
        <v>0</v>
      </c>
    </row>
    <row r="2051" spans="1:23" x14ac:dyDescent="0.25">
      <c r="A2051" s="2" t="s">
        <v>628</v>
      </c>
      <c r="B2051" s="2" t="s">
        <v>919</v>
      </c>
      <c r="C2051" s="2">
        <v>540290</v>
      </c>
      <c r="D2051" s="2" t="s">
        <v>874</v>
      </c>
      <c r="E2051" s="2" t="s">
        <v>105</v>
      </c>
      <c r="F2051" s="2" t="s">
        <v>115</v>
      </c>
      <c r="G2051" s="2">
        <v>1</v>
      </c>
      <c r="H2051" s="2">
        <v>0</v>
      </c>
      <c r="I2051" s="2">
        <v>0</v>
      </c>
      <c r="J2051" s="2">
        <v>0</v>
      </c>
      <c r="K2051" s="2">
        <v>0</v>
      </c>
      <c r="L2051" s="2">
        <v>0</v>
      </c>
      <c r="M2051" s="2">
        <v>0</v>
      </c>
      <c r="N2051" s="2">
        <v>0</v>
      </c>
      <c r="O2051" s="2">
        <v>0</v>
      </c>
      <c r="P2051" s="2">
        <v>0</v>
      </c>
      <c r="Q2051" s="2">
        <v>0</v>
      </c>
      <c r="R2051" s="2">
        <v>0</v>
      </c>
      <c r="S2051" s="2" t="s">
        <v>488</v>
      </c>
      <c r="T2051" s="2" t="s">
        <v>488</v>
      </c>
      <c r="U2051" s="2">
        <v>0</v>
      </c>
      <c r="V2051" s="2">
        <v>0</v>
      </c>
      <c r="W2051">
        <f t="shared" ref="W2051:W2069" si="32">SUM(N2051,P2051,R2051,T2051,U2051,V2051)</f>
        <v>0</v>
      </c>
    </row>
    <row r="2052" spans="1:23" x14ac:dyDescent="0.25">
      <c r="A2052" s="255" t="s">
        <v>628</v>
      </c>
      <c r="B2052" s="255" t="s">
        <v>919</v>
      </c>
      <c r="C2052" s="255"/>
      <c r="D2052" s="255"/>
      <c r="E2052" s="255" t="s">
        <v>105</v>
      </c>
      <c r="F2052" s="255"/>
      <c r="G2052" s="255"/>
      <c r="H2052" s="255">
        <v>0</v>
      </c>
      <c r="I2052" s="255">
        <v>0</v>
      </c>
      <c r="J2052" s="255">
        <v>0</v>
      </c>
      <c r="K2052" s="255">
        <v>0</v>
      </c>
      <c r="L2052" s="255">
        <v>0</v>
      </c>
      <c r="M2052" s="255">
        <v>0</v>
      </c>
      <c r="N2052" s="255">
        <v>0</v>
      </c>
      <c r="O2052" s="255">
        <v>0</v>
      </c>
      <c r="P2052" s="255">
        <v>0</v>
      </c>
      <c r="Q2052" s="255">
        <v>0</v>
      </c>
      <c r="R2052" s="255">
        <v>0</v>
      </c>
      <c r="S2052" s="255" t="s">
        <v>488</v>
      </c>
      <c r="T2052" s="255" t="s">
        <v>488</v>
      </c>
      <c r="U2052" s="255">
        <v>0</v>
      </c>
      <c r="V2052" s="255">
        <v>0</v>
      </c>
      <c r="W2052">
        <f t="shared" si="32"/>
        <v>0</v>
      </c>
    </row>
    <row r="2053" spans="1:23" x14ac:dyDescent="0.25">
      <c r="A2053" s="2" t="s">
        <v>628</v>
      </c>
      <c r="B2053" s="2" t="s">
        <v>919</v>
      </c>
      <c r="C2053" s="2">
        <v>540282</v>
      </c>
      <c r="D2053" s="2" t="s">
        <v>875</v>
      </c>
      <c r="E2053" s="2" t="s">
        <v>107</v>
      </c>
      <c r="F2053" s="2" t="s">
        <v>5</v>
      </c>
      <c r="G2053" s="2">
        <v>9</v>
      </c>
      <c r="H2053" s="2">
        <v>0</v>
      </c>
      <c r="I2053" s="2">
        <v>0</v>
      </c>
      <c r="J2053" s="2">
        <v>0</v>
      </c>
      <c r="K2053" s="2">
        <v>0</v>
      </c>
      <c r="L2053" s="2">
        <v>0</v>
      </c>
      <c r="M2053" s="2">
        <v>0</v>
      </c>
      <c r="N2053" s="2">
        <v>0</v>
      </c>
      <c r="O2053" s="2">
        <v>0</v>
      </c>
      <c r="P2053" s="2">
        <v>0</v>
      </c>
      <c r="Q2053" s="2">
        <v>0</v>
      </c>
      <c r="R2053" s="2">
        <v>0</v>
      </c>
      <c r="S2053" s="2">
        <v>0</v>
      </c>
      <c r="T2053" s="2">
        <v>0</v>
      </c>
      <c r="U2053" s="2">
        <v>0</v>
      </c>
      <c r="V2053" s="2">
        <v>0</v>
      </c>
      <c r="W2053">
        <f t="shared" si="32"/>
        <v>0</v>
      </c>
    </row>
    <row r="2054" spans="1:23" x14ac:dyDescent="0.25">
      <c r="A2054" s="2" t="s">
        <v>628</v>
      </c>
      <c r="B2054" s="2" t="s">
        <v>919</v>
      </c>
      <c r="C2054" s="2">
        <v>540006</v>
      </c>
      <c r="D2054" s="2" t="s">
        <v>876</v>
      </c>
      <c r="E2054" s="2" t="s">
        <v>107</v>
      </c>
      <c r="F2054" s="2" t="s">
        <v>115</v>
      </c>
      <c r="G2054" s="2">
        <v>9</v>
      </c>
      <c r="H2054" s="2">
        <v>0</v>
      </c>
      <c r="I2054" s="2">
        <v>0</v>
      </c>
      <c r="J2054" s="2">
        <v>0</v>
      </c>
      <c r="K2054" s="2">
        <v>0</v>
      </c>
      <c r="L2054" s="2">
        <v>0</v>
      </c>
      <c r="M2054" s="2">
        <v>0</v>
      </c>
      <c r="N2054" s="2">
        <v>0</v>
      </c>
      <c r="O2054" s="2">
        <v>0</v>
      </c>
      <c r="P2054" s="2">
        <v>0</v>
      </c>
      <c r="Q2054" s="2">
        <v>0</v>
      </c>
      <c r="R2054" s="2">
        <v>0</v>
      </c>
      <c r="S2054" s="2">
        <v>0</v>
      </c>
      <c r="T2054" s="2">
        <v>0</v>
      </c>
      <c r="U2054" s="2">
        <v>0</v>
      </c>
      <c r="V2054" s="2">
        <v>0</v>
      </c>
      <c r="W2054">
        <f t="shared" si="32"/>
        <v>0</v>
      </c>
    </row>
    <row r="2055" spans="1:23" x14ac:dyDescent="0.25">
      <c r="A2055" s="2" t="s">
        <v>628</v>
      </c>
      <c r="B2055" s="2" t="s">
        <v>919</v>
      </c>
      <c r="C2055" s="2">
        <v>545550</v>
      </c>
      <c r="D2055" s="2" t="s">
        <v>877</v>
      </c>
      <c r="E2055" s="2" t="s">
        <v>107</v>
      </c>
      <c r="F2055" s="2" t="s">
        <v>115</v>
      </c>
      <c r="G2055" s="2">
        <v>9</v>
      </c>
      <c r="H2055" s="2">
        <v>0</v>
      </c>
      <c r="I2055" s="2">
        <v>0</v>
      </c>
      <c r="J2055" s="2">
        <v>0</v>
      </c>
      <c r="K2055" s="2">
        <v>0</v>
      </c>
      <c r="L2055" s="2">
        <v>0</v>
      </c>
      <c r="M2055" s="2">
        <v>0</v>
      </c>
      <c r="N2055" s="2">
        <v>0</v>
      </c>
      <c r="O2055" s="2">
        <v>0</v>
      </c>
      <c r="P2055" s="2">
        <v>0</v>
      </c>
      <c r="Q2055" s="2">
        <v>0</v>
      </c>
      <c r="R2055" s="2">
        <v>0</v>
      </c>
      <c r="S2055" s="2">
        <v>0</v>
      </c>
      <c r="T2055" s="2">
        <v>0</v>
      </c>
      <c r="U2055" s="2">
        <v>0</v>
      </c>
      <c r="V2055" s="2">
        <v>0</v>
      </c>
      <c r="W2055">
        <f t="shared" si="32"/>
        <v>0</v>
      </c>
    </row>
    <row r="2056" spans="1:23" x14ac:dyDescent="0.25">
      <c r="A2056" s="255" t="s">
        <v>628</v>
      </c>
      <c r="B2056" s="255" t="s">
        <v>919</v>
      </c>
      <c r="C2056" s="255"/>
      <c r="D2056" s="255"/>
      <c r="E2056" s="255" t="s">
        <v>107</v>
      </c>
      <c r="F2056" s="255"/>
      <c r="G2056" s="255"/>
      <c r="H2056" s="255">
        <v>0</v>
      </c>
      <c r="I2056" s="255">
        <v>0</v>
      </c>
      <c r="J2056" s="255">
        <v>0</v>
      </c>
      <c r="K2056" s="255">
        <v>0</v>
      </c>
      <c r="L2056" s="255">
        <v>0</v>
      </c>
      <c r="M2056" s="255">
        <v>0</v>
      </c>
      <c r="N2056" s="255">
        <v>0</v>
      </c>
      <c r="O2056" s="255">
        <v>0</v>
      </c>
      <c r="P2056" s="255">
        <v>0</v>
      </c>
      <c r="Q2056" s="255">
        <v>0</v>
      </c>
      <c r="R2056" s="255">
        <v>0</v>
      </c>
      <c r="S2056" s="255">
        <v>0</v>
      </c>
      <c r="T2056" s="255">
        <v>0</v>
      </c>
      <c r="U2056" s="255">
        <v>0</v>
      </c>
      <c r="V2056" s="255">
        <v>0</v>
      </c>
      <c r="W2056">
        <f t="shared" si="32"/>
        <v>0</v>
      </c>
    </row>
    <row r="2057" spans="1:23" x14ac:dyDescent="0.25">
      <c r="A2057" s="2" t="s">
        <v>628</v>
      </c>
      <c r="B2057" s="2" t="s">
        <v>919</v>
      </c>
      <c r="C2057" s="2">
        <v>540283</v>
      </c>
      <c r="D2057" s="2" t="s">
        <v>878</v>
      </c>
      <c r="E2057" s="2" t="s">
        <v>109</v>
      </c>
      <c r="F2057" s="2" t="s">
        <v>5</v>
      </c>
      <c r="G2057" s="2">
        <v>4</v>
      </c>
      <c r="H2057" s="2">
        <v>0</v>
      </c>
      <c r="I2057" s="2">
        <v>0</v>
      </c>
      <c r="J2057" s="2">
        <v>0</v>
      </c>
      <c r="K2057" s="2">
        <v>0</v>
      </c>
      <c r="L2057" s="2">
        <v>0</v>
      </c>
      <c r="M2057" s="2">
        <v>0</v>
      </c>
      <c r="N2057" s="2">
        <v>0</v>
      </c>
      <c r="O2057" s="2">
        <v>0</v>
      </c>
      <c r="P2057" s="2">
        <v>0</v>
      </c>
      <c r="Q2057" s="2" t="s">
        <v>488</v>
      </c>
      <c r="R2057" s="2" t="s">
        <v>488</v>
      </c>
      <c r="S2057" s="2" t="s">
        <v>488</v>
      </c>
      <c r="T2057" s="2" t="s">
        <v>488</v>
      </c>
      <c r="U2057" s="2">
        <v>0</v>
      </c>
      <c r="V2057" s="2">
        <v>0</v>
      </c>
      <c r="W2057">
        <f t="shared" si="32"/>
        <v>0</v>
      </c>
    </row>
    <row r="2058" spans="1:23" x14ac:dyDescent="0.25">
      <c r="A2058" s="2" t="s">
        <v>628</v>
      </c>
      <c r="B2058" s="2" t="s">
        <v>919</v>
      </c>
      <c r="C2058" s="2">
        <v>540158</v>
      </c>
      <c r="D2058" s="2" t="s">
        <v>879</v>
      </c>
      <c r="E2058" s="2" t="s">
        <v>109</v>
      </c>
      <c r="F2058" s="2" t="s">
        <v>115</v>
      </c>
      <c r="G2058" s="2">
        <v>4</v>
      </c>
      <c r="H2058" s="2">
        <v>0</v>
      </c>
      <c r="I2058" s="2">
        <v>0</v>
      </c>
      <c r="J2058" s="2">
        <v>0</v>
      </c>
      <c r="K2058" s="2">
        <v>0</v>
      </c>
      <c r="L2058" s="2">
        <v>0</v>
      </c>
      <c r="M2058" s="2">
        <v>0</v>
      </c>
      <c r="N2058" s="2">
        <v>0</v>
      </c>
      <c r="O2058" s="2">
        <v>0</v>
      </c>
      <c r="P2058" s="2">
        <v>0</v>
      </c>
      <c r="Q2058" s="2" t="s">
        <v>488</v>
      </c>
      <c r="R2058" s="2" t="s">
        <v>488</v>
      </c>
      <c r="S2058" s="2" t="s">
        <v>488</v>
      </c>
      <c r="T2058" s="2" t="s">
        <v>488</v>
      </c>
      <c r="U2058" s="2">
        <v>0</v>
      </c>
      <c r="V2058" s="2">
        <v>0</v>
      </c>
      <c r="W2058">
        <f t="shared" si="32"/>
        <v>0</v>
      </c>
    </row>
    <row r="2059" spans="1:23" x14ac:dyDescent="0.25">
      <c r="A2059" s="2" t="s">
        <v>628</v>
      </c>
      <c r="B2059" s="2" t="s">
        <v>919</v>
      </c>
      <c r="C2059" s="2">
        <v>540159</v>
      </c>
      <c r="D2059" s="2" t="s">
        <v>880</v>
      </c>
      <c r="E2059" s="2" t="s">
        <v>109</v>
      </c>
      <c r="F2059" s="2" t="s">
        <v>115</v>
      </c>
      <c r="G2059" s="2">
        <v>4</v>
      </c>
      <c r="H2059" s="2">
        <v>0</v>
      </c>
      <c r="I2059" s="2">
        <v>0</v>
      </c>
      <c r="J2059" s="2">
        <v>0</v>
      </c>
      <c r="K2059" s="2">
        <v>0</v>
      </c>
      <c r="L2059" s="2">
        <v>0</v>
      </c>
      <c r="M2059" s="2">
        <v>0</v>
      </c>
      <c r="N2059" s="2">
        <v>0</v>
      </c>
      <c r="O2059" s="2">
        <v>0</v>
      </c>
      <c r="P2059" s="2">
        <v>0</v>
      </c>
      <c r="Q2059" s="2" t="s">
        <v>488</v>
      </c>
      <c r="R2059" s="2" t="s">
        <v>488</v>
      </c>
      <c r="S2059" s="2" t="s">
        <v>488</v>
      </c>
      <c r="T2059" s="2" t="s">
        <v>488</v>
      </c>
      <c r="U2059" s="2">
        <v>0</v>
      </c>
      <c r="V2059" s="2">
        <v>0</v>
      </c>
      <c r="W2059">
        <f t="shared" si="32"/>
        <v>0</v>
      </c>
    </row>
    <row r="2060" spans="1:23" x14ac:dyDescent="0.25">
      <c r="A2060" s="2" t="s">
        <v>628</v>
      </c>
      <c r="B2060" s="2" t="s">
        <v>919</v>
      </c>
      <c r="C2060" s="2">
        <v>540288</v>
      </c>
      <c r="D2060" s="2" t="s">
        <v>881</v>
      </c>
      <c r="E2060" s="2" t="s">
        <v>109</v>
      </c>
      <c r="F2060" s="2" t="s">
        <v>115</v>
      </c>
      <c r="G2060" s="2">
        <v>4</v>
      </c>
      <c r="H2060" s="2">
        <v>0</v>
      </c>
      <c r="I2060" s="2">
        <v>0</v>
      </c>
      <c r="J2060" s="2">
        <v>0</v>
      </c>
      <c r="K2060" s="2">
        <v>0</v>
      </c>
      <c r="L2060" s="2">
        <v>0</v>
      </c>
      <c r="M2060" s="2">
        <v>0</v>
      </c>
      <c r="N2060" s="2">
        <v>0</v>
      </c>
      <c r="O2060" s="2">
        <v>0</v>
      </c>
      <c r="P2060" s="2">
        <v>0</v>
      </c>
      <c r="Q2060" s="2" t="s">
        <v>488</v>
      </c>
      <c r="R2060" s="2" t="s">
        <v>488</v>
      </c>
      <c r="S2060" s="2" t="s">
        <v>488</v>
      </c>
      <c r="T2060" s="2" t="s">
        <v>488</v>
      </c>
      <c r="U2060" s="2">
        <v>0</v>
      </c>
      <c r="V2060" s="2">
        <v>0</v>
      </c>
      <c r="W2060">
        <f t="shared" si="32"/>
        <v>0</v>
      </c>
    </row>
    <row r="2061" spans="1:23" x14ac:dyDescent="0.25">
      <c r="A2061" s="255" t="s">
        <v>628</v>
      </c>
      <c r="B2061" s="255" t="s">
        <v>919</v>
      </c>
      <c r="C2061" s="255"/>
      <c r="D2061" s="255"/>
      <c r="E2061" s="255" t="s">
        <v>109</v>
      </c>
      <c r="F2061" s="255"/>
      <c r="G2061" s="255"/>
      <c r="H2061" s="255">
        <v>0</v>
      </c>
      <c r="I2061" s="255">
        <v>0</v>
      </c>
      <c r="J2061" s="255">
        <v>0</v>
      </c>
      <c r="K2061" s="255">
        <v>0</v>
      </c>
      <c r="L2061" s="255">
        <v>0</v>
      </c>
      <c r="M2061" s="255">
        <v>0</v>
      </c>
      <c r="N2061" s="255">
        <v>0</v>
      </c>
      <c r="O2061" s="255">
        <v>0</v>
      </c>
      <c r="P2061" s="255">
        <v>0</v>
      </c>
      <c r="Q2061" s="255" t="s">
        <v>488</v>
      </c>
      <c r="R2061" s="255" t="s">
        <v>488</v>
      </c>
      <c r="S2061" s="255" t="s">
        <v>488</v>
      </c>
      <c r="T2061" s="255" t="s">
        <v>488</v>
      </c>
      <c r="U2061" s="255">
        <v>0</v>
      </c>
      <c r="V2061" s="255">
        <v>0</v>
      </c>
      <c r="W2061">
        <f t="shared" si="32"/>
        <v>0</v>
      </c>
    </row>
    <row r="2062" spans="1:23" x14ac:dyDescent="0.25">
      <c r="A2062" s="2" t="s">
        <v>628</v>
      </c>
      <c r="B2062" s="2" t="s">
        <v>919</v>
      </c>
      <c r="C2062" s="2">
        <v>545536</v>
      </c>
      <c r="D2062" s="2" t="s">
        <v>882</v>
      </c>
      <c r="E2062" s="2" t="s">
        <v>111</v>
      </c>
      <c r="F2062" s="2" t="s">
        <v>5</v>
      </c>
      <c r="G2062" s="2">
        <v>2</v>
      </c>
      <c r="H2062" s="2">
        <v>0</v>
      </c>
      <c r="I2062" s="2">
        <v>0</v>
      </c>
      <c r="J2062" s="2">
        <v>0</v>
      </c>
      <c r="K2062" s="2">
        <v>0</v>
      </c>
      <c r="L2062" s="2">
        <v>0</v>
      </c>
      <c r="M2062" s="2">
        <v>0</v>
      </c>
      <c r="N2062" s="2">
        <v>0</v>
      </c>
      <c r="O2062" s="2">
        <v>0</v>
      </c>
      <c r="P2062" s="2">
        <v>0</v>
      </c>
      <c r="Q2062" s="2">
        <v>0</v>
      </c>
      <c r="R2062" s="2">
        <v>0</v>
      </c>
      <c r="S2062" s="2" t="s">
        <v>488</v>
      </c>
      <c r="T2062" s="2" t="s">
        <v>488</v>
      </c>
      <c r="U2062" s="2">
        <v>0</v>
      </c>
      <c r="V2062" s="2">
        <v>0</v>
      </c>
      <c r="W2062">
        <f t="shared" si="32"/>
        <v>0</v>
      </c>
    </row>
    <row r="2063" spans="1:23" x14ac:dyDescent="0.25">
      <c r="A2063" s="2" t="s">
        <v>628</v>
      </c>
      <c r="B2063" s="2" t="s">
        <v>919</v>
      </c>
      <c r="C2063" s="2">
        <v>540092</v>
      </c>
      <c r="D2063" s="2" t="s">
        <v>883</v>
      </c>
      <c r="E2063" s="2" t="s">
        <v>111</v>
      </c>
      <c r="F2063" s="2" t="s">
        <v>115</v>
      </c>
      <c r="G2063" s="2">
        <v>2</v>
      </c>
      <c r="H2063" s="2">
        <v>0</v>
      </c>
      <c r="I2063" s="2">
        <v>0</v>
      </c>
      <c r="J2063" s="2">
        <v>0</v>
      </c>
      <c r="K2063" s="2">
        <v>0</v>
      </c>
      <c r="L2063" s="2">
        <v>0</v>
      </c>
      <c r="M2063" s="2">
        <v>0</v>
      </c>
      <c r="N2063" s="2">
        <v>0</v>
      </c>
      <c r="O2063" s="2">
        <v>0</v>
      </c>
      <c r="P2063" s="2">
        <v>0</v>
      </c>
      <c r="Q2063" s="2">
        <v>0</v>
      </c>
      <c r="R2063" s="2">
        <v>0</v>
      </c>
      <c r="S2063" s="2" t="s">
        <v>488</v>
      </c>
      <c r="T2063" s="2" t="s">
        <v>488</v>
      </c>
      <c r="U2063" s="2">
        <v>0</v>
      </c>
      <c r="V2063" s="2">
        <v>0</v>
      </c>
      <c r="W2063">
        <f t="shared" si="32"/>
        <v>0</v>
      </c>
    </row>
    <row r="2064" spans="1:23" x14ac:dyDescent="0.25">
      <c r="A2064" s="2" t="s">
        <v>628</v>
      </c>
      <c r="B2064" s="2" t="s">
        <v>919</v>
      </c>
      <c r="C2064" s="2">
        <v>540095</v>
      </c>
      <c r="D2064" s="2" t="s">
        <v>884</v>
      </c>
      <c r="E2064" s="2" t="s">
        <v>111</v>
      </c>
      <c r="F2064" s="2" t="s">
        <v>115</v>
      </c>
      <c r="G2064" s="2">
        <v>2</v>
      </c>
      <c r="H2064" s="2">
        <v>0</v>
      </c>
      <c r="I2064" s="2">
        <v>0</v>
      </c>
      <c r="J2064" s="2">
        <v>0</v>
      </c>
      <c r="K2064" s="2">
        <v>0</v>
      </c>
      <c r="L2064" s="2">
        <v>0</v>
      </c>
      <c r="M2064" s="2">
        <v>0</v>
      </c>
      <c r="N2064" s="2">
        <v>0</v>
      </c>
      <c r="O2064" s="2">
        <v>0</v>
      </c>
      <c r="P2064" s="2">
        <v>0</v>
      </c>
      <c r="Q2064" s="2">
        <v>0</v>
      </c>
      <c r="R2064" s="2">
        <v>0</v>
      </c>
      <c r="S2064" s="2" t="s">
        <v>488</v>
      </c>
      <c r="T2064" s="2" t="s">
        <v>488</v>
      </c>
      <c r="U2064" s="2">
        <v>0</v>
      </c>
      <c r="V2064" s="2">
        <v>0</v>
      </c>
      <c r="W2064">
        <f t="shared" si="32"/>
        <v>0</v>
      </c>
    </row>
    <row r="2065" spans="1:23" x14ac:dyDescent="0.25">
      <c r="A2065" s="2" t="s">
        <v>628</v>
      </c>
      <c r="B2065" s="2" t="s">
        <v>919</v>
      </c>
      <c r="C2065" s="2">
        <v>545535</v>
      </c>
      <c r="D2065" s="2" t="s">
        <v>885</v>
      </c>
      <c r="E2065" s="2" t="s">
        <v>111</v>
      </c>
      <c r="F2065" s="2" t="s">
        <v>115</v>
      </c>
      <c r="G2065" s="2">
        <v>2</v>
      </c>
      <c r="H2065" s="2">
        <v>0</v>
      </c>
      <c r="I2065" s="2">
        <v>0</v>
      </c>
      <c r="J2065" s="2">
        <v>0</v>
      </c>
      <c r="K2065" s="2">
        <v>0</v>
      </c>
      <c r="L2065" s="2">
        <v>0</v>
      </c>
      <c r="M2065" s="2">
        <v>0</v>
      </c>
      <c r="N2065" s="2">
        <v>0</v>
      </c>
      <c r="O2065" s="2">
        <v>0</v>
      </c>
      <c r="P2065" s="2">
        <v>0</v>
      </c>
      <c r="Q2065" s="2">
        <v>0</v>
      </c>
      <c r="R2065" s="2">
        <v>0</v>
      </c>
      <c r="S2065" s="2" t="s">
        <v>488</v>
      </c>
      <c r="T2065" s="2" t="s">
        <v>488</v>
      </c>
      <c r="U2065" s="2">
        <v>0</v>
      </c>
      <c r="V2065" s="2">
        <v>0</v>
      </c>
      <c r="W2065">
        <f t="shared" si="32"/>
        <v>0</v>
      </c>
    </row>
    <row r="2066" spans="1:23" x14ac:dyDescent="0.25">
      <c r="A2066" s="2" t="s">
        <v>628</v>
      </c>
      <c r="B2066" s="2" t="s">
        <v>919</v>
      </c>
      <c r="C2066" s="2">
        <v>545537</v>
      </c>
      <c r="D2066" s="2" t="s">
        <v>886</v>
      </c>
      <c r="E2066" s="2" t="s">
        <v>111</v>
      </c>
      <c r="F2066" s="2" t="s">
        <v>115</v>
      </c>
      <c r="G2066" s="2">
        <v>2</v>
      </c>
      <c r="H2066" s="2">
        <v>0</v>
      </c>
      <c r="I2066" s="2">
        <v>0</v>
      </c>
      <c r="J2066" s="2">
        <v>0</v>
      </c>
      <c r="K2066" s="2">
        <v>0</v>
      </c>
      <c r="L2066" s="2">
        <v>0</v>
      </c>
      <c r="M2066" s="2">
        <v>0</v>
      </c>
      <c r="N2066" s="2">
        <v>0</v>
      </c>
      <c r="O2066" s="2">
        <v>0</v>
      </c>
      <c r="P2066" s="2">
        <v>0</v>
      </c>
      <c r="Q2066" s="2">
        <v>0</v>
      </c>
      <c r="R2066" s="2">
        <v>0</v>
      </c>
      <c r="S2066" s="2" t="s">
        <v>488</v>
      </c>
      <c r="T2066" s="2" t="s">
        <v>488</v>
      </c>
      <c r="U2066" s="2">
        <v>0</v>
      </c>
      <c r="V2066" s="2">
        <v>0</v>
      </c>
      <c r="W2066">
        <f t="shared" si="32"/>
        <v>0</v>
      </c>
    </row>
    <row r="2067" spans="1:23" x14ac:dyDescent="0.25">
      <c r="A2067" s="2" t="s">
        <v>628</v>
      </c>
      <c r="B2067" s="2" t="s">
        <v>919</v>
      </c>
      <c r="C2067" s="2">
        <v>545539</v>
      </c>
      <c r="D2067" s="2" t="s">
        <v>887</v>
      </c>
      <c r="E2067" s="2" t="s">
        <v>111</v>
      </c>
      <c r="F2067" s="2" t="s">
        <v>115</v>
      </c>
      <c r="G2067" s="2">
        <v>2</v>
      </c>
      <c r="H2067" s="2">
        <v>0</v>
      </c>
      <c r="I2067" s="2">
        <v>0</v>
      </c>
      <c r="J2067" s="2">
        <v>0</v>
      </c>
      <c r="K2067" s="2">
        <v>0</v>
      </c>
      <c r="L2067" s="2">
        <v>0</v>
      </c>
      <c r="M2067" s="2">
        <v>0</v>
      </c>
      <c r="N2067" s="2">
        <v>0</v>
      </c>
      <c r="O2067" s="2">
        <v>0</v>
      </c>
      <c r="P2067" s="2">
        <v>0</v>
      </c>
      <c r="Q2067" s="2">
        <v>0</v>
      </c>
      <c r="R2067" s="2">
        <v>0</v>
      </c>
      <c r="S2067" s="2" t="s">
        <v>488</v>
      </c>
      <c r="T2067" s="2" t="s">
        <v>488</v>
      </c>
      <c r="U2067" s="2">
        <v>0</v>
      </c>
      <c r="V2067" s="2">
        <v>0</v>
      </c>
      <c r="W2067">
        <f t="shared" si="32"/>
        <v>0</v>
      </c>
    </row>
    <row r="2068" spans="1:23" x14ac:dyDescent="0.25">
      <c r="A2068" s="255" t="s">
        <v>628</v>
      </c>
      <c r="B2068" s="255" t="s">
        <v>919</v>
      </c>
      <c r="C2068" s="255"/>
      <c r="D2068" s="255"/>
      <c r="E2068" s="255" t="s">
        <v>111</v>
      </c>
      <c r="F2068" s="255"/>
      <c r="G2068" s="255"/>
      <c r="H2068" s="255">
        <v>0</v>
      </c>
      <c r="I2068" s="255">
        <v>0</v>
      </c>
      <c r="J2068" s="255">
        <v>0</v>
      </c>
      <c r="K2068" s="255">
        <v>0</v>
      </c>
      <c r="L2068" s="255">
        <v>0</v>
      </c>
      <c r="M2068" s="255">
        <v>0</v>
      </c>
      <c r="N2068" s="255">
        <v>0</v>
      </c>
      <c r="O2068" s="255">
        <v>0</v>
      </c>
      <c r="P2068" s="255">
        <v>0</v>
      </c>
      <c r="Q2068" s="255">
        <v>0</v>
      </c>
      <c r="R2068" s="255">
        <v>0</v>
      </c>
      <c r="S2068" s="255" t="s">
        <v>488</v>
      </c>
      <c r="T2068" s="255" t="s">
        <v>488</v>
      </c>
      <c r="U2068" s="255">
        <v>0</v>
      </c>
      <c r="V2068" s="255">
        <v>0</v>
      </c>
      <c r="W2068">
        <f t="shared" si="32"/>
        <v>0</v>
      </c>
    </row>
    <row r="2069" spans="1:23" x14ac:dyDescent="0.25">
      <c r="A2069" s="2" t="s">
        <v>628</v>
      </c>
      <c r="B2069" s="2" t="s">
        <v>919</v>
      </c>
      <c r="C2069" s="2">
        <v>540191</v>
      </c>
      <c r="D2069" s="2" t="s">
        <v>888</v>
      </c>
      <c r="E2069" s="2" t="s">
        <v>113</v>
      </c>
      <c r="F2069" s="2" t="s">
        <v>5</v>
      </c>
      <c r="G2069" s="2">
        <v>7</v>
      </c>
      <c r="H2069" s="2">
        <v>0</v>
      </c>
      <c r="I2069" s="2">
        <v>0</v>
      </c>
      <c r="J2069" s="2">
        <v>0</v>
      </c>
      <c r="K2069" s="2">
        <v>0</v>
      </c>
      <c r="L2069" s="2">
        <v>0</v>
      </c>
      <c r="M2069" s="2">
        <v>0</v>
      </c>
      <c r="N2069" s="2">
        <v>0</v>
      </c>
      <c r="O2069" s="2">
        <v>0</v>
      </c>
      <c r="P2069" s="2">
        <v>0</v>
      </c>
      <c r="Q2069" s="2">
        <v>0</v>
      </c>
      <c r="R2069" s="2">
        <v>0</v>
      </c>
      <c r="S2069" s="2" t="s">
        <v>488</v>
      </c>
      <c r="T2069" s="2" t="s">
        <v>488</v>
      </c>
      <c r="U2069" s="2">
        <v>0</v>
      </c>
      <c r="V2069" s="2">
        <v>0</v>
      </c>
      <c r="W2069">
        <f t="shared" si="32"/>
        <v>0</v>
      </c>
    </row>
    <row r="2070" spans="1:23" x14ac:dyDescent="0.25">
      <c r="A2070" s="2" t="s">
        <v>628</v>
      </c>
      <c r="B2070" s="2" t="s">
        <v>919</v>
      </c>
      <c r="C2070" s="2">
        <v>540193</v>
      </c>
      <c r="D2070" s="2" t="s">
        <v>889</v>
      </c>
      <c r="E2070" s="2" t="s">
        <v>113</v>
      </c>
      <c r="F2070" s="2" t="s">
        <v>115</v>
      </c>
      <c r="G2070" s="2">
        <v>7</v>
      </c>
      <c r="H2070" s="2">
        <v>0</v>
      </c>
      <c r="I2070" s="2">
        <v>0</v>
      </c>
      <c r="J2070" s="2">
        <v>0</v>
      </c>
      <c r="K2070" s="2">
        <v>0</v>
      </c>
      <c r="L2070" s="2">
        <v>0</v>
      </c>
      <c r="M2070" s="2">
        <v>0</v>
      </c>
      <c r="N2070" s="2">
        <v>0</v>
      </c>
      <c r="O2070" s="2">
        <v>0</v>
      </c>
      <c r="P2070" s="2">
        <v>0</v>
      </c>
      <c r="Q2070" s="2">
        <v>0</v>
      </c>
      <c r="R2070" s="2">
        <v>0</v>
      </c>
      <c r="S2070" s="2" t="s">
        <v>488</v>
      </c>
      <c r="T2070" s="2" t="s">
        <v>488</v>
      </c>
      <c r="U2070" s="2">
        <v>0</v>
      </c>
      <c r="V2070" s="2">
        <v>0</v>
      </c>
      <c r="W2070">
        <f>SUM(N2070,P2070,R2070,T2070,U2070,V2070)</f>
        <v>0</v>
      </c>
    </row>
    <row r="2071" spans="1:23" x14ac:dyDescent="0.25">
      <c r="A2071" s="2" t="s">
        <v>628</v>
      </c>
      <c r="B2071" s="2" t="s">
        <v>919</v>
      </c>
      <c r="C2071" s="2">
        <v>540192</v>
      </c>
      <c r="D2071" s="2" t="s">
        <v>890</v>
      </c>
      <c r="E2071" s="2" t="s">
        <v>113</v>
      </c>
      <c r="F2071" s="2" t="s">
        <v>115</v>
      </c>
      <c r="G2071" s="2">
        <v>7</v>
      </c>
      <c r="H2071" s="2">
        <v>0</v>
      </c>
      <c r="I2071" s="2">
        <v>0</v>
      </c>
      <c r="J2071" s="2">
        <v>0</v>
      </c>
      <c r="K2071" s="2">
        <v>0</v>
      </c>
      <c r="L2071" s="2">
        <v>0</v>
      </c>
      <c r="M2071" s="2">
        <v>0</v>
      </c>
      <c r="N2071" s="2">
        <v>0</v>
      </c>
      <c r="O2071" s="2">
        <v>0</v>
      </c>
      <c r="P2071" s="2">
        <v>0</v>
      </c>
      <c r="Q2071" s="2">
        <v>0</v>
      </c>
      <c r="R2071" s="2">
        <v>0</v>
      </c>
      <c r="S2071" s="2" t="s">
        <v>488</v>
      </c>
      <c r="T2071" s="2" t="s">
        <v>488</v>
      </c>
      <c r="U2071" s="2">
        <v>0</v>
      </c>
      <c r="V2071" s="2">
        <v>0</v>
      </c>
      <c r="W2071">
        <f t="shared" ref="W2071:W2101" si="33">SUM(N2071,P2071,R2071,T2071,U2071,V2071)</f>
        <v>0</v>
      </c>
    </row>
    <row r="2072" spans="1:23" x14ac:dyDescent="0.25">
      <c r="A2072" s="2" t="s">
        <v>628</v>
      </c>
      <c r="B2072" s="2" t="s">
        <v>919</v>
      </c>
      <c r="C2072" s="2">
        <v>540194</v>
      </c>
      <c r="D2072" s="2" t="s">
        <v>891</v>
      </c>
      <c r="E2072" s="2" t="s">
        <v>113</v>
      </c>
      <c r="F2072" s="2" t="s">
        <v>115</v>
      </c>
      <c r="G2072" s="2">
        <v>7</v>
      </c>
      <c r="H2072" s="2">
        <v>0</v>
      </c>
      <c r="I2072" s="2">
        <v>0</v>
      </c>
      <c r="J2072" s="2">
        <v>0</v>
      </c>
      <c r="K2072" s="2">
        <v>0</v>
      </c>
      <c r="L2072" s="2">
        <v>0</v>
      </c>
      <c r="M2072" s="2">
        <v>0</v>
      </c>
      <c r="N2072" s="2">
        <v>0</v>
      </c>
      <c r="O2072" s="2">
        <v>0</v>
      </c>
      <c r="P2072" s="2">
        <v>0</v>
      </c>
      <c r="Q2072" s="2">
        <v>0</v>
      </c>
      <c r="R2072" s="2">
        <v>0</v>
      </c>
      <c r="S2072" s="2" t="s">
        <v>488</v>
      </c>
      <c r="T2072" s="2" t="s">
        <v>488</v>
      </c>
      <c r="U2072" s="2">
        <v>0</v>
      </c>
      <c r="V2072" s="2">
        <v>0</v>
      </c>
      <c r="W2072">
        <f t="shared" si="33"/>
        <v>0</v>
      </c>
    </row>
    <row r="2073" spans="1:23" x14ac:dyDescent="0.25">
      <c r="A2073" s="2" t="s">
        <v>628</v>
      </c>
      <c r="B2073" s="2" t="s">
        <v>919</v>
      </c>
      <c r="C2073" s="2">
        <v>540261</v>
      </c>
      <c r="D2073" s="2" t="s">
        <v>892</v>
      </c>
      <c r="E2073" s="2" t="s">
        <v>113</v>
      </c>
      <c r="F2073" s="2" t="s">
        <v>115</v>
      </c>
      <c r="G2073" s="2">
        <v>7</v>
      </c>
      <c r="H2073" s="2">
        <v>0</v>
      </c>
      <c r="I2073" s="2">
        <v>0</v>
      </c>
      <c r="J2073" s="2">
        <v>0</v>
      </c>
      <c r="K2073" s="2">
        <v>0</v>
      </c>
      <c r="L2073" s="2">
        <v>0</v>
      </c>
      <c r="M2073" s="2">
        <v>0</v>
      </c>
      <c r="N2073" s="2">
        <v>0</v>
      </c>
      <c r="O2073" s="2">
        <v>0</v>
      </c>
      <c r="P2073" s="2">
        <v>0</v>
      </c>
      <c r="Q2073" s="2">
        <v>0</v>
      </c>
      <c r="R2073" s="2">
        <v>0</v>
      </c>
      <c r="S2073" s="2" t="s">
        <v>488</v>
      </c>
      <c r="T2073" s="2" t="s">
        <v>488</v>
      </c>
      <c r="U2073" s="2">
        <v>0</v>
      </c>
      <c r="V2073" s="2">
        <v>0</v>
      </c>
      <c r="W2073">
        <f t="shared" si="33"/>
        <v>0</v>
      </c>
    </row>
    <row r="2074" spans="1:23" x14ac:dyDescent="0.25">
      <c r="A2074" s="2" t="s">
        <v>628</v>
      </c>
      <c r="B2074" s="2" t="s">
        <v>919</v>
      </c>
      <c r="C2074" s="2">
        <v>540260</v>
      </c>
      <c r="D2074" s="2" t="s">
        <v>893</v>
      </c>
      <c r="E2074" s="2" t="s">
        <v>113</v>
      </c>
      <c r="F2074" s="2" t="s">
        <v>115</v>
      </c>
      <c r="G2074" s="2">
        <v>7</v>
      </c>
      <c r="H2074" s="2">
        <v>0</v>
      </c>
      <c r="I2074" s="2">
        <v>0</v>
      </c>
      <c r="J2074" s="2">
        <v>0</v>
      </c>
      <c r="K2074" s="2">
        <v>0</v>
      </c>
      <c r="L2074" s="2">
        <v>0</v>
      </c>
      <c r="M2074" s="2">
        <v>0</v>
      </c>
      <c r="N2074" s="2">
        <v>0</v>
      </c>
      <c r="O2074" s="2">
        <v>0</v>
      </c>
      <c r="P2074" s="2">
        <v>0</v>
      </c>
      <c r="Q2074" s="2">
        <v>0</v>
      </c>
      <c r="R2074" s="2">
        <v>0</v>
      </c>
      <c r="S2074" s="2" t="s">
        <v>488</v>
      </c>
      <c r="T2074" s="2" t="s">
        <v>488</v>
      </c>
      <c r="U2074" s="2">
        <v>0</v>
      </c>
      <c r="V2074" s="2">
        <v>0</v>
      </c>
      <c r="W2074">
        <f t="shared" si="33"/>
        <v>0</v>
      </c>
    </row>
    <row r="2075" spans="1:23" x14ac:dyDescent="0.25">
      <c r="A2075" s="255" t="s">
        <v>628</v>
      </c>
      <c r="B2075" s="255" t="s">
        <v>919</v>
      </c>
      <c r="C2075" s="255"/>
      <c r="D2075" s="255"/>
      <c r="E2075" s="255" t="s">
        <v>113</v>
      </c>
      <c r="F2075" s="255"/>
      <c r="G2075" s="255"/>
      <c r="H2075" s="255">
        <v>0</v>
      </c>
      <c r="I2075" s="255">
        <v>0</v>
      </c>
      <c r="J2075" s="255">
        <v>0</v>
      </c>
      <c r="K2075" s="255">
        <v>0</v>
      </c>
      <c r="L2075" s="255">
        <v>0</v>
      </c>
      <c r="M2075" s="255">
        <v>0</v>
      </c>
      <c r="N2075" s="255">
        <v>0</v>
      </c>
      <c r="O2075" s="255">
        <v>0</v>
      </c>
      <c r="P2075" s="255">
        <v>0</v>
      </c>
      <c r="Q2075" s="255">
        <v>0</v>
      </c>
      <c r="R2075" s="255">
        <v>0</v>
      </c>
      <c r="S2075" s="255" t="s">
        <v>488</v>
      </c>
      <c r="T2075" s="255" t="s">
        <v>488</v>
      </c>
      <c r="U2075" s="255">
        <v>0</v>
      </c>
      <c r="V2075" s="255">
        <v>0</v>
      </c>
      <c r="W2075">
        <f t="shared" si="33"/>
        <v>0</v>
      </c>
    </row>
    <row r="2076" spans="1:23" x14ac:dyDescent="0.25">
      <c r="A2076" s="2" t="s">
        <v>628</v>
      </c>
      <c r="B2076" s="2" t="s">
        <v>919</v>
      </c>
      <c r="C2076" s="2">
        <v>540027</v>
      </c>
      <c r="D2076" s="2" t="s">
        <v>894</v>
      </c>
      <c r="E2076" s="2" t="s">
        <v>21</v>
      </c>
      <c r="F2076" s="2" t="s">
        <v>115</v>
      </c>
      <c r="G2076" s="2">
        <v>4</v>
      </c>
      <c r="H2076" s="2">
        <v>0</v>
      </c>
      <c r="I2076" s="2">
        <v>0</v>
      </c>
      <c r="J2076" s="2">
        <v>0</v>
      </c>
      <c r="K2076" s="2">
        <v>0</v>
      </c>
      <c r="L2076" s="2">
        <v>0</v>
      </c>
      <c r="M2076" s="2">
        <v>0</v>
      </c>
      <c r="N2076" s="2">
        <v>0</v>
      </c>
      <c r="O2076" s="2">
        <v>0</v>
      </c>
      <c r="P2076" s="2">
        <v>0</v>
      </c>
      <c r="Q2076" s="2">
        <v>0</v>
      </c>
      <c r="R2076" s="2">
        <v>0</v>
      </c>
      <c r="S2076" s="2" t="s">
        <v>488</v>
      </c>
      <c r="T2076" s="2" t="s">
        <v>488</v>
      </c>
      <c r="U2076" s="2">
        <v>0</v>
      </c>
      <c r="V2076" s="2">
        <v>0</v>
      </c>
      <c r="W2076">
        <f t="shared" si="33"/>
        <v>0</v>
      </c>
    </row>
    <row r="2077" spans="1:23" x14ac:dyDescent="0.25">
      <c r="A2077" s="2" t="s">
        <v>628</v>
      </c>
      <c r="B2077" s="2" t="s">
        <v>919</v>
      </c>
      <c r="C2077" s="2">
        <v>540028</v>
      </c>
      <c r="D2077" s="2" t="s">
        <v>895</v>
      </c>
      <c r="E2077" s="2" t="s">
        <v>21</v>
      </c>
      <c r="F2077" s="2" t="s">
        <v>115</v>
      </c>
      <c r="G2077" s="2">
        <v>4</v>
      </c>
      <c r="H2077" s="2">
        <v>0</v>
      </c>
      <c r="I2077" s="2">
        <v>0</v>
      </c>
      <c r="J2077" s="2">
        <v>0</v>
      </c>
      <c r="K2077" s="2">
        <v>0</v>
      </c>
      <c r="L2077" s="2">
        <v>0</v>
      </c>
      <c r="M2077" s="2">
        <v>0</v>
      </c>
      <c r="N2077" s="2">
        <v>0</v>
      </c>
      <c r="O2077" s="2">
        <v>0</v>
      </c>
      <c r="P2077" s="2">
        <v>0</v>
      </c>
      <c r="Q2077" s="2">
        <v>0</v>
      </c>
      <c r="R2077" s="2">
        <v>0</v>
      </c>
      <c r="S2077" s="2" t="s">
        <v>488</v>
      </c>
      <c r="T2077" s="2" t="s">
        <v>488</v>
      </c>
      <c r="U2077" s="2">
        <v>0</v>
      </c>
      <c r="V2077" s="2">
        <v>0</v>
      </c>
      <c r="W2077">
        <f t="shared" si="33"/>
        <v>0</v>
      </c>
    </row>
    <row r="2078" spans="1:23" x14ac:dyDescent="0.25">
      <c r="A2078" s="2" t="s">
        <v>628</v>
      </c>
      <c r="B2078" s="2" t="s">
        <v>919</v>
      </c>
      <c r="C2078" s="2">
        <v>540029</v>
      </c>
      <c r="D2078" s="2" t="s">
        <v>701</v>
      </c>
      <c r="E2078" s="2" t="s">
        <v>21</v>
      </c>
      <c r="F2078" s="2" t="s">
        <v>115</v>
      </c>
      <c r="G2078" s="2">
        <v>4</v>
      </c>
      <c r="H2078" s="2">
        <v>0</v>
      </c>
      <c r="I2078" s="2">
        <v>0</v>
      </c>
      <c r="J2078" s="2">
        <v>0</v>
      </c>
      <c r="K2078" s="2">
        <v>0</v>
      </c>
      <c r="L2078" s="2">
        <v>0</v>
      </c>
      <c r="M2078" s="2">
        <v>0</v>
      </c>
      <c r="N2078" s="2">
        <v>0</v>
      </c>
      <c r="O2078" s="2">
        <v>0</v>
      </c>
      <c r="P2078" s="2">
        <v>0</v>
      </c>
      <c r="Q2078" s="2">
        <v>0</v>
      </c>
      <c r="R2078" s="2">
        <v>0</v>
      </c>
      <c r="S2078" s="2" t="s">
        <v>488</v>
      </c>
      <c r="T2078" s="2" t="s">
        <v>488</v>
      </c>
      <c r="U2078" s="2">
        <v>1</v>
      </c>
      <c r="V2078" s="2">
        <v>0</v>
      </c>
      <c r="W2078">
        <f t="shared" si="33"/>
        <v>1</v>
      </c>
    </row>
    <row r="2079" spans="1:23" x14ac:dyDescent="0.25">
      <c r="A2079" s="2" t="s">
        <v>628</v>
      </c>
      <c r="B2079" s="2" t="s">
        <v>919</v>
      </c>
      <c r="C2079" s="2">
        <v>540031</v>
      </c>
      <c r="D2079" s="2" t="s">
        <v>896</v>
      </c>
      <c r="E2079" s="2" t="s">
        <v>21</v>
      </c>
      <c r="F2079" s="2" t="s">
        <v>115</v>
      </c>
      <c r="G2079" s="2">
        <v>4</v>
      </c>
      <c r="H2079" s="2">
        <v>0</v>
      </c>
      <c r="I2079" s="2">
        <v>0</v>
      </c>
      <c r="J2079" s="2">
        <v>0</v>
      </c>
      <c r="K2079" s="2">
        <v>0</v>
      </c>
      <c r="L2079" s="2">
        <v>0</v>
      </c>
      <c r="M2079" s="2">
        <v>0</v>
      </c>
      <c r="N2079" s="2">
        <v>0</v>
      </c>
      <c r="O2079" s="2">
        <v>0</v>
      </c>
      <c r="P2079" s="2">
        <v>0</v>
      </c>
      <c r="Q2079" s="2">
        <v>0</v>
      </c>
      <c r="R2079" s="2">
        <v>0</v>
      </c>
      <c r="S2079" s="2" t="s">
        <v>488</v>
      </c>
      <c r="T2079" s="2" t="s">
        <v>488</v>
      </c>
      <c r="U2079" s="2">
        <v>0</v>
      </c>
      <c r="V2079" s="2">
        <v>0</v>
      </c>
      <c r="W2079">
        <f t="shared" si="33"/>
        <v>0</v>
      </c>
    </row>
    <row r="2080" spans="1:23" x14ac:dyDescent="0.25">
      <c r="A2080" s="2" t="s">
        <v>628</v>
      </c>
      <c r="B2080" s="2" t="s">
        <v>919</v>
      </c>
      <c r="C2080" s="2">
        <v>540032</v>
      </c>
      <c r="D2080" s="2" t="s">
        <v>897</v>
      </c>
      <c r="E2080" s="2" t="s">
        <v>21</v>
      </c>
      <c r="F2080" s="2" t="s">
        <v>115</v>
      </c>
      <c r="G2080" s="2">
        <v>4</v>
      </c>
      <c r="H2080" s="2">
        <v>0</v>
      </c>
      <c r="I2080" s="2">
        <v>0</v>
      </c>
      <c r="J2080" s="2">
        <v>0</v>
      </c>
      <c r="K2080" s="2">
        <v>0</v>
      </c>
      <c r="L2080" s="2">
        <v>0</v>
      </c>
      <c r="M2080" s="2">
        <v>0</v>
      </c>
      <c r="N2080" s="2">
        <v>0</v>
      </c>
      <c r="O2080" s="2">
        <v>0</v>
      </c>
      <c r="P2080" s="2">
        <v>0</v>
      </c>
      <c r="Q2080" s="2">
        <v>0</v>
      </c>
      <c r="R2080" s="2">
        <v>0</v>
      </c>
      <c r="S2080" s="2" t="s">
        <v>488</v>
      </c>
      <c r="T2080" s="2" t="s">
        <v>488</v>
      </c>
      <c r="U2080" s="2">
        <v>0</v>
      </c>
      <c r="V2080" s="2">
        <v>0</v>
      </c>
      <c r="W2080">
        <f t="shared" si="33"/>
        <v>0</v>
      </c>
    </row>
    <row r="2081" spans="1:23" x14ac:dyDescent="0.25">
      <c r="A2081" s="2" t="s">
        <v>628</v>
      </c>
      <c r="B2081" s="2" t="s">
        <v>919</v>
      </c>
      <c r="C2081" s="2">
        <v>540050</v>
      </c>
      <c r="D2081" s="2" t="s">
        <v>898</v>
      </c>
      <c r="E2081" s="2" t="s">
        <v>21</v>
      </c>
      <c r="F2081" s="2" t="s">
        <v>115</v>
      </c>
      <c r="G2081" s="2">
        <v>4</v>
      </c>
      <c r="H2081" s="2">
        <v>0</v>
      </c>
      <c r="I2081" s="2">
        <v>0</v>
      </c>
      <c r="J2081" s="2">
        <v>0</v>
      </c>
      <c r="K2081" s="2">
        <v>0</v>
      </c>
      <c r="L2081" s="2">
        <v>0</v>
      </c>
      <c r="M2081" s="2">
        <v>0</v>
      </c>
      <c r="N2081" s="2">
        <v>0</v>
      </c>
      <c r="O2081" s="2">
        <v>0</v>
      </c>
      <c r="P2081" s="2">
        <v>0</v>
      </c>
      <c r="Q2081" s="2">
        <v>0</v>
      </c>
      <c r="R2081" s="2">
        <v>0</v>
      </c>
      <c r="S2081" s="2" t="s">
        <v>488</v>
      </c>
      <c r="T2081" s="2" t="s">
        <v>488</v>
      </c>
      <c r="U2081" s="2">
        <v>0</v>
      </c>
      <c r="V2081" s="2">
        <v>0</v>
      </c>
      <c r="W2081">
        <f t="shared" si="33"/>
        <v>0</v>
      </c>
    </row>
    <row r="2082" spans="1:23" x14ac:dyDescent="0.25">
      <c r="A2082" s="2" t="s">
        <v>628</v>
      </c>
      <c r="B2082" s="2" t="s">
        <v>919</v>
      </c>
      <c r="C2082" s="2">
        <v>540293</v>
      </c>
      <c r="D2082" s="2" t="s">
        <v>899</v>
      </c>
      <c r="E2082" s="2" t="s">
        <v>21</v>
      </c>
      <c r="F2082" s="2" t="s">
        <v>115</v>
      </c>
      <c r="G2082" s="2">
        <v>4</v>
      </c>
      <c r="H2082" s="2">
        <v>0</v>
      </c>
      <c r="I2082" s="2">
        <v>0</v>
      </c>
      <c r="J2082" s="2">
        <v>0</v>
      </c>
      <c r="K2082" s="2">
        <v>0</v>
      </c>
      <c r="L2082" s="2">
        <v>0</v>
      </c>
      <c r="M2082" s="2">
        <v>0</v>
      </c>
      <c r="N2082" s="2">
        <v>0</v>
      </c>
      <c r="O2082" s="2">
        <v>0</v>
      </c>
      <c r="P2082" s="2">
        <v>0</v>
      </c>
      <c r="Q2082" s="2">
        <v>0</v>
      </c>
      <c r="R2082" s="2">
        <v>0</v>
      </c>
      <c r="S2082" s="2" t="s">
        <v>488</v>
      </c>
      <c r="T2082" s="2" t="s">
        <v>488</v>
      </c>
      <c r="U2082" s="2">
        <v>0</v>
      </c>
      <c r="V2082" s="2">
        <v>0</v>
      </c>
      <c r="W2082">
        <f t="shared" si="33"/>
        <v>0</v>
      </c>
    </row>
    <row r="2083" spans="1:23" x14ac:dyDescent="0.25">
      <c r="A2083" s="2" t="s">
        <v>628</v>
      </c>
      <c r="B2083" s="2" t="s">
        <v>919</v>
      </c>
      <c r="C2083" s="2">
        <v>540294</v>
      </c>
      <c r="D2083" s="2" t="s">
        <v>900</v>
      </c>
      <c r="E2083" s="2" t="s">
        <v>21</v>
      </c>
      <c r="F2083" s="2" t="s">
        <v>115</v>
      </c>
      <c r="G2083" s="2">
        <v>4</v>
      </c>
      <c r="H2083" s="2">
        <v>0</v>
      </c>
      <c r="I2083" s="2">
        <v>0</v>
      </c>
      <c r="J2083" s="2">
        <v>0</v>
      </c>
      <c r="K2083" s="2">
        <v>0</v>
      </c>
      <c r="L2083" s="2">
        <v>0</v>
      </c>
      <c r="M2083" s="2">
        <v>0</v>
      </c>
      <c r="N2083" s="2">
        <v>0</v>
      </c>
      <c r="O2083" s="2">
        <v>0</v>
      </c>
      <c r="P2083" s="2">
        <v>0</v>
      </c>
      <c r="Q2083" s="2">
        <v>0</v>
      </c>
      <c r="R2083" s="2">
        <v>0</v>
      </c>
      <c r="S2083" s="2" t="s">
        <v>488</v>
      </c>
      <c r="T2083" s="2" t="s">
        <v>488</v>
      </c>
      <c r="U2083" s="2">
        <v>0</v>
      </c>
      <c r="V2083" s="2">
        <v>0</v>
      </c>
      <c r="W2083">
        <f t="shared" si="33"/>
        <v>0</v>
      </c>
    </row>
    <row r="2084" spans="1:23" x14ac:dyDescent="0.25">
      <c r="A2084" s="2" t="s">
        <v>628</v>
      </c>
      <c r="B2084" s="2" t="s">
        <v>919</v>
      </c>
      <c r="C2084" s="2">
        <v>540033</v>
      </c>
      <c r="D2084" s="2" t="s">
        <v>716</v>
      </c>
      <c r="E2084" s="2" t="s">
        <v>21</v>
      </c>
      <c r="F2084" s="2" t="s">
        <v>115</v>
      </c>
      <c r="G2084" s="2">
        <v>4</v>
      </c>
      <c r="H2084" s="2">
        <v>0</v>
      </c>
      <c r="I2084" s="2">
        <v>0</v>
      </c>
      <c r="J2084" s="2">
        <v>0</v>
      </c>
      <c r="K2084" s="2">
        <v>0</v>
      </c>
      <c r="L2084" s="2">
        <v>0</v>
      </c>
      <c r="M2084" s="2">
        <v>0</v>
      </c>
      <c r="N2084" s="2">
        <v>0</v>
      </c>
      <c r="O2084" s="2">
        <v>0</v>
      </c>
      <c r="P2084" s="2">
        <v>0</v>
      </c>
      <c r="Q2084" s="2">
        <v>0</v>
      </c>
      <c r="R2084" s="2">
        <v>0</v>
      </c>
      <c r="S2084" s="2" t="s">
        <v>488</v>
      </c>
      <c r="T2084" s="2" t="s">
        <v>488</v>
      </c>
      <c r="U2084" s="2">
        <v>0</v>
      </c>
      <c r="V2084" s="2">
        <v>0</v>
      </c>
      <c r="W2084">
        <f t="shared" si="33"/>
        <v>0</v>
      </c>
    </row>
    <row r="2085" spans="1:23" x14ac:dyDescent="0.25">
      <c r="A2085" s="2" t="s">
        <v>628</v>
      </c>
      <c r="B2085" s="2" t="s">
        <v>919</v>
      </c>
      <c r="C2085" s="2">
        <v>540280</v>
      </c>
      <c r="D2085" s="2" t="s">
        <v>901</v>
      </c>
      <c r="E2085" s="2" t="s">
        <v>21</v>
      </c>
      <c r="F2085" s="2" t="s">
        <v>115</v>
      </c>
      <c r="G2085" s="2">
        <v>4</v>
      </c>
      <c r="H2085" s="2">
        <v>0</v>
      </c>
      <c r="I2085" s="2">
        <v>0</v>
      </c>
      <c r="J2085" s="2">
        <v>0</v>
      </c>
      <c r="K2085" s="2">
        <v>0</v>
      </c>
      <c r="L2085" s="2">
        <v>0</v>
      </c>
      <c r="M2085" s="2">
        <v>0</v>
      </c>
      <c r="N2085" s="2">
        <v>0</v>
      </c>
      <c r="O2085" s="2">
        <v>0</v>
      </c>
      <c r="P2085" s="2">
        <v>0</v>
      </c>
      <c r="Q2085" s="2">
        <v>0</v>
      </c>
      <c r="R2085" s="2">
        <v>0</v>
      </c>
      <c r="S2085" s="2" t="s">
        <v>488</v>
      </c>
      <c r="T2085" s="2" t="s">
        <v>488</v>
      </c>
      <c r="U2085" s="2">
        <v>0</v>
      </c>
      <c r="V2085" s="2">
        <v>0</v>
      </c>
      <c r="W2085">
        <f t="shared" si="33"/>
        <v>0</v>
      </c>
    </row>
    <row r="2086" spans="1:23" x14ac:dyDescent="0.25">
      <c r="A2086" s="2" t="s">
        <v>628</v>
      </c>
      <c r="B2086" s="2" t="s">
        <v>919</v>
      </c>
      <c r="C2086" s="2">
        <v>540026</v>
      </c>
      <c r="D2086" s="2" t="s">
        <v>902</v>
      </c>
      <c r="E2086" s="2" t="s">
        <v>21</v>
      </c>
      <c r="F2086" s="2" t="s">
        <v>5</v>
      </c>
      <c r="G2086" s="2">
        <v>4</v>
      </c>
      <c r="H2086" s="2">
        <v>0</v>
      </c>
      <c r="I2086" s="2">
        <v>0</v>
      </c>
      <c r="J2086" s="2">
        <v>0</v>
      </c>
      <c r="K2086" s="2">
        <v>0</v>
      </c>
      <c r="L2086" s="2">
        <v>0</v>
      </c>
      <c r="M2086" s="2">
        <v>0</v>
      </c>
      <c r="N2086" s="2">
        <v>0</v>
      </c>
      <c r="O2086" s="2">
        <v>0</v>
      </c>
      <c r="P2086" s="2">
        <v>0</v>
      </c>
      <c r="Q2086" s="2">
        <v>0</v>
      </c>
      <c r="R2086" s="2">
        <v>0</v>
      </c>
      <c r="S2086" s="2" t="s">
        <v>488</v>
      </c>
      <c r="T2086" s="2" t="s">
        <v>488</v>
      </c>
      <c r="U2086" s="2">
        <v>0</v>
      </c>
      <c r="V2086" s="2">
        <v>0</v>
      </c>
      <c r="W2086">
        <f t="shared" si="33"/>
        <v>0</v>
      </c>
    </row>
    <row r="2087" spans="1:23" x14ac:dyDescent="0.25">
      <c r="A2087" s="255" t="s">
        <v>628</v>
      </c>
      <c r="B2087" s="255" t="s">
        <v>919</v>
      </c>
      <c r="C2087" s="255"/>
      <c r="D2087" s="255"/>
      <c r="E2087" s="255" t="s">
        <v>21</v>
      </c>
      <c r="F2087" s="255"/>
      <c r="G2087" s="255"/>
      <c r="H2087" s="255">
        <v>0</v>
      </c>
      <c r="I2087" s="255">
        <v>0</v>
      </c>
      <c r="J2087" s="255">
        <v>0</v>
      </c>
      <c r="K2087" s="255">
        <v>0</v>
      </c>
      <c r="L2087" s="255">
        <v>0</v>
      </c>
      <c r="M2087" s="255">
        <v>0</v>
      </c>
      <c r="N2087" s="255">
        <v>0</v>
      </c>
      <c r="O2087" s="255">
        <v>0</v>
      </c>
      <c r="P2087" s="255">
        <v>0</v>
      </c>
      <c r="Q2087" s="255">
        <v>0</v>
      </c>
      <c r="R2087" s="255">
        <v>0</v>
      </c>
      <c r="S2087" s="255" t="s">
        <v>488</v>
      </c>
      <c r="T2087" s="255" t="s">
        <v>488</v>
      </c>
      <c r="U2087" s="255">
        <v>1</v>
      </c>
      <c r="V2087" s="255">
        <v>0</v>
      </c>
      <c r="W2087">
        <f t="shared" si="33"/>
        <v>1</v>
      </c>
    </row>
    <row r="2088" spans="1:23" x14ac:dyDescent="0.25">
      <c r="A2088" s="2" t="s">
        <v>628</v>
      </c>
      <c r="B2088" s="2" t="s">
        <v>919</v>
      </c>
      <c r="C2088" s="2">
        <v>540176</v>
      </c>
      <c r="D2088" s="2" t="s">
        <v>903</v>
      </c>
      <c r="E2088" s="2" t="s">
        <v>75</v>
      </c>
      <c r="F2088" s="2" t="s">
        <v>115</v>
      </c>
      <c r="G2088" s="2">
        <v>7</v>
      </c>
      <c r="H2088" s="2">
        <v>0</v>
      </c>
      <c r="I2088" s="2">
        <v>0</v>
      </c>
      <c r="J2088" s="2">
        <v>0</v>
      </c>
      <c r="K2088" s="2">
        <v>0</v>
      </c>
      <c r="L2088" s="2">
        <v>0</v>
      </c>
      <c r="M2088" s="2">
        <v>0</v>
      </c>
      <c r="N2088" s="2">
        <v>0</v>
      </c>
      <c r="O2088" s="2">
        <v>0</v>
      </c>
      <c r="P2088" s="2">
        <v>0</v>
      </c>
      <c r="Q2088" s="2">
        <v>0</v>
      </c>
      <c r="R2088" s="2">
        <v>0</v>
      </c>
      <c r="S2088" s="2" t="s">
        <v>488</v>
      </c>
      <c r="T2088" s="2" t="s">
        <v>488</v>
      </c>
      <c r="U2088" s="2">
        <v>0</v>
      </c>
      <c r="V2088" s="2">
        <v>0</v>
      </c>
      <c r="W2088">
        <f t="shared" si="33"/>
        <v>0</v>
      </c>
    </row>
    <row r="2089" spans="1:23" x14ac:dyDescent="0.25">
      <c r="A2089" s="2" t="s">
        <v>628</v>
      </c>
      <c r="B2089" s="2" t="s">
        <v>919</v>
      </c>
      <c r="C2089" s="2">
        <v>540178</v>
      </c>
      <c r="D2089" s="2" t="s">
        <v>904</v>
      </c>
      <c r="E2089" s="2" t="s">
        <v>75</v>
      </c>
      <c r="F2089" s="2" t="s">
        <v>115</v>
      </c>
      <c r="G2089" s="2">
        <v>7</v>
      </c>
      <c r="H2089" s="2">
        <v>0</v>
      </c>
      <c r="I2089" s="2">
        <v>0</v>
      </c>
      <c r="J2089" s="2">
        <v>0</v>
      </c>
      <c r="K2089" s="2">
        <v>0</v>
      </c>
      <c r="L2089" s="2">
        <v>0</v>
      </c>
      <c r="M2089" s="2">
        <v>0</v>
      </c>
      <c r="N2089" s="2">
        <v>0</v>
      </c>
      <c r="O2089" s="2">
        <v>0</v>
      </c>
      <c r="P2089" s="2">
        <v>0</v>
      </c>
      <c r="Q2089" s="2">
        <v>0</v>
      </c>
      <c r="R2089" s="2">
        <v>0</v>
      </c>
      <c r="S2089" s="2" t="s">
        <v>488</v>
      </c>
      <c r="T2089" s="2" t="s">
        <v>488</v>
      </c>
      <c r="U2089" s="2">
        <v>0</v>
      </c>
      <c r="V2089" s="2">
        <v>0</v>
      </c>
      <c r="W2089">
        <f t="shared" si="33"/>
        <v>0</v>
      </c>
    </row>
    <row r="2090" spans="1:23" x14ac:dyDescent="0.25">
      <c r="A2090" s="2" t="s">
        <v>628</v>
      </c>
      <c r="B2090" s="2" t="s">
        <v>919</v>
      </c>
      <c r="C2090" s="2">
        <v>540264</v>
      </c>
      <c r="D2090" s="2" t="s">
        <v>905</v>
      </c>
      <c r="E2090" s="2" t="s">
        <v>75</v>
      </c>
      <c r="F2090" s="2" t="s">
        <v>115</v>
      </c>
      <c r="G2090" s="2">
        <v>7</v>
      </c>
      <c r="H2090" s="2">
        <v>0</v>
      </c>
      <c r="I2090" s="2">
        <v>0</v>
      </c>
      <c r="J2090" s="2">
        <v>0</v>
      </c>
      <c r="K2090" s="2">
        <v>0</v>
      </c>
      <c r="L2090" s="2">
        <v>0</v>
      </c>
      <c r="M2090" s="2">
        <v>0</v>
      </c>
      <c r="N2090" s="2">
        <v>0</v>
      </c>
      <c r="O2090" s="2">
        <v>0</v>
      </c>
      <c r="P2090" s="2">
        <v>0</v>
      </c>
      <c r="Q2090" s="2">
        <v>0</v>
      </c>
      <c r="R2090" s="2">
        <v>0</v>
      </c>
      <c r="S2090" s="2" t="s">
        <v>488</v>
      </c>
      <c r="T2090" s="2" t="s">
        <v>488</v>
      </c>
      <c r="U2090" s="2">
        <v>0</v>
      </c>
      <c r="V2090" s="2">
        <v>0</v>
      </c>
      <c r="W2090">
        <f t="shared" si="33"/>
        <v>0</v>
      </c>
    </row>
    <row r="2091" spans="1:23" x14ac:dyDescent="0.25">
      <c r="A2091" s="2" t="s">
        <v>628</v>
      </c>
      <c r="B2091" s="2" t="s">
        <v>919</v>
      </c>
      <c r="C2091" s="2">
        <v>540265</v>
      </c>
      <c r="D2091" s="2" t="s">
        <v>906</v>
      </c>
      <c r="E2091" s="2" t="s">
        <v>75</v>
      </c>
      <c r="F2091" s="2" t="s">
        <v>115</v>
      </c>
      <c r="G2091" s="2">
        <v>7</v>
      </c>
      <c r="H2091" s="2">
        <v>0</v>
      </c>
      <c r="I2091" s="2">
        <v>0</v>
      </c>
      <c r="J2091" s="2">
        <v>0</v>
      </c>
      <c r="K2091" s="2">
        <v>0</v>
      </c>
      <c r="L2091" s="2">
        <v>0</v>
      </c>
      <c r="M2091" s="2">
        <v>0</v>
      </c>
      <c r="N2091" s="2">
        <v>0</v>
      </c>
      <c r="O2091" s="2">
        <v>0</v>
      </c>
      <c r="P2091" s="2">
        <v>0</v>
      </c>
      <c r="Q2091" s="2">
        <v>0</v>
      </c>
      <c r="R2091" s="2">
        <v>0</v>
      </c>
      <c r="S2091" s="2" t="s">
        <v>488</v>
      </c>
      <c r="T2091" s="2" t="s">
        <v>488</v>
      </c>
      <c r="U2091" s="2">
        <v>0</v>
      </c>
      <c r="V2091" s="2">
        <v>0</v>
      </c>
      <c r="W2091">
        <f t="shared" si="33"/>
        <v>0</v>
      </c>
    </row>
    <row r="2092" spans="1:23" x14ac:dyDescent="0.25">
      <c r="A2092" s="2" t="s">
        <v>628</v>
      </c>
      <c r="B2092" s="2" t="s">
        <v>919</v>
      </c>
      <c r="C2092" s="2">
        <v>540266</v>
      </c>
      <c r="D2092" s="2" t="s">
        <v>907</v>
      </c>
      <c r="E2092" s="2" t="s">
        <v>75</v>
      </c>
      <c r="F2092" s="2" t="s">
        <v>115</v>
      </c>
      <c r="G2092" s="2">
        <v>7</v>
      </c>
      <c r="H2092" s="2">
        <v>0</v>
      </c>
      <c r="I2092" s="2">
        <v>0</v>
      </c>
      <c r="J2092" s="2">
        <v>0</v>
      </c>
      <c r="K2092" s="2">
        <v>0</v>
      </c>
      <c r="L2092" s="2">
        <v>0</v>
      </c>
      <c r="M2092" s="2">
        <v>0</v>
      </c>
      <c r="N2092" s="2">
        <v>0</v>
      </c>
      <c r="O2092" s="2">
        <v>0</v>
      </c>
      <c r="P2092" s="2">
        <v>0</v>
      </c>
      <c r="Q2092" s="2">
        <v>0</v>
      </c>
      <c r="R2092" s="2">
        <v>0</v>
      </c>
      <c r="S2092" s="2" t="s">
        <v>488</v>
      </c>
      <c r="T2092" s="2" t="s">
        <v>488</v>
      </c>
      <c r="U2092" s="2">
        <v>0</v>
      </c>
      <c r="V2092" s="2">
        <v>0</v>
      </c>
      <c r="W2092">
        <f t="shared" si="33"/>
        <v>0</v>
      </c>
    </row>
    <row r="2093" spans="1:23" x14ac:dyDescent="0.25">
      <c r="A2093" s="2" t="s">
        <v>628</v>
      </c>
      <c r="B2093" s="2" t="s">
        <v>919</v>
      </c>
      <c r="C2093" s="2">
        <v>540267</v>
      </c>
      <c r="D2093" s="2" t="s">
        <v>908</v>
      </c>
      <c r="E2093" s="2" t="s">
        <v>75</v>
      </c>
      <c r="F2093" s="2" t="s">
        <v>115</v>
      </c>
      <c r="G2093" s="2">
        <v>7</v>
      </c>
      <c r="H2093" s="2">
        <v>0</v>
      </c>
      <c r="I2093" s="2">
        <v>0</v>
      </c>
      <c r="J2093" s="2">
        <v>0</v>
      </c>
      <c r="K2093" s="2">
        <v>0</v>
      </c>
      <c r="L2093" s="2">
        <v>0</v>
      </c>
      <c r="M2093" s="2">
        <v>0</v>
      </c>
      <c r="N2093" s="2">
        <v>0</v>
      </c>
      <c r="O2093" s="2">
        <v>0</v>
      </c>
      <c r="P2093" s="2">
        <v>0</v>
      </c>
      <c r="Q2093" s="2">
        <v>0</v>
      </c>
      <c r="R2093" s="2">
        <v>0</v>
      </c>
      <c r="S2093" s="2" t="s">
        <v>488</v>
      </c>
      <c r="T2093" s="2" t="s">
        <v>488</v>
      </c>
      <c r="U2093" s="2">
        <v>0</v>
      </c>
      <c r="V2093" s="2">
        <v>0</v>
      </c>
      <c r="W2093">
        <f t="shared" si="33"/>
        <v>0</v>
      </c>
    </row>
    <row r="2094" spans="1:23" x14ac:dyDescent="0.25">
      <c r="A2094" s="2" t="s">
        <v>628</v>
      </c>
      <c r="B2094" s="2" t="s">
        <v>919</v>
      </c>
      <c r="C2094" s="2">
        <v>540177</v>
      </c>
      <c r="D2094" s="2" t="s">
        <v>909</v>
      </c>
      <c r="E2094" s="2" t="s">
        <v>75</v>
      </c>
      <c r="F2094" s="2" t="s">
        <v>115</v>
      </c>
      <c r="G2094" s="2">
        <v>7</v>
      </c>
      <c r="H2094" s="2">
        <v>0</v>
      </c>
      <c r="I2094" s="2">
        <v>0</v>
      </c>
      <c r="J2094" s="2">
        <v>0</v>
      </c>
      <c r="K2094" s="2">
        <v>0</v>
      </c>
      <c r="L2094" s="2">
        <v>0</v>
      </c>
      <c r="M2094" s="2">
        <v>0</v>
      </c>
      <c r="N2094" s="2">
        <v>0</v>
      </c>
      <c r="O2094" s="2">
        <v>0</v>
      </c>
      <c r="P2094" s="2">
        <v>0</v>
      </c>
      <c r="Q2094" s="2">
        <v>0</v>
      </c>
      <c r="R2094" s="2">
        <v>0</v>
      </c>
      <c r="S2094" s="2" t="s">
        <v>488</v>
      </c>
      <c r="T2094" s="2" t="s">
        <v>488</v>
      </c>
      <c r="U2094" s="2">
        <v>0</v>
      </c>
      <c r="V2094" s="2">
        <v>0</v>
      </c>
      <c r="W2094">
        <f t="shared" si="33"/>
        <v>0</v>
      </c>
    </row>
    <row r="2095" spans="1:23" x14ac:dyDescent="0.25">
      <c r="A2095" s="2" t="s">
        <v>628</v>
      </c>
      <c r="B2095" s="2" t="s">
        <v>919</v>
      </c>
      <c r="C2095" s="2">
        <v>540175</v>
      </c>
      <c r="D2095" s="2" t="s">
        <v>910</v>
      </c>
      <c r="E2095" s="2" t="s">
        <v>75</v>
      </c>
      <c r="F2095" s="2" t="s">
        <v>5</v>
      </c>
      <c r="G2095" s="2">
        <v>7</v>
      </c>
      <c r="H2095" s="2">
        <v>0</v>
      </c>
      <c r="I2095" s="2">
        <v>0</v>
      </c>
      <c r="J2095" s="2">
        <v>0</v>
      </c>
      <c r="K2095" s="2">
        <v>0</v>
      </c>
      <c r="L2095" s="2">
        <v>0</v>
      </c>
      <c r="M2095" s="2">
        <v>0</v>
      </c>
      <c r="N2095" s="2">
        <v>0</v>
      </c>
      <c r="O2095" s="2">
        <v>0</v>
      </c>
      <c r="P2095" s="2">
        <v>0</v>
      </c>
      <c r="Q2095" s="2">
        <v>0</v>
      </c>
      <c r="R2095" s="2">
        <v>0</v>
      </c>
      <c r="S2095" s="2" t="s">
        <v>488</v>
      </c>
      <c r="T2095" s="2" t="s">
        <v>488</v>
      </c>
      <c r="U2095" s="2">
        <v>0</v>
      </c>
      <c r="V2095" s="2">
        <v>0</v>
      </c>
      <c r="W2095">
        <f t="shared" si="33"/>
        <v>0</v>
      </c>
    </row>
    <row r="2096" spans="1:23" x14ac:dyDescent="0.25">
      <c r="A2096" s="255" t="s">
        <v>628</v>
      </c>
      <c r="B2096" s="255" t="s">
        <v>919</v>
      </c>
      <c r="C2096" s="255"/>
      <c r="D2096" s="255"/>
      <c r="E2096" s="255" t="s">
        <v>75</v>
      </c>
      <c r="F2096" s="255"/>
      <c r="G2096" s="255"/>
      <c r="H2096" s="255">
        <v>0</v>
      </c>
      <c r="I2096" s="255">
        <v>0</v>
      </c>
      <c r="J2096" s="255">
        <v>0</v>
      </c>
      <c r="K2096" s="255">
        <v>0</v>
      </c>
      <c r="L2096" s="255">
        <v>0</v>
      </c>
      <c r="M2096" s="255">
        <v>0</v>
      </c>
      <c r="N2096" s="255">
        <v>0</v>
      </c>
      <c r="O2096" s="255">
        <v>0</v>
      </c>
      <c r="P2096" s="255">
        <v>0</v>
      </c>
      <c r="Q2096" s="255">
        <v>0</v>
      </c>
      <c r="R2096" s="255">
        <v>0</v>
      </c>
      <c r="S2096" s="255" t="s">
        <v>488</v>
      </c>
      <c r="T2096" s="255" t="s">
        <v>488</v>
      </c>
      <c r="U2096" s="255">
        <v>0</v>
      </c>
      <c r="V2096" s="255">
        <v>0</v>
      </c>
      <c r="W2096">
        <f t="shared" si="33"/>
        <v>0</v>
      </c>
    </row>
    <row r="2097" spans="1:23" x14ac:dyDescent="0.25">
      <c r="A2097" s="2" t="s">
        <v>628</v>
      </c>
      <c r="B2097" s="2" t="s">
        <v>919</v>
      </c>
      <c r="C2097" s="2">
        <v>540219</v>
      </c>
      <c r="D2097" s="2" t="s">
        <v>911</v>
      </c>
      <c r="E2097" s="2" t="s">
        <v>95</v>
      </c>
      <c r="F2097" s="2" t="s">
        <v>115</v>
      </c>
      <c r="G2097" s="2">
        <v>1</v>
      </c>
      <c r="H2097" s="2">
        <v>0</v>
      </c>
      <c r="I2097" s="2">
        <v>0</v>
      </c>
      <c r="J2097" s="2">
        <v>0</v>
      </c>
      <c r="K2097" s="2">
        <v>0</v>
      </c>
      <c r="L2097" s="2">
        <v>0</v>
      </c>
      <c r="M2097" s="2">
        <v>0</v>
      </c>
      <c r="N2097" s="2">
        <v>0</v>
      </c>
      <c r="O2097" s="2">
        <v>0</v>
      </c>
      <c r="P2097" s="2">
        <v>0</v>
      </c>
      <c r="Q2097" s="2">
        <v>0</v>
      </c>
      <c r="R2097" s="2">
        <v>0</v>
      </c>
      <c r="S2097" s="2">
        <v>0</v>
      </c>
      <c r="T2097" s="2">
        <v>0</v>
      </c>
      <c r="U2097" s="2">
        <v>0</v>
      </c>
      <c r="V2097" s="2">
        <v>0</v>
      </c>
      <c r="W2097">
        <f t="shared" si="33"/>
        <v>0</v>
      </c>
    </row>
    <row r="2098" spans="1:23" x14ac:dyDescent="0.25">
      <c r="A2098" s="2" t="s">
        <v>628</v>
      </c>
      <c r="B2098" s="2" t="s">
        <v>919</v>
      </c>
      <c r="C2098" s="2">
        <v>540220</v>
      </c>
      <c r="D2098" s="2" t="s">
        <v>912</v>
      </c>
      <c r="E2098" s="2" t="s">
        <v>95</v>
      </c>
      <c r="F2098" s="2" t="s">
        <v>115</v>
      </c>
      <c r="G2098" s="2">
        <v>1</v>
      </c>
      <c r="H2098" s="2">
        <v>0</v>
      </c>
      <c r="I2098" s="2">
        <v>0</v>
      </c>
      <c r="J2098" s="2">
        <v>0</v>
      </c>
      <c r="K2098" s="2">
        <v>0</v>
      </c>
      <c r="L2098" s="2">
        <v>0</v>
      </c>
      <c r="M2098" s="2">
        <v>0</v>
      </c>
      <c r="N2098" s="2">
        <v>0</v>
      </c>
      <c r="O2098" s="2">
        <v>0</v>
      </c>
      <c r="P2098" s="2">
        <v>0</v>
      </c>
      <c r="Q2098" s="2">
        <v>0</v>
      </c>
      <c r="R2098" s="2">
        <v>0</v>
      </c>
      <c r="S2098" s="2">
        <v>0</v>
      </c>
      <c r="T2098" s="2">
        <v>0</v>
      </c>
      <c r="U2098" s="2">
        <v>0</v>
      </c>
      <c r="V2098" s="2">
        <v>0</v>
      </c>
      <c r="W2098">
        <f t="shared" si="33"/>
        <v>0</v>
      </c>
    </row>
    <row r="2099" spans="1:23" x14ac:dyDescent="0.25">
      <c r="A2099" s="2" t="s">
        <v>628</v>
      </c>
      <c r="B2099" s="2" t="s">
        <v>919</v>
      </c>
      <c r="C2099" s="2">
        <v>540218</v>
      </c>
      <c r="D2099" s="2" t="s">
        <v>913</v>
      </c>
      <c r="E2099" s="2" t="s">
        <v>95</v>
      </c>
      <c r="F2099" s="2" t="s">
        <v>115</v>
      </c>
      <c r="G2099" s="2">
        <v>1</v>
      </c>
      <c r="H2099" s="2">
        <v>0</v>
      </c>
      <c r="I2099" s="2">
        <v>0</v>
      </c>
      <c r="J2099" s="2">
        <v>0</v>
      </c>
      <c r="K2099" s="2">
        <v>0</v>
      </c>
      <c r="L2099" s="2">
        <v>0</v>
      </c>
      <c r="M2099" s="2">
        <v>0</v>
      </c>
      <c r="N2099" s="2">
        <v>0</v>
      </c>
      <c r="O2099" s="2">
        <v>0</v>
      </c>
      <c r="P2099" s="2">
        <v>0</v>
      </c>
      <c r="Q2099" s="2">
        <v>0</v>
      </c>
      <c r="R2099" s="2">
        <v>0</v>
      </c>
      <c r="S2099" s="2">
        <v>0</v>
      </c>
      <c r="T2099" s="2">
        <v>0</v>
      </c>
      <c r="U2099" s="2">
        <v>0</v>
      </c>
      <c r="V2099" s="2">
        <v>0</v>
      </c>
      <c r="W2099">
        <f t="shared" si="33"/>
        <v>0</v>
      </c>
    </row>
    <row r="2100" spans="1:23" x14ac:dyDescent="0.25">
      <c r="A2100" s="2" t="s">
        <v>628</v>
      </c>
      <c r="B2100" s="2" t="s">
        <v>919</v>
      </c>
      <c r="C2100" s="2">
        <v>540217</v>
      </c>
      <c r="D2100" s="2" t="s">
        <v>914</v>
      </c>
      <c r="E2100" s="2" t="s">
        <v>95</v>
      </c>
      <c r="F2100" s="2" t="s">
        <v>5</v>
      </c>
      <c r="G2100" s="2">
        <v>1</v>
      </c>
      <c r="H2100" s="2">
        <v>0</v>
      </c>
      <c r="I2100" s="2">
        <v>0</v>
      </c>
      <c r="J2100" s="2">
        <v>0</v>
      </c>
      <c r="K2100" s="2">
        <v>0</v>
      </c>
      <c r="L2100" s="2">
        <v>0</v>
      </c>
      <c r="M2100" s="2">
        <v>0</v>
      </c>
      <c r="N2100" s="2">
        <v>0</v>
      </c>
      <c r="O2100" s="2">
        <v>0</v>
      </c>
      <c r="P2100" s="2">
        <v>0</v>
      </c>
      <c r="Q2100" s="2">
        <v>0</v>
      </c>
      <c r="R2100" s="2">
        <v>0</v>
      </c>
      <c r="S2100" s="2">
        <v>0</v>
      </c>
      <c r="T2100" s="2">
        <v>0</v>
      </c>
      <c r="U2100" s="2">
        <v>0</v>
      </c>
      <c r="V2100" s="2">
        <v>0</v>
      </c>
      <c r="W2100">
        <f t="shared" si="33"/>
        <v>0</v>
      </c>
    </row>
    <row r="2101" spans="1:23" x14ac:dyDescent="0.25">
      <c r="A2101" s="255" t="s">
        <v>628</v>
      </c>
      <c r="B2101" s="255" t="s">
        <v>919</v>
      </c>
      <c r="C2101" s="255"/>
      <c r="D2101" s="255"/>
      <c r="E2101" s="255" t="s">
        <v>95</v>
      </c>
      <c r="F2101" s="255"/>
      <c r="G2101" s="255"/>
      <c r="H2101" s="255">
        <v>0</v>
      </c>
      <c r="I2101" s="255">
        <v>0</v>
      </c>
      <c r="J2101" s="255">
        <v>0</v>
      </c>
      <c r="K2101" s="255">
        <v>0</v>
      </c>
      <c r="L2101" s="255">
        <v>0</v>
      </c>
      <c r="M2101" s="255">
        <v>0</v>
      </c>
      <c r="N2101" s="255">
        <v>0</v>
      </c>
      <c r="O2101" s="255">
        <v>0</v>
      </c>
      <c r="P2101" s="255">
        <v>0</v>
      </c>
      <c r="Q2101" s="255">
        <v>0</v>
      </c>
      <c r="R2101" s="255">
        <v>0</v>
      </c>
      <c r="S2101" s="255">
        <v>0</v>
      </c>
      <c r="T2101" s="255">
        <v>0</v>
      </c>
      <c r="U2101" s="255">
        <v>0</v>
      </c>
      <c r="V2101" s="255">
        <v>0</v>
      </c>
      <c r="W2101">
        <f t="shared" si="33"/>
        <v>0</v>
      </c>
    </row>
    <row r="2102" spans="1:23" x14ac:dyDescent="0.25">
      <c r="A2102" s="2" t="s">
        <v>1380</v>
      </c>
      <c r="B2102" s="2" t="s">
        <v>920</v>
      </c>
      <c r="C2102" s="2">
        <v>540001</v>
      </c>
      <c r="D2102" s="2" t="s">
        <v>627</v>
      </c>
      <c r="E2102" s="2" t="s">
        <v>4</v>
      </c>
      <c r="F2102" s="2" t="s">
        <v>5</v>
      </c>
      <c r="G2102" s="2">
        <v>7</v>
      </c>
      <c r="H2102" s="2">
        <v>2</v>
      </c>
      <c r="I2102" s="2">
        <v>0</v>
      </c>
      <c r="J2102" s="2">
        <v>0</v>
      </c>
      <c r="K2102" s="2">
        <v>0</v>
      </c>
      <c r="L2102" s="2">
        <v>0</v>
      </c>
      <c r="M2102" s="2">
        <v>0</v>
      </c>
      <c r="N2102" s="2">
        <v>2</v>
      </c>
      <c r="O2102" s="2">
        <v>0</v>
      </c>
      <c r="P2102" s="2">
        <v>0</v>
      </c>
      <c r="Q2102" s="2">
        <v>0</v>
      </c>
      <c r="R2102" s="2">
        <v>0</v>
      </c>
      <c r="S2102" s="2" t="s">
        <v>488</v>
      </c>
      <c r="T2102" s="2" t="s">
        <v>488</v>
      </c>
      <c r="U2102" s="2" t="s">
        <v>488</v>
      </c>
      <c r="V2102" s="2" t="s">
        <v>488</v>
      </c>
      <c r="W2102">
        <f>SUM(N2102,P2102,R2102,T2102)</f>
        <v>2</v>
      </c>
    </row>
    <row r="2103" spans="1:23" x14ac:dyDescent="0.25">
      <c r="A2103" s="2" t="s">
        <v>1380</v>
      </c>
      <c r="B2103" s="2" t="s">
        <v>920</v>
      </c>
      <c r="C2103" s="2">
        <v>540002</v>
      </c>
      <c r="D2103" s="2" t="s">
        <v>629</v>
      </c>
      <c r="E2103" s="2" t="s">
        <v>4</v>
      </c>
      <c r="F2103" s="2" t="s">
        <v>115</v>
      </c>
      <c r="G2103" s="2">
        <v>7</v>
      </c>
      <c r="H2103" s="2">
        <v>0</v>
      </c>
      <c r="I2103" s="2">
        <v>0</v>
      </c>
      <c r="J2103" s="2">
        <v>0</v>
      </c>
      <c r="K2103" s="2">
        <v>0</v>
      </c>
      <c r="L2103" s="2">
        <v>0</v>
      </c>
      <c r="M2103" s="2">
        <v>0</v>
      </c>
      <c r="N2103" s="2">
        <v>0</v>
      </c>
      <c r="O2103" s="2">
        <v>0</v>
      </c>
      <c r="P2103" s="2">
        <v>0</v>
      </c>
      <c r="Q2103" s="2">
        <v>0</v>
      </c>
      <c r="R2103" s="2">
        <v>0</v>
      </c>
      <c r="S2103" s="2" t="s">
        <v>488</v>
      </c>
      <c r="T2103" s="2" t="s">
        <v>488</v>
      </c>
      <c r="U2103" s="2" t="s">
        <v>488</v>
      </c>
      <c r="V2103" s="2" t="s">
        <v>488</v>
      </c>
      <c r="W2103">
        <f t="shared" ref="W2103:W2166" si="34">SUM(N2103,P2103,R2103,T2103)</f>
        <v>0</v>
      </c>
    </row>
    <row r="2104" spans="1:23" x14ac:dyDescent="0.25">
      <c r="A2104" s="2" t="s">
        <v>1380</v>
      </c>
      <c r="B2104" s="2" t="s">
        <v>920</v>
      </c>
      <c r="C2104" s="2">
        <v>540003</v>
      </c>
      <c r="D2104" s="2" t="s">
        <v>630</v>
      </c>
      <c r="E2104" s="2" t="s">
        <v>4</v>
      </c>
      <c r="F2104" s="2" t="s">
        <v>115</v>
      </c>
      <c r="G2104" s="2">
        <v>7</v>
      </c>
      <c r="H2104" s="2">
        <v>0</v>
      </c>
      <c r="I2104" s="2">
        <v>0</v>
      </c>
      <c r="J2104" s="2">
        <v>0</v>
      </c>
      <c r="K2104" s="2">
        <v>0</v>
      </c>
      <c r="L2104" s="2">
        <v>0</v>
      </c>
      <c r="M2104" s="2">
        <v>0</v>
      </c>
      <c r="N2104" s="2">
        <v>0</v>
      </c>
      <c r="O2104" s="2">
        <v>0</v>
      </c>
      <c r="P2104" s="2">
        <v>0</v>
      </c>
      <c r="Q2104" s="2">
        <v>0</v>
      </c>
      <c r="R2104" s="2">
        <v>0</v>
      </c>
      <c r="S2104" s="2" t="s">
        <v>488</v>
      </c>
      <c r="T2104" s="2" t="s">
        <v>488</v>
      </c>
      <c r="U2104" s="2" t="s">
        <v>488</v>
      </c>
      <c r="V2104" s="2" t="s">
        <v>488</v>
      </c>
      <c r="W2104">
        <f t="shared" si="34"/>
        <v>0</v>
      </c>
    </row>
    <row r="2105" spans="1:23" x14ac:dyDescent="0.25">
      <c r="A2105" s="2" t="s">
        <v>1380</v>
      </c>
      <c r="B2105" s="2" t="s">
        <v>920</v>
      </c>
      <c r="C2105" s="2">
        <v>540004</v>
      </c>
      <c r="D2105" s="2" t="s">
        <v>631</v>
      </c>
      <c r="E2105" s="2" t="s">
        <v>4</v>
      </c>
      <c r="F2105" s="2" t="s">
        <v>115</v>
      </c>
      <c r="G2105" s="2">
        <v>7</v>
      </c>
      <c r="H2105" s="2">
        <v>0</v>
      </c>
      <c r="I2105" s="2">
        <v>76</v>
      </c>
      <c r="J2105" s="2">
        <v>1</v>
      </c>
      <c r="K2105" s="2">
        <v>0</v>
      </c>
      <c r="L2105" s="2">
        <v>0</v>
      </c>
      <c r="M2105" s="2">
        <v>77</v>
      </c>
      <c r="N2105" s="2">
        <v>77</v>
      </c>
      <c r="O2105" s="2">
        <v>0</v>
      </c>
      <c r="P2105" s="2">
        <v>0</v>
      </c>
      <c r="Q2105" s="2">
        <v>0</v>
      </c>
      <c r="R2105" s="2">
        <v>0</v>
      </c>
      <c r="S2105" s="2" t="s">
        <v>488</v>
      </c>
      <c r="T2105" s="2" t="s">
        <v>488</v>
      </c>
      <c r="U2105" s="2" t="s">
        <v>488</v>
      </c>
      <c r="V2105" s="2" t="s">
        <v>488</v>
      </c>
      <c r="W2105">
        <f t="shared" si="34"/>
        <v>77</v>
      </c>
    </row>
    <row r="2106" spans="1:23" x14ac:dyDescent="0.25">
      <c r="A2106" s="255" t="s">
        <v>1380</v>
      </c>
      <c r="B2106" s="255" t="s">
        <v>920</v>
      </c>
      <c r="C2106" s="255"/>
      <c r="D2106" s="255"/>
      <c r="E2106" s="255" t="s">
        <v>4</v>
      </c>
      <c r="F2106" s="255"/>
      <c r="G2106" s="255"/>
      <c r="H2106" s="255">
        <v>2</v>
      </c>
      <c r="I2106" s="255">
        <v>76</v>
      </c>
      <c r="J2106" s="255">
        <v>1</v>
      </c>
      <c r="K2106" s="255">
        <v>0</v>
      </c>
      <c r="L2106" s="255">
        <v>0</v>
      </c>
      <c r="M2106" s="255">
        <v>77</v>
      </c>
      <c r="N2106" s="255">
        <v>79</v>
      </c>
      <c r="O2106" s="255">
        <v>0</v>
      </c>
      <c r="P2106" s="255">
        <v>0</v>
      </c>
      <c r="Q2106" s="255">
        <v>0</v>
      </c>
      <c r="R2106" s="255">
        <v>0</v>
      </c>
      <c r="S2106" s="255" t="s">
        <v>488</v>
      </c>
      <c r="T2106" s="255" t="s">
        <v>488</v>
      </c>
      <c r="U2106" s="255" t="s">
        <v>488</v>
      </c>
      <c r="V2106" s="255" t="s">
        <v>488</v>
      </c>
      <c r="W2106">
        <f t="shared" si="34"/>
        <v>79</v>
      </c>
    </row>
    <row r="2107" spans="1:23" x14ac:dyDescent="0.25">
      <c r="A2107" s="2" t="s">
        <v>1380</v>
      </c>
      <c r="B2107" s="2" t="s">
        <v>920</v>
      </c>
      <c r="C2107" s="2">
        <v>540007</v>
      </c>
      <c r="D2107" s="2" t="s">
        <v>632</v>
      </c>
      <c r="E2107" s="2" t="s">
        <v>7</v>
      </c>
      <c r="F2107" s="2" t="s">
        <v>5</v>
      </c>
      <c r="G2107" s="2">
        <v>3</v>
      </c>
      <c r="H2107" s="2">
        <v>10</v>
      </c>
      <c r="I2107" s="2">
        <v>0</v>
      </c>
      <c r="J2107" s="2">
        <v>0</v>
      </c>
      <c r="K2107" s="2">
        <v>0</v>
      </c>
      <c r="L2107" s="2">
        <v>0</v>
      </c>
      <c r="M2107" s="2">
        <v>0</v>
      </c>
      <c r="N2107" s="2">
        <v>10</v>
      </c>
      <c r="O2107" s="2">
        <v>0</v>
      </c>
      <c r="P2107" s="2">
        <v>0</v>
      </c>
      <c r="Q2107" s="2">
        <v>6</v>
      </c>
      <c r="R2107" s="2">
        <v>0</v>
      </c>
      <c r="S2107" s="2" t="s">
        <v>488</v>
      </c>
      <c r="T2107" s="2" t="s">
        <v>488</v>
      </c>
      <c r="U2107" s="2" t="s">
        <v>488</v>
      </c>
      <c r="V2107" s="2" t="s">
        <v>488</v>
      </c>
      <c r="W2107">
        <f t="shared" si="34"/>
        <v>10</v>
      </c>
    </row>
    <row r="2108" spans="1:23" x14ac:dyDescent="0.25">
      <c r="A2108" s="2" t="s">
        <v>1380</v>
      </c>
      <c r="B2108" s="2" t="s">
        <v>920</v>
      </c>
      <c r="C2108" s="2">
        <v>540008</v>
      </c>
      <c r="D2108" s="2" t="s">
        <v>633</v>
      </c>
      <c r="E2108" s="2" t="s">
        <v>7</v>
      </c>
      <c r="F2108" s="2" t="s">
        <v>115</v>
      </c>
      <c r="G2108" s="2">
        <v>3</v>
      </c>
      <c r="H2108" s="2">
        <v>0</v>
      </c>
      <c r="I2108" s="2">
        <v>2</v>
      </c>
      <c r="J2108" s="2">
        <v>0</v>
      </c>
      <c r="K2108" s="2">
        <v>0</v>
      </c>
      <c r="L2108" s="2">
        <v>0</v>
      </c>
      <c r="M2108" s="2">
        <v>2</v>
      </c>
      <c r="N2108" s="2">
        <v>2</v>
      </c>
      <c r="O2108" s="2">
        <v>0</v>
      </c>
      <c r="P2108" s="2">
        <v>0</v>
      </c>
      <c r="Q2108" s="2">
        <v>0</v>
      </c>
      <c r="R2108" s="2">
        <v>0</v>
      </c>
      <c r="S2108" s="2" t="s">
        <v>488</v>
      </c>
      <c r="T2108" s="2" t="s">
        <v>488</v>
      </c>
      <c r="U2108" s="2" t="s">
        <v>488</v>
      </c>
      <c r="V2108" s="2" t="s">
        <v>488</v>
      </c>
      <c r="W2108">
        <f t="shared" si="34"/>
        <v>2</v>
      </c>
    </row>
    <row r="2109" spans="1:23" x14ac:dyDescent="0.25">
      <c r="A2109" s="2" t="s">
        <v>1380</v>
      </c>
      <c r="B2109" s="2" t="s">
        <v>920</v>
      </c>
      <c r="C2109" s="2">
        <v>540229</v>
      </c>
      <c r="D2109" s="2" t="s">
        <v>634</v>
      </c>
      <c r="E2109" s="2" t="s">
        <v>7</v>
      </c>
      <c r="F2109" s="2" t="s">
        <v>115</v>
      </c>
      <c r="G2109" s="2">
        <v>3</v>
      </c>
      <c r="H2109" s="2">
        <v>0</v>
      </c>
      <c r="I2109" s="2">
        <v>2</v>
      </c>
      <c r="J2109" s="2">
        <v>0</v>
      </c>
      <c r="K2109" s="2">
        <v>0</v>
      </c>
      <c r="L2109" s="2">
        <v>0</v>
      </c>
      <c r="M2109" s="2">
        <v>2</v>
      </c>
      <c r="N2109" s="2">
        <v>2</v>
      </c>
      <c r="O2109" s="2">
        <v>0</v>
      </c>
      <c r="P2109" s="2">
        <v>0</v>
      </c>
      <c r="Q2109" s="2">
        <v>0</v>
      </c>
      <c r="R2109" s="2">
        <v>0</v>
      </c>
      <c r="S2109" s="2" t="s">
        <v>488</v>
      </c>
      <c r="T2109" s="2" t="s">
        <v>488</v>
      </c>
      <c r="U2109" s="2" t="s">
        <v>488</v>
      </c>
      <c r="V2109" s="2" t="s">
        <v>488</v>
      </c>
      <c r="W2109">
        <f t="shared" si="34"/>
        <v>2</v>
      </c>
    </row>
    <row r="2110" spans="1:23" x14ac:dyDescent="0.25">
      <c r="A2110" s="2" t="s">
        <v>1380</v>
      </c>
      <c r="B2110" s="2" t="s">
        <v>920</v>
      </c>
      <c r="C2110" s="2">
        <v>540230</v>
      </c>
      <c r="D2110" s="2" t="s">
        <v>635</v>
      </c>
      <c r="E2110" s="2" t="s">
        <v>7</v>
      </c>
      <c r="F2110" s="2" t="s">
        <v>115</v>
      </c>
      <c r="G2110" s="2">
        <v>3</v>
      </c>
      <c r="H2110" s="2">
        <v>0</v>
      </c>
      <c r="I2110" s="2">
        <v>0</v>
      </c>
      <c r="J2110" s="2">
        <v>0</v>
      </c>
      <c r="K2110" s="2">
        <v>0</v>
      </c>
      <c r="L2110" s="2">
        <v>0</v>
      </c>
      <c r="M2110" s="2">
        <v>0</v>
      </c>
      <c r="N2110" s="2">
        <v>0</v>
      </c>
      <c r="O2110" s="2">
        <v>0</v>
      </c>
      <c r="P2110" s="2">
        <v>0</v>
      </c>
      <c r="Q2110" s="2">
        <v>0</v>
      </c>
      <c r="R2110" s="2">
        <v>0</v>
      </c>
      <c r="S2110" s="2" t="s">
        <v>488</v>
      </c>
      <c r="T2110" s="2" t="s">
        <v>488</v>
      </c>
      <c r="U2110" s="2" t="s">
        <v>488</v>
      </c>
      <c r="V2110" s="2" t="s">
        <v>488</v>
      </c>
      <c r="W2110">
        <f t="shared" si="34"/>
        <v>0</v>
      </c>
    </row>
    <row r="2111" spans="1:23" x14ac:dyDescent="0.25">
      <c r="A2111" s="2" t="s">
        <v>1380</v>
      </c>
      <c r="B2111" s="2" t="s">
        <v>920</v>
      </c>
      <c r="C2111" s="2">
        <v>540238</v>
      </c>
      <c r="D2111" s="2" t="s">
        <v>636</v>
      </c>
      <c r="E2111" s="2" t="s">
        <v>7</v>
      </c>
      <c r="F2111" s="2" t="s">
        <v>115</v>
      </c>
      <c r="G2111" s="2">
        <v>3</v>
      </c>
      <c r="H2111" s="2">
        <v>0</v>
      </c>
      <c r="I2111" s="2">
        <v>0</v>
      </c>
      <c r="J2111" s="2">
        <v>0</v>
      </c>
      <c r="K2111" s="2">
        <v>0</v>
      </c>
      <c r="L2111" s="2">
        <v>0</v>
      </c>
      <c r="M2111" s="2">
        <v>0</v>
      </c>
      <c r="N2111" s="2">
        <v>0</v>
      </c>
      <c r="O2111" s="2">
        <v>0</v>
      </c>
      <c r="P2111" s="2">
        <v>0</v>
      </c>
      <c r="Q2111" s="2">
        <v>0</v>
      </c>
      <c r="R2111" s="2">
        <v>0</v>
      </c>
      <c r="S2111" s="2" t="s">
        <v>488</v>
      </c>
      <c r="T2111" s="2" t="s">
        <v>488</v>
      </c>
      <c r="U2111" s="2" t="s">
        <v>488</v>
      </c>
      <c r="V2111" s="2" t="s">
        <v>488</v>
      </c>
      <c r="W2111">
        <f t="shared" si="34"/>
        <v>0</v>
      </c>
    </row>
    <row r="2112" spans="1:23" x14ac:dyDescent="0.25">
      <c r="A2112" s="255" t="s">
        <v>1380</v>
      </c>
      <c r="B2112" s="255" t="s">
        <v>920</v>
      </c>
      <c r="C2112" s="255"/>
      <c r="D2112" s="255"/>
      <c r="E2112" s="255" t="s">
        <v>7</v>
      </c>
      <c r="F2112" s="255"/>
      <c r="G2112" s="255"/>
      <c r="H2112" s="255">
        <v>10</v>
      </c>
      <c r="I2112" s="255">
        <v>4</v>
      </c>
      <c r="J2112" s="255">
        <v>0</v>
      </c>
      <c r="K2112" s="255">
        <v>0</v>
      </c>
      <c r="L2112" s="255">
        <v>0</v>
      </c>
      <c r="M2112" s="255">
        <v>4</v>
      </c>
      <c r="N2112" s="255">
        <v>14</v>
      </c>
      <c r="O2112" s="255">
        <v>0</v>
      </c>
      <c r="P2112" s="255">
        <v>0</v>
      </c>
      <c r="Q2112" s="255">
        <v>6</v>
      </c>
      <c r="R2112" s="255">
        <v>0</v>
      </c>
      <c r="S2112" s="255" t="s">
        <v>488</v>
      </c>
      <c r="T2112" s="255" t="s">
        <v>488</v>
      </c>
      <c r="U2112" s="255" t="s">
        <v>488</v>
      </c>
      <c r="V2112" s="255" t="s">
        <v>488</v>
      </c>
      <c r="W2112">
        <f t="shared" si="34"/>
        <v>14</v>
      </c>
    </row>
    <row r="2113" spans="1:23" x14ac:dyDescent="0.25">
      <c r="A2113" s="2" t="s">
        <v>1380</v>
      </c>
      <c r="B2113" s="2" t="s">
        <v>920</v>
      </c>
      <c r="C2113" s="2">
        <v>540009</v>
      </c>
      <c r="D2113" s="2" t="s">
        <v>637</v>
      </c>
      <c r="E2113" s="2" t="s">
        <v>9</v>
      </c>
      <c r="F2113" s="2" t="s">
        <v>5</v>
      </c>
      <c r="G2113" s="2">
        <v>7</v>
      </c>
      <c r="H2113" s="2">
        <v>0</v>
      </c>
      <c r="I2113" s="2">
        <v>0</v>
      </c>
      <c r="J2113" s="2">
        <v>0</v>
      </c>
      <c r="K2113" s="2">
        <v>0</v>
      </c>
      <c r="L2113" s="2">
        <v>0</v>
      </c>
      <c r="M2113" s="2">
        <v>0</v>
      </c>
      <c r="N2113" s="2">
        <v>0</v>
      </c>
      <c r="O2113" s="2">
        <v>0</v>
      </c>
      <c r="P2113" s="2">
        <v>0</v>
      </c>
      <c r="Q2113" s="2" t="s">
        <v>488</v>
      </c>
      <c r="R2113" s="2" t="s">
        <v>488</v>
      </c>
      <c r="S2113" s="2" t="s">
        <v>488</v>
      </c>
      <c r="T2113" s="2" t="s">
        <v>488</v>
      </c>
      <c r="U2113" s="2" t="s">
        <v>488</v>
      </c>
      <c r="V2113" s="2" t="s">
        <v>488</v>
      </c>
      <c r="W2113">
        <f t="shared" si="34"/>
        <v>0</v>
      </c>
    </row>
    <row r="2114" spans="1:23" x14ac:dyDescent="0.25">
      <c r="A2114" s="2" t="s">
        <v>1380</v>
      </c>
      <c r="B2114" s="2" t="s">
        <v>920</v>
      </c>
      <c r="C2114" s="2">
        <v>540010</v>
      </c>
      <c r="D2114" s="2" t="s">
        <v>638</v>
      </c>
      <c r="E2114" s="2" t="s">
        <v>9</v>
      </c>
      <c r="F2114" s="2" t="s">
        <v>115</v>
      </c>
      <c r="G2114" s="2">
        <v>7</v>
      </c>
      <c r="H2114" s="2">
        <v>0</v>
      </c>
      <c r="I2114" s="2">
        <v>0</v>
      </c>
      <c r="J2114" s="2">
        <v>0</v>
      </c>
      <c r="K2114" s="2">
        <v>0</v>
      </c>
      <c r="L2114" s="2">
        <v>0</v>
      </c>
      <c r="M2114" s="2">
        <v>0</v>
      </c>
      <c r="N2114" s="2">
        <v>0</v>
      </c>
      <c r="O2114" s="2">
        <v>0</v>
      </c>
      <c r="P2114" s="2">
        <v>0</v>
      </c>
      <c r="Q2114" s="2" t="s">
        <v>488</v>
      </c>
      <c r="R2114" s="2" t="s">
        <v>488</v>
      </c>
      <c r="S2114" s="2" t="s">
        <v>488</v>
      </c>
      <c r="T2114" s="2" t="s">
        <v>488</v>
      </c>
      <c r="U2114" s="2" t="s">
        <v>488</v>
      </c>
      <c r="V2114" s="2" t="s">
        <v>488</v>
      </c>
      <c r="W2114">
        <f t="shared" si="34"/>
        <v>0</v>
      </c>
    </row>
    <row r="2115" spans="1:23" x14ac:dyDescent="0.25">
      <c r="A2115" s="2" t="s">
        <v>1380</v>
      </c>
      <c r="B2115" s="2" t="s">
        <v>920</v>
      </c>
      <c r="C2115" s="2">
        <v>540235</v>
      </c>
      <c r="D2115" s="2" t="s">
        <v>639</v>
      </c>
      <c r="E2115" s="2" t="s">
        <v>9</v>
      </c>
      <c r="F2115" s="2" t="s">
        <v>115</v>
      </c>
      <c r="G2115" s="2">
        <v>7</v>
      </c>
      <c r="H2115" s="2">
        <v>0</v>
      </c>
      <c r="I2115" s="2">
        <v>0</v>
      </c>
      <c r="J2115" s="2">
        <v>0</v>
      </c>
      <c r="K2115" s="2">
        <v>0</v>
      </c>
      <c r="L2115" s="2">
        <v>0</v>
      </c>
      <c r="M2115" s="2">
        <v>0</v>
      </c>
      <c r="N2115" s="2">
        <v>0</v>
      </c>
      <c r="O2115" s="2">
        <v>0</v>
      </c>
      <c r="P2115" s="2">
        <v>0</v>
      </c>
      <c r="Q2115" s="2" t="s">
        <v>488</v>
      </c>
      <c r="R2115" s="2" t="s">
        <v>488</v>
      </c>
      <c r="S2115" s="2" t="s">
        <v>488</v>
      </c>
      <c r="T2115" s="2" t="s">
        <v>488</v>
      </c>
      <c r="U2115" s="2" t="s">
        <v>488</v>
      </c>
      <c r="V2115" s="2" t="s">
        <v>488</v>
      </c>
      <c r="W2115">
        <f t="shared" si="34"/>
        <v>0</v>
      </c>
    </row>
    <row r="2116" spans="1:23" x14ac:dyDescent="0.25">
      <c r="A2116" s="2" t="s">
        <v>1380</v>
      </c>
      <c r="B2116" s="2" t="s">
        <v>920</v>
      </c>
      <c r="C2116" s="2">
        <v>540236</v>
      </c>
      <c r="D2116" s="2" t="s">
        <v>640</v>
      </c>
      <c r="E2116" s="2" t="s">
        <v>9</v>
      </c>
      <c r="F2116" s="2" t="s">
        <v>115</v>
      </c>
      <c r="G2116" s="2">
        <v>7</v>
      </c>
      <c r="H2116" s="2">
        <v>0</v>
      </c>
      <c r="I2116" s="2">
        <v>7</v>
      </c>
      <c r="J2116" s="2">
        <v>0</v>
      </c>
      <c r="K2116" s="2">
        <v>0</v>
      </c>
      <c r="L2116" s="2">
        <v>0</v>
      </c>
      <c r="M2116" s="2">
        <v>7</v>
      </c>
      <c r="N2116" s="2">
        <v>7</v>
      </c>
      <c r="O2116" s="2">
        <v>0</v>
      </c>
      <c r="P2116" s="2">
        <v>0</v>
      </c>
      <c r="Q2116" s="2" t="s">
        <v>488</v>
      </c>
      <c r="R2116" s="2" t="s">
        <v>488</v>
      </c>
      <c r="S2116" s="2" t="s">
        <v>488</v>
      </c>
      <c r="T2116" s="2" t="s">
        <v>488</v>
      </c>
      <c r="U2116" s="2" t="s">
        <v>488</v>
      </c>
      <c r="V2116" s="2" t="s">
        <v>488</v>
      </c>
      <c r="W2116">
        <f t="shared" si="34"/>
        <v>7</v>
      </c>
    </row>
    <row r="2117" spans="1:23" x14ac:dyDescent="0.25">
      <c r="A2117" s="2" t="s">
        <v>1380</v>
      </c>
      <c r="B2117" s="2" t="s">
        <v>920</v>
      </c>
      <c r="C2117" s="2">
        <v>540237</v>
      </c>
      <c r="D2117" s="2" t="s">
        <v>641</v>
      </c>
      <c r="E2117" s="2" t="s">
        <v>9</v>
      </c>
      <c r="F2117" s="2" t="s">
        <v>115</v>
      </c>
      <c r="G2117" s="2">
        <v>7</v>
      </c>
      <c r="H2117" s="2">
        <v>0</v>
      </c>
      <c r="I2117" s="2">
        <v>0</v>
      </c>
      <c r="J2117" s="2">
        <v>0</v>
      </c>
      <c r="K2117" s="2">
        <v>0</v>
      </c>
      <c r="L2117" s="2">
        <v>0</v>
      </c>
      <c r="M2117" s="2">
        <v>0</v>
      </c>
      <c r="N2117" s="2">
        <v>0</v>
      </c>
      <c r="O2117" s="2">
        <v>0</v>
      </c>
      <c r="P2117" s="2">
        <v>0</v>
      </c>
      <c r="Q2117" s="2" t="s">
        <v>488</v>
      </c>
      <c r="R2117" s="2" t="s">
        <v>488</v>
      </c>
      <c r="S2117" s="2" t="s">
        <v>488</v>
      </c>
      <c r="T2117" s="2" t="s">
        <v>488</v>
      </c>
      <c r="U2117" s="2" t="s">
        <v>488</v>
      </c>
      <c r="V2117" s="2" t="s">
        <v>488</v>
      </c>
      <c r="W2117">
        <f t="shared" si="34"/>
        <v>0</v>
      </c>
    </row>
    <row r="2118" spans="1:23" x14ac:dyDescent="0.25">
      <c r="A2118" s="255" t="s">
        <v>1380</v>
      </c>
      <c r="B2118" s="255" t="s">
        <v>920</v>
      </c>
      <c r="C2118" s="255"/>
      <c r="D2118" s="255"/>
      <c r="E2118" s="255" t="s">
        <v>9</v>
      </c>
      <c r="F2118" s="255"/>
      <c r="G2118" s="255"/>
      <c r="H2118" s="255">
        <v>0</v>
      </c>
      <c r="I2118" s="255">
        <v>7</v>
      </c>
      <c r="J2118" s="255">
        <v>0</v>
      </c>
      <c r="K2118" s="255">
        <v>0</v>
      </c>
      <c r="L2118" s="255">
        <v>0</v>
      </c>
      <c r="M2118" s="255">
        <v>7</v>
      </c>
      <c r="N2118" s="255">
        <v>7</v>
      </c>
      <c r="O2118" s="255">
        <v>0</v>
      </c>
      <c r="P2118" s="255">
        <v>0</v>
      </c>
      <c r="Q2118" s="255" t="s">
        <v>488</v>
      </c>
      <c r="R2118" s="255" t="s">
        <v>488</v>
      </c>
      <c r="S2118" s="255" t="s">
        <v>488</v>
      </c>
      <c r="T2118" s="255" t="s">
        <v>488</v>
      </c>
      <c r="U2118" s="255" t="s">
        <v>488</v>
      </c>
      <c r="V2118" s="255" t="s">
        <v>488</v>
      </c>
      <c r="W2118">
        <f t="shared" si="34"/>
        <v>7</v>
      </c>
    </row>
    <row r="2119" spans="1:23" x14ac:dyDescent="0.25">
      <c r="A2119" s="2" t="s">
        <v>1380</v>
      </c>
      <c r="B2119" s="2" t="s">
        <v>920</v>
      </c>
      <c r="C2119" s="2">
        <v>540011</v>
      </c>
      <c r="D2119" s="2" t="s">
        <v>642</v>
      </c>
      <c r="E2119" s="2" t="s">
        <v>11</v>
      </c>
      <c r="F2119" s="2" t="s">
        <v>5</v>
      </c>
      <c r="G2119" s="2">
        <v>11</v>
      </c>
      <c r="H2119" s="2">
        <v>4</v>
      </c>
      <c r="I2119" s="2">
        <v>0</v>
      </c>
      <c r="J2119" s="2">
        <v>1</v>
      </c>
      <c r="K2119" s="2">
        <v>0</v>
      </c>
      <c r="L2119" s="2">
        <v>0</v>
      </c>
      <c r="M2119" s="2">
        <v>1</v>
      </c>
      <c r="N2119" s="2">
        <v>5</v>
      </c>
      <c r="O2119" s="2">
        <v>0</v>
      </c>
      <c r="P2119" s="2">
        <v>0</v>
      </c>
      <c r="Q2119" s="2">
        <v>0</v>
      </c>
      <c r="R2119" s="2">
        <v>0</v>
      </c>
      <c r="S2119" s="2" t="s">
        <v>488</v>
      </c>
      <c r="T2119" s="2" t="s">
        <v>488</v>
      </c>
      <c r="U2119" s="2" t="s">
        <v>488</v>
      </c>
      <c r="V2119" s="2" t="s">
        <v>488</v>
      </c>
      <c r="W2119">
        <f t="shared" si="34"/>
        <v>5</v>
      </c>
    </row>
    <row r="2120" spans="1:23" x14ac:dyDescent="0.25">
      <c r="A2120" s="2" t="s">
        <v>1380</v>
      </c>
      <c r="B2120" s="2" t="s">
        <v>920</v>
      </c>
      <c r="C2120" s="2">
        <v>540012</v>
      </c>
      <c r="D2120" s="2" t="s">
        <v>643</v>
      </c>
      <c r="E2120" s="2" t="s">
        <v>11</v>
      </c>
      <c r="F2120" s="2" t="s">
        <v>115</v>
      </c>
      <c r="G2120" s="2">
        <v>11</v>
      </c>
      <c r="H2120" s="2">
        <v>13</v>
      </c>
      <c r="I2120" s="2">
        <v>0</v>
      </c>
      <c r="J2120" s="2">
        <v>0</v>
      </c>
      <c r="K2120" s="2">
        <v>0</v>
      </c>
      <c r="L2120" s="2">
        <v>0</v>
      </c>
      <c r="M2120" s="2">
        <v>0</v>
      </c>
      <c r="N2120" s="2">
        <v>13</v>
      </c>
      <c r="O2120" s="2">
        <v>0</v>
      </c>
      <c r="P2120" s="2">
        <v>0</v>
      </c>
      <c r="Q2120" s="2">
        <v>3</v>
      </c>
      <c r="R2120" s="2">
        <v>1</v>
      </c>
      <c r="S2120" s="2" t="s">
        <v>488</v>
      </c>
      <c r="T2120" s="2" t="s">
        <v>488</v>
      </c>
      <c r="U2120" s="2" t="s">
        <v>488</v>
      </c>
      <c r="V2120" s="2" t="s">
        <v>488</v>
      </c>
      <c r="W2120">
        <f t="shared" si="34"/>
        <v>14</v>
      </c>
    </row>
    <row r="2121" spans="1:23" x14ac:dyDescent="0.25">
      <c r="A2121" s="2" t="s">
        <v>1380</v>
      </c>
      <c r="B2121" s="2" t="s">
        <v>920</v>
      </c>
      <c r="C2121" s="2">
        <v>540013</v>
      </c>
      <c r="D2121" s="2" t="s">
        <v>644</v>
      </c>
      <c r="E2121" s="2" t="s">
        <v>11</v>
      </c>
      <c r="F2121" s="2" t="s">
        <v>115</v>
      </c>
      <c r="G2121" s="2">
        <v>11</v>
      </c>
      <c r="H2121" s="2">
        <v>0</v>
      </c>
      <c r="I2121" s="2">
        <v>0</v>
      </c>
      <c r="J2121" s="2">
        <v>0</v>
      </c>
      <c r="K2121" s="2">
        <v>0</v>
      </c>
      <c r="L2121" s="2">
        <v>0</v>
      </c>
      <c r="M2121" s="2">
        <v>0</v>
      </c>
      <c r="N2121" s="2">
        <v>0</v>
      </c>
      <c r="O2121" s="2">
        <v>0</v>
      </c>
      <c r="P2121" s="2">
        <v>0</v>
      </c>
      <c r="Q2121" s="2">
        <v>0</v>
      </c>
      <c r="R2121" s="2">
        <v>0</v>
      </c>
      <c r="S2121" s="2" t="s">
        <v>488</v>
      </c>
      <c r="T2121" s="2" t="s">
        <v>488</v>
      </c>
      <c r="U2121" s="2" t="s">
        <v>488</v>
      </c>
      <c r="V2121" s="2" t="s">
        <v>488</v>
      </c>
      <c r="W2121">
        <f t="shared" si="34"/>
        <v>0</v>
      </c>
    </row>
    <row r="2122" spans="1:23" x14ac:dyDescent="0.25">
      <c r="A2122" s="2" t="s">
        <v>1380</v>
      </c>
      <c r="B2122" s="2" t="s">
        <v>920</v>
      </c>
      <c r="C2122" s="2">
        <v>540014</v>
      </c>
      <c r="D2122" s="2" t="s">
        <v>645</v>
      </c>
      <c r="E2122" s="2" t="s">
        <v>11</v>
      </c>
      <c r="F2122" s="2" t="s">
        <v>115</v>
      </c>
      <c r="G2122" s="2">
        <v>11</v>
      </c>
      <c r="H2122" s="2">
        <v>0</v>
      </c>
      <c r="I2122" s="2">
        <v>0</v>
      </c>
      <c r="J2122" s="2">
        <v>0</v>
      </c>
      <c r="K2122" s="2">
        <v>0</v>
      </c>
      <c r="L2122" s="2">
        <v>0</v>
      </c>
      <c r="M2122" s="2">
        <v>0</v>
      </c>
      <c r="N2122" s="2">
        <v>0</v>
      </c>
      <c r="O2122" s="2">
        <v>0</v>
      </c>
      <c r="P2122" s="2">
        <v>0</v>
      </c>
      <c r="Q2122" s="2">
        <v>0</v>
      </c>
      <c r="R2122" s="2">
        <v>0</v>
      </c>
      <c r="S2122" s="2" t="s">
        <v>488</v>
      </c>
      <c r="T2122" s="2" t="s">
        <v>488</v>
      </c>
      <c r="U2122" s="2" t="s">
        <v>488</v>
      </c>
      <c r="V2122" s="2" t="s">
        <v>488</v>
      </c>
      <c r="W2122">
        <f t="shared" si="34"/>
        <v>0</v>
      </c>
    </row>
    <row r="2123" spans="1:23" x14ac:dyDescent="0.25">
      <c r="A2123" s="2" t="s">
        <v>1380</v>
      </c>
      <c r="B2123" s="2" t="s">
        <v>920</v>
      </c>
      <c r="C2123" s="2">
        <v>540015</v>
      </c>
      <c r="D2123" s="2" t="s">
        <v>646</v>
      </c>
      <c r="E2123" s="2" t="s">
        <v>11</v>
      </c>
      <c r="F2123" s="2" t="s">
        <v>115</v>
      </c>
      <c r="G2123" s="2">
        <v>11</v>
      </c>
      <c r="H2123" s="2">
        <v>0</v>
      </c>
      <c r="I2123" s="2">
        <v>1201</v>
      </c>
      <c r="J2123" s="2">
        <v>2</v>
      </c>
      <c r="K2123" s="2">
        <v>0</v>
      </c>
      <c r="L2123" s="2">
        <v>0</v>
      </c>
      <c r="M2123" s="2">
        <v>1203</v>
      </c>
      <c r="N2123" s="2">
        <v>1203</v>
      </c>
      <c r="O2123" s="2">
        <v>0</v>
      </c>
      <c r="P2123" s="2">
        <v>0</v>
      </c>
      <c r="Q2123" s="2">
        <v>0</v>
      </c>
      <c r="R2123" s="2">
        <v>0</v>
      </c>
      <c r="S2123" s="2" t="s">
        <v>488</v>
      </c>
      <c r="T2123" s="2" t="s">
        <v>488</v>
      </c>
      <c r="U2123" s="2" t="s">
        <v>488</v>
      </c>
      <c r="V2123" s="2" t="s">
        <v>488</v>
      </c>
      <c r="W2123">
        <f t="shared" si="34"/>
        <v>1203</v>
      </c>
    </row>
    <row r="2124" spans="1:23" x14ac:dyDescent="0.25">
      <c r="A2124" s="2" t="s">
        <v>1380</v>
      </c>
      <c r="B2124" s="2" t="s">
        <v>920</v>
      </c>
      <c r="C2124" s="2">
        <v>540093</v>
      </c>
      <c r="D2124" s="2" t="s">
        <v>647</v>
      </c>
      <c r="E2124" s="2" t="s">
        <v>11</v>
      </c>
      <c r="F2124" s="2" t="s">
        <v>115</v>
      </c>
      <c r="G2124" s="2">
        <v>11</v>
      </c>
      <c r="H2124" s="2">
        <v>0</v>
      </c>
      <c r="I2124" s="2">
        <v>0</v>
      </c>
      <c r="J2124" s="2">
        <v>0</v>
      </c>
      <c r="K2124" s="2">
        <v>0</v>
      </c>
      <c r="L2124" s="2">
        <v>0</v>
      </c>
      <c r="M2124" s="2">
        <v>0</v>
      </c>
      <c r="N2124" s="2">
        <v>0</v>
      </c>
      <c r="O2124" s="2">
        <v>0</v>
      </c>
      <c r="P2124" s="2">
        <v>0</v>
      </c>
      <c r="Q2124" s="2">
        <v>0</v>
      </c>
      <c r="R2124" s="2">
        <v>0</v>
      </c>
      <c r="S2124" s="2" t="s">
        <v>488</v>
      </c>
      <c r="T2124" s="2" t="s">
        <v>488</v>
      </c>
      <c r="U2124" s="2" t="s">
        <v>488</v>
      </c>
      <c r="V2124" s="2" t="s">
        <v>488</v>
      </c>
      <c r="W2124">
        <f t="shared" si="34"/>
        <v>0</v>
      </c>
    </row>
    <row r="2125" spans="1:23" x14ac:dyDescent="0.25">
      <c r="A2125" s="2" t="s">
        <v>1380</v>
      </c>
      <c r="B2125" s="2" t="s">
        <v>920</v>
      </c>
      <c r="C2125" s="2">
        <v>540084</v>
      </c>
      <c r="D2125" s="2" t="s">
        <v>648</v>
      </c>
      <c r="E2125" s="2" t="s">
        <v>11</v>
      </c>
      <c r="F2125" s="2" t="s">
        <v>115</v>
      </c>
      <c r="G2125" s="2">
        <v>11</v>
      </c>
      <c r="H2125" s="2">
        <v>0</v>
      </c>
      <c r="I2125" s="2">
        <v>0</v>
      </c>
      <c r="J2125" s="2">
        <v>0</v>
      </c>
      <c r="K2125" s="2">
        <v>0</v>
      </c>
      <c r="L2125" s="2">
        <v>0</v>
      </c>
      <c r="M2125" s="2">
        <v>0</v>
      </c>
      <c r="N2125" s="2">
        <v>0</v>
      </c>
      <c r="O2125" s="2">
        <v>0</v>
      </c>
      <c r="P2125" s="2">
        <v>0</v>
      </c>
      <c r="Q2125" s="2">
        <v>0</v>
      </c>
      <c r="R2125" s="2">
        <v>0</v>
      </c>
      <c r="S2125" s="2" t="s">
        <v>488</v>
      </c>
      <c r="T2125" s="2" t="s">
        <v>488</v>
      </c>
      <c r="U2125" s="2" t="s">
        <v>488</v>
      </c>
      <c r="V2125" s="2" t="s">
        <v>488</v>
      </c>
      <c r="W2125">
        <f t="shared" si="34"/>
        <v>0</v>
      </c>
    </row>
    <row r="2126" spans="1:23" x14ac:dyDescent="0.25">
      <c r="A2126" s="255" t="s">
        <v>1380</v>
      </c>
      <c r="B2126" s="255" t="s">
        <v>920</v>
      </c>
      <c r="C2126" s="255"/>
      <c r="D2126" s="255"/>
      <c r="E2126" s="255" t="s">
        <v>11</v>
      </c>
      <c r="F2126" s="255"/>
      <c r="G2126" s="255"/>
      <c r="H2126" s="255">
        <v>17</v>
      </c>
      <c r="I2126" s="255">
        <v>1201</v>
      </c>
      <c r="J2126" s="255">
        <v>3</v>
      </c>
      <c r="K2126" s="255">
        <v>0</v>
      </c>
      <c r="L2126" s="255">
        <v>0</v>
      </c>
      <c r="M2126" s="255">
        <v>1204</v>
      </c>
      <c r="N2126" s="255">
        <v>1221</v>
      </c>
      <c r="O2126" s="255">
        <v>0</v>
      </c>
      <c r="P2126" s="255">
        <v>0</v>
      </c>
      <c r="Q2126" s="255">
        <v>3</v>
      </c>
      <c r="R2126" s="255">
        <v>1</v>
      </c>
      <c r="S2126" s="255" t="s">
        <v>488</v>
      </c>
      <c r="T2126" s="255" t="s">
        <v>488</v>
      </c>
      <c r="U2126" s="255" t="s">
        <v>488</v>
      </c>
      <c r="V2126" s="255" t="s">
        <v>488</v>
      </c>
      <c r="W2126">
        <f t="shared" si="34"/>
        <v>1222</v>
      </c>
    </row>
    <row r="2127" spans="1:23" x14ac:dyDescent="0.25">
      <c r="A2127" s="2" t="s">
        <v>1380</v>
      </c>
      <c r="B2127" s="2" t="s">
        <v>920</v>
      </c>
      <c r="C2127" s="2">
        <v>540016</v>
      </c>
      <c r="D2127" s="2" t="s">
        <v>649</v>
      </c>
      <c r="E2127" s="2" t="s">
        <v>13</v>
      </c>
      <c r="F2127" s="2" t="s">
        <v>5</v>
      </c>
      <c r="G2127" s="2">
        <v>2</v>
      </c>
      <c r="H2127" s="2">
        <v>0</v>
      </c>
      <c r="I2127" s="2">
        <v>2</v>
      </c>
      <c r="J2127" s="2">
        <v>0</v>
      </c>
      <c r="K2127" s="2">
        <v>0</v>
      </c>
      <c r="L2127" s="2">
        <v>0</v>
      </c>
      <c r="M2127" s="2">
        <v>2</v>
      </c>
      <c r="N2127" s="2">
        <v>2</v>
      </c>
      <c r="O2127" s="2">
        <v>0</v>
      </c>
      <c r="P2127" s="2">
        <v>0</v>
      </c>
      <c r="Q2127" s="2">
        <v>0</v>
      </c>
      <c r="R2127" s="2">
        <v>0</v>
      </c>
      <c r="S2127" s="2" t="s">
        <v>488</v>
      </c>
      <c r="T2127" s="2" t="s">
        <v>488</v>
      </c>
      <c r="U2127" s="2" t="s">
        <v>488</v>
      </c>
      <c r="V2127" s="2" t="s">
        <v>488</v>
      </c>
      <c r="W2127">
        <f t="shared" si="34"/>
        <v>2</v>
      </c>
    </row>
    <row r="2128" spans="1:23" x14ac:dyDescent="0.25">
      <c r="A2128" s="2" t="s">
        <v>1380</v>
      </c>
      <c r="B2128" s="2" t="s">
        <v>920</v>
      </c>
      <c r="C2128" s="2">
        <v>540017</v>
      </c>
      <c r="D2128" s="2" t="s">
        <v>650</v>
      </c>
      <c r="E2128" s="2" t="s">
        <v>13</v>
      </c>
      <c r="F2128" s="2" t="s">
        <v>115</v>
      </c>
      <c r="G2128" s="2">
        <v>2</v>
      </c>
      <c r="H2128" s="2">
        <v>0</v>
      </c>
      <c r="I2128" s="2">
        <v>0</v>
      </c>
      <c r="J2128" s="2">
        <v>0</v>
      </c>
      <c r="K2128" s="2">
        <v>0</v>
      </c>
      <c r="L2128" s="2">
        <v>0</v>
      </c>
      <c r="M2128" s="2">
        <v>0</v>
      </c>
      <c r="N2128" s="2">
        <v>0</v>
      </c>
      <c r="O2128" s="2">
        <v>0</v>
      </c>
      <c r="P2128" s="2">
        <v>0</v>
      </c>
      <c r="Q2128" s="2">
        <v>0</v>
      </c>
      <c r="R2128" s="2">
        <v>0</v>
      </c>
      <c r="S2128" s="2" t="s">
        <v>488</v>
      </c>
      <c r="T2128" s="2" t="s">
        <v>488</v>
      </c>
      <c r="U2128" s="2" t="s">
        <v>488</v>
      </c>
      <c r="V2128" s="2" t="s">
        <v>488</v>
      </c>
      <c r="W2128">
        <f t="shared" si="34"/>
        <v>0</v>
      </c>
    </row>
    <row r="2129" spans="1:23" x14ac:dyDescent="0.25">
      <c r="A2129" s="2" t="s">
        <v>1380</v>
      </c>
      <c r="B2129" s="2" t="s">
        <v>920</v>
      </c>
      <c r="C2129" s="2">
        <v>540018</v>
      </c>
      <c r="D2129" s="2" t="s">
        <v>651</v>
      </c>
      <c r="E2129" s="2" t="s">
        <v>13</v>
      </c>
      <c r="F2129" s="2" t="s">
        <v>115</v>
      </c>
      <c r="G2129" s="2">
        <v>2</v>
      </c>
      <c r="H2129" s="2">
        <v>0</v>
      </c>
      <c r="I2129" s="2">
        <v>2</v>
      </c>
      <c r="J2129" s="2">
        <v>0</v>
      </c>
      <c r="K2129" s="2">
        <v>0</v>
      </c>
      <c r="L2129" s="2">
        <v>0</v>
      </c>
      <c r="M2129" s="2">
        <v>2</v>
      </c>
      <c r="N2129" s="2">
        <v>2</v>
      </c>
      <c r="O2129" s="2">
        <v>0</v>
      </c>
      <c r="P2129" s="2">
        <v>0</v>
      </c>
      <c r="Q2129" s="2">
        <v>0</v>
      </c>
      <c r="R2129" s="2">
        <v>0</v>
      </c>
      <c r="S2129" s="2" t="s">
        <v>488</v>
      </c>
      <c r="T2129" s="2" t="s">
        <v>488</v>
      </c>
      <c r="U2129" s="2" t="s">
        <v>488</v>
      </c>
      <c r="V2129" s="2" t="s">
        <v>488</v>
      </c>
      <c r="W2129">
        <f t="shared" si="34"/>
        <v>2</v>
      </c>
    </row>
    <row r="2130" spans="1:23" x14ac:dyDescent="0.25">
      <c r="A2130" s="2" t="s">
        <v>1380</v>
      </c>
      <c r="B2130" s="2" t="s">
        <v>920</v>
      </c>
      <c r="C2130" s="2">
        <v>540019</v>
      </c>
      <c r="D2130" s="2" t="s">
        <v>652</v>
      </c>
      <c r="E2130" s="2" t="s">
        <v>13</v>
      </c>
      <c r="F2130" s="2" t="s">
        <v>115</v>
      </c>
      <c r="G2130" s="2">
        <v>2</v>
      </c>
      <c r="H2130" s="2">
        <v>0</v>
      </c>
      <c r="I2130" s="2">
        <v>0</v>
      </c>
      <c r="J2130" s="2">
        <v>2</v>
      </c>
      <c r="K2130" s="2">
        <v>0</v>
      </c>
      <c r="L2130" s="2">
        <v>0</v>
      </c>
      <c r="M2130" s="2">
        <v>2</v>
      </c>
      <c r="N2130" s="2">
        <v>2</v>
      </c>
      <c r="O2130" s="2">
        <v>0</v>
      </c>
      <c r="P2130" s="2">
        <v>0</v>
      </c>
      <c r="Q2130" s="2">
        <v>0</v>
      </c>
      <c r="R2130" s="2">
        <v>0</v>
      </c>
      <c r="S2130" s="2" t="s">
        <v>488</v>
      </c>
      <c r="T2130" s="2" t="s">
        <v>488</v>
      </c>
      <c r="U2130" s="2" t="s">
        <v>488</v>
      </c>
      <c r="V2130" s="2" t="s">
        <v>488</v>
      </c>
      <c r="W2130">
        <f t="shared" si="34"/>
        <v>2</v>
      </c>
    </row>
    <row r="2131" spans="1:23" x14ac:dyDescent="0.25">
      <c r="A2131" s="255" t="s">
        <v>1380</v>
      </c>
      <c r="B2131" s="255" t="s">
        <v>920</v>
      </c>
      <c r="C2131" s="255"/>
      <c r="D2131" s="255"/>
      <c r="E2131" s="255" t="s">
        <v>13</v>
      </c>
      <c r="F2131" s="255"/>
      <c r="G2131" s="255"/>
      <c r="H2131" s="255">
        <v>0</v>
      </c>
      <c r="I2131" s="255">
        <v>4</v>
      </c>
      <c r="J2131" s="255">
        <v>2</v>
      </c>
      <c r="K2131" s="255">
        <v>0</v>
      </c>
      <c r="L2131" s="255">
        <v>0</v>
      </c>
      <c r="M2131" s="255">
        <v>6</v>
      </c>
      <c r="N2131" s="255">
        <v>6</v>
      </c>
      <c r="O2131" s="255">
        <v>0</v>
      </c>
      <c r="P2131" s="255">
        <v>0</v>
      </c>
      <c r="Q2131" s="255">
        <v>0</v>
      </c>
      <c r="R2131" s="255">
        <v>0</v>
      </c>
      <c r="S2131" s="255" t="s">
        <v>488</v>
      </c>
      <c r="T2131" s="255" t="s">
        <v>488</v>
      </c>
      <c r="U2131" s="255" t="s">
        <v>488</v>
      </c>
      <c r="V2131" s="255" t="s">
        <v>488</v>
      </c>
      <c r="W2131">
        <f t="shared" si="34"/>
        <v>6</v>
      </c>
    </row>
    <row r="2132" spans="1:23" x14ac:dyDescent="0.25">
      <c r="A2132" s="2" t="s">
        <v>1380</v>
      </c>
      <c r="B2132" s="2" t="s">
        <v>920</v>
      </c>
      <c r="C2132" s="2">
        <v>540020</v>
      </c>
      <c r="D2132" s="2" t="s">
        <v>653</v>
      </c>
      <c r="E2132" s="2" t="s">
        <v>15</v>
      </c>
      <c r="F2132" s="2" t="s">
        <v>5</v>
      </c>
      <c r="G2132" s="2">
        <v>5</v>
      </c>
      <c r="H2132" s="2">
        <v>0</v>
      </c>
      <c r="I2132" s="2">
        <v>0</v>
      </c>
      <c r="J2132" s="2">
        <v>0</v>
      </c>
      <c r="K2132" s="2">
        <v>0</v>
      </c>
      <c r="L2132" s="2">
        <v>0</v>
      </c>
      <c r="M2132" s="2">
        <v>0</v>
      </c>
      <c r="N2132" s="2">
        <v>0</v>
      </c>
      <c r="O2132" s="2">
        <v>0</v>
      </c>
      <c r="P2132" s="2">
        <v>0</v>
      </c>
      <c r="Q2132" s="2" t="s">
        <v>488</v>
      </c>
      <c r="R2132" s="2" t="s">
        <v>488</v>
      </c>
      <c r="S2132" s="2" t="s">
        <v>488</v>
      </c>
      <c r="T2132" s="2" t="s">
        <v>488</v>
      </c>
      <c r="U2132" s="2" t="s">
        <v>488</v>
      </c>
      <c r="V2132" s="2" t="s">
        <v>488</v>
      </c>
      <c r="W2132">
        <f t="shared" si="34"/>
        <v>0</v>
      </c>
    </row>
    <row r="2133" spans="1:23" x14ac:dyDescent="0.25">
      <c r="A2133" s="2" t="s">
        <v>1380</v>
      </c>
      <c r="B2133" s="2" t="s">
        <v>920</v>
      </c>
      <c r="C2133" s="2">
        <v>540021</v>
      </c>
      <c r="D2133" s="2" t="s">
        <v>654</v>
      </c>
      <c r="E2133" s="2" t="s">
        <v>15</v>
      </c>
      <c r="F2133" s="2" t="s">
        <v>115</v>
      </c>
      <c r="G2133" s="2">
        <v>5</v>
      </c>
      <c r="H2133" s="2">
        <v>0</v>
      </c>
      <c r="I2133" s="2">
        <v>0</v>
      </c>
      <c r="J2133" s="2">
        <v>0</v>
      </c>
      <c r="K2133" s="2">
        <v>0</v>
      </c>
      <c r="L2133" s="2">
        <v>0</v>
      </c>
      <c r="M2133" s="2">
        <v>0</v>
      </c>
      <c r="N2133" s="2">
        <v>0</v>
      </c>
      <c r="O2133" s="2">
        <v>0</v>
      </c>
      <c r="P2133" s="2">
        <v>0</v>
      </c>
      <c r="Q2133" s="2" t="s">
        <v>488</v>
      </c>
      <c r="R2133" s="2" t="s">
        <v>488</v>
      </c>
      <c r="S2133" s="2" t="s">
        <v>488</v>
      </c>
      <c r="T2133" s="2" t="s">
        <v>488</v>
      </c>
      <c r="U2133" s="2" t="s">
        <v>488</v>
      </c>
      <c r="V2133" s="2" t="s">
        <v>488</v>
      </c>
      <c r="W2133">
        <f t="shared" si="34"/>
        <v>0</v>
      </c>
    </row>
    <row r="2134" spans="1:23" x14ac:dyDescent="0.25">
      <c r="A2134" s="255" t="s">
        <v>1380</v>
      </c>
      <c r="B2134" s="255" t="s">
        <v>920</v>
      </c>
      <c r="C2134" s="255"/>
      <c r="D2134" s="255"/>
      <c r="E2134" s="255" t="s">
        <v>15</v>
      </c>
      <c r="F2134" s="255"/>
      <c r="G2134" s="255"/>
      <c r="H2134" s="255">
        <v>0</v>
      </c>
      <c r="I2134" s="255">
        <v>0</v>
      </c>
      <c r="J2134" s="255">
        <v>0</v>
      </c>
      <c r="K2134" s="255">
        <v>0</v>
      </c>
      <c r="L2134" s="255">
        <v>0</v>
      </c>
      <c r="M2134" s="255">
        <v>0</v>
      </c>
      <c r="N2134" s="255">
        <v>0</v>
      </c>
      <c r="O2134" s="255">
        <v>0</v>
      </c>
      <c r="P2134" s="255">
        <v>0</v>
      </c>
      <c r="Q2134" s="255" t="s">
        <v>488</v>
      </c>
      <c r="R2134" s="255" t="s">
        <v>488</v>
      </c>
      <c r="S2134" s="255" t="s">
        <v>488</v>
      </c>
      <c r="T2134" s="255" t="s">
        <v>488</v>
      </c>
      <c r="U2134" s="255" t="s">
        <v>488</v>
      </c>
      <c r="V2134" s="255" t="s">
        <v>488</v>
      </c>
      <c r="W2134">
        <f t="shared" si="34"/>
        <v>0</v>
      </c>
    </row>
    <row r="2135" spans="1:23" x14ac:dyDescent="0.25">
      <c r="A2135" s="2" t="s">
        <v>1380</v>
      </c>
      <c r="B2135" s="2" t="s">
        <v>920</v>
      </c>
      <c r="C2135" s="2">
        <v>540022</v>
      </c>
      <c r="D2135" s="2" t="s">
        <v>655</v>
      </c>
      <c r="E2135" s="2" t="s">
        <v>17</v>
      </c>
      <c r="F2135" s="2" t="s">
        <v>5</v>
      </c>
      <c r="G2135" s="2">
        <v>3</v>
      </c>
      <c r="H2135" s="2">
        <v>0</v>
      </c>
      <c r="I2135" s="2">
        <v>0</v>
      </c>
      <c r="J2135" s="2">
        <v>0</v>
      </c>
      <c r="K2135" s="2">
        <v>0</v>
      </c>
      <c r="L2135" s="2">
        <v>0</v>
      </c>
      <c r="M2135" s="2">
        <v>0</v>
      </c>
      <c r="N2135" s="2">
        <v>0</v>
      </c>
      <c r="O2135" s="2">
        <v>0</v>
      </c>
      <c r="P2135" s="2">
        <v>0</v>
      </c>
      <c r="Q2135" s="2" t="s">
        <v>488</v>
      </c>
      <c r="R2135" s="2" t="s">
        <v>488</v>
      </c>
      <c r="S2135" s="2" t="s">
        <v>488</v>
      </c>
      <c r="T2135" s="2" t="s">
        <v>488</v>
      </c>
      <c r="U2135" s="2" t="s">
        <v>488</v>
      </c>
      <c r="V2135" s="2" t="s">
        <v>488</v>
      </c>
      <c r="W2135">
        <f t="shared" si="34"/>
        <v>0</v>
      </c>
    </row>
    <row r="2136" spans="1:23" x14ac:dyDescent="0.25">
      <c r="A2136" s="2" t="s">
        <v>1380</v>
      </c>
      <c r="B2136" s="2" t="s">
        <v>920</v>
      </c>
      <c r="C2136" s="2">
        <v>540023</v>
      </c>
      <c r="D2136" s="2" t="s">
        <v>656</v>
      </c>
      <c r="E2136" s="2" t="s">
        <v>17</v>
      </c>
      <c r="F2136" s="2" t="s">
        <v>115</v>
      </c>
      <c r="G2136" s="2">
        <v>3</v>
      </c>
      <c r="H2136" s="2">
        <v>0</v>
      </c>
      <c r="I2136" s="2">
        <v>0</v>
      </c>
      <c r="J2136" s="2">
        <v>0</v>
      </c>
      <c r="K2136" s="2">
        <v>0</v>
      </c>
      <c r="L2136" s="2">
        <v>0</v>
      </c>
      <c r="M2136" s="2">
        <v>0</v>
      </c>
      <c r="N2136" s="2">
        <v>0</v>
      </c>
      <c r="O2136" s="2">
        <v>0</v>
      </c>
      <c r="P2136" s="2">
        <v>0</v>
      </c>
      <c r="Q2136" s="2" t="s">
        <v>488</v>
      </c>
      <c r="R2136" s="2" t="s">
        <v>488</v>
      </c>
      <c r="S2136" s="2" t="s">
        <v>488</v>
      </c>
      <c r="T2136" s="2" t="s">
        <v>488</v>
      </c>
      <c r="U2136" s="2" t="s">
        <v>488</v>
      </c>
      <c r="V2136" s="2" t="s">
        <v>488</v>
      </c>
      <c r="W2136">
        <f t="shared" si="34"/>
        <v>0</v>
      </c>
    </row>
    <row r="2137" spans="1:23" x14ac:dyDescent="0.25">
      <c r="A2137" s="255" t="s">
        <v>1380</v>
      </c>
      <c r="B2137" s="255" t="s">
        <v>920</v>
      </c>
      <c r="C2137" s="255"/>
      <c r="D2137" s="255"/>
      <c r="E2137" s="255" t="s">
        <v>17</v>
      </c>
      <c r="F2137" s="255"/>
      <c r="G2137" s="255"/>
      <c r="H2137" s="255">
        <v>0</v>
      </c>
      <c r="I2137" s="255">
        <v>0</v>
      </c>
      <c r="J2137" s="255">
        <v>0</v>
      </c>
      <c r="K2137" s="255">
        <v>0</v>
      </c>
      <c r="L2137" s="255">
        <v>0</v>
      </c>
      <c r="M2137" s="255">
        <v>0</v>
      </c>
      <c r="N2137" s="255">
        <v>0</v>
      </c>
      <c r="O2137" s="255">
        <v>0</v>
      </c>
      <c r="P2137" s="255">
        <v>0</v>
      </c>
      <c r="Q2137" s="255" t="s">
        <v>488</v>
      </c>
      <c r="R2137" s="255" t="s">
        <v>488</v>
      </c>
      <c r="S2137" s="255" t="s">
        <v>488</v>
      </c>
      <c r="T2137" s="255" t="s">
        <v>488</v>
      </c>
      <c r="U2137" s="255" t="s">
        <v>488</v>
      </c>
      <c r="V2137" s="255" t="s">
        <v>488</v>
      </c>
      <c r="W2137">
        <f t="shared" si="34"/>
        <v>0</v>
      </c>
    </row>
    <row r="2138" spans="1:23" x14ac:dyDescent="0.25">
      <c r="A2138" s="2" t="s">
        <v>1380</v>
      </c>
      <c r="B2138" s="2" t="s">
        <v>920</v>
      </c>
      <c r="C2138" s="2">
        <v>540024</v>
      </c>
      <c r="D2138" s="2" t="s">
        <v>657</v>
      </c>
      <c r="E2138" s="2" t="s">
        <v>19</v>
      </c>
      <c r="F2138" s="2" t="s">
        <v>5</v>
      </c>
      <c r="G2138" s="2">
        <v>6</v>
      </c>
      <c r="H2138" s="2">
        <v>0</v>
      </c>
      <c r="I2138" s="2">
        <v>2</v>
      </c>
      <c r="J2138" s="2">
        <v>0</v>
      </c>
      <c r="K2138" s="2">
        <v>0</v>
      </c>
      <c r="L2138" s="2">
        <v>0</v>
      </c>
      <c r="M2138" s="2">
        <v>2</v>
      </c>
      <c r="N2138" s="2">
        <v>2</v>
      </c>
      <c r="O2138" s="2">
        <v>0</v>
      </c>
      <c r="P2138" s="2">
        <v>0</v>
      </c>
      <c r="Q2138" s="2">
        <v>0</v>
      </c>
      <c r="R2138" s="2">
        <v>0</v>
      </c>
      <c r="S2138" s="2" t="s">
        <v>488</v>
      </c>
      <c r="T2138" s="2" t="s">
        <v>488</v>
      </c>
      <c r="U2138" s="2" t="s">
        <v>488</v>
      </c>
      <c r="V2138" s="2" t="s">
        <v>488</v>
      </c>
      <c r="W2138">
        <f t="shared" si="34"/>
        <v>2</v>
      </c>
    </row>
    <row r="2139" spans="1:23" x14ac:dyDescent="0.25">
      <c r="A2139" s="2" t="s">
        <v>1380</v>
      </c>
      <c r="B2139" s="2" t="s">
        <v>920</v>
      </c>
      <c r="C2139" s="2">
        <v>540025</v>
      </c>
      <c r="D2139" s="2" t="s">
        <v>658</v>
      </c>
      <c r="E2139" s="2" t="s">
        <v>19</v>
      </c>
      <c r="F2139" s="2" t="s">
        <v>115</v>
      </c>
      <c r="G2139" s="2">
        <v>6</v>
      </c>
      <c r="H2139" s="2">
        <v>0</v>
      </c>
      <c r="I2139" s="2">
        <v>0</v>
      </c>
      <c r="J2139" s="2">
        <v>0</v>
      </c>
      <c r="K2139" s="2">
        <v>0</v>
      </c>
      <c r="L2139" s="2">
        <v>0</v>
      </c>
      <c r="M2139" s="2">
        <v>0</v>
      </c>
      <c r="N2139" s="2">
        <v>0</v>
      </c>
      <c r="O2139" s="2">
        <v>0</v>
      </c>
      <c r="P2139" s="2">
        <v>0</v>
      </c>
      <c r="Q2139" s="2">
        <v>0</v>
      </c>
      <c r="R2139" s="2">
        <v>0</v>
      </c>
      <c r="S2139" s="2" t="s">
        <v>488</v>
      </c>
      <c r="T2139" s="2" t="s">
        <v>488</v>
      </c>
      <c r="U2139" s="2" t="s">
        <v>488</v>
      </c>
      <c r="V2139" s="2" t="s">
        <v>488</v>
      </c>
      <c r="W2139">
        <f t="shared" si="34"/>
        <v>0</v>
      </c>
    </row>
    <row r="2140" spans="1:23" x14ac:dyDescent="0.25">
      <c r="A2140" s="255" t="s">
        <v>1380</v>
      </c>
      <c r="B2140" s="255" t="s">
        <v>920</v>
      </c>
      <c r="C2140" s="255"/>
      <c r="D2140" s="255"/>
      <c r="E2140" s="255" t="s">
        <v>19</v>
      </c>
      <c r="F2140" s="255"/>
      <c r="G2140" s="255"/>
      <c r="H2140" s="255">
        <v>0</v>
      </c>
      <c r="I2140" s="255">
        <v>2</v>
      </c>
      <c r="J2140" s="255">
        <v>0</v>
      </c>
      <c r="K2140" s="255">
        <v>0</v>
      </c>
      <c r="L2140" s="255">
        <v>0</v>
      </c>
      <c r="M2140" s="255">
        <v>2</v>
      </c>
      <c r="N2140" s="255">
        <v>2</v>
      </c>
      <c r="O2140" s="255">
        <v>0</v>
      </c>
      <c r="P2140" s="255">
        <v>0</v>
      </c>
      <c r="Q2140" s="255">
        <v>0</v>
      </c>
      <c r="R2140" s="255">
        <v>0</v>
      </c>
      <c r="S2140" s="255" t="s">
        <v>488</v>
      </c>
      <c r="T2140" s="255" t="s">
        <v>488</v>
      </c>
      <c r="U2140" s="255" t="s">
        <v>488</v>
      </c>
      <c r="V2140" s="255" t="s">
        <v>488</v>
      </c>
      <c r="W2140">
        <f t="shared" si="34"/>
        <v>2</v>
      </c>
    </row>
    <row r="2141" spans="1:23" x14ac:dyDescent="0.25">
      <c r="A2141" s="2" t="s">
        <v>1380</v>
      </c>
      <c r="B2141" s="2" t="s">
        <v>920</v>
      </c>
      <c r="C2141" s="2">
        <v>540035</v>
      </c>
      <c r="D2141" s="2" t="s">
        <v>659</v>
      </c>
      <c r="E2141" s="2" t="s">
        <v>23</v>
      </c>
      <c r="F2141" s="2" t="s">
        <v>5</v>
      </c>
      <c r="G2141" s="2">
        <v>7</v>
      </c>
      <c r="H2141" s="2">
        <v>0</v>
      </c>
      <c r="I2141" s="2">
        <v>2</v>
      </c>
      <c r="J2141" s="2">
        <v>0</v>
      </c>
      <c r="K2141" s="2">
        <v>0</v>
      </c>
      <c r="L2141" s="2">
        <v>0</v>
      </c>
      <c r="M2141" s="2">
        <v>2</v>
      </c>
      <c r="N2141" s="2">
        <v>2</v>
      </c>
      <c r="O2141" s="2">
        <v>0</v>
      </c>
      <c r="P2141" s="2">
        <v>0</v>
      </c>
      <c r="Q2141" s="2" t="s">
        <v>488</v>
      </c>
      <c r="R2141" s="2" t="s">
        <v>488</v>
      </c>
      <c r="S2141" s="2" t="s">
        <v>488</v>
      </c>
      <c r="T2141" s="2" t="s">
        <v>488</v>
      </c>
      <c r="U2141" s="2" t="s">
        <v>488</v>
      </c>
      <c r="V2141" s="2" t="s">
        <v>488</v>
      </c>
      <c r="W2141">
        <f t="shared" si="34"/>
        <v>2</v>
      </c>
    </row>
    <row r="2142" spans="1:23" x14ac:dyDescent="0.25">
      <c r="A2142" s="2" t="s">
        <v>1380</v>
      </c>
      <c r="B2142" s="2" t="s">
        <v>920</v>
      </c>
      <c r="C2142" s="2">
        <v>540036</v>
      </c>
      <c r="D2142" s="2" t="s">
        <v>660</v>
      </c>
      <c r="E2142" s="2" t="s">
        <v>23</v>
      </c>
      <c r="F2142" s="2" t="s">
        <v>115</v>
      </c>
      <c r="G2142" s="2">
        <v>7</v>
      </c>
      <c r="H2142" s="2">
        <v>0</v>
      </c>
      <c r="I2142" s="2">
        <v>6</v>
      </c>
      <c r="J2142" s="2">
        <v>0</v>
      </c>
      <c r="K2142" s="2">
        <v>0</v>
      </c>
      <c r="L2142" s="2">
        <v>0</v>
      </c>
      <c r="M2142" s="2">
        <v>6</v>
      </c>
      <c r="N2142" s="2">
        <v>6</v>
      </c>
      <c r="O2142" s="2">
        <v>0</v>
      </c>
      <c r="P2142" s="2">
        <v>0</v>
      </c>
      <c r="Q2142" s="2" t="s">
        <v>488</v>
      </c>
      <c r="R2142" s="2" t="s">
        <v>488</v>
      </c>
      <c r="S2142" s="2" t="s">
        <v>488</v>
      </c>
      <c r="T2142" s="2" t="s">
        <v>488</v>
      </c>
      <c r="U2142" s="2" t="s">
        <v>488</v>
      </c>
      <c r="V2142" s="2" t="s">
        <v>488</v>
      </c>
      <c r="W2142">
        <f t="shared" si="34"/>
        <v>6</v>
      </c>
    </row>
    <row r="2143" spans="1:23" x14ac:dyDescent="0.25">
      <c r="A2143" s="2" t="s">
        <v>1380</v>
      </c>
      <c r="B2143" s="2" t="s">
        <v>920</v>
      </c>
      <c r="C2143" s="2">
        <v>540037</v>
      </c>
      <c r="D2143" s="2" t="s">
        <v>661</v>
      </c>
      <c r="E2143" s="2" t="s">
        <v>23</v>
      </c>
      <c r="F2143" s="2" t="s">
        <v>115</v>
      </c>
      <c r="G2143" s="2">
        <v>7</v>
      </c>
      <c r="H2143" s="2">
        <v>0</v>
      </c>
      <c r="I2143" s="2">
        <v>0</v>
      </c>
      <c r="J2143" s="2">
        <v>0</v>
      </c>
      <c r="K2143" s="2">
        <v>0</v>
      </c>
      <c r="L2143" s="2">
        <v>0</v>
      </c>
      <c r="M2143" s="2">
        <v>0</v>
      </c>
      <c r="N2143" s="2">
        <v>0</v>
      </c>
      <c r="O2143" s="2">
        <v>0</v>
      </c>
      <c r="P2143" s="2">
        <v>0</v>
      </c>
      <c r="Q2143" s="2" t="s">
        <v>488</v>
      </c>
      <c r="R2143" s="2" t="s">
        <v>488</v>
      </c>
      <c r="S2143" s="2" t="s">
        <v>488</v>
      </c>
      <c r="T2143" s="2" t="s">
        <v>488</v>
      </c>
      <c r="U2143" s="2" t="s">
        <v>488</v>
      </c>
      <c r="V2143" s="2" t="s">
        <v>488</v>
      </c>
      <c r="W2143">
        <f t="shared" si="34"/>
        <v>0</v>
      </c>
    </row>
    <row r="2144" spans="1:23" x14ac:dyDescent="0.25">
      <c r="A2144" s="255" t="s">
        <v>1380</v>
      </c>
      <c r="B2144" s="255" t="s">
        <v>920</v>
      </c>
      <c r="C2144" s="255"/>
      <c r="D2144" s="255"/>
      <c r="E2144" s="255" t="s">
        <v>23</v>
      </c>
      <c r="F2144" s="255"/>
      <c r="G2144" s="255"/>
      <c r="H2144" s="255">
        <v>0</v>
      </c>
      <c r="I2144" s="255">
        <v>8</v>
      </c>
      <c r="J2144" s="255">
        <v>0</v>
      </c>
      <c r="K2144" s="255">
        <v>0</v>
      </c>
      <c r="L2144" s="255">
        <v>0</v>
      </c>
      <c r="M2144" s="255">
        <v>8</v>
      </c>
      <c r="N2144" s="255">
        <v>8</v>
      </c>
      <c r="O2144" s="255">
        <v>0</v>
      </c>
      <c r="P2144" s="255">
        <v>0</v>
      </c>
      <c r="Q2144" s="255" t="s">
        <v>488</v>
      </c>
      <c r="R2144" s="255" t="s">
        <v>488</v>
      </c>
      <c r="S2144" s="255" t="s">
        <v>488</v>
      </c>
      <c r="T2144" s="255" t="s">
        <v>488</v>
      </c>
      <c r="U2144" s="255" t="s">
        <v>488</v>
      </c>
      <c r="V2144" s="255" t="s">
        <v>488</v>
      </c>
      <c r="W2144">
        <f t="shared" si="34"/>
        <v>8</v>
      </c>
    </row>
    <row r="2145" spans="1:23" x14ac:dyDescent="0.25">
      <c r="A2145" s="2" t="s">
        <v>1380</v>
      </c>
      <c r="B2145" s="2" t="s">
        <v>920</v>
      </c>
      <c r="C2145" s="2">
        <v>540038</v>
      </c>
      <c r="D2145" s="2" t="s">
        <v>662</v>
      </c>
      <c r="E2145" s="2" t="s">
        <v>25</v>
      </c>
      <c r="F2145" s="2" t="s">
        <v>5</v>
      </c>
      <c r="G2145" s="2">
        <v>8</v>
      </c>
      <c r="H2145" s="2">
        <v>0</v>
      </c>
      <c r="I2145" s="2">
        <v>0</v>
      </c>
      <c r="J2145" s="2">
        <v>0</v>
      </c>
      <c r="K2145" s="2">
        <v>0</v>
      </c>
      <c r="L2145" s="2">
        <v>0</v>
      </c>
      <c r="M2145" s="2">
        <v>0</v>
      </c>
      <c r="N2145" s="2">
        <v>0</v>
      </c>
      <c r="O2145" s="2">
        <v>0</v>
      </c>
      <c r="P2145" s="2">
        <v>0</v>
      </c>
      <c r="Q2145" s="2" t="s">
        <v>488</v>
      </c>
      <c r="R2145" s="2" t="s">
        <v>488</v>
      </c>
      <c r="S2145" s="2" t="s">
        <v>488</v>
      </c>
      <c r="T2145" s="2" t="s">
        <v>488</v>
      </c>
      <c r="U2145" s="2" t="s">
        <v>488</v>
      </c>
      <c r="V2145" s="2" t="s">
        <v>488</v>
      </c>
      <c r="W2145">
        <f t="shared" si="34"/>
        <v>0</v>
      </c>
    </row>
    <row r="2146" spans="1:23" x14ac:dyDescent="0.25">
      <c r="A2146" s="2" t="s">
        <v>1380</v>
      </c>
      <c r="B2146" s="2" t="s">
        <v>920</v>
      </c>
      <c r="C2146" s="2">
        <v>540039</v>
      </c>
      <c r="D2146" s="2" t="s">
        <v>663</v>
      </c>
      <c r="E2146" s="2" t="s">
        <v>25</v>
      </c>
      <c r="F2146" s="2" t="s">
        <v>115</v>
      </c>
      <c r="G2146" s="2">
        <v>8</v>
      </c>
      <c r="H2146" s="2">
        <v>0</v>
      </c>
      <c r="I2146" s="2">
        <v>0</v>
      </c>
      <c r="J2146" s="2">
        <v>0</v>
      </c>
      <c r="K2146" s="2">
        <v>0</v>
      </c>
      <c r="L2146" s="2">
        <v>0</v>
      </c>
      <c r="M2146" s="2">
        <v>0</v>
      </c>
      <c r="N2146" s="2">
        <v>0</v>
      </c>
      <c r="O2146" s="2">
        <v>0</v>
      </c>
      <c r="P2146" s="2">
        <v>0</v>
      </c>
      <c r="Q2146" s="2" t="s">
        <v>488</v>
      </c>
      <c r="R2146" s="2" t="s">
        <v>488</v>
      </c>
      <c r="S2146" s="2" t="s">
        <v>488</v>
      </c>
      <c r="T2146" s="2" t="s">
        <v>488</v>
      </c>
      <c r="U2146" s="2" t="s">
        <v>488</v>
      </c>
      <c r="V2146" s="2" t="s">
        <v>488</v>
      </c>
      <c r="W2146">
        <f t="shared" si="34"/>
        <v>0</v>
      </c>
    </row>
    <row r="2147" spans="1:23" x14ac:dyDescent="0.25">
      <c r="A2147" s="2" t="s">
        <v>1380</v>
      </c>
      <c r="B2147" s="2" t="s">
        <v>920</v>
      </c>
      <c r="C2147" s="2">
        <v>540240</v>
      </c>
      <c r="D2147" s="2" t="s">
        <v>664</v>
      </c>
      <c r="E2147" s="2" t="s">
        <v>25</v>
      </c>
      <c r="F2147" s="2" t="s">
        <v>115</v>
      </c>
      <c r="G2147" s="2">
        <v>8</v>
      </c>
      <c r="H2147" s="2">
        <v>0</v>
      </c>
      <c r="I2147" s="2">
        <v>0</v>
      </c>
      <c r="J2147" s="2">
        <v>0</v>
      </c>
      <c r="K2147" s="2">
        <v>0</v>
      </c>
      <c r="L2147" s="2">
        <v>0</v>
      </c>
      <c r="M2147" s="2">
        <v>0</v>
      </c>
      <c r="N2147" s="2">
        <v>0</v>
      </c>
      <c r="O2147" s="2">
        <v>0</v>
      </c>
      <c r="P2147" s="2">
        <v>0</v>
      </c>
      <c r="Q2147" s="2" t="s">
        <v>488</v>
      </c>
      <c r="R2147" s="2" t="s">
        <v>488</v>
      </c>
      <c r="S2147" s="2" t="s">
        <v>488</v>
      </c>
      <c r="T2147" s="2" t="s">
        <v>488</v>
      </c>
      <c r="U2147" s="2" t="s">
        <v>488</v>
      </c>
      <c r="V2147" s="2" t="s">
        <v>488</v>
      </c>
      <c r="W2147">
        <f t="shared" si="34"/>
        <v>0</v>
      </c>
    </row>
    <row r="2148" spans="1:23" x14ac:dyDescent="0.25">
      <c r="A2148" s="255" t="s">
        <v>1380</v>
      </c>
      <c r="B2148" s="255" t="s">
        <v>920</v>
      </c>
      <c r="C2148" s="255"/>
      <c r="D2148" s="255"/>
      <c r="E2148" s="255" t="s">
        <v>25</v>
      </c>
      <c r="F2148" s="255"/>
      <c r="G2148" s="255"/>
      <c r="H2148" s="255">
        <v>0</v>
      </c>
      <c r="I2148" s="255">
        <v>0</v>
      </c>
      <c r="J2148" s="255">
        <v>0</v>
      </c>
      <c r="K2148" s="255">
        <v>0</v>
      </c>
      <c r="L2148" s="255">
        <v>0</v>
      </c>
      <c r="M2148" s="255">
        <v>0</v>
      </c>
      <c r="N2148" s="255">
        <v>0</v>
      </c>
      <c r="O2148" s="255">
        <v>0</v>
      </c>
      <c r="P2148" s="255">
        <v>0</v>
      </c>
      <c r="Q2148" s="255" t="s">
        <v>488</v>
      </c>
      <c r="R2148" s="255" t="s">
        <v>488</v>
      </c>
      <c r="S2148" s="255" t="s">
        <v>488</v>
      </c>
      <c r="T2148" s="255" t="s">
        <v>488</v>
      </c>
      <c r="U2148" s="255" t="s">
        <v>488</v>
      </c>
      <c r="V2148" s="255" t="s">
        <v>488</v>
      </c>
      <c r="W2148">
        <f t="shared" si="34"/>
        <v>0</v>
      </c>
    </row>
    <row r="2149" spans="1:23" x14ac:dyDescent="0.25">
      <c r="A2149" s="2" t="s">
        <v>1380</v>
      </c>
      <c r="B2149" s="2" t="s">
        <v>920</v>
      </c>
      <c r="C2149" s="2">
        <v>540040</v>
      </c>
      <c r="D2149" s="2" t="s">
        <v>665</v>
      </c>
      <c r="E2149" s="2" t="s">
        <v>27</v>
      </c>
      <c r="F2149" s="2" t="s">
        <v>5</v>
      </c>
      <c r="G2149" s="2">
        <v>4</v>
      </c>
      <c r="H2149" s="2">
        <v>5</v>
      </c>
      <c r="I2149" s="2">
        <v>6</v>
      </c>
      <c r="J2149" s="2">
        <v>4</v>
      </c>
      <c r="K2149" s="2">
        <v>0</v>
      </c>
      <c r="L2149" s="2">
        <v>0</v>
      </c>
      <c r="M2149" s="2">
        <v>10</v>
      </c>
      <c r="N2149" s="2">
        <v>15</v>
      </c>
      <c r="O2149" s="2">
        <v>4</v>
      </c>
      <c r="P2149" s="2">
        <v>0</v>
      </c>
      <c r="Q2149" s="2">
        <v>2</v>
      </c>
      <c r="R2149" s="2">
        <v>0</v>
      </c>
      <c r="S2149" s="2" t="s">
        <v>488</v>
      </c>
      <c r="T2149" s="2" t="s">
        <v>488</v>
      </c>
      <c r="U2149" s="2" t="s">
        <v>488</v>
      </c>
      <c r="V2149" s="2" t="s">
        <v>488</v>
      </c>
      <c r="W2149">
        <f t="shared" si="34"/>
        <v>15</v>
      </c>
    </row>
    <row r="2150" spans="1:23" x14ac:dyDescent="0.25">
      <c r="A2150" s="2" t="s">
        <v>1380</v>
      </c>
      <c r="B2150" s="2" t="s">
        <v>920</v>
      </c>
      <c r="C2150" s="2">
        <v>540041</v>
      </c>
      <c r="D2150" s="2" t="s">
        <v>666</v>
      </c>
      <c r="E2150" s="2" t="s">
        <v>27</v>
      </c>
      <c r="F2150" s="2" t="s">
        <v>115</v>
      </c>
      <c r="G2150" s="2">
        <v>4</v>
      </c>
      <c r="H2150" s="2">
        <v>0</v>
      </c>
      <c r="I2150" s="2">
        <v>30</v>
      </c>
      <c r="J2150" s="2">
        <v>12</v>
      </c>
      <c r="K2150" s="2">
        <v>0</v>
      </c>
      <c r="L2150" s="2">
        <v>0</v>
      </c>
      <c r="M2150" s="2">
        <v>42</v>
      </c>
      <c r="N2150" s="2">
        <v>42</v>
      </c>
      <c r="O2150" s="2">
        <v>36</v>
      </c>
      <c r="P2150" s="2">
        <v>0</v>
      </c>
      <c r="Q2150" s="2">
        <v>0</v>
      </c>
      <c r="R2150" s="2">
        <v>19</v>
      </c>
      <c r="S2150" s="2" t="s">
        <v>488</v>
      </c>
      <c r="T2150" s="2" t="s">
        <v>488</v>
      </c>
      <c r="U2150" s="2" t="s">
        <v>488</v>
      </c>
      <c r="V2150" s="2" t="s">
        <v>488</v>
      </c>
      <c r="W2150">
        <f t="shared" si="34"/>
        <v>61</v>
      </c>
    </row>
    <row r="2151" spans="1:23" x14ac:dyDescent="0.25">
      <c r="A2151" s="2" t="s">
        <v>1380</v>
      </c>
      <c r="B2151" s="2" t="s">
        <v>920</v>
      </c>
      <c r="C2151" s="2">
        <v>540043</v>
      </c>
      <c r="D2151" s="2" t="s">
        <v>667</v>
      </c>
      <c r="E2151" s="2" t="s">
        <v>27</v>
      </c>
      <c r="F2151" s="2" t="s">
        <v>115</v>
      </c>
      <c r="G2151" s="2">
        <v>4</v>
      </c>
      <c r="H2151" s="2">
        <v>9</v>
      </c>
      <c r="I2151" s="2">
        <v>43</v>
      </c>
      <c r="J2151" s="2">
        <v>0</v>
      </c>
      <c r="K2151" s="2">
        <v>0</v>
      </c>
      <c r="L2151" s="2">
        <v>0</v>
      </c>
      <c r="M2151" s="2">
        <v>43</v>
      </c>
      <c r="N2151" s="2">
        <v>52</v>
      </c>
      <c r="O2151" s="2">
        <v>43</v>
      </c>
      <c r="P2151" s="2">
        <v>0</v>
      </c>
      <c r="Q2151" s="2">
        <v>0</v>
      </c>
      <c r="R2151" s="2">
        <v>0</v>
      </c>
      <c r="S2151" s="2" t="s">
        <v>488</v>
      </c>
      <c r="T2151" s="2" t="s">
        <v>488</v>
      </c>
      <c r="U2151" s="2" t="s">
        <v>488</v>
      </c>
      <c r="V2151" s="2" t="s">
        <v>488</v>
      </c>
      <c r="W2151">
        <f t="shared" si="34"/>
        <v>52</v>
      </c>
    </row>
    <row r="2152" spans="1:23" x14ac:dyDescent="0.25">
      <c r="A2152" s="2" t="s">
        <v>1380</v>
      </c>
      <c r="B2152" s="2" t="s">
        <v>920</v>
      </c>
      <c r="C2152" s="2">
        <v>540044</v>
      </c>
      <c r="D2152" s="2" t="s">
        <v>668</v>
      </c>
      <c r="E2152" s="2" t="s">
        <v>27</v>
      </c>
      <c r="F2152" s="2" t="s">
        <v>115</v>
      </c>
      <c r="G2152" s="2">
        <v>4</v>
      </c>
      <c r="H2152" s="2">
        <v>0</v>
      </c>
      <c r="I2152" s="2">
        <v>0</v>
      </c>
      <c r="J2152" s="2">
        <v>0</v>
      </c>
      <c r="K2152" s="2">
        <v>0</v>
      </c>
      <c r="L2152" s="2">
        <v>0</v>
      </c>
      <c r="M2152" s="2">
        <v>0</v>
      </c>
      <c r="N2152" s="2">
        <v>0</v>
      </c>
      <c r="O2152" s="2">
        <v>0</v>
      </c>
      <c r="P2152" s="2">
        <v>0</v>
      </c>
      <c r="Q2152" s="2">
        <v>0</v>
      </c>
      <c r="R2152" s="2">
        <v>0</v>
      </c>
      <c r="S2152" s="2" t="s">
        <v>488</v>
      </c>
      <c r="T2152" s="2" t="s">
        <v>488</v>
      </c>
      <c r="U2152" s="2" t="s">
        <v>488</v>
      </c>
      <c r="V2152" s="2" t="s">
        <v>488</v>
      </c>
      <c r="W2152">
        <f t="shared" si="34"/>
        <v>0</v>
      </c>
    </row>
    <row r="2153" spans="1:23" x14ac:dyDescent="0.25">
      <c r="A2153" s="2" t="s">
        <v>1380</v>
      </c>
      <c r="B2153" s="2" t="s">
        <v>920</v>
      </c>
      <c r="C2153" s="2">
        <v>540045</v>
      </c>
      <c r="D2153" s="2" t="s">
        <v>669</v>
      </c>
      <c r="E2153" s="2" t="s">
        <v>27</v>
      </c>
      <c r="F2153" s="2" t="s">
        <v>115</v>
      </c>
      <c r="G2153" s="2">
        <v>4</v>
      </c>
      <c r="H2153" s="2">
        <v>0</v>
      </c>
      <c r="I2153" s="2">
        <v>0</v>
      </c>
      <c r="J2153" s="2">
        <v>0</v>
      </c>
      <c r="K2153" s="2">
        <v>0</v>
      </c>
      <c r="L2153" s="2">
        <v>0</v>
      </c>
      <c r="M2153" s="2">
        <v>0</v>
      </c>
      <c r="N2153" s="2">
        <v>0</v>
      </c>
      <c r="O2153" s="2">
        <v>0</v>
      </c>
      <c r="P2153" s="2">
        <v>0</v>
      </c>
      <c r="Q2153" s="2">
        <v>0</v>
      </c>
      <c r="R2153" s="2">
        <v>0</v>
      </c>
      <c r="S2153" s="2" t="s">
        <v>488</v>
      </c>
      <c r="T2153" s="2" t="s">
        <v>488</v>
      </c>
      <c r="U2153" s="2" t="s">
        <v>488</v>
      </c>
      <c r="V2153" s="2" t="s">
        <v>488</v>
      </c>
      <c r="W2153">
        <f t="shared" si="34"/>
        <v>0</v>
      </c>
    </row>
    <row r="2154" spans="1:23" x14ac:dyDescent="0.25">
      <c r="A2154" s="2" t="s">
        <v>1380</v>
      </c>
      <c r="B2154" s="2" t="s">
        <v>920</v>
      </c>
      <c r="C2154" s="2">
        <v>540228</v>
      </c>
      <c r="D2154" s="2" t="s">
        <v>670</v>
      </c>
      <c r="E2154" s="2" t="s">
        <v>27</v>
      </c>
      <c r="F2154" s="2" t="s">
        <v>115</v>
      </c>
      <c r="G2154" s="2">
        <v>4</v>
      </c>
      <c r="H2154" s="2">
        <v>0</v>
      </c>
      <c r="I2154" s="2">
        <v>0</v>
      </c>
      <c r="J2154" s="2">
        <v>0</v>
      </c>
      <c r="K2154" s="2">
        <v>0</v>
      </c>
      <c r="L2154" s="2">
        <v>0</v>
      </c>
      <c r="M2154" s="2">
        <v>0</v>
      </c>
      <c r="N2154" s="2">
        <v>0</v>
      </c>
      <c r="O2154" s="2">
        <v>0</v>
      </c>
      <c r="P2154" s="2">
        <v>0</v>
      </c>
      <c r="Q2154" s="2">
        <v>0</v>
      </c>
      <c r="R2154" s="2">
        <v>0</v>
      </c>
      <c r="S2154" s="2" t="s">
        <v>488</v>
      </c>
      <c r="T2154" s="2" t="s">
        <v>488</v>
      </c>
      <c r="U2154" s="2" t="s">
        <v>488</v>
      </c>
      <c r="V2154" s="2" t="s">
        <v>488</v>
      </c>
      <c r="W2154">
        <f t="shared" si="34"/>
        <v>0</v>
      </c>
    </row>
    <row r="2155" spans="1:23" x14ac:dyDescent="0.25">
      <c r="A2155" s="2" t="s">
        <v>1380</v>
      </c>
      <c r="B2155" s="2" t="s">
        <v>920</v>
      </c>
      <c r="C2155" s="2">
        <v>540243</v>
      </c>
      <c r="D2155" s="2" t="s">
        <v>671</v>
      </c>
      <c r="E2155" s="2" t="s">
        <v>27</v>
      </c>
      <c r="F2155" s="2" t="s">
        <v>115</v>
      </c>
      <c r="G2155" s="2">
        <v>4</v>
      </c>
      <c r="H2155" s="2">
        <v>0</v>
      </c>
      <c r="I2155" s="2">
        <v>0</v>
      </c>
      <c r="J2155" s="2">
        <v>0</v>
      </c>
      <c r="K2155" s="2">
        <v>0</v>
      </c>
      <c r="L2155" s="2">
        <v>0</v>
      </c>
      <c r="M2155" s="2">
        <v>0</v>
      </c>
      <c r="N2155" s="2">
        <v>0</v>
      </c>
      <c r="O2155" s="2">
        <v>0</v>
      </c>
      <c r="P2155" s="2">
        <v>0</v>
      </c>
      <c r="Q2155" s="2">
        <v>0</v>
      </c>
      <c r="R2155" s="2">
        <v>0</v>
      </c>
      <c r="S2155" s="2" t="s">
        <v>488</v>
      </c>
      <c r="T2155" s="2" t="s">
        <v>488</v>
      </c>
      <c r="U2155" s="2" t="s">
        <v>488</v>
      </c>
      <c r="V2155" s="2" t="s">
        <v>488</v>
      </c>
      <c r="W2155">
        <f t="shared" si="34"/>
        <v>0</v>
      </c>
    </row>
    <row r="2156" spans="1:23" x14ac:dyDescent="0.25">
      <c r="A2156" s="2" t="s">
        <v>1380</v>
      </c>
      <c r="B2156" s="2" t="s">
        <v>920</v>
      </c>
      <c r="C2156" s="2">
        <v>540244</v>
      </c>
      <c r="D2156" s="2" t="s">
        <v>672</v>
      </c>
      <c r="E2156" s="2" t="s">
        <v>27</v>
      </c>
      <c r="F2156" s="2" t="s">
        <v>115</v>
      </c>
      <c r="G2156" s="2">
        <v>4</v>
      </c>
      <c r="H2156" s="2">
        <v>0</v>
      </c>
      <c r="I2156" s="2">
        <v>0</v>
      </c>
      <c r="J2156" s="2">
        <v>0</v>
      </c>
      <c r="K2156" s="2">
        <v>0</v>
      </c>
      <c r="L2156" s="2">
        <v>0</v>
      </c>
      <c r="M2156" s="2">
        <v>0</v>
      </c>
      <c r="N2156" s="2">
        <v>0</v>
      </c>
      <c r="O2156" s="2">
        <v>0</v>
      </c>
      <c r="P2156" s="2">
        <v>0</v>
      </c>
      <c r="Q2156" s="2">
        <v>0</v>
      </c>
      <c r="R2156" s="2">
        <v>0</v>
      </c>
      <c r="S2156" s="2" t="s">
        <v>488</v>
      </c>
      <c r="T2156" s="2" t="s">
        <v>488</v>
      </c>
      <c r="U2156" s="2" t="s">
        <v>488</v>
      </c>
      <c r="V2156" s="2" t="s">
        <v>488</v>
      </c>
      <c r="W2156">
        <f t="shared" si="34"/>
        <v>0</v>
      </c>
    </row>
    <row r="2157" spans="1:23" x14ac:dyDescent="0.25">
      <c r="A2157" s="2" t="s">
        <v>1380</v>
      </c>
      <c r="B2157" s="2" t="s">
        <v>920</v>
      </c>
      <c r="C2157" s="2">
        <v>540281</v>
      </c>
      <c r="D2157" s="2" t="s">
        <v>673</v>
      </c>
      <c r="E2157" s="2" t="s">
        <v>27</v>
      </c>
      <c r="F2157" s="2" t="s">
        <v>115</v>
      </c>
      <c r="G2157" s="2">
        <v>4</v>
      </c>
      <c r="H2157" s="2">
        <v>0</v>
      </c>
      <c r="I2157" s="2">
        <v>0</v>
      </c>
      <c r="J2157" s="2">
        <v>0</v>
      </c>
      <c r="K2157" s="2">
        <v>0</v>
      </c>
      <c r="L2157" s="2">
        <v>0</v>
      </c>
      <c r="M2157" s="2">
        <v>0</v>
      </c>
      <c r="N2157" s="2">
        <v>0</v>
      </c>
      <c r="O2157" s="2">
        <v>0</v>
      </c>
      <c r="P2157" s="2">
        <v>0</v>
      </c>
      <c r="Q2157" s="2">
        <v>0</v>
      </c>
      <c r="R2157" s="2">
        <v>0</v>
      </c>
      <c r="S2157" s="2" t="s">
        <v>488</v>
      </c>
      <c r="T2157" s="2" t="s">
        <v>488</v>
      </c>
      <c r="U2157" s="2" t="s">
        <v>488</v>
      </c>
      <c r="V2157" s="2" t="s">
        <v>488</v>
      </c>
      <c r="W2157">
        <f t="shared" si="34"/>
        <v>0</v>
      </c>
    </row>
    <row r="2158" spans="1:23" x14ac:dyDescent="0.25">
      <c r="A2158" s="255" t="s">
        <v>1380</v>
      </c>
      <c r="B2158" s="255" t="s">
        <v>920</v>
      </c>
      <c r="C2158" s="255"/>
      <c r="D2158" s="255"/>
      <c r="E2158" s="255" t="s">
        <v>27</v>
      </c>
      <c r="F2158" s="255"/>
      <c r="G2158" s="255"/>
      <c r="H2158" s="255">
        <v>14</v>
      </c>
      <c r="I2158" s="255">
        <v>79</v>
      </c>
      <c r="J2158" s="255">
        <v>16</v>
      </c>
      <c r="K2158" s="255">
        <v>0</v>
      </c>
      <c r="L2158" s="255">
        <v>0</v>
      </c>
      <c r="M2158" s="255">
        <v>95</v>
      </c>
      <c r="N2158" s="255">
        <v>109</v>
      </c>
      <c r="O2158" s="255">
        <v>83</v>
      </c>
      <c r="P2158" s="255">
        <v>0</v>
      </c>
      <c r="Q2158" s="255">
        <v>2</v>
      </c>
      <c r="R2158" s="255">
        <v>19</v>
      </c>
      <c r="S2158" s="255" t="s">
        <v>488</v>
      </c>
      <c r="T2158" s="255" t="s">
        <v>488</v>
      </c>
      <c r="U2158" s="255" t="s">
        <v>488</v>
      </c>
      <c r="V2158" s="255" t="s">
        <v>488</v>
      </c>
      <c r="W2158">
        <f t="shared" si="34"/>
        <v>128</v>
      </c>
    </row>
    <row r="2159" spans="1:23" x14ac:dyDescent="0.25">
      <c r="A2159" s="2" t="s">
        <v>1380</v>
      </c>
      <c r="B2159" s="2" t="s">
        <v>920</v>
      </c>
      <c r="C2159" s="2">
        <v>540047</v>
      </c>
      <c r="D2159" s="2" t="s">
        <v>674</v>
      </c>
      <c r="E2159" s="2" t="s">
        <v>29</v>
      </c>
      <c r="F2159" s="2" t="s">
        <v>5</v>
      </c>
      <c r="G2159" s="2">
        <v>11</v>
      </c>
      <c r="H2159" s="2">
        <v>0</v>
      </c>
      <c r="I2159" s="2">
        <v>0</v>
      </c>
      <c r="J2159" s="2">
        <v>0</v>
      </c>
      <c r="K2159" s="2">
        <v>0</v>
      </c>
      <c r="L2159" s="2">
        <v>0</v>
      </c>
      <c r="M2159" s="2">
        <v>0</v>
      </c>
      <c r="N2159" s="2">
        <v>0</v>
      </c>
      <c r="O2159" s="2">
        <v>0</v>
      </c>
      <c r="P2159" s="2">
        <v>0</v>
      </c>
      <c r="Q2159" s="2">
        <v>0</v>
      </c>
      <c r="R2159" s="2">
        <v>0</v>
      </c>
      <c r="S2159" s="2" t="s">
        <v>488</v>
      </c>
      <c r="T2159" s="2" t="s">
        <v>488</v>
      </c>
      <c r="U2159" s="2" t="s">
        <v>488</v>
      </c>
      <c r="V2159" s="2" t="s">
        <v>488</v>
      </c>
      <c r="W2159">
        <f t="shared" si="34"/>
        <v>0</v>
      </c>
    </row>
    <row r="2160" spans="1:23" x14ac:dyDescent="0.25">
      <c r="A2160" s="2" t="s">
        <v>1380</v>
      </c>
      <c r="B2160" s="2" t="s">
        <v>920</v>
      </c>
      <c r="C2160" s="2">
        <v>540014</v>
      </c>
      <c r="D2160" s="2" t="s">
        <v>645</v>
      </c>
      <c r="E2160" s="2" t="s">
        <v>29</v>
      </c>
      <c r="F2160" s="2" t="s">
        <v>115</v>
      </c>
      <c r="G2160" s="2">
        <v>11</v>
      </c>
      <c r="H2160" s="2">
        <v>0</v>
      </c>
      <c r="I2160" s="2">
        <v>0</v>
      </c>
      <c r="J2160" s="2">
        <v>0</v>
      </c>
      <c r="K2160" s="2">
        <v>0</v>
      </c>
      <c r="L2160" s="2">
        <v>0</v>
      </c>
      <c r="M2160" s="2">
        <v>0</v>
      </c>
      <c r="N2160" s="2">
        <v>0</v>
      </c>
      <c r="O2160" s="2">
        <v>0</v>
      </c>
      <c r="P2160" s="2">
        <v>0</v>
      </c>
      <c r="Q2160" s="2">
        <v>0</v>
      </c>
      <c r="R2160" s="2">
        <v>0</v>
      </c>
      <c r="S2160" s="2" t="s">
        <v>488</v>
      </c>
      <c r="T2160" s="2" t="s">
        <v>488</v>
      </c>
      <c r="U2160" s="2" t="s">
        <v>488</v>
      </c>
      <c r="V2160" s="2" t="s">
        <v>488</v>
      </c>
      <c r="W2160">
        <f t="shared" si="34"/>
        <v>0</v>
      </c>
    </row>
    <row r="2161" spans="1:23" x14ac:dyDescent="0.25">
      <c r="A2161" s="2" t="s">
        <v>1380</v>
      </c>
      <c r="B2161" s="2" t="s">
        <v>920</v>
      </c>
      <c r="C2161" s="2">
        <v>540048</v>
      </c>
      <c r="D2161" s="2" t="s">
        <v>675</v>
      </c>
      <c r="E2161" s="2" t="s">
        <v>29</v>
      </c>
      <c r="F2161" s="2" t="s">
        <v>115</v>
      </c>
      <c r="G2161" s="2">
        <v>11</v>
      </c>
      <c r="H2161" s="2">
        <v>0</v>
      </c>
      <c r="I2161" s="2">
        <v>0</v>
      </c>
      <c r="J2161" s="2">
        <v>0</v>
      </c>
      <c r="K2161" s="2">
        <v>0</v>
      </c>
      <c r="L2161" s="2">
        <v>0</v>
      </c>
      <c r="M2161" s="2">
        <v>0</v>
      </c>
      <c r="N2161" s="2">
        <v>0</v>
      </c>
      <c r="O2161" s="2">
        <v>0</v>
      </c>
      <c r="P2161" s="2">
        <v>0</v>
      </c>
      <c r="Q2161" s="2">
        <v>0</v>
      </c>
      <c r="R2161" s="2">
        <v>0</v>
      </c>
      <c r="S2161" s="2" t="s">
        <v>488</v>
      </c>
      <c r="T2161" s="2" t="s">
        <v>488</v>
      </c>
      <c r="U2161" s="2" t="s">
        <v>488</v>
      </c>
      <c r="V2161" s="2" t="s">
        <v>488</v>
      </c>
      <c r="W2161">
        <f t="shared" si="34"/>
        <v>0</v>
      </c>
    </row>
    <row r="2162" spans="1:23" x14ac:dyDescent="0.25">
      <c r="A2162" s="2" t="s">
        <v>1380</v>
      </c>
      <c r="B2162" s="2" t="s">
        <v>920</v>
      </c>
      <c r="C2162" s="2">
        <v>540049</v>
      </c>
      <c r="D2162" s="2" t="s">
        <v>676</v>
      </c>
      <c r="E2162" s="2" t="s">
        <v>29</v>
      </c>
      <c r="F2162" s="2" t="s">
        <v>115</v>
      </c>
      <c r="G2162" s="2">
        <v>11</v>
      </c>
      <c r="H2162" s="2">
        <v>0</v>
      </c>
      <c r="I2162" s="2">
        <v>2</v>
      </c>
      <c r="J2162" s="2">
        <v>0</v>
      </c>
      <c r="K2162" s="2">
        <v>0</v>
      </c>
      <c r="L2162" s="2">
        <v>0</v>
      </c>
      <c r="M2162" s="2">
        <v>2</v>
      </c>
      <c r="N2162" s="2">
        <v>2</v>
      </c>
      <c r="O2162" s="2">
        <v>0</v>
      </c>
      <c r="P2162" s="2">
        <v>0</v>
      </c>
      <c r="Q2162" s="2">
        <v>0</v>
      </c>
      <c r="R2162" s="2">
        <v>0</v>
      </c>
      <c r="S2162" s="2" t="s">
        <v>488</v>
      </c>
      <c r="T2162" s="2" t="s">
        <v>488</v>
      </c>
      <c r="U2162" s="2" t="s">
        <v>488</v>
      </c>
      <c r="V2162" s="2" t="s">
        <v>488</v>
      </c>
      <c r="W2162">
        <f t="shared" si="34"/>
        <v>2</v>
      </c>
    </row>
    <row r="2163" spans="1:23" x14ac:dyDescent="0.25">
      <c r="A2163" s="255" t="s">
        <v>1380</v>
      </c>
      <c r="B2163" s="255" t="s">
        <v>920</v>
      </c>
      <c r="C2163" s="255"/>
      <c r="D2163" s="255"/>
      <c r="E2163" s="255" t="s">
        <v>29</v>
      </c>
      <c r="F2163" s="255"/>
      <c r="G2163" s="255"/>
      <c r="H2163" s="255">
        <v>0</v>
      </c>
      <c r="I2163" s="255">
        <v>2</v>
      </c>
      <c r="J2163" s="255">
        <v>0</v>
      </c>
      <c r="K2163" s="255">
        <v>0</v>
      </c>
      <c r="L2163" s="255">
        <v>0</v>
      </c>
      <c r="M2163" s="255">
        <v>2</v>
      </c>
      <c r="N2163" s="255">
        <v>2</v>
      </c>
      <c r="O2163" s="255">
        <v>0</v>
      </c>
      <c r="P2163" s="255">
        <v>0</v>
      </c>
      <c r="Q2163" s="255">
        <v>0</v>
      </c>
      <c r="R2163" s="255">
        <v>0</v>
      </c>
      <c r="S2163" s="255" t="s">
        <v>488</v>
      </c>
      <c r="T2163" s="255" t="s">
        <v>488</v>
      </c>
      <c r="U2163" s="255" t="s">
        <v>488</v>
      </c>
      <c r="V2163" s="255" t="s">
        <v>488</v>
      </c>
      <c r="W2163">
        <f t="shared" si="34"/>
        <v>2</v>
      </c>
    </row>
    <row r="2164" spans="1:23" x14ac:dyDescent="0.25">
      <c r="A2164" s="2" t="s">
        <v>1380</v>
      </c>
      <c r="B2164" s="2" t="s">
        <v>920</v>
      </c>
      <c r="C2164" s="2">
        <v>540051</v>
      </c>
      <c r="D2164" s="2" t="s">
        <v>677</v>
      </c>
      <c r="E2164" s="2" t="s">
        <v>31</v>
      </c>
      <c r="F2164" s="2" t="s">
        <v>5</v>
      </c>
      <c r="G2164" s="2">
        <v>8</v>
      </c>
      <c r="H2164" s="2">
        <v>2</v>
      </c>
      <c r="I2164" s="2">
        <v>0</v>
      </c>
      <c r="J2164" s="2">
        <v>0</v>
      </c>
      <c r="K2164" s="2">
        <v>0</v>
      </c>
      <c r="L2164" s="2">
        <v>0</v>
      </c>
      <c r="M2164" s="2">
        <v>0</v>
      </c>
      <c r="N2164" s="2">
        <v>2</v>
      </c>
      <c r="O2164" s="2">
        <v>0</v>
      </c>
      <c r="P2164" s="2">
        <v>0</v>
      </c>
      <c r="Q2164" s="2" t="s">
        <v>488</v>
      </c>
      <c r="R2164" s="2" t="s">
        <v>488</v>
      </c>
      <c r="S2164" s="2" t="s">
        <v>488</v>
      </c>
      <c r="T2164" s="2" t="s">
        <v>488</v>
      </c>
      <c r="U2164" s="2" t="s">
        <v>488</v>
      </c>
      <c r="V2164" s="2" t="s">
        <v>488</v>
      </c>
      <c r="W2164">
        <f t="shared" si="34"/>
        <v>2</v>
      </c>
    </row>
    <row r="2165" spans="1:23" x14ac:dyDescent="0.25">
      <c r="A2165" s="2" t="s">
        <v>1380</v>
      </c>
      <c r="B2165" s="2" t="s">
        <v>920</v>
      </c>
      <c r="C2165" s="2">
        <v>540052</v>
      </c>
      <c r="D2165" s="2" t="s">
        <v>678</v>
      </c>
      <c r="E2165" s="2" t="s">
        <v>31</v>
      </c>
      <c r="F2165" s="2" t="s">
        <v>115</v>
      </c>
      <c r="G2165" s="2">
        <v>8</v>
      </c>
      <c r="H2165" s="2">
        <v>0</v>
      </c>
      <c r="I2165" s="2">
        <v>13</v>
      </c>
      <c r="J2165" s="2">
        <v>0</v>
      </c>
      <c r="K2165" s="2">
        <v>0</v>
      </c>
      <c r="L2165" s="2">
        <v>0</v>
      </c>
      <c r="M2165" s="2">
        <v>13</v>
      </c>
      <c r="N2165" s="2">
        <v>13</v>
      </c>
      <c r="O2165" s="2">
        <v>0</v>
      </c>
      <c r="P2165" s="2">
        <v>0</v>
      </c>
      <c r="Q2165" s="2" t="s">
        <v>488</v>
      </c>
      <c r="R2165" s="2" t="s">
        <v>488</v>
      </c>
      <c r="S2165" s="2" t="s">
        <v>488</v>
      </c>
      <c r="T2165" s="2" t="s">
        <v>488</v>
      </c>
      <c r="U2165" s="2" t="s">
        <v>488</v>
      </c>
      <c r="V2165" s="2" t="s">
        <v>488</v>
      </c>
      <c r="W2165">
        <f t="shared" si="34"/>
        <v>13</v>
      </c>
    </row>
    <row r="2166" spans="1:23" x14ac:dyDescent="0.25">
      <c r="A2166" s="2" t="s">
        <v>1380</v>
      </c>
      <c r="B2166" s="2" t="s">
        <v>920</v>
      </c>
      <c r="C2166" s="2">
        <v>540245</v>
      </c>
      <c r="D2166" s="2" t="s">
        <v>679</v>
      </c>
      <c r="E2166" s="2" t="s">
        <v>31</v>
      </c>
      <c r="F2166" s="2" t="s">
        <v>115</v>
      </c>
      <c r="G2166" s="2">
        <v>8</v>
      </c>
      <c r="H2166" s="2">
        <v>0</v>
      </c>
      <c r="I2166" s="2">
        <v>0</v>
      </c>
      <c r="J2166" s="2">
        <v>0</v>
      </c>
      <c r="K2166" s="2">
        <v>0</v>
      </c>
      <c r="L2166" s="2">
        <v>0</v>
      </c>
      <c r="M2166" s="2">
        <v>0</v>
      </c>
      <c r="N2166" s="2">
        <v>0</v>
      </c>
      <c r="O2166" s="2">
        <v>0</v>
      </c>
      <c r="P2166" s="2">
        <v>0</v>
      </c>
      <c r="Q2166" s="2" t="s">
        <v>488</v>
      </c>
      <c r="R2166" s="2" t="s">
        <v>488</v>
      </c>
      <c r="S2166" s="2" t="s">
        <v>488</v>
      </c>
      <c r="T2166" s="2" t="s">
        <v>488</v>
      </c>
      <c r="U2166" s="2" t="s">
        <v>488</v>
      </c>
      <c r="V2166" s="2" t="s">
        <v>488</v>
      </c>
      <c r="W2166">
        <f t="shared" si="34"/>
        <v>0</v>
      </c>
    </row>
    <row r="2167" spans="1:23" x14ac:dyDescent="0.25">
      <c r="A2167" s="255" t="s">
        <v>1380</v>
      </c>
      <c r="B2167" s="255" t="s">
        <v>920</v>
      </c>
      <c r="C2167" s="255"/>
      <c r="D2167" s="255"/>
      <c r="E2167" s="255" t="s">
        <v>31</v>
      </c>
      <c r="F2167" s="255"/>
      <c r="G2167" s="255"/>
      <c r="H2167" s="255">
        <v>2</v>
      </c>
      <c r="I2167" s="255">
        <v>13</v>
      </c>
      <c r="J2167" s="255">
        <v>0</v>
      </c>
      <c r="K2167" s="255">
        <v>0</v>
      </c>
      <c r="L2167" s="255">
        <v>0</v>
      </c>
      <c r="M2167" s="255">
        <v>13</v>
      </c>
      <c r="N2167" s="255">
        <v>15</v>
      </c>
      <c r="O2167" s="255">
        <v>0</v>
      </c>
      <c r="P2167" s="255">
        <v>0</v>
      </c>
      <c r="Q2167" s="255" t="s">
        <v>488</v>
      </c>
      <c r="R2167" s="255" t="s">
        <v>488</v>
      </c>
      <c r="S2167" s="255" t="s">
        <v>488</v>
      </c>
      <c r="T2167" s="255" t="s">
        <v>488</v>
      </c>
      <c r="U2167" s="255" t="s">
        <v>488</v>
      </c>
      <c r="V2167" s="255" t="s">
        <v>488</v>
      </c>
      <c r="W2167">
        <f t="shared" ref="W2167:W2177" si="35">SUM(N2167,P2167,R2167,T2167)</f>
        <v>15</v>
      </c>
    </row>
    <row r="2168" spans="1:23" x14ac:dyDescent="0.25">
      <c r="A2168" s="2" t="s">
        <v>1380</v>
      </c>
      <c r="B2168" s="2" t="s">
        <v>920</v>
      </c>
      <c r="C2168" s="2">
        <v>540053</v>
      </c>
      <c r="D2168" s="2" t="s">
        <v>680</v>
      </c>
      <c r="E2168" s="2" t="s">
        <v>33</v>
      </c>
      <c r="F2168" s="2" t="s">
        <v>5</v>
      </c>
      <c r="G2168" s="2">
        <v>6</v>
      </c>
      <c r="H2168" s="2">
        <v>0</v>
      </c>
      <c r="I2168" s="2">
        <v>0</v>
      </c>
      <c r="J2168" s="2">
        <v>2</v>
      </c>
      <c r="K2168" s="2">
        <v>0</v>
      </c>
      <c r="L2168" s="2">
        <v>0</v>
      </c>
      <c r="M2168" s="2">
        <v>2</v>
      </c>
      <c r="N2168" s="2">
        <v>2</v>
      </c>
      <c r="O2168" s="2">
        <v>0</v>
      </c>
      <c r="P2168" s="2">
        <v>0</v>
      </c>
      <c r="Q2168" s="2">
        <v>0</v>
      </c>
      <c r="R2168" s="2">
        <v>0</v>
      </c>
      <c r="S2168" s="2" t="s">
        <v>488</v>
      </c>
      <c r="T2168" s="2" t="s">
        <v>488</v>
      </c>
      <c r="U2168" s="2" t="s">
        <v>488</v>
      </c>
      <c r="V2168" s="2" t="s">
        <v>488</v>
      </c>
      <c r="W2168">
        <f t="shared" si="35"/>
        <v>2</v>
      </c>
    </row>
    <row r="2169" spans="1:23" x14ac:dyDescent="0.25">
      <c r="A2169" s="2" t="s">
        <v>1380</v>
      </c>
      <c r="B2169" s="2" t="s">
        <v>920</v>
      </c>
      <c r="C2169" s="2">
        <v>540054</v>
      </c>
      <c r="D2169" s="2" t="s">
        <v>681</v>
      </c>
      <c r="E2169" s="2" t="s">
        <v>33</v>
      </c>
      <c r="F2169" s="2" t="s">
        <v>115</v>
      </c>
      <c r="G2169" s="2">
        <v>6</v>
      </c>
      <c r="H2169" s="2">
        <v>0</v>
      </c>
      <c r="I2169" s="2">
        <v>0</v>
      </c>
      <c r="J2169" s="2">
        <v>0</v>
      </c>
      <c r="K2169" s="2">
        <v>0</v>
      </c>
      <c r="L2169" s="2">
        <v>0</v>
      </c>
      <c r="M2169" s="2">
        <v>0</v>
      </c>
      <c r="N2169" s="2">
        <v>0</v>
      </c>
      <c r="O2169" s="2">
        <v>0</v>
      </c>
      <c r="P2169" s="2">
        <v>0</v>
      </c>
      <c r="Q2169" s="2">
        <v>0</v>
      </c>
      <c r="R2169" s="2">
        <v>0</v>
      </c>
      <c r="S2169" s="2" t="s">
        <v>488</v>
      </c>
      <c r="T2169" s="2" t="s">
        <v>488</v>
      </c>
      <c r="U2169" s="2" t="s">
        <v>488</v>
      </c>
      <c r="V2169" s="2" t="s">
        <v>488</v>
      </c>
      <c r="W2169">
        <f t="shared" si="35"/>
        <v>0</v>
      </c>
    </row>
    <row r="2170" spans="1:23" x14ac:dyDescent="0.25">
      <c r="A2170" s="2" t="s">
        <v>1380</v>
      </c>
      <c r="B2170" s="2" t="s">
        <v>920</v>
      </c>
      <c r="C2170" s="2">
        <v>540055</v>
      </c>
      <c r="D2170" s="2" t="s">
        <v>682</v>
      </c>
      <c r="E2170" s="2" t="s">
        <v>33</v>
      </c>
      <c r="F2170" s="2" t="s">
        <v>115</v>
      </c>
      <c r="G2170" s="2">
        <v>6</v>
      </c>
      <c r="H2170" s="2">
        <v>0</v>
      </c>
      <c r="I2170" s="2">
        <v>2</v>
      </c>
      <c r="J2170" s="2">
        <v>2</v>
      </c>
      <c r="K2170" s="2">
        <v>0</v>
      </c>
      <c r="L2170" s="2">
        <v>0</v>
      </c>
      <c r="M2170" s="2">
        <v>4</v>
      </c>
      <c r="N2170" s="2">
        <v>4</v>
      </c>
      <c r="O2170" s="2">
        <v>0</v>
      </c>
      <c r="P2170" s="2">
        <v>0</v>
      </c>
      <c r="Q2170" s="2">
        <v>0</v>
      </c>
      <c r="R2170" s="2">
        <v>0</v>
      </c>
      <c r="S2170" s="2" t="s">
        <v>488</v>
      </c>
      <c r="T2170" s="2" t="s">
        <v>488</v>
      </c>
      <c r="U2170" s="2" t="s">
        <v>488</v>
      </c>
      <c r="V2170" s="2" t="s">
        <v>488</v>
      </c>
      <c r="W2170">
        <f t="shared" si="35"/>
        <v>4</v>
      </c>
    </row>
    <row r="2171" spans="1:23" x14ac:dyDescent="0.25">
      <c r="A2171" s="2" t="s">
        <v>1380</v>
      </c>
      <c r="B2171" s="2" t="s">
        <v>920</v>
      </c>
      <c r="C2171" s="2">
        <v>540056</v>
      </c>
      <c r="D2171" s="2" t="s">
        <v>683</v>
      </c>
      <c r="E2171" s="2" t="s">
        <v>33</v>
      </c>
      <c r="F2171" s="2" t="s">
        <v>115</v>
      </c>
      <c r="G2171" s="2">
        <v>6</v>
      </c>
      <c r="H2171" s="2">
        <v>0</v>
      </c>
      <c r="I2171" s="2">
        <v>11</v>
      </c>
      <c r="J2171" s="2">
        <v>1</v>
      </c>
      <c r="K2171" s="2">
        <v>0</v>
      </c>
      <c r="L2171" s="2">
        <v>0</v>
      </c>
      <c r="M2171" s="2">
        <v>12</v>
      </c>
      <c r="N2171" s="2">
        <v>12</v>
      </c>
      <c r="O2171" s="2">
        <v>0</v>
      </c>
      <c r="P2171" s="2">
        <v>0</v>
      </c>
      <c r="Q2171" s="2">
        <v>0</v>
      </c>
      <c r="R2171" s="2">
        <v>0</v>
      </c>
      <c r="S2171" s="2" t="s">
        <v>488</v>
      </c>
      <c r="T2171" s="2" t="s">
        <v>488</v>
      </c>
      <c r="U2171" s="2" t="s">
        <v>488</v>
      </c>
      <c r="V2171" s="2" t="s">
        <v>488</v>
      </c>
      <c r="W2171">
        <f t="shared" si="35"/>
        <v>12</v>
      </c>
    </row>
    <row r="2172" spans="1:23" x14ac:dyDescent="0.25">
      <c r="A2172" s="2" t="s">
        <v>1380</v>
      </c>
      <c r="B2172" s="2" t="s">
        <v>920</v>
      </c>
      <c r="C2172" s="2">
        <v>540057</v>
      </c>
      <c r="D2172" s="2" t="s">
        <v>684</v>
      </c>
      <c r="E2172" s="2" t="s">
        <v>33</v>
      </c>
      <c r="F2172" s="2" t="s">
        <v>115</v>
      </c>
      <c r="G2172" s="2">
        <v>6</v>
      </c>
      <c r="H2172" s="2">
        <v>0</v>
      </c>
      <c r="I2172" s="2">
        <v>2</v>
      </c>
      <c r="J2172" s="2">
        <v>0</v>
      </c>
      <c r="K2172" s="2">
        <v>0</v>
      </c>
      <c r="L2172" s="2">
        <v>0</v>
      </c>
      <c r="M2172" s="2">
        <v>2</v>
      </c>
      <c r="N2172" s="2">
        <v>2</v>
      </c>
      <c r="O2172" s="2">
        <v>0</v>
      </c>
      <c r="P2172" s="2">
        <v>0</v>
      </c>
      <c r="Q2172" s="2">
        <v>0</v>
      </c>
      <c r="R2172" s="2">
        <v>0</v>
      </c>
      <c r="S2172" s="2" t="s">
        <v>488</v>
      </c>
      <c r="T2172" s="2" t="s">
        <v>488</v>
      </c>
      <c r="U2172" s="2" t="s">
        <v>488</v>
      </c>
      <c r="V2172" s="2" t="s">
        <v>488</v>
      </c>
      <c r="W2172">
        <f t="shared" si="35"/>
        <v>2</v>
      </c>
    </row>
    <row r="2173" spans="1:23" x14ac:dyDescent="0.25">
      <c r="A2173" s="2" t="s">
        <v>1380</v>
      </c>
      <c r="B2173" s="2" t="s">
        <v>920</v>
      </c>
      <c r="C2173" s="2">
        <v>540058</v>
      </c>
      <c r="D2173" s="2" t="s">
        <v>685</v>
      </c>
      <c r="E2173" s="2" t="s">
        <v>33</v>
      </c>
      <c r="F2173" s="2" t="s">
        <v>115</v>
      </c>
      <c r="G2173" s="2">
        <v>6</v>
      </c>
      <c r="H2173" s="2">
        <v>0</v>
      </c>
      <c r="I2173" s="2">
        <v>0</v>
      </c>
      <c r="J2173" s="2">
        <v>0</v>
      </c>
      <c r="K2173" s="2">
        <v>0</v>
      </c>
      <c r="L2173" s="2">
        <v>0</v>
      </c>
      <c r="M2173" s="2">
        <v>0</v>
      </c>
      <c r="N2173" s="2">
        <v>0</v>
      </c>
      <c r="O2173" s="2">
        <v>0</v>
      </c>
      <c r="P2173" s="2">
        <v>0</v>
      </c>
      <c r="Q2173" s="2">
        <v>0</v>
      </c>
      <c r="R2173" s="2">
        <v>0</v>
      </c>
      <c r="S2173" s="2" t="s">
        <v>488</v>
      </c>
      <c r="T2173" s="2" t="s">
        <v>488</v>
      </c>
      <c r="U2173" s="2" t="s">
        <v>488</v>
      </c>
      <c r="V2173" s="2" t="s">
        <v>488</v>
      </c>
      <c r="W2173">
        <f t="shared" si="35"/>
        <v>0</v>
      </c>
    </row>
    <row r="2174" spans="1:23" x14ac:dyDescent="0.25">
      <c r="A2174" s="2" t="s">
        <v>1380</v>
      </c>
      <c r="B2174" s="2" t="s">
        <v>920</v>
      </c>
      <c r="C2174" s="2">
        <v>540059</v>
      </c>
      <c r="D2174" s="2" t="s">
        <v>686</v>
      </c>
      <c r="E2174" s="2" t="s">
        <v>33</v>
      </c>
      <c r="F2174" s="2" t="s">
        <v>115</v>
      </c>
      <c r="G2174" s="2">
        <v>6</v>
      </c>
      <c r="H2174" s="2">
        <v>0</v>
      </c>
      <c r="I2174" s="2">
        <v>0</v>
      </c>
      <c r="J2174" s="2">
        <v>0</v>
      </c>
      <c r="K2174" s="2">
        <v>0</v>
      </c>
      <c r="L2174" s="2">
        <v>0</v>
      </c>
      <c r="M2174" s="2">
        <v>0</v>
      </c>
      <c r="N2174" s="2">
        <v>0</v>
      </c>
      <c r="O2174" s="2">
        <v>0</v>
      </c>
      <c r="P2174" s="2">
        <v>0</v>
      </c>
      <c r="Q2174" s="2">
        <v>0</v>
      </c>
      <c r="R2174" s="2">
        <v>0</v>
      </c>
      <c r="S2174" s="2" t="s">
        <v>488</v>
      </c>
      <c r="T2174" s="2" t="s">
        <v>488</v>
      </c>
      <c r="U2174" s="2" t="s">
        <v>488</v>
      </c>
      <c r="V2174" s="2" t="s">
        <v>488</v>
      </c>
      <c r="W2174">
        <f t="shared" si="35"/>
        <v>0</v>
      </c>
    </row>
    <row r="2175" spans="1:23" x14ac:dyDescent="0.25">
      <c r="A2175" s="2" t="s">
        <v>1380</v>
      </c>
      <c r="B2175" s="2" t="s">
        <v>920</v>
      </c>
      <c r="C2175" s="2">
        <v>540060</v>
      </c>
      <c r="D2175" s="2" t="s">
        <v>687</v>
      </c>
      <c r="E2175" s="2" t="s">
        <v>33</v>
      </c>
      <c r="F2175" s="2" t="s">
        <v>115</v>
      </c>
      <c r="G2175" s="2">
        <v>6</v>
      </c>
      <c r="H2175" s="2">
        <v>0</v>
      </c>
      <c r="I2175" s="2">
        <v>23</v>
      </c>
      <c r="J2175" s="2">
        <v>1</v>
      </c>
      <c r="K2175" s="2">
        <v>0</v>
      </c>
      <c r="L2175" s="2">
        <v>0</v>
      </c>
      <c r="M2175" s="2">
        <v>24</v>
      </c>
      <c r="N2175" s="2">
        <v>24</v>
      </c>
      <c r="O2175" s="2">
        <v>0</v>
      </c>
      <c r="P2175" s="2">
        <v>0</v>
      </c>
      <c r="Q2175" s="2">
        <v>0</v>
      </c>
      <c r="R2175" s="2">
        <v>0</v>
      </c>
      <c r="S2175" s="2" t="s">
        <v>488</v>
      </c>
      <c r="T2175" s="2" t="s">
        <v>488</v>
      </c>
      <c r="U2175" s="2" t="s">
        <v>488</v>
      </c>
      <c r="V2175" s="2" t="s">
        <v>488</v>
      </c>
      <c r="W2175">
        <f t="shared" si="35"/>
        <v>24</v>
      </c>
    </row>
    <row r="2176" spans="1:23" x14ac:dyDescent="0.25">
      <c r="A2176" s="2" t="s">
        <v>1380</v>
      </c>
      <c r="B2176" s="2" t="s">
        <v>920</v>
      </c>
      <c r="C2176" s="2">
        <v>540061</v>
      </c>
      <c r="D2176" s="2" t="s">
        <v>688</v>
      </c>
      <c r="E2176" s="2" t="s">
        <v>33</v>
      </c>
      <c r="F2176" s="2" t="s">
        <v>115</v>
      </c>
      <c r="G2176" s="2">
        <v>6</v>
      </c>
      <c r="H2176" s="2">
        <v>0</v>
      </c>
      <c r="I2176" s="2">
        <v>0</v>
      </c>
      <c r="J2176" s="2">
        <v>0</v>
      </c>
      <c r="K2176" s="2">
        <v>0</v>
      </c>
      <c r="L2176" s="2">
        <v>0</v>
      </c>
      <c r="M2176" s="2">
        <v>0</v>
      </c>
      <c r="N2176" s="2">
        <v>0</v>
      </c>
      <c r="O2176" s="2">
        <v>0</v>
      </c>
      <c r="P2176" s="2">
        <v>0</v>
      </c>
      <c r="Q2176" s="2">
        <v>0</v>
      </c>
      <c r="R2176" s="2">
        <v>0</v>
      </c>
      <c r="S2176" s="2" t="s">
        <v>488</v>
      </c>
      <c r="T2176" s="2" t="s">
        <v>488</v>
      </c>
      <c r="U2176" s="2" t="s">
        <v>488</v>
      </c>
      <c r="V2176" s="2" t="s">
        <v>488</v>
      </c>
      <c r="W2176">
        <f t="shared" si="35"/>
        <v>0</v>
      </c>
    </row>
    <row r="2177" spans="1:23" x14ac:dyDescent="0.25">
      <c r="A2177" s="2" t="s">
        <v>1380</v>
      </c>
      <c r="B2177" s="2" t="s">
        <v>920</v>
      </c>
      <c r="C2177" s="2">
        <v>540062</v>
      </c>
      <c r="D2177" s="2" t="s">
        <v>689</v>
      </c>
      <c r="E2177" s="2" t="s">
        <v>33</v>
      </c>
      <c r="F2177" s="2" t="s">
        <v>115</v>
      </c>
      <c r="G2177" s="2">
        <v>6</v>
      </c>
      <c r="H2177" s="2">
        <v>0</v>
      </c>
      <c r="I2177" s="2">
        <v>0</v>
      </c>
      <c r="J2177" s="2">
        <v>0</v>
      </c>
      <c r="K2177" s="2">
        <v>0</v>
      </c>
      <c r="L2177" s="2">
        <v>0</v>
      </c>
      <c r="M2177" s="2">
        <v>0</v>
      </c>
      <c r="N2177" s="2">
        <v>0</v>
      </c>
      <c r="O2177" s="2">
        <v>0</v>
      </c>
      <c r="P2177" s="2">
        <v>0</v>
      </c>
      <c r="Q2177" s="2">
        <v>0</v>
      </c>
      <c r="R2177" s="2">
        <v>0</v>
      </c>
      <c r="S2177" s="2" t="s">
        <v>488</v>
      </c>
      <c r="T2177" s="2" t="s">
        <v>488</v>
      </c>
      <c r="U2177" s="2" t="s">
        <v>488</v>
      </c>
      <c r="V2177" s="2" t="s">
        <v>488</v>
      </c>
      <c r="W2177">
        <f t="shared" si="35"/>
        <v>0</v>
      </c>
    </row>
    <row r="2178" spans="1:23" x14ac:dyDescent="0.25">
      <c r="A2178" s="2" t="s">
        <v>1380</v>
      </c>
      <c r="B2178" s="2" t="s">
        <v>920</v>
      </c>
      <c r="C2178" s="2">
        <v>540242</v>
      </c>
      <c r="D2178" s="2" t="s">
        <v>690</v>
      </c>
      <c r="E2178" s="2" t="s">
        <v>33</v>
      </c>
      <c r="F2178" s="2" t="s">
        <v>115</v>
      </c>
      <c r="G2178" s="2">
        <v>6</v>
      </c>
      <c r="H2178" s="2">
        <v>14</v>
      </c>
      <c r="I2178" s="2">
        <v>0</v>
      </c>
      <c r="J2178" s="2">
        <v>0</v>
      </c>
      <c r="K2178" s="2">
        <v>0</v>
      </c>
      <c r="L2178" s="2">
        <v>0</v>
      </c>
      <c r="M2178" s="2">
        <v>0</v>
      </c>
      <c r="N2178" s="2">
        <v>14</v>
      </c>
      <c r="O2178" s="2">
        <v>0</v>
      </c>
      <c r="P2178" s="2">
        <v>0</v>
      </c>
      <c r="Q2178" s="2">
        <v>0</v>
      </c>
      <c r="R2178" s="2">
        <v>5</v>
      </c>
      <c r="S2178" s="2" t="s">
        <v>488</v>
      </c>
      <c r="T2178" s="2" t="s">
        <v>488</v>
      </c>
      <c r="U2178" s="2" t="s">
        <v>488</v>
      </c>
      <c r="V2178" s="2" t="s">
        <v>488</v>
      </c>
      <c r="W2178">
        <f>SUM(N2178,P2178,R2178,T2178)</f>
        <v>19</v>
      </c>
    </row>
    <row r="2179" spans="1:23" x14ac:dyDescent="0.25">
      <c r="A2179" s="255" t="s">
        <v>1380</v>
      </c>
      <c r="B2179" s="255" t="s">
        <v>920</v>
      </c>
      <c r="C2179" s="255"/>
      <c r="D2179" s="255"/>
      <c r="E2179" s="255" t="s">
        <v>33</v>
      </c>
      <c r="F2179" s="255"/>
      <c r="G2179" s="255"/>
      <c r="H2179" s="255">
        <v>14</v>
      </c>
      <c r="I2179" s="255">
        <v>38</v>
      </c>
      <c r="J2179" s="255">
        <v>6</v>
      </c>
      <c r="K2179" s="255">
        <v>0</v>
      </c>
      <c r="L2179" s="255">
        <v>0</v>
      </c>
      <c r="M2179" s="255">
        <v>44</v>
      </c>
      <c r="N2179" s="255">
        <v>58</v>
      </c>
      <c r="O2179" s="255">
        <v>0</v>
      </c>
      <c r="P2179" s="255">
        <v>0</v>
      </c>
      <c r="Q2179" s="255">
        <v>0</v>
      </c>
      <c r="R2179" s="255">
        <v>5</v>
      </c>
      <c r="S2179" s="255" t="s">
        <v>488</v>
      </c>
      <c r="T2179" s="255" t="s">
        <v>488</v>
      </c>
      <c r="U2179" s="255" t="s">
        <v>488</v>
      </c>
      <c r="V2179" s="255" t="s">
        <v>488</v>
      </c>
      <c r="W2179">
        <f t="shared" ref="W2179:W2242" si="36">SUM(N2179,P2179,R2179,T2179)</f>
        <v>63</v>
      </c>
    </row>
    <row r="2180" spans="1:23" x14ac:dyDescent="0.25">
      <c r="A2180" s="2" t="s">
        <v>1380</v>
      </c>
      <c r="B2180" s="2" t="s">
        <v>920</v>
      </c>
      <c r="C2180" s="2">
        <v>540063</v>
      </c>
      <c r="D2180" s="2" t="s">
        <v>691</v>
      </c>
      <c r="E2180" s="2" t="s">
        <v>35</v>
      </c>
      <c r="F2180" s="2" t="s">
        <v>5</v>
      </c>
      <c r="G2180" s="2">
        <v>5</v>
      </c>
      <c r="H2180" s="2">
        <v>2</v>
      </c>
      <c r="I2180" s="2">
        <v>2</v>
      </c>
      <c r="J2180" s="2">
        <v>0</v>
      </c>
      <c r="K2180" s="2">
        <v>0</v>
      </c>
      <c r="L2180" s="2">
        <v>0</v>
      </c>
      <c r="M2180" s="2">
        <v>2</v>
      </c>
      <c r="N2180" s="2">
        <v>4</v>
      </c>
      <c r="O2180" s="2">
        <v>0</v>
      </c>
      <c r="P2180" s="2">
        <v>0</v>
      </c>
      <c r="Q2180" s="2" t="s">
        <v>488</v>
      </c>
      <c r="R2180" s="2" t="s">
        <v>488</v>
      </c>
      <c r="S2180" s="2" t="s">
        <v>488</v>
      </c>
      <c r="T2180" s="2" t="s">
        <v>488</v>
      </c>
      <c r="U2180" s="2" t="s">
        <v>488</v>
      </c>
      <c r="V2180" s="2" t="s">
        <v>488</v>
      </c>
      <c r="W2180">
        <f t="shared" si="36"/>
        <v>4</v>
      </c>
    </row>
    <row r="2181" spans="1:23" x14ac:dyDescent="0.25">
      <c r="A2181" s="2" t="s">
        <v>1380</v>
      </c>
      <c r="B2181" s="2" t="s">
        <v>920</v>
      </c>
      <c r="C2181" s="2">
        <v>540064</v>
      </c>
      <c r="D2181" s="2" t="s">
        <v>692</v>
      </c>
      <c r="E2181" s="2" t="s">
        <v>35</v>
      </c>
      <c r="F2181" s="2" t="s">
        <v>115</v>
      </c>
      <c r="G2181" s="2">
        <v>5</v>
      </c>
      <c r="H2181" s="2">
        <v>0</v>
      </c>
      <c r="I2181" s="2">
        <v>0</v>
      </c>
      <c r="J2181" s="2">
        <v>0</v>
      </c>
      <c r="K2181" s="2">
        <v>0</v>
      </c>
      <c r="L2181" s="2">
        <v>0</v>
      </c>
      <c r="M2181" s="2">
        <v>0</v>
      </c>
      <c r="N2181" s="2">
        <v>0</v>
      </c>
      <c r="O2181" s="2">
        <v>0</v>
      </c>
      <c r="P2181" s="2">
        <v>0</v>
      </c>
      <c r="Q2181" s="2" t="s">
        <v>488</v>
      </c>
      <c r="R2181" s="2" t="s">
        <v>488</v>
      </c>
      <c r="S2181" s="2" t="s">
        <v>488</v>
      </c>
      <c r="T2181" s="2" t="s">
        <v>488</v>
      </c>
      <c r="U2181" s="2" t="s">
        <v>488</v>
      </c>
      <c r="V2181" s="2" t="s">
        <v>488</v>
      </c>
      <c r="W2181">
        <f t="shared" si="36"/>
        <v>0</v>
      </c>
    </row>
    <row r="2182" spans="1:23" x14ac:dyDescent="0.25">
      <c r="A2182" s="2" t="s">
        <v>1380</v>
      </c>
      <c r="B2182" s="2" t="s">
        <v>920</v>
      </c>
      <c r="C2182" s="2">
        <v>540241</v>
      </c>
      <c r="D2182" s="2" t="s">
        <v>693</v>
      </c>
      <c r="E2182" s="2" t="s">
        <v>35</v>
      </c>
      <c r="F2182" s="2" t="s">
        <v>115</v>
      </c>
      <c r="G2182" s="2">
        <v>5</v>
      </c>
      <c r="H2182" s="2">
        <v>0</v>
      </c>
      <c r="I2182" s="2">
        <v>24</v>
      </c>
      <c r="J2182" s="2">
        <v>0</v>
      </c>
      <c r="K2182" s="2">
        <v>0</v>
      </c>
      <c r="L2182" s="2">
        <v>0</v>
      </c>
      <c r="M2182" s="2">
        <v>24</v>
      </c>
      <c r="N2182" s="2">
        <v>24</v>
      </c>
      <c r="O2182" s="2">
        <v>0</v>
      </c>
      <c r="P2182" s="2">
        <v>0</v>
      </c>
      <c r="Q2182" s="2" t="s">
        <v>488</v>
      </c>
      <c r="R2182" s="2" t="s">
        <v>488</v>
      </c>
      <c r="S2182" s="2" t="s">
        <v>488</v>
      </c>
      <c r="T2182" s="2" t="s">
        <v>488</v>
      </c>
      <c r="U2182" s="2" t="s">
        <v>488</v>
      </c>
      <c r="V2182" s="2" t="s">
        <v>488</v>
      </c>
      <c r="W2182">
        <f t="shared" si="36"/>
        <v>24</v>
      </c>
    </row>
    <row r="2183" spans="1:23" x14ac:dyDescent="0.25">
      <c r="A2183" s="255" t="s">
        <v>1380</v>
      </c>
      <c r="B2183" s="255" t="s">
        <v>920</v>
      </c>
      <c r="C2183" s="255"/>
      <c r="D2183" s="255"/>
      <c r="E2183" s="255" t="s">
        <v>35</v>
      </c>
      <c r="F2183" s="255"/>
      <c r="G2183" s="255"/>
      <c r="H2183" s="255">
        <v>2</v>
      </c>
      <c r="I2183" s="255">
        <v>26</v>
      </c>
      <c r="J2183" s="255">
        <v>0</v>
      </c>
      <c r="K2183" s="255">
        <v>0</v>
      </c>
      <c r="L2183" s="255">
        <v>0</v>
      </c>
      <c r="M2183" s="255">
        <v>26</v>
      </c>
      <c r="N2183" s="255">
        <v>28</v>
      </c>
      <c r="O2183" s="255">
        <v>0</v>
      </c>
      <c r="P2183" s="255">
        <v>0</v>
      </c>
      <c r="Q2183" s="255" t="s">
        <v>488</v>
      </c>
      <c r="R2183" s="255" t="s">
        <v>488</v>
      </c>
      <c r="S2183" s="255" t="s">
        <v>488</v>
      </c>
      <c r="T2183" s="255" t="s">
        <v>488</v>
      </c>
      <c r="U2183" s="255" t="s">
        <v>488</v>
      </c>
      <c r="V2183" s="255" t="s">
        <v>488</v>
      </c>
      <c r="W2183">
        <f t="shared" si="36"/>
        <v>28</v>
      </c>
    </row>
    <row r="2184" spans="1:23" x14ac:dyDescent="0.25">
      <c r="A2184" s="2" t="s">
        <v>1380</v>
      </c>
      <c r="B2184" s="2" t="s">
        <v>920</v>
      </c>
      <c r="C2184" s="2">
        <v>540065</v>
      </c>
      <c r="D2184" s="2" t="s">
        <v>694</v>
      </c>
      <c r="E2184" s="2" t="s">
        <v>37</v>
      </c>
      <c r="F2184" s="2" t="s">
        <v>5</v>
      </c>
      <c r="G2184" s="2">
        <v>9</v>
      </c>
      <c r="H2184" s="2">
        <v>12</v>
      </c>
      <c r="I2184" s="2">
        <v>7</v>
      </c>
      <c r="J2184" s="2">
        <v>3</v>
      </c>
      <c r="K2184" s="2">
        <v>0</v>
      </c>
      <c r="L2184" s="2">
        <v>0</v>
      </c>
      <c r="M2184" s="2">
        <v>10</v>
      </c>
      <c r="N2184" s="2">
        <v>22</v>
      </c>
      <c r="O2184" s="2">
        <v>0</v>
      </c>
      <c r="P2184" s="2">
        <v>0</v>
      </c>
      <c r="Q2184" s="2">
        <v>10</v>
      </c>
      <c r="R2184" s="2">
        <v>3</v>
      </c>
      <c r="S2184" s="2">
        <v>7</v>
      </c>
      <c r="T2184" s="2">
        <v>3</v>
      </c>
      <c r="U2184" s="2" t="s">
        <v>488</v>
      </c>
      <c r="V2184" s="2" t="s">
        <v>488</v>
      </c>
      <c r="W2184">
        <f>SUM(N2184,P2184,R2184,T2184)</f>
        <v>28</v>
      </c>
    </row>
    <row r="2185" spans="1:23" x14ac:dyDescent="0.25">
      <c r="A2185" s="2" t="s">
        <v>1380</v>
      </c>
      <c r="B2185" s="2" t="s">
        <v>920</v>
      </c>
      <c r="C2185" s="2">
        <v>540030</v>
      </c>
      <c r="D2185" s="2" t="s">
        <v>695</v>
      </c>
      <c r="E2185" s="2" t="s">
        <v>37</v>
      </c>
      <c r="F2185" s="2" t="s">
        <v>115</v>
      </c>
      <c r="G2185" s="2">
        <v>9</v>
      </c>
      <c r="H2185" s="2">
        <v>0</v>
      </c>
      <c r="I2185" s="2">
        <v>0</v>
      </c>
      <c r="J2185" s="2">
        <v>0</v>
      </c>
      <c r="K2185" s="2">
        <v>0</v>
      </c>
      <c r="L2185" s="2">
        <v>0</v>
      </c>
      <c r="M2185" s="2">
        <v>0</v>
      </c>
      <c r="N2185" s="2">
        <v>0</v>
      </c>
      <c r="O2185" s="2">
        <v>0</v>
      </c>
      <c r="P2185" s="2">
        <v>0</v>
      </c>
      <c r="Q2185" s="2">
        <v>0</v>
      </c>
      <c r="R2185" s="2">
        <v>3</v>
      </c>
      <c r="S2185" s="2">
        <v>0</v>
      </c>
      <c r="T2185" s="2">
        <v>0</v>
      </c>
      <c r="U2185" s="2" t="s">
        <v>488</v>
      </c>
      <c r="V2185" s="2" t="s">
        <v>488</v>
      </c>
      <c r="W2185">
        <f t="shared" si="36"/>
        <v>3</v>
      </c>
    </row>
    <row r="2186" spans="1:23" x14ac:dyDescent="0.25">
      <c r="A2186" s="2" t="s">
        <v>1380</v>
      </c>
      <c r="B2186" s="2" t="s">
        <v>920</v>
      </c>
      <c r="C2186" s="2">
        <v>540066</v>
      </c>
      <c r="D2186" s="2" t="s">
        <v>696</v>
      </c>
      <c r="E2186" s="2" t="s">
        <v>37</v>
      </c>
      <c r="F2186" s="2" t="s">
        <v>115</v>
      </c>
      <c r="G2186" s="2">
        <v>9</v>
      </c>
      <c r="H2186" s="2">
        <v>0</v>
      </c>
      <c r="I2186" s="2">
        <v>10</v>
      </c>
      <c r="J2186" s="2">
        <v>3</v>
      </c>
      <c r="K2186" s="2">
        <v>0</v>
      </c>
      <c r="L2186" s="2">
        <v>0</v>
      </c>
      <c r="M2186" s="2">
        <v>13</v>
      </c>
      <c r="N2186" s="2">
        <v>13</v>
      </c>
      <c r="O2186" s="2">
        <v>0</v>
      </c>
      <c r="P2186" s="2">
        <v>0</v>
      </c>
      <c r="Q2186" s="2">
        <v>0</v>
      </c>
      <c r="R2186" s="2">
        <v>0</v>
      </c>
      <c r="S2186" s="2">
        <v>5</v>
      </c>
      <c r="T2186" s="2">
        <v>4</v>
      </c>
      <c r="U2186" s="2" t="s">
        <v>488</v>
      </c>
      <c r="V2186" s="2" t="s">
        <v>488</v>
      </c>
      <c r="W2186">
        <f t="shared" si="36"/>
        <v>17</v>
      </c>
    </row>
    <row r="2187" spans="1:23" x14ac:dyDescent="0.25">
      <c r="A2187" s="2" t="s">
        <v>1380</v>
      </c>
      <c r="B2187" s="2" t="s">
        <v>920</v>
      </c>
      <c r="C2187" s="2">
        <v>540067</v>
      </c>
      <c r="D2187" s="2" t="s">
        <v>697</v>
      </c>
      <c r="E2187" s="2" t="s">
        <v>37</v>
      </c>
      <c r="F2187" s="2" t="s">
        <v>115</v>
      </c>
      <c r="G2187" s="2">
        <v>9</v>
      </c>
      <c r="H2187" s="2">
        <v>1</v>
      </c>
      <c r="I2187" s="2">
        <v>0</v>
      </c>
      <c r="J2187" s="2">
        <v>0</v>
      </c>
      <c r="K2187" s="2">
        <v>0</v>
      </c>
      <c r="L2187" s="2">
        <v>0</v>
      </c>
      <c r="M2187" s="2">
        <v>0</v>
      </c>
      <c r="N2187" s="2">
        <v>1</v>
      </c>
      <c r="O2187" s="2">
        <v>0</v>
      </c>
      <c r="P2187" s="2">
        <v>0</v>
      </c>
      <c r="Q2187" s="2">
        <v>0</v>
      </c>
      <c r="R2187" s="2">
        <v>30</v>
      </c>
      <c r="S2187" s="2">
        <v>0</v>
      </c>
      <c r="T2187" s="2">
        <v>0</v>
      </c>
      <c r="U2187" s="2" t="s">
        <v>488</v>
      </c>
      <c r="V2187" s="2" t="s">
        <v>488</v>
      </c>
      <c r="W2187">
        <f t="shared" si="36"/>
        <v>31</v>
      </c>
    </row>
    <row r="2188" spans="1:23" x14ac:dyDescent="0.25">
      <c r="A2188" s="2" t="s">
        <v>1380</v>
      </c>
      <c r="B2188" s="2" t="s">
        <v>920</v>
      </c>
      <c r="C2188" s="2">
        <v>540068</v>
      </c>
      <c r="D2188" s="2" t="s">
        <v>698</v>
      </c>
      <c r="E2188" s="2" t="s">
        <v>37</v>
      </c>
      <c r="F2188" s="2" t="s">
        <v>115</v>
      </c>
      <c r="G2188" s="2">
        <v>9</v>
      </c>
      <c r="H2188" s="2">
        <v>0</v>
      </c>
      <c r="I2188" s="2">
        <v>0</v>
      </c>
      <c r="J2188" s="2">
        <v>0</v>
      </c>
      <c r="K2188" s="2">
        <v>0</v>
      </c>
      <c r="L2188" s="2">
        <v>0</v>
      </c>
      <c r="M2188" s="2">
        <v>0</v>
      </c>
      <c r="N2188" s="2">
        <v>0</v>
      </c>
      <c r="O2188" s="2">
        <v>0</v>
      </c>
      <c r="P2188" s="2">
        <v>0</v>
      </c>
      <c r="Q2188" s="2">
        <v>0</v>
      </c>
      <c r="R2188" s="2">
        <v>0</v>
      </c>
      <c r="S2188" s="2">
        <v>0</v>
      </c>
      <c r="T2188" s="2">
        <v>0</v>
      </c>
      <c r="U2188" s="2" t="s">
        <v>488</v>
      </c>
      <c r="V2188" s="2" t="s">
        <v>488</v>
      </c>
      <c r="W2188">
        <f t="shared" si="36"/>
        <v>0</v>
      </c>
    </row>
    <row r="2189" spans="1:23" x14ac:dyDescent="0.25">
      <c r="A2189" s="2" t="s">
        <v>1380</v>
      </c>
      <c r="B2189" s="2" t="s">
        <v>920</v>
      </c>
      <c r="C2189" s="2">
        <v>540069</v>
      </c>
      <c r="D2189" s="2" t="s">
        <v>699</v>
      </c>
      <c r="E2189" s="2" t="s">
        <v>37</v>
      </c>
      <c r="F2189" s="2" t="s">
        <v>115</v>
      </c>
      <c r="G2189" s="2">
        <v>9</v>
      </c>
      <c r="H2189" s="2">
        <v>0</v>
      </c>
      <c r="I2189" s="2">
        <v>5</v>
      </c>
      <c r="J2189" s="2">
        <v>0</v>
      </c>
      <c r="K2189" s="2">
        <v>60</v>
      </c>
      <c r="L2189" s="2">
        <v>0</v>
      </c>
      <c r="M2189" s="2">
        <v>65</v>
      </c>
      <c r="N2189" s="2">
        <v>65</v>
      </c>
      <c r="O2189" s="2">
        <v>0</v>
      </c>
      <c r="P2189" s="2">
        <v>0</v>
      </c>
      <c r="Q2189" s="2">
        <v>0</v>
      </c>
      <c r="R2189" s="2">
        <v>0</v>
      </c>
      <c r="S2189" s="2">
        <v>3</v>
      </c>
      <c r="T2189" s="2">
        <v>0</v>
      </c>
      <c r="U2189" s="2" t="s">
        <v>488</v>
      </c>
      <c r="V2189" s="2" t="s">
        <v>488</v>
      </c>
      <c r="W2189">
        <f t="shared" si="36"/>
        <v>65</v>
      </c>
    </row>
    <row r="2190" spans="1:23" x14ac:dyDescent="0.25">
      <c r="A2190" s="255" t="s">
        <v>1380</v>
      </c>
      <c r="B2190" s="255" t="s">
        <v>920</v>
      </c>
      <c r="C2190" s="255"/>
      <c r="D2190" s="255"/>
      <c r="E2190" s="255" t="s">
        <v>37</v>
      </c>
      <c r="F2190" s="255"/>
      <c r="G2190" s="255"/>
      <c r="H2190" s="255">
        <v>13</v>
      </c>
      <c r="I2190" s="255">
        <v>22</v>
      </c>
      <c r="J2190" s="255">
        <v>6</v>
      </c>
      <c r="K2190" s="255">
        <v>60</v>
      </c>
      <c r="L2190" s="255">
        <v>0</v>
      </c>
      <c r="M2190" s="255">
        <v>88</v>
      </c>
      <c r="N2190" s="255">
        <v>101</v>
      </c>
      <c r="O2190" s="255">
        <v>0</v>
      </c>
      <c r="P2190" s="255">
        <v>0</v>
      </c>
      <c r="Q2190" s="255">
        <v>10</v>
      </c>
      <c r="R2190" s="255">
        <v>36</v>
      </c>
      <c r="S2190" s="255">
        <v>15</v>
      </c>
      <c r="T2190" s="255">
        <v>7</v>
      </c>
      <c r="U2190" s="255" t="s">
        <v>488</v>
      </c>
      <c r="V2190" s="255" t="s">
        <v>488</v>
      </c>
      <c r="W2190">
        <f t="shared" si="36"/>
        <v>144</v>
      </c>
    </row>
    <row r="2191" spans="1:23" x14ac:dyDescent="0.25">
      <c r="A2191" s="2" t="s">
        <v>1380</v>
      </c>
      <c r="B2191" s="2" t="s">
        <v>920</v>
      </c>
      <c r="C2191" s="2">
        <v>540070</v>
      </c>
      <c r="D2191" s="2" t="s">
        <v>700</v>
      </c>
      <c r="E2191" s="2" t="s">
        <v>39</v>
      </c>
      <c r="F2191" s="2" t="s">
        <v>5</v>
      </c>
      <c r="G2191" s="2">
        <v>3</v>
      </c>
      <c r="H2191" s="2">
        <v>0</v>
      </c>
      <c r="I2191" s="2">
        <v>0</v>
      </c>
      <c r="J2191" s="2">
        <v>1</v>
      </c>
      <c r="K2191" s="2">
        <v>0</v>
      </c>
      <c r="L2191" s="2">
        <v>0</v>
      </c>
      <c r="M2191" s="2">
        <v>1</v>
      </c>
      <c r="N2191" s="2">
        <v>1</v>
      </c>
      <c r="O2191" s="2">
        <v>0</v>
      </c>
      <c r="P2191" s="2">
        <v>0</v>
      </c>
      <c r="Q2191" s="2">
        <v>0</v>
      </c>
      <c r="R2191" s="2">
        <v>0</v>
      </c>
      <c r="S2191" s="2" t="s">
        <v>488</v>
      </c>
      <c r="T2191" s="2" t="s">
        <v>488</v>
      </c>
      <c r="U2191" s="2" t="s">
        <v>488</v>
      </c>
      <c r="V2191" s="2" t="s">
        <v>488</v>
      </c>
      <c r="W2191">
        <f t="shared" si="36"/>
        <v>1</v>
      </c>
    </row>
    <row r="2192" spans="1:23" x14ac:dyDescent="0.25">
      <c r="A2192" s="2" t="s">
        <v>1380</v>
      </c>
      <c r="B2192" s="2" t="s">
        <v>920</v>
      </c>
      <c r="C2192" s="2">
        <v>540029</v>
      </c>
      <c r="D2192" s="2" t="s">
        <v>701</v>
      </c>
      <c r="E2192" s="2" t="s">
        <v>39</v>
      </c>
      <c r="F2192" s="2" t="s">
        <v>115</v>
      </c>
      <c r="G2192" s="2">
        <v>3</v>
      </c>
      <c r="H2192" s="2">
        <v>0</v>
      </c>
      <c r="I2192" s="2">
        <v>0</v>
      </c>
      <c r="J2192" s="2">
        <v>0</v>
      </c>
      <c r="K2192" s="2">
        <v>0</v>
      </c>
      <c r="L2192" s="2">
        <v>0</v>
      </c>
      <c r="M2192" s="2">
        <v>0</v>
      </c>
      <c r="N2192" s="2">
        <v>0</v>
      </c>
      <c r="O2192" s="2">
        <v>0</v>
      </c>
      <c r="P2192" s="2">
        <v>0</v>
      </c>
      <c r="Q2192" s="2">
        <v>0</v>
      </c>
      <c r="R2192" s="2">
        <v>0</v>
      </c>
      <c r="S2192" s="2" t="s">
        <v>488</v>
      </c>
      <c r="T2192" s="2" t="s">
        <v>488</v>
      </c>
      <c r="U2192" s="2" t="s">
        <v>488</v>
      </c>
      <c r="V2192" s="2" t="s">
        <v>488</v>
      </c>
      <c r="W2192">
        <f t="shared" si="36"/>
        <v>0</v>
      </c>
    </row>
    <row r="2193" spans="1:23" x14ac:dyDescent="0.25">
      <c r="A2193" s="2" t="s">
        <v>1380</v>
      </c>
      <c r="B2193" s="2" t="s">
        <v>920</v>
      </c>
      <c r="C2193" s="2">
        <v>540071</v>
      </c>
      <c r="D2193" s="2" t="s">
        <v>702</v>
      </c>
      <c r="E2193" s="2" t="s">
        <v>39</v>
      </c>
      <c r="F2193" s="2" t="s">
        <v>115</v>
      </c>
      <c r="G2193" s="2">
        <v>3</v>
      </c>
      <c r="H2193" s="2">
        <v>0</v>
      </c>
      <c r="I2193" s="2">
        <v>0</v>
      </c>
      <c r="J2193" s="2">
        <v>0</v>
      </c>
      <c r="K2193" s="2">
        <v>0</v>
      </c>
      <c r="L2193" s="2">
        <v>0</v>
      </c>
      <c r="M2193" s="2">
        <v>0</v>
      </c>
      <c r="N2193" s="2">
        <v>0</v>
      </c>
      <c r="O2193" s="2">
        <v>0</v>
      </c>
      <c r="P2193" s="2">
        <v>0</v>
      </c>
      <c r="Q2193" s="2">
        <v>0</v>
      </c>
      <c r="R2193" s="2">
        <v>0</v>
      </c>
      <c r="S2193" s="2" t="s">
        <v>488</v>
      </c>
      <c r="T2193" s="2" t="s">
        <v>488</v>
      </c>
      <c r="U2193" s="2" t="s">
        <v>488</v>
      </c>
      <c r="V2193" s="2" t="s">
        <v>488</v>
      </c>
      <c r="W2193">
        <f t="shared" si="36"/>
        <v>0</v>
      </c>
    </row>
    <row r="2194" spans="1:23" x14ac:dyDescent="0.25">
      <c r="A2194" s="2" t="s">
        <v>1380</v>
      </c>
      <c r="B2194" s="2" t="s">
        <v>920</v>
      </c>
      <c r="C2194" s="2">
        <v>540072</v>
      </c>
      <c r="D2194" s="2" t="s">
        <v>703</v>
      </c>
      <c r="E2194" s="2" t="s">
        <v>39</v>
      </c>
      <c r="F2194" s="2" t="s">
        <v>115</v>
      </c>
      <c r="G2194" s="2">
        <v>3</v>
      </c>
      <c r="H2194" s="2">
        <v>0</v>
      </c>
      <c r="I2194" s="2">
        <v>0</v>
      </c>
      <c r="J2194" s="2">
        <v>0</v>
      </c>
      <c r="K2194" s="2">
        <v>0</v>
      </c>
      <c r="L2194" s="2">
        <v>0</v>
      </c>
      <c r="M2194" s="2">
        <v>0</v>
      </c>
      <c r="N2194" s="2">
        <v>0</v>
      </c>
      <c r="O2194" s="2">
        <v>0</v>
      </c>
      <c r="P2194" s="2">
        <v>0</v>
      </c>
      <c r="Q2194" s="2">
        <v>0</v>
      </c>
      <c r="R2194" s="2">
        <v>0</v>
      </c>
      <c r="S2194" s="2" t="s">
        <v>488</v>
      </c>
      <c r="T2194" s="2" t="s">
        <v>488</v>
      </c>
      <c r="U2194" s="2" t="s">
        <v>488</v>
      </c>
      <c r="V2194" s="2" t="s">
        <v>488</v>
      </c>
      <c r="W2194">
        <f t="shared" si="36"/>
        <v>0</v>
      </c>
    </row>
    <row r="2195" spans="1:23" x14ac:dyDescent="0.25">
      <c r="A2195" s="2" t="s">
        <v>1380</v>
      </c>
      <c r="B2195" s="2" t="s">
        <v>920</v>
      </c>
      <c r="C2195" s="2">
        <v>540073</v>
      </c>
      <c r="D2195" s="2" t="s">
        <v>704</v>
      </c>
      <c r="E2195" s="2" t="s">
        <v>39</v>
      </c>
      <c r="F2195" s="2" t="s">
        <v>115</v>
      </c>
      <c r="G2195" s="2">
        <v>3</v>
      </c>
      <c r="H2195" s="2">
        <v>0</v>
      </c>
      <c r="I2195" s="2">
        <v>261</v>
      </c>
      <c r="J2195" s="2">
        <v>0</v>
      </c>
      <c r="K2195" s="2">
        <v>0</v>
      </c>
      <c r="L2195" s="2">
        <v>0</v>
      </c>
      <c r="M2195" s="2">
        <v>261</v>
      </c>
      <c r="N2195" s="2">
        <v>261</v>
      </c>
      <c r="O2195" s="2">
        <v>0</v>
      </c>
      <c r="P2195" s="2">
        <v>0</v>
      </c>
      <c r="Q2195" s="2">
        <v>0</v>
      </c>
      <c r="R2195" s="2">
        <v>0</v>
      </c>
      <c r="S2195" s="2" t="s">
        <v>488</v>
      </c>
      <c r="T2195" s="2" t="s">
        <v>488</v>
      </c>
      <c r="U2195" s="2" t="s">
        <v>488</v>
      </c>
      <c r="V2195" s="2" t="s">
        <v>488</v>
      </c>
      <c r="W2195">
        <f t="shared" si="36"/>
        <v>261</v>
      </c>
    </row>
    <row r="2196" spans="1:23" x14ac:dyDescent="0.25">
      <c r="A2196" s="2" t="s">
        <v>1380</v>
      </c>
      <c r="B2196" s="2" t="s">
        <v>920</v>
      </c>
      <c r="C2196" s="2">
        <v>540074</v>
      </c>
      <c r="D2196" s="2" t="s">
        <v>705</v>
      </c>
      <c r="E2196" s="2" t="s">
        <v>39</v>
      </c>
      <c r="F2196" s="2" t="s">
        <v>115</v>
      </c>
      <c r="G2196" s="2">
        <v>3</v>
      </c>
      <c r="H2196" s="2">
        <v>0</v>
      </c>
      <c r="I2196" s="2">
        <v>0</v>
      </c>
      <c r="J2196" s="2">
        <v>0</v>
      </c>
      <c r="K2196" s="2">
        <v>0</v>
      </c>
      <c r="L2196" s="2">
        <v>0</v>
      </c>
      <c r="M2196" s="2">
        <v>0</v>
      </c>
      <c r="N2196" s="2">
        <v>0</v>
      </c>
      <c r="O2196" s="2">
        <v>0</v>
      </c>
      <c r="P2196" s="2">
        <v>0</v>
      </c>
      <c r="Q2196" s="2">
        <v>0</v>
      </c>
      <c r="R2196" s="2">
        <v>0</v>
      </c>
      <c r="S2196" s="2" t="s">
        <v>488</v>
      </c>
      <c r="T2196" s="2" t="s">
        <v>488</v>
      </c>
      <c r="U2196" s="2" t="s">
        <v>488</v>
      </c>
      <c r="V2196" s="2" t="s">
        <v>488</v>
      </c>
      <c r="W2196">
        <f t="shared" si="36"/>
        <v>0</v>
      </c>
    </row>
    <row r="2197" spans="1:23" x14ac:dyDescent="0.25">
      <c r="A2197" s="2" t="s">
        <v>1380</v>
      </c>
      <c r="B2197" s="2" t="s">
        <v>920</v>
      </c>
      <c r="C2197" s="2">
        <v>540075</v>
      </c>
      <c r="D2197" s="2" t="s">
        <v>706</v>
      </c>
      <c r="E2197" s="2" t="s">
        <v>39</v>
      </c>
      <c r="F2197" s="2" t="s">
        <v>115</v>
      </c>
      <c r="G2197" s="2">
        <v>3</v>
      </c>
      <c r="H2197" s="2">
        <v>0</v>
      </c>
      <c r="I2197" s="2">
        <v>119</v>
      </c>
      <c r="J2197" s="2">
        <v>0</v>
      </c>
      <c r="K2197" s="2">
        <v>0</v>
      </c>
      <c r="L2197" s="2">
        <v>0</v>
      </c>
      <c r="M2197" s="2">
        <v>119</v>
      </c>
      <c r="N2197" s="2">
        <v>119</v>
      </c>
      <c r="O2197" s="2">
        <v>103</v>
      </c>
      <c r="P2197" s="2">
        <v>18</v>
      </c>
      <c r="Q2197" s="2">
        <v>0</v>
      </c>
      <c r="R2197" s="2">
        <v>0</v>
      </c>
      <c r="S2197" s="2" t="s">
        <v>488</v>
      </c>
      <c r="T2197" s="2" t="s">
        <v>488</v>
      </c>
      <c r="U2197" s="2" t="s">
        <v>488</v>
      </c>
      <c r="V2197" s="2" t="s">
        <v>488</v>
      </c>
      <c r="W2197">
        <f t="shared" si="36"/>
        <v>137</v>
      </c>
    </row>
    <row r="2198" spans="1:23" x14ac:dyDescent="0.25">
      <c r="A2198" s="2" t="s">
        <v>1380</v>
      </c>
      <c r="B2198" s="2" t="s">
        <v>920</v>
      </c>
      <c r="C2198" s="2">
        <v>540076</v>
      </c>
      <c r="D2198" s="2" t="s">
        <v>707</v>
      </c>
      <c r="E2198" s="2" t="s">
        <v>39</v>
      </c>
      <c r="F2198" s="2" t="s">
        <v>115</v>
      </c>
      <c r="G2198" s="2">
        <v>3</v>
      </c>
      <c r="H2198" s="2">
        <v>0</v>
      </c>
      <c r="I2198" s="2">
        <v>0</v>
      </c>
      <c r="J2198" s="2">
        <v>0</v>
      </c>
      <c r="K2198" s="2">
        <v>0</v>
      </c>
      <c r="L2198" s="2">
        <v>0</v>
      </c>
      <c r="M2198" s="2">
        <v>0</v>
      </c>
      <c r="N2198" s="2">
        <v>0</v>
      </c>
      <c r="O2198" s="2">
        <v>0</v>
      </c>
      <c r="P2198" s="2">
        <v>0</v>
      </c>
      <c r="Q2198" s="2">
        <v>0</v>
      </c>
      <c r="R2198" s="2">
        <v>0</v>
      </c>
      <c r="S2198" s="2" t="s">
        <v>488</v>
      </c>
      <c r="T2198" s="2" t="s">
        <v>488</v>
      </c>
      <c r="U2198" s="2" t="s">
        <v>488</v>
      </c>
      <c r="V2198" s="2" t="s">
        <v>488</v>
      </c>
      <c r="W2198">
        <f t="shared" si="36"/>
        <v>0</v>
      </c>
    </row>
    <row r="2199" spans="1:23" x14ac:dyDescent="0.25">
      <c r="A2199" s="2" t="s">
        <v>1380</v>
      </c>
      <c r="B2199" s="2" t="s">
        <v>920</v>
      </c>
      <c r="C2199" s="2">
        <v>540077</v>
      </c>
      <c r="D2199" s="2" t="s">
        <v>708</v>
      </c>
      <c r="E2199" s="2" t="s">
        <v>39</v>
      </c>
      <c r="F2199" s="2" t="s">
        <v>115</v>
      </c>
      <c r="G2199" s="2">
        <v>3</v>
      </c>
      <c r="H2199" s="2">
        <v>0</v>
      </c>
      <c r="I2199" s="2">
        <v>0</v>
      </c>
      <c r="J2199" s="2">
        <v>0</v>
      </c>
      <c r="K2199" s="2">
        <v>0</v>
      </c>
      <c r="L2199" s="2">
        <v>0</v>
      </c>
      <c r="M2199" s="2">
        <v>0</v>
      </c>
      <c r="N2199" s="2">
        <v>0</v>
      </c>
      <c r="O2199" s="2">
        <v>0</v>
      </c>
      <c r="P2199" s="2">
        <v>0</v>
      </c>
      <c r="Q2199" s="2">
        <v>0</v>
      </c>
      <c r="R2199" s="2">
        <v>0</v>
      </c>
      <c r="S2199" s="2" t="s">
        <v>488</v>
      </c>
      <c r="T2199" s="2" t="s">
        <v>488</v>
      </c>
      <c r="U2199" s="2" t="s">
        <v>488</v>
      </c>
      <c r="V2199" s="2" t="s">
        <v>488</v>
      </c>
      <c r="W2199">
        <f t="shared" si="36"/>
        <v>0</v>
      </c>
    </row>
    <row r="2200" spans="1:23" x14ac:dyDescent="0.25">
      <c r="A2200" s="2" t="s">
        <v>1380</v>
      </c>
      <c r="B2200" s="2" t="s">
        <v>920</v>
      </c>
      <c r="C2200" s="2">
        <v>540078</v>
      </c>
      <c r="D2200" s="2" t="s">
        <v>709</v>
      </c>
      <c r="E2200" s="2" t="s">
        <v>39</v>
      </c>
      <c r="F2200" s="2" t="s">
        <v>115</v>
      </c>
      <c r="G2200" s="2">
        <v>3</v>
      </c>
      <c r="H2200" s="2">
        <v>0</v>
      </c>
      <c r="I2200" s="2">
        <v>0</v>
      </c>
      <c r="J2200" s="2">
        <v>0</v>
      </c>
      <c r="K2200" s="2">
        <v>0</v>
      </c>
      <c r="L2200" s="2">
        <v>0</v>
      </c>
      <c r="M2200" s="2">
        <v>0</v>
      </c>
      <c r="N2200" s="2">
        <v>0</v>
      </c>
      <c r="O2200" s="2">
        <v>0</v>
      </c>
      <c r="P2200" s="2">
        <v>0</v>
      </c>
      <c r="Q2200" s="2">
        <v>0</v>
      </c>
      <c r="R2200" s="2">
        <v>0</v>
      </c>
      <c r="S2200" s="2" t="s">
        <v>488</v>
      </c>
      <c r="T2200" s="2" t="s">
        <v>488</v>
      </c>
      <c r="U2200" s="2" t="s">
        <v>488</v>
      </c>
      <c r="V2200" s="2" t="s">
        <v>488</v>
      </c>
      <c r="W2200">
        <f t="shared" si="36"/>
        <v>0</v>
      </c>
    </row>
    <row r="2201" spans="1:23" x14ac:dyDescent="0.25">
      <c r="A2201" s="2" t="s">
        <v>1380</v>
      </c>
      <c r="B2201" s="2" t="s">
        <v>920</v>
      </c>
      <c r="C2201" s="2">
        <v>540079</v>
      </c>
      <c r="D2201" s="2" t="s">
        <v>710</v>
      </c>
      <c r="E2201" s="2" t="s">
        <v>39</v>
      </c>
      <c r="F2201" s="2" t="s">
        <v>115</v>
      </c>
      <c r="G2201" s="2">
        <v>3</v>
      </c>
      <c r="H2201" s="2">
        <v>0</v>
      </c>
      <c r="I2201" s="2">
        <v>0</v>
      </c>
      <c r="J2201" s="2">
        <v>0</v>
      </c>
      <c r="K2201" s="2">
        <v>0</v>
      </c>
      <c r="L2201" s="2">
        <v>0</v>
      </c>
      <c r="M2201" s="2">
        <v>0</v>
      </c>
      <c r="N2201" s="2">
        <v>0</v>
      </c>
      <c r="O2201" s="2">
        <v>0</v>
      </c>
      <c r="P2201" s="2">
        <v>0</v>
      </c>
      <c r="Q2201" s="2">
        <v>0</v>
      </c>
      <c r="R2201" s="2">
        <v>0</v>
      </c>
      <c r="S2201" s="2" t="s">
        <v>488</v>
      </c>
      <c r="T2201" s="2" t="s">
        <v>488</v>
      </c>
      <c r="U2201" s="2" t="s">
        <v>488</v>
      </c>
      <c r="V2201" s="2" t="s">
        <v>488</v>
      </c>
      <c r="W2201">
        <f t="shared" si="36"/>
        <v>0</v>
      </c>
    </row>
    <row r="2202" spans="1:23" x14ac:dyDescent="0.25">
      <c r="A2202" s="2" t="s">
        <v>1380</v>
      </c>
      <c r="B2202" s="2" t="s">
        <v>920</v>
      </c>
      <c r="C2202" s="2">
        <v>540081</v>
      </c>
      <c r="D2202" s="2" t="s">
        <v>711</v>
      </c>
      <c r="E2202" s="2" t="s">
        <v>39</v>
      </c>
      <c r="F2202" s="2" t="s">
        <v>115</v>
      </c>
      <c r="G2202" s="2">
        <v>3</v>
      </c>
      <c r="H2202" s="2">
        <v>0</v>
      </c>
      <c r="I2202" s="2">
        <v>0</v>
      </c>
      <c r="J2202" s="2">
        <v>0</v>
      </c>
      <c r="K2202" s="2">
        <v>0</v>
      </c>
      <c r="L2202" s="2">
        <v>0</v>
      </c>
      <c r="M2202" s="2">
        <v>0</v>
      </c>
      <c r="N2202" s="2">
        <v>0</v>
      </c>
      <c r="O2202" s="2">
        <v>0</v>
      </c>
      <c r="P2202" s="2">
        <v>0</v>
      </c>
      <c r="Q2202" s="2">
        <v>0</v>
      </c>
      <c r="R2202" s="2">
        <v>0</v>
      </c>
      <c r="S2202" s="2" t="s">
        <v>488</v>
      </c>
      <c r="T2202" s="2" t="s">
        <v>488</v>
      </c>
      <c r="U2202" s="2" t="s">
        <v>488</v>
      </c>
      <c r="V2202" s="2" t="s">
        <v>488</v>
      </c>
      <c r="W2202">
        <f t="shared" si="36"/>
        <v>0</v>
      </c>
    </row>
    <row r="2203" spans="1:23" x14ac:dyDescent="0.25">
      <c r="A2203" s="2" t="s">
        <v>1380</v>
      </c>
      <c r="B2203" s="2" t="s">
        <v>920</v>
      </c>
      <c r="C2203" s="2">
        <v>540082</v>
      </c>
      <c r="D2203" s="2" t="s">
        <v>712</v>
      </c>
      <c r="E2203" s="2" t="s">
        <v>39</v>
      </c>
      <c r="F2203" s="2" t="s">
        <v>115</v>
      </c>
      <c r="G2203" s="2">
        <v>3</v>
      </c>
      <c r="H2203" s="2">
        <v>0</v>
      </c>
      <c r="I2203" s="2">
        <v>0</v>
      </c>
      <c r="J2203" s="2">
        <v>0</v>
      </c>
      <c r="K2203" s="2">
        <v>0</v>
      </c>
      <c r="L2203" s="2">
        <v>0</v>
      </c>
      <c r="M2203" s="2">
        <v>0</v>
      </c>
      <c r="N2203" s="2">
        <v>0</v>
      </c>
      <c r="O2203" s="2">
        <v>0</v>
      </c>
      <c r="P2203" s="2">
        <v>0</v>
      </c>
      <c r="Q2203" s="2">
        <v>0</v>
      </c>
      <c r="R2203" s="2">
        <v>0</v>
      </c>
      <c r="S2203" s="2" t="s">
        <v>488</v>
      </c>
      <c r="T2203" s="2" t="s">
        <v>488</v>
      </c>
      <c r="U2203" s="2" t="s">
        <v>488</v>
      </c>
      <c r="V2203" s="2" t="s">
        <v>488</v>
      </c>
      <c r="W2203">
        <f t="shared" si="36"/>
        <v>0</v>
      </c>
    </row>
    <row r="2204" spans="1:23" x14ac:dyDescent="0.25">
      <c r="A2204" s="2" t="s">
        <v>1380</v>
      </c>
      <c r="B2204" s="2" t="s">
        <v>920</v>
      </c>
      <c r="C2204" s="2">
        <v>540083</v>
      </c>
      <c r="D2204" s="2" t="s">
        <v>713</v>
      </c>
      <c r="E2204" s="2" t="s">
        <v>39</v>
      </c>
      <c r="F2204" s="2" t="s">
        <v>115</v>
      </c>
      <c r="G2204" s="2">
        <v>3</v>
      </c>
      <c r="H2204" s="2">
        <v>0</v>
      </c>
      <c r="I2204" s="2">
        <v>6</v>
      </c>
      <c r="J2204" s="2">
        <v>0</v>
      </c>
      <c r="K2204" s="2">
        <v>0</v>
      </c>
      <c r="L2204" s="2">
        <v>0</v>
      </c>
      <c r="M2204" s="2">
        <v>6</v>
      </c>
      <c r="N2204" s="2">
        <v>6</v>
      </c>
      <c r="O2204" s="2">
        <v>0</v>
      </c>
      <c r="P2204" s="2">
        <v>0</v>
      </c>
      <c r="Q2204" s="2">
        <v>0</v>
      </c>
      <c r="R2204" s="2">
        <v>0</v>
      </c>
      <c r="S2204" s="2" t="s">
        <v>488</v>
      </c>
      <c r="T2204" s="2" t="s">
        <v>488</v>
      </c>
      <c r="U2204" s="2" t="s">
        <v>488</v>
      </c>
      <c r="V2204" s="2" t="s">
        <v>488</v>
      </c>
      <c r="W2204">
        <f t="shared" si="36"/>
        <v>6</v>
      </c>
    </row>
    <row r="2205" spans="1:23" x14ac:dyDescent="0.25">
      <c r="A2205" s="2" t="s">
        <v>1380</v>
      </c>
      <c r="B2205" s="2" t="s">
        <v>920</v>
      </c>
      <c r="C2205" s="2">
        <v>540223</v>
      </c>
      <c r="D2205" s="2" t="s">
        <v>714</v>
      </c>
      <c r="E2205" s="2" t="s">
        <v>39</v>
      </c>
      <c r="F2205" s="2" t="s">
        <v>115</v>
      </c>
      <c r="G2205" s="2">
        <v>3</v>
      </c>
      <c r="H2205" s="2">
        <v>0</v>
      </c>
      <c r="I2205" s="2">
        <v>0</v>
      </c>
      <c r="J2205" s="2">
        <v>0</v>
      </c>
      <c r="K2205" s="2">
        <v>0</v>
      </c>
      <c r="L2205" s="2">
        <v>0</v>
      </c>
      <c r="M2205" s="2">
        <v>0</v>
      </c>
      <c r="N2205" s="2">
        <v>0</v>
      </c>
      <c r="O2205" s="2">
        <v>0</v>
      </c>
      <c r="P2205" s="2">
        <v>0</v>
      </c>
      <c r="Q2205" s="2">
        <v>0</v>
      </c>
      <c r="R2205" s="2">
        <v>0</v>
      </c>
      <c r="S2205" s="2" t="s">
        <v>488</v>
      </c>
      <c r="T2205" s="2" t="s">
        <v>488</v>
      </c>
      <c r="U2205" s="2" t="s">
        <v>488</v>
      </c>
      <c r="V2205" s="2" t="s">
        <v>488</v>
      </c>
      <c r="W2205">
        <f t="shared" si="36"/>
        <v>0</v>
      </c>
    </row>
    <row r="2206" spans="1:23" x14ac:dyDescent="0.25">
      <c r="A2206" s="2" t="s">
        <v>1380</v>
      </c>
      <c r="B2206" s="2" t="s">
        <v>920</v>
      </c>
      <c r="C2206" s="2">
        <v>540279</v>
      </c>
      <c r="D2206" s="2" t="s">
        <v>715</v>
      </c>
      <c r="E2206" s="2" t="s">
        <v>39</v>
      </c>
      <c r="F2206" s="2" t="s">
        <v>115</v>
      </c>
      <c r="G2206" s="2">
        <v>3</v>
      </c>
      <c r="H2206" s="2">
        <v>0</v>
      </c>
      <c r="I2206" s="2">
        <v>0</v>
      </c>
      <c r="J2206" s="2">
        <v>0</v>
      </c>
      <c r="K2206" s="2">
        <v>0</v>
      </c>
      <c r="L2206" s="2">
        <v>0</v>
      </c>
      <c r="M2206" s="2">
        <v>0</v>
      </c>
      <c r="N2206" s="2">
        <v>0</v>
      </c>
      <c r="O2206" s="2">
        <v>0</v>
      </c>
      <c r="P2206" s="2">
        <v>0</v>
      </c>
      <c r="Q2206" s="2">
        <v>0</v>
      </c>
      <c r="R2206" s="2">
        <v>0</v>
      </c>
      <c r="S2206" s="2" t="s">
        <v>488</v>
      </c>
      <c r="T2206" s="2" t="s">
        <v>488</v>
      </c>
      <c r="U2206" s="2" t="s">
        <v>488</v>
      </c>
      <c r="V2206" s="2" t="s">
        <v>488</v>
      </c>
      <c r="W2206">
        <f t="shared" si="36"/>
        <v>0</v>
      </c>
    </row>
    <row r="2207" spans="1:23" x14ac:dyDescent="0.25">
      <c r="A2207" s="2" t="s">
        <v>1380</v>
      </c>
      <c r="B2207" s="2" t="s">
        <v>920</v>
      </c>
      <c r="C2207" s="2">
        <v>540033</v>
      </c>
      <c r="D2207" s="2" t="s">
        <v>716</v>
      </c>
      <c r="E2207" s="2" t="s">
        <v>39</v>
      </c>
      <c r="F2207" s="2" t="s">
        <v>115</v>
      </c>
      <c r="G2207" s="2">
        <v>3</v>
      </c>
      <c r="H2207" s="2">
        <v>0</v>
      </c>
      <c r="I2207" s="2">
        <v>0</v>
      </c>
      <c r="J2207" s="2">
        <v>0</v>
      </c>
      <c r="K2207" s="2">
        <v>0</v>
      </c>
      <c r="L2207" s="2">
        <v>0</v>
      </c>
      <c r="M2207" s="2">
        <v>0</v>
      </c>
      <c r="N2207" s="2">
        <v>0</v>
      </c>
      <c r="O2207" s="2">
        <v>0</v>
      </c>
      <c r="P2207" s="2">
        <v>0</v>
      </c>
      <c r="Q2207" s="2">
        <v>0</v>
      </c>
      <c r="R2207" s="2">
        <v>0</v>
      </c>
      <c r="S2207" s="2" t="s">
        <v>488</v>
      </c>
      <c r="T2207" s="2" t="s">
        <v>488</v>
      </c>
      <c r="U2207" s="2" t="s">
        <v>488</v>
      </c>
      <c r="V2207" s="2" t="s">
        <v>488</v>
      </c>
      <c r="W2207">
        <f t="shared" si="36"/>
        <v>0</v>
      </c>
    </row>
    <row r="2208" spans="1:23" x14ac:dyDescent="0.25">
      <c r="A2208" s="255" t="s">
        <v>1380</v>
      </c>
      <c r="B2208" s="255" t="s">
        <v>920</v>
      </c>
      <c r="C2208" s="255"/>
      <c r="D2208" s="255"/>
      <c r="E2208" s="255" t="s">
        <v>39</v>
      </c>
      <c r="F2208" s="255"/>
      <c r="G2208" s="255"/>
      <c r="H2208" s="255">
        <v>0</v>
      </c>
      <c r="I2208" s="255">
        <v>386</v>
      </c>
      <c r="J2208" s="255">
        <v>1</v>
      </c>
      <c r="K2208" s="255">
        <v>0</v>
      </c>
      <c r="L2208" s="255">
        <v>0</v>
      </c>
      <c r="M2208" s="255">
        <v>387</v>
      </c>
      <c r="N2208" s="255">
        <v>387</v>
      </c>
      <c r="O2208" s="255">
        <v>103</v>
      </c>
      <c r="P2208" s="255">
        <v>18</v>
      </c>
      <c r="Q2208" s="255">
        <v>0</v>
      </c>
      <c r="R2208" s="255">
        <v>0</v>
      </c>
      <c r="S2208" s="255" t="s">
        <v>488</v>
      </c>
      <c r="T2208" s="255" t="s">
        <v>488</v>
      </c>
      <c r="U2208" s="255" t="s">
        <v>488</v>
      </c>
      <c r="V2208" s="255" t="s">
        <v>488</v>
      </c>
      <c r="W2208">
        <f t="shared" si="36"/>
        <v>405</v>
      </c>
    </row>
    <row r="2209" spans="1:23" x14ac:dyDescent="0.25">
      <c r="A2209" s="2" t="s">
        <v>1380</v>
      </c>
      <c r="B2209" s="2" t="s">
        <v>920</v>
      </c>
      <c r="C2209" s="2">
        <v>540085</v>
      </c>
      <c r="D2209" s="2" t="s">
        <v>717</v>
      </c>
      <c r="E2209" s="2" t="s">
        <v>41</v>
      </c>
      <c r="F2209" s="2" t="s">
        <v>5</v>
      </c>
      <c r="G2209" s="2">
        <v>7</v>
      </c>
      <c r="H2209" s="2">
        <v>2</v>
      </c>
      <c r="I2209" s="2">
        <v>7</v>
      </c>
      <c r="J2209" s="2">
        <v>2</v>
      </c>
      <c r="K2209" s="2">
        <v>0</v>
      </c>
      <c r="L2209" s="2">
        <v>0</v>
      </c>
      <c r="M2209" s="2">
        <v>9</v>
      </c>
      <c r="N2209" s="2">
        <v>11</v>
      </c>
      <c r="O2209" s="2">
        <v>0</v>
      </c>
      <c r="P2209" s="2">
        <v>0</v>
      </c>
      <c r="Q2209" s="2">
        <v>2</v>
      </c>
      <c r="R2209" s="2">
        <v>0</v>
      </c>
      <c r="S2209" s="2" t="s">
        <v>488</v>
      </c>
      <c r="T2209" s="2" t="s">
        <v>488</v>
      </c>
      <c r="U2209" s="2" t="s">
        <v>488</v>
      </c>
      <c r="V2209" s="2" t="s">
        <v>488</v>
      </c>
      <c r="W2209">
        <f t="shared" si="36"/>
        <v>11</v>
      </c>
    </row>
    <row r="2210" spans="1:23" x14ac:dyDescent="0.25">
      <c r="A2210" s="2" t="s">
        <v>1380</v>
      </c>
      <c r="B2210" s="2" t="s">
        <v>920</v>
      </c>
      <c r="C2210" s="2">
        <v>540086</v>
      </c>
      <c r="D2210" s="2" t="s">
        <v>718</v>
      </c>
      <c r="E2210" s="2" t="s">
        <v>41</v>
      </c>
      <c r="F2210" s="2" t="s">
        <v>115</v>
      </c>
      <c r="G2210" s="2">
        <v>7</v>
      </c>
      <c r="H2210" s="2">
        <v>0</v>
      </c>
      <c r="I2210" s="2">
        <v>0</v>
      </c>
      <c r="J2210" s="2">
        <v>0</v>
      </c>
      <c r="K2210" s="2">
        <v>0</v>
      </c>
      <c r="L2210" s="2">
        <v>0</v>
      </c>
      <c r="M2210" s="2">
        <v>0</v>
      </c>
      <c r="N2210" s="2">
        <v>0</v>
      </c>
      <c r="O2210" s="2">
        <v>0</v>
      </c>
      <c r="P2210" s="2">
        <v>0</v>
      </c>
      <c r="Q2210" s="2">
        <v>0</v>
      </c>
      <c r="R2210" s="2">
        <v>0</v>
      </c>
      <c r="S2210" s="2" t="s">
        <v>488</v>
      </c>
      <c r="T2210" s="2" t="s">
        <v>488</v>
      </c>
      <c r="U2210" s="2" t="s">
        <v>488</v>
      </c>
      <c r="V2210" s="2" t="s">
        <v>488</v>
      </c>
      <c r="W2210">
        <f t="shared" si="36"/>
        <v>0</v>
      </c>
    </row>
    <row r="2211" spans="1:23" x14ac:dyDescent="0.25">
      <c r="A2211" s="2" t="s">
        <v>1380</v>
      </c>
      <c r="B2211" s="2" t="s">
        <v>920</v>
      </c>
      <c r="C2211" s="2">
        <v>540087</v>
      </c>
      <c r="D2211" s="2" t="s">
        <v>719</v>
      </c>
      <c r="E2211" s="2" t="s">
        <v>41</v>
      </c>
      <c r="F2211" s="2" t="s">
        <v>115</v>
      </c>
      <c r="G2211" s="2">
        <v>7</v>
      </c>
      <c r="H2211" s="2">
        <v>0</v>
      </c>
      <c r="I2211" s="2">
        <v>81</v>
      </c>
      <c r="J2211" s="2">
        <v>10</v>
      </c>
      <c r="K2211" s="2">
        <v>0</v>
      </c>
      <c r="L2211" s="2">
        <v>0</v>
      </c>
      <c r="M2211" s="2">
        <v>91</v>
      </c>
      <c r="N2211" s="2">
        <v>91</v>
      </c>
      <c r="O2211" s="2">
        <v>0</v>
      </c>
      <c r="P2211" s="2">
        <v>0</v>
      </c>
      <c r="Q2211" s="2">
        <v>0</v>
      </c>
      <c r="R2211" s="2">
        <v>0</v>
      </c>
      <c r="S2211" s="2" t="s">
        <v>488</v>
      </c>
      <c r="T2211" s="2" t="s">
        <v>488</v>
      </c>
      <c r="U2211" s="2" t="s">
        <v>488</v>
      </c>
      <c r="V2211" s="2" t="s">
        <v>488</v>
      </c>
      <c r="W2211">
        <f t="shared" si="36"/>
        <v>91</v>
      </c>
    </row>
    <row r="2212" spans="1:23" x14ac:dyDescent="0.25">
      <c r="A2212" s="255" t="s">
        <v>1380</v>
      </c>
      <c r="B2212" s="255" t="s">
        <v>920</v>
      </c>
      <c r="C2212" s="255"/>
      <c r="D2212" s="255"/>
      <c r="E2212" s="255" t="s">
        <v>41</v>
      </c>
      <c r="F2212" s="255"/>
      <c r="G2212" s="255"/>
      <c r="H2212" s="255">
        <v>2</v>
      </c>
      <c r="I2212" s="255">
        <v>88</v>
      </c>
      <c r="J2212" s="255">
        <v>12</v>
      </c>
      <c r="K2212" s="255">
        <v>0</v>
      </c>
      <c r="L2212" s="255">
        <v>0</v>
      </c>
      <c r="M2212" s="255">
        <v>100</v>
      </c>
      <c r="N2212" s="255">
        <v>102</v>
      </c>
      <c r="O2212" s="255">
        <v>0</v>
      </c>
      <c r="P2212" s="255">
        <v>0</v>
      </c>
      <c r="Q2212" s="255">
        <v>2</v>
      </c>
      <c r="R2212" s="255">
        <v>0</v>
      </c>
      <c r="S2212" s="255" t="s">
        <v>488</v>
      </c>
      <c r="T2212" s="255" t="s">
        <v>488</v>
      </c>
      <c r="U2212" s="255" t="s">
        <v>488</v>
      </c>
      <c r="V2212" s="255" t="s">
        <v>488</v>
      </c>
      <c r="W2212">
        <f t="shared" si="36"/>
        <v>102</v>
      </c>
    </row>
    <row r="2213" spans="1:23" x14ac:dyDescent="0.25">
      <c r="A2213" s="2" t="s">
        <v>1380</v>
      </c>
      <c r="B2213" s="2" t="s">
        <v>920</v>
      </c>
      <c r="C2213" s="2">
        <v>540088</v>
      </c>
      <c r="D2213" s="2" t="s">
        <v>720</v>
      </c>
      <c r="E2213" s="2" t="s">
        <v>43</v>
      </c>
      <c r="F2213" s="2" t="s">
        <v>5</v>
      </c>
      <c r="G2213" s="2">
        <v>2</v>
      </c>
      <c r="H2213" s="2">
        <v>2</v>
      </c>
      <c r="I2213" s="2">
        <v>0</v>
      </c>
      <c r="J2213" s="2">
        <v>0</v>
      </c>
      <c r="K2213" s="2">
        <v>0</v>
      </c>
      <c r="L2213" s="2">
        <v>0</v>
      </c>
      <c r="M2213" s="2">
        <v>0</v>
      </c>
      <c r="N2213" s="2">
        <v>2</v>
      </c>
      <c r="O2213" s="2">
        <v>0</v>
      </c>
      <c r="P2213" s="2">
        <v>0</v>
      </c>
      <c r="Q2213" s="2" t="s">
        <v>488</v>
      </c>
      <c r="R2213" s="2" t="s">
        <v>488</v>
      </c>
      <c r="S2213" s="2" t="s">
        <v>488</v>
      </c>
      <c r="T2213" s="2" t="s">
        <v>488</v>
      </c>
      <c r="U2213" s="2" t="s">
        <v>488</v>
      </c>
      <c r="V2213" s="2" t="s">
        <v>488</v>
      </c>
      <c r="W2213">
        <f t="shared" si="36"/>
        <v>2</v>
      </c>
    </row>
    <row r="2214" spans="1:23" x14ac:dyDescent="0.25">
      <c r="A2214" s="2" t="s">
        <v>1380</v>
      </c>
      <c r="B2214" s="2" t="s">
        <v>920</v>
      </c>
      <c r="C2214" s="2">
        <v>540089</v>
      </c>
      <c r="D2214" s="2" t="s">
        <v>721</v>
      </c>
      <c r="E2214" s="2" t="s">
        <v>43</v>
      </c>
      <c r="F2214" s="2" t="s">
        <v>115</v>
      </c>
      <c r="G2214" s="2">
        <v>2</v>
      </c>
      <c r="H2214" s="2">
        <v>0</v>
      </c>
      <c r="I2214" s="2">
        <v>0</v>
      </c>
      <c r="J2214" s="2">
        <v>0</v>
      </c>
      <c r="K2214" s="2">
        <v>0</v>
      </c>
      <c r="L2214" s="2">
        <v>0</v>
      </c>
      <c r="M2214" s="2">
        <v>0</v>
      </c>
      <c r="N2214" s="2">
        <v>0</v>
      </c>
      <c r="O2214" s="2">
        <v>0</v>
      </c>
      <c r="P2214" s="2">
        <v>0</v>
      </c>
      <c r="Q2214" s="2" t="s">
        <v>488</v>
      </c>
      <c r="R2214" s="2" t="s">
        <v>488</v>
      </c>
      <c r="S2214" s="2" t="s">
        <v>488</v>
      </c>
      <c r="T2214" s="2" t="s">
        <v>488</v>
      </c>
      <c r="U2214" s="2" t="s">
        <v>488</v>
      </c>
      <c r="V2214" s="2" t="s">
        <v>488</v>
      </c>
      <c r="W2214">
        <f t="shared" si="36"/>
        <v>0</v>
      </c>
    </row>
    <row r="2215" spans="1:23" x14ac:dyDescent="0.25">
      <c r="A2215" s="2" t="s">
        <v>1380</v>
      </c>
      <c r="B2215" s="2" t="s">
        <v>920</v>
      </c>
      <c r="C2215" s="2">
        <v>540090</v>
      </c>
      <c r="D2215" s="2" t="s">
        <v>722</v>
      </c>
      <c r="E2215" s="2" t="s">
        <v>43</v>
      </c>
      <c r="F2215" s="2" t="s">
        <v>115</v>
      </c>
      <c r="G2215" s="2">
        <v>2</v>
      </c>
      <c r="H2215" s="2">
        <v>0</v>
      </c>
      <c r="I2215" s="2">
        <v>0</v>
      </c>
      <c r="J2215" s="2">
        <v>0</v>
      </c>
      <c r="K2215" s="2">
        <v>0</v>
      </c>
      <c r="L2215" s="2">
        <v>0</v>
      </c>
      <c r="M2215" s="2">
        <v>0</v>
      </c>
      <c r="N2215" s="2">
        <v>0</v>
      </c>
      <c r="O2215" s="2">
        <v>0</v>
      </c>
      <c r="P2215" s="2">
        <v>0</v>
      </c>
      <c r="Q2215" s="2" t="s">
        <v>488</v>
      </c>
      <c r="R2215" s="2" t="s">
        <v>488</v>
      </c>
      <c r="S2215" s="2" t="s">
        <v>488</v>
      </c>
      <c r="T2215" s="2" t="s">
        <v>488</v>
      </c>
      <c r="U2215" s="2" t="s">
        <v>488</v>
      </c>
      <c r="V2215" s="2" t="s">
        <v>488</v>
      </c>
      <c r="W2215">
        <f t="shared" si="36"/>
        <v>0</v>
      </c>
    </row>
    <row r="2216" spans="1:23" x14ac:dyDescent="0.25">
      <c r="A2216" s="255" t="s">
        <v>1380</v>
      </c>
      <c r="B2216" s="255" t="s">
        <v>920</v>
      </c>
      <c r="C2216" s="255"/>
      <c r="D2216" s="255"/>
      <c r="E2216" s="255" t="s">
        <v>43</v>
      </c>
      <c r="F2216" s="255"/>
      <c r="G2216" s="255"/>
      <c r="H2216" s="255">
        <v>2</v>
      </c>
      <c r="I2216" s="255">
        <v>0</v>
      </c>
      <c r="J2216" s="255">
        <v>0</v>
      </c>
      <c r="K2216" s="255">
        <v>0</v>
      </c>
      <c r="L2216" s="255">
        <v>0</v>
      </c>
      <c r="M2216" s="255">
        <v>0</v>
      </c>
      <c r="N2216" s="255">
        <v>2</v>
      </c>
      <c r="O2216" s="255">
        <v>0</v>
      </c>
      <c r="P2216" s="255">
        <v>0</v>
      </c>
      <c r="Q2216" s="255" t="s">
        <v>488</v>
      </c>
      <c r="R2216" s="255" t="s">
        <v>488</v>
      </c>
      <c r="S2216" s="255" t="s">
        <v>488</v>
      </c>
      <c r="T2216" s="255" t="s">
        <v>488</v>
      </c>
      <c r="U2216" s="255" t="s">
        <v>488</v>
      </c>
      <c r="V2216" s="255" t="s">
        <v>488</v>
      </c>
      <c r="W2216">
        <f t="shared" si="36"/>
        <v>2</v>
      </c>
    </row>
    <row r="2217" spans="1:23" x14ac:dyDescent="0.25">
      <c r="A2217" s="2" t="s">
        <v>1380</v>
      </c>
      <c r="B2217" s="2" t="s">
        <v>920</v>
      </c>
      <c r="C2217" s="2">
        <v>540097</v>
      </c>
      <c r="D2217" s="2" t="s">
        <v>723</v>
      </c>
      <c r="E2217" s="2" t="s">
        <v>45</v>
      </c>
      <c r="F2217" s="2" t="s">
        <v>5</v>
      </c>
      <c r="G2217" s="2">
        <v>6</v>
      </c>
      <c r="H2217" s="2">
        <v>0</v>
      </c>
      <c r="I2217" s="2">
        <v>1</v>
      </c>
      <c r="J2217" s="2">
        <v>0</v>
      </c>
      <c r="K2217" s="2">
        <v>0</v>
      </c>
      <c r="L2217" s="2">
        <v>0</v>
      </c>
      <c r="M2217" s="2">
        <v>1</v>
      </c>
      <c r="N2217" s="2">
        <v>1</v>
      </c>
      <c r="O2217" s="2">
        <v>0</v>
      </c>
      <c r="P2217" s="2">
        <v>0</v>
      </c>
      <c r="Q2217" s="2">
        <v>0</v>
      </c>
      <c r="R2217" s="2">
        <v>0</v>
      </c>
      <c r="S2217" s="2" t="s">
        <v>488</v>
      </c>
      <c r="T2217" s="2" t="s">
        <v>488</v>
      </c>
      <c r="U2217" s="2" t="s">
        <v>488</v>
      </c>
      <c r="V2217" s="2" t="s">
        <v>488</v>
      </c>
      <c r="W2217">
        <f t="shared" si="36"/>
        <v>1</v>
      </c>
    </row>
    <row r="2218" spans="1:23" x14ac:dyDescent="0.25">
      <c r="A2218" s="2" t="s">
        <v>1380</v>
      </c>
      <c r="B2218" s="2" t="s">
        <v>920</v>
      </c>
      <c r="C2218" s="2">
        <v>540098</v>
      </c>
      <c r="D2218" s="2" t="s">
        <v>724</v>
      </c>
      <c r="E2218" s="2" t="s">
        <v>45</v>
      </c>
      <c r="F2218" s="2" t="s">
        <v>115</v>
      </c>
      <c r="G2218" s="2">
        <v>6</v>
      </c>
      <c r="H2218" s="2">
        <v>0</v>
      </c>
      <c r="I2218" s="2">
        <v>0</v>
      </c>
      <c r="J2218" s="2">
        <v>0</v>
      </c>
      <c r="K2218" s="2">
        <v>0</v>
      </c>
      <c r="L2218" s="2">
        <v>0</v>
      </c>
      <c r="M2218" s="2">
        <v>0</v>
      </c>
      <c r="N2218" s="2">
        <v>0</v>
      </c>
      <c r="O2218" s="2">
        <v>0</v>
      </c>
      <c r="P2218" s="2">
        <v>0</v>
      </c>
      <c r="Q2218" s="2">
        <v>0</v>
      </c>
      <c r="R2218" s="2">
        <v>0</v>
      </c>
      <c r="S2218" s="2" t="s">
        <v>488</v>
      </c>
      <c r="T2218" s="2" t="s">
        <v>488</v>
      </c>
      <c r="U2218" s="2" t="s">
        <v>488</v>
      </c>
      <c r="V2218" s="2" t="s">
        <v>488</v>
      </c>
      <c r="W2218">
        <f t="shared" si="36"/>
        <v>0</v>
      </c>
    </row>
    <row r="2219" spans="1:23" x14ac:dyDescent="0.25">
      <c r="A2219" s="2" t="s">
        <v>1380</v>
      </c>
      <c r="B2219" s="2" t="s">
        <v>920</v>
      </c>
      <c r="C2219" s="2">
        <v>540099</v>
      </c>
      <c r="D2219" s="2" t="s">
        <v>725</v>
      </c>
      <c r="E2219" s="2" t="s">
        <v>45</v>
      </c>
      <c r="F2219" s="2" t="s">
        <v>115</v>
      </c>
      <c r="G2219" s="2">
        <v>6</v>
      </c>
      <c r="H2219" s="2">
        <v>0</v>
      </c>
      <c r="I2219" s="2">
        <v>0</v>
      </c>
      <c r="J2219" s="2">
        <v>0</v>
      </c>
      <c r="K2219" s="2">
        <v>0</v>
      </c>
      <c r="L2219" s="2">
        <v>0</v>
      </c>
      <c r="M2219" s="2">
        <v>0</v>
      </c>
      <c r="N2219" s="2">
        <v>0</v>
      </c>
      <c r="O2219" s="2">
        <v>0</v>
      </c>
      <c r="P2219" s="2">
        <v>0</v>
      </c>
      <c r="Q2219" s="2">
        <v>0</v>
      </c>
      <c r="R2219" s="2">
        <v>0</v>
      </c>
      <c r="S2219" s="2" t="s">
        <v>488</v>
      </c>
      <c r="T2219" s="2" t="s">
        <v>488</v>
      </c>
      <c r="U2219" s="2" t="s">
        <v>488</v>
      </c>
      <c r="V2219" s="2" t="s">
        <v>488</v>
      </c>
      <c r="W2219">
        <f t="shared" si="36"/>
        <v>0</v>
      </c>
    </row>
    <row r="2220" spans="1:23" x14ac:dyDescent="0.25">
      <c r="A2220" s="2" t="s">
        <v>1380</v>
      </c>
      <c r="B2220" s="2" t="s">
        <v>920</v>
      </c>
      <c r="C2220" s="2">
        <v>540100</v>
      </c>
      <c r="D2220" s="2" t="s">
        <v>726</v>
      </c>
      <c r="E2220" s="2" t="s">
        <v>45</v>
      </c>
      <c r="F2220" s="2" t="s">
        <v>115</v>
      </c>
      <c r="G2220" s="2">
        <v>6</v>
      </c>
      <c r="H2220" s="2">
        <v>0</v>
      </c>
      <c r="I2220" s="2">
        <v>0</v>
      </c>
      <c r="J2220" s="2">
        <v>0</v>
      </c>
      <c r="K2220" s="2">
        <v>0</v>
      </c>
      <c r="L2220" s="2">
        <v>0</v>
      </c>
      <c r="M2220" s="2">
        <v>0</v>
      </c>
      <c r="N2220" s="2">
        <v>0</v>
      </c>
      <c r="O2220" s="2">
        <v>0</v>
      </c>
      <c r="P2220" s="2">
        <v>0</v>
      </c>
      <c r="Q2220" s="2">
        <v>0</v>
      </c>
      <c r="R2220" s="2">
        <v>0</v>
      </c>
      <c r="S2220" s="2" t="s">
        <v>488</v>
      </c>
      <c r="T2220" s="2" t="s">
        <v>488</v>
      </c>
      <c r="U2220" s="2" t="s">
        <v>488</v>
      </c>
      <c r="V2220" s="2" t="s">
        <v>488</v>
      </c>
      <c r="W2220">
        <f t="shared" si="36"/>
        <v>0</v>
      </c>
    </row>
    <row r="2221" spans="1:23" x14ac:dyDescent="0.25">
      <c r="A2221" s="2" t="s">
        <v>1380</v>
      </c>
      <c r="B2221" s="2" t="s">
        <v>920</v>
      </c>
      <c r="C2221" s="2">
        <v>540101</v>
      </c>
      <c r="D2221" s="2" t="s">
        <v>727</v>
      </c>
      <c r="E2221" s="2" t="s">
        <v>45</v>
      </c>
      <c r="F2221" s="2" t="s">
        <v>115</v>
      </c>
      <c r="G2221" s="2">
        <v>6</v>
      </c>
      <c r="H2221" s="2">
        <v>0</v>
      </c>
      <c r="I2221" s="2">
        <v>0</v>
      </c>
      <c r="J2221" s="2">
        <v>0</v>
      </c>
      <c r="K2221" s="2">
        <v>0</v>
      </c>
      <c r="L2221" s="2">
        <v>0</v>
      </c>
      <c r="M2221" s="2">
        <v>0</v>
      </c>
      <c r="N2221" s="2">
        <v>0</v>
      </c>
      <c r="O2221" s="2">
        <v>0</v>
      </c>
      <c r="P2221" s="2">
        <v>0</v>
      </c>
      <c r="Q2221" s="2">
        <v>0</v>
      </c>
      <c r="R2221" s="2">
        <v>0</v>
      </c>
      <c r="S2221" s="2" t="s">
        <v>488</v>
      </c>
      <c r="T2221" s="2" t="s">
        <v>488</v>
      </c>
      <c r="U2221" s="2" t="s">
        <v>488</v>
      </c>
      <c r="V2221" s="2" t="s">
        <v>488</v>
      </c>
      <c r="W2221">
        <f t="shared" si="36"/>
        <v>0</v>
      </c>
    </row>
    <row r="2222" spans="1:23" x14ac:dyDescent="0.25">
      <c r="A2222" s="2" t="s">
        <v>1380</v>
      </c>
      <c r="B2222" s="2" t="s">
        <v>920</v>
      </c>
      <c r="C2222" s="2">
        <v>540102</v>
      </c>
      <c r="D2222" s="2" t="s">
        <v>728</v>
      </c>
      <c r="E2222" s="2" t="s">
        <v>45</v>
      </c>
      <c r="F2222" s="2" t="s">
        <v>115</v>
      </c>
      <c r="G2222" s="2">
        <v>6</v>
      </c>
      <c r="H2222" s="2">
        <v>0</v>
      </c>
      <c r="I2222" s="2">
        <v>0</v>
      </c>
      <c r="J2222" s="2">
        <v>0</v>
      </c>
      <c r="K2222" s="2">
        <v>0</v>
      </c>
      <c r="L2222" s="2">
        <v>0</v>
      </c>
      <c r="M2222" s="2">
        <v>0</v>
      </c>
      <c r="N2222" s="2">
        <v>0</v>
      </c>
      <c r="O2222" s="2">
        <v>0</v>
      </c>
      <c r="P2222" s="2">
        <v>0</v>
      </c>
      <c r="Q2222" s="2">
        <v>0</v>
      </c>
      <c r="R2222" s="2">
        <v>0</v>
      </c>
      <c r="S2222" s="2" t="s">
        <v>488</v>
      </c>
      <c r="T2222" s="2" t="s">
        <v>488</v>
      </c>
      <c r="U2222" s="2" t="s">
        <v>488</v>
      </c>
      <c r="V2222" s="2" t="s">
        <v>488</v>
      </c>
      <c r="W2222">
        <f t="shared" si="36"/>
        <v>0</v>
      </c>
    </row>
    <row r="2223" spans="1:23" x14ac:dyDescent="0.25">
      <c r="A2223" s="2" t="s">
        <v>1380</v>
      </c>
      <c r="B2223" s="2" t="s">
        <v>920</v>
      </c>
      <c r="C2223" s="2">
        <v>540103</v>
      </c>
      <c r="D2223" s="2" t="s">
        <v>729</v>
      </c>
      <c r="E2223" s="2" t="s">
        <v>45</v>
      </c>
      <c r="F2223" s="2" t="s">
        <v>115</v>
      </c>
      <c r="G2223" s="2">
        <v>6</v>
      </c>
      <c r="H2223" s="2">
        <v>0</v>
      </c>
      <c r="I2223" s="2">
        <v>108</v>
      </c>
      <c r="J2223" s="2">
        <v>0</v>
      </c>
      <c r="K2223" s="2">
        <v>0</v>
      </c>
      <c r="L2223" s="2">
        <v>0</v>
      </c>
      <c r="M2223" s="2">
        <v>108</v>
      </c>
      <c r="N2223" s="2">
        <v>108</v>
      </c>
      <c r="O2223" s="2">
        <v>0</v>
      </c>
      <c r="P2223" s="2">
        <v>0</v>
      </c>
      <c r="Q2223" s="2">
        <v>0</v>
      </c>
      <c r="R2223" s="2">
        <v>0</v>
      </c>
      <c r="S2223" s="2" t="s">
        <v>488</v>
      </c>
      <c r="T2223" s="2" t="s">
        <v>488</v>
      </c>
      <c r="U2223" s="2" t="s">
        <v>488</v>
      </c>
      <c r="V2223" s="2" t="s">
        <v>488</v>
      </c>
      <c r="W2223">
        <f t="shared" si="36"/>
        <v>108</v>
      </c>
    </row>
    <row r="2224" spans="1:23" x14ac:dyDescent="0.25">
      <c r="A2224" s="2" t="s">
        <v>1380</v>
      </c>
      <c r="B2224" s="2" t="s">
        <v>920</v>
      </c>
      <c r="C2224" s="2">
        <v>540104</v>
      </c>
      <c r="D2224" s="2" t="s">
        <v>730</v>
      </c>
      <c r="E2224" s="2" t="s">
        <v>45</v>
      </c>
      <c r="F2224" s="2" t="s">
        <v>115</v>
      </c>
      <c r="G2224" s="2">
        <v>6</v>
      </c>
      <c r="H2224" s="2">
        <v>0</v>
      </c>
      <c r="I2224" s="2">
        <v>0</v>
      </c>
      <c r="J2224" s="2">
        <v>0</v>
      </c>
      <c r="K2224" s="2">
        <v>0</v>
      </c>
      <c r="L2224" s="2">
        <v>0</v>
      </c>
      <c r="M2224" s="2">
        <v>0</v>
      </c>
      <c r="N2224" s="2">
        <v>0</v>
      </c>
      <c r="O2224" s="2">
        <v>0</v>
      </c>
      <c r="P2224" s="2">
        <v>0</v>
      </c>
      <c r="Q2224" s="2">
        <v>0</v>
      </c>
      <c r="R2224" s="2">
        <v>0</v>
      </c>
      <c r="S2224" s="2" t="s">
        <v>488</v>
      </c>
      <c r="T2224" s="2" t="s">
        <v>488</v>
      </c>
      <c r="U2224" s="2" t="s">
        <v>488</v>
      </c>
      <c r="V2224" s="2" t="s">
        <v>488</v>
      </c>
      <c r="W2224">
        <f t="shared" si="36"/>
        <v>0</v>
      </c>
    </row>
    <row r="2225" spans="1:23" x14ac:dyDescent="0.25">
      <c r="A2225" s="2" t="s">
        <v>1380</v>
      </c>
      <c r="B2225" s="2" t="s">
        <v>920</v>
      </c>
      <c r="C2225" s="2">
        <v>540105</v>
      </c>
      <c r="D2225" s="2" t="s">
        <v>731</v>
      </c>
      <c r="E2225" s="2" t="s">
        <v>45</v>
      </c>
      <c r="F2225" s="2" t="s">
        <v>115</v>
      </c>
      <c r="G2225" s="2">
        <v>6</v>
      </c>
      <c r="H2225" s="2">
        <v>0</v>
      </c>
      <c r="I2225" s="2">
        <v>0</v>
      </c>
      <c r="J2225" s="2">
        <v>0</v>
      </c>
      <c r="K2225" s="2">
        <v>0</v>
      </c>
      <c r="L2225" s="2">
        <v>0</v>
      </c>
      <c r="M2225" s="2">
        <v>0</v>
      </c>
      <c r="N2225" s="2">
        <v>0</v>
      </c>
      <c r="O2225" s="2">
        <v>0</v>
      </c>
      <c r="P2225" s="2">
        <v>0</v>
      </c>
      <c r="Q2225" s="2">
        <v>0</v>
      </c>
      <c r="R2225" s="2">
        <v>0</v>
      </c>
      <c r="S2225" s="2" t="s">
        <v>488</v>
      </c>
      <c r="T2225" s="2" t="s">
        <v>488</v>
      </c>
      <c r="U2225" s="2" t="s">
        <v>488</v>
      </c>
      <c r="V2225" s="2" t="s">
        <v>488</v>
      </c>
      <c r="W2225">
        <f t="shared" si="36"/>
        <v>0</v>
      </c>
    </row>
    <row r="2226" spans="1:23" x14ac:dyDescent="0.25">
      <c r="A2226" s="2" t="s">
        <v>1380</v>
      </c>
      <c r="B2226" s="2" t="s">
        <v>920</v>
      </c>
      <c r="C2226" s="2">
        <v>540106</v>
      </c>
      <c r="D2226" s="2" t="s">
        <v>732</v>
      </c>
      <c r="E2226" s="2" t="s">
        <v>45</v>
      </c>
      <c r="F2226" s="2" t="s">
        <v>115</v>
      </c>
      <c r="G2226" s="2">
        <v>6</v>
      </c>
      <c r="H2226" s="2">
        <v>0</v>
      </c>
      <c r="I2226" s="2">
        <v>0</v>
      </c>
      <c r="J2226" s="2">
        <v>0</v>
      </c>
      <c r="K2226" s="2">
        <v>0</v>
      </c>
      <c r="L2226" s="2">
        <v>0</v>
      </c>
      <c r="M2226" s="2">
        <v>0</v>
      </c>
      <c r="N2226" s="2">
        <v>0</v>
      </c>
      <c r="O2226" s="2">
        <v>0</v>
      </c>
      <c r="P2226" s="2">
        <v>0</v>
      </c>
      <c r="Q2226" s="2">
        <v>0</v>
      </c>
      <c r="R2226" s="2">
        <v>0</v>
      </c>
      <c r="S2226" s="2" t="s">
        <v>488</v>
      </c>
      <c r="T2226" s="2" t="s">
        <v>488</v>
      </c>
      <c r="U2226" s="2" t="s">
        <v>488</v>
      </c>
      <c r="V2226" s="2" t="s">
        <v>488</v>
      </c>
      <c r="W2226">
        <f t="shared" si="36"/>
        <v>0</v>
      </c>
    </row>
    <row r="2227" spans="1:23" x14ac:dyDescent="0.25">
      <c r="A2227" s="2" t="s">
        <v>1380</v>
      </c>
      <c r="B2227" s="2" t="s">
        <v>920</v>
      </c>
      <c r="C2227" s="2">
        <v>540292</v>
      </c>
      <c r="D2227" s="2" t="s">
        <v>733</v>
      </c>
      <c r="E2227" s="2" t="s">
        <v>45</v>
      </c>
      <c r="F2227" s="2" t="s">
        <v>115</v>
      </c>
      <c r="G2227" s="2">
        <v>6</v>
      </c>
      <c r="H2227" s="2">
        <v>0</v>
      </c>
      <c r="I2227" s="2">
        <v>0</v>
      </c>
      <c r="J2227" s="2">
        <v>0</v>
      </c>
      <c r="K2227" s="2">
        <v>0</v>
      </c>
      <c r="L2227" s="2">
        <v>0</v>
      </c>
      <c r="M2227" s="2">
        <v>0</v>
      </c>
      <c r="N2227" s="2">
        <v>0</v>
      </c>
      <c r="O2227" s="2">
        <v>0</v>
      </c>
      <c r="P2227" s="2">
        <v>0</v>
      </c>
      <c r="Q2227" s="2">
        <v>0</v>
      </c>
      <c r="R2227" s="2">
        <v>0</v>
      </c>
      <c r="S2227" s="2" t="s">
        <v>488</v>
      </c>
      <c r="T2227" s="2" t="s">
        <v>488</v>
      </c>
      <c r="U2227" s="2" t="s">
        <v>488</v>
      </c>
      <c r="V2227" s="2" t="s">
        <v>488</v>
      </c>
      <c r="W2227">
        <f t="shared" si="36"/>
        <v>0</v>
      </c>
    </row>
    <row r="2228" spans="1:23" x14ac:dyDescent="0.25">
      <c r="A2228" s="2" t="s">
        <v>1380</v>
      </c>
      <c r="B2228" s="2" t="s">
        <v>920</v>
      </c>
      <c r="C2228" s="2">
        <v>545556</v>
      </c>
      <c r="D2228" s="2" t="s">
        <v>734</v>
      </c>
      <c r="E2228" s="2" t="s">
        <v>45</v>
      </c>
      <c r="F2228" s="2" t="s">
        <v>115</v>
      </c>
      <c r="G2228" s="2">
        <v>6</v>
      </c>
      <c r="H2228" s="2">
        <v>0</v>
      </c>
      <c r="I2228" s="2">
        <v>0</v>
      </c>
      <c r="J2228" s="2">
        <v>0</v>
      </c>
      <c r="K2228" s="2">
        <v>0</v>
      </c>
      <c r="L2228" s="2">
        <v>0</v>
      </c>
      <c r="M2228" s="2">
        <v>0</v>
      </c>
      <c r="N2228" s="2">
        <v>0</v>
      </c>
      <c r="O2228" s="2">
        <v>0</v>
      </c>
      <c r="P2228" s="2">
        <v>0</v>
      </c>
      <c r="Q2228" s="2">
        <v>0</v>
      </c>
      <c r="R2228" s="2">
        <v>0</v>
      </c>
      <c r="S2228" s="2" t="s">
        <v>488</v>
      </c>
      <c r="T2228" s="2" t="s">
        <v>488</v>
      </c>
      <c r="U2228" s="2" t="s">
        <v>488</v>
      </c>
      <c r="V2228" s="2" t="s">
        <v>488</v>
      </c>
      <c r="W2228">
        <f t="shared" si="36"/>
        <v>0</v>
      </c>
    </row>
    <row r="2229" spans="1:23" x14ac:dyDescent="0.25">
      <c r="A2229" s="255" t="s">
        <v>1380</v>
      </c>
      <c r="B2229" s="255" t="s">
        <v>920</v>
      </c>
      <c r="C2229" s="255"/>
      <c r="D2229" s="255"/>
      <c r="E2229" s="255" t="s">
        <v>45</v>
      </c>
      <c r="F2229" s="255"/>
      <c r="G2229" s="255"/>
      <c r="H2229" s="255">
        <v>0</v>
      </c>
      <c r="I2229" s="255">
        <v>109</v>
      </c>
      <c r="J2229" s="255">
        <v>0</v>
      </c>
      <c r="K2229" s="255">
        <v>0</v>
      </c>
      <c r="L2229" s="255">
        <v>0</v>
      </c>
      <c r="M2229" s="255">
        <v>109</v>
      </c>
      <c r="N2229" s="255">
        <v>109</v>
      </c>
      <c r="O2229" s="255">
        <v>0</v>
      </c>
      <c r="P2229" s="255">
        <v>0</v>
      </c>
      <c r="Q2229" s="255">
        <v>0</v>
      </c>
      <c r="R2229" s="255">
        <v>0</v>
      </c>
      <c r="S2229" s="255" t="s">
        <v>488</v>
      </c>
      <c r="T2229" s="255" t="s">
        <v>488</v>
      </c>
      <c r="U2229" s="255" t="s">
        <v>488</v>
      </c>
      <c r="V2229" s="255" t="s">
        <v>488</v>
      </c>
      <c r="W2229">
        <f t="shared" si="36"/>
        <v>109</v>
      </c>
    </row>
    <row r="2230" spans="1:23" x14ac:dyDescent="0.25">
      <c r="A2230" s="2" t="s">
        <v>1380</v>
      </c>
      <c r="B2230" s="2" t="s">
        <v>920</v>
      </c>
      <c r="C2230" s="2">
        <v>540107</v>
      </c>
      <c r="D2230" s="2" t="s">
        <v>735</v>
      </c>
      <c r="E2230" s="2" t="s">
        <v>47</v>
      </c>
      <c r="F2230" s="2" t="s">
        <v>5</v>
      </c>
      <c r="G2230" s="2">
        <v>10</v>
      </c>
      <c r="H2230" s="2">
        <v>0</v>
      </c>
      <c r="I2230" s="2">
        <v>0</v>
      </c>
      <c r="J2230" s="2">
        <v>0</v>
      </c>
      <c r="K2230" s="2">
        <v>0</v>
      </c>
      <c r="L2230" s="2">
        <v>0</v>
      </c>
      <c r="M2230" s="2">
        <v>0</v>
      </c>
      <c r="N2230" s="2">
        <v>0</v>
      </c>
      <c r="O2230" s="2">
        <v>0</v>
      </c>
      <c r="P2230" s="2">
        <v>0</v>
      </c>
      <c r="Q2230" s="2" t="s">
        <v>488</v>
      </c>
      <c r="R2230" s="2" t="s">
        <v>488</v>
      </c>
      <c r="S2230" s="2" t="s">
        <v>488</v>
      </c>
      <c r="T2230" s="2" t="s">
        <v>488</v>
      </c>
      <c r="U2230" s="2" t="s">
        <v>488</v>
      </c>
      <c r="V2230" s="2" t="s">
        <v>488</v>
      </c>
      <c r="W2230">
        <f t="shared" si="36"/>
        <v>0</v>
      </c>
    </row>
    <row r="2231" spans="1:23" x14ac:dyDescent="0.25">
      <c r="A2231" s="2" t="s">
        <v>1380</v>
      </c>
      <c r="B2231" s="2" t="s">
        <v>920</v>
      </c>
      <c r="C2231" s="2">
        <v>540108</v>
      </c>
      <c r="D2231" s="2" t="s">
        <v>736</v>
      </c>
      <c r="E2231" s="2" t="s">
        <v>47</v>
      </c>
      <c r="F2231" s="2" t="s">
        <v>115</v>
      </c>
      <c r="G2231" s="2">
        <v>10</v>
      </c>
      <c r="H2231" s="2">
        <v>0</v>
      </c>
      <c r="I2231" s="2">
        <v>0</v>
      </c>
      <c r="J2231" s="2">
        <v>0</v>
      </c>
      <c r="K2231" s="2">
        <v>0</v>
      </c>
      <c r="L2231" s="2">
        <v>0</v>
      </c>
      <c r="M2231" s="2">
        <v>0</v>
      </c>
      <c r="N2231" s="2">
        <v>0</v>
      </c>
      <c r="O2231" s="2">
        <v>0</v>
      </c>
      <c r="P2231" s="2">
        <v>0</v>
      </c>
      <c r="Q2231" s="2" t="s">
        <v>488</v>
      </c>
      <c r="R2231" s="2" t="s">
        <v>488</v>
      </c>
      <c r="S2231" s="2" t="s">
        <v>488</v>
      </c>
      <c r="T2231" s="2" t="s">
        <v>488</v>
      </c>
      <c r="U2231" s="2" t="s">
        <v>488</v>
      </c>
      <c r="V2231" s="2" t="s">
        <v>488</v>
      </c>
      <c r="W2231">
        <f t="shared" si="36"/>
        <v>0</v>
      </c>
    </row>
    <row r="2232" spans="1:23" x14ac:dyDescent="0.25">
      <c r="A2232" s="2" t="s">
        <v>1380</v>
      </c>
      <c r="B2232" s="2" t="s">
        <v>920</v>
      </c>
      <c r="C2232" s="2">
        <v>540109</v>
      </c>
      <c r="D2232" s="2" t="s">
        <v>737</v>
      </c>
      <c r="E2232" s="2" t="s">
        <v>47</v>
      </c>
      <c r="F2232" s="2" t="s">
        <v>115</v>
      </c>
      <c r="G2232" s="2">
        <v>10</v>
      </c>
      <c r="H2232" s="2">
        <v>0</v>
      </c>
      <c r="I2232" s="2">
        <v>0</v>
      </c>
      <c r="J2232" s="2">
        <v>0</v>
      </c>
      <c r="K2232" s="2">
        <v>0</v>
      </c>
      <c r="L2232" s="2">
        <v>0</v>
      </c>
      <c r="M2232" s="2">
        <v>0</v>
      </c>
      <c r="N2232" s="2">
        <v>0</v>
      </c>
      <c r="O2232" s="2">
        <v>0</v>
      </c>
      <c r="P2232" s="2">
        <v>0</v>
      </c>
      <c r="Q2232" s="2" t="s">
        <v>488</v>
      </c>
      <c r="R2232" s="2" t="s">
        <v>488</v>
      </c>
      <c r="S2232" s="2" t="s">
        <v>488</v>
      </c>
      <c r="T2232" s="2" t="s">
        <v>488</v>
      </c>
      <c r="U2232" s="2" t="s">
        <v>488</v>
      </c>
      <c r="V2232" s="2" t="s">
        <v>488</v>
      </c>
      <c r="W2232">
        <f t="shared" si="36"/>
        <v>0</v>
      </c>
    </row>
    <row r="2233" spans="1:23" x14ac:dyDescent="0.25">
      <c r="A2233" s="2" t="s">
        <v>1380</v>
      </c>
      <c r="B2233" s="2" t="s">
        <v>920</v>
      </c>
      <c r="C2233" s="2">
        <v>540110</v>
      </c>
      <c r="D2233" s="2" t="s">
        <v>738</v>
      </c>
      <c r="E2233" s="2" t="s">
        <v>47</v>
      </c>
      <c r="F2233" s="2" t="s">
        <v>115</v>
      </c>
      <c r="G2233" s="2">
        <v>10</v>
      </c>
      <c r="H2233" s="2">
        <v>0</v>
      </c>
      <c r="I2233" s="2">
        <v>0</v>
      </c>
      <c r="J2233" s="2">
        <v>0</v>
      </c>
      <c r="K2233" s="2">
        <v>0</v>
      </c>
      <c r="L2233" s="2">
        <v>0</v>
      </c>
      <c r="M2233" s="2">
        <v>0</v>
      </c>
      <c r="N2233" s="2">
        <v>0</v>
      </c>
      <c r="O2233" s="2">
        <v>0</v>
      </c>
      <c r="P2233" s="2">
        <v>0</v>
      </c>
      <c r="Q2233" s="2" t="s">
        <v>488</v>
      </c>
      <c r="R2233" s="2" t="s">
        <v>488</v>
      </c>
      <c r="S2233" s="2" t="s">
        <v>488</v>
      </c>
      <c r="T2233" s="2" t="s">
        <v>488</v>
      </c>
      <c r="U2233" s="2" t="s">
        <v>488</v>
      </c>
      <c r="V2233" s="2" t="s">
        <v>488</v>
      </c>
      <c r="W2233">
        <f t="shared" si="36"/>
        <v>0</v>
      </c>
    </row>
    <row r="2234" spans="1:23" x14ac:dyDescent="0.25">
      <c r="A2234" s="2" t="s">
        <v>1380</v>
      </c>
      <c r="B2234" s="2" t="s">
        <v>920</v>
      </c>
      <c r="C2234" s="2">
        <v>540111</v>
      </c>
      <c r="D2234" s="2" t="s">
        <v>739</v>
      </c>
      <c r="E2234" s="2" t="s">
        <v>47</v>
      </c>
      <c r="F2234" s="2" t="s">
        <v>115</v>
      </c>
      <c r="G2234" s="2">
        <v>10</v>
      </c>
      <c r="H2234" s="2">
        <v>0</v>
      </c>
      <c r="I2234" s="2">
        <v>0</v>
      </c>
      <c r="J2234" s="2">
        <v>0</v>
      </c>
      <c r="K2234" s="2">
        <v>0</v>
      </c>
      <c r="L2234" s="2">
        <v>0</v>
      </c>
      <c r="M2234" s="2">
        <v>0</v>
      </c>
      <c r="N2234" s="2">
        <v>0</v>
      </c>
      <c r="O2234" s="2">
        <v>0</v>
      </c>
      <c r="P2234" s="2">
        <v>0</v>
      </c>
      <c r="Q2234" s="2" t="s">
        <v>488</v>
      </c>
      <c r="R2234" s="2" t="s">
        <v>488</v>
      </c>
      <c r="S2234" s="2" t="s">
        <v>488</v>
      </c>
      <c r="T2234" s="2" t="s">
        <v>488</v>
      </c>
      <c r="U2234" s="2" t="s">
        <v>488</v>
      </c>
      <c r="V2234" s="2" t="s">
        <v>488</v>
      </c>
      <c r="W2234">
        <f t="shared" si="36"/>
        <v>0</v>
      </c>
    </row>
    <row r="2235" spans="1:23" x14ac:dyDescent="0.25">
      <c r="A2235" s="2" t="s">
        <v>1380</v>
      </c>
      <c r="B2235" s="2" t="s">
        <v>920</v>
      </c>
      <c r="C2235" s="2">
        <v>540287</v>
      </c>
      <c r="D2235" s="2" t="s">
        <v>740</v>
      </c>
      <c r="E2235" s="2" t="s">
        <v>47</v>
      </c>
      <c r="F2235" s="2" t="s">
        <v>115</v>
      </c>
      <c r="G2235" s="2">
        <v>10</v>
      </c>
      <c r="H2235" s="2">
        <v>0</v>
      </c>
      <c r="I2235" s="2">
        <v>5</v>
      </c>
      <c r="J2235" s="2">
        <v>0</v>
      </c>
      <c r="K2235" s="2">
        <v>0</v>
      </c>
      <c r="L2235" s="2">
        <v>0</v>
      </c>
      <c r="M2235" s="2">
        <v>5</v>
      </c>
      <c r="N2235" s="2">
        <v>5</v>
      </c>
      <c r="O2235" s="2">
        <v>0</v>
      </c>
      <c r="P2235" s="2">
        <v>0</v>
      </c>
      <c r="Q2235" s="2" t="s">
        <v>488</v>
      </c>
      <c r="R2235" s="2" t="s">
        <v>488</v>
      </c>
      <c r="S2235" s="2" t="s">
        <v>488</v>
      </c>
      <c r="T2235" s="2" t="s">
        <v>488</v>
      </c>
      <c r="U2235" s="2" t="s">
        <v>488</v>
      </c>
      <c r="V2235" s="2" t="s">
        <v>488</v>
      </c>
      <c r="W2235">
        <f t="shared" si="36"/>
        <v>5</v>
      </c>
    </row>
    <row r="2236" spans="1:23" x14ac:dyDescent="0.25">
      <c r="A2236" s="2" t="s">
        <v>1380</v>
      </c>
      <c r="B2236" s="2" t="s">
        <v>920</v>
      </c>
      <c r="C2236" s="2">
        <v>540152</v>
      </c>
      <c r="D2236" s="2" t="s">
        <v>741</v>
      </c>
      <c r="E2236" s="2" t="s">
        <v>47</v>
      </c>
      <c r="F2236" s="2" t="s">
        <v>115</v>
      </c>
      <c r="G2236" s="2">
        <v>10</v>
      </c>
      <c r="H2236" s="2">
        <v>0</v>
      </c>
      <c r="I2236" s="2">
        <v>0</v>
      </c>
      <c r="J2236" s="2">
        <v>0</v>
      </c>
      <c r="K2236" s="2">
        <v>0</v>
      </c>
      <c r="L2236" s="2">
        <v>0</v>
      </c>
      <c r="M2236" s="2">
        <v>0</v>
      </c>
      <c r="N2236" s="2">
        <v>0</v>
      </c>
      <c r="O2236" s="2">
        <v>0</v>
      </c>
      <c r="P2236" s="2">
        <v>0</v>
      </c>
      <c r="Q2236" s="2" t="s">
        <v>488</v>
      </c>
      <c r="R2236" s="2" t="s">
        <v>488</v>
      </c>
      <c r="S2236" s="2" t="s">
        <v>488</v>
      </c>
      <c r="T2236" s="2" t="s">
        <v>488</v>
      </c>
      <c r="U2236" s="2" t="s">
        <v>488</v>
      </c>
      <c r="V2236" s="2" t="s">
        <v>488</v>
      </c>
      <c r="W2236">
        <f t="shared" si="36"/>
        <v>0</v>
      </c>
    </row>
    <row r="2237" spans="1:23" x14ac:dyDescent="0.25">
      <c r="A2237" s="255" t="s">
        <v>1380</v>
      </c>
      <c r="B2237" s="255" t="s">
        <v>920</v>
      </c>
      <c r="C2237" s="255"/>
      <c r="D2237" s="255"/>
      <c r="E2237" s="255" t="s">
        <v>47</v>
      </c>
      <c r="F2237" s="255"/>
      <c r="G2237" s="255"/>
      <c r="H2237" s="255">
        <v>0</v>
      </c>
      <c r="I2237" s="255">
        <v>5</v>
      </c>
      <c r="J2237" s="255">
        <v>0</v>
      </c>
      <c r="K2237" s="255">
        <v>0</v>
      </c>
      <c r="L2237" s="255">
        <v>0</v>
      </c>
      <c r="M2237" s="255">
        <v>5</v>
      </c>
      <c r="N2237" s="255">
        <v>5</v>
      </c>
      <c r="O2237" s="255">
        <v>0</v>
      </c>
      <c r="P2237" s="255">
        <v>0</v>
      </c>
      <c r="Q2237" s="255" t="s">
        <v>488</v>
      </c>
      <c r="R2237" s="255" t="s">
        <v>488</v>
      </c>
      <c r="S2237" s="255" t="s">
        <v>488</v>
      </c>
      <c r="T2237" s="255" t="s">
        <v>488</v>
      </c>
      <c r="U2237" s="255" t="s">
        <v>488</v>
      </c>
      <c r="V2237" s="255" t="s">
        <v>488</v>
      </c>
      <c r="W2237">
        <f t="shared" si="36"/>
        <v>5</v>
      </c>
    </row>
    <row r="2238" spans="1:23" x14ac:dyDescent="0.25">
      <c r="A2238" s="2" t="s">
        <v>1380</v>
      </c>
      <c r="B2238" s="2" t="s">
        <v>920</v>
      </c>
      <c r="C2238" s="2">
        <v>540112</v>
      </c>
      <c r="D2238" s="2" t="s">
        <v>742</v>
      </c>
      <c r="E2238" s="2" t="s">
        <v>49</v>
      </c>
      <c r="F2238" s="2" t="s">
        <v>5</v>
      </c>
      <c r="G2238" s="2">
        <v>2</v>
      </c>
      <c r="H2238" s="2">
        <v>0</v>
      </c>
      <c r="I2238" s="2">
        <v>9</v>
      </c>
      <c r="J2238" s="2">
        <v>0</v>
      </c>
      <c r="K2238" s="2">
        <v>0</v>
      </c>
      <c r="L2238" s="2">
        <v>0</v>
      </c>
      <c r="M2238" s="2">
        <v>9</v>
      </c>
      <c r="N2238" s="2">
        <v>9</v>
      </c>
      <c r="O2238" s="2">
        <v>0</v>
      </c>
      <c r="P2238" s="2">
        <v>0</v>
      </c>
      <c r="Q2238" s="2" t="s">
        <v>488</v>
      </c>
      <c r="R2238" s="2" t="s">
        <v>488</v>
      </c>
      <c r="S2238" s="2" t="s">
        <v>488</v>
      </c>
      <c r="T2238" s="2" t="s">
        <v>488</v>
      </c>
      <c r="U2238" s="2" t="s">
        <v>488</v>
      </c>
      <c r="V2238" s="2" t="s">
        <v>488</v>
      </c>
      <c r="W2238">
        <f t="shared" si="36"/>
        <v>9</v>
      </c>
    </row>
    <row r="2239" spans="1:23" x14ac:dyDescent="0.25">
      <c r="A2239" s="2" t="s">
        <v>1380</v>
      </c>
      <c r="B2239" s="2" t="s">
        <v>920</v>
      </c>
      <c r="C2239" s="2">
        <v>540113</v>
      </c>
      <c r="D2239" s="2" t="s">
        <v>743</v>
      </c>
      <c r="E2239" s="2" t="s">
        <v>49</v>
      </c>
      <c r="F2239" s="2" t="s">
        <v>115</v>
      </c>
      <c r="G2239" s="2">
        <v>2</v>
      </c>
      <c r="H2239" s="2">
        <v>0</v>
      </c>
      <c r="I2239" s="2">
        <v>0</v>
      </c>
      <c r="J2239" s="2">
        <v>0</v>
      </c>
      <c r="K2239" s="2">
        <v>0</v>
      </c>
      <c r="L2239" s="2">
        <v>0</v>
      </c>
      <c r="M2239" s="2">
        <v>0</v>
      </c>
      <c r="N2239" s="2">
        <v>0</v>
      </c>
      <c r="O2239" s="2">
        <v>0</v>
      </c>
      <c r="P2239" s="2">
        <v>0</v>
      </c>
      <c r="Q2239" s="2" t="s">
        <v>488</v>
      </c>
      <c r="R2239" s="2" t="s">
        <v>488</v>
      </c>
      <c r="S2239" s="2" t="s">
        <v>488</v>
      </c>
      <c r="T2239" s="2" t="s">
        <v>488</v>
      </c>
      <c r="U2239" s="2" t="s">
        <v>488</v>
      </c>
      <c r="V2239" s="2" t="s">
        <v>488</v>
      </c>
      <c r="W2239">
        <f t="shared" si="36"/>
        <v>0</v>
      </c>
    </row>
    <row r="2240" spans="1:23" x14ac:dyDescent="0.25">
      <c r="A2240" s="2" t="s">
        <v>1380</v>
      </c>
      <c r="B2240" s="2" t="s">
        <v>920</v>
      </c>
      <c r="C2240" s="2">
        <v>540247</v>
      </c>
      <c r="D2240" s="2" t="s">
        <v>744</v>
      </c>
      <c r="E2240" s="2" t="s">
        <v>49</v>
      </c>
      <c r="F2240" s="2" t="s">
        <v>115</v>
      </c>
      <c r="G2240" s="2">
        <v>2</v>
      </c>
      <c r="H2240" s="2">
        <v>0</v>
      </c>
      <c r="I2240" s="2">
        <v>0</v>
      </c>
      <c r="J2240" s="2">
        <v>0</v>
      </c>
      <c r="K2240" s="2">
        <v>0</v>
      </c>
      <c r="L2240" s="2">
        <v>0</v>
      </c>
      <c r="M2240" s="2">
        <v>0</v>
      </c>
      <c r="N2240" s="2">
        <v>0</v>
      </c>
      <c r="O2240" s="2">
        <v>0</v>
      </c>
      <c r="P2240" s="2">
        <v>0</v>
      </c>
      <c r="Q2240" s="2" t="s">
        <v>488</v>
      </c>
      <c r="R2240" s="2" t="s">
        <v>488</v>
      </c>
      <c r="S2240" s="2" t="s">
        <v>488</v>
      </c>
      <c r="T2240" s="2" t="s">
        <v>488</v>
      </c>
      <c r="U2240" s="2" t="s">
        <v>488</v>
      </c>
      <c r="V2240" s="2" t="s">
        <v>488</v>
      </c>
      <c r="W2240">
        <f t="shared" si="36"/>
        <v>0</v>
      </c>
    </row>
    <row r="2241" spans="1:23" x14ac:dyDescent="0.25">
      <c r="A2241" s="2" t="s">
        <v>1380</v>
      </c>
      <c r="B2241" s="2" t="s">
        <v>920</v>
      </c>
      <c r="C2241" s="2">
        <v>540248</v>
      </c>
      <c r="D2241" s="2" t="s">
        <v>745</v>
      </c>
      <c r="E2241" s="2" t="s">
        <v>49</v>
      </c>
      <c r="F2241" s="2" t="s">
        <v>115</v>
      </c>
      <c r="G2241" s="2">
        <v>2</v>
      </c>
      <c r="H2241" s="2">
        <v>0</v>
      </c>
      <c r="I2241" s="2">
        <v>0</v>
      </c>
      <c r="J2241" s="2">
        <v>0</v>
      </c>
      <c r="K2241" s="2">
        <v>0</v>
      </c>
      <c r="L2241" s="2">
        <v>0</v>
      </c>
      <c r="M2241" s="2">
        <v>0</v>
      </c>
      <c r="N2241" s="2">
        <v>0</v>
      </c>
      <c r="O2241" s="2">
        <v>0</v>
      </c>
      <c r="P2241" s="2">
        <v>0</v>
      </c>
      <c r="Q2241" s="2" t="s">
        <v>488</v>
      </c>
      <c r="R2241" s="2" t="s">
        <v>488</v>
      </c>
      <c r="S2241" s="2" t="s">
        <v>488</v>
      </c>
      <c r="T2241" s="2" t="s">
        <v>488</v>
      </c>
      <c r="U2241" s="2" t="s">
        <v>488</v>
      </c>
      <c r="V2241" s="2" t="s">
        <v>488</v>
      </c>
      <c r="W2241">
        <f t="shared" si="36"/>
        <v>0</v>
      </c>
    </row>
    <row r="2242" spans="1:23" x14ac:dyDescent="0.25">
      <c r="A2242" s="2" t="s">
        <v>1380</v>
      </c>
      <c r="B2242" s="2" t="s">
        <v>920</v>
      </c>
      <c r="C2242" s="2">
        <v>540249</v>
      </c>
      <c r="D2242" s="2" t="s">
        <v>746</v>
      </c>
      <c r="E2242" s="2" t="s">
        <v>49</v>
      </c>
      <c r="F2242" s="2" t="s">
        <v>115</v>
      </c>
      <c r="G2242" s="2">
        <v>2</v>
      </c>
      <c r="H2242" s="2">
        <v>0</v>
      </c>
      <c r="I2242" s="2">
        <v>0</v>
      </c>
      <c r="J2242" s="2">
        <v>0</v>
      </c>
      <c r="K2242" s="2">
        <v>0</v>
      </c>
      <c r="L2242" s="2">
        <v>0</v>
      </c>
      <c r="M2242" s="2">
        <v>0</v>
      </c>
      <c r="N2242" s="2">
        <v>0</v>
      </c>
      <c r="O2242" s="2">
        <v>0</v>
      </c>
      <c r="P2242" s="2">
        <v>0</v>
      </c>
      <c r="Q2242" s="2" t="s">
        <v>488</v>
      </c>
      <c r="R2242" s="2" t="s">
        <v>488</v>
      </c>
      <c r="S2242" s="2" t="s">
        <v>488</v>
      </c>
      <c r="T2242" s="2" t="s">
        <v>488</v>
      </c>
      <c r="U2242" s="2" t="s">
        <v>488</v>
      </c>
      <c r="V2242" s="2" t="s">
        <v>488</v>
      </c>
      <c r="W2242">
        <f t="shared" si="36"/>
        <v>0</v>
      </c>
    </row>
    <row r="2243" spans="1:23" x14ac:dyDescent="0.25">
      <c r="A2243" s="2" t="s">
        <v>1380</v>
      </c>
      <c r="B2243" s="2" t="s">
        <v>920</v>
      </c>
      <c r="C2243" s="2">
        <v>540250</v>
      </c>
      <c r="D2243" s="2" t="s">
        <v>747</v>
      </c>
      <c r="E2243" s="2" t="s">
        <v>49</v>
      </c>
      <c r="F2243" s="2" t="s">
        <v>115</v>
      </c>
      <c r="G2243" s="2">
        <v>2</v>
      </c>
      <c r="H2243" s="2">
        <v>0</v>
      </c>
      <c r="I2243" s="2">
        <v>1</v>
      </c>
      <c r="J2243" s="2">
        <v>0</v>
      </c>
      <c r="K2243" s="2">
        <v>0</v>
      </c>
      <c r="L2243" s="2">
        <v>0</v>
      </c>
      <c r="M2243" s="2">
        <v>1</v>
      </c>
      <c r="N2243" s="2">
        <v>1</v>
      </c>
      <c r="O2243" s="2">
        <v>0</v>
      </c>
      <c r="P2243" s="2">
        <v>0</v>
      </c>
      <c r="Q2243" s="2" t="s">
        <v>488</v>
      </c>
      <c r="R2243" s="2" t="s">
        <v>488</v>
      </c>
      <c r="S2243" s="2" t="s">
        <v>488</v>
      </c>
      <c r="T2243" s="2" t="s">
        <v>488</v>
      </c>
      <c r="U2243" s="2" t="s">
        <v>488</v>
      </c>
      <c r="V2243" s="2" t="s">
        <v>488</v>
      </c>
      <c r="W2243">
        <f t="shared" ref="W2243:W2306" si="37">SUM(N2243,P2243,R2243,T2243)</f>
        <v>1</v>
      </c>
    </row>
    <row r="2244" spans="1:23" x14ac:dyDescent="0.25">
      <c r="A2244" s="2" t="s">
        <v>1380</v>
      </c>
      <c r="B2244" s="2" t="s">
        <v>920</v>
      </c>
      <c r="C2244" s="2">
        <v>540251</v>
      </c>
      <c r="D2244" s="2" t="s">
        <v>748</v>
      </c>
      <c r="E2244" s="2" t="s">
        <v>49</v>
      </c>
      <c r="F2244" s="2" t="s">
        <v>115</v>
      </c>
      <c r="G2244" s="2">
        <v>2</v>
      </c>
      <c r="H2244" s="2">
        <v>0</v>
      </c>
      <c r="I2244" s="2">
        <v>0</v>
      </c>
      <c r="J2244" s="2">
        <v>0</v>
      </c>
      <c r="K2244" s="2">
        <v>0</v>
      </c>
      <c r="L2244" s="2">
        <v>0</v>
      </c>
      <c r="M2244" s="2">
        <v>0</v>
      </c>
      <c r="N2244" s="2">
        <v>0</v>
      </c>
      <c r="O2244" s="2">
        <v>0</v>
      </c>
      <c r="P2244" s="2">
        <v>0</v>
      </c>
      <c r="Q2244" s="2" t="s">
        <v>488</v>
      </c>
      <c r="R2244" s="2" t="s">
        <v>488</v>
      </c>
      <c r="S2244" s="2" t="s">
        <v>488</v>
      </c>
      <c r="T2244" s="2" t="s">
        <v>488</v>
      </c>
      <c r="U2244" s="2" t="s">
        <v>488</v>
      </c>
      <c r="V2244" s="2" t="s">
        <v>488</v>
      </c>
      <c r="W2244">
        <f t="shared" si="37"/>
        <v>0</v>
      </c>
    </row>
    <row r="2245" spans="1:23" x14ac:dyDescent="0.25">
      <c r="A2245" s="255" t="s">
        <v>1380</v>
      </c>
      <c r="B2245" s="255" t="s">
        <v>920</v>
      </c>
      <c r="C2245" s="255"/>
      <c r="D2245" s="255"/>
      <c r="E2245" s="255" t="s">
        <v>49</v>
      </c>
      <c r="F2245" s="255"/>
      <c r="G2245" s="255"/>
      <c r="H2245" s="255">
        <v>0</v>
      </c>
      <c r="I2245" s="255">
        <v>10</v>
      </c>
      <c r="J2245" s="255">
        <v>0</v>
      </c>
      <c r="K2245" s="255">
        <v>0</v>
      </c>
      <c r="L2245" s="255">
        <v>0</v>
      </c>
      <c r="M2245" s="255">
        <v>10</v>
      </c>
      <c r="N2245" s="255">
        <v>10</v>
      </c>
      <c r="O2245" s="255">
        <v>0</v>
      </c>
      <c r="P2245" s="255">
        <v>0</v>
      </c>
      <c r="Q2245" s="255" t="s">
        <v>488</v>
      </c>
      <c r="R2245" s="255" t="s">
        <v>488</v>
      </c>
      <c r="S2245" s="255" t="s">
        <v>488</v>
      </c>
      <c r="T2245" s="255" t="s">
        <v>488</v>
      </c>
      <c r="U2245" s="255" t="s">
        <v>488</v>
      </c>
      <c r="V2245" s="255" t="s">
        <v>488</v>
      </c>
      <c r="W2245">
        <f t="shared" si="37"/>
        <v>10</v>
      </c>
    </row>
    <row r="2246" spans="1:23" x14ac:dyDescent="0.25">
      <c r="A2246" s="2" t="s">
        <v>1380</v>
      </c>
      <c r="B2246" s="2" t="s">
        <v>920</v>
      </c>
      <c r="C2246" s="2">
        <v>540114</v>
      </c>
      <c r="D2246" s="2" t="s">
        <v>749</v>
      </c>
      <c r="E2246" s="2" t="s">
        <v>51</v>
      </c>
      <c r="F2246" s="2" t="s">
        <v>5</v>
      </c>
      <c r="G2246" s="2">
        <v>1</v>
      </c>
      <c r="H2246" s="2">
        <v>2</v>
      </c>
      <c r="I2246" s="2">
        <v>6</v>
      </c>
      <c r="J2246" s="2">
        <v>2</v>
      </c>
      <c r="K2246" s="2">
        <v>0</v>
      </c>
      <c r="L2246" s="2">
        <v>0</v>
      </c>
      <c r="M2246" s="2">
        <v>8</v>
      </c>
      <c r="N2246" s="2">
        <v>10</v>
      </c>
      <c r="O2246" s="2">
        <v>0</v>
      </c>
      <c r="P2246" s="2">
        <v>0</v>
      </c>
      <c r="Q2246" s="2">
        <v>2</v>
      </c>
      <c r="R2246" s="2">
        <v>2</v>
      </c>
      <c r="S2246" s="2">
        <v>2</v>
      </c>
      <c r="T2246" s="2">
        <v>0</v>
      </c>
      <c r="U2246" s="2" t="s">
        <v>488</v>
      </c>
      <c r="V2246" s="2" t="s">
        <v>488</v>
      </c>
      <c r="W2246">
        <f t="shared" si="37"/>
        <v>12</v>
      </c>
    </row>
    <row r="2247" spans="1:23" x14ac:dyDescent="0.25">
      <c r="A2247" s="2" t="s">
        <v>1380</v>
      </c>
      <c r="B2247" s="2" t="s">
        <v>920</v>
      </c>
      <c r="C2247" s="2">
        <v>540115</v>
      </c>
      <c r="D2247" s="2" t="s">
        <v>750</v>
      </c>
      <c r="E2247" s="2" t="s">
        <v>51</v>
      </c>
      <c r="F2247" s="2" t="s">
        <v>115</v>
      </c>
      <c r="G2247" s="2">
        <v>1</v>
      </c>
      <c r="H2247" s="2">
        <v>0</v>
      </c>
      <c r="I2247" s="2">
        <v>0</v>
      </c>
      <c r="J2247" s="2">
        <v>0</v>
      </c>
      <c r="K2247" s="2">
        <v>0</v>
      </c>
      <c r="L2247" s="2">
        <v>0</v>
      </c>
      <c r="M2247" s="2">
        <v>0</v>
      </c>
      <c r="N2247" s="2">
        <v>0</v>
      </c>
      <c r="O2247" s="2">
        <v>0</v>
      </c>
      <c r="P2247" s="2">
        <v>0</v>
      </c>
      <c r="Q2247" s="2">
        <v>0</v>
      </c>
      <c r="R2247" s="2">
        <v>0</v>
      </c>
      <c r="S2247" s="2">
        <v>0</v>
      </c>
      <c r="T2247" s="2">
        <v>0</v>
      </c>
      <c r="U2247" s="2" t="s">
        <v>488</v>
      </c>
      <c r="V2247" s="2" t="s">
        <v>488</v>
      </c>
      <c r="W2247">
        <f t="shared" si="37"/>
        <v>0</v>
      </c>
    </row>
    <row r="2248" spans="1:23" x14ac:dyDescent="0.25">
      <c r="A2248" s="2" t="s">
        <v>1380</v>
      </c>
      <c r="B2248" s="2" t="s">
        <v>920</v>
      </c>
      <c r="C2248" s="2">
        <v>540116</v>
      </c>
      <c r="D2248" s="2" t="s">
        <v>751</v>
      </c>
      <c r="E2248" s="2" t="s">
        <v>51</v>
      </c>
      <c r="F2248" s="2" t="s">
        <v>115</v>
      </c>
      <c r="G2248" s="2">
        <v>1</v>
      </c>
      <c r="H2248" s="2">
        <v>0</v>
      </c>
      <c r="I2248" s="2">
        <v>0</v>
      </c>
      <c r="J2248" s="2">
        <v>0</v>
      </c>
      <c r="K2248" s="2">
        <v>0</v>
      </c>
      <c r="L2248" s="2">
        <v>0</v>
      </c>
      <c r="M2248" s="2">
        <v>0</v>
      </c>
      <c r="N2248" s="2">
        <v>0</v>
      </c>
      <c r="O2248" s="2">
        <v>0</v>
      </c>
      <c r="P2248" s="2">
        <v>0</v>
      </c>
      <c r="Q2248" s="2">
        <v>0</v>
      </c>
      <c r="R2248" s="2">
        <v>0</v>
      </c>
      <c r="S2248" s="2">
        <v>0</v>
      </c>
      <c r="T2248" s="2">
        <v>0</v>
      </c>
      <c r="U2248" s="2" t="s">
        <v>488</v>
      </c>
      <c r="V2248" s="2" t="s">
        <v>488</v>
      </c>
      <c r="W2248">
        <f t="shared" si="37"/>
        <v>0</v>
      </c>
    </row>
    <row r="2249" spans="1:23" x14ac:dyDescent="0.25">
      <c r="A2249" s="2" t="s">
        <v>1380</v>
      </c>
      <c r="B2249" s="2" t="s">
        <v>920</v>
      </c>
      <c r="C2249" s="2">
        <v>540117</v>
      </c>
      <c r="D2249" s="2" t="s">
        <v>752</v>
      </c>
      <c r="E2249" s="2" t="s">
        <v>51</v>
      </c>
      <c r="F2249" s="2" t="s">
        <v>115</v>
      </c>
      <c r="G2249" s="2">
        <v>1</v>
      </c>
      <c r="H2249" s="2">
        <v>2</v>
      </c>
      <c r="I2249" s="2">
        <v>0</v>
      </c>
      <c r="J2249" s="2">
        <v>0</v>
      </c>
      <c r="K2249" s="2">
        <v>0</v>
      </c>
      <c r="L2249" s="2">
        <v>0</v>
      </c>
      <c r="M2249" s="2">
        <v>0</v>
      </c>
      <c r="N2249" s="2">
        <v>2</v>
      </c>
      <c r="O2249" s="2">
        <v>0</v>
      </c>
      <c r="P2249" s="2">
        <v>0</v>
      </c>
      <c r="Q2249" s="2">
        <v>0</v>
      </c>
      <c r="R2249" s="2">
        <v>0</v>
      </c>
      <c r="S2249" s="2">
        <v>0</v>
      </c>
      <c r="T2249" s="2">
        <v>0</v>
      </c>
      <c r="U2249" s="2" t="s">
        <v>488</v>
      </c>
      <c r="V2249" s="2" t="s">
        <v>488</v>
      </c>
      <c r="W2249">
        <f t="shared" si="37"/>
        <v>2</v>
      </c>
    </row>
    <row r="2250" spans="1:23" x14ac:dyDescent="0.25">
      <c r="A2250" s="2" t="s">
        <v>1380</v>
      </c>
      <c r="B2250" s="2" t="s">
        <v>920</v>
      </c>
      <c r="C2250" s="2">
        <v>540118</v>
      </c>
      <c r="D2250" s="2" t="s">
        <v>753</v>
      </c>
      <c r="E2250" s="2" t="s">
        <v>51</v>
      </c>
      <c r="F2250" s="2" t="s">
        <v>115</v>
      </c>
      <c r="G2250" s="2">
        <v>1</v>
      </c>
      <c r="H2250" s="2">
        <v>0</v>
      </c>
      <c r="I2250" s="2">
        <v>0</v>
      </c>
      <c r="J2250" s="2">
        <v>0</v>
      </c>
      <c r="K2250" s="2">
        <v>0</v>
      </c>
      <c r="L2250" s="2">
        <v>0</v>
      </c>
      <c r="M2250" s="2">
        <v>0</v>
      </c>
      <c r="N2250" s="2">
        <v>0</v>
      </c>
      <c r="O2250" s="2">
        <v>0</v>
      </c>
      <c r="P2250" s="2">
        <v>0</v>
      </c>
      <c r="Q2250" s="2">
        <v>0</v>
      </c>
      <c r="R2250" s="2">
        <v>0</v>
      </c>
      <c r="S2250" s="2">
        <v>0</v>
      </c>
      <c r="T2250" s="2">
        <v>0</v>
      </c>
      <c r="U2250" s="2" t="s">
        <v>488</v>
      </c>
      <c r="V2250" s="2" t="s">
        <v>488</v>
      </c>
      <c r="W2250">
        <f t="shared" si="37"/>
        <v>0</v>
      </c>
    </row>
    <row r="2251" spans="1:23" x14ac:dyDescent="0.25">
      <c r="A2251" s="2" t="s">
        <v>1380</v>
      </c>
      <c r="B2251" s="2" t="s">
        <v>920</v>
      </c>
      <c r="C2251" s="2">
        <v>540119</v>
      </c>
      <c r="D2251" s="2" t="s">
        <v>754</v>
      </c>
      <c r="E2251" s="2" t="s">
        <v>51</v>
      </c>
      <c r="F2251" s="2" t="s">
        <v>115</v>
      </c>
      <c r="G2251" s="2">
        <v>1</v>
      </c>
      <c r="H2251" s="2">
        <v>0</v>
      </c>
      <c r="I2251" s="2">
        <v>0</v>
      </c>
      <c r="J2251" s="2">
        <v>0</v>
      </c>
      <c r="K2251" s="2">
        <v>0</v>
      </c>
      <c r="L2251" s="2">
        <v>0</v>
      </c>
      <c r="M2251" s="2">
        <v>0</v>
      </c>
      <c r="N2251" s="2">
        <v>0</v>
      </c>
      <c r="O2251" s="2">
        <v>0</v>
      </c>
      <c r="P2251" s="2">
        <v>0</v>
      </c>
      <c r="Q2251" s="2">
        <v>0</v>
      </c>
      <c r="R2251" s="2">
        <v>0</v>
      </c>
      <c r="S2251" s="2">
        <v>0</v>
      </c>
      <c r="T2251" s="2">
        <v>0</v>
      </c>
      <c r="U2251" s="2" t="s">
        <v>488</v>
      </c>
      <c r="V2251" s="2" t="s">
        <v>488</v>
      </c>
      <c r="W2251">
        <f t="shared" si="37"/>
        <v>0</v>
      </c>
    </row>
    <row r="2252" spans="1:23" x14ac:dyDescent="0.25">
      <c r="A2252" s="2" t="s">
        <v>1380</v>
      </c>
      <c r="B2252" s="2" t="s">
        <v>920</v>
      </c>
      <c r="C2252" s="2">
        <v>540120</v>
      </c>
      <c r="D2252" s="2" t="s">
        <v>755</v>
      </c>
      <c r="E2252" s="2" t="s">
        <v>51</v>
      </c>
      <c r="F2252" s="2" t="s">
        <v>115</v>
      </c>
      <c r="G2252" s="2">
        <v>1</v>
      </c>
      <c r="H2252" s="2">
        <v>0</v>
      </c>
      <c r="I2252" s="2">
        <v>2</v>
      </c>
      <c r="J2252" s="2">
        <v>0</v>
      </c>
      <c r="K2252" s="2">
        <v>0</v>
      </c>
      <c r="L2252" s="2">
        <v>0</v>
      </c>
      <c r="M2252" s="2">
        <v>2</v>
      </c>
      <c r="N2252" s="2">
        <v>2</v>
      </c>
      <c r="O2252" s="2">
        <v>0</v>
      </c>
      <c r="P2252" s="2">
        <v>0</v>
      </c>
      <c r="Q2252" s="2">
        <v>0</v>
      </c>
      <c r="R2252" s="2">
        <v>0</v>
      </c>
      <c r="S2252" s="2">
        <v>0</v>
      </c>
      <c r="T2252" s="2">
        <v>0</v>
      </c>
      <c r="U2252" s="2" t="s">
        <v>488</v>
      </c>
      <c r="V2252" s="2" t="s">
        <v>488</v>
      </c>
      <c r="W2252">
        <f t="shared" si="37"/>
        <v>2</v>
      </c>
    </row>
    <row r="2253" spans="1:23" x14ac:dyDescent="0.25">
      <c r="A2253" s="2" t="s">
        <v>1380</v>
      </c>
      <c r="B2253" s="2" t="s">
        <v>920</v>
      </c>
      <c r="C2253" s="2">
        <v>540121</v>
      </c>
      <c r="D2253" s="2" t="s">
        <v>756</v>
      </c>
      <c r="E2253" s="2" t="s">
        <v>51</v>
      </c>
      <c r="F2253" s="2" t="s">
        <v>115</v>
      </c>
      <c r="G2253" s="2">
        <v>1</v>
      </c>
      <c r="H2253" s="2">
        <v>2</v>
      </c>
      <c r="I2253" s="2">
        <v>0</v>
      </c>
      <c r="J2253" s="2">
        <v>0</v>
      </c>
      <c r="K2253" s="2">
        <v>0</v>
      </c>
      <c r="L2253" s="2">
        <v>0</v>
      </c>
      <c r="M2253" s="2">
        <v>0</v>
      </c>
      <c r="N2253" s="2">
        <v>2</v>
      </c>
      <c r="O2253" s="2">
        <v>0</v>
      </c>
      <c r="P2253" s="2">
        <v>0</v>
      </c>
      <c r="Q2253" s="2">
        <v>0</v>
      </c>
      <c r="R2253" s="2">
        <v>0</v>
      </c>
      <c r="S2253" s="2">
        <v>0</v>
      </c>
      <c r="T2253" s="2">
        <v>0</v>
      </c>
      <c r="U2253" s="2" t="s">
        <v>488</v>
      </c>
      <c r="V2253" s="2" t="s">
        <v>488</v>
      </c>
      <c r="W2253">
        <f t="shared" si="37"/>
        <v>2</v>
      </c>
    </row>
    <row r="2254" spans="1:23" x14ac:dyDescent="0.25">
      <c r="A2254" s="2" t="s">
        <v>1380</v>
      </c>
      <c r="B2254" s="2" t="s">
        <v>920</v>
      </c>
      <c r="C2254" s="2">
        <v>540122</v>
      </c>
      <c r="D2254" s="2" t="s">
        <v>757</v>
      </c>
      <c r="E2254" s="2" t="s">
        <v>51</v>
      </c>
      <c r="F2254" s="2" t="s">
        <v>115</v>
      </c>
      <c r="G2254" s="2">
        <v>1</v>
      </c>
      <c r="H2254" s="2">
        <v>0</v>
      </c>
      <c r="I2254" s="2">
        <v>0</v>
      </c>
      <c r="J2254" s="2">
        <v>0</v>
      </c>
      <c r="K2254" s="2">
        <v>0</v>
      </c>
      <c r="L2254" s="2">
        <v>0</v>
      </c>
      <c r="M2254" s="2">
        <v>0</v>
      </c>
      <c r="N2254" s="2">
        <v>0</v>
      </c>
      <c r="O2254" s="2">
        <v>0</v>
      </c>
      <c r="P2254" s="2">
        <v>0</v>
      </c>
      <c r="Q2254" s="2">
        <v>0</v>
      </c>
      <c r="R2254" s="2">
        <v>0</v>
      </c>
      <c r="S2254" s="2">
        <v>0</v>
      </c>
      <c r="T2254" s="2">
        <v>0</v>
      </c>
      <c r="U2254" s="2" t="s">
        <v>488</v>
      </c>
      <c r="V2254" s="2" t="s">
        <v>488</v>
      </c>
      <c r="W2254">
        <f t="shared" si="37"/>
        <v>0</v>
      </c>
    </row>
    <row r="2255" spans="1:23" x14ac:dyDescent="0.25">
      <c r="A2255" s="2" t="s">
        <v>1380</v>
      </c>
      <c r="B2255" s="2" t="s">
        <v>920</v>
      </c>
      <c r="C2255" s="2">
        <v>540123</v>
      </c>
      <c r="D2255" s="2" t="s">
        <v>758</v>
      </c>
      <c r="E2255" s="2" t="s">
        <v>51</v>
      </c>
      <c r="F2255" s="2" t="s">
        <v>115</v>
      </c>
      <c r="G2255" s="2">
        <v>1</v>
      </c>
      <c r="H2255" s="2">
        <v>0</v>
      </c>
      <c r="I2255" s="2">
        <v>56</v>
      </c>
      <c r="J2255" s="2">
        <v>0</v>
      </c>
      <c r="K2255" s="2">
        <v>0</v>
      </c>
      <c r="L2255" s="2">
        <v>0</v>
      </c>
      <c r="M2255" s="2">
        <v>56</v>
      </c>
      <c r="N2255" s="2">
        <v>56</v>
      </c>
      <c r="O2255" s="2">
        <v>0</v>
      </c>
      <c r="P2255" s="2">
        <v>0</v>
      </c>
      <c r="Q2255" s="2">
        <v>0</v>
      </c>
      <c r="R2255" s="2">
        <v>0</v>
      </c>
      <c r="S2255" s="2">
        <v>0</v>
      </c>
      <c r="T2255" s="2">
        <v>1</v>
      </c>
      <c r="U2255" s="2" t="s">
        <v>488</v>
      </c>
      <c r="V2255" s="2" t="s">
        <v>488</v>
      </c>
      <c r="W2255">
        <f t="shared" si="37"/>
        <v>57</v>
      </c>
    </row>
    <row r="2256" spans="1:23" x14ac:dyDescent="0.25">
      <c r="A2256" s="2" t="s">
        <v>1380</v>
      </c>
      <c r="B2256" s="2" t="s">
        <v>920</v>
      </c>
      <c r="C2256" s="2">
        <v>540291</v>
      </c>
      <c r="D2256" s="2" t="s">
        <v>759</v>
      </c>
      <c r="E2256" s="2" t="s">
        <v>51</v>
      </c>
      <c r="F2256" s="2" t="s">
        <v>115</v>
      </c>
      <c r="G2256" s="2">
        <v>1</v>
      </c>
      <c r="H2256" s="2">
        <v>0</v>
      </c>
      <c r="I2256" s="2">
        <v>0</v>
      </c>
      <c r="J2256" s="2">
        <v>0</v>
      </c>
      <c r="K2256" s="2">
        <v>0</v>
      </c>
      <c r="L2256" s="2">
        <v>0</v>
      </c>
      <c r="M2256" s="2">
        <v>0</v>
      </c>
      <c r="N2256" s="2">
        <v>0</v>
      </c>
      <c r="O2256" s="2">
        <v>0</v>
      </c>
      <c r="P2256" s="2">
        <v>0</v>
      </c>
      <c r="Q2256" s="2">
        <v>0</v>
      </c>
      <c r="R2256" s="2">
        <v>0</v>
      </c>
      <c r="S2256" s="2">
        <v>0</v>
      </c>
      <c r="T2256" s="2">
        <v>0</v>
      </c>
      <c r="U2256" s="2" t="s">
        <v>488</v>
      </c>
      <c r="V2256" s="2" t="s">
        <v>488</v>
      </c>
      <c r="W2256">
        <f t="shared" si="37"/>
        <v>0</v>
      </c>
    </row>
    <row r="2257" spans="1:23" x14ac:dyDescent="0.25">
      <c r="A2257" s="255" t="s">
        <v>1380</v>
      </c>
      <c r="B2257" s="255" t="s">
        <v>920</v>
      </c>
      <c r="C2257" s="255"/>
      <c r="D2257" s="255"/>
      <c r="E2257" s="255" t="s">
        <v>51</v>
      </c>
      <c r="F2257" s="255"/>
      <c r="G2257" s="255"/>
      <c r="H2257" s="255">
        <v>6</v>
      </c>
      <c r="I2257" s="255">
        <v>64</v>
      </c>
      <c r="J2257" s="255">
        <v>2</v>
      </c>
      <c r="K2257" s="255">
        <v>0</v>
      </c>
      <c r="L2257" s="255">
        <v>0</v>
      </c>
      <c r="M2257" s="255">
        <v>66</v>
      </c>
      <c r="N2257" s="255">
        <v>72</v>
      </c>
      <c r="O2257" s="255">
        <v>0</v>
      </c>
      <c r="P2257" s="255">
        <v>0</v>
      </c>
      <c r="Q2257" s="255">
        <v>2</v>
      </c>
      <c r="R2257" s="255">
        <v>2</v>
      </c>
      <c r="S2257" s="255">
        <v>2</v>
      </c>
      <c r="T2257" s="255">
        <v>1</v>
      </c>
      <c r="U2257" s="255" t="s">
        <v>488</v>
      </c>
      <c r="V2257" s="255" t="s">
        <v>488</v>
      </c>
      <c r="W2257">
        <f t="shared" si="37"/>
        <v>75</v>
      </c>
    </row>
    <row r="2258" spans="1:23" x14ac:dyDescent="0.25">
      <c r="A2258" s="2" t="s">
        <v>1380</v>
      </c>
      <c r="B2258" s="2" t="s">
        <v>920</v>
      </c>
      <c r="C2258" s="2">
        <v>540124</v>
      </c>
      <c r="D2258" s="2" t="s">
        <v>760</v>
      </c>
      <c r="E2258" s="2" t="s">
        <v>53</v>
      </c>
      <c r="F2258" s="2" t="s">
        <v>5</v>
      </c>
      <c r="G2258" s="2">
        <v>1</v>
      </c>
      <c r="H2258" s="2">
        <v>0</v>
      </c>
      <c r="I2258" s="2">
        <v>1</v>
      </c>
      <c r="J2258" s="2">
        <v>0</v>
      </c>
      <c r="K2258" s="2">
        <v>0</v>
      </c>
      <c r="L2258" s="2">
        <v>0</v>
      </c>
      <c r="M2258" s="2">
        <v>1</v>
      </c>
      <c r="N2258" s="2">
        <v>1</v>
      </c>
      <c r="O2258" s="2">
        <v>0</v>
      </c>
      <c r="P2258" s="2">
        <v>0</v>
      </c>
      <c r="Q2258" s="2">
        <v>0</v>
      </c>
      <c r="R2258" s="2">
        <v>0</v>
      </c>
      <c r="S2258" s="2" t="s">
        <v>488</v>
      </c>
      <c r="T2258" s="2" t="s">
        <v>488</v>
      </c>
      <c r="U2258" s="2" t="s">
        <v>488</v>
      </c>
      <c r="V2258" s="2" t="s">
        <v>488</v>
      </c>
      <c r="W2258">
        <f t="shared" si="37"/>
        <v>1</v>
      </c>
    </row>
    <row r="2259" spans="1:23" x14ac:dyDescent="0.25">
      <c r="A2259" s="2" t="s">
        <v>1380</v>
      </c>
      <c r="B2259" s="2" t="s">
        <v>920</v>
      </c>
      <c r="C2259" s="2">
        <v>540125</v>
      </c>
      <c r="D2259" s="2" t="s">
        <v>761</v>
      </c>
      <c r="E2259" s="2" t="s">
        <v>53</v>
      </c>
      <c r="F2259" s="2" t="s">
        <v>115</v>
      </c>
      <c r="G2259" s="2">
        <v>1</v>
      </c>
      <c r="H2259" s="2">
        <v>0</v>
      </c>
      <c r="I2259" s="2">
        <v>10</v>
      </c>
      <c r="J2259" s="2">
        <v>2</v>
      </c>
      <c r="K2259" s="2">
        <v>0</v>
      </c>
      <c r="L2259" s="2">
        <v>0</v>
      </c>
      <c r="M2259" s="2">
        <v>12</v>
      </c>
      <c r="N2259" s="2">
        <v>12</v>
      </c>
      <c r="O2259" s="2">
        <v>0</v>
      </c>
      <c r="P2259" s="2">
        <v>0</v>
      </c>
      <c r="Q2259" s="2">
        <v>0</v>
      </c>
      <c r="R2259" s="2">
        <v>1</v>
      </c>
      <c r="S2259" s="2" t="s">
        <v>488</v>
      </c>
      <c r="T2259" s="2" t="s">
        <v>488</v>
      </c>
      <c r="U2259" s="2" t="s">
        <v>488</v>
      </c>
      <c r="V2259" s="2" t="s">
        <v>488</v>
      </c>
      <c r="W2259">
        <f t="shared" si="37"/>
        <v>13</v>
      </c>
    </row>
    <row r="2260" spans="1:23" x14ac:dyDescent="0.25">
      <c r="A2260" s="2" t="s">
        <v>1380</v>
      </c>
      <c r="B2260" s="2" t="s">
        <v>920</v>
      </c>
      <c r="C2260" s="2">
        <v>540126</v>
      </c>
      <c r="D2260" s="2" t="s">
        <v>762</v>
      </c>
      <c r="E2260" s="2" t="s">
        <v>53</v>
      </c>
      <c r="F2260" s="2" t="s">
        <v>115</v>
      </c>
      <c r="G2260" s="2">
        <v>1</v>
      </c>
      <c r="H2260" s="2">
        <v>0</v>
      </c>
      <c r="I2260" s="2">
        <v>0</v>
      </c>
      <c r="J2260" s="2">
        <v>0</v>
      </c>
      <c r="K2260" s="2">
        <v>0</v>
      </c>
      <c r="L2260" s="2">
        <v>0</v>
      </c>
      <c r="M2260" s="2">
        <v>0</v>
      </c>
      <c r="N2260" s="2">
        <v>0</v>
      </c>
      <c r="O2260" s="2">
        <v>0</v>
      </c>
      <c r="P2260" s="2">
        <v>0</v>
      </c>
      <c r="Q2260" s="2">
        <v>0</v>
      </c>
      <c r="R2260" s="2">
        <v>0</v>
      </c>
      <c r="S2260" s="2" t="s">
        <v>488</v>
      </c>
      <c r="T2260" s="2" t="s">
        <v>488</v>
      </c>
      <c r="U2260" s="2" t="s">
        <v>488</v>
      </c>
      <c r="V2260" s="2" t="s">
        <v>488</v>
      </c>
      <c r="W2260">
        <f t="shared" si="37"/>
        <v>0</v>
      </c>
    </row>
    <row r="2261" spans="1:23" x14ac:dyDescent="0.25">
      <c r="A2261" s="2" t="s">
        <v>1380</v>
      </c>
      <c r="B2261" s="2" t="s">
        <v>920</v>
      </c>
      <c r="C2261" s="2">
        <v>540127</v>
      </c>
      <c r="D2261" s="2" t="s">
        <v>763</v>
      </c>
      <c r="E2261" s="2" t="s">
        <v>53</v>
      </c>
      <c r="F2261" s="2" t="s">
        <v>115</v>
      </c>
      <c r="G2261" s="2">
        <v>1</v>
      </c>
      <c r="H2261" s="2">
        <v>0</v>
      </c>
      <c r="I2261" s="2">
        <v>0</v>
      </c>
      <c r="J2261" s="2">
        <v>0</v>
      </c>
      <c r="K2261" s="2">
        <v>0</v>
      </c>
      <c r="L2261" s="2">
        <v>0</v>
      </c>
      <c r="M2261" s="2">
        <v>0</v>
      </c>
      <c r="N2261" s="2">
        <v>0</v>
      </c>
      <c r="O2261" s="2">
        <v>0</v>
      </c>
      <c r="P2261" s="2">
        <v>0</v>
      </c>
      <c r="Q2261" s="2">
        <v>0</v>
      </c>
      <c r="R2261" s="2">
        <v>0</v>
      </c>
      <c r="S2261" s="2" t="s">
        <v>488</v>
      </c>
      <c r="T2261" s="2" t="s">
        <v>488</v>
      </c>
      <c r="U2261" s="2" t="s">
        <v>488</v>
      </c>
      <c r="V2261" s="2" t="s">
        <v>488</v>
      </c>
      <c r="W2261">
        <f t="shared" si="37"/>
        <v>0</v>
      </c>
    </row>
    <row r="2262" spans="1:23" x14ac:dyDescent="0.25">
      <c r="A2262" s="2" t="s">
        <v>1380</v>
      </c>
      <c r="B2262" s="2" t="s">
        <v>920</v>
      </c>
      <c r="C2262" s="2">
        <v>540128</v>
      </c>
      <c r="D2262" s="2" t="s">
        <v>764</v>
      </c>
      <c r="E2262" s="2" t="s">
        <v>53</v>
      </c>
      <c r="F2262" s="2" t="s">
        <v>115</v>
      </c>
      <c r="G2262" s="2">
        <v>1</v>
      </c>
      <c r="H2262" s="2">
        <v>0</v>
      </c>
      <c r="I2262" s="2">
        <v>0</v>
      </c>
      <c r="J2262" s="2">
        <v>0</v>
      </c>
      <c r="K2262" s="2">
        <v>0</v>
      </c>
      <c r="L2262" s="2">
        <v>0</v>
      </c>
      <c r="M2262" s="2">
        <v>0</v>
      </c>
      <c r="N2262" s="2">
        <v>0</v>
      </c>
      <c r="O2262" s="2">
        <v>0</v>
      </c>
      <c r="P2262" s="2">
        <v>0</v>
      </c>
      <c r="Q2262" s="2">
        <v>0</v>
      </c>
      <c r="R2262" s="2">
        <v>0</v>
      </c>
      <c r="S2262" s="2" t="s">
        <v>488</v>
      </c>
      <c r="T2262" s="2" t="s">
        <v>488</v>
      </c>
      <c r="U2262" s="2" t="s">
        <v>488</v>
      </c>
      <c r="V2262" s="2" t="s">
        <v>488</v>
      </c>
      <c r="W2262">
        <f t="shared" si="37"/>
        <v>0</v>
      </c>
    </row>
    <row r="2263" spans="1:23" x14ac:dyDescent="0.25">
      <c r="A2263" s="2" t="s">
        <v>1380</v>
      </c>
      <c r="B2263" s="2" t="s">
        <v>920</v>
      </c>
      <c r="C2263" s="2">
        <v>540172</v>
      </c>
      <c r="D2263" s="2" t="s">
        <v>765</v>
      </c>
      <c r="E2263" s="2" t="s">
        <v>53</v>
      </c>
      <c r="F2263" s="2" t="s">
        <v>115</v>
      </c>
      <c r="G2263" s="2">
        <v>1</v>
      </c>
      <c r="H2263" s="2">
        <v>0</v>
      </c>
      <c r="I2263" s="2">
        <v>0</v>
      </c>
      <c r="J2263" s="2">
        <v>0</v>
      </c>
      <c r="K2263" s="2">
        <v>0</v>
      </c>
      <c r="L2263" s="2">
        <v>0</v>
      </c>
      <c r="M2263" s="2">
        <v>0</v>
      </c>
      <c r="N2263" s="2">
        <v>0</v>
      </c>
      <c r="O2263" s="2">
        <v>0</v>
      </c>
      <c r="P2263" s="2">
        <v>0</v>
      </c>
      <c r="Q2263" s="2">
        <v>0</v>
      </c>
      <c r="R2263" s="2">
        <v>0</v>
      </c>
      <c r="S2263" s="2" t="s">
        <v>488</v>
      </c>
      <c r="T2263" s="2" t="s">
        <v>488</v>
      </c>
      <c r="U2263" s="2" t="s">
        <v>488</v>
      </c>
      <c r="V2263" s="2" t="s">
        <v>488</v>
      </c>
      <c r="W2263">
        <f t="shared" si="37"/>
        <v>0</v>
      </c>
    </row>
    <row r="2264" spans="1:23" x14ac:dyDescent="0.25">
      <c r="A2264" s="2" t="s">
        <v>1380</v>
      </c>
      <c r="B2264" s="2" t="s">
        <v>920</v>
      </c>
      <c r="C2264" s="2">
        <v>540285</v>
      </c>
      <c r="D2264" s="2" t="s">
        <v>766</v>
      </c>
      <c r="E2264" s="2" t="s">
        <v>53</v>
      </c>
      <c r="F2264" s="2" t="s">
        <v>115</v>
      </c>
      <c r="G2264" s="2">
        <v>1</v>
      </c>
      <c r="H2264" s="2">
        <v>0</v>
      </c>
      <c r="I2264" s="2">
        <v>0</v>
      </c>
      <c r="J2264" s="2">
        <v>0</v>
      </c>
      <c r="K2264" s="2">
        <v>0</v>
      </c>
      <c r="L2264" s="2">
        <v>0</v>
      </c>
      <c r="M2264" s="2">
        <v>0</v>
      </c>
      <c r="N2264" s="2">
        <v>0</v>
      </c>
      <c r="O2264" s="2">
        <v>0</v>
      </c>
      <c r="P2264" s="2">
        <v>0</v>
      </c>
      <c r="Q2264" s="2">
        <v>0</v>
      </c>
      <c r="R2264" s="2">
        <v>0</v>
      </c>
      <c r="S2264" s="2" t="s">
        <v>488</v>
      </c>
      <c r="T2264" s="2" t="s">
        <v>488</v>
      </c>
      <c r="U2264" s="2" t="s">
        <v>488</v>
      </c>
      <c r="V2264" s="2" t="s">
        <v>488</v>
      </c>
      <c r="W2264">
        <f t="shared" si="37"/>
        <v>0</v>
      </c>
    </row>
    <row r="2265" spans="1:23" x14ac:dyDescent="0.25">
      <c r="A2265" s="255" t="s">
        <v>1380</v>
      </c>
      <c r="B2265" s="255" t="s">
        <v>920</v>
      </c>
      <c r="C2265" s="255"/>
      <c r="D2265" s="255"/>
      <c r="E2265" s="255" t="s">
        <v>53</v>
      </c>
      <c r="F2265" s="255"/>
      <c r="G2265" s="255"/>
      <c r="H2265" s="255">
        <v>0</v>
      </c>
      <c r="I2265" s="255">
        <v>11</v>
      </c>
      <c r="J2265" s="255">
        <v>2</v>
      </c>
      <c r="K2265" s="255">
        <v>0</v>
      </c>
      <c r="L2265" s="255">
        <v>0</v>
      </c>
      <c r="M2265" s="255">
        <v>13</v>
      </c>
      <c r="N2265" s="255">
        <v>13</v>
      </c>
      <c r="O2265" s="255">
        <v>0</v>
      </c>
      <c r="P2265" s="255">
        <v>0</v>
      </c>
      <c r="Q2265" s="255">
        <v>0</v>
      </c>
      <c r="R2265" s="255">
        <v>1</v>
      </c>
      <c r="S2265" s="255" t="s">
        <v>488</v>
      </c>
      <c r="T2265" s="255" t="s">
        <v>488</v>
      </c>
      <c r="U2265" s="255" t="s">
        <v>488</v>
      </c>
      <c r="V2265" s="255" t="s">
        <v>488</v>
      </c>
      <c r="W2265">
        <f t="shared" si="37"/>
        <v>14</v>
      </c>
    </row>
    <row r="2266" spans="1:23" x14ac:dyDescent="0.25">
      <c r="A2266" s="2" t="s">
        <v>1380</v>
      </c>
      <c r="B2266" s="2" t="s">
        <v>920</v>
      </c>
      <c r="C2266" s="2">
        <v>540129</v>
      </c>
      <c r="D2266" s="2" t="s">
        <v>767</v>
      </c>
      <c r="E2266" s="2" t="s">
        <v>55</v>
      </c>
      <c r="F2266" s="2" t="s">
        <v>5</v>
      </c>
      <c r="G2266" s="2">
        <v>8</v>
      </c>
      <c r="H2266" s="2">
        <v>0</v>
      </c>
      <c r="I2266" s="2">
        <v>0</v>
      </c>
      <c r="J2266" s="2">
        <v>0</v>
      </c>
      <c r="K2266" s="2">
        <v>0</v>
      </c>
      <c r="L2266" s="2">
        <v>0</v>
      </c>
      <c r="M2266" s="2">
        <v>0</v>
      </c>
      <c r="N2266" s="2">
        <v>0</v>
      </c>
      <c r="O2266" s="2">
        <v>0</v>
      </c>
      <c r="P2266" s="2">
        <v>0</v>
      </c>
      <c r="Q2266" s="2">
        <v>0</v>
      </c>
      <c r="R2266" s="2">
        <v>0</v>
      </c>
      <c r="S2266" s="2" t="s">
        <v>488</v>
      </c>
      <c r="T2266" s="2" t="s">
        <v>488</v>
      </c>
      <c r="U2266" s="2" t="s">
        <v>488</v>
      </c>
      <c r="V2266" s="2" t="s">
        <v>488</v>
      </c>
      <c r="W2266">
        <f t="shared" si="37"/>
        <v>0</v>
      </c>
    </row>
    <row r="2267" spans="1:23" x14ac:dyDescent="0.25">
      <c r="A2267" s="2" t="s">
        <v>1380</v>
      </c>
      <c r="B2267" s="2" t="s">
        <v>920</v>
      </c>
      <c r="C2267" s="2">
        <v>540130</v>
      </c>
      <c r="D2267" s="2" t="s">
        <v>768</v>
      </c>
      <c r="E2267" s="2" t="s">
        <v>55</v>
      </c>
      <c r="F2267" s="2" t="s">
        <v>115</v>
      </c>
      <c r="G2267" s="2">
        <v>8</v>
      </c>
      <c r="H2267" s="2">
        <v>0</v>
      </c>
      <c r="I2267" s="2">
        <v>1</v>
      </c>
      <c r="J2267" s="2">
        <v>0</v>
      </c>
      <c r="K2267" s="2">
        <v>0</v>
      </c>
      <c r="L2267" s="2">
        <v>0</v>
      </c>
      <c r="M2267" s="2">
        <v>1</v>
      </c>
      <c r="N2267" s="2">
        <v>1</v>
      </c>
      <c r="O2267" s="2">
        <v>0</v>
      </c>
      <c r="P2267" s="2">
        <v>0</v>
      </c>
      <c r="Q2267" s="2">
        <v>0</v>
      </c>
      <c r="R2267" s="2">
        <v>0</v>
      </c>
      <c r="S2267" s="2" t="s">
        <v>488</v>
      </c>
      <c r="T2267" s="2" t="s">
        <v>488</v>
      </c>
      <c r="U2267" s="2" t="s">
        <v>488</v>
      </c>
      <c r="V2267" s="2" t="s">
        <v>488</v>
      </c>
      <c r="W2267">
        <f t="shared" si="37"/>
        <v>1</v>
      </c>
    </row>
    <row r="2268" spans="1:23" x14ac:dyDescent="0.25">
      <c r="A2268" s="2" t="s">
        <v>1380</v>
      </c>
      <c r="B2268" s="2" t="s">
        <v>920</v>
      </c>
      <c r="C2268" s="2">
        <v>540131</v>
      </c>
      <c r="D2268" s="2" t="s">
        <v>769</v>
      </c>
      <c r="E2268" s="2" t="s">
        <v>55</v>
      </c>
      <c r="F2268" s="2" t="s">
        <v>115</v>
      </c>
      <c r="G2268" s="2">
        <v>8</v>
      </c>
      <c r="H2268" s="2">
        <v>0</v>
      </c>
      <c r="I2268" s="2">
        <v>0</v>
      </c>
      <c r="J2268" s="2">
        <v>0</v>
      </c>
      <c r="K2268" s="2">
        <v>0</v>
      </c>
      <c r="L2268" s="2">
        <v>0</v>
      </c>
      <c r="M2268" s="2">
        <v>0</v>
      </c>
      <c r="N2268" s="2">
        <v>0</v>
      </c>
      <c r="O2268" s="2">
        <v>0</v>
      </c>
      <c r="P2268" s="2">
        <v>0</v>
      </c>
      <c r="Q2268" s="2">
        <v>0</v>
      </c>
      <c r="R2268" s="2">
        <v>0</v>
      </c>
      <c r="S2268" s="2" t="s">
        <v>488</v>
      </c>
      <c r="T2268" s="2" t="s">
        <v>488</v>
      </c>
      <c r="U2268" s="2" t="s">
        <v>488</v>
      </c>
      <c r="V2268" s="2" t="s">
        <v>488</v>
      </c>
      <c r="W2268">
        <f t="shared" si="37"/>
        <v>0</v>
      </c>
    </row>
    <row r="2269" spans="1:23" x14ac:dyDescent="0.25">
      <c r="A2269" s="2" t="s">
        <v>1380</v>
      </c>
      <c r="B2269" s="2" t="s">
        <v>920</v>
      </c>
      <c r="C2269" s="2">
        <v>540155</v>
      </c>
      <c r="D2269" s="2" t="s">
        <v>770</v>
      </c>
      <c r="E2269" s="2" t="s">
        <v>55</v>
      </c>
      <c r="F2269" s="2" t="s">
        <v>115</v>
      </c>
      <c r="G2269" s="2">
        <v>8</v>
      </c>
      <c r="H2269" s="2">
        <v>0</v>
      </c>
      <c r="I2269" s="2">
        <v>0</v>
      </c>
      <c r="J2269" s="2">
        <v>0</v>
      </c>
      <c r="K2269" s="2">
        <v>0</v>
      </c>
      <c r="L2269" s="2">
        <v>0</v>
      </c>
      <c r="M2269" s="2">
        <v>0</v>
      </c>
      <c r="N2269" s="2">
        <v>0</v>
      </c>
      <c r="O2269" s="2">
        <v>0</v>
      </c>
      <c r="P2269" s="2">
        <v>0</v>
      </c>
      <c r="Q2269" s="2">
        <v>0</v>
      </c>
      <c r="R2269" s="2">
        <v>0</v>
      </c>
      <c r="S2269" s="2" t="s">
        <v>488</v>
      </c>
      <c r="T2269" s="2" t="s">
        <v>488</v>
      </c>
      <c r="U2269" s="2" t="s">
        <v>488</v>
      </c>
      <c r="V2269" s="2" t="s">
        <v>488</v>
      </c>
      <c r="W2269">
        <f t="shared" si="37"/>
        <v>0</v>
      </c>
    </row>
    <row r="2270" spans="1:23" x14ac:dyDescent="0.25">
      <c r="A2270" s="2" t="s">
        <v>1380</v>
      </c>
      <c r="B2270" s="2" t="s">
        <v>920</v>
      </c>
      <c r="C2270" s="2">
        <v>545555</v>
      </c>
      <c r="D2270" s="2" t="s">
        <v>771</v>
      </c>
      <c r="E2270" s="2" t="s">
        <v>55</v>
      </c>
      <c r="F2270" s="2" t="s">
        <v>115</v>
      </c>
      <c r="G2270" s="2">
        <v>8</v>
      </c>
      <c r="H2270" s="2">
        <v>0</v>
      </c>
      <c r="I2270" s="2">
        <v>0</v>
      </c>
      <c r="J2270" s="2">
        <v>0</v>
      </c>
      <c r="K2270" s="2">
        <v>0</v>
      </c>
      <c r="L2270" s="2">
        <v>0</v>
      </c>
      <c r="M2270" s="2">
        <v>0</v>
      </c>
      <c r="N2270" s="2">
        <v>0</v>
      </c>
      <c r="O2270" s="2">
        <v>0</v>
      </c>
      <c r="P2270" s="2">
        <v>0</v>
      </c>
      <c r="Q2270" s="2">
        <v>0</v>
      </c>
      <c r="R2270" s="2">
        <v>0</v>
      </c>
      <c r="S2270" s="2" t="s">
        <v>488</v>
      </c>
      <c r="T2270" s="2" t="s">
        <v>488</v>
      </c>
      <c r="U2270" s="2" t="s">
        <v>488</v>
      </c>
      <c r="V2270" s="2" t="s">
        <v>488</v>
      </c>
      <c r="W2270">
        <f t="shared" si="37"/>
        <v>0</v>
      </c>
    </row>
    <row r="2271" spans="1:23" x14ac:dyDescent="0.25">
      <c r="A2271" s="2" t="s">
        <v>1380</v>
      </c>
      <c r="B2271" s="2" t="s">
        <v>920</v>
      </c>
      <c r="C2271" s="2">
        <v>540091</v>
      </c>
      <c r="D2271" s="2" t="s">
        <v>772</v>
      </c>
      <c r="E2271" s="2" t="s">
        <v>55</v>
      </c>
      <c r="F2271" s="2" t="s">
        <v>115</v>
      </c>
      <c r="G2271" s="2">
        <v>8</v>
      </c>
      <c r="H2271" s="2">
        <v>0</v>
      </c>
      <c r="I2271" s="2">
        <v>0</v>
      </c>
      <c r="J2271" s="2">
        <v>0</v>
      </c>
      <c r="K2271" s="2">
        <v>0</v>
      </c>
      <c r="L2271" s="2">
        <v>0</v>
      </c>
      <c r="M2271" s="2">
        <v>0</v>
      </c>
      <c r="N2271" s="2">
        <v>0</v>
      </c>
      <c r="O2271" s="2">
        <v>0</v>
      </c>
      <c r="P2271" s="2">
        <v>0</v>
      </c>
      <c r="Q2271" s="2">
        <v>0</v>
      </c>
      <c r="R2271" s="2">
        <v>0</v>
      </c>
      <c r="S2271" s="2" t="s">
        <v>488</v>
      </c>
      <c r="T2271" s="2" t="s">
        <v>488</v>
      </c>
      <c r="U2271" s="2" t="s">
        <v>488</v>
      </c>
      <c r="V2271" s="2" t="s">
        <v>488</v>
      </c>
      <c r="W2271">
        <f t="shared" si="37"/>
        <v>0</v>
      </c>
    </row>
    <row r="2272" spans="1:23" x14ac:dyDescent="0.25">
      <c r="A2272" s="255" t="s">
        <v>1380</v>
      </c>
      <c r="B2272" s="255" t="s">
        <v>920</v>
      </c>
      <c r="C2272" s="255"/>
      <c r="D2272" s="255"/>
      <c r="E2272" s="255" t="s">
        <v>55</v>
      </c>
      <c r="F2272" s="255"/>
      <c r="G2272" s="255"/>
      <c r="H2272" s="255">
        <v>0</v>
      </c>
      <c r="I2272" s="255">
        <v>1</v>
      </c>
      <c r="J2272" s="255">
        <v>0</v>
      </c>
      <c r="K2272" s="255">
        <v>0</v>
      </c>
      <c r="L2272" s="255">
        <v>0</v>
      </c>
      <c r="M2272" s="255">
        <v>1</v>
      </c>
      <c r="N2272" s="255">
        <v>1</v>
      </c>
      <c r="O2272" s="255">
        <v>0</v>
      </c>
      <c r="P2272" s="255">
        <v>0</v>
      </c>
      <c r="Q2272" s="255">
        <v>0</v>
      </c>
      <c r="R2272" s="255">
        <v>0</v>
      </c>
      <c r="S2272" s="255" t="s">
        <v>488</v>
      </c>
      <c r="T2272" s="255" t="s">
        <v>488</v>
      </c>
      <c r="U2272" s="255" t="s">
        <v>488</v>
      </c>
      <c r="V2272" s="255" t="s">
        <v>488</v>
      </c>
      <c r="W2272">
        <f t="shared" si="37"/>
        <v>1</v>
      </c>
    </row>
    <row r="2273" spans="1:23" x14ac:dyDescent="0.25">
      <c r="A2273" s="2" t="s">
        <v>1380</v>
      </c>
      <c r="B2273" s="2" t="s">
        <v>920</v>
      </c>
      <c r="C2273" s="2">
        <v>540133</v>
      </c>
      <c r="D2273" s="2" t="s">
        <v>773</v>
      </c>
      <c r="E2273" s="2" t="s">
        <v>57</v>
      </c>
      <c r="F2273" s="2" t="s">
        <v>5</v>
      </c>
      <c r="G2273" s="2">
        <v>2</v>
      </c>
      <c r="H2273" s="2">
        <v>0</v>
      </c>
      <c r="I2273" s="2">
        <v>0</v>
      </c>
      <c r="J2273" s="2">
        <v>0</v>
      </c>
      <c r="K2273" s="2">
        <v>0</v>
      </c>
      <c r="L2273" s="2">
        <v>0</v>
      </c>
      <c r="M2273" s="2">
        <v>0</v>
      </c>
      <c r="N2273" s="2">
        <v>0</v>
      </c>
      <c r="O2273" s="2">
        <v>0</v>
      </c>
      <c r="P2273" s="2">
        <v>0</v>
      </c>
      <c r="Q2273" s="2">
        <v>0</v>
      </c>
      <c r="R2273" s="2">
        <v>0</v>
      </c>
      <c r="S2273" s="2" t="s">
        <v>488</v>
      </c>
      <c r="T2273" s="2" t="s">
        <v>488</v>
      </c>
      <c r="U2273" s="2" t="s">
        <v>488</v>
      </c>
      <c r="V2273" s="2" t="s">
        <v>488</v>
      </c>
      <c r="W2273">
        <f t="shared" si="37"/>
        <v>0</v>
      </c>
    </row>
    <row r="2274" spans="1:23" x14ac:dyDescent="0.25">
      <c r="A2274" s="2" t="s">
        <v>1380</v>
      </c>
      <c r="B2274" s="2" t="s">
        <v>920</v>
      </c>
      <c r="C2274" s="2">
        <v>540134</v>
      </c>
      <c r="D2274" s="2" t="s">
        <v>774</v>
      </c>
      <c r="E2274" s="2" t="s">
        <v>57</v>
      </c>
      <c r="F2274" s="2" t="s">
        <v>115</v>
      </c>
      <c r="G2274" s="2">
        <v>2</v>
      </c>
      <c r="H2274" s="2">
        <v>0</v>
      </c>
      <c r="I2274" s="2">
        <v>0</v>
      </c>
      <c r="J2274" s="2">
        <v>0</v>
      </c>
      <c r="K2274" s="2">
        <v>0</v>
      </c>
      <c r="L2274" s="2">
        <v>0</v>
      </c>
      <c r="M2274" s="2">
        <v>0</v>
      </c>
      <c r="N2274" s="2">
        <v>0</v>
      </c>
      <c r="O2274" s="2">
        <v>0</v>
      </c>
      <c r="P2274" s="2">
        <v>0</v>
      </c>
      <c r="Q2274" s="2">
        <v>0</v>
      </c>
      <c r="R2274" s="2">
        <v>0</v>
      </c>
      <c r="S2274" s="2" t="s">
        <v>488</v>
      </c>
      <c r="T2274" s="2" t="s">
        <v>488</v>
      </c>
      <c r="U2274" s="2" t="s">
        <v>488</v>
      </c>
      <c r="V2274" s="2" t="s">
        <v>488</v>
      </c>
      <c r="W2274">
        <f t="shared" si="37"/>
        <v>0</v>
      </c>
    </row>
    <row r="2275" spans="1:23" x14ac:dyDescent="0.25">
      <c r="A2275" s="2" t="s">
        <v>1380</v>
      </c>
      <c r="B2275" s="2" t="s">
        <v>920</v>
      </c>
      <c r="C2275" s="2">
        <v>540135</v>
      </c>
      <c r="D2275" s="2" t="s">
        <v>775</v>
      </c>
      <c r="E2275" s="2" t="s">
        <v>57</v>
      </c>
      <c r="F2275" s="2" t="s">
        <v>115</v>
      </c>
      <c r="G2275" s="2">
        <v>2</v>
      </c>
      <c r="H2275" s="2">
        <v>0</v>
      </c>
      <c r="I2275" s="2">
        <v>0</v>
      </c>
      <c r="J2275" s="2">
        <v>0</v>
      </c>
      <c r="K2275" s="2">
        <v>0</v>
      </c>
      <c r="L2275" s="2">
        <v>0</v>
      </c>
      <c r="M2275" s="2">
        <v>0</v>
      </c>
      <c r="N2275" s="2">
        <v>0</v>
      </c>
      <c r="O2275" s="2">
        <v>0</v>
      </c>
      <c r="P2275" s="2">
        <v>0</v>
      </c>
      <c r="Q2275" s="2">
        <v>0</v>
      </c>
      <c r="R2275" s="2">
        <v>0</v>
      </c>
      <c r="S2275" s="2" t="s">
        <v>488</v>
      </c>
      <c r="T2275" s="2" t="s">
        <v>488</v>
      </c>
      <c r="U2275" s="2" t="s">
        <v>488</v>
      </c>
      <c r="V2275" s="2" t="s">
        <v>488</v>
      </c>
      <c r="W2275">
        <f t="shared" si="37"/>
        <v>0</v>
      </c>
    </row>
    <row r="2276" spans="1:23" x14ac:dyDescent="0.25">
      <c r="A2276" s="2" t="s">
        <v>1380</v>
      </c>
      <c r="B2276" s="2" t="s">
        <v>920</v>
      </c>
      <c r="C2276" s="2">
        <v>540136</v>
      </c>
      <c r="D2276" s="2" t="s">
        <v>776</v>
      </c>
      <c r="E2276" s="2" t="s">
        <v>57</v>
      </c>
      <c r="F2276" s="2" t="s">
        <v>115</v>
      </c>
      <c r="G2276" s="2">
        <v>2</v>
      </c>
      <c r="H2276" s="2">
        <v>0</v>
      </c>
      <c r="I2276" s="2">
        <v>0</v>
      </c>
      <c r="J2276" s="2">
        <v>0</v>
      </c>
      <c r="K2276" s="2">
        <v>0</v>
      </c>
      <c r="L2276" s="2">
        <v>0</v>
      </c>
      <c r="M2276" s="2">
        <v>0</v>
      </c>
      <c r="N2276" s="2">
        <v>0</v>
      </c>
      <c r="O2276" s="2">
        <v>0</v>
      </c>
      <c r="P2276" s="2">
        <v>0</v>
      </c>
      <c r="Q2276" s="2">
        <v>0</v>
      </c>
      <c r="R2276" s="2">
        <v>0</v>
      </c>
      <c r="S2276" s="2" t="s">
        <v>488</v>
      </c>
      <c r="T2276" s="2" t="s">
        <v>488</v>
      </c>
      <c r="U2276" s="2" t="s">
        <v>488</v>
      </c>
      <c r="V2276" s="2" t="s">
        <v>488</v>
      </c>
      <c r="W2276">
        <f t="shared" si="37"/>
        <v>0</v>
      </c>
    </row>
    <row r="2277" spans="1:23" x14ac:dyDescent="0.25">
      <c r="A2277" s="2" t="s">
        <v>1380</v>
      </c>
      <c r="B2277" s="2" t="s">
        <v>920</v>
      </c>
      <c r="C2277" s="2">
        <v>540138</v>
      </c>
      <c r="D2277" s="2" t="s">
        <v>777</v>
      </c>
      <c r="E2277" s="2" t="s">
        <v>57</v>
      </c>
      <c r="F2277" s="2" t="s">
        <v>115</v>
      </c>
      <c r="G2277" s="2">
        <v>2</v>
      </c>
      <c r="H2277" s="2">
        <v>0</v>
      </c>
      <c r="I2277" s="2">
        <v>0</v>
      </c>
      <c r="J2277" s="2">
        <v>0</v>
      </c>
      <c r="K2277" s="2">
        <v>0</v>
      </c>
      <c r="L2277" s="2">
        <v>0</v>
      </c>
      <c r="M2277" s="2">
        <v>0</v>
      </c>
      <c r="N2277" s="2">
        <v>0</v>
      </c>
      <c r="O2277" s="2">
        <v>0</v>
      </c>
      <c r="P2277" s="2">
        <v>0</v>
      </c>
      <c r="Q2277" s="2">
        <v>0</v>
      </c>
      <c r="R2277" s="2">
        <v>0</v>
      </c>
      <c r="S2277" s="2" t="s">
        <v>488</v>
      </c>
      <c r="T2277" s="2" t="s">
        <v>488</v>
      </c>
      <c r="U2277" s="2" t="s">
        <v>488</v>
      </c>
      <c r="V2277" s="2" t="s">
        <v>488</v>
      </c>
      <c r="W2277">
        <f t="shared" si="37"/>
        <v>0</v>
      </c>
    </row>
    <row r="2278" spans="1:23" x14ac:dyDescent="0.25">
      <c r="A2278" s="2" t="s">
        <v>1380</v>
      </c>
      <c r="B2278" s="2" t="s">
        <v>920</v>
      </c>
      <c r="C2278" s="2">
        <v>545538</v>
      </c>
      <c r="D2278" s="2" t="s">
        <v>778</v>
      </c>
      <c r="E2278" s="2" t="s">
        <v>57</v>
      </c>
      <c r="F2278" s="2" t="s">
        <v>115</v>
      </c>
      <c r="G2278" s="2">
        <v>2</v>
      </c>
      <c r="H2278" s="2">
        <v>0</v>
      </c>
      <c r="I2278" s="2">
        <v>0</v>
      </c>
      <c r="J2278" s="2">
        <v>0</v>
      </c>
      <c r="K2278" s="2">
        <v>0</v>
      </c>
      <c r="L2278" s="2">
        <v>0</v>
      </c>
      <c r="M2278" s="2">
        <v>0</v>
      </c>
      <c r="N2278" s="2">
        <v>0</v>
      </c>
      <c r="O2278" s="2">
        <v>0</v>
      </c>
      <c r="P2278" s="2">
        <v>0</v>
      </c>
      <c r="Q2278" s="2">
        <v>0</v>
      </c>
      <c r="R2278" s="2">
        <v>0</v>
      </c>
      <c r="S2278" s="2" t="s">
        <v>488</v>
      </c>
      <c r="T2278" s="2" t="s">
        <v>488</v>
      </c>
      <c r="U2278" s="2" t="s">
        <v>488</v>
      </c>
      <c r="V2278" s="2" t="s">
        <v>488</v>
      </c>
      <c r="W2278">
        <f t="shared" si="37"/>
        <v>0</v>
      </c>
    </row>
    <row r="2279" spans="1:23" x14ac:dyDescent="0.25">
      <c r="A2279" s="255" t="s">
        <v>1380</v>
      </c>
      <c r="B2279" s="255" t="s">
        <v>920</v>
      </c>
      <c r="C2279" s="255"/>
      <c r="D2279" s="255"/>
      <c r="E2279" s="255" t="s">
        <v>57</v>
      </c>
      <c r="F2279" s="255"/>
      <c r="G2279" s="255"/>
      <c r="H2279" s="255">
        <v>0</v>
      </c>
      <c r="I2279" s="255">
        <v>0</v>
      </c>
      <c r="J2279" s="255">
        <v>0</v>
      </c>
      <c r="K2279" s="255">
        <v>0</v>
      </c>
      <c r="L2279" s="255">
        <v>0</v>
      </c>
      <c r="M2279" s="255">
        <v>0</v>
      </c>
      <c r="N2279" s="255">
        <v>0</v>
      </c>
      <c r="O2279" s="255">
        <v>0</v>
      </c>
      <c r="P2279" s="255">
        <v>0</v>
      </c>
      <c r="Q2279" s="255">
        <v>0</v>
      </c>
      <c r="R2279" s="255">
        <v>0</v>
      </c>
      <c r="S2279" s="255" t="s">
        <v>488</v>
      </c>
      <c r="T2279" s="255" t="s">
        <v>488</v>
      </c>
      <c r="U2279" s="255" t="s">
        <v>488</v>
      </c>
      <c r="V2279" s="255" t="s">
        <v>488</v>
      </c>
      <c r="W2279">
        <f t="shared" si="37"/>
        <v>0</v>
      </c>
    </row>
    <row r="2280" spans="1:23" x14ac:dyDescent="0.25">
      <c r="A2280" s="2" t="s">
        <v>1380</v>
      </c>
      <c r="B2280" s="2" t="s">
        <v>920</v>
      </c>
      <c r="C2280" s="2">
        <v>540139</v>
      </c>
      <c r="D2280" s="2" t="s">
        <v>779</v>
      </c>
      <c r="E2280" s="2" t="s">
        <v>59</v>
      </c>
      <c r="F2280" s="2" t="s">
        <v>5</v>
      </c>
      <c r="G2280" s="2">
        <v>6</v>
      </c>
      <c r="H2280" s="2">
        <v>2</v>
      </c>
      <c r="I2280" s="2">
        <v>0</v>
      </c>
      <c r="J2280" s="2">
        <v>0</v>
      </c>
      <c r="K2280" s="2">
        <v>0</v>
      </c>
      <c r="L2280" s="2">
        <v>0</v>
      </c>
      <c r="M2280" s="2">
        <v>0</v>
      </c>
      <c r="N2280" s="2">
        <v>2</v>
      </c>
      <c r="O2280" s="2">
        <v>0</v>
      </c>
      <c r="P2280" s="2">
        <v>0</v>
      </c>
      <c r="Q2280" s="2">
        <v>0</v>
      </c>
      <c r="R2280" s="2">
        <v>0</v>
      </c>
      <c r="S2280" s="2" t="s">
        <v>488</v>
      </c>
      <c r="T2280" s="2" t="s">
        <v>488</v>
      </c>
      <c r="U2280" s="2" t="s">
        <v>488</v>
      </c>
      <c r="V2280" s="2" t="s">
        <v>488</v>
      </c>
      <c r="W2280">
        <f t="shared" si="37"/>
        <v>2</v>
      </c>
    </row>
    <row r="2281" spans="1:23" x14ac:dyDescent="0.25">
      <c r="A2281" s="2" t="s">
        <v>1380</v>
      </c>
      <c r="B2281" s="2" t="s">
        <v>920</v>
      </c>
      <c r="C2281" s="2">
        <v>540140</v>
      </c>
      <c r="D2281" s="2" t="s">
        <v>780</v>
      </c>
      <c r="E2281" s="2" t="s">
        <v>59</v>
      </c>
      <c r="F2281" s="2" t="s">
        <v>115</v>
      </c>
      <c r="G2281" s="2">
        <v>6</v>
      </c>
      <c r="H2281" s="2">
        <v>0</v>
      </c>
      <c r="I2281" s="2">
        <v>0</v>
      </c>
      <c r="J2281" s="2">
        <v>0</v>
      </c>
      <c r="K2281" s="2">
        <v>0</v>
      </c>
      <c r="L2281" s="2">
        <v>0</v>
      </c>
      <c r="M2281" s="2">
        <v>0</v>
      </c>
      <c r="N2281" s="2">
        <v>0</v>
      </c>
      <c r="O2281" s="2">
        <v>0</v>
      </c>
      <c r="P2281" s="2">
        <v>0</v>
      </c>
      <c r="Q2281" s="2">
        <v>0</v>
      </c>
      <c r="R2281" s="2">
        <v>0</v>
      </c>
      <c r="S2281" s="2" t="s">
        <v>488</v>
      </c>
      <c r="T2281" s="2" t="s">
        <v>488</v>
      </c>
      <c r="U2281" s="2" t="s">
        <v>488</v>
      </c>
      <c r="V2281" s="2" t="s">
        <v>488</v>
      </c>
      <c r="W2281">
        <f t="shared" si="37"/>
        <v>0</v>
      </c>
    </row>
    <row r="2282" spans="1:23" x14ac:dyDescent="0.25">
      <c r="A2282" s="2" t="s">
        <v>1380</v>
      </c>
      <c r="B2282" s="2" t="s">
        <v>920</v>
      </c>
      <c r="C2282" s="2">
        <v>540141</v>
      </c>
      <c r="D2282" s="2" t="s">
        <v>781</v>
      </c>
      <c r="E2282" s="2" t="s">
        <v>59</v>
      </c>
      <c r="F2282" s="2" t="s">
        <v>115</v>
      </c>
      <c r="G2282" s="2">
        <v>6</v>
      </c>
      <c r="H2282" s="2">
        <v>0</v>
      </c>
      <c r="I2282" s="2">
        <v>7</v>
      </c>
      <c r="J2282" s="2">
        <v>2</v>
      </c>
      <c r="K2282" s="2">
        <v>0</v>
      </c>
      <c r="L2282" s="2">
        <v>0</v>
      </c>
      <c r="M2282" s="2">
        <v>9</v>
      </c>
      <c r="N2282" s="2">
        <v>9</v>
      </c>
      <c r="O2282" s="2">
        <v>0</v>
      </c>
      <c r="P2282" s="2">
        <v>0</v>
      </c>
      <c r="Q2282" s="2">
        <v>0</v>
      </c>
      <c r="R2282" s="2">
        <v>0</v>
      </c>
      <c r="S2282" s="2" t="s">
        <v>488</v>
      </c>
      <c r="T2282" s="2" t="s">
        <v>488</v>
      </c>
      <c r="U2282" s="2" t="s">
        <v>488</v>
      </c>
      <c r="V2282" s="2" t="s">
        <v>488</v>
      </c>
      <c r="W2282">
        <f t="shared" si="37"/>
        <v>9</v>
      </c>
    </row>
    <row r="2283" spans="1:23" x14ac:dyDescent="0.25">
      <c r="A2283" s="2" t="s">
        <v>1380</v>
      </c>
      <c r="B2283" s="2" t="s">
        <v>920</v>
      </c>
      <c r="C2283" s="2">
        <v>540272</v>
      </c>
      <c r="D2283" s="2" t="s">
        <v>782</v>
      </c>
      <c r="E2283" s="2" t="s">
        <v>59</v>
      </c>
      <c r="F2283" s="2" t="s">
        <v>115</v>
      </c>
      <c r="G2283" s="2">
        <v>6</v>
      </c>
      <c r="H2283" s="2">
        <v>0</v>
      </c>
      <c r="I2283" s="2">
        <v>0</v>
      </c>
      <c r="J2283" s="2">
        <v>0</v>
      </c>
      <c r="K2283" s="2">
        <v>0</v>
      </c>
      <c r="L2283" s="2">
        <v>0</v>
      </c>
      <c r="M2283" s="2">
        <v>0</v>
      </c>
      <c r="N2283" s="2">
        <v>0</v>
      </c>
      <c r="O2283" s="2">
        <v>0</v>
      </c>
      <c r="P2283" s="2">
        <v>0</v>
      </c>
      <c r="Q2283" s="2">
        <v>0</v>
      </c>
      <c r="R2283" s="2">
        <v>0</v>
      </c>
      <c r="S2283" s="2" t="s">
        <v>488</v>
      </c>
      <c r="T2283" s="2" t="s">
        <v>488</v>
      </c>
      <c r="U2283" s="2" t="s">
        <v>488</v>
      </c>
      <c r="V2283" s="2" t="s">
        <v>488</v>
      </c>
      <c r="W2283">
        <f t="shared" si="37"/>
        <v>0</v>
      </c>
    </row>
    <row r="2284" spans="1:23" x14ac:dyDescent="0.25">
      <c r="A2284" s="2" t="s">
        <v>1380</v>
      </c>
      <c r="B2284" s="2" t="s">
        <v>920</v>
      </c>
      <c r="C2284" s="2">
        <v>540273</v>
      </c>
      <c r="D2284" s="2" t="s">
        <v>783</v>
      </c>
      <c r="E2284" s="2" t="s">
        <v>59</v>
      </c>
      <c r="F2284" s="2" t="s">
        <v>115</v>
      </c>
      <c r="G2284" s="2">
        <v>6</v>
      </c>
      <c r="H2284" s="2">
        <v>0</v>
      </c>
      <c r="I2284" s="2">
        <v>0</v>
      </c>
      <c r="J2284" s="2">
        <v>0</v>
      </c>
      <c r="K2284" s="2">
        <v>0</v>
      </c>
      <c r="L2284" s="2">
        <v>0</v>
      </c>
      <c r="M2284" s="2">
        <v>0</v>
      </c>
      <c r="N2284" s="2">
        <v>0</v>
      </c>
      <c r="O2284" s="2">
        <v>0</v>
      </c>
      <c r="P2284" s="2">
        <v>0</v>
      </c>
      <c r="Q2284" s="2">
        <v>0</v>
      </c>
      <c r="R2284" s="2">
        <v>0</v>
      </c>
      <c r="S2284" s="2" t="s">
        <v>488</v>
      </c>
      <c r="T2284" s="2" t="s">
        <v>488</v>
      </c>
      <c r="U2284" s="2" t="s">
        <v>488</v>
      </c>
      <c r="V2284" s="2" t="s">
        <v>488</v>
      </c>
      <c r="W2284">
        <f t="shared" si="37"/>
        <v>0</v>
      </c>
    </row>
    <row r="2285" spans="1:23" x14ac:dyDescent="0.25">
      <c r="A2285" s="2" t="s">
        <v>1380</v>
      </c>
      <c r="B2285" s="2" t="s">
        <v>920</v>
      </c>
      <c r="C2285" s="2">
        <v>540274</v>
      </c>
      <c r="D2285" s="2" t="s">
        <v>784</v>
      </c>
      <c r="E2285" s="2" t="s">
        <v>59</v>
      </c>
      <c r="F2285" s="2" t="s">
        <v>115</v>
      </c>
      <c r="G2285" s="2">
        <v>6</v>
      </c>
      <c r="H2285" s="2">
        <v>0</v>
      </c>
      <c r="I2285" s="2">
        <v>0</v>
      </c>
      <c r="J2285" s="2">
        <v>0</v>
      </c>
      <c r="K2285" s="2">
        <v>0</v>
      </c>
      <c r="L2285" s="2">
        <v>0</v>
      </c>
      <c r="M2285" s="2">
        <v>0</v>
      </c>
      <c r="N2285" s="2">
        <v>0</v>
      </c>
      <c r="O2285" s="2">
        <v>0</v>
      </c>
      <c r="P2285" s="2">
        <v>0</v>
      </c>
      <c r="Q2285" s="2">
        <v>0</v>
      </c>
      <c r="R2285" s="2">
        <v>0</v>
      </c>
      <c r="S2285" s="2" t="s">
        <v>488</v>
      </c>
      <c r="T2285" s="2" t="s">
        <v>488</v>
      </c>
      <c r="U2285" s="2" t="s">
        <v>488</v>
      </c>
      <c r="V2285" s="2" t="s">
        <v>488</v>
      </c>
      <c r="W2285">
        <f t="shared" si="37"/>
        <v>0</v>
      </c>
    </row>
    <row r="2286" spans="1:23" x14ac:dyDescent="0.25">
      <c r="A2286" s="255" t="s">
        <v>1380</v>
      </c>
      <c r="B2286" s="255" t="s">
        <v>920</v>
      </c>
      <c r="C2286" s="255"/>
      <c r="D2286" s="255"/>
      <c r="E2286" s="255" t="s">
        <v>59</v>
      </c>
      <c r="F2286" s="255"/>
      <c r="G2286" s="255"/>
      <c r="H2286" s="255">
        <v>2</v>
      </c>
      <c r="I2286" s="255">
        <v>7</v>
      </c>
      <c r="J2286" s="255">
        <v>2</v>
      </c>
      <c r="K2286" s="255">
        <v>0</v>
      </c>
      <c r="L2286" s="255">
        <v>0</v>
      </c>
      <c r="M2286" s="255">
        <v>9</v>
      </c>
      <c r="N2286" s="255">
        <v>11</v>
      </c>
      <c r="O2286" s="255">
        <v>0</v>
      </c>
      <c r="P2286" s="255">
        <v>0</v>
      </c>
      <c r="Q2286" s="255">
        <v>0</v>
      </c>
      <c r="R2286" s="255">
        <v>0</v>
      </c>
      <c r="S2286" s="255" t="s">
        <v>488</v>
      </c>
      <c r="T2286" s="255" t="s">
        <v>488</v>
      </c>
      <c r="U2286" s="255" t="s">
        <v>488</v>
      </c>
      <c r="V2286" s="255" t="s">
        <v>488</v>
      </c>
      <c r="W2286">
        <f t="shared" si="37"/>
        <v>11</v>
      </c>
    </row>
    <row r="2287" spans="1:23" x14ac:dyDescent="0.25">
      <c r="A2287" s="2" t="s">
        <v>1380</v>
      </c>
      <c r="B2287" s="2" t="s">
        <v>920</v>
      </c>
      <c r="C2287" s="2">
        <v>540144</v>
      </c>
      <c r="D2287" s="2" t="s">
        <v>785</v>
      </c>
      <c r="E2287" s="2" t="s">
        <v>61</v>
      </c>
      <c r="F2287" s="2" t="s">
        <v>5</v>
      </c>
      <c r="G2287" s="2">
        <v>9</v>
      </c>
      <c r="H2287" s="2">
        <v>0</v>
      </c>
      <c r="I2287" s="2">
        <v>0</v>
      </c>
      <c r="J2287" s="2">
        <v>0</v>
      </c>
      <c r="K2287" s="2">
        <v>0</v>
      </c>
      <c r="L2287" s="2">
        <v>0</v>
      </c>
      <c r="M2287" s="2">
        <v>0</v>
      </c>
      <c r="N2287" s="2">
        <v>0</v>
      </c>
      <c r="O2287" s="2">
        <v>0</v>
      </c>
      <c r="P2287" s="2">
        <v>0</v>
      </c>
      <c r="Q2287" s="2">
        <v>0</v>
      </c>
      <c r="R2287" s="2">
        <v>0</v>
      </c>
      <c r="S2287" s="2">
        <v>0</v>
      </c>
      <c r="T2287" s="2">
        <v>0</v>
      </c>
      <c r="U2287" s="2" t="s">
        <v>488</v>
      </c>
      <c r="V2287" s="2" t="s">
        <v>488</v>
      </c>
      <c r="W2287">
        <f t="shared" si="37"/>
        <v>0</v>
      </c>
    </row>
    <row r="2288" spans="1:23" x14ac:dyDescent="0.25">
      <c r="A2288" s="2" t="s">
        <v>1380</v>
      </c>
      <c r="B2288" s="2" t="s">
        <v>920</v>
      </c>
      <c r="C2288" s="2">
        <v>540005</v>
      </c>
      <c r="D2288" s="2" t="s">
        <v>786</v>
      </c>
      <c r="E2288" s="2" t="s">
        <v>61</v>
      </c>
      <c r="F2288" s="2" t="s">
        <v>115</v>
      </c>
      <c r="G2288" s="2">
        <v>9</v>
      </c>
      <c r="H2288" s="2">
        <v>0</v>
      </c>
      <c r="I2288" s="2">
        <v>40</v>
      </c>
      <c r="J2288" s="2">
        <v>30</v>
      </c>
      <c r="K2288" s="2">
        <v>0</v>
      </c>
      <c r="L2288" s="2">
        <v>0</v>
      </c>
      <c r="M2288" s="2">
        <v>70</v>
      </c>
      <c r="N2288" s="2">
        <v>70</v>
      </c>
      <c r="O2288" s="2">
        <v>0</v>
      </c>
      <c r="P2288" s="2">
        <v>0</v>
      </c>
      <c r="Q2288" s="2">
        <v>0</v>
      </c>
      <c r="R2288" s="2">
        <v>0</v>
      </c>
      <c r="S2288" s="2">
        <v>46</v>
      </c>
      <c r="T2288" s="2">
        <v>1</v>
      </c>
      <c r="U2288" s="2" t="s">
        <v>488</v>
      </c>
      <c r="V2288" s="2" t="s">
        <v>488</v>
      </c>
      <c r="W2288">
        <f t="shared" si="37"/>
        <v>71</v>
      </c>
    </row>
    <row r="2289" spans="1:23" x14ac:dyDescent="0.25">
      <c r="A2289" s="2" t="s">
        <v>1380</v>
      </c>
      <c r="B2289" s="2" t="s">
        <v>920</v>
      </c>
      <c r="C2289" s="2">
        <v>540252</v>
      </c>
      <c r="D2289" s="2" t="s">
        <v>787</v>
      </c>
      <c r="E2289" s="2" t="s">
        <v>61</v>
      </c>
      <c r="F2289" s="2" t="s">
        <v>115</v>
      </c>
      <c r="G2289" s="2">
        <v>9</v>
      </c>
      <c r="H2289" s="2">
        <v>0</v>
      </c>
      <c r="I2289" s="2">
        <v>0</v>
      </c>
      <c r="J2289" s="2">
        <v>0</v>
      </c>
      <c r="K2289" s="2">
        <v>0</v>
      </c>
      <c r="L2289" s="2">
        <v>0</v>
      </c>
      <c r="M2289" s="2">
        <v>0</v>
      </c>
      <c r="N2289" s="2">
        <v>0</v>
      </c>
      <c r="O2289" s="2">
        <v>0</v>
      </c>
      <c r="P2289" s="2">
        <v>0</v>
      </c>
      <c r="Q2289" s="2">
        <v>0</v>
      </c>
      <c r="R2289" s="2">
        <v>0</v>
      </c>
      <c r="S2289" s="2">
        <v>0</v>
      </c>
      <c r="T2289" s="2">
        <v>0</v>
      </c>
      <c r="U2289" s="2" t="s">
        <v>488</v>
      </c>
      <c r="V2289" s="2" t="s">
        <v>488</v>
      </c>
      <c r="W2289">
        <f t="shared" si="37"/>
        <v>0</v>
      </c>
    </row>
    <row r="2290" spans="1:23" x14ac:dyDescent="0.25">
      <c r="A2290" s="255" t="s">
        <v>1380</v>
      </c>
      <c r="B2290" s="255" t="s">
        <v>920</v>
      </c>
      <c r="C2290" s="255"/>
      <c r="D2290" s="255"/>
      <c r="E2290" s="255" t="s">
        <v>61</v>
      </c>
      <c r="F2290" s="255"/>
      <c r="G2290" s="255"/>
      <c r="H2290" s="255">
        <v>0</v>
      </c>
      <c r="I2290" s="255">
        <v>40</v>
      </c>
      <c r="J2290" s="255">
        <v>30</v>
      </c>
      <c r="K2290" s="255">
        <v>0</v>
      </c>
      <c r="L2290" s="255">
        <v>0</v>
      </c>
      <c r="M2290" s="255">
        <v>70</v>
      </c>
      <c r="N2290" s="255">
        <v>70</v>
      </c>
      <c r="O2290" s="255">
        <v>0</v>
      </c>
      <c r="P2290" s="255">
        <v>0</v>
      </c>
      <c r="Q2290" s="255">
        <v>0</v>
      </c>
      <c r="R2290" s="255">
        <v>0</v>
      </c>
      <c r="S2290" s="255">
        <v>46</v>
      </c>
      <c r="T2290" s="255">
        <v>1</v>
      </c>
      <c r="U2290" s="255" t="s">
        <v>488</v>
      </c>
      <c r="V2290" s="255" t="s">
        <v>488</v>
      </c>
      <c r="W2290">
        <f t="shared" si="37"/>
        <v>71</v>
      </c>
    </row>
    <row r="2291" spans="1:23" x14ac:dyDescent="0.25">
      <c r="A2291" s="2" t="s">
        <v>1380</v>
      </c>
      <c r="B2291" s="2" t="s">
        <v>920</v>
      </c>
      <c r="C2291" s="2">
        <v>540146</v>
      </c>
      <c r="D2291" s="2" t="s">
        <v>788</v>
      </c>
      <c r="E2291" s="2" t="s">
        <v>63</v>
      </c>
      <c r="F2291" s="2" t="s">
        <v>5</v>
      </c>
      <c r="G2291" s="2">
        <v>4</v>
      </c>
      <c r="H2291" s="2">
        <v>3</v>
      </c>
      <c r="I2291" s="2">
        <v>0</v>
      </c>
      <c r="J2291" s="2">
        <v>0</v>
      </c>
      <c r="K2291" s="2">
        <v>0</v>
      </c>
      <c r="L2291" s="2">
        <v>0</v>
      </c>
      <c r="M2291" s="2">
        <v>0</v>
      </c>
      <c r="N2291" s="2">
        <v>3</v>
      </c>
      <c r="O2291" s="2">
        <v>0</v>
      </c>
      <c r="P2291" s="2">
        <v>0</v>
      </c>
      <c r="Q2291" s="2" t="s">
        <v>488</v>
      </c>
      <c r="R2291" s="2" t="s">
        <v>488</v>
      </c>
      <c r="S2291" s="2" t="s">
        <v>488</v>
      </c>
      <c r="T2291" s="2" t="s">
        <v>488</v>
      </c>
      <c r="U2291" s="2" t="s">
        <v>488</v>
      </c>
      <c r="V2291" s="2" t="s">
        <v>488</v>
      </c>
      <c r="W2291">
        <f t="shared" si="37"/>
        <v>3</v>
      </c>
    </row>
    <row r="2292" spans="1:23" x14ac:dyDescent="0.25">
      <c r="A2292" s="2" t="s">
        <v>1380</v>
      </c>
      <c r="B2292" s="2" t="s">
        <v>920</v>
      </c>
      <c r="C2292" s="2">
        <v>540147</v>
      </c>
      <c r="D2292" s="2" t="s">
        <v>789</v>
      </c>
      <c r="E2292" s="2" t="s">
        <v>63</v>
      </c>
      <c r="F2292" s="2" t="s">
        <v>115</v>
      </c>
      <c r="G2292" s="2">
        <v>4</v>
      </c>
      <c r="H2292" s="2">
        <v>0</v>
      </c>
      <c r="I2292" s="2">
        <v>17</v>
      </c>
      <c r="J2292" s="2">
        <v>0</v>
      </c>
      <c r="K2292" s="2">
        <v>0</v>
      </c>
      <c r="L2292" s="2">
        <v>0</v>
      </c>
      <c r="M2292" s="2">
        <v>17</v>
      </c>
      <c r="N2292" s="2">
        <v>17</v>
      </c>
      <c r="O2292" s="2">
        <v>0</v>
      </c>
      <c r="P2292" s="2">
        <v>0</v>
      </c>
      <c r="Q2292" s="2" t="s">
        <v>488</v>
      </c>
      <c r="R2292" s="2" t="s">
        <v>488</v>
      </c>
      <c r="S2292" s="2" t="s">
        <v>488</v>
      </c>
      <c r="T2292" s="2" t="s">
        <v>488</v>
      </c>
      <c r="U2292" s="2" t="s">
        <v>488</v>
      </c>
      <c r="V2292" s="2" t="s">
        <v>488</v>
      </c>
      <c r="W2292">
        <f t="shared" si="37"/>
        <v>17</v>
      </c>
    </row>
    <row r="2293" spans="1:23" x14ac:dyDescent="0.25">
      <c r="A2293" s="2" t="s">
        <v>1380</v>
      </c>
      <c r="B2293" s="2" t="s">
        <v>920</v>
      </c>
      <c r="C2293" s="2">
        <v>540148</v>
      </c>
      <c r="D2293" s="2" t="s">
        <v>790</v>
      </c>
      <c r="E2293" s="2" t="s">
        <v>63</v>
      </c>
      <c r="F2293" s="2" t="s">
        <v>115</v>
      </c>
      <c r="G2293" s="2">
        <v>4</v>
      </c>
      <c r="H2293" s="2">
        <v>0</v>
      </c>
      <c r="I2293" s="2">
        <v>0</v>
      </c>
      <c r="J2293" s="2">
        <v>0</v>
      </c>
      <c r="K2293" s="2">
        <v>0</v>
      </c>
      <c r="L2293" s="2">
        <v>0</v>
      </c>
      <c r="M2293" s="2">
        <v>0</v>
      </c>
      <c r="N2293" s="2">
        <v>0</v>
      </c>
      <c r="O2293" s="2">
        <v>0</v>
      </c>
      <c r="P2293" s="2">
        <v>0</v>
      </c>
      <c r="Q2293" s="2" t="s">
        <v>488</v>
      </c>
      <c r="R2293" s="2" t="s">
        <v>488</v>
      </c>
      <c r="S2293" s="2" t="s">
        <v>488</v>
      </c>
      <c r="T2293" s="2" t="s">
        <v>488</v>
      </c>
      <c r="U2293" s="2" t="s">
        <v>488</v>
      </c>
      <c r="V2293" s="2" t="s">
        <v>488</v>
      </c>
      <c r="W2293">
        <f t="shared" si="37"/>
        <v>0</v>
      </c>
    </row>
    <row r="2294" spans="1:23" x14ac:dyDescent="0.25">
      <c r="A2294" s="255" t="s">
        <v>1380</v>
      </c>
      <c r="B2294" s="255" t="s">
        <v>920</v>
      </c>
      <c r="C2294" s="255"/>
      <c r="D2294" s="255"/>
      <c r="E2294" s="255" t="s">
        <v>63</v>
      </c>
      <c r="F2294" s="255"/>
      <c r="G2294" s="255"/>
      <c r="H2294" s="255">
        <v>3</v>
      </c>
      <c r="I2294" s="255">
        <v>17</v>
      </c>
      <c r="J2294" s="255">
        <v>0</v>
      </c>
      <c r="K2294" s="255">
        <v>0</v>
      </c>
      <c r="L2294" s="255">
        <v>0</v>
      </c>
      <c r="M2294" s="255">
        <v>17</v>
      </c>
      <c r="N2294" s="255">
        <v>20</v>
      </c>
      <c r="O2294" s="255">
        <v>0</v>
      </c>
      <c r="P2294" s="255">
        <v>0</v>
      </c>
      <c r="Q2294" s="255" t="s">
        <v>488</v>
      </c>
      <c r="R2294" s="255" t="s">
        <v>488</v>
      </c>
      <c r="S2294" s="255" t="s">
        <v>488</v>
      </c>
      <c r="T2294" s="255" t="s">
        <v>488</v>
      </c>
      <c r="U2294" s="255" t="s">
        <v>488</v>
      </c>
      <c r="V2294" s="255" t="s">
        <v>488</v>
      </c>
      <c r="W2294">
        <f t="shared" si="37"/>
        <v>20</v>
      </c>
    </row>
    <row r="2295" spans="1:23" x14ac:dyDescent="0.25">
      <c r="A2295" s="2" t="s">
        <v>1380</v>
      </c>
      <c r="B2295" s="2" t="s">
        <v>920</v>
      </c>
      <c r="C2295" s="2">
        <v>540149</v>
      </c>
      <c r="D2295" s="2" t="s">
        <v>791</v>
      </c>
      <c r="E2295" s="2" t="s">
        <v>65</v>
      </c>
      <c r="F2295" s="2" t="s">
        <v>5</v>
      </c>
      <c r="G2295" s="2">
        <v>10</v>
      </c>
      <c r="H2295" s="2">
        <v>2</v>
      </c>
      <c r="I2295" s="2">
        <v>0</v>
      </c>
      <c r="J2295" s="2">
        <v>0</v>
      </c>
      <c r="K2295" s="2">
        <v>0</v>
      </c>
      <c r="L2295" s="2">
        <v>0</v>
      </c>
      <c r="M2295" s="2">
        <v>0</v>
      </c>
      <c r="N2295" s="2">
        <v>2</v>
      </c>
      <c r="O2295" s="2">
        <v>0</v>
      </c>
      <c r="P2295" s="2">
        <v>0</v>
      </c>
      <c r="Q2295" s="2">
        <v>2</v>
      </c>
      <c r="R2295" s="2">
        <v>0</v>
      </c>
      <c r="S2295" s="2" t="s">
        <v>488</v>
      </c>
      <c r="T2295" s="2" t="s">
        <v>488</v>
      </c>
      <c r="U2295" s="2" t="s">
        <v>488</v>
      </c>
      <c r="V2295" s="2" t="s">
        <v>488</v>
      </c>
      <c r="W2295">
        <f t="shared" si="37"/>
        <v>2</v>
      </c>
    </row>
    <row r="2296" spans="1:23" x14ac:dyDescent="0.25">
      <c r="A2296" s="2" t="s">
        <v>1380</v>
      </c>
      <c r="B2296" s="2" t="s">
        <v>920</v>
      </c>
      <c r="C2296" s="2">
        <v>540080</v>
      </c>
      <c r="D2296" s="2" t="s">
        <v>792</v>
      </c>
      <c r="E2296" s="2" t="s">
        <v>65</v>
      </c>
      <c r="F2296" s="2" t="s">
        <v>115</v>
      </c>
      <c r="G2296" s="2">
        <v>10</v>
      </c>
      <c r="H2296" s="2">
        <v>0</v>
      </c>
      <c r="I2296" s="2">
        <v>0</v>
      </c>
      <c r="J2296" s="2">
        <v>0</v>
      </c>
      <c r="K2296" s="2">
        <v>0</v>
      </c>
      <c r="L2296" s="2">
        <v>0</v>
      </c>
      <c r="M2296" s="2">
        <v>0</v>
      </c>
      <c r="N2296" s="2">
        <v>0</v>
      </c>
      <c r="O2296" s="2">
        <v>0</v>
      </c>
      <c r="P2296" s="2">
        <v>0</v>
      </c>
      <c r="Q2296" s="2">
        <v>0</v>
      </c>
      <c r="R2296" s="2">
        <v>0</v>
      </c>
      <c r="S2296" s="2" t="s">
        <v>488</v>
      </c>
      <c r="T2296" s="2" t="s">
        <v>488</v>
      </c>
      <c r="U2296" s="2" t="s">
        <v>488</v>
      </c>
      <c r="V2296" s="2" t="s">
        <v>488</v>
      </c>
      <c r="W2296">
        <f t="shared" si="37"/>
        <v>0</v>
      </c>
    </row>
    <row r="2297" spans="1:23" x14ac:dyDescent="0.25">
      <c r="A2297" s="2" t="s">
        <v>1380</v>
      </c>
      <c r="B2297" s="2" t="s">
        <v>920</v>
      </c>
      <c r="C2297" s="2">
        <v>540094</v>
      </c>
      <c r="D2297" s="2" t="s">
        <v>793</v>
      </c>
      <c r="E2297" s="2" t="s">
        <v>65</v>
      </c>
      <c r="F2297" s="2" t="s">
        <v>115</v>
      </c>
      <c r="G2297" s="2">
        <v>10</v>
      </c>
      <c r="H2297" s="2">
        <v>0</v>
      </c>
      <c r="I2297" s="2">
        <v>0</v>
      </c>
      <c r="J2297" s="2">
        <v>0</v>
      </c>
      <c r="K2297" s="2">
        <v>0</v>
      </c>
      <c r="L2297" s="2">
        <v>0</v>
      </c>
      <c r="M2297" s="2">
        <v>0</v>
      </c>
      <c r="N2297" s="2">
        <v>0</v>
      </c>
      <c r="O2297" s="2">
        <v>0</v>
      </c>
      <c r="P2297" s="2">
        <v>0</v>
      </c>
      <c r="Q2297" s="2">
        <v>0</v>
      </c>
      <c r="R2297" s="2">
        <v>0</v>
      </c>
      <c r="S2297" s="2" t="s">
        <v>488</v>
      </c>
      <c r="T2297" s="2" t="s">
        <v>488</v>
      </c>
      <c r="U2297" s="2" t="s">
        <v>488</v>
      </c>
      <c r="V2297" s="2" t="s">
        <v>488</v>
      </c>
      <c r="W2297">
        <f t="shared" si="37"/>
        <v>0</v>
      </c>
    </row>
    <row r="2298" spans="1:23" x14ac:dyDescent="0.25">
      <c r="A2298" s="2" t="s">
        <v>1380</v>
      </c>
      <c r="B2298" s="2" t="s">
        <v>920</v>
      </c>
      <c r="C2298" s="2">
        <v>540150</v>
      </c>
      <c r="D2298" s="2" t="s">
        <v>794</v>
      </c>
      <c r="E2298" s="2" t="s">
        <v>65</v>
      </c>
      <c r="F2298" s="2" t="s">
        <v>115</v>
      </c>
      <c r="G2298" s="2">
        <v>10</v>
      </c>
      <c r="H2298" s="2">
        <v>0</v>
      </c>
      <c r="I2298" s="2">
        <v>0</v>
      </c>
      <c r="J2298" s="2">
        <v>0</v>
      </c>
      <c r="K2298" s="2">
        <v>0</v>
      </c>
      <c r="L2298" s="2">
        <v>0</v>
      </c>
      <c r="M2298" s="2">
        <v>0</v>
      </c>
      <c r="N2298" s="2">
        <v>0</v>
      </c>
      <c r="O2298" s="2">
        <v>0</v>
      </c>
      <c r="P2298" s="2">
        <v>0</v>
      </c>
      <c r="Q2298" s="2">
        <v>0</v>
      </c>
      <c r="R2298" s="2">
        <v>0</v>
      </c>
      <c r="S2298" s="2" t="s">
        <v>488</v>
      </c>
      <c r="T2298" s="2" t="s">
        <v>488</v>
      </c>
      <c r="U2298" s="2" t="s">
        <v>488</v>
      </c>
      <c r="V2298" s="2" t="s">
        <v>488</v>
      </c>
      <c r="W2298">
        <f t="shared" si="37"/>
        <v>0</v>
      </c>
    </row>
    <row r="2299" spans="1:23" x14ac:dyDescent="0.25">
      <c r="A2299" s="2" t="s">
        <v>1380</v>
      </c>
      <c r="B2299" s="2" t="s">
        <v>920</v>
      </c>
      <c r="C2299" s="2">
        <v>540151</v>
      </c>
      <c r="D2299" s="2" t="s">
        <v>795</v>
      </c>
      <c r="E2299" s="2" t="s">
        <v>65</v>
      </c>
      <c r="F2299" s="2" t="s">
        <v>115</v>
      </c>
      <c r="G2299" s="2">
        <v>10</v>
      </c>
      <c r="H2299" s="2">
        <v>8</v>
      </c>
      <c r="I2299" s="2">
        <v>0</v>
      </c>
      <c r="J2299" s="2">
        <v>0</v>
      </c>
      <c r="K2299" s="2">
        <v>0</v>
      </c>
      <c r="L2299" s="2">
        <v>0</v>
      </c>
      <c r="M2299" s="2">
        <v>0</v>
      </c>
      <c r="N2299" s="2">
        <v>8</v>
      </c>
      <c r="O2299" s="2">
        <v>0</v>
      </c>
      <c r="P2299" s="2">
        <v>0</v>
      </c>
      <c r="Q2299" s="2">
        <v>6</v>
      </c>
      <c r="R2299" s="2">
        <v>0</v>
      </c>
      <c r="S2299" s="2" t="s">
        <v>488</v>
      </c>
      <c r="T2299" s="2" t="s">
        <v>488</v>
      </c>
      <c r="U2299" s="2" t="s">
        <v>488</v>
      </c>
      <c r="V2299" s="2" t="s">
        <v>488</v>
      </c>
      <c r="W2299">
        <f t="shared" si="37"/>
        <v>8</v>
      </c>
    </row>
    <row r="2300" spans="1:23" x14ac:dyDescent="0.25">
      <c r="A2300" s="2" t="s">
        <v>1380</v>
      </c>
      <c r="B2300" s="2" t="s">
        <v>920</v>
      </c>
      <c r="C2300" s="2">
        <v>540152</v>
      </c>
      <c r="D2300" s="2" t="s">
        <v>741</v>
      </c>
      <c r="E2300" s="2" t="s">
        <v>65</v>
      </c>
      <c r="F2300" s="2" t="s">
        <v>115</v>
      </c>
      <c r="G2300" s="2">
        <v>10</v>
      </c>
      <c r="H2300" s="2">
        <v>9</v>
      </c>
      <c r="I2300" s="2">
        <v>1352</v>
      </c>
      <c r="J2300" s="2">
        <v>48</v>
      </c>
      <c r="K2300" s="2">
        <v>0</v>
      </c>
      <c r="L2300" s="2">
        <v>0</v>
      </c>
      <c r="M2300" s="2">
        <v>1400</v>
      </c>
      <c r="N2300" s="2">
        <v>1409</v>
      </c>
      <c r="O2300" s="2">
        <v>0</v>
      </c>
      <c r="P2300" s="2">
        <v>0</v>
      </c>
      <c r="Q2300" s="2">
        <v>9</v>
      </c>
      <c r="R2300" s="2">
        <v>0</v>
      </c>
      <c r="S2300" s="2" t="s">
        <v>488</v>
      </c>
      <c r="T2300" s="2" t="s">
        <v>488</v>
      </c>
      <c r="U2300" s="2" t="s">
        <v>488</v>
      </c>
      <c r="V2300" s="2" t="s">
        <v>488</v>
      </c>
      <c r="W2300">
        <f t="shared" si="37"/>
        <v>1409</v>
      </c>
    </row>
    <row r="2301" spans="1:23" x14ac:dyDescent="0.25">
      <c r="A2301" s="2" t="s">
        <v>1380</v>
      </c>
      <c r="B2301" s="2" t="s">
        <v>920</v>
      </c>
      <c r="C2301" s="2">
        <v>540275</v>
      </c>
      <c r="D2301" s="2" t="s">
        <v>796</v>
      </c>
      <c r="E2301" s="2" t="s">
        <v>65</v>
      </c>
      <c r="F2301" s="2" t="s">
        <v>115</v>
      </c>
      <c r="G2301" s="2">
        <v>10</v>
      </c>
      <c r="H2301" s="2">
        <v>0</v>
      </c>
      <c r="I2301" s="2">
        <v>0</v>
      </c>
      <c r="J2301" s="2">
        <v>0</v>
      </c>
      <c r="K2301" s="2">
        <v>0</v>
      </c>
      <c r="L2301" s="2">
        <v>0</v>
      </c>
      <c r="M2301" s="2">
        <v>0</v>
      </c>
      <c r="N2301" s="2">
        <v>0</v>
      </c>
      <c r="O2301" s="2">
        <v>0</v>
      </c>
      <c r="P2301" s="2">
        <v>0</v>
      </c>
      <c r="Q2301" s="2">
        <v>0</v>
      </c>
      <c r="R2301" s="2">
        <v>0</v>
      </c>
      <c r="S2301" s="2" t="s">
        <v>488</v>
      </c>
      <c r="T2301" s="2" t="s">
        <v>488</v>
      </c>
      <c r="U2301" s="2" t="s">
        <v>488</v>
      </c>
      <c r="V2301" s="2" t="s">
        <v>488</v>
      </c>
      <c r="W2301">
        <f t="shared" si="37"/>
        <v>0</v>
      </c>
    </row>
    <row r="2302" spans="1:23" x14ac:dyDescent="0.25">
      <c r="A2302" s="255" t="s">
        <v>1380</v>
      </c>
      <c r="B2302" s="255" t="s">
        <v>920</v>
      </c>
      <c r="C2302" s="255"/>
      <c r="D2302" s="255"/>
      <c r="E2302" s="255" t="s">
        <v>65</v>
      </c>
      <c r="F2302" s="255"/>
      <c r="G2302" s="255"/>
      <c r="H2302" s="255">
        <v>19</v>
      </c>
      <c r="I2302" s="255">
        <v>1352</v>
      </c>
      <c r="J2302" s="255">
        <v>48</v>
      </c>
      <c r="K2302" s="255">
        <v>0</v>
      </c>
      <c r="L2302" s="255">
        <v>0</v>
      </c>
      <c r="M2302" s="255">
        <v>1400</v>
      </c>
      <c r="N2302" s="255">
        <v>1419</v>
      </c>
      <c r="O2302" s="255">
        <v>0</v>
      </c>
      <c r="P2302" s="255">
        <v>0</v>
      </c>
      <c r="Q2302" s="255">
        <v>17</v>
      </c>
      <c r="R2302" s="255">
        <v>0</v>
      </c>
      <c r="S2302" s="255" t="s">
        <v>488</v>
      </c>
      <c r="T2302" s="255" t="s">
        <v>488</v>
      </c>
      <c r="U2302" s="255" t="s">
        <v>488</v>
      </c>
      <c r="V2302" s="255" t="s">
        <v>488</v>
      </c>
      <c r="W2302">
        <f t="shared" si="37"/>
        <v>1419</v>
      </c>
    </row>
    <row r="2303" spans="1:23" x14ac:dyDescent="0.25">
      <c r="A2303" s="2" t="s">
        <v>1380</v>
      </c>
      <c r="B2303" s="2" t="s">
        <v>920</v>
      </c>
      <c r="C2303" s="2">
        <v>540153</v>
      </c>
      <c r="D2303" s="2" t="s">
        <v>797</v>
      </c>
      <c r="E2303" s="2" t="s">
        <v>67</v>
      </c>
      <c r="F2303" s="2" t="s">
        <v>5</v>
      </c>
      <c r="G2303" s="2">
        <v>8</v>
      </c>
      <c r="H2303" s="2">
        <v>10</v>
      </c>
      <c r="I2303" s="2">
        <v>0</v>
      </c>
      <c r="J2303" s="2">
        <v>0</v>
      </c>
      <c r="K2303" s="2">
        <v>0</v>
      </c>
      <c r="L2303" s="2">
        <v>0</v>
      </c>
      <c r="M2303" s="2">
        <v>0</v>
      </c>
      <c r="N2303" s="2">
        <v>10</v>
      </c>
      <c r="O2303" s="2">
        <v>0</v>
      </c>
      <c r="P2303" s="2">
        <v>0</v>
      </c>
      <c r="Q2303" s="2" t="s">
        <v>488</v>
      </c>
      <c r="R2303" s="2" t="s">
        <v>488</v>
      </c>
      <c r="S2303" s="2" t="s">
        <v>488</v>
      </c>
      <c r="T2303" s="2" t="s">
        <v>488</v>
      </c>
      <c r="U2303" s="2" t="s">
        <v>488</v>
      </c>
      <c r="V2303" s="2" t="s">
        <v>488</v>
      </c>
      <c r="W2303">
        <f t="shared" si="37"/>
        <v>10</v>
      </c>
    </row>
    <row r="2304" spans="1:23" x14ac:dyDescent="0.25">
      <c r="A2304" s="2" t="s">
        <v>1380</v>
      </c>
      <c r="B2304" s="2" t="s">
        <v>920</v>
      </c>
      <c r="C2304" s="2">
        <v>540154</v>
      </c>
      <c r="D2304" s="2" t="s">
        <v>798</v>
      </c>
      <c r="E2304" s="2" t="s">
        <v>67</v>
      </c>
      <c r="F2304" s="2" t="s">
        <v>115</v>
      </c>
      <c r="G2304" s="2">
        <v>8</v>
      </c>
      <c r="H2304" s="2">
        <v>0</v>
      </c>
      <c r="I2304" s="2">
        <v>0</v>
      </c>
      <c r="J2304" s="2">
        <v>0</v>
      </c>
      <c r="K2304" s="2">
        <v>0</v>
      </c>
      <c r="L2304" s="2">
        <v>0</v>
      </c>
      <c r="M2304" s="2">
        <v>0</v>
      </c>
      <c r="N2304" s="2">
        <v>0</v>
      </c>
      <c r="O2304" s="2">
        <v>0</v>
      </c>
      <c r="P2304" s="2">
        <v>0</v>
      </c>
      <c r="Q2304" s="2" t="s">
        <v>488</v>
      </c>
      <c r="R2304" s="2" t="s">
        <v>488</v>
      </c>
      <c r="S2304" s="2" t="s">
        <v>488</v>
      </c>
      <c r="T2304" s="2" t="s">
        <v>488</v>
      </c>
      <c r="U2304" s="2" t="s">
        <v>488</v>
      </c>
      <c r="V2304" s="2" t="s">
        <v>488</v>
      </c>
      <c r="W2304">
        <f t="shared" si="37"/>
        <v>0</v>
      </c>
    </row>
    <row r="2305" spans="1:23" x14ac:dyDescent="0.25">
      <c r="A2305" s="255" t="s">
        <v>1380</v>
      </c>
      <c r="B2305" s="255" t="s">
        <v>920</v>
      </c>
      <c r="C2305" s="255"/>
      <c r="D2305" s="255"/>
      <c r="E2305" s="255" t="s">
        <v>67</v>
      </c>
      <c r="F2305" s="255"/>
      <c r="G2305" s="255"/>
      <c r="H2305" s="255">
        <v>10</v>
      </c>
      <c r="I2305" s="255">
        <v>0</v>
      </c>
      <c r="J2305" s="255">
        <v>0</v>
      </c>
      <c r="K2305" s="255">
        <v>0</v>
      </c>
      <c r="L2305" s="255">
        <v>0</v>
      </c>
      <c r="M2305" s="255">
        <v>0</v>
      </c>
      <c r="N2305" s="255">
        <v>10</v>
      </c>
      <c r="O2305" s="255">
        <v>0</v>
      </c>
      <c r="P2305" s="255">
        <v>0</v>
      </c>
      <c r="Q2305" s="255" t="s">
        <v>488</v>
      </c>
      <c r="R2305" s="255" t="s">
        <v>488</v>
      </c>
      <c r="S2305" s="255" t="s">
        <v>488</v>
      </c>
      <c r="T2305" s="255" t="s">
        <v>488</v>
      </c>
      <c r="U2305" s="255" t="s">
        <v>488</v>
      </c>
      <c r="V2305" s="255" t="s">
        <v>488</v>
      </c>
      <c r="W2305">
        <f t="shared" si="37"/>
        <v>10</v>
      </c>
    </row>
    <row r="2306" spans="1:23" x14ac:dyDescent="0.25">
      <c r="A2306" s="2" t="s">
        <v>1380</v>
      </c>
      <c r="B2306" s="2" t="s">
        <v>920</v>
      </c>
      <c r="C2306" s="2">
        <v>540160</v>
      </c>
      <c r="D2306" s="2" t="s">
        <v>799</v>
      </c>
      <c r="E2306" s="2" t="s">
        <v>69</v>
      </c>
      <c r="F2306" s="2" t="s">
        <v>5</v>
      </c>
      <c r="G2306" s="2">
        <v>6</v>
      </c>
      <c r="H2306" s="2">
        <v>0</v>
      </c>
      <c r="I2306" s="2">
        <v>24</v>
      </c>
      <c r="J2306" s="2">
        <v>0</v>
      </c>
      <c r="K2306" s="2">
        <v>0</v>
      </c>
      <c r="L2306" s="2">
        <v>0</v>
      </c>
      <c r="M2306" s="2">
        <v>24</v>
      </c>
      <c r="N2306" s="2">
        <v>24</v>
      </c>
      <c r="O2306" s="2">
        <v>0</v>
      </c>
      <c r="P2306" s="2">
        <v>0</v>
      </c>
      <c r="Q2306" s="2">
        <v>0</v>
      </c>
      <c r="R2306" s="2">
        <v>1</v>
      </c>
      <c r="S2306" s="2" t="s">
        <v>488</v>
      </c>
      <c r="T2306" s="2" t="s">
        <v>488</v>
      </c>
      <c r="U2306" s="2" t="s">
        <v>488</v>
      </c>
      <c r="V2306" s="2" t="s">
        <v>488</v>
      </c>
      <c r="W2306">
        <f t="shared" si="37"/>
        <v>25</v>
      </c>
    </row>
    <row r="2307" spans="1:23" x14ac:dyDescent="0.25">
      <c r="A2307" s="2" t="s">
        <v>1380</v>
      </c>
      <c r="B2307" s="2" t="s">
        <v>920</v>
      </c>
      <c r="C2307" s="2">
        <v>540137</v>
      </c>
      <c r="D2307" s="2" t="s">
        <v>800</v>
      </c>
      <c r="E2307" s="2" t="s">
        <v>69</v>
      </c>
      <c r="F2307" s="2" t="s">
        <v>115</v>
      </c>
      <c r="G2307" s="2">
        <v>6</v>
      </c>
      <c r="H2307" s="2">
        <v>0</v>
      </c>
      <c r="I2307" s="2">
        <v>0</v>
      </c>
      <c r="J2307" s="2">
        <v>0</v>
      </c>
      <c r="K2307" s="2">
        <v>0</v>
      </c>
      <c r="L2307" s="2">
        <v>0</v>
      </c>
      <c r="M2307" s="2">
        <v>0</v>
      </c>
      <c r="N2307" s="2">
        <v>0</v>
      </c>
      <c r="O2307" s="2">
        <v>0</v>
      </c>
      <c r="P2307" s="2">
        <v>0</v>
      </c>
      <c r="Q2307" s="2">
        <v>0</v>
      </c>
      <c r="R2307" s="2">
        <v>0</v>
      </c>
      <c r="S2307" s="2" t="s">
        <v>488</v>
      </c>
      <c r="T2307" s="2" t="s">
        <v>488</v>
      </c>
      <c r="U2307" s="2" t="s">
        <v>488</v>
      </c>
      <c r="V2307" s="2" t="s">
        <v>488</v>
      </c>
      <c r="W2307">
        <f t="shared" ref="W2307:W2370" si="38">SUM(N2307,P2307,R2307,T2307)</f>
        <v>0</v>
      </c>
    </row>
    <row r="2308" spans="1:23" x14ac:dyDescent="0.25">
      <c r="A2308" s="2" t="s">
        <v>1380</v>
      </c>
      <c r="B2308" s="2" t="s">
        <v>920</v>
      </c>
      <c r="C2308" s="2">
        <v>540161</v>
      </c>
      <c r="D2308" s="2" t="s">
        <v>801</v>
      </c>
      <c r="E2308" s="2" t="s">
        <v>69</v>
      </c>
      <c r="F2308" s="2" t="s">
        <v>115</v>
      </c>
      <c r="G2308" s="2">
        <v>6</v>
      </c>
      <c r="H2308" s="2">
        <v>0</v>
      </c>
      <c r="I2308" s="2">
        <v>0</v>
      </c>
      <c r="J2308" s="2">
        <v>0</v>
      </c>
      <c r="K2308" s="2">
        <v>0</v>
      </c>
      <c r="L2308" s="2">
        <v>0</v>
      </c>
      <c r="M2308" s="2">
        <v>0</v>
      </c>
      <c r="N2308" s="2">
        <v>0</v>
      </c>
      <c r="O2308" s="2">
        <v>0</v>
      </c>
      <c r="P2308" s="2">
        <v>0</v>
      </c>
      <c r="Q2308" s="2">
        <v>0</v>
      </c>
      <c r="R2308" s="2">
        <v>0</v>
      </c>
      <c r="S2308" s="2" t="s">
        <v>488</v>
      </c>
      <c r="T2308" s="2" t="s">
        <v>488</v>
      </c>
      <c r="U2308" s="2" t="s">
        <v>488</v>
      </c>
      <c r="V2308" s="2" t="s">
        <v>488</v>
      </c>
      <c r="W2308">
        <f t="shared" si="38"/>
        <v>0</v>
      </c>
    </row>
    <row r="2309" spans="1:23" x14ac:dyDescent="0.25">
      <c r="A2309" s="2" t="s">
        <v>1380</v>
      </c>
      <c r="B2309" s="2" t="s">
        <v>920</v>
      </c>
      <c r="C2309" s="2">
        <v>540162</v>
      </c>
      <c r="D2309" s="2" t="s">
        <v>802</v>
      </c>
      <c r="E2309" s="2" t="s">
        <v>69</v>
      </c>
      <c r="F2309" s="2" t="s">
        <v>115</v>
      </c>
      <c r="G2309" s="2">
        <v>6</v>
      </c>
      <c r="H2309" s="2">
        <v>0</v>
      </c>
      <c r="I2309" s="2">
        <v>0</v>
      </c>
      <c r="J2309" s="2">
        <v>0</v>
      </c>
      <c r="K2309" s="2">
        <v>0</v>
      </c>
      <c r="L2309" s="2">
        <v>0</v>
      </c>
      <c r="M2309" s="2">
        <v>0</v>
      </c>
      <c r="N2309" s="2">
        <v>0</v>
      </c>
      <c r="O2309" s="2">
        <v>0</v>
      </c>
      <c r="P2309" s="2">
        <v>0</v>
      </c>
      <c r="Q2309" s="2">
        <v>0</v>
      </c>
      <c r="R2309" s="2">
        <v>0</v>
      </c>
      <c r="S2309" s="2" t="s">
        <v>488</v>
      </c>
      <c r="T2309" s="2" t="s">
        <v>488</v>
      </c>
      <c r="U2309" s="2" t="s">
        <v>488</v>
      </c>
      <c r="V2309" s="2" t="s">
        <v>488</v>
      </c>
      <c r="W2309">
        <f t="shared" si="38"/>
        <v>0</v>
      </c>
    </row>
    <row r="2310" spans="1:23" x14ac:dyDescent="0.25">
      <c r="A2310" s="2" t="s">
        <v>1380</v>
      </c>
      <c r="B2310" s="2" t="s">
        <v>920</v>
      </c>
      <c r="C2310" s="2">
        <v>540163</v>
      </c>
      <c r="D2310" s="2" t="s">
        <v>803</v>
      </c>
      <c r="E2310" s="2" t="s">
        <v>69</v>
      </c>
      <c r="F2310" s="2" t="s">
        <v>115</v>
      </c>
      <c r="G2310" s="2">
        <v>6</v>
      </c>
      <c r="H2310" s="2">
        <v>0</v>
      </c>
      <c r="I2310" s="2">
        <v>44</v>
      </c>
      <c r="J2310" s="2">
        <v>0</v>
      </c>
      <c r="K2310" s="2">
        <v>0</v>
      </c>
      <c r="L2310" s="2">
        <v>0</v>
      </c>
      <c r="M2310" s="2">
        <v>44</v>
      </c>
      <c r="N2310" s="2">
        <v>44</v>
      </c>
      <c r="O2310" s="2">
        <v>0</v>
      </c>
      <c r="P2310" s="2">
        <v>0</v>
      </c>
      <c r="Q2310" s="2">
        <v>0</v>
      </c>
      <c r="R2310" s="2">
        <v>0</v>
      </c>
      <c r="S2310" s="2" t="s">
        <v>488</v>
      </c>
      <c r="T2310" s="2" t="s">
        <v>488</v>
      </c>
      <c r="U2310" s="2" t="s">
        <v>488</v>
      </c>
      <c r="V2310" s="2" t="s">
        <v>488</v>
      </c>
      <c r="W2310">
        <f t="shared" si="38"/>
        <v>44</v>
      </c>
    </row>
    <row r="2311" spans="1:23" x14ac:dyDescent="0.25">
      <c r="A2311" s="2" t="s">
        <v>1380</v>
      </c>
      <c r="B2311" s="2" t="s">
        <v>920</v>
      </c>
      <c r="C2311" s="2">
        <v>540254</v>
      </c>
      <c r="D2311" s="2" t="s">
        <v>804</v>
      </c>
      <c r="E2311" s="2" t="s">
        <v>69</v>
      </c>
      <c r="F2311" s="2" t="s">
        <v>115</v>
      </c>
      <c r="G2311" s="2">
        <v>6</v>
      </c>
      <c r="H2311" s="2">
        <v>0</v>
      </c>
      <c r="I2311" s="2">
        <v>0</v>
      </c>
      <c r="J2311" s="2">
        <v>0</v>
      </c>
      <c r="K2311" s="2">
        <v>0</v>
      </c>
      <c r="L2311" s="2">
        <v>0</v>
      </c>
      <c r="M2311" s="2">
        <v>0</v>
      </c>
      <c r="N2311" s="2">
        <v>0</v>
      </c>
      <c r="O2311" s="2">
        <v>0</v>
      </c>
      <c r="P2311" s="2">
        <v>0</v>
      </c>
      <c r="Q2311" s="2">
        <v>0</v>
      </c>
      <c r="R2311" s="2">
        <v>0</v>
      </c>
      <c r="S2311" s="2" t="s">
        <v>488</v>
      </c>
      <c r="T2311" s="2" t="s">
        <v>488</v>
      </c>
      <c r="U2311" s="2" t="s">
        <v>488</v>
      </c>
      <c r="V2311" s="2" t="s">
        <v>488</v>
      </c>
      <c r="W2311">
        <f t="shared" si="38"/>
        <v>0</v>
      </c>
    </row>
    <row r="2312" spans="1:23" x14ac:dyDescent="0.25">
      <c r="A2312" s="2" t="s">
        <v>1380</v>
      </c>
      <c r="B2312" s="2" t="s">
        <v>920</v>
      </c>
      <c r="C2312" s="2">
        <v>540257</v>
      </c>
      <c r="D2312" s="2" t="s">
        <v>805</v>
      </c>
      <c r="E2312" s="2" t="s">
        <v>69</v>
      </c>
      <c r="F2312" s="2" t="s">
        <v>115</v>
      </c>
      <c r="G2312" s="2">
        <v>6</v>
      </c>
      <c r="H2312" s="2">
        <v>0</v>
      </c>
      <c r="I2312" s="2">
        <v>0</v>
      </c>
      <c r="J2312" s="2">
        <v>0</v>
      </c>
      <c r="K2312" s="2">
        <v>0</v>
      </c>
      <c r="L2312" s="2">
        <v>0</v>
      </c>
      <c r="M2312" s="2">
        <v>0</v>
      </c>
      <c r="N2312" s="2">
        <v>0</v>
      </c>
      <c r="O2312" s="2">
        <v>0</v>
      </c>
      <c r="P2312" s="2">
        <v>0</v>
      </c>
      <c r="Q2312" s="2">
        <v>0</v>
      </c>
      <c r="R2312" s="2">
        <v>0</v>
      </c>
      <c r="S2312" s="2" t="s">
        <v>488</v>
      </c>
      <c r="T2312" s="2" t="s">
        <v>488</v>
      </c>
      <c r="U2312" s="2" t="s">
        <v>488</v>
      </c>
      <c r="V2312" s="2" t="s">
        <v>488</v>
      </c>
      <c r="W2312">
        <f t="shared" si="38"/>
        <v>0</v>
      </c>
    </row>
    <row r="2313" spans="1:23" x14ac:dyDescent="0.25">
      <c r="A2313" s="2" t="s">
        <v>1380</v>
      </c>
      <c r="B2313" s="2" t="s">
        <v>920</v>
      </c>
      <c r="C2313" s="2">
        <v>540268</v>
      </c>
      <c r="D2313" s="2" t="s">
        <v>806</v>
      </c>
      <c r="E2313" s="2" t="s">
        <v>69</v>
      </c>
      <c r="F2313" s="2" t="s">
        <v>115</v>
      </c>
      <c r="G2313" s="2">
        <v>6</v>
      </c>
      <c r="H2313" s="2">
        <v>0</v>
      </c>
      <c r="I2313" s="2">
        <v>0</v>
      </c>
      <c r="J2313" s="2">
        <v>0</v>
      </c>
      <c r="K2313" s="2">
        <v>0</v>
      </c>
      <c r="L2313" s="2">
        <v>0</v>
      </c>
      <c r="M2313" s="2">
        <v>0</v>
      </c>
      <c r="N2313" s="2">
        <v>0</v>
      </c>
      <c r="O2313" s="2">
        <v>0</v>
      </c>
      <c r="P2313" s="2">
        <v>0</v>
      </c>
      <c r="Q2313" s="2">
        <v>0</v>
      </c>
      <c r="R2313" s="2">
        <v>0</v>
      </c>
      <c r="S2313" s="2" t="s">
        <v>488</v>
      </c>
      <c r="T2313" s="2" t="s">
        <v>488</v>
      </c>
      <c r="U2313" s="2" t="s">
        <v>488</v>
      </c>
      <c r="V2313" s="2" t="s">
        <v>488</v>
      </c>
      <c r="W2313">
        <f t="shared" si="38"/>
        <v>0</v>
      </c>
    </row>
    <row r="2314" spans="1:23" x14ac:dyDescent="0.25">
      <c r="A2314" s="2" t="s">
        <v>1380</v>
      </c>
      <c r="B2314" s="2" t="s">
        <v>920</v>
      </c>
      <c r="C2314" s="2">
        <v>540269</v>
      </c>
      <c r="D2314" s="2" t="s">
        <v>807</v>
      </c>
      <c r="E2314" s="2" t="s">
        <v>69</v>
      </c>
      <c r="F2314" s="2" t="s">
        <v>115</v>
      </c>
      <c r="G2314" s="2">
        <v>6</v>
      </c>
      <c r="H2314" s="2">
        <v>0</v>
      </c>
      <c r="I2314" s="2">
        <v>0</v>
      </c>
      <c r="J2314" s="2">
        <v>0</v>
      </c>
      <c r="K2314" s="2">
        <v>0</v>
      </c>
      <c r="L2314" s="2">
        <v>0</v>
      </c>
      <c r="M2314" s="2">
        <v>0</v>
      </c>
      <c r="N2314" s="2">
        <v>0</v>
      </c>
      <c r="O2314" s="2">
        <v>0</v>
      </c>
      <c r="P2314" s="2">
        <v>0</v>
      </c>
      <c r="Q2314" s="2">
        <v>0</v>
      </c>
      <c r="R2314" s="2">
        <v>0</v>
      </c>
      <c r="S2314" s="2" t="s">
        <v>488</v>
      </c>
      <c r="T2314" s="2" t="s">
        <v>488</v>
      </c>
      <c r="U2314" s="2" t="s">
        <v>488</v>
      </c>
      <c r="V2314" s="2" t="s">
        <v>488</v>
      </c>
      <c r="W2314">
        <f t="shared" si="38"/>
        <v>0</v>
      </c>
    </row>
    <row r="2315" spans="1:23" x14ac:dyDescent="0.25">
      <c r="A2315" s="2" t="s">
        <v>1380</v>
      </c>
      <c r="B2315" s="2" t="s">
        <v>920</v>
      </c>
      <c r="C2315" s="2">
        <v>540270</v>
      </c>
      <c r="D2315" s="2" t="s">
        <v>808</v>
      </c>
      <c r="E2315" s="2" t="s">
        <v>69</v>
      </c>
      <c r="F2315" s="2" t="s">
        <v>115</v>
      </c>
      <c r="G2315" s="2">
        <v>6</v>
      </c>
      <c r="H2315" s="2">
        <v>0</v>
      </c>
      <c r="I2315" s="2">
        <v>0</v>
      </c>
      <c r="J2315" s="2">
        <v>0</v>
      </c>
      <c r="K2315" s="2">
        <v>0</v>
      </c>
      <c r="L2315" s="2">
        <v>0</v>
      </c>
      <c r="M2315" s="2">
        <v>0</v>
      </c>
      <c r="N2315" s="2">
        <v>0</v>
      </c>
      <c r="O2315" s="2">
        <v>0</v>
      </c>
      <c r="P2315" s="2">
        <v>0</v>
      </c>
      <c r="Q2315" s="2">
        <v>0</v>
      </c>
      <c r="R2315" s="2">
        <v>0</v>
      </c>
      <c r="S2315" s="2" t="s">
        <v>488</v>
      </c>
      <c r="T2315" s="2" t="s">
        <v>488</v>
      </c>
      <c r="U2315" s="2" t="s">
        <v>488</v>
      </c>
      <c r="V2315" s="2" t="s">
        <v>488</v>
      </c>
      <c r="W2315">
        <f t="shared" si="38"/>
        <v>0</v>
      </c>
    </row>
    <row r="2316" spans="1:23" x14ac:dyDescent="0.25">
      <c r="A2316" s="2" t="s">
        <v>1380</v>
      </c>
      <c r="B2316" s="2" t="s">
        <v>920</v>
      </c>
      <c r="C2316" s="2">
        <v>540284</v>
      </c>
      <c r="D2316" s="2" t="s">
        <v>809</v>
      </c>
      <c r="E2316" s="2" t="s">
        <v>69</v>
      </c>
      <c r="F2316" s="2" t="s">
        <v>115</v>
      </c>
      <c r="G2316" s="2">
        <v>6</v>
      </c>
      <c r="H2316" s="2">
        <v>0</v>
      </c>
      <c r="I2316" s="2">
        <v>0</v>
      </c>
      <c r="J2316" s="2">
        <v>0</v>
      </c>
      <c r="K2316" s="2">
        <v>0</v>
      </c>
      <c r="L2316" s="2">
        <v>0</v>
      </c>
      <c r="M2316" s="2">
        <v>0</v>
      </c>
      <c r="N2316" s="2">
        <v>0</v>
      </c>
      <c r="O2316" s="2">
        <v>0</v>
      </c>
      <c r="P2316" s="2">
        <v>0</v>
      </c>
      <c r="Q2316" s="2">
        <v>0</v>
      </c>
      <c r="R2316" s="2">
        <v>0</v>
      </c>
      <c r="S2316" s="2" t="s">
        <v>488</v>
      </c>
      <c r="T2316" s="2" t="s">
        <v>488</v>
      </c>
      <c r="U2316" s="2" t="s">
        <v>488</v>
      </c>
      <c r="V2316" s="2" t="s">
        <v>488</v>
      </c>
      <c r="W2316">
        <f t="shared" si="38"/>
        <v>0</v>
      </c>
    </row>
    <row r="2317" spans="1:23" x14ac:dyDescent="0.25">
      <c r="A2317" s="255" t="s">
        <v>1380</v>
      </c>
      <c r="B2317" s="255" t="s">
        <v>920</v>
      </c>
      <c r="C2317" s="255"/>
      <c r="D2317" s="255"/>
      <c r="E2317" s="255" t="s">
        <v>69</v>
      </c>
      <c r="F2317" s="255"/>
      <c r="G2317" s="255"/>
      <c r="H2317" s="255">
        <v>0</v>
      </c>
      <c r="I2317" s="255">
        <v>68</v>
      </c>
      <c r="J2317" s="255">
        <v>0</v>
      </c>
      <c r="K2317" s="255">
        <v>0</v>
      </c>
      <c r="L2317" s="255">
        <v>0</v>
      </c>
      <c r="M2317" s="255">
        <v>68</v>
      </c>
      <c r="N2317" s="255">
        <v>68</v>
      </c>
      <c r="O2317" s="255">
        <v>0</v>
      </c>
      <c r="P2317" s="255">
        <v>0</v>
      </c>
      <c r="Q2317" s="255">
        <v>0</v>
      </c>
      <c r="R2317" s="255">
        <v>1</v>
      </c>
      <c r="S2317" s="255" t="s">
        <v>488</v>
      </c>
      <c r="T2317" s="255" t="s">
        <v>488</v>
      </c>
      <c r="U2317" s="255" t="s">
        <v>488</v>
      </c>
      <c r="V2317" s="255" t="s">
        <v>488</v>
      </c>
      <c r="W2317">
        <f t="shared" si="38"/>
        <v>69</v>
      </c>
    </row>
    <row r="2318" spans="1:23" x14ac:dyDescent="0.25">
      <c r="A2318" s="2" t="s">
        <v>1380</v>
      </c>
      <c r="B2318" s="2" t="s">
        <v>920</v>
      </c>
      <c r="C2318" s="2">
        <v>540164</v>
      </c>
      <c r="D2318" s="2" t="s">
        <v>810</v>
      </c>
      <c r="E2318" s="2" t="s">
        <v>71</v>
      </c>
      <c r="F2318" s="2" t="s">
        <v>5</v>
      </c>
      <c r="G2318" s="2">
        <v>3</v>
      </c>
      <c r="H2318" s="2">
        <v>0</v>
      </c>
      <c r="I2318" s="2">
        <v>0</v>
      </c>
      <c r="J2318" s="2">
        <v>0</v>
      </c>
      <c r="K2318" s="2">
        <v>0</v>
      </c>
      <c r="L2318" s="2">
        <v>0</v>
      </c>
      <c r="M2318" s="2">
        <v>0</v>
      </c>
      <c r="N2318" s="2">
        <v>0</v>
      </c>
      <c r="O2318" s="2">
        <v>0</v>
      </c>
      <c r="P2318" s="2">
        <v>0</v>
      </c>
      <c r="Q2318" s="2">
        <v>0</v>
      </c>
      <c r="R2318" s="2">
        <v>0</v>
      </c>
      <c r="S2318" s="2" t="s">
        <v>488</v>
      </c>
      <c r="T2318" s="2" t="s">
        <v>488</v>
      </c>
      <c r="U2318" s="2" t="s">
        <v>488</v>
      </c>
      <c r="V2318" s="2" t="s">
        <v>488</v>
      </c>
      <c r="W2318">
        <f t="shared" si="38"/>
        <v>0</v>
      </c>
    </row>
    <row r="2319" spans="1:23" x14ac:dyDescent="0.25">
      <c r="A2319" s="2" t="s">
        <v>1380</v>
      </c>
      <c r="B2319" s="2" t="s">
        <v>920</v>
      </c>
      <c r="C2319" s="2">
        <v>540081</v>
      </c>
      <c r="D2319" s="2" t="s">
        <v>711</v>
      </c>
      <c r="E2319" s="2" t="s">
        <v>71</v>
      </c>
      <c r="F2319" s="2" t="s">
        <v>115</v>
      </c>
      <c r="G2319" s="2">
        <v>3</v>
      </c>
      <c r="H2319" s="2">
        <v>0</v>
      </c>
      <c r="I2319" s="2">
        <v>0</v>
      </c>
      <c r="J2319" s="2">
        <v>0</v>
      </c>
      <c r="K2319" s="2">
        <v>0</v>
      </c>
      <c r="L2319" s="2">
        <v>0</v>
      </c>
      <c r="M2319" s="2">
        <v>0</v>
      </c>
      <c r="N2319" s="2">
        <v>0</v>
      </c>
      <c r="O2319" s="2">
        <v>0</v>
      </c>
      <c r="P2319" s="2">
        <v>0</v>
      </c>
      <c r="Q2319" s="2">
        <v>0</v>
      </c>
      <c r="R2319" s="2">
        <v>0</v>
      </c>
      <c r="S2319" s="2" t="s">
        <v>488</v>
      </c>
      <c r="T2319" s="2" t="s">
        <v>488</v>
      </c>
      <c r="U2319" s="2" t="s">
        <v>488</v>
      </c>
      <c r="V2319" s="2" t="s">
        <v>488</v>
      </c>
      <c r="W2319">
        <f t="shared" si="38"/>
        <v>0</v>
      </c>
    </row>
    <row r="2320" spans="1:23" x14ac:dyDescent="0.25">
      <c r="A2320" s="2" t="s">
        <v>1380</v>
      </c>
      <c r="B2320" s="2" t="s">
        <v>920</v>
      </c>
      <c r="C2320" s="2">
        <v>540165</v>
      </c>
      <c r="D2320" s="2" t="s">
        <v>811</v>
      </c>
      <c r="E2320" s="2" t="s">
        <v>71</v>
      </c>
      <c r="F2320" s="2" t="s">
        <v>115</v>
      </c>
      <c r="G2320" s="2">
        <v>3</v>
      </c>
      <c r="H2320" s="2">
        <v>0</v>
      </c>
      <c r="I2320" s="2">
        <v>0</v>
      </c>
      <c r="J2320" s="2">
        <v>0</v>
      </c>
      <c r="K2320" s="2">
        <v>0</v>
      </c>
      <c r="L2320" s="2">
        <v>0</v>
      </c>
      <c r="M2320" s="2">
        <v>0</v>
      </c>
      <c r="N2320" s="2">
        <v>0</v>
      </c>
      <c r="O2320" s="2">
        <v>0</v>
      </c>
      <c r="P2320" s="2">
        <v>0</v>
      </c>
      <c r="Q2320" s="2">
        <v>0</v>
      </c>
      <c r="R2320" s="2">
        <v>0</v>
      </c>
      <c r="S2320" s="2" t="s">
        <v>488</v>
      </c>
      <c r="T2320" s="2" t="s">
        <v>488</v>
      </c>
      <c r="U2320" s="2" t="s">
        <v>488</v>
      </c>
      <c r="V2320" s="2" t="s">
        <v>488</v>
      </c>
      <c r="W2320">
        <f t="shared" si="38"/>
        <v>0</v>
      </c>
    </row>
    <row r="2321" spans="1:23" x14ac:dyDescent="0.25">
      <c r="A2321" s="2" t="s">
        <v>1380</v>
      </c>
      <c r="B2321" s="2" t="s">
        <v>920</v>
      </c>
      <c r="C2321" s="2">
        <v>540166</v>
      </c>
      <c r="D2321" s="2" t="s">
        <v>812</v>
      </c>
      <c r="E2321" s="2" t="s">
        <v>71</v>
      </c>
      <c r="F2321" s="2" t="s">
        <v>115</v>
      </c>
      <c r="G2321" s="2">
        <v>3</v>
      </c>
      <c r="H2321" s="2">
        <v>0</v>
      </c>
      <c r="I2321" s="2">
        <v>4</v>
      </c>
      <c r="J2321" s="2">
        <v>0</v>
      </c>
      <c r="K2321" s="2">
        <v>0</v>
      </c>
      <c r="L2321" s="2">
        <v>0</v>
      </c>
      <c r="M2321" s="2">
        <v>4</v>
      </c>
      <c r="N2321" s="2">
        <v>4</v>
      </c>
      <c r="O2321" s="2">
        <v>0</v>
      </c>
      <c r="P2321" s="2">
        <v>0</v>
      </c>
      <c r="Q2321" s="2">
        <v>0</v>
      </c>
      <c r="R2321" s="2">
        <v>0</v>
      </c>
      <c r="S2321" s="2" t="s">
        <v>488</v>
      </c>
      <c r="T2321" s="2" t="s">
        <v>488</v>
      </c>
      <c r="U2321" s="2" t="s">
        <v>488</v>
      </c>
      <c r="V2321" s="2" t="s">
        <v>488</v>
      </c>
      <c r="W2321">
        <f t="shared" si="38"/>
        <v>4</v>
      </c>
    </row>
    <row r="2322" spans="1:23" x14ac:dyDescent="0.25">
      <c r="A2322" s="2" t="s">
        <v>1380</v>
      </c>
      <c r="B2322" s="2" t="s">
        <v>920</v>
      </c>
      <c r="C2322" s="2">
        <v>540167</v>
      </c>
      <c r="D2322" s="2" t="s">
        <v>813</v>
      </c>
      <c r="E2322" s="2" t="s">
        <v>71</v>
      </c>
      <c r="F2322" s="2" t="s">
        <v>115</v>
      </c>
      <c r="G2322" s="2">
        <v>3</v>
      </c>
      <c r="H2322" s="2">
        <v>0</v>
      </c>
      <c r="I2322" s="2">
        <v>0</v>
      </c>
      <c r="J2322" s="2">
        <v>0</v>
      </c>
      <c r="K2322" s="2">
        <v>0</v>
      </c>
      <c r="L2322" s="2">
        <v>0</v>
      </c>
      <c r="M2322" s="2">
        <v>0</v>
      </c>
      <c r="N2322" s="2">
        <v>0</v>
      </c>
      <c r="O2322" s="2">
        <v>0</v>
      </c>
      <c r="P2322" s="2">
        <v>0</v>
      </c>
      <c r="Q2322" s="2">
        <v>0</v>
      </c>
      <c r="R2322" s="2">
        <v>0</v>
      </c>
      <c r="S2322" s="2" t="s">
        <v>488</v>
      </c>
      <c r="T2322" s="2" t="s">
        <v>488</v>
      </c>
      <c r="U2322" s="2" t="s">
        <v>488</v>
      </c>
      <c r="V2322" s="2" t="s">
        <v>488</v>
      </c>
      <c r="W2322">
        <f t="shared" si="38"/>
        <v>0</v>
      </c>
    </row>
    <row r="2323" spans="1:23" x14ac:dyDescent="0.25">
      <c r="A2323" s="2" t="s">
        <v>1380</v>
      </c>
      <c r="B2323" s="2" t="s">
        <v>920</v>
      </c>
      <c r="C2323" s="2">
        <v>540168</v>
      </c>
      <c r="D2323" s="2" t="s">
        <v>814</v>
      </c>
      <c r="E2323" s="2" t="s">
        <v>71</v>
      </c>
      <c r="F2323" s="2" t="s">
        <v>115</v>
      </c>
      <c r="G2323" s="2">
        <v>3</v>
      </c>
      <c r="H2323" s="2">
        <v>0</v>
      </c>
      <c r="I2323" s="2">
        <v>0</v>
      </c>
      <c r="J2323" s="2">
        <v>0</v>
      </c>
      <c r="K2323" s="2">
        <v>0</v>
      </c>
      <c r="L2323" s="2">
        <v>0</v>
      </c>
      <c r="M2323" s="2">
        <v>0</v>
      </c>
      <c r="N2323" s="2">
        <v>0</v>
      </c>
      <c r="O2323" s="2">
        <v>0</v>
      </c>
      <c r="P2323" s="2">
        <v>0</v>
      </c>
      <c r="Q2323" s="2">
        <v>0</v>
      </c>
      <c r="R2323" s="2">
        <v>0</v>
      </c>
      <c r="S2323" s="2" t="s">
        <v>488</v>
      </c>
      <c r="T2323" s="2" t="s">
        <v>488</v>
      </c>
      <c r="U2323" s="2" t="s">
        <v>488</v>
      </c>
      <c r="V2323" s="2" t="s">
        <v>488</v>
      </c>
      <c r="W2323">
        <f t="shared" si="38"/>
        <v>0</v>
      </c>
    </row>
    <row r="2324" spans="1:23" x14ac:dyDescent="0.25">
      <c r="A2324" s="2" t="s">
        <v>1380</v>
      </c>
      <c r="B2324" s="2" t="s">
        <v>920</v>
      </c>
      <c r="C2324" s="2">
        <v>540222</v>
      </c>
      <c r="D2324" s="2" t="s">
        <v>815</v>
      </c>
      <c r="E2324" s="2" t="s">
        <v>71</v>
      </c>
      <c r="F2324" s="2" t="s">
        <v>115</v>
      </c>
      <c r="G2324" s="2">
        <v>3</v>
      </c>
      <c r="H2324" s="2">
        <v>0</v>
      </c>
      <c r="I2324" s="2">
        <v>0</v>
      </c>
      <c r="J2324" s="2">
        <v>0</v>
      </c>
      <c r="K2324" s="2">
        <v>0</v>
      </c>
      <c r="L2324" s="2">
        <v>0</v>
      </c>
      <c r="M2324" s="2">
        <v>0</v>
      </c>
      <c r="N2324" s="2">
        <v>0</v>
      </c>
      <c r="O2324" s="2">
        <v>0</v>
      </c>
      <c r="P2324" s="2">
        <v>0</v>
      </c>
      <c r="Q2324" s="2">
        <v>0</v>
      </c>
      <c r="R2324" s="2">
        <v>0</v>
      </c>
      <c r="S2324" s="2" t="s">
        <v>488</v>
      </c>
      <c r="T2324" s="2" t="s">
        <v>488</v>
      </c>
      <c r="U2324" s="2" t="s">
        <v>488</v>
      </c>
      <c r="V2324" s="2" t="s">
        <v>488</v>
      </c>
      <c r="W2324">
        <f t="shared" si="38"/>
        <v>0</v>
      </c>
    </row>
    <row r="2325" spans="1:23" x14ac:dyDescent="0.25">
      <c r="A2325" s="2" t="s">
        <v>1380</v>
      </c>
      <c r="B2325" s="2" t="s">
        <v>920</v>
      </c>
      <c r="C2325" s="2">
        <v>540271</v>
      </c>
      <c r="D2325" s="2" t="s">
        <v>816</v>
      </c>
      <c r="E2325" s="2" t="s">
        <v>71</v>
      </c>
      <c r="F2325" s="2" t="s">
        <v>115</v>
      </c>
      <c r="G2325" s="2">
        <v>3</v>
      </c>
      <c r="H2325" s="2">
        <v>0</v>
      </c>
      <c r="I2325" s="2">
        <v>0</v>
      </c>
      <c r="J2325" s="2">
        <v>0</v>
      </c>
      <c r="K2325" s="2">
        <v>0</v>
      </c>
      <c r="L2325" s="2">
        <v>0</v>
      </c>
      <c r="M2325" s="2">
        <v>0</v>
      </c>
      <c r="N2325" s="2">
        <v>0</v>
      </c>
      <c r="O2325" s="2">
        <v>0</v>
      </c>
      <c r="P2325" s="2">
        <v>0</v>
      </c>
      <c r="Q2325" s="2">
        <v>0</v>
      </c>
      <c r="R2325" s="2">
        <v>0</v>
      </c>
      <c r="S2325" s="2" t="s">
        <v>488</v>
      </c>
      <c r="T2325" s="2" t="s">
        <v>488</v>
      </c>
      <c r="U2325" s="2" t="s">
        <v>488</v>
      </c>
      <c r="V2325" s="2" t="s">
        <v>488</v>
      </c>
      <c r="W2325">
        <f t="shared" si="38"/>
        <v>0</v>
      </c>
    </row>
    <row r="2326" spans="1:23" x14ac:dyDescent="0.25">
      <c r="A2326" s="255" t="s">
        <v>1380</v>
      </c>
      <c r="B2326" s="255" t="s">
        <v>920</v>
      </c>
      <c r="C2326" s="255"/>
      <c r="D2326" s="255"/>
      <c r="E2326" s="255" t="s">
        <v>71</v>
      </c>
      <c r="F2326" s="255"/>
      <c r="G2326" s="255"/>
      <c r="H2326" s="255">
        <v>0</v>
      </c>
      <c r="I2326" s="255">
        <v>4</v>
      </c>
      <c r="J2326" s="255">
        <v>0</v>
      </c>
      <c r="K2326" s="255">
        <v>0</v>
      </c>
      <c r="L2326" s="255">
        <v>0</v>
      </c>
      <c r="M2326" s="255">
        <v>4</v>
      </c>
      <c r="N2326" s="255">
        <v>4</v>
      </c>
      <c r="O2326" s="255">
        <v>0</v>
      </c>
      <c r="P2326" s="255">
        <v>0</v>
      </c>
      <c r="Q2326" s="255">
        <v>0</v>
      </c>
      <c r="R2326" s="255">
        <v>0</v>
      </c>
      <c r="S2326" s="255" t="s">
        <v>488</v>
      </c>
      <c r="T2326" s="255" t="s">
        <v>488</v>
      </c>
      <c r="U2326" s="255" t="s">
        <v>488</v>
      </c>
      <c r="V2326" s="255" t="s">
        <v>488</v>
      </c>
      <c r="W2326">
        <f t="shared" si="38"/>
        <v>4</v>
      </c>
    </row>
    <row r="2327" spans="1:23" x14ac:dyDescent="0.25">
      <c r="A2327" s="2" t="s">
        <v>1380</v>
      </c>
      <c r="B2327" s="2" t="s">
        <v>920</v>
      </c>
      <c r="C2327" s="2">
        <v>540169</v>
      </c>
      <c r="D2327" s="2" t="s">
        <v>817</v>
      </c>
      <c r="E2327" s="2" t="s">
        <v>73</v>
      </c>
      <c r="F2327" s="2" t="s">
        <v>5</v>
      </c>
      <c r="G2327" s="2">
        <v>1</v>
      </c>
      <c r="H2327" s="2">
        <v>2</v>
      </c>
      <c r="I2327" s="2">
        <v>0</v>
      </c>
      <c r="J2327" s="2">
        <v>0</v>
      </c>
      <c r="K2327" s="2">
        <v>0</v>
      </c>
      <c r="L2327" s="2">
        <v>0</v>
      </c>
      <c r="M2327" s="2">
        <v>0</v>
      </c>
      <c r="N2327" s="2">
        <v>2</v>
      </c>
      <c r="O2327" s="2">
        <v>0</v>
      </c>
      <c r="P2327" s="2">
        <v>0</v>
      </c>
      <c r="Q2327" s="2">
        <v>2</v>
      </c>
      <c r="R2327" s="2">
        <v>0</v>
      </c>
      <c r="S2327" s="2" t="s">
        <v>488</v>
      </c>
      <c r="T2327" s="2" t="s">
        <v>488</v>
      </c>
      <c r="U2327" s="2" t="s">
        <v>488</v>
      </c>
      <c r="V2327" s="2" t="s">
        <v>488</v>
      </c>
      <c r="W2327">
        <f t="shared" si="38"/>
        <v>2</v>
      </c>
    </row>
    <row r="2328" spans="1:23" x14ac:dyDescent="0.25">
      <c r="A2328" s="2" t="s">
        <v>1380</v>
      </c>
      <c r="B2328" s="2" t="s">
        <v>920</v>
      </c>
      <c r="C2328" s="2">
        <v>540170</v>
      </c>
      <c r="D2328" s="2" t="s">
        <v>818</v>
      </c>
      <c r="E2328" s="2" t="s">
        <v>73</v>
      </c>
      <c r="F2328" s="2" t="s">
        <v>115</v>
      </c>
      <c r="G2328" s="2">
        <v>1</v>
      </c>
      <c r="H2328" s="2">
        <v>0</v>
      </c>
      <c r="I2328" s="2">
        <v>0</v>
      </c>
      <c r="J2328" s="2">
        <v>0</v>
      </c>
      <c r="K2328" s="2">
        <v>0</v>
      </c>
      <c r="L2328" s="2">
        <v>0</v>
      </c>
      <c r="M2328" s="2">
        <v>0</v>
      </c>
      <c r="N2328" s="2">
        <v>0</v>
      </c>
      <c r="O2328" s="2">
        <v>0</v>
      </c>
      <c r="P2328" s="2">
        <v>0</v>
      </c>
      <c r="Q2328" s="2">
        <v>0</v>
      </c>
      <c r="R2328" s="2">
        <v>0</v>
      </c>
      <c r="S2328" s="2" t="s">
        <v>488</v>
      </c>
      <c r="T2328" s="2" t="s">
        <v>488</v>
      </c>
      <c r="U2328" s="2" t="s">
        <v>488</v>
      </c>
      <c r="V2328" s="2" t="s">
        <v>488</v>
      </c>
      <c r="W2328">
        <f t="shared" si="38"/>
        <v>0</v>
      </c>
    </row>
    <row r="2329" spans="1:23" x14ac:dyDescent="0.25">
      <c r="A2329" s="2" t="s">
        <v>1380</v>
      </c>
      <c r="B2329" s="2" t="s">
        <v>920</v>
      </c>
      <c r="C2329" s="2">
        <v>540171</v>
      </c>
      <c r="D2329" s="2" t="s">
        <v>819</v>
      </c>
      <c r="E2329" s="2" t="s">
        <v>73</v>
      </c>
      <c r="F2329" s="2" t="s">
        <v>115</v>
      </c>
      <c r="G2329" s="2">
        <v>1</v>
      </c>
      <c r="H2329" s="2">
        <v>0</v>
      </c>
      <c r="I2329" s="2">
        <v>0</v>
      </c>
      <c r="J2329" s="2">
        <v>0</v>
      </c>
      <c r="K2329" s="2">
        <v>0</v>
      </c>
      <c r="L2329" s="2">
        <v>0</v>
      </c>
      <c r="M2329" s="2">
        <v>0</v>
      </c>
      <c r="N2329" s="2">
        <v>0</v>
      </c>
      <c r="O2329" s="2">
        <v>0</v>
      </c>
      <c r="P2329" s="2">
        <v>0</v>
      </c>
      <c r="Q2329" s="2">
        <v>0</v>
      </c>
      <c r="R2329" s="2">
        <v>0</v>
      </c>
      <c r="S2329" s="2" t="s">
        <v>488</v>
      </c>
      <c r="T2329" s="2" t="s">
        <v>488</v>
      </c>
      <c r="U2329" s="2" t="s">
        <v>488</v>
      </c>
      <c r="V2329" s="2" t="s">
        <v>488</v>
      </c>
      <c r="W2329">
        <f t="shared" si="38"/>
        <v>0</v>
      </c>
    </row>
    <row r="2330" spans="1:23" x14ac:dyDescent="0.25">
      <c r="A2330" s="2" t="s">
        <v>1380</v>
      </c>
      <c r="B2330" s="2" t="s">
        <v>920</v>
      </c>
      <c r="C2330" s="2">
        <v>540173</v>
      </c>
      <c r="D2330" s="2" t="s">
        <v>820</v>
      </c>
      <c r="E2330" s="2" t="s">
        <v>73</v>
      </c>
      <c r="F2330" s="2" t="s">
        <v>115</v>
      </c>
      <c r="G2330" s="2">
        <v>1</v>
      </c>
      <c r="H2330" s="2">
        <v>0</v>
      </c>
      <c r="I2330" s="2">
        <v>0</v>
      </c>
      <c r="J2330" s="2">
        <v>0</v>
      </c>
      <c r="K2330" s="2">
        <v>0</v>
      </c>
      <c r="L2330" s="2">
        <v>0</v>
      </c>
      <c r="M2330" s="2">
        <v>0</v>
      </c>
      <c r="N2330" s="2">
        <v>0</v>
      </c>
      <c r="O2330" s="2">
        <v>0</v>
      </c>
      <c r="P2330" s="2">
        <v>0</v>
      </c>
      <c r="Q2330" s="2">
        <v>0</v>
      </c>
      <c r="R2330" s="2">
        <v>0</v>
      </c>
      <c r="S2330" s="2" t="s">
        <v>488</v>
      </c>
      <c r="T2330" s="2" t="s">
        <v>488</v>
      </c>
      <c r="U2330" s="2" t="s">
        <v>488</v>
      </c>
      <c r="V2330" s="2" t="s">
        <v>488</v>
      </c>
      <c r="W2330">
        <f t="shared" si="38"/>
        <v>0</v>
      </c>
    </row>
    <row r="2331" spans="1:23" x14ac:dyDescent="0.25">
      <c r="A2331" s="2" t="s">
        <v>1380</v>
      </c>
      <c r="B2331" s="2" t="s">
        <v>920</v>
      </c>
      <c r="C2331" s="2">
        <v>540174</v>
      </c>
      <c r="D2331" s="2" t="s">
        <v>821</v>
      </c>
      <c r="E2331" s="2" t="s">
        <v>73</v>
      </c>
      <c r="F2331" s="2" t="s">
        <v>115</v>
      </c>
      <c r="G2331" s="2">
        <v>1</v>
      </c>
      <c r="H2331" s="2">
        <v>0</v>
      </c>
      <c r="I2331" s="2">
        <v>0</v>
      </c>
      <c r="J2331" s="2">
        <v>0</v>
      </c>
      <c r="K2331" s="2">
        <v>0</v>
      </c>
      <c r="L2331" s="2">
        <v>0</v>
      </c>
      <c r="M2331" s="2">
        <v>0</v>
      </c>
      <c r="N2331" s="2">
        <v>0</v>
      </c>
      <c r="O2331" s="2">
        <v>0</v>
      </c>
      <c r="P2331" s="2">
        <v>0</v>
      </c>
      <c r="Q2331" s="2">
        <v>0</v>
      </c>
      <c r="R2331" s="2">
        <v>0</v>
      </c>
      <c r="S2331" s="2" t="s">
        <v>488</v>
      </c>
      <c r="T2331" s="2" t="s">
        <v>488</v>
      </c>
      <c r="U2331" s="2" t="s">
        <v>488</v>
      </c>
      <c r="V2331" s="2" t="s">
        <v>488</v>
      </c>
      <c r="W2331">
        <f t="shared" si="38"/>
        <v>0</v>
      </c>
    </row>
    <row r="2332" spans="1:23" x14ac:dyDescent="0.25">
      <c r="A2332" s="2" t="s">
        <v>1380</v>
      </c>
      <c r="B2332" s="2" t="s">
        <v>920</v>
      </c>
      <c r="C2332" s="2">
        <v>540286</v>
      </c>
      <c r="D2332" s="2" t="s">
        <v>822</v>
      </c>
      <c r="E2332" s="2" t="s">
        <v>73</v>
      </c>
      <c r="F2332" s="2" t="s">
        <v>115</v>
      </c>
      <c r="G2332" s="2">
        <v>1</v>
      </c>
      <c r="H2332" s="2">
        <v>0</v>
      </c>
      <c r="I2332" s="2">
        <v>0</v>
      </c>
      <c r="J2332" s="2">
        <v>0</v>
      </c>
      <c r="K2332" s="2">
        <v>0</v>
      </c>
      <c r="L2332" s="2">
        <v>0</v>
      </c>
      <c r="M2332" s="2">
        <v>0</v>
      </c>
      <c r="N2332" s="2">
        <v>0</v>
      </c>
      <c r="O2332" s="2">
        <v>0</v>
      </c>
      <c r="P2332" s="2">
        <v>0</v>
      </c>
      <c r="Q2332" s="2">
        <v>0</v>
      </c>
      <c r="R2332" s="2">
        <v>0</v>
      </c>
      <c r="S2332" s="2" t="s">
        <v>488</v>
      </c>
      <c r="T2332" s="2" t="s">
        <v>488</v>
      </c>
      <c r="U2332" s="2" t="s">
        <v>488</v>
      </c>
      <c r="V2332" s="2" t="s">
        <v>488</v>
      </c>
      <c r="W2332">
        <f t="shared" si="38"/>
        <v>0</v>
      </c>
    </row>
    <row r="2333" spans="1:23" x14ac:dyDescent="0.25">
      <c r="A2333" s="255" t="s">
        <v>1380</v>
      </c>
      <c r="B2333" s="255" t="s">
        <v>920</v>
      </c>
      <c r="C2333" s="255"/>
      <c r="D2333" s="255"/>
      <c r="E2333" s="255" t="s">
        <v>73</v>
      </c>
      <c r="F2333" s="255"/>
      <c r="G2333" s="255"/>
      <c r="H2333" s="255">
        <v>2</v>
      </c>
      <c r="I2333" s="255">
        <v>0</v>
      </c>
      <c r="J2333" s="255">
        <v>0</v>
      </c>
      <c r="K2333" s="255">
        <v>0</v>
      </c>
      <c r="L2333" s="255">
        <v>0</v>
      </c>
      <c r="M2333" s="255">
        <v>0</v>
      </c>
      <c r="N2333" s="255">
        <v>2</v>
      </c>
      <c r="O2333" s="255">
        <v>0</v>
      </c>
      <c r="P2333" s="255">
        <v>0</v>
      </c>
      <c r="Q2333" s="255">
        <v>2</v>
      </c>
      <c r="R2333" s="255">
        <v>0</v>
      </c>
      <c r="S2333" s="255" t="s">
        <v>488</v>
      </c>
      <c r="T2333" s="255" t="s">
        <v>488</v>
      </c>
      <c r="U2333" s="255" t="s">
        <v>488</v>
      </c>
      <c r="V2333" s="255" t="s">
        <v>488</v>
      </c>
      <c r="W2333">
        <f t="shared" si="38"/>
        <v>2</v>
      </c>
    </row>
    <row r="2334" spans="1:23" x14ac:dyDescent="0.25">
      <c r="A2334" s="2" t="s">
        <v>1380</v>
      </c>
      <c r="B2334" s="2" t="s">
        <v>920</v>
      </c>
      <c r="C2334" s="2">
        <v>540183</v>
      </c>
      <c r="D2334" s="2" t="s">
        <v>823</v>
      </c>
      <c r="E2334" s="2" t="s">
        <v>77</v>
      </c>
      <c r="F2334" s="2" t="s">
        <v>5</v>
      </c>
      <c r="G2334" s="2">
        <v>5</v>
      </c>
      <c r="H2334" s="2">
        <v>0</v>
      </c>
      <c r="I2334" s="2">
        <v>0</v>
      </c>
      <c r="J2334" s="2">
        <v>0</v>
      </c>
      <c r="K2334" s="2">
        <v>0</v>
      </c>
      <c r="L2334" s="2">
        <v>0</v>
      </c>
      <c r="M2334" s="2">
        <v>0</v>
      </c>
      <c r="N2334" s="2">
        <v>0</v>
      </c>
      <c r="O2334" s="2">
        <v>0</v>
      </c>
      <c r="P2334" s="2">
        <v>0</v>
      </c>
      <c r="Q2334" s="2">
        <v>0</v>
      </c>
      <c r="R2334" s="2">
        <v>0</v>
      </c>
      <c r="S2334" s="2" t="s">
        <v>488</v>
      </c>
      <c r="T2334" s="2" t="s">
        <v>488</v>
      </c>
      <c r="U2334" s="2" t="s">
        <v>488</v>
      </c>
      <c r="V2334" s="2" t="s">
        <v>488</v>
      </c>
      <c r="W2334">
        <f t="shared" si="38"/>
        <v>0</v>
      </c>
    </row>
    <row r="2335" spans="1:23" x14ac:dyDescent="0.25">
      <c r="A2335" s="2" t="s">
        <v>1380</v>
      </c>
      <c r="B2335" s="2" t="s">
        <v>920</v>
      </c>
      <c r="C2335" s="2">
        <v>540184</v>
      </c>
      <c r="D2335" s="2" t="s">
        <v>824</v>
      </c>
      <c r="E2335" s="2" t="s">
        <v>77</v>
      </c>
      <c r="F2335" s="2" t="s">
        <v>115</v>
      </c>
      <c r="G2335" s="2">
        <v>5</v>
      </c>
      <c r="H2335" s="2">
        <v>0</v>
      </c>
      <c r="I2335" s="2">
        <v>0</v>
      </c>
      <c r="J2335" s="2">
        <v>0</v>
      </c>
      <c r="K2335" s="2">
        <v>0</v>
      </c>
      <c r="L2335" s="2">
        <v>0</v>
      </c>
      <c r="M2335" s="2">
        <v>0</v>
      </c>
      <c r="N2335" s="2">
        <v>0</v>
      </c>
      <c r="O2335" s="2">
        <v>0</v>
      </c>
      <c r="P2335" s="2">
        <v>0</v>
      </c>
      <c r="Q2335" s="2">
        <v>0</v>
      </c>
      <c r="R2335" s="2">
        <v>0</v>
      </c>
      <c r="S2335" s="2" t="s">
        <v>488</v>
      </c>
      <c r="T2335" s="2" t="s">
        <v>488</v>
      </c>
      <c r="U2335" s="2" t="s">
        <v>488</v>
      </c>
      <c r="V2335" s="2" t="s">
        <v>488</v>
      </c>
      <c r="W2335">
        <f t="shared" si="38"/>
        <v>0</v>
      </c>
    </row>
    <row r="2336" spans="1:23" x14ac:dyDescent="0.25">
      <c r="A2336" s="2" t="s">
        <v>1380</v>
      </c>
      <c r="B2336" s="2" t="s">
        <v>920</v>
      </c>
      <c r="C2336" s="2">
        <v>540185</v>
      </c>
      <c r="D2336" s="2" t="s">
        <v>825</v>
      </c>
      <c r="E2336" s="2" t="s">
        <v>77</v>
      </c>
      <c r="F2336" s="2" t="s">
        <v>115</v>
      </c>
      <c r="G2336" s="2">
        <v>5</v>
      </c>
      <c r="H2336" s="2">
        <v>0</v>
      </c>
      <c r="I2336" s="2">
        <v>2</v>
      </c>
      <c r="J2336" s="2">
        <v>0</v>
      </c>
      <c r="K2336" s="2">
        <v>0</v>
      </c>
      <c r="L2336" s="2">
        <v>0</v>
      </c>
      <c r="M2336" s="2">
        <v>2</v>
      </c>
      <c r="N2336" s="2">
        <v>2</v>
      </c>
      <c r="O2336" s="2">
        <v>0</v>
      </c>
      <c r="P2336" s="2">
        <v>0</v>
      </c>
      <c r="Q2336" s="2">
        <v>0</v>
      </c>
      <c r="R2336" s="2">
        <v>0</v>
      </c>
      <c r="S2336" s="2" t="s">
        <v>488</v>
      </c>
      <c r="T2336" s="2" t="s">
        <v>488</v>
      </c>
      <c r="U2336" s="2" t="s">
        <v>488</v>
      </c>
      <c r="V2336" s="2" t="s">
        <v>488</v>
      </c>
      <c r="W2336">
        <f t="shared" si="38"/>
        <v>2</v>
      </c>
    </row>
    <row r="2337" spans="1:23" x14ac:dyDescent="0.25">
      <c r="A2337" s="255" t="s">
        <v>1380</v>
      </c>
      <c r="B2337" s="255" t="s">
        <v>920</v>
      </c>
      <c r="C2337" s="255"/>
      <c r="D2337" s="255"/>
      <c r="E2337" s="255" t="s">
        <v>77</v>
      </c>
      <c r="F2337" s="255"/>
      <c r="G2337" s="255"/>
      <c r="H2337" s="255">
        <v>0</v>
      </c>
      <c r="I2337" s="255">
        <v>2</v>
      </c>
      <c r="J2337" s="255">
        <v>0</v>
      </c>
      <c r="K2337" s="255">
        <v>0</v>
      </c>
      <c r="L2337" s="255">
        <v>0</v>
      </c>
      <c r="M2337" s="255">
        <v>2</v>
      </c>
      <c r="N2337" s="255">
        <v>2</v>
      </c>
      <c r="O2337" s="255">
        <v>0</v>
      </c>
      <c r="P2337" s="255">
        <v>0</v>
      </c>
      <c r="Q2337" s="255">
        <v>0</v>
      </c>
      <c r="R2337" s="255">
        <v>0</v>
      </c>
      <c r="S2337" s="255" t="s">
        <v>488</v>
      </c>
      <c r="T2337" s="255" t="s">
        <v>488</v>
      </c>
      <c r="U2337" s="255" t="s">
        <v>488</v>
      </c>
      <c r="V2337" s="255" t="s">
        <v>488</v>
      </c>
      <c r="W2337">
        <f t="shared" si="38"/>
        <v>2</v>
      </c>
    </row>
    <row r="2338" spans="1:23" x14ac:dyDescent="0.25">
      <c r="A2338" s="2" t="s">
        <v>1380</v>
      </c>
      <c r="B2338" s="2" t="s">
        <v>920</v>
      </c>
      <c r="C2338" s="2">
        <v>540186</v>
      </c>
      <c r="D2338" s="2" t="s">
        <v>826</v>
      </c>
      <c r="E2338" s="2" t="s">
        <v>79</v>
      </c>
      <c r="F2338" s="2" t="s">
        <v>5</v>
      </c>
      <c r="G2338" s="2">
        <v>1</v>
      </c>
      <c r="H2338" s="2">
        <v>0</v>
      </c>
      <c r="I2338" s="2">
        <v>1</v>
      </c>
      <c r="J2338" s="2">
        <v>0</v>
      </c>
      <c r="K2338" s="2">
        <v>0</v>
      </c>
      <c r="L2338" s="2">
        <v>0</v>
      </c>
      <c r="M2338" s="2">
        <v>1</v>
      </c>
      <c r="N2338" s="2">
        <v>1</v>
      </c>
      <c r="O2338" s="2">
        <v>0</v>
      </c>
      <c r="P2338" s="2">
        <v>0</v>
      </c>
      <c r="Q2338" s="2">
        <v>0</v>
      </c>
      <c r="R2338" s="2">
        <v>1</v>
      </c>
      <c r="S2338" s="2" t="s">
        <v>488</v>
      </c>
      <c r="T2338" s="2" t="s">
        <v>488</v>
      </c>
      <c r="U2338" s="2" t="s">
        <v>488</v>
      </c>
      <c r="V2338" s="2" t="s">
        <v>488</v>
      </c>
      <c r="W2338">
        <f t="shared" si="38"/>
        <v>2</v>
      </c>
    </row>
    <row r="2339" spans="1:23" x14ac:dyDescent="0.25">
      <c r="A2339" s="2" t="s">
        <v>1380</v>
      </c>
      <c r="B2339" s="2" t="s">
        <v>920</v>
      </c>
      <c r="C2339" s="2">
        <v>540187</v>
      </c>
      <c r="D2339" s="2" t="s">
        <v>827</v>
      </c>
      <c r="E2339" s="2" t="s">
        <v>79</v>
      </c>
      <c r="F2339" s="2" t="s">
        <v>115</v>
      </c>
      <c r="G2339" s="2">
        <v>1</v>
      </c>
      <c r="H2339" s="2">
        <v>0</v>
      </c>
      <c r="I2339" s="2">
        <v>0</v>
      </c>
      <c r="J2339" s="2">
        <v>0</v>
      </c>
      <c r="K2339" s="2">
        <v>0</v>
      </c>
      <c r="L2339" s="2">
        <v>0</v>
      </c>
      <c r="M2339" s="2">
        <v>0</v>
      </c>
      <c r="N2339" s="2">
        <v>0</v>
      </c>
      <c r="O2339" s="2">
        <v>0</v>
      </c>
      <c r="P2339" s="2">
        <v>0</v>
      </c>
      <c r="Q2339" s="2">
        <v>0</v>
      </c>
      <c r="R2339" s="2">
        <v>0</v>
      </c>
      <c r="S2339" s="2" t="s">
        <v>488</v>
      </c>
      <c r="T2339" s="2" t="s">
        <v>488</v>
      </c>
      <c r="U2339" s="2" t="s">
        <v>488</v>
      </c>
      <c r="V2339" s="2" t="s">
        <v>488</v>
      </c>
      <c r="W2339">
        <f t="shared" si="38"/>
        <v>0</v>
      </c>
    </row>
    <row r="2340" spans="1:23" x14ac:dyDescent="0.25">
      <c r="A2340" s="255" t="s">
        <v>1380</v>
      </c>
      <c r="B2340" s="255" t="s">
        <v>920</v>
      </c>
      <c r="C2340" s="255"/>
      <c r="D2340" s="255"/>
      <c r="E2340" s="255" t="s">
        <v>79</v>
      </c>
      <c r="F2340" s="255"/>
      <c r="G2340" s="255"/>
      <c r="H2340" s="255">
        <v>0</v>
      </c>
      <c r="I2340" s="255">
        <v>1</v>
      </c>
      <c r="J2340" s="255">
        <v>0</v>
      </c>
      <c r="K2340" s="255">
        <v>0</v>
      </c>
      <c r="L2340" s="255">
        <v>0</v>
      </c>
      <c r="M2340" s="255">
        <v>1</v>
      </c>
      <c r="N2340" s="255">
        <v>1</v>
      </c>
      <c r="O2340" s="255">
        <v>0</v>
      </c>
      <c r="P2340" s="255">
        <v>0</v>
      </c>
      <c r="Q2340" s="255">
        <v>0</v>
      </c>
      <c r="R2340" s="255">
        <v>1</v>
      </c>
      <c r="S2340" s="255" t="s">
        <v>488</v>
      </c>
      <c r="T2340" s="255" t="s">
        <v>488</v>
      </c>
      <c r="U2340" s="255" t="s">
        <v>488</v>
      </c>
      <c r="V2340" s="255" t="s">
        <v>488</v>
      </c>
      <c r="W2340">
        <f t="shared" si="38"/>
        <v>2</v>
      </c>
    </row>
    <row r="2341" spans="1:23" x14ac:dyDescent="0.25">
      <c r="A2341" s="2" t="s">
        <v>1380</v>
      </c>
      <c r="B2341" s="2" t="s">
        <v>920</v>
      </c>
      <c r="C2341" s="2">
        <v>540188</v>
      </c>
      <c r="D2341" s="2" t="s">
        <v>828</v>
      </c>
      <c r="E2341" s="2" t="s">
        <v>81</v>
      </c>
      <c r="F2341" s="2" t="s">
        <v>5</v>
      </c>
      <c r="G2341" s="2">
        <v>6</v>
      </c>
      <c r="H2341" s="2">
        <v>0</v>
      </c>
      <c r="I2341" s="2">
        <v>0</v>
      </c>
      <c r="J2341" s="2">
        <v>0</v>
      </c>
      <c r="K2341" s="2">
        <v>0</v>
      </c>
      <c r="L2341" s="2">
        <v>0</v>
      </c>
      <c r="M2341" s="2">
        <v>0</v>
      </c>
      <c r="N2341" s="2">
        <v>0</v>
      </c>
      <c r="O2341" s="2">
        <v>0</v>
      </c>
      <c r="P2341" s="2">
        <v>0</v>
      </c>
      <c r="Q2341" s="2">
        <v>0</v>
      </c>
      <c r="R2341" s="2">
        <v>0</v>
      </c>
      <c r="S2341" s="2" t="s">
        <v>488</v>
      </c>
      <c r="T2341" s="2" t="s">
        <v>488</v>
      </c>
      <c r="U2341" s="2" t="s">
        <v>488</v>
      </c>
      <c r="V2341" s="2" t="s">
        <v>488</v>
      </c>
      <c r="W2341">
        <f t="shared" si="38"/>
        <v>0</v>
      </c>
    </row>
    <row r="2342" spans="1:23" x14ac:dyDescent="0.25">
      <c r="A2342" s="2" t="s">
        <v>1380</v>
      </c>
      <c r="B2342" s="2" t="s">
        <v>920</v>
      </c>
      <c r="C2342" s="2">
        <v>540189</v>
      </c>
      <c r="D2342" s="2" t="s">
        <v>829</v>
      </c>
      <c r="E2342" s="2" t="s">
        <v>81</v>
      </c>
      <c r="F2342" s="2" t="s">
        <v>115</v>
      </c>
      <c r="G2342" s="2">
        <v>6</v>
      </c>
      <c r="H2342" s="2">
        <v>0</v>
      </c>
      <c r="I2342" s="2">
        <v>0</v>
      </c>
      <c r="J2342" s="2">
        <v>0</v>
      </c>
      <c r="K2342" s="2">
        <v>0</v>
      </c>
      <c r="L2342" s="2">
        <v>0</v>
      </c>
      <c r="M2342" s="2">
        <v>0</v>
      </c>
      <c r="N2342" s="2">
        <v>0</v>
      </c>
      <c r="O2342" s="2">
        <v>0</v>
      </c>
      <c r="P2342" s="2">
        <v>0</v>
      </c>
      <c r="Q2342" s="2">
        <v>0</v>
      </c>
      <c r="R2342" s="2">
        <v>0</v>
      </c>
      <c r="S2342" s="2" t="s">
        <v>488</v>
      </c>
      <c r="T2342" s="2" t="s">
        <v>488</v>
      </c>
      <c r="U2342" s="2" t="s">
        <v>488</v>
      </c>
      <c r="V2342" s="2" t="s">
        <v>488</v>
      </c>
      <c r="W2342">
        <f t="shared" si="38"/>
        <v>0</v>
      </c>
    </row>
    <row r="2343" spans="1:23" x14ac:dyDescent="0.25">
      <c r="A2343" s="2" t="s">
        <v>1380</v>
      </c>
      <c r="B2343" s="2" t="s">
        <v>920</v>
      </c>
      <c r="C2343" s="2">
        <v>540190</v>
      </c>
      <c r="D2343" s="2" t="s">
        <v>830</v>
      </c>
      <c r="E2343" s="2" t="s">
        <v>81</v>
      </c>
      <c r="F2343" s="2" t="s">
        <v>115</v>
      </c>
      <c r="G2343" s="2">
        <v>6</v>
      </c>
      <c r="H2343" s="2">
        <v>0</v>
      </c>
      <c r="I2343" s="2">
        <v>0</v>
      </c>
      <c r="J2343" s="2">
        <v>0</v>
      </c>
      <c r="K2343" s="2">
        <v>0</v>
      </c>
      <c r="L2343" s="2">
        <v>0</v>
      </c>
      <c r="M2343" s="2">
        <v>0</v>
      </c>
      <c r="N2343" s="2">
        <v>0</v>
      </c>
      <c r="O2343" s="2">
        <v>0</v>
      </c>
      <c r="P2343" s="2">
        <v>0</v>
      </c>
      <c r="Q2343" s="2">
        <v>0</v>
      </c>
      <c r="R2343" s="2">
        <v>0</v>
      </c>
      <c r="S2343" s="2" t="s">
        <v>488</v>
      </c>
      <c r="T2343" s="2" t="s">
        <v>488</v>
      </c>
      <c r="U2343" s="2" t="s">
        <v>488</v>
      </c>
      <c r="V2343" s="2" t="s">
        <v>488</v>
      </c>
      <c r="W2343">
        <f t="shared" si="38"/>
        <v>0</v>
      </c>
    </row>
    <row r="2344" spans="1:23" x14ac:dyDescent="0.25">
      <c r="A2344" s="255" t="s">
        <v>1380</v>
      </c>
      <c r="B2344" s="255" t="s">
        <v>920</v>
      </c>
      <c r="C2344" s="255"/>
      <c r="D2344" s="255"/>
      <c r="E2344" s="255" t="s">
        <v>81</v>
      </c>
      <c r="F2344" s="255"/>
      <c r="G2344" s="255"/>
      <c r="H2344" s="255">
        <v>0</v>
      </c>
      <c r="I2344" s="255">
        <v>0</v>
      </c>
      <c r="J2344" s="255">
        <v>0</v>
      </c>
      <c r="K2344" s="255">
        <v>0</v>
      </c>
      <c r="L2344" s="255">
        <v>0</v>
      </c>
      <c r="M2344" s="255">
        <v>0</v>
      </c>
      <c r="N2344" s="255">
        <v>0</v>
      </c>
      <c r="O2344" s="255">
        <v>0</v>
      </c>
      <c r="P2344" s="255">
        <v>0</v>
      </c>
      <c r="Q2344" s="255">
        <v>0</v>
      </c>
      <c r="R2344" s="255">
        <v>0</v>
      </c>
      <c r="S2344" s="255" t="s">
        <v>488</v>
      </c>
      <c r="T2344" s="255" t="s">
        <v>488</v>
      </c>
      <c r="U2344" s="255" t="s">
        <v>488</v>
      </c>
      <c r="V2344" s="255" t="s">
        <v>488</v>
      </c>
      <c r="W2344">
        <f t="shared" si="38"/>
        <v>0</v>
      </c>
    </row>
    <row r="2345" spans="1:23" x14ac:dyDescent="0.25">
      <c r="A2345" s="2" t="s">
        <v>1380</v>
      </c>
      <c r="B2345" s="2" t="s">
        <v>920</v>
      </c>
      <c r="C2345" s="2">
        <v>540198</v>
      </c>
      <c r="D2345" s="2" t="s">
        <v>831</v>
      </c>
      <c r="E2345" s="2" t="s">
        <v>83</v>
      </c>
      <c r="F2345" s="2" t="s">
        <v>5</v>
      </c>
      <c r="G2345" s="2">
        <v>7</v>
      </c>
      <c r="H2345" s="2">
        <v>0</v>
      </c>
      <c r="I2345" s="2">
        <v>0</v>
      </c>
      <c r="J2345" s="2">
        <v>0</v>
      </c>
      <c r="K2345" s="2">
        <v>0</v>
      </c>
      <c r="L2345" s="2">
        <v>0</v>
      </c>
      <c r="M2345" s="2">
        <v>0</v>
      </c>
      <c r="N2345" s="2">
        <v>0</v>
      </c>
      <c r="O2345" s="2">
        <v>0</v>
      </c>
      <c r="P2345" s="2">
        <v>0</v>
      </c>
      <c r="Q2345" s="2" t="s">
        <v>488</v>
      </c>
      <c r="R2345" s="2" t="s">
        <v>488</v>
      </c>
      <c r="S2345" s="2" t="s">
        <v>488</v>
      </c>
      <c r="T2345" s="2" t="s">
        <v>488</v>
      </c>
      <c r="U2345" s="2" t="s">
        <v>488</v>
      </c>
      <c r="V2345" s="2" t="s">
        <v>488</v>
      </c>
      <c r="W2345">
        <f t="shared" si="38"/>
        <v>0</v>
      </c>
    </row>
    <row r="2346" spans="1:23" x14ac:dyDescent="0.25">
      <c r="A2346" s="2" t="s">
        <v>1380</v>
      </c>
      <c r="B2346" s="2" t="s">
        <v>920</v>
      </c>
      <c r="C2346" s="2">
        <v>540199</v>
      </c>
      <c r="D2346" s="2" t="s">
        <v>832</v>
      </c>
      <c r="E2346" s="2" t="s">
        <v>83</v>
      </c>
      <c r="F2346" s="2" t="s">
        <v>115</v>
      </c>
      <c r="G2346" s="2">
        <v>7</v>
      </c>
      <c r="H2346" s="2">
        <v>0</v>
      </c>
      <c r="I2346" s="2">
        <v>83</v>
      </c>
      <c r="J2346" s="2">
        <v>0</v>
      </c>
      <c r="K2346" s="2">
        <v>0</v>
      </c>
      <c r="L2346" s="2">
        <v>0</v>
      </c>
      <c r="M2346" s="2">
        <v>83</v>
      </c>
      <c r="N2346" s="2">
        <v>83</v>
      </c>
      <c r="O2346" s="2">
        <v>0</v>
      </c>
      <c r="P2346" s="2">
        <v>0</v>
      </c>
      <c r="Q2346" s="2" t="s">
        <v>488</v>
      </c>
      <c r="R2346" s="2" t="s">
        <v>488</v>
      </c>
      <c r="S2346" s="2" t="s">
        <v>488</v>
      </c>
      <c r="T2346" s="2" t="s">
        <v>488</v>
      </c>
      <c r="U2346" s="2" t="s">
        <v>488</v>
      </c>
      <c r="V2346" s="2" t="s">
        <v>488</v>
      </c>
      <c r="W2346">
        <f t="shared" si="38"/>
        <v>83</v>
      </c>
    </row>
    <row r="2347" spans="1:23" x14ac:dyDescent="0.25">
      <c r="A2347" s="255" t="s">
        <v>1380</v>
      </c>
      <c r="B2347" s="255" t="s">
        <v>920</v>
      </c>
      <c r="C2347" s="255"/>
      <c r="D2347" s="255"/>
      <c r="E2347" s="255" t="s">
        <v>83</v>
      </c>
      <c r="F2347" s="255"/>
      <c r="G2347" s="255"/>
      <c r="H2347" s="255">
        <v>0</v>
      </c>
      <c r="I2347" s="255">
        <v>83</v>
      </c>
      <c r="J2347" s="255">
        <v>0</v>
      </c>
      <c r="K2347" s="255">
        <v>0</v>
      </c>
      <c r="L2347" s="255">
        <v>0</v>
      </c>
      <c r="M2347" s="255">
        <v>83</v>
      </c>
      <c r="N2347" s="255">
        <v>83</v>
      </c>
      <c r="O2347" s="255">
        <v>0</v>
      </c>
      <c r="P2347" s="255">
        <v>0</v>
      </c>
      <c r="Q2347" s="255" t="s">
        <v>488</v>
      </c>
      <c r="R2347" s="255" t="s">
        <v>488</v>
      </c>
      <c r="S2347" s="255" t="s">
        <v>488</v>
      </c>
      <c r="T2347" s="255" t="s">
        <v>488</v>
      </c>
      <c r="U2347" s="255" t="s">
        <v>488</v>
      </c>
      <c r="V2347" s="255" t="s">
        <v>488</v>
      </c>
      <c r="W2347">
        <f t="shared" si="38"/>
        <v>83</v>
      </c>
    </row>
    <row r="2348" spans="1:23" x14ac:dyDescent="0.25">
      <c r="A2348" s="2" t="s">
        <v>1380</v>
      </c>
      <c r="B2348" s="2" t="s">
        <v>920</v>
      </c>
      <c r="C2348" s="2">
        <v>540200</v>
      </c>
      <c r="D2348" s="2" t="s">
        <v>833</v>
      </c>
      <c r="E2348" s="2" t="s">
        <v>85</v>
      </c>
      <c r="F2348" s="2" t="s">
        <v>5</v>
      </c>
      <c r="G2348" s="2">
        <v>2</v>
      </c>
      <c r="H2348" s="2">
        <v>0</v>
      </c>
      <c r="I2348" s="2">
        <v>0</v>
      </c>
      <c r="J2348" s="2">
        <v>0</v>
      </c>
      <c r="K2348" s="2">
        <v>0</v>
      </c>
      <c r="L2348" s="2">
        <v>0</v>
      </c>
      <c r="M2348" s="2">
        <v>0</v>
      </c>
      <c r="N2348" s="2">
        <v>0</v>
      </c>
      <c r="O2348" s="2">
        <v>0</v>
      </c>
      <c r="P2348" s="2">
        <v>0</v>
      </c>
      <c r="Q2348" s="2">
        <v>0</v>
      </c>
      <c r="R2348" s="2">
        <v>0</v>
      </c>
      <c r="S2348" s="2" t="s">
        <v>488</v>
      </c>
      <c r="T2348" s="2" t="s">
        <v>488</v>
      </c>
      <c r="U2348" s="2" t="s">
        <v>488</v>
      </c>
      <c r="V2348" s="2" t="s">
        <v>488</v>
      </c>
      <c r="W2348">
        <f t="shared" si="38"/>
        <v>0</v>
      </c>
    </row>
    <row r="2349" spans="1:23" x14ac:dyDescent="0.25">
      <c r="A2349" s="2" t="s">
        <v>1380</v>
      </c>
      <c r="B2349" s="2" t="s">
        <v>920</v>
      </c>
      <c r="C2349" s="2">
        <v>540018</v>
      </c>
      <c r="D2349" s="2" t="s">
        <v>651</v>
      </c>
      <c r="E2349" s="2" t="s">
        <v>85</v>
      </c>
      <c r="F2349" s="2" t="s">
        <v>115</v>
      </c>
      <c r="G2349" s="2">
        <v>2</v>
      </c>
      <c r="H2349" s="2">
        <v>0</v>
      </c>
      <c r="I2349" s="2">
        <v>0</v>
      </c>
      <c r="J2349" s="2">
        <v>0</v>
      </c>
      <c r="K2349" s="2">
        <v>0</v>
      </c>
      <c r="L2349" s="2">
        <v>0</v>
      </c>
      <c r="M2349" s="2">
        <v>0</v>
      </c>
      <c r="N2349" s="2">
        <v>0</v>
      </c>
      <c r="O2349" s="2">
        <v>0</v>
      </c>
      <c r="P2349" s="2">
        <v>0</v>
      </c>
      <c r="Q2349" s="2">
        <v>0</v>
      </c>
      <c r="R2349" s="2">
        <v>0</v>
      </c>
      <c r="S2349" s="2" t="s">
        <v>488</v>
      </c>
      <c r="T2349" s="2" t="s">
        <v>488</v>
      </c>
      <c r="U2349" s="2" t="s">
        <v>488</v>
      </c>
      <c r="V2349" s="2" t="s">
        <v>488</v>
      </c>
      <c r="W2349">
        <f t="shared" si="38"/>
        <v>0</v>
      </c>
    </row>
    <row r="2350" spans="1:23" x14ac:dyDescent="0.25">
      <c r="A2350" s="2" t="s">
        <v>1380</v>
      </c>
      <c r="B2350" s="2" t="s">
        <v>920</v>
      </c>
      <c r="C2350" s="2">
        <v>540202</v>
      </c>
      <c r="D2350" s="2" t="s">
        <v>834</v>
      </c>
      <c r="E2350" s="2" t="s">
        <v>85</v>
      </c>
      <c r="F2350" s="2" t="s">
        <v>115</v>
      </c>
      <c r="G2350" s="2">
        <v>2</v>
      </c>
      <c r="H2350" s="2">
        <v>0</v>
      </c>
      <c r="I2350" s="2">
        <v>0</v>
      </c>
      <c r="J2350" s="2">
        <v>0</v>
      </c>
      <c r="K2350" s="2">
        <v>0</v>
      </c>
      <c r="L2350" s="2">
        <v>0</v>
      </c>
      <c r="M2350" s="2">
        <v>0</v>
      </c>
      <c r="N2350" s="2">
        <v>0</v>
      </c>
      <c r="O2350" s="2">
        <v>0</v>
      </c>
      <c r="P2350" s="2">
        <v>0</v>
      </c>
      <c r="Q2350" s="2">
        <v>0</v>
      </c>
      <c r="R2350" s="2">
        <v>0</v>
      </c>
      <c r="S2350" s="2" t="s">
        <v>488</v>
      </c>
      <c r="T2350" s="2" t="s">
        <v>488</v>
      </c>
      <c r="U2350" s="2" t="s">
        <v>488</v>
      </c>
      <c r="V2350" s="2" t="s">
        <v>488</v>
      </c>
      <c r="W2350">
        <f t="shared" si="38"/>
        <v>0</v>
      </c>
    </row>
    <row r="2351" spans="1:23" x14ac:dyDescent="0.25">
      <c r="A2351" s="2" t="s">
        <v>1380</v>
      </c>
      <c r="B2351" s="2" t="s">
        <v>920</v>
      </c>
      <c r="C2351" s="2">
        <v>540221</v>
      </c>
      <c r="D2351" s="2" t="s">
        <v>835</v>
      </c>
      <c r="E2351" s="2" t="s">
        <v>85</v>
      </c>
      <c r="F2351" s="2" t="s">
        <v>115</v>
      </c>
      <c r="G2351" s="2">
        <v>2</v>
      </c>
      <c r="H2351" s="2">
        <v>0</v>
      </c>
      <c r="I2351" s="2">
        <v>0</v>
      </c>
      <c r="J2351" s="2">
        <v>0</v>
      </c>
      <c r="K2351" s="2">
        <v>0</v>
      </c>
      <c r="L2351" s="2">
        <v>0</v>
      </c>
      <c r="M2351" s="2">
        <v>0</v>
      </c>
      <c r="N2351" s="2">
        <v>0</v>
      </c>
      <c r="O2351" s="2">
        <v>0</v>
      </c>
      <c r="P2351" s="2">
        <v>0</v>
      </c>
      <c r="Q2351" s="2">
        <v>0</v>
      </c>
      <c r="R2351" s="2">
        <v>0</v>
      </c>
      <c r="S2351" s="2" t="s">
        <v>488</v>
      </c>
      <c r="T2351" s="2" t="s">
        <v>488</v>
      </c>
      <c r="U2351" s="2" t="s">
        <v>488</v>
      </c>
      <c r="V2351" s="2" t="s">
        <v>488</v>
      </c>
      <c r="W2351">
        <f t="shared" si="38"/>
        <v>0</v>
      </c>
    </row>
    <row r="2352" spans="1:23" x14ac:dyDescent="0.25">
      <c r="A2352" s="2" t="s">
        <v>1380</v>
      </c>
      <c r="B2352" s="2" t="s">
        <v>920</v>
      </c>
      <c r="C2352" s="2">
        <v>540231</v>
      </c>
      <c r="D2352" s="2" t="s">
        <v>836</v>
      </c>
      <c r="E2352" s="2" t="s">
        <v>85</v>
      </c>
      <c r="F2352" s="2" t="s">
        <v>115</v>
      </c>
      <c r="G2352" s="2">
        <v>2</v>
      </c>
      <c r="H2352" s="2">
        <v>0</v>
      </c>
      <c r="I2352" s="2">
        <v>0</v>
      </c>
      <c r="J2352" s="2">
        <v>0</v>
      </c>
      <c r="K2352" s="2">
        <v>0</v>
      </c>
      <c r="L2352" s="2">
        <v>0</v>
      </c>
      <c r="M2352" s="2">
        <v>0</v>
      </c>
      <c r="N2352" s="2">
        <v>0</v>
      </c>
      <c r="O2352" s="2">
        <v>0</v>
      </c>
      <c r="P2352" s="2">
        <v>0</v>
      </c>
      <c r="Q2352" s="2">
        <v>0</v>
      </c>
      <c r="R2352" s="2">
        <v>0</v>
      </c>
      <c r="S2352" s="2" t="s">
        <v>488</v>
      </c>
      <c r="T2352" s="2" t="s">
        <v>488</v>
      </c>
      <c r="U2352" s="2" t="s">
        <v>488</v>
      </c>
      <c r="V2352" s="2" t="s">
        <v>488</v>
      </c>
      <c r="W2352">
        <f t="shared" si="38"/>
        <v>0</v>
      </c>
    </row>
    <row r="2353" spans="1:23" x14ac:dyDescent="0.25">
      <c r="A2353" s="2" t="s">
        <v>1380</v>
      </c>
      <c r="B2353" s="2" t="s">
        <v>920</v>
      </c>
      <c r="C2353" s="2">
        <v>540232</v>
      </c>
      <c r="D2353" s="2" t="s">
        <v>837</v>
      </c>
      <c r="E2353" s="2" t="s">
        <v>85</v>
      </c>
      <c r="F2353" s="2" t="s">
        <v>115</v>
      </c>
      <c r="G2353" s="2">
        <v>2</v>
      </c>
      <c r="H2353" s="2">
        <v>0</v>
      </c>
      <c r="I2353" s="2">
        <v>0</v>
      </c>
      <c r="J2353" s="2">
        <v>0</v>
      </c>
      <c r="K2353" s="2">
        <v>0</v>
      </c>
      <c r="L2353" s="2">
        <v>0</v>
      </c>
      <c r="M2353" s="2">
        <v>0</v>
      </c>
      <c r="N2353" s="2">
        <v>0</v>
      </c>
      <c r="O2353" s="2">
        <v>0</v>
      </c>
      <c r="P2353" s="2">
        <v>0</v>
      </c>
      <c r="Q2353" s="2">
        <v>0</v>
      </c>
      <c r="R2353" s="2">
        <v>0</v>
      </c>
      <c r="S2353" s="2" t="s">
        <v>488</v>
      </c>
      <c r="T2353" s="2" t="s">
        <v>488</v>
      </c>
      <c r="U2353" s="2" t="s">
        <v>488</v>
      </c>
      <c r="V2353" s="2" t="s">
        <v>488</v>
      </c>
      <c r="W2353">
        <f t="shared" si="38"/>
        <v>0</v>
      </c>
    </row>
    <row r="2354" spans="1:23" x14ac:dyDescent="0.25">
      <c r="A2354" s="255" t="s">
        <v>1380</v>
      </c>
      <c r="B2354" s="255" t="s">
        <v>920</v>
      </c>
      <c r="C2354" s="255"/>
      <c r="D2354" s="255"/>
      <c r="E2354" s="255" t="s">
        <v>85</v>
      </c>
      <c r="F2354" s="255"/>
      <c r="G2354" s="255"/>
      <c r="H2354" s="255">
        <v>0</v>
      </c>
      <c r="I2354" s="255">
        <v>0</v>
      </c>
      <c r="J2354" s="255">
        <v>0</v>
      </c>
      <c r="K2354" s="255">
        <v>0</v>
      </c>
      <c r="L2354" s="255">
        <v>0</v>
      </c>
      <c r="M2354" s="255">
        <v>0</v>
      </c>
      <c r="N2354" s="255">
        <v>0</v>
      </c>
      <c r="O2354" s="255">
        <v>0</v>
      </c>
      <c r="P2354" s="255">
        <v>0</v>
      </c>
      <c r="Q2354" s="255">
        <v>0</v>
      </c>
      <c r="R2354" s="255">
        <v>0</v>
      </c>
      <c r="S2354" s="255" t="s">
        <v>488</v>
      </c>
      <c r="T2354" s="255" t="s">
        <v>488</v>
      </c>
      <c r="U2354" s="255" t="s">
        <v>488</v>
      </c>
      <c r="V2354" s="255" t="s">
        <v>488</v>
      </c>
      <c r="W2354">
        <f t="shared" si="38"/>
        <v>0</v>
      </c>
    </row>
    <row r="2355" spans="1:23" x14ac:dyDescent="0.25">
      <c r="A2355" s="2" t="s">
        <v>1380</v>
      </c>
      <c r="B2355" s="2" t="s">
        <v>920</v>
      </c>
      <c r="C2355" s="2">
        <v>540203</v>
      </c>
      <c r="D2355" s="2" t="s">
        <v>838</v>
      </c>
      <c r="E2355" s="2" t="s">
        <v>87</v>
      </c>
      <c r="F2355" s="2" t="s">
        <v>5</v>
      </c>
      <c r="G2355" s="2">
        <v>4</v>
      </c>
      <c r="H2355" s="2">
        <v>8</v>
      </c>
      <c r="I2355" s="2">
        <v>0</v>
      </c>
      <c r="J2355" s="2">
        <v>0</v>
      </c>
      <c r="K2355" s="2">
        <v>0</v>
      </c>
      <c r="L2355" s="2">
        <v>0</v>
      </c>
      <c r="M2355" s="2">
        <v>0</v>
      </c>
      <c r="N2355" s="2">
        <v>8</v>
      </c>
      <c r="O2355" s="2">
        <v>0</v>
      </c>
      <c r="P2355" s="2">
        <v>0</v>
      </c>
      <c r="Q2355" s="2" t="s">
        <v>488</v>
      </c>
      <c r="R2355" s="2" t="s">
        <v>488</v>
      </c>
      <c r="S2355" s="2" t="s">
        <v>488</v>
      </c>
      <c r="T2355" s="2" t="s">
        <v>488</v>
      </c>
      <c r="U2355" s="2" t="s">
        <v>488</v>
      </c>
      <c r="V2355" s="2" t="s">
        <v>488</v>
      </c>
      <c r="W2355">
        <f t="shared" si="38"/>
        <v>8</v>
      </c>
    </row>
    <row r="2356" spans="1:23" x14ac:dyDescent="0.25">
      <c r="A2356" s="2" t="s">
        <v>1380</v>
      </c>
      <c r="B2356" s="2" t="s">
        <v>920</v>
      </c>
      <c r="C2356" s="2">
        <v>540204</v>
      </c>
      <c r="D2356" s="2" t="s">
        <v>839</v>
      </c>
      <c r="E2356" s="2" t="s">
        <v>87</v>
      </c>
      <c r="F2356" s="2" t="s">
        <v>115</v>
      </c>
      <c r="G2356" s="2">
        <v>4</v>
      </c>
      <c r="H2356" s="2">
        <v>0</v>
      </c>
      <c r="I2356" s="2">
        <v>0</v>
      </c>
      <c r="J2356" s="2">
        <v>0</v>
      </c>
      <c r="K2356" s="2">
        <v>0</v>
      </c>
      <c r="L2356" s="2">
        <v>0</v>
      </c>
      <c r="M2356" s="2">
        <v>0</v>
      </c>
      <c r="N2356" s="2">
        <v>0</v>
      </c>
      <c r="O2356" s="2">
        <v>0</v>
      </c>
      <c r="P2356" s="2">
        <v>0</v>
      </c>
      <c r="Q2356" s="2" t="s">
        <v>488</v>
      </c>
      <c r="R2356" s="2" t="s">
        <v>488</v>
      </c>
      <c r="S2356" s="2" t="s">
        <v>488</v>
      </c>
      <c r="T2356" s="2" t="s">
        <v>488</v>
      </c>
      <c r="U2356" s="2" t="s">
        <v>488</v>
      </c>
      <c r="V2356" s="2" t="s">
        <v>488</v>
      </c>
      <c r="W2356">
        <f t="shared" si="38"/>
        <v>0</v>
      </c>
    </row>
    <row r="2357" spans="1:23" x14ac:dyDescent="0.25">
      <c r="A2357" s="2" t="s">
        <v>1380</v>
      </c>
      <c r="B2357" s="2" t="s">
        <v>920</v>
      </c>
      <c r="C2357" s="2">
        <v>540205</v>
      </c>
      <c r="D2357" s="2" t="s">
        <v>840</v>
      </c>
      <c r="E2357" s="2" t="s">
        <v>87</v>
      </c>
      <c r="F2357" s="2" t="s">
        <v>115</v>
      </c>
      <c r="G2357" s="2">
        <v>4</v>
      </c>
      <c r="H2357" s="2">
        <v>0</v>
      </c>
      <c r="I2357" s="2">
        <v>0</v>
      </c>
      <c r="J2357" s="2">
        <v>0</v>
      </c>
      <c r="K2357" s="2">
        <v>0</v>
      </c>
      <c r="L2357" s="2">
        <v>0</v>
      </c>
      <c r="M2357" s="2">
        <v>0</v>
      </c>
      <c r="N2357" s="2">
        <v>0</v>
      </c>
      <c r="O2357" s="2">
        <v>0</v>
      </c>
      <c r="P2357" s="2">
        <v>0</v>
      </c>
      <c r="Q2357" s="2" t="s">
        <v>488</v>
      </c>
      <c r="R2357" s="2" t="s">
        <v>488</v>
      </c>
      <c r="S2357" s="2" t="s">
        <v>488</v>
      </c>
      <c r="T2357" s="2" t="s">
        <v>488</v>
      </c>
      <c r="U2357" s="2" t="s">
        <v>488</v>
      </c>
      <c r="V2357" s="2" t="s">
        <v>488</v>
      </c>
      <c r="W2357">
        <f t="shared" si="38"/>
        <v>0</v>
      </c>
    </row>
    <row r="2358" spans="1:23" x14ac:dyDescent="0.25">
      <c r="A2358" s="2" t="s">
        <v>1380</v>
      </c>
      <c r="B2358" s="2" t="s">
        <v>920</v>
      </c>
      <c r="C2358" s="2">
        <v>540206</v>
      </c>
      <c r="D2358" s="2" t="s">
        <v>841</v>
      </c>
      <c r="E2358" s="2" t="s">
        <v>87</v>
      </c>
      <c r="F2358" s="2" t="s">
        <v>115</v>
      </c>
      <c r="G2358" s="2">
        <v>4</v>
      </c>
      <c r="H2358" s="2">
        <v>0</v>
      </c>
      <c r="I2358" s="2">
        <v>0</v>
      </c>
      <c r="J2358" s="2">
        <v>0</v>
      </c>
      <c r="K2358" s="2">
        <v>0</v>
      </c>
      <c r="L2358" s="2">
        <v>0</v>
      </c>
      <c r="M2358" s="2">
        <v>0</v>
      </c>
      <c r="N2358" s="2">
        <v>0</v>
      </c>
      <c r="O2358" s="2">
        <v>0</v>
      </c>
      <c r="P2358" s="2">
        <v>0</v>
      </c>
      <c r="Q2358" s="2" t="s">
        <v>488</v>
      </c>
      <c r="R2358" s="2" t="s">
        <v>488</v>
      </c>
      <c r="S2358" s="2" t="s">
        <v>488</v>
      </c>
      <c r="T2358" s="2" t="s">
        <v>488</v>
      </c>
      <c r="U2358" s="2" t="s">
        <v>488</v>
      </c>
      <c r="V2358" s="2" t="s">
        <v>488</v>
      </c>
      <c r="W2358">
        <f t="shared" si="38"/>
        <v>0</v>
      </c>
    </row>
    <row r="2359" spans="1:23" x14ac:dyDescent="0.25">
      <c r="A2359" s="255" t="s">
        <v>1380</v>
      </c>
      <c r="B2359" s="255" t="s">
        <v>920</v>
      </c>
      <c r="C2359" s="255"/>
      <c r="D2359" s="255"/>
      <c r="E2359" s="255" t="s">
        <v>87</v>
      </c>
      <c r="F2359" s="255"/>
      <c r="G2359" s="255"/>
      <c r="H2359" s="255">
        <v>8</v>
      </c>
      <c r="I2359" s="255">
        <v>0</v>
      </c>
      <c r="J2359" s="255">
        <v>0</v>
      </c>
      <c r="K2359" s="255">
        <v>0</v>
      </c>
      <c r="L2359" s="255">
        <v>0</v>
      </c>
      <c r="M2359" s="255">
        <v>0</v>
      </c>
      <c r="N2359" s="255">
        <v>8</v>
      </c>
      <c r="O2359" s="255">
        <v>0</v>
      </c>
      <c r="P2359" s="255">
        <v>0</v>
      </c>
      <c r="Q2359" s="255" t="s">
        <v>488</v>
      </c>
      <c r="R2359" s="255" t="s">
        <v>488</v>
      </c>
      <c r="S2359" s="255" t="s">
        <v>488</v>
      </c>
      <c r="T2359" s="255" t="s">
        <v>488</v>
      </c>
      <c r="U2359" s="255" t="s">
        <v>488</v>
      </c>
      <c r="V2359" s="255" t="s">
        <v>488</v>
      </c>
      <c r="W2359">
        <f t="shared" si="38"/>
        <v>8</v>
      </c>
    </row>
    <row r="2360" spans="1:23" x14ac:dyDescent="0.25">
      <c r="A2360" s="2" t="s">
        <v>1380</v>
      </c>
      <c r="B2360" s="2" t="s">
        <v>920</v>
      </c>
      <c r="C2360" s="2">
        <v>540207</v>
      </c>
      <c r="D2360" s="2" t="s">
        <v>842</v>
      </c>
      <c r="E2360" s="2" t="s">
        <v>89</v>
      </c>
      <c r="F2360" s="2" t="s">
        <v>5</v>
      </c>
      <c r="G2360" s="2">
        <v>10</v>
      </c>
      <c r="H2360" s="2">
        <v>2</v>
      </c>
      <c r="I2360" s="2">
        <v>0</v>
      </c>
      <c r="J2360" s="2">
        <v>0</v>
      </c>
      <c r="K2360" s="2">
        <v>0</v>
      </c>
      <c r="L2360" s="2">
        <v>0</v>
      </c>
      <c r="M2360" s="2">
        <v>0</v>
      </c>
      <c r="N2360" s="2">
        <v>2</v>
      </c>
      <c r="O2360" s="2">
        <v>0</v>
      </c>
      <c r="P2360" s="2">
        <v>0</v>
      </c>
      <c r="Q2360" s="2" t="s">
        <v>488</v>
      </c>
      <c r="R2360" s="2" t="s">
        <v>488</v>
      </c>
      <c r="S2360" s="2" t="s">
        <v>488</v>
      </c>
      <c r="T2360" s="2" t="s">
        <v>488</v>
      </c>
      <c r="U2360" s="2" t="s">
        <v>488</v>
      </c>
      <c r="V2360" s="2" t="s">
        <v>488</v>
      </c>
      <c r="W2360">
        <f t="shared" si="38"/>
        <v>2</v>
      </c>
    </row>
    <row r="2361" spans="1:23" x14ac:dyDescent="0.25">
      <c r="A2361" s="2" t="s">
        <v>1380</v>
      </c>
      <c r="B2361" s="2" t="s">
        <v>920</v>
      </c>
      <c r="C2361" s="2">
        <v>540196</v>
      </c>
      <c r="D2361" s="2" t="s">
        <v>843</v>
      </c>
      <c r="E2361" s="2" t="s">
        <v>89</v>
      </c>
      <c r="F2361" s="2" t="s">
        <v>115</v>
      </c>
      <c r="G2361" s="2">
        <v>5</v>
      </c>
      <c r="H2361" s="2">
        <v>0</v>
      </c>
      <c r="I2361" s="2">
        <v>0</v>
      </c>
      <c r="J2361" s="2">
        <v>0</v>
      </c>
      <c r="K2361" s="2">
        <v>0</v>
      </c>
      <c r="L2361" s="2">
        <v>0</v>
      </c>
      <c r="M2361" s="2">
        <v>0</v>
      </c>
      <c r="N2361" s="2">
        <v>0</v>
      </c>
      <c r="O2361" s="2">
        <v>0</v>
      </c>
      <c r="P2361" s="2">
        <v>0</v>
      </c>
      <c r="Q2361" s="2" t="s">
        <v>488</v>
      </c>
      <c r="R2361" s="2" t="s">
        <v>488</v>
      </c>
      <c r="S2361" s="2" t="s">
        <v>488</v>
      </c>
      <c r="T2361" s="2" t="s">
        <v>488</v>
      </c>
      <c r="U2361" s="2" t="s">
        <v>488</v>
      </c>
      <c r="V2361" s="2" t="s">
        <v>488</v>
      </c>
      <c r="W2361">
        <f t="shared" si="38"/>
        <v>0</v>
      </c>
    </row>
    <row r="2362" spans="1:23" x14ac:dyDescent="0.25">
      <c r="A2362" s="2" t="s">
        <v>1380</v>
      </c>
      <c r="B2362" s="2" t="s">
        <v>920</v>
      </c>
      <c r="C2362" s="2">
        <v>540208</v>
      </c>
      <c r="D2362" s="2" t="s">
        <v>844</v>
      </c>
      <c r="E2362" s="2" t="s">
        <v>89</v>
      </c>
      <c r="F2362" s="2" t="s">
        <v>115</v>
      </c>
      <c r="G2362" s="2">
        <v>10</v>
      </c>
      <c r="H2362" s="2">
        <v>0</v>
      </c>
      <c r="I2362" s="2">
        <v>55</v>
      </c>
      <c r="J2362" s="2">
        <v>18</v>
      </c>
      <c r="K2362" s="2">
        <v>0</v>
      </c>
      <c r="L2362" s="2">
        <v>0</v>
      </c>
      <c r="M2362" s="2">
        <v>73</v>
      </c>
      <c r="N2362" s="2">
        <v>73</v>
      </c>
      <c r="O2362" s="2">
        <v>0</v>
      </c>
      <c r="P2362" s="2">
        <v>0</v>
      </c>
      <c r="Q2362" s="2" t="s">
        <v>488</v>
      </c>
      <c r="R2362" s="2" t="s">
        <v>488</v>
      </c>
      <c r="S2362" s="2" t="s">
        <v>488</v>
      </c>
      <c r="T2362" s="2" t="s">
        <v>488</v>
      </c>
      <c r="U2362" s="2" t="s">
        <v>488</v>
      </c>
      <c r="V2362" s="2" t="s">
        <v>488</v>
      </c>
      <c r="W2362">
        <f t="shared" si="38"/>
        <v>73</v>
      </c>
    </row>
    <row r="2363" spans="1:23" x14ac:dyDescent="0.25">
      <c r="A2363" s="2" t="s">
        <v>1380</v>
      </c>
      <c r="B2363" s="2" t="s">
        <v>920</v>
      </c>
      <c r="C2363" s="2">
        <v>540210</v>
      </c>
      <c r="D2363" s="2" t="s">
        <v>845</v>
      </c>
      <c r="E2363" s="2" t="s">
        <v>89</v>
      </c>
      <c r="F2363" s="2" t="s">
        <v>115</v>
      </c>
      <c r="G2363" s="2">
        <v>10</v>
      </c>
      <c r="H2363" s="2">
        <v>0</v>
      </c>
      <c r="I2363" s="2">
        <v>0</v>
      </c>
      <c r="J2363" s="2">
        <v>0</v>
      </c>
      <c r="K2363" s="2">
        <v>0</v>
      </c>
      <c r="L2363" s="2">
        <v>0</v>
      </c>
      <c r="M2363" s="2">
        <v>0</v>
      </c>
      <c r="N2363" s="2">
        <v>0</v>
      </c>
      <c r="O2363" s="2">
        <v>0</v>
      </c>
      <c r="P2363" s="2">
        <v>0</v>
      </c>
      <c r="Q2363" s="2" t="s">
        <v>488</v>
      </c>
      <c r="R2363" s="2" t="s">
        <v>488</v>
      </c>
      <c r="S2363" s="2" t="s">
        <v>488</v>
      </c>
      <c r="T2363" s="2" t="s">
        <v>488</v>
      </c>
      <c r="U2363" s="2" t="s">
        <v>488</v>
      </c>
      <c r="V2363" s="2" t="s">
        <v>488</v>
      </c>
      <c r="W2363">
        <f t="shared" si="38"/>
        <v>0</v>
      </c>
    </row>
    <row r="2364" spans="1:23" x14ac:dyDescent="0.25">
      <c r="A2364" s="2" t="s">
        <v>1380</v>
      </c>
      <c r="B2364" s="2" t="s">
        <v>920</v>
      </c>
      <c r="C2364" s="2">
        <v>540256</v>
      </c>
      <c r="D2364" s="2" t="s">
        <v>846</v>
      </c>
      <c r="E2364" s="2" t="s">
        <v>89</v>
      </c>
      <c r="F2364" s="2" t="s">
        <v>115</v>
      </c>
      <c r="G2364" s="2">
        <v>10</v>
      </c>
      <c r="H2364" s="2">
        <v>0</v>
      </c>
      <c r="I2364" s="2">
        <v>0</v>
      </c>
      <c r="J2364" s="2">
        <v>0</v>
      </c>
      <c r="K2364" s="2">
        <v>0</v>
      </c>
      <c r="L2364" s="2">
        <v>0</v>
      </c>
      <c r="M2364" s="2">
        <v>0</v>
      </c>
      <c r="N2364" s="2">
        <v>0</v>
      </c>
      <c r="O2364" s="2">
        <v>0</v>
      </c>
      <c r="P2364" s="2">
        <v>0</v>
      </c>
      <c r="Q2364" s="2" t="s">
        <v>488</v>
      </c>
      <c r="R2364" s="2" t="s">
        <v>488</v>
      </c>
      <c r="S2364" s="2" t="s">
        <v>488</v>
      </c>
      <c r="T2364" s="2" t="s">
        <v>488</v>
      </c>
      <c r="U2364" s="2" t="s">
        <v>488</v>
      </c>
      <c r="V2364" s="2" t="s">
        <v>488</v>
      </c>
      <c r="W2364">
        <f t="shared" si="38"/>
        <v>0</v>
      </c>
    </row>
    <row r="2365" spans="1:23" x14ac:dyDescent="0.25">
      <c r="A2365" s="2" t="s">
        <v>1380</v>
      </c>
      <c r="B2365" s="2" t="s">
        <v>920</v>
      </c>
      <c r="C2365" s="2">
        <v>540258</v>
      </c>
      <c r="D2365" s="2" t="s">
        <v>847</v>
      </c>
      <c r="E2365" s="2" t="s">
        <v>89</v>
      </c>
      <c r="F2365" s="2" t="s">
        <v>115</v>
      </c>
      <c r="G2365" s="2">
        <v>10</v>
      </c>
      <c r="H2365" s="2">
        <v>0</v>
      </c>
      <c r="I2365" s="2">
        <v>0</v>
      </c>
      <c r="J2365" s="2">
        <v>0</v>
      </c>
      <c r="K2365" s="2">
        <v>0</v>
      </c>
      <c r="L2365" s="2">
        <v>0</v>
      </c>
      <c r="M2365" s="2">
        <v>0</v>
      </c>
      <c r="N2365" s="2">
        <v>0</v>
      </c>
      <c r="O2365" s="2">
        <v>0</v>
      </c>
      <c r="P2365" s="2">
        <v>0</v>
      </c>
      <c r="Q2365" s="2" t="s">
        <v>488</v>
      </c>
      <c r="R2365" s="2" t="s">
        <v>488</v>
      </c>
      <c r="S2365" s="2" t="s">
        <v>488</v>
      </c>
      <c r="T2365" s="2" t="s">
        <v>488</v>
      </c>
      <c r="U2365" s="2" t="s">
        <v>488</v>
      </c>
      <c r="V2365" s="2" t="s">
        <v>488</v>
      </c>
      <c r="W2365">
        <f t="shared" si="38"/>
        <v>0</v>
      </c>
    </row>
    <row r="2366" spans="1:23" x14ac:dyDescent="0.25">
      <c r="A2366" s="255" t="s">
        <v>1380</v>
      </c>
      <c r="B2366" s="255" t="s">
        <v>920</v>
      </c>
      <c r="C2366" s="255"/>
      <c r="D2366" s="255"/>
      <c r="E2366" s="255" t="s">
        <v>89</v>
      </c>
      <c r="F2366" s="255"/>
      <c r="G2366" s="255"/>
      <c r="H2366" s="255">
        <v>2</v>
      </c>
      <c r="I2366" s="255">
        <v>55</v>
      </c>
      <c r="J2366" s="255">
        <v>18</v>
      </c>
      <c r="K2366" s="255">
        <v>0</v>
      </c>
      <c r="L2366" s="255">
        <v>0</v>
      </c>
      <c r="M2366" s="255">
        <v>73</v>
      </c>
      <c r="N2366" s="255">
        <v>75</v>
      </c>
      <c r="O2366" s="255">
        <v>0</v>
      </c>
      <c r="P2366" s="255">
        <v>0</v>
      </c>
      <c r="Q2366" s="255" t="s">
        <v>488</v>
      </c>
      <c r="R2366" s="255" t="s">
        <v>488</v>
      </c>
      <c r="S2366" s="255" t="s">
        <v>488</v>
      </c>
      <c r="T2366" s="255" t="s">
        <v>488</v>
      </c>
      <c r="U2366" s="255" t="s">
        <v>488</v>
      </c>
      <c r="V2366" s="255" t="s">
        <v>488</v>
      </c>
      <c r="W2366">
        <f t="shared" si="38"/>
        <v>75</v>
      </c>
    </row>
    <row r="2367" spans="1:23" x14ac:dyDescent="0.25">
      <c r="A2367" s="2" t="s">
        <v>1380</v>
      </c>
      <c r="B2367" s="2" t="s">
        <v>920</v>
      </c>
      <c r="C2367" s="2">
        <v>540211</v>
      </c>
      <c r="D2367" s="2" t="s">
        <v>848</v>
      </c>
      <c r="E2367" s="2" t="s">
        <v>91</v>
      </c>
      <c r="F2367" s="2" t="s">
        <v>5</v>
      </c>
      <c r="G2367" s="2">
        <v>5</v>
      </c>
      <c r="H2367" s="2">
        <v>12</v>
      </c>
      <c r="I2367" s="2">
        <v>0</v>
      </c>
      <c r="J2367" s="2">
        <v>0</v>
      </c>
      <c r="K2367" s="2">
        <v>0</v>
      </c>
      <c r="L2367" s="2">
        <v>0</v>
      </c>
      <c r="M2367" s="2">
        <v>0</v>
      </c>
      <c r="N2367" s="2">
        <v>12</v>
      </c>
      <c r="O2367" s="2">
        <v>0</v>
      </c>
      <c r="P2367" s="2">
        <v>0</v>
      </c>
      <c r="Q2367" s="2" t="s">
        <v>488</v>
      </c>
      <c r="R2367" s="2" t="s">
        <v>488</v>
      </c>
      <c r="S2367" s="2" t="s">
        <v>488</v>
      </c>
      <c r="T2367" s="2" t="s">
        <v>488</v>
      </c>
      <c r="U2367" s="2" t="s">
        <v>488</v>
      </c>
      <c r="V2367" s="2" t="s">
        <v>488</v>
      </c>
      <c r="W2367">
        <f t="shared" si="38"/>
        <v>12</v>
      </c>
    </row>
    <row r="2368" spans="1:23" x14ac:dyDescent="0.25">
      <c r="A2368" s="2" t="s">
        <v>1380</v>
      </c>
      <c r="B2368" s="2" t="s">
        <v>920</v>
      </c>
      <c r="C2368" s="2">
        <v>540212</v>
      </c>
      <c r="D2368" s="2" t="s">
        <v>849</v>
      </c>
      <c r="E2368" s="2" t="s">
        <v>91</v>
      </c>
      <c r="F2368" s="2" t="s">
        <v>115</v>
      </c>
      <c r="G2368" s="2">
        <v>5</v>
      </c>
      <c r="H2368" s="2">
        <v>0</v>
      </c>
      <c r="I2368" s="2">
        <v>0</v>
      </c>
      <c r="J2368" s="2">
        <v>0</v>
      </c>
      <c r="K2368" s="2">
        <v>0</v>
      </c>
      <c r="L2368" s="2">
        <v>0</v>
      </c>
      <c r="M2368" s="2">
        <v>0</v>
      </c>
      <c r="N2368" s="2">
        <v>0</v>
      </c>
      <c r="O2368" s="2">
        <v>0</v>
      </c>
      <c r="P2368" s="2">
        <v>0</v>
      </c>
      <c r="Q2368" s="2" t="s">
        <v>488</v>
      </c>
      <c r="R2368" s="2" t="s">
        <v>488</v>
      </c>
      <c r="S2368" s="2" t="s">
        <v>488</v>
      </c>
      <c r="T2368" s="2" t="s">
        <v>488</v>
      </c>
      <c r="U2368" s="2" t="s">
        <v>488</v>
      </c>
      <c r="V2368" s="2" t="s">
        <v>488</v>
      </c>
      <c r="W2368">
        <f t="shared" si="38"/>
        <v>0</v>
      </c>
    </row>
    <row r="2369" spans="1:23" x14ac:dyDescent="0.25">
      <c r="A2369" s="255" t="s">
        <v>1380</v>
      </c>
      <c r="B2369" s="255" t="s">
        <v>920</v>
      </c>
      <c r="C2369" s="255"/>
      <c r="D2369" s="255"/>
      <c r="E2369" s="255" t="s">
        <v>91</v>
      </c>
      <c r="F2369" s="255"/>
      <c r="G2369" s="255"/>
      <c r="H2369" s="255">
        <v>12</v>
      </c>
      <c r="I2369" s="255">
        <v>0</v>
      </c>
      <c r="J2369" s="255">
        <v>0</v>
      </c>
      <c r="K2369" s="255">
        <v>0</v>
      </c>
      <c r="L2369" s="255">
        <v>0</v>
      </c>
      <c r="M2369" s="255">
        <v>0</v>
      </c>
      <c r="N2369" s="255">
        <v>12</v>
      </c>
      <c r="O2369" s="255">
        <v>0</v>
      </c>
      <c r="P2369" s="255">
        <v>0</v>
      </c>
      <c r="Q2369" s="255" t="s">
        <v>488</v>
      </c>
      <c r="R2369" s="255" t="s">
        <v>488</v>
      </c>
      <c r="S2369" s="255" t="s">
        <v>488</v>
      </c>
      <c r="T2369" s="255" t="s">
        <v>488</v>
      </c>
      <c r="U2369" s="255" t="s">
        <v>488</v>
      </c>
      <c r="V2369" s="255" t="s">
        <v>488</v>
      </c>
      <c r="W2369">
        <f t="shared" si="38"/>
        <v>12</v>
      </c>
    </row>
    <row r="2370" spans="1:23" x14ac:dyDescent="0.25">
      <c r="A2370" s="2" t="s">
        <v>1380</v>
      </c>
      <c r="B2370" s="2" t="s">
        <v>920</v>
      </c>
      <c r="C2370" s="2">
        <v>540213</v>
      </c>
      <c r="D2370" s="2" t="s">
        <v>850</v>
      </c>
      <c r="E2370" s="2" t="s">
        <v>93</v>
      </c>
      <c r="F2370" s="2" t="s">
        <v>5</v>
      </c>
      <c r="G2370" s="2">
        <v>5</v>
      </c>
      <c r="H2370" s="2">
        <v>0</v>
      </c>
      <c r="I2370" s="2">
        <v>0</v>
      </c>
      <c r="J2370" s="2">
        <v>0</v>
      </c>
      <c r="K2370" s="2">
        <v>0</v>
      </c>
      <c r="L2370" s="2">
        <v>0</v>
      </c>
      <c r="M2370" s="2">
        <v>0</v>
      </c>
      <c r="N2370" s="2">
        <v>0</v>
      </c>
      <c r="O2370" s="2">
        <v>0</v>
      </c>
      <c r="P2370" s="2">
        <v>0</v>
      </c>
      <c r="Q2370" s="2" t="s">
        <v>488</v>
      </c>
      <c r="R2370" s="2" t="s">
        <v>488</v>
      </c>
      <c r="S2370" s="2" t="s">
        <v>488</v>
      </c>
      <c r="T2370" s="2" t="s">
        <v>488</v>
      </c>
      <c r="U2370" s="2" t="s">
        <v>488</v>
      </c>
      <c r="V2370" s="2" t="s">
        <v>488</v>
      </c>
      <c r="W2370">
        <f t="shared" si="38"/>
        <v>0</v>
      </c>
    </row>
    <row r="2371" spans="1:23" x14ac:dyDescent="0.25">
      <c r="A2371" s="2" t="s">
        <v>1380</v>
      </c>
      <c r="B2371" s="2" t="s">
        <v>920</v>
      </c>
      <c r="C2371" s="2">
        <v>540042</v>
      </c>
      <c r="D2371" s="2" t="s">
        <v>851</v>
      </c>
      <c r="E2371" s="2" t="s">
        <v>93</v>
      </c>
      <c r="F2371" s="2" t="s">
        <v>115</v>
      </c>
      <c r="G2371" s="2">
        <v>5</v>
      </c>
      <c r="H2371" s="2">
        <v>0</v>
      </c>
      <c r="I2371" s="2">
        <v>0</v>
      </c>
      <c r="J2371" s="2">
        <v>0</v>
      </c>
      <c r="K2371" s="2">
        <v>0</v>
      </c>
      <c r="L2371" s="2">
        <v>0</v>
      </c>
      <c r="M2371" s="2">
        <v>0</v>
      </c>
      <c r="N2371" s="2">
        <v>0</v>
      </c>
      <c r="O2371" s="2">
        <v>0</v>
      </c>
      <c r="P2371" s="2">
        <v>0</v>
      </c>
      <c r="Q2371" s="2" t="s">
        <v>488</v>
      </c>
      <c r="R2371" s="2" t="s">
        <v>488</v>
      </c>
      <c r="S2371" s="2" t="s">
        <v>488</v>
      </c>
      <c r="T2371" s="2" t="s">
        <v>488</v>
      </c>
      <c r="U2371" s="2" t="s">
        <v>488</v>
      </c>
      <c r="V2371" s="2" t="s">
        <v>488</v>
      </c>
      <c r="W2371">
        <f t="shared" ref="W2371:W2434" si="39">SUM(N2371,P2371,R2371,T2371)</f>
        <v>0</v>
      </c>
    </row>
    <row r="2372" spans="1:23" x14ac:dyDescent="0.25">
      <c r="A2372" s="2" t="s">
        <v>1380</v>
      </c>
      <c r="B2372" s="2" t="s">
        <v>920</v>
      </c>
      <c r="C2372" s="2">
        <v>540214</v>
      </c>
      <c r="D2372" s="2" t="s">
        <v>852</v>
      </c>
      <c r="E2372" s="2" t="s">
        <v>93</v>
      </c>
      <c r="F2372" s="2" t="s">
        <v>115</v>
      </c>
      <c r="G2372" s="2">
        <v>5</v>
      </c>
      <c r="H2372" s="2">
        <v>0</v>
      </c>
      <c r="I2372" s="2">
        <v>0</v>
      </c>
      <c r="J2372" s="2">
        <v>0</v>
      </c>
      <c r="K2372" s="2">
        <v>0</v>
      </c>
      <c r="L2372" s="2">
        <v>0</v>
      </c>
      <c r="M2372" s="2">
        <v>0</v>
      </c>
      <c r="N2372" s="2">
        <v>0</v>
      </c>
      <c r="O2372" s="2">
        <v>0</v>
      </c>
      <c r="P2372" s="2">
        <v>0</v>
      </c>
      <c r="Q2372" s="2" t="s">
        <v>488</v>
      </c>
      <c r="R2372" s="2" t="s">
        <v>488</v>
      </c>
      <c r="S2372" s="2" t="s">
        <v>488</v>
      </c>
      <c r="T2372" s="2" t="s">
        <v>488</v>
      </c>
      <c r="U2372" s="2" t="s">
        <v>488</v>
      </c>
      <c r="V2372" s="2" t="s">
        <v>488</v>
      </c>
      <c r="W2372">
        <f t="shared" si="39"/>
        <v>0</v>
      </c>
    </row>
    <row r="2373" spans="1:23" x14ac:dyDescent="0.25">
      <c r="A2373" s="2" t="s">
        <v>1380</v>
      </c>
      <c r="B2373" s="2" t="s">
        <v>920</v>
      </c>
      <c r="C2373" s="2">
        <v>540215</v>
      </c>
      <c r="D2373" s="2" t="s">
        <v>853</v>
      </c>
      <c r="E2373" s="2" t="s">
        <v>93</v>
      </c>
      <c r="F2373" s="2" t="s">
        <v>115</v>
      </c>
      <c r="G2373" s="2">
        <v>5</v>
      </c>
      <c r="H2373" s="2">
        <v>0</v>
      </c>
      <c r="I2373" s="2">
        <v>0</v>
      </c>
      <c r="J2373" s="2">
        <v>0</v>
      </c>
      <c r="K2373" s="2">
        <v>0</v>
      </c>
      <c r="L2373" s="2">
        <v>0</v>
      </c>
      <c r="M2373" s="2">
        <v>0</v>
      </c>
      <c r="N2373" s="2">
        <v>0</v>
      </c>
      <c r="O2373" s="2">
        <v>0</v>
      </c>
      <c r="P2373" s="2">
        <v>0</v>
      </c>
      <c r="Q2373" s="2" t="s">
        <v>488</v>
      </c>
      <c r="R2373" s="2" t="s">
        <v>488</v>
      </c>
      <c r="S2373" s="2" t="s">
        <v>488</v>
      </c>
      <c r="T2373" s="2" t="s">
        <v>488</v>
      </c>
      <c r="U2373" s="2" t="s">
        <v>488</v>
      </c>
      <c r="V2373" s="2" t="s">
        <v>488</v>
      </c>
      <c r="W2373">
        <f t="shared" si="39"/>
        <v>0</v>
      </c>
    </row>
    <row r="2374" spans="1:23" x14ac:dyDescent="0.25">
      <c r="A2374" s="2" t="s">
        <v>1380</v>
      </c>
      <c r="B2374" s="2" t="s">
        <v>920</v>
      </c>
      <c r="C2374" s="2">
        <v>540216</v>
      </c>
      <c r="D2374" s="2" t="s">
        <v>854</v>
      </c>
      <c r="E2374" s="2" t="s">
        <v>93</v>
      </c>
      <c r="F2374" s="2" t="s">
        <v>115</v>
      </c>
      <c r="G2374" s="2">
        <v>5</v>
      </c>
      <c r="H2374" s="2">
        <v>0</v>
      </c>
      <c r="I2374" s="2">
        <v>0</v>
      </c>
      <c r="J2374" s="2">
        <v>0</v>
      </c>
      <c r="K2374" s="2">
        <v>0</v>
      </c>
      <c r="L2374" s="2">
        <v>0</v>
      </c>
      <c r="M2374" s="2">
        <v>0</v>
      </c>
      <c r="N2374" s="2">
        <v>0</v>
      </c>
      <c r="O2374" s="2">
        <v>0</v>
      </c>
      <c r="P2374" s="2">
        <v>0</v>
      </c>
      <c r="Q2374" s="2" t="s">
        <v>488</v>
      </c>
      <c r="R2374" s="2" t="s">
        <v>488</v>
      </c>
      <c r="S2374" s="2" t="s">
        <v>488</v>
      </c>
      <c r="T2374" s="2" t="s">
        <v>488</v>
      </c>
      <c r="U2374" s="2" t="s">
        <v>488</v>
      </c>
      <c r="V2374" s="2" t="s">
        <v>488</v>
      </c>
      <c r="W2374">
        <f t="shared" si="39"/>
        <v>0</v>
      </c>
    </row>
    <row r="2375" spans="1:23" x14ac:dyDescent="0.25">
      <c r="A2375" s="255" t="s">
        <v>1380</v>
      </c>
      <c r="B2375" s="255" t="s">
        <v>920</v>
      </c>
      <c r="C2375" s="255"/>
      <c r="D2375" s="255"/>
      <c r="E2375" s="255" t="s">
        <v>93</v>
      </c>
      <c r="F2375" s="255"/>
      <c r="G2375" s="255"/>
      <c r="H2375" s="255">
        <v>0</v>
      </c>
      <c r="I2375" s="255">
        <v>0</v>
      </c>
      <c r="J2375" s="255">
        <v>0</v>
      </c>
      <c r="K2375" s="255">
        <v>0</v>
      </c>
      <c r="L2375" s="255">
        <v>0</v>
      </c>
      <c r="M2375" s="255">
        <v>0</v>
      </c>
      <c r="N2375" s="255">
        <v>0</v>
      </c>
      <c r="O2375" s="255">
        <v>0</v>
      </c>
      <c r="P2375" s="255">
        <v>0</v>
      </c>
      <c r="Q2375" s="255" t="s">
        <v>488</v>
      </c>
      <c r="R2375" s="255" t="s">
        <v>488</v>
      </c>
      <c r="S2375" s="255" t="s">
        <v>488</v>
      </c>
      <c r="T2375" s="255" t="s">
        <v>488</v>
      </c>
      <c r="U2375" s="255" t="s">
        <v>488</v>
      </c>
      <c r="V2375" s="255" t="s">
        <v>488</v>
      </c>
      <c r="W2375">
        <f t="shared" si="39"/>
        <v>0</v>
      </c>
    </row>
    <row r="2376" spans="1:23" x14ac:dyDescent="0.25">
      <c r="A2376" s="2" t="s">
        <v>1380</v>
      </c>
      <c r="B2376" s="2" t="s">
        <v>920</v>
      </c>
      <c r="C2376" s="2">
        <v>540224</v>
      </c>
      <c r="D2376" s="2" t="s">
        <v>855</v>
      </c>
      <c r="E2376" s="2" t="s">
        <v>97</v>
      </c>
      <c r="F2376" s="2" t="s">
        <v>5</v>
      </c>
      <c r="G2376" s="2">
        <v>5</v>
      </c>
      <c r="H2376" s="2">
        <v>0</v>
      </c>
      <c r="I2376" s="2">
        <v>0</v>
      </c>
      <c r="J2376" s="2">
        <v>0</v>
      </c>
      <c r="K2376" s="2">
        <v>0</v>
      </c>
      <c r="L2376" s="2">
        <v>0</v>
      </c>
      <c r="M2376" s="2">
        <v>0</v>
      </c>
      <c r="N2376" s="2">
        <v>0</v>
      </c>
      <c r="O2376" s="2">
        <v>0</v>
      </c>
      <c r="P2376" s="2">
        <v>0</v>
      </c>
      <c r="Q2376" s="2">
        <v>0</v>
      </c>
      <c r="R2376" s="2">
        <v>0</v>
      </c>
      <c r="S2376" s="2" t="s">
        <v>488</v>
      </c>
      <c r="T2376" s="2" t="s">
        <v>488</v>
      </c>
      <c r="U2376" s="2" t="s">
        <v>488</v>
      </c>
      <c r="V2376" s="2" t="s">
        <v>488</v>
      </c>
      <c r="W2376">
        <f t="shared" si="39"/>
        <v>0</v>
      </c>
    </row>
    <row r="2377" spans="1:23" x14ac:dyDescent="0.25">
      <c r="A2377" s="2" t="s">
        <v>1380</v>
      </c>
      <c r="B2377" s="2" t="s">
        <v>920</v>
      </c>
      <c r="C2377" s="2">
        <v>540132</v>
      </c>
      <c r="D2377" s="2" t="s">
        <v>856</v>
      </c>
      <c r="E2377" s="2" t="s">
        <v>97</v>
      </c>
      <c r="F2377" s="2" t="s">
        <v>115</v>
      </c>
      <c r="G2377" s="2">
        <v>5</v>
      </c>
      <c r="H2377" s="2">
        <v>0</v>
      </c>
      <c r="I2377" s="2">
        <v>0</v>
      </c>
      <c r="J2377" s="2">
        <v>0</v>
      </c>
      <c r="K2377" s="2">
        <v>0</v>
      </c>
      <c r="L2377" s="2">
        <v>0</v>
      </c>
      <c r="M2377" s="2">
        <v>0</v>
      </c>
      <c r="N2377" s="2">
        <v>0</v>
      </c>
      <c r="O2377" s="2">
        <v>0</v>
      </c>
      <c r="P2377" s="2">
        <v>0</v>
      </c>
      <c r="Q2377" s="2">
        <v>0</v>
      </c>
      <c r="R2377" s="2">
        <v>0</v>
      </c>
      <c r="S2377" s="2" t="s">
        <v>488</v>
      </c>
      <c r="T2377" s="2" t="s">
        <v>488</v>
      </c>
      <c r="U2377" s="2" t="s">
        <v>488</v>
      </c>
      <c r="V2377" s="2" t="s">
        <v>488</v>
      </c>
      <c r="W2377">
        <f t="shared" si="39"/>
        <v>0</v>
      </c>
    </row>
    <row r="2378" spans="1:23" x14ac:dyDescent="0.25">
      <c r="A2378" s="2" t="s">
        <v>1380</v>
      </c>
      <c r="B2378" s="2" t="s">
        <v>920</v>
      </c>
      <c r="C2378" s="2">
        <v>540179</v>
      </c>
      <c r="D2378" s="2" t="s">
        <v>857</v>
      </c>
      <c r="E2378" s="2" t="s">
        <v>97</v>
      </c>
      <c r="F2378" s="2" t="s">
        <v>115</v>
      </c>
      <c r="G2378" s="2">
        <v>5</v>
      </c>
      <c r="H2378" s="2">
        <v>0</v>
      </c>
      <c r="I2378" s="2">
        <v>2</v>
      </c>
      <c r="J2378" s="2">
        <v>0</v>
      </c>
      <c r="K2378" s="2">
        <v>0</v>
      </c>
      <c r="L2378" s="2">
        <v>0</v>
      </c>
      <c r="M2378" s="2">
        <v>2</v>
      </c>
      <c r="N2378" s="2">
        <v>2</v>
      </c>
      <c r="O2378" s="2">
        <v>0</v>
      </c>
      <c r="P2378" s="2">
        <v>0</v>
      </c>
      <c r="Q2378" s="2">
        <v>0</v>
      </c>
      <c r="R2378" s="2">
        <v>0</v>
      </c>
      <c r="S2378" s="2" t="s">
        <v>488</v>
      </c>
      <c r="T2378" s="2" t="s">
        <v>488</v>
      </c>
      <c r="U2378" s="2" t="s">
        <v>488</v>
      </c>
      <c r="V2378" s="2" t="s">
        <v>488</v>
      </c>
      <c r="W2378">
        <f t="shared" si="39"/>
        <v>2</v>
      </c>
    </row>
    <row r="2379" spans="1:23" x14ac:dyDescent="0.25">
      <c r="A2379" s="2" t="s">
        <v>1380</v>
      </c>
      <c r="B2379" s="2" t="s">
        <v>920</v>
      </c>
      <c r="C2379" s="2">
        <v>540180</v>
      </c>
      <c r="D2379" s="2" t="s">
        <v>858</v>
      </c>
      <c r="E2379" s="2" t="s">
        <v>97</v>
      </c>
      <c r="F2379" s="2" t="s">
        <v>115</v>
      </c>
      <c r="G2379" s="2">
        <v>5</v>
      </c>
      <c r="H2379" s="2">
        <v>0</v>
      </c>
      <c r="I2379" s="2">
        <v>0</v>
      </c>
      <c r="J2379" s="2">
        <v>0</v>
      </c>
      <c r="K2379" s="2">
        <v>0</v>
      </c>
      <c r="L2379" s="2">
        <v>0</v>
      </c>
      <c r="M2379" s="2">
        <v>0</v>
      </c>
      <c r="N2379" s="2">
        <v>0</v>
      </c>
      <c r="O2379" s="2">
        <v>0</v>
      </c>
      <c r="P2379" s="2">
        <v>0</v>
      </c>
      <c r="Q2379" s="2">
        <v>0</v>
      </c>
      <c r="R2379" s="2">
        <v>0</v>
      </c>
      <c r="S2379" s="2" t="s">
        <v>488</v>
      </c>
      <c r="T2379" s="2" t="s">
        <v>488</v>
      </c>
      <c r="U2379" s="2" t="s">
        <v>488</v>
      </c>
      <c r="V2379" s="2" t="s">
        <v>488</v>
      </c>
      <c r="W2379">
        <f t="shared" si="39"/>
        <v>0</v>
      </c>
    </row>
    <row r="2380" spans="1:23" x14ac:dyDescent="0.25">
      <c r="A2380" s="2" t="s">
        <v>1380</v>
      </c>
      <c r="B2380" s="2" t="s">
        <v>920</v>
      </c>
      <c r="C2380" s="2">
        <v>540182</v>
      </c>
      <c r="D2380" s="2" t="s">
        <v>859</v>
      </c>
      <c r="E2380" s="2" t="s">
        <v>97</v>
      </c>
      <c r="F2380" s="2" t="s">
        <v>115</v>
      </c>
      <c r="G2380" s="2">
        <v>5</v>
      </c>
      <c r="H2380" s="2">
        <v>0</v>
      </c>
      <c r="I2380" s="2">
        <v>0</v>
      </c>
      <c r="J2380" s="2">
        <v>0</v>
      </c>
      <c r="K2380" s="2">
        <v>0</v>
      </c>
      <c r="L2380" s="2">
        <v>0</v>
      </c>
      <c r="M2380" s="2">
        <v>0</v>
      </c>
      <c r="N2380" s="2">
        <v>0</v>
      </c>
      <c r="O2380" s="2">
        <v>0</v>
      </c>
      <c r="P2380" s="2">
        <v>0</v>
      </c>
      <c r="Q2380" s="2">
        <v>0</v>
      </c>
      <c r="R2380" s="2">
        <v>0</v>
      </c>
      <c r="S2380" s="2" t="s">
        <v>488</v>
      </c>
      <c r="T2380" s="2" t="s">
        <v>488</v>
      </c>
      <c r="U2380" s="2" t="s">
        <v>488</v>
      </c>
      <c r="V2380" s="2" t="s">
        <v>488</v>
      </c>
      <c r="W2380">
        <f t="shared" si="39"/>
        <v>0</v>
      </c>
    </row>
    <row r="2381" spans="1:23" x14ac:dyDescent="0.25">
      <c r="A2381" s="2" t="s">
        <v>1380</v>
      </c>
      <c r="B2381" s="2" t="s">
        <v>920</v>
      </c>
      <c r="C2381" s="2">
        <v>540262</v>
      </c>
      <c r="D2381" s="2" t="s">
        <v>860</v>
      </c>
      <c r="E2381" s="2" t="s">
        <v>97</v>
      </c>
      <c r="F2381" s="2" t="s">
        <v>115</v>
      </c>
      <c r="G2381" s="2">
        <v>5</v>
      </c>
      <c r="H2381" s="2">
        <v>0</v>
      </c>
      <c r="I2381" s="2">
        <v>0</v>
      </c>
      <c r="J2381" s="2">
        <v>0</v>
      </c>
      <c r="K2381" s="2">
        <v>0</v>
      </c>
      <c r="L2381" s="2">
        <v>0</v>
      </c>
      <c r="M2381" s="2">
        <v>0</v>
      </c>
      <c r="N2381" s="2">
        <v>0</v>
      </c>
      <c r="O2381" s="2">
        <v>0</v>
      </c>
      <c r="P2381" s="2">
        <v>0</v>
      </c>
      <c r="Q2381" s="2">
        <v>0</v>
      </c>
      <c r="R2381" s="2">
        <v>0</v>
      </c>
      <c r="S2381" s="2" t="s">
        <v>488</v>
      </c>
      <c r="T2381" s="2" t="s">
        <v>488</v>
      </c>
      <c r="U2381" s="2" t="s">
        <v>488</v>
      </c>
      <c r="V2381" s="2" t="s">
        <v>488</v>
      </c>
      <c r="W2381">
        <f t="shared" si="39"/>
        <v>0</v>
      </c>
    </row>
    <row r="2382" spans="1:23" x14ac:dyDescent="0.25">
      <c r="A2382" s="2" t="s">
        <v>1380</v>
      </c>
      <c r="B2382" s="2" t="s">
        <v>920</v>
      </c>
      <c r="C2382" s="2">
        <v>540263</v>
      </c>
      <c r="D2382" s="2" t="s">
        <v>861</v>
      </c>
      <c r="E2382" s="2" t="s">
        <v>97</v>
      </c>
      <c r="F2382" s="2" t="s">
        <v>115</v>
      </c>
      <c r="G2382" s="2">
        <v>5</v>
      </c>
      <c r="H2382" s="2">
        <v>0</v>
      </c>
      <c r="I2382" s="2">
        <v>0</v>
      </c>
      <c r="J2382" s="2">
        <v>0</v>
      </c>
      <c r="K2382" s="2">
        <v>0</v>
      </c>
      <c r="L2382" s="2">
        <v>0</v>
      </c>
      <c r="M2382" s="2">
        <v>0</v>
      </c>
      <c r="N2382" s="2">
        <v>0</v>
      </c>
      <c r="O2382" s="2">
        <v>0</v>
      </c>
      <c r="P2382" s="2">
        <v>0</v>
      </c>
      <c r="Q2382" s="2">
        <v>0</v>
      </c>
      <c r="R2382" s="2">
        <v>0</v>
      </c>
      <c r="S2382" s="2" t="s">
        <v>488</v>
      </c>
      <c r="T2382" s="2" t="s">
        <v>488</v>
      </c>
      <c r="U2382" s="2" t="s">
        <v>488</v>
      </c>
      <c r="V2382" s="2" t="s">
        <v>488</v>
      </c>
      <c r="W2382">
        <f t="shared" si="39"/>
        <v>0</v>
      </c>
    </row>
    <row r="2383" spans="1:23" x14ac:dyDescent="0.25">
      <c r="A2383" s="255" t="s">
        <v>1380</v>
      </c>
      <c r="B2383" s="255" t="s">
        <v>920</v>
      </c>
      <c r="C2383" s="255"/>
      <c r="D2383" s="255"/>
      <c r="E2383" s="255" t="s">
        <v>97</v>
      </c>
      <c r="F2383" s="255"/>
      <c r="G2383" s="255"/>
      <c r="H2383" s="255">
        <v>0</v>
      </c>
      <c r="I2383" s="255">
        <v>2</v>
      </c>
      <c r="J2383" s="255">
        <v>0</v>
      </c>
      <c r="K2383" s="255">
        <v>0</v>
      </c>
      <c r="L2383" s="255">
        <v>0</v>
      </c>
      <c r="M2383" s="255">
        <v>2</v>
      </c>
      <c r="N2383" s="255">
        <v>2</v>
      </c>
      <c r="O2383" s="255">
        <v>0</v>
      </c>
      <c r="P2383" s="255">
        <v>0</v>
      </c>
      <c r="Q2383" s="255">
        <v>0</v>
      </c>
      <c r="R2383" s="255">
        <v>0</v>
      </c>
      <c r="S2383" s="255" t="s">
        <v>488</v>
      </c>
      <c r="T2383" s="255" t="s">
        <v>488</v>
      </c>
      <c r="U2383" s="255" t="s">
        <v>488</v>
      </c>
      <c r="V2383" s="255" t="s">
        <v>488</v>
      </c>
      <c r="W2383">
        <f t="shared" si="39"/>
        <v>2</v>
      </c>
    </row>
    <row r="2384" spans="1:23" x14ac:dyDescent="0.25">
      <c r="A2384" s="2" t="s">
        <v>1380</v>
      </c>
      <c r="B2384" s="2" t="s">
        <v>920</v>
      </c>
      <c r="C2384" s="2">
        <v>540225</v>
      </c>
      <c r="D2384" s="2" t="s">
        <v>862</v>
      </c>
      <c r="E2384" s="2" t="s">
        <v>99</v>
      </c>
      <c r="F2384" s="2" t="s">
        <v>5</v>
      </c>
      <c r="G2384" s="2">
        <v>5</v>
      </c>
      <c r="H2384" s="2">
        <v>0</v>
      </c>
      <c r="I2384" s="2">
        <v>0</v>
      </c>
      <c r="J2384" s="2">
        <v>0</v>
      </c>
      <c r="K2384" s="2">
        <v>0</v>
      </c>
      <c r="L2384" s="2">
        <v>0</v>
      </c>
      <c r="M2384" s="2">
        <v>0</v>
      </c>
      <c r="N2384" s="2">
        <v>0</v>
      </c>
      <c r="O2384" s="2">
        <v>0</v>
      </c>
      <c r="P2384" s="2">
        <v>0</v>
      </c>
      <c r="Q2384" s="2">
        <v>0</v>
      </c>
      <c r="R2384" s="2">
        <v>0</v>
      </c>
      <c r="S2384" s="2" t="s">
        <v>488</v>
      </c>
      <c r="T2384" s="2" t="s">
        <v>488</v>
      </c>
      <c r="U2384" s="2" t="s">
        <v>488</v>
      </c>
      <c r="V2384" s="2" t="s">
        <v>488</v>
      </c>
      <c r="W2384">
        <f t="shared" si="39"/>
        <v>0</v>
      </c>
    </row>
    <row r="2385" spans="1:23" x14ac:dyDescent="0.25">
      <c r="A2385" s="2" t="s">
        <v>1380</v>
      </c>
      <c r="B2385" s="2" t="s">
        <v>920</v>
      </c>
      <c r="C2385" s="2">
        <v>540156</v>
      </c>
      <c r="D2385" s="2" t="s">
        <v>863</v>
      </c>
      <c r="E2385" s="2" t="s">
        <v>99</v>
      </c>
      <c r="F2385" s="2" t="s">
        <v>115</v>
      </c>
      <c r="G2385" s="2">
        <v>5</v>
      </c>
      <c r="H2385" s="2">
        <v>0</v>
      </c>
      <c r="I2385" s="2">
        <v>2</v>
      </c>
      <c r="J2385" s="2">
        <v>0</v>
      </c>
      <c r="K2385" s="2">
        <v>0</v>
      </c>
      <c r="L2385" s="2">
        <v>0</v>
      </c>
      <c r="M2385" s="2">
        <v>2</v>
      </c>
      <c r="N2385" s="2">
        <v>2</v>
      </c>
      <c r="O2385" s="2">
        <v>0</v>
      </c>
      <c r="P2385" s="2">
        <v>0</v>
      </c>
      <c r="Q2385" s="2">
        <v>0</v>
      </c>
      <c r="R2385" s="2">
        <v>0</v>
      </c>
      <c r="S2385" s="2" t="s">
        <v>488</v>
      </c>
      <c r="T2385" s="2" t="s">
        <v>488</v>
      </c>
      <c r="U2385" s="2" t="s">
        <v>488</v>
      </c>
      <c r="V2385" s="2" t="s">
        <v>488</v>
      </c>
      <c r="W2385">
        <f t="shared" si="39"/>
        <v>2</v>
      </c>
    </row>
    <row r="2386" spans="1:23" x14ac:dyDescent="0.25">
      <c r="A2386" s="2" t="s">
        <v>1380</v>
      </c>
      <c r="B2386" s="2" t="s">
        <v>920</v>
      </c>
      <c r="C2386" s="2">
        <v>540253</v>
      </c>
      <c r="D2386" s="2" t="s">
        <v>864</v>
      </c>
      <c r="E2386" s="2" t="s">
        <v>99</v>
      </c>
      <c r="F2386" s="2" t="s">
        <v>115</v>
      </c>
      <c r="G2386" s="2">
        <v>5</v>
      </c>
      <c r="H2386" s="2">
        <v>0</v>
      </c>
      <c r="I2386" s="2">
        <v>0</v>
      </c>
      <c r="J2386" s="2">
        <v>0</v>
      </c>
      <c r="K2386" s="2">
        <v>0</v>
      </c>
      <c r="L2386" s="2">
        <v>0</v>
      </c>
      <c r="M2386" s="2">
        <v>0</v>
      </c>
      <c r="N2386" s="2">
        <v>0</v>
      </c>
      <c r="O2386" s="2">
        <v>0</v>
      </c>
      <c r="P2386" s="2">
        <v>0</v>
      </c>
      <c r="Q2386" s="2">
        <v>0</v>
      </c>
      <c r="R2386" s="2">
        <v>0</v>
      </c>
      <c r="S2386" s="2" t="s">
        <v>488</v>
      </c>
      <c r="T2386" s="2" t="s">
        <v>488</v>
      </c>
      <c r="U2386" s="2" t="s">
        <v>488</v>
      </c>
      <c r="V2386" s="2" t="s">
        <v>488</v>
      </c>
      <c r="W2386">
        <f t="shared" si="39"/>
        <v>0</v>
      </c>
    </row>
    <row r="2387" spans="1:23" x14ac:dyDescent="0.25">
      <c r="A2387" s="255" t="s">
        <v>1380</v>
      </c>
      <c r="B2387" s="255" t="s">
        <v>920</v>
      </c>
      <c r="C2387" s="255"/>
      <c r="D2387" s="255"/>
      <c r="E2387" s="255" t="s">
        <v>99</v>
      </c>
      <c r="F2387" s="255"/>
      <c r="G2387" s="255"/>
      <c r="H2387" s="255">
        <v>0</v>
      </c>
      <c r="I2387" s="255">
        <v>2</v>
      </c>
      <c r="J2387" s="255">
        <v>0</v>
      </c>
      <c r="K2387" s="255">
        <v>0</v>
      </c>
      <c r="L2387" s="255">
        <v>0</v>
      </c>
      <c r="M2387" s="255">
        <v>2</v>
      </c>
      <c r="N2387" s="255">
        <v>2</v>
      </c>
      <c r="O2387" s="255">
        <v>0</v>
      </c>
      <c r="P2387" s="255">
        <v>0</v>
      </c>
      <c r="Q2387" s="255">
        <v>0</v>
      </c>
      <c r="R2387" s="255">
        <v>0</v>
      </c>
      <c r="S2387" s="255" t="s">
        <v>488</v>
      </c>
      <c r="T2387" s="255" t="s">
        <v>488</v>
      </c>
      <c r="U2387" s="255" t="s">
        <v>488</v>
      </c>
      <c r="V2387" s="255" t="s">
        <v>488</v>
      </c>
      <c r="W2387">
        <f t="shared" si="39"/>
        <v>2</v>
      </c>
    </row>
    <row r="2388" spans="1:23" x14ac:dyDescent="0.25">
      <c r="A2388" s="2" t="s">
        <v>1380</v>
      </c>
      <c r="B2388" s="2" t="s">
        <v>920</v>
      </c>
      <c r="C2388" s="2">
        <v>540226</v>
      </c>
      <c r="D2388" s="2" t="s">
        <v>865</v>
      </c>
      <c r="E2388" s="2" t="s">
        <v>101</v>
      </c>
      <c r="F2388" s="2" t="s">
        <v>5</v>
      </c>
      <c r="G2388" s="2">
        <v>8</v>
      </c>
      <c r="H2388" s="2">
        <v>14</v>
      </c>
      <c r="I2388" s="2">
        <v>2</v>
      </c>
      <c r="J2388" s="2">
        <v>10</v>
      </c>
      <c r="K2388" s="2">
        <v>0</v>
      </c>
      <c r="L2388" s="2">
        <v>0</v>
      </c>
      <c r="M2388" s="2">
        <v>12</v>
      </c>
      <c r="N2388" s="2">
        <v>26</v>
      </c>
      <c r="O2388" s="2">
        <v>0</v>
      </c>
      <c r="P2388" s="2">
        <v>0</v>
      </c>
      <c r="Q2388" s="2" t="s">
        <v>488</v>
      </c>
      <c r="R2388" s="2" t="s">
        <v>488</v>
      </c>
      <c r="S2388" s="2" t="s">
        <v>488</v>
      </c>
      <c r="T2388" s="2" t="s">
        <v>488</v>
      </c>
      <c r="U2388" s="2" t="s">
        <v>488</v>
      </c>
      <c r="V2388" s="2" t="s">
        <v>488</v>
      </c>
      <c r="W2388">
        <f t="shared" si="39"/>
        <v>26</v>
      </c>
    </row>
    <row r="2389" spans="1:23" x14ac:dyDescent="0.25">
      <c r="A2389" s="2" t="s">
        <v>1380</v>
      </c>
      <c r="B2389" s="2" t="s">
        <v>920</v>
      </c>
      <c r="C2389" s="2">
        <v>540046</v>
      </c>
      <c r="D2389" s="2" t="s">
        <v>866</v>
      </c>
      <c r="E2389" s="2" t="s">
        <v>101</v>
      </c>
      <c r="F2389" s="2" t="s">
        <v>115</v>
      </c>
      <c r="G2389" s="2">
        <v>8</v>
      </c>
      <c r="H2389" s="2">
        <v>0</v>
      </c>
      <c r="I2389" s="2">
        <v>0</v>
      </c>
      <c r="J2389" s="2">
        <v>0</v>
      </c>
      <c r="K2389" s="2">
        <v>0</v>
      </c>
      <c r="L2389" s="2">
        <v>0</v>
      </c>
      <c r="M2389" s="2">
        <v>0</v>
      </c>
      <c r="N2389" s="2">
        <v>0</v>
      </c>
      <c r="O2389" s="2">
        <v>0</v>
      </c>
      <c r="P2389" s="2">
        <v>0</v>
      </c>
      <c r="Q2389" s="2" t="s">
        <v>488</v>
      </c>
      <c r="R2389" s="2" t="s">
        <v>488</v>
      </c>
      <c r="S2389" s="2" t="s">
        <v>488</v>
      </c>
      <c r="T2389" s="2" t="s">
        <v>488</v>
      </c>
      <c r="U2389" s="2" t="s">
        <v>488</v>
      </c>
      <c r="V2389" s="2" t="s">
        <v>488</v>
      </c>
      <c r="W2389">
        <f t="shared" si="39"/>
        <v>0</v>
      </c>
    </row>
    <row r="2390" spans="1:23" x14ac:dyDescent="0.25">
      <c r="A2390" s="2" t="s">
        <v>1380</v>
      </c>
      <c r="B2390" s="2" t="s">
        <v>920</v>
      </c>
      <c r="C2390" s="2">
        <v>540276</v>
      </c>
      <c r="D2390" s="2" t="s">
        <v>867</v>
      </c>
      <c r="E2390" s="2" t="s">
        <v>101</v>
      </c>
      <c r="F2390" s="2" t="s">
        <v>115</v>
      </c>
      <c r="G2390" s="2">
        <v>8</v>
      </c>
      <c r="H2390" s="2">
        <v>0</v>
      </c>
      <c r="I2390" s="2">
        <v>0</v>
      </c>
      <c r="J2390" s="2">
        <v>0</v>
      </c>
      <c r="K2390" s="2">
        <v>0</v>
      </c>
      <c r="L2390" s="2">
        <v>0</v>
      </c>
      <c r="M2390" s="2">
        <v>0</v>
      </c>
      <c r="N2390" s="2">
        <v>0</v>
      </c>
      <c r="O2390" s="2">
        <v>0</v>
      </c>
      <c r="P2390" s="2">
        <v>0</v>
      </c>
      <c r="Q2390" s="2" t="s">
        <v>488</v>
      </c>
      <c r="R2390" s="2" t="s">
        <v>488</v>
      </c>
      <c r="S2390" s="2" t="s">
        <v>488</v>
      </c>
      <c r="T2390" s="2" t="s">
        <v>488</v>
      </c>
      <c r="U2390" s="2" t="s">
        <v>488</v>
      </c>
      <c r="V2390" s="2" t="s">
        <v>488</v>
      </c>
      <c r="W2390">
        <f t="shared" si="39"/>
        <v>0</v>
      </c>
    </row>
    <row r="2391" spans="1:23" x14ac:dyDescent="0.25">
      <c r="A2391" s="255" t="s">
        <v>1380</v>
      </c>
      <c r="B2391" s="255" t="s">
        <v>920</v>
      </c>
      <c r="C2391" s="255"/>
      <c r="D2391" s="255"/>
      <c r="E2391" s="255" t="s">
        <v>101</v>
      </c>
      <c r="F2391" s="255"/>
      <c r="G2391" s="255"/>
      <c r="H2391" s="255">
        <v>14</v>
      </c>
      <c r="I2391" s="255">
        <v>2</v>
      </c>
      <c r="J2391" s="255">
        <v>10</v>
      </c>
      <c r="K2391" s="255">
        <v>0</v>
      </c>
      <c r="L2391" s="255">
        <v>0</v>
      </c>
      <c r="M2391" s="255">
        <v>12</v>
      </c>
      <c r="N2391" s="255">
        <v>26</v>
      </c>
      <c r="O2391" s="255">
        <v>0</v>
      </c>
      <c r="P2391" s="255">
        <v>0</v>
      </c>
      <c r="Q2391" s="255" t="s">
        <v>488</v>
      </c>
      <c r="R2391" s="255" t="s">
        <v>488</v>
      </c>
      <c r="S2391" s="255" t="s">
        <v>488</v>
      </c>
      <c r="T2391" s="255" t="s">
        <v>488</v>
      </c>
      <c r="U2391" s="255" t="s">
        <v>488</v>
      </c>
      <c r="V2391" s="255" t="s">
        <v>488</v>
      </c>
      <c r="W2391">
        <f t="shared" si="39"/>
        <v>26</v>
      </c>
    </row>
    <row r="2392" spans="1:23" x14ac:dyDescent="0.25">
      <c r="A2392" s="2" t="s">
        <v>1380</v>
      </c>
      <c r="B2392" s="2" t="s">
        <v>920</v>
      </c>
      <c r="C2392" s="2">
        <v>540277</v>
      </c>
      <c r="D2392" s="2" t="s">
        <v>868</v>
      </c>
      <c r="E2392" s="2" t="s">
        <v>103</v>
      </c>
      <c r="F2392" s="2" t="s">
        <v>5</v>
      </c>
      <c r="G2392" s="2">
        <v>5</v>
      </c>
      <c r="H2392" s="2">
        <v>0</v>
      </c>
      <c r="I2392" s="2">
        <v>0</v>
      </c>
      <c r="J2392" s="2">
        <v>0</v>
      </c>
      <c r="K2392" s="2">
        <v>0</v>
      </c>
      <c r="L2392" s="2">
        <v>0</v>
      </c>
      <c r="M2392" s="2">
        <v>0</v>
      </c>
      <c r="N2392" s="2">
        <v>0</v>
      </c>
      <c r="O2392" s="2">
        <v>0</v>
      </c>
      <c r="P2392" s="2">
        <v>0</v>
      </c>
      <c r="Q2392" s="2">
        <v>0</v>
      </c>
      <c r="R2392" s="2">
        <v>0</v>
      </c>
      <c r="S2392" s="2" t="s">
        <v>488</v>
      </c>
      <c r="T2392" s="2" t="s">
        <v>488</v>
      </c>
      <c r="U2392" s="2" t="s">
        <v>488</v>
      </c>
      <c r="V2392" s="2" t="s">
        <v>488</v>
      </c>
      <c r="W2392">
        <f t="shared" si="39"/>
        <v>0</v>
      </c>
    </row>
    <row r="2393" spans="1:23" x14ac:dyDescent="0.25">
      <c r="A2393" s="2" t="s">
        <v>1380</v>
      </c>
      <c r="B2393" s="2" t="s">
        <v>920</v>
      </c>
      <c r="C2393" s="2">
        <v>540195</v>
      </c>
      <c r="D2393" s="2" t="s">
        <v>869</v>
      </c>
      <c r="E2393" s="2" t="s">
        <v>103</v>
      </c>
      <c r="F2393" s="2" t="s">
        <v>115</v>
      </c>
      <c r="G2393" s="2">
        <v>5</v>
      </c>
      <c r="H2393" s="2">
        <v>0</v>
      </c>
      <c r="I2393" s="2">
        <v>1</v>
      </c>
      <c r="J2393" s="2">
        <v>0</v>
      </c>
      <c r="K2393" s="2">
        <v>0</v>
      </c>
      <c r="L2393" s="2">
        <v>0</v>
      </c>
      <c r="M2393" s="2">
        <v>1</v>
      </c>
      <c r="N2393" s="2">
        <v>1</v>
      </c>
      <c r="O2393" s="2">
        <v>0</v>
      </c>
      <c r="P2393" s="2">
        <v>0</v>
      </c>
      <c r="Q2393" s="2">
        <v>0</v>
      </c>
      <c r="R2393" s="2">
        <v>0</v>
      </c>
      <c r="S2393" s="2" t="s">
        <v>488</v>
      </c>
      <c r="T2393" s="2" t="s">
        <v>488</v>
      </c>
      <c r="U2393" s="2" t="s">
        <v>488</v>
      </c>
      <c r="V2393" s="2" t="s">
        <v>488</v>
      </c>
      <c r="W2393">
        <f t="shared" si="39"/>
        <v>1</v>
      </c>
    </row>
    <row r="2394" spans="1:23" x14ac:dyDescent="0.25">
      <c r="A2394" s="2" t="s">
        <v>1380</v>
      </c>
      <c r="B2394" s="2" t="s">
        <v>920</v>
      </c>
      <c r="C2394" s="2">
        <v>540196</v>
      </c>
      <c r="D2394" s="2" t="s">
        <v>843</v>
      </c>
      <c r="E2394" s="2" t="s">
        <v>103</v>
      </c>
      <c r="F2394" s="2" t="s">
        <v>115</v>
      </c>
      <c r="G2394" s="2">
        <v>5</v>
      </c>
      <c r="H2394" s="2">
        <v>0</v>
      </c>
      <c r="I2394" s="2">
        <v>0</v>
      </c>
      <c r="J2394" s="2">
        <v>0</v>
      </c>
      <c r="K2394" s="2">
        <v>0</v>
      </c>
      <c r="L2394" s="2">
        <v>0</v>
      </c>
      <c r="M2394" s="2">
        <v>0</v>
      </c>
      <c r="N2394" s="2">
        <v>0</v>
      </c>
      <c r="O2394" s="2">
        <v>0</v>
      </c>
      <c r="P2394" s="2">
        <v>0</v>
      </c>
      <c r="Q2394" s="2">
        <v>0</v>
      </c>
      <c r="R2394" s="2">
        <v>0</v>
      </c>
      <c r="S2394" s="2" t="s">
        <v>488</v>
      </c>
      <c r="T2394" s="2" t="s">
        <v>488</v>
      </c>
      <c r="U2394" s="2" t="s">
        <v>488</v>
      </c>
      <c r="V2394" s="2" t="s">
        <v>488</v>
      </c>
      <c r="W2394">
        <f t="shared" si="39"/>
        <v>0</v>
      </c>
    </row>
    <row r="2395" spans="1:23" x14ac:dyDescent="0.25">
      <c r="A2395" s="2" t="s">
        <v>1380</v>
      </c>
      <c r="B2395" s="2" t="s">
        <v>920</v>
      </c>
      <c r="C2395" s="2">
        <v>540197</v>
      </c>
      <c r="D2395" s="2" t="s">
        <v>870</v>
      </c>
      <c r="E2395" s="2" t="s">
        <v>103</v>
      </c>
      <c r="F2395" s="2" t="s">
        <v>115</v>
      </c>
      <c r="G2395" s="2">
        <v>5</v>
      </c>
      <c r="H2395" s="2">
        <v>0</v>
      </c>
      <c r="I2395" s="2">
        <v>43</v>
      </c>
      <c r="J2395" s="2">
        <v>1</v>
      </c>
      <c r="K2395" s="2">
        <v>0</v>
      </c>
      <c r="L2395" s="2">
        <v>0</v>
      </c>
      <c r="M2395" s="2">
        <v>44</v>
      </c>
      <c r="N2395" s="2">
        <v>44</v>
      </c>
      <c r="O2395" s="2">
        <v>0</v>
      </c>
      <c r="P2395" s="2">
        <v>0</v>
      </c>
      <c r="Q2395" s="2">
        <v>0</v>
      </c>
      <c r="R2395" s="2">
        <v>0</v>
      </c>
      <c r="S2395" s="2" t="s">
        <v>488</v>
      </c>
      <c r="T2395" s="2" t="s">
        <v>488</v>
      </c>
      <c r="U2395" s="2" t="s">
        <v>488</v>
      </c>
      <c r="V2395" s="2" t="s">
        <v>488</v>
      </c>
      <c r="W2395">
        <f t="shared" si="39"/>
        <v>44</v>
      </c>
    </row>
    <row r="2396" spans="1:23" x14ac:dyDescent="0.25">
      <c r="A2396" s="2" t="s">
        <v>1380</v>
      </c>
      <c r="B2396" s="2" t="s">
        <v>920</v>
      </c>
      <c r="C2396" s="2">
        <v>540259</v>
      </c>
      <c r="D2396" s="2" t="s">
        <v>871</v>
      </c>
      <c r="E2396" s="2" t="s">
        <v>103</v>
      </c>
      <c r="F2396" s="2" t="s">
        <v>115</v>
      </c>
      <c r="G2396" s="2">
        <v>5</v>
      </c>
      <c r="H2396" s="2">
        <v>0</v>
      </c>
      <c r="I2396" s="2">
        <v>0</v>
      </c>
      <c r="J2396" s="2">
        <v>0</v>
      </c>
      <c r="K2396" s="2">
        <v>0</v>
      </c>
      <c r="L2396" s="2">
        <v>0</v>
      </c>
      <c r="M2396" s="2">
        <v>0</v>
      </c>
      <c r="N2396" s="2">
        <v>0</v>
      </c>
      <c r="O2396" s="2">
        <v>0</v>
      </c>
      <c r="P2396" s="2">
        <v>0</v>
      </c>
      <c r="Q2396" s="2">
        <v>0</v>
      </c>
      <c r="R2396" s="2">
        <v>0</v>
      </c>
      <c r="S2396" s="2" t="s">
        <v>488</v>
      </c>
      <c r="T2396" s="2" t="s">
        <v>488</v>
      </c>
      <c r="U2396" s="2" t="s">
        <v>488</v>
      </c>
      <c r="V2396" s="2" t="s">
        <v>488</v>
      </c>
      <c r="W2396">
        <f t="shared" si="39"/>
        <v>0</v>
      </c>
    </row>
    <row r="2397" spans="1:23" x14ac:dyDescent="0.25">
      <c r="A2397" s="255" t="s">
        <v>1380</v>
      </c>
      <c r="B2397" s="255" t="s">
        <v>920</v>
      </c>
      <c r="C2397" s="255"/>
      <c r="D2397" s="255"/>
      <c r="E2397" s="255" t="s">
        <v>103</v>
      </c>
      <c r="F2397" s="255"/>
      <c r="G2397" s="255"/>
      <c r="H2397" s="255">
        <v>0</v>
      </c>
      <c r="I2397" s="255">
        <v>44</v>
      </c>
      <c r="J2397" s="255">
        <v>1</v>
      </c>
      <c r="K2397" s="255">
        <v>0</v>
      </c>
      <c r="L2397" s="255">
        <v>0</v>
      </c>
      <c r="M2397" s="255">
        <v>45</v>
      </c>
      <c r="N2397" s="255">
        <v>45</v>
      </c>
      <c r="O2397" s="255">
        <v>0</v>
      </c>
      <c r="P2397" s="255">
        <v>0</v>
      </c>
      <c r="Q2397" s="255">
        <v>0</v>
      </c>
      <c r="R2397" s="255">
        <v>0</v>
      </c>
      <c r="S2397" s="255" t="s">
        <v>488</v>
      </c>
      <c r="T2397" s="255" t="s">
        <v>488</v>
      </c>
      <c r="U2397" s="255" t="s">
        <v>488</v>
      </c>
      <c r="V2397" s="255" t="s">
        <v>488</v>
      </c>
      <c r="W2397">
        <f t="shared" si="39"/>
        <v>45</v>
      </c>
    </row>
    <row r="2398" spans="1:23" x14ac:dyDescent="0.25">
      <c r="A2398" s="2" t="s">
        <v>1380</v>
      </c>
      <c r="B2398" s="2" t="s">
        <v>920</v>
      </c>
      <c r="C2398" s="2">
        <v>540278</v>
      </c>
      <c r="D2398" s="2" t="s">
        <v>872</v>
      </c>
      <c r="E2398" s="2" t="s">
        <v>105</v>
      </c>
      <c r="F2398" s="2" t="s">
        <v>5</v>
      </c>
      <c r="G2398" s="2">
        <v>1</v>
      </c>
      <c r="H2398" s="2">
        <v>7</v>
      </c>
      <c r="I2398" s="2">
        <v>0</v>
      </c>
      <c r="J2398" s="2">
        <v>0</v>
      </c>
      <c r="K2398" s="2">
        <v>0</v>
      </c>
      <c r="L2398" s="2">
        <v>0</v>
      </c>
      <c r="M2398" s="2">
        <v>0</v>
      </c>
      <c r="N2398" s="2">
        <v>7</v>
      </c>
      <c r="O2398" s="2">
        <v>0</v>
      </c>
      <c r="P2398" s="2">
        <v>0</v>
      </c>
      <c r="Q2398" s="2">
        <v>1</v>
      </c>
      <c r="R2398" s="2">
        <v>1</v>
      </c>
      <c r="S2398" s="2" t="s">
        <v>488</v>
      </c>
      <c r="T2398" s="2" t="s">
        <v>488</v>
      </c>
      <c r="U2398" s="2" t="s">
        <v>488</v>
      </c>
      <c r="V2398" s="2" t="s">
        <v>488</v>
      </c>
      <c r="W2398">
        <f t="shared" si="39"/>
        <v>8</v>
      </c>
    </row>
    <row r="2399" spans="1:23" x14ac:dyDescent="0.25">
      <c r="A2399" s="2" t="s">
        <v>1380</v>
      </c>
      <c r="B2399" s="2" t="s">
        <v>920</v>
      </c>
      <c r="C2399" s="2">
        <v>540041</v>
      </c>
      <c r="D2399" s="2" t="s">
        <v>666</v>
      </c>
      <c r="E2399" s="2" t="s">
        <v>105</v>
      </c>
      <c r="F2399" s="2" t="s">
        <v>115</v>
      </c>
      <c r="G2399" s="2">
        <v>1</v>
      </c>
      <c r="H2399" s="2">
        <v>0</v>
      </c>
      <c r="I2399" s="2">
        <v>38</v>
      </c>
      <c r="J2399" s="2">
        <v>0</v>
      </c>
      <c r="K2399" s="2">
        <v>0</v>
      </c>
      <c r="L2399" s="2">
        <v>0</v>
      </c>
      <c r="M2399" s="2">
        <v>38</v>
      </c>
      <c r="N2399" s="2">
        <v>38</v>
      </c>
      <c r="O2399" s="2">
        <v>21</v>
      </c>
      <c r="P2399" s="2">
        <v>0</v>
      </c>
      <c r="Q2399" s="2">
        <v>0</v>
      </c>
      <c r="R2399" s="2">
        <v>0</v>
      </c>
      <c r="S2399" s="2" t="s">
        <v>488</v>
      </c>
      <c r="T2399" s="2" t="s">
        <v>488</v>
      </c>
      <c r="U2399" s="2" t="s">
        <v>488</v>
      </c>
      <c r="V2399" s="2" t="s">
        <v>488</v>
      </c>
      <c r="W2399">
        <f t="shared" si="39"/>
        <v>38</v>
      </c>
    </row>
    <row r="2400" spans="1:23" x14ac:dyDescent="0.25">
      <c r="A2400" s="2" t="s">
        <v>1380</v>
      </c>
      <c r="B2400" s="2" t="s">
        <v>920</v>
      </c>
      <c r="C2400" s="2">
        <v>540143</v>
      </c>
      <c r="D2400" s="2" t="s">
        <v>873</v>
      </c>
      <c r="E2400" s="2" t="s">
        <v>105</v>
      </c>
      <c r="F2400" s="2" t="s">
        <v>115</v>
      </c>
      <c r="G2400" s="2">
        <v>1</v>
      </c>
      <c r="H2400" s="2">
        <v>0</v>
      </c>
      <c r="I2400" s="2">
        <v>0</v>
      </c>
      <c r="J2400" s="2">
        <v>0</v>
      </c>
      <c r="K2400" s="2">
        <v>0</v>
      </c>
      <c r="L2400" s="2">
        <v>0</v>
      </c>
      <c r="M2400" s="2">
        <v>0</v>
      </c>
      <c r="N2400" s="2">
        <v>0</v>
      </c>
      <c r="O2400" s="2">
        <v>0</v>
      </c>
      <c r="P2400" s="2">
        <v>0</v>
      </c>
      <c r="Q2400" s="2">
        <v>0</v>
      </c>
      <c r="R2400" s="2">
        <v>0</v>
      </c>
      <c r="S2400" s="2" t="s">
        <v>488</v>
      </c>
      <c r="T2400" s="2" t="s">
        <v>488</v>
      </c>
      <c r="U2400" s="2" t="s">
        <v>488</v>
      </c>
      <c r="V2400" s="2" t="s">
        <v>488</v>
      </c>
      <c r="W2400">
        <f t="shared" si="39"/>
        <v>0</v>
      </c>
    </row>
    <row r="2401" spans="1:23" x14ac:dyDescent="0.25">
      <c r="A2401" s="2" t="s">
        <v>1380</v>
      </c>
      <c r="B2401" s="2" t="s">
        <v>920</v>
      </c>
      <c r="C2401" s="2">
        <v>540290</v>
      </c>
      <c r="D2401" s="2" t="s">
        <v>874</v>
      </c>
      <c r="E2401" s="2" t="s">
        <v>105</v>
      </c>
      <c r="F2401" s="2" t="s">
        <v>115</v>
      </c>
      <c r="G2401" s="2">
        <v>1</v>
      </c>
      <c r="H2401" s="2">
        <v>0</v>
      </c>
      <c r="I2401" s="2">
        <v>0</v>
      </c>
      <c r="J2401" s="2">
        <v>0</v>
      </c>
      <c r="K2401" s="2">
        <v>0</v>
      </c>
      <c r="L2401" s="2">
        <v>0</v>
      </c>
      <c r="M2401" s="2">
        <v>0</v>
      </c>
      <c r="N2401" s="2">
        <v>0</v>
      </c>
      <c r="O2401" s="2">
        <v>0</v>
      </c>
      <c r="P2401" s="2">
        <v>0</v>
      </c>
      <c r="Q2401" s="2">
        <v>0</v>
      </c>
      <c r="R2401" s="2">
        <v>0</v>
      </c>
      <c r="S2401" s="2" t="s">
        <v>488</v>
      </c>
      <c r="T2401" s="2" t="s">
        <v>488</v>
      </c>
      <c r="U2401" s="2" t="s">
        <v>488</v>
      </c>
      <c r="V2401" s="2" t="s">
        <v>488</v>
      </c>
      <c r="W2401">
        <f t="shared" si="39"/>
        <v>0</v>
      </c>
    </row>
    <row r="2402" spans="1:23" x14ac:dyDescent="0.25">
      <c r="A2402" s="255" t="s">
        <v>1380</v>
      </c>
      <c r="B2402" s="255" t="s">
        <v>920</v>
      </c>
      <c r="C2402" s="255"/>
      <c r="D2402" s="255"/>
      <c r="E2402" s="255" t="s">
        <v>105</v>
      </c>
      <c r="F2402" s="255"/>
      <c r="G2402" s="255"/>
      <c r="H2402" s="255">
        <v>7</v>
      </c>
      <c r="I2402" s="255">
        <v>38</v>
      </c>
      <c r="J2402" s="255">
        <v>0</v>
      </c>
      <c r="K2402" s="255">
        <v>0</v>
      </c>
      <c r="L2402" s="255">
        <v>0</v>
      </c>
      <c r="M2402" s="255">
        <v>38</v>
      </c>
      <c r="N2402" s="255">
        <v>45</v>
      </c>
      <c r="O2402" s="255">
        <v>21</v>
      </c>
      <c r="P2402" s="255">
        <v>0</v>
      </c>
      <c r="Q2402" s="255">
        <v>1</v>
      </c>
      <c r="R2402" s="255">
        <v>1</v>
      </c>
      <c r="S2402" s="255" t="s">
        <v>488</v>
      </c>
      <c r="T2402" s="255" t="s">
        <v>488</v>
      </c>
      <c r="U2402" s="255" t="s">
        <v>488</v>
      </c>
      <c r="V2402" s="255" t="s">
        <v>488</v>
      </c>
      <c r="W2402">
        <f t="shared" si="39"/>
        <v>46</v>
      </c>
    </row>
    <row r="2403" spans="1:23" x14ac:dyDescent="0.25">
      <c r="A2403" s="2" t="s">
        <v>1380</v>
      </c>
      <c r="B2403" s="2" t="s">
        <v>920</v>
      </c>
      <c r="C2403" s="2">
        <v>540282</v>
      </c>
      <c r="D2403" s="2" t="s">
        <v>875</v>
      </c>
      <c r="E2403" s="2" t="s">
        <v>107</v>
      </c>
      <c r="F2403" s="2" t="s">
        <v>5</v>
      </c>
      <c r="G2403" s="2">
        <v>9</v>
      </c>
      <c r="H2403" s="2">
        <v>21</v>
      </c>
      <c r="I2403" s="2">
        <v>8</v>
      </c>
      <c r="J2403" s="2">
        <v>2</v>
      </c>
      <c r="K2403" s="2">
        <v>0</v>
      </c>
      <c r="L2403" s="2">
        <v>0</v>
      </c>
      <c r="M2403" s="2">
        <v>10</v>
      </c>
      <c r="N2403" s="2">
        <v>31</v>
      </c>
      <c r="O2403" s="2">
        <v>0</v>
      </c>
      <c r="P2403" s="2">
        <v>0</v>
      </c>
      <c r="Q2403" s="2">
        <v>9</v>
      </c>
      <c r="R2403" s="2">
        <v>0</v>
      </c>
      <c r="S2403" s="2">
        <v>4</v>
      </c>
      <c r="T2403" s="2">
        <v>5</v>
      </c>
      <c r="U2403" s="2" t="s">
        <v>488</v>
      </c>
      <c r="V2403" s="2" t="s">
        <v>488</v>
      </c>
      <c r="W2403">
        <f t="shared" si="39"/>
        <v>36</v>
      </c>
    </row>
    <row r="2404" spans="1:23" x14ac:dyDescent="0.25">
      <c r="A2404" s="2" t="s">
        <v>1380</v>
      </c>
      <c r="B2404" s="2" t="s">
        <v>920</v>
      </c>
      <c r="C2404" s="2">
        <v>540006</v>
      </c>
      <c r="D2404" s="2" t="s">
        <v>876</v>
      </c>
      <c r="E2404" s="2" t="s">
        <v>107</v>
      </c>
      <c r="F2404" s="2" t="s">
        <v>115</v>
      </c>
      <c r="G2404" s="2">
        <v>9</v>
      </c>
      <c r="H2404" s="2">
        <v>0</v>
      </c>
      <c r="I2404" s="2">
        <v>3</v>
      </c>
      <c r="J2404" s="2">
        <v>0</v>
      </c>
      <c r="K2404" s="2">
        <v>0</v>
      </c>
      <c r="L2404" s="2">
        <v>0</v>
      </c>
      <c r="M2404" s="2">
        <v>3</v>
      </c>
      <c r="N2404" s="2">
        <v>3</v>
      </c>
      <c r="O2404" s="2">
        <v>0</v>
      </c>
      <c r="P2404" s="2">
        <v>0</v>
      </c>
      <c r="Q2404" s="2">
        <v>0</v>
      </c>
      <c r="R2404" s="2">
        <v>0</v>
      </c>
      <c r="S2404" s="2">
        <v>0</v>
      </c>
      <c r="T2404" s="2">
        <v>0</v>
      </c>
      <c r="U2404" s="2" t="s">
        <v>488</v>
      </c>
      <c r="V2404" s="2" t="s">
        <v>488</v>
      </c>
      <c r="W2404">
        <f t="shared" si="39"/>
        <v>3</v>
      </c>
    </row>
    <row r="2405" spans="1:23" x14ac:dyDescent="0.25">
      <c r="A2405" s="2" t="s">
        <v>1380</v>
      </c>
      <c r="B2405" s="2" t="s">
        <v>920</v>
      </c>
      <c r="C2405" s="2">
        <v>545550</v>
      </c>
      <c r="D2405" s="2" t="s">
        <v>877</v>
      </c>
      <c r="E2405" s="2" t="s">
        <v>107</v>
      </c>
      <c r="F2405" s="2" t="s">
        <v>115</v>
      </c>
      <c r="G2405" s="2">
        <v>9</v>
      </c>
      <c r="H2405" s="2">
        <v>0</v>
      </c>
      <c r="I2405" s="2">
        <v>0</v>
      </c>
      <c r="J2405" s="2">
        <v>0</v>
      </c>
      <c r="K2405" s="2">
        <v>0</v>
      </c>
      <c r="L2405" s="2">
        <v>0</v>
      </c>
      <c r="M2405" s="2">
        <v>0</v>
      </c>
      <c r="N2405" s="2">
        <v>0</v>
      </c>
      <c r="O2405" s="2">
        <v>0</v>
      </c>
      <c r="P2405" s="2">
        <v>0</v>
      </c>
      <c r="Q2405" s="2">
        <v>0</v>
      </c>
      <c r="R2405" s="2">
        <v>0</v>
      </c>
      <c r="S2405" s="2">
        <v>0</v>
      </c>
      <c r="T2405" s="2">
        <v>0</v>
      </c>
      <c r="U2405" s="2" t="s">
        <v>488</v>
      </c>
      <c r="V2405" s="2" t="s">
        <v>488</v>
      </c>
      <c r="W2405">
        <f t="shared" si="39"/>
        <v>0</v>
      </c>
    </row>
    <row r="2406" spans="1:23" x14ac:dyDescent="0.25">
      <c r="A2406" s="255" t="s">
        <v>1380</v>
      </c>
      <c r="B2406" s="255" t="s">
        <v>920</v>
      </c>
      <c r="C2406" s="255"/>
      <c r="D2406" s="255"/>
      <c r="E2406" s="255" t="s">
        <v>107</v>
      </c>
      <c r="F2406" s="255"/>
      <c r="G2406" s="255"/>
      <c r="H2406" s="255">
        <v>21</v>
      </c>
      <c r="I2406" s="255">
        <v>11</v>
      </c>
      <c r="J2406" s="255">
        <v>2</v>
      </c>
      <c r="K2406" s="255">
        <v>0</v>
      </c>
      <c r="L2406" s="255">
        <v>0</v>
      </c>
      <c r="M2406" s="255">
        <v>13</v>
      </c>
      <c r="N2406" s="255">
        <v>34</v>
      </c>
      <c r="O2406" s="255">
        <v>0</v>
      </c>
      <c r="P2406" s="255">
        <v>0</v>
      </c>
      <c r="Q2406" s="255">
        <v>9</v>
      </c>
      <c r="R2406" s="255">
        <v>0</v>
      </c>
      <c r="S2406" s="255">
        <v>4</v>
      </c>
      <c r="T2406" s="255">
        <v>5</v>
      </c>
      <c r="U2406" s="255" t="s">
        <v>488</v>
      </c>
      <c r="V2406" s="255" t="s">
        <v>488</v>
      </c>
      <c r="W2406">
        <f t="shared" si="39"/>
        <v>39</v>
      </c>
    </row>
    <row r="2407" spans="1:23" x14ac:dyDescent="0.25">
      <c r="A2407" s="2" t="s">
        <v>1380</v>
      </c>
      <c r="B2407" s="2" t="s">
        <v>920</v>
      </c>
      <c r="C2407" s="2">
        <v>540283</v>
      </c>
      <c r="D2407" s="2" t="s">
        <v>878</v>
      </c>
      <c r="E2407" s="2" t="s">
        <v>109</v>
      </c>
      <c r="F2407" s="2" t="s">
        <v>5</v>
      </c>
      <c r="G2407" s="2">
        <v>4</v>
      </c>
      <c r="H2407" s="2">
        <v>5</v>
      </c>
      <c r="I2407" s="2">
        <v>2</v>
      </c>
      <c r="J2407" s="2">
        <v>1</v>
      </c>
      <c r="K2407" s="2">
        <v>0</v>
      </c>
      <c r="L2407" s="2">
        <v>0</v>
      </c>
      <c r="M2407" s="2">
        <v>3</v>
      </c>
      <c r="N2407" s="2">
        <v>8</v>
      </c>
      <c r="O2407" s="2">
        <v>0</v>
      </c>
      <c r="P2407" s="2">
        <v>0</v>
      </c>
      <c r="Q2407" s="2" t="s">
        <v>488</v>
      </c>
      <c r="R2407" s="2" t="s">
        <v>488</v>
      </c>
      <c r="S2407" s="2" t="s">
        <v>488</v>
      </c>
      <c r="T2407" s="2" t="s">
        <v>488</v>
      </c>
      <c r="U2407" s="2" t="s">
        <v>488</v>
      </c>
      <c r="V2407" s="2" t="s">
        <v>488</v>
      </c>
      <c r="W2407">
        <f t="shared" si="39"/>
        <v>8</v>
      </c>
    </row>
    <row r="2408" spans="1:23" x14ac:dyDescent="0.25">
      <c r="A2408" s="2" t="s">
        <v>1380</v>
      </c>
      <c r="B2408" s="2" t="s">
        <v>920</v>
      </c>
      <c r="C2408" s="2">
        <v>540158</v>
      </c>
      <c r="D2408" s="2" t="s">
        <v>879</v>
      </c>
      <c r="E2408" s="2" t="s">
        <v>109</v>
      </c>
      <c r="F2408" s="2" t="s">
        <v>115</v>
      </c>
      <c r="G2408" s="2">
        <v>4</v>
      </c>
      <c r="H2408" s="2">
        <v>0</v>
      </c>
      <c r="I2408" s="2">
        <v>0</v>
      </c>
      <c r="J2408" s="2">
        <v>0</v>
      </c>
      <c r="K2408" s="2">
        <v>0</v>
      </c>
      <c r="L2408" s="2">
        <v>0</v>
      </c>
      <c r="M2408" s="2">
        <v>0</v>
      </c>
      <c r="N2408" s="2">
        <v>0</v>
      </c>
      <c r="O2408" s="2">
        <v>0</v>
      </c>
      <c r="P2408" s="2">
        <v>0</v>
      </c>
      <c r="Q2408" s="2" t="s">
        <v>488</v>
      </c>
      <c r="R2408" s="2" t="s">
        <v>488</v>
      </c>
      <c r="S2408" s="2" t="s">
        <v>488</v>
      </c>
      <c r="T2408" s="2" t="s">
        <v>488</v>
      </c>
      <c r="U2408" s="2" t="s">
        <v>488</v>
      </c>
      <c r="V2408" s="2" t="s">
        <v>488</v>
      </c>
      <c r="W2408">
        <f t="shared" si="39"/>
        <v>0</v>
      </c>
    </row>
    <row r="2409" spans="1:23" x14ac:dyDescent="0.25">
      <c r="A2409" s="2" t="s">
        <v>1380</v>
      </c>
      <c r="B2409" s="2" t="s">
        <v>920</v>
      </c>
      <c r="C2409" s="2">
        <v>540159</v>
      </c>
      <c r="D2409" s="2" t="s">
        <v>880</v>
      </c>
      <c r="E2409" s="2" t="s">
        <v>109</v>
      </c>
      <c r="F2409" s="2" t="s">
        <v>115</v>
      </c>
      <c r="G2409" s="2">
        <v>4</v>
      </c>
      <c r="H2409" s="2">
        <v>0</v>
      </c>
      <c r="I2409" s="2">
        <v>5</v>
      </c>
      <c r="J2409" s="2">
        <v>0</v>
      </c>
      <c r="K2409" s="2">
        <v>0</v>
      </c>
      <c r="L2409" s="2">
        <v>0</v>
      </c>
      <c r="M2409" s="2">
        <v>5</v>
      </c>
      <c r="N2409" s="2">
        <v>5</v>
      </c>
      <c r="O2409" s="2">
        <v>0</v>
      </c>
      <c r="P2409" s="2">
        <v>0</v>
      </c>
      <c r="Q2409" s="2" t="s">
        <v>488</v>
      </c>
      <c r="R2409" s="2" t="s">
        <v>488</v>
      </c>
      <c r="S2409" s="2" t="s">
        <v>488</v>
      </c>
      <c r="T2409" s="2" t="s">
        <v>488</v>
      </c>
      <c r="U2409" s="2" t="s">
        <v>488</v>
      </c>
      <c r="V2409" s="2" t="s">
        <v>488</v>
      </c>
      <c r="W2409">
        <f t="shared" si="39"/>
        <v>5</v>
      </c>
    </row>
    <row r="2410" spans="1:23" x14ac:dyDescent="0.25">
      <c r="A2410" s="2" t="s">
        <v>1380</v>
      </c>
      <c r="B2410" s="2" t="s">
        <v>920</v>
      </c>
      <c r="C2410" s="2">
        <v>540288</v>
      </c>
      <c r="D2410" s="2" t="s">
        <v>881</v>
      </c>
      <c r="E2410" s="2" t="s">
        <v>109</v>
      </c>
      <c r="F2410" s="2" t="s">
        <v>115</v>
      </c>
      <c r="G2410" s="2">
        <v>4</v>
      </c>
      <c r="H2410" s="2">
        <v>0</v>
      </c>
      <c r="I2410" s="2">
        <v>0</v>
      </c>
      <c r="J2410" s="2">
        <v>0</v>
      </c>
      <c r="K2410" s="2">
        <v>0</v>
      </c>
      <c r="L2410" s="2">
        <v>0</v>
      </c>
      <c r="M2410" s="2">
        <v>0</v>
      </c>
      <c r="N2410" s="2">
        <v>0</v>
      </c>
      <c r="O2410" s="2">
        <v>0</v>
      </c>
      <c r="P2410" s="2">
        <v>0</v>
      </c>
      <c r="Q2410" s="2" t="s">
        <v>488</v>
      </c>
      <c r="R2410" s="2" t="s">
        <v>488</v>
      </c>
      <c r="S2410" s="2" t="s">
        <v>488</v>
      </c>
      <c r="T2410" s="2" t="s">
        <v>488</v>
      </c>
      <c r="U2410" s="2" t="s">
        <v>488</v>
      </c>
      <c r="V2410" s="2" t="s">
        <v>488</v>
      </c>
      <c r="W2410">
        <f t="shared" si="39"/>
        <v>0</v>
      </c>
    </row>
    <row r="2411" spans="1:23" x14ac:dyDescent="0.25">
      <c r="A2411" s="255" t="s">
        <v>1380</v>
      </c>
      <c r="B2411" s="255" t="s">
        <v>920</v>
      </c>
      <c r="C2411" s="255"/>
      <c r="D2411" s="255"/>
      <c r="E2411" s="255" t="s">
        <v>109</v>
      </c>
      <c r="F2411" s="255"/>
      <c r="G2411" s="255"/>
      <c r="H2411" s="255">
        <v>5</v>
      </c>
      <c r="I2411" s="255">
        <v>7</v>
      </c>
      <c r="J2411" s="255">
        <v>1</v>
      </c>
      <c r="K2411" s="255">
        <v>0</v>
      </c>
      <c r="L2411" s="255">
        <v>0</v>
      </c>
      <c r="M2411" s="255">
        <v>8</v>
      </c>
      <c r="N2411" s="255">
        <v>13</v>
      </c>
      <c r="O2411" s="255">
        <v>0</v>
      </c>
      <c r="P2411" s="255">
        <v>0</v>
      </c>
      <c r="Q2411" s="255" t="s">
        <v>488</v>
      </c>
      <c r="R2411" s="255" t="s">
        <v>488</v>
      </c>
      <c r="S2411" s="255" t="s">
        <v>488</v>
      </c>
      <c r="T2411" s="255" t="s">
        <v>488</v>
      </c>
      <c r="U2411" s="255" t="s">
        <v>488</v>
      </c>
      <c r="V2411" s="255" t="s">
        <v>488</v>
      </c>
      <c r="W2411">
        <f t="shared" si="39"/>
        <v>13</v>
      </c>
    </row>
    <row r="2412" spans="1:23" x14ac:dyDescent="0.25">
      <c r="A2412" s="2" t="s">
        <v>1380</v>
      </c>
      <c r="B2412" s="2" t="s">
        <v>920</v>
      </c>
      <c r="C2412" s="2">
        <v>545536</v>
      </c>
      <c r="D2412" s="2" t="s">
        <v>882</v>
      </c>
      <c r="E2412" s="2" t="s">
        <v>111</v>
      </c>
      <c r="F2412" s="2" t="s">
        <v>5</v>
      </c>
      <c r="G2412" s="2">
        <v>2</v>
      </c>
      <c r="H2412" s="2">
        <v>0</v>
      </c>
      <c r="I2412" s="2">
        <v>0</v>
      </c>
      <c r="J2412" s="2">
        <v>0</v>
      </c>
      <c r="K2412" s="2">
        <v>0</v>
      </c>
      <c r="L2412" s="2">
        <v>0</v>
      </c>
      <c r="M2412" s="2">
        <v>0</v>
      </c>
      <c r="N2412" s="2">
        <v>0</v>
      </c>
      <c r="O2412" s="2">
        <v>0</v>
      </c>
      <c r="P2412" s="2">
        <v>0</v>
      </c>
      <c r="Q2412" s="2">
        <v>0</v>
      </c>
      <c r="R2412" s="2">
        <v>0</v>
      </c>
      <c r="S2412" s="2" t="s">
        <v>488</v>
      </c>
      <c r="T2412" s="2" t="s">
        <v>488</v>
      </c>
      <c r="U2412" s="2" t="s">
        <v>488</v>
      </c>
      <c r="V2412" s="2" t="s">
        <v>488</v>
      </c>
      <c r="W2412">
        <f t="shared" si="39"/>
        <v>0</v>
      </c>
    </row>
    <row r="2413" spans="1:23" x14ac:dyDescent="0.25">
      <c r="A2413" s="2" t="s">
        <v>1380</v>
      </c>
      <c r="B2413" s="2" t="s">
        <v>920</v>
      </c>
      <c r="C2413" s="2">
        <v>540092</v>
      </c>
      <c r="D2413" s="2" t="s">
        <v>883</v>
      </c>
      <c r="E2413" s="2" t="s">
        <v>111</v>
      </c>
      <c r="F2413" s="2" t="s">
        <v>115</v>
      </c>
      <c r="G2413" s="2">
        <v>2</v>
      </c>
      <c r="H2413" s="2">
        <v>0</v>
      </c>
      <c r="I2413" s="2">
        <v>0</v>
      </c>
      <c r="J2413" s="2">
        <v>0</v>
      </c>
      <c r="K2413" s="2">
        <v>0</v>
      </c>
      <c r="L2413" s="2">
        <v>0</v>
      </c>
      <c r="M2413" s="2">
        <v>0</v>
      </c>
      <c r="N2413" s="2">
        <v>0</v>
      </c>
      <c r="O2413" s="2">
        <v>0</v>
      </c>
      <c r="P2413" s="2">
        <v>0</v>
      </c>
      <c r="Q2413" s="2">
        <v>0</v>
      </c>
      <c r="R2413" s="2">
        <v>0</v>
      </c>
      <c r="S2413" s="2" t="s">
        <v>488</v>
      </c>
      <c r="T2413" s="2" t="s">
        <v>488</v>
      </c>
      <c r="U2413" s="2" t="s">
        <v>488</v>
      </c>
      <c r="V2413" s="2" t="s">
        <v>488</v>
      </c>
      <c r="W2413">
        <f t="shared" si="39"/>
        <v>0</v>
      </c>
    </row>
    <row r="2414" spans="1:23" x14ac:dyDescent="0.25">
      <c r="A2414" s="2" t="s">
        <v>1380</v>
      </c>
      <c r="B2414" s="2" t="s">
        <v>920</v>
      </c>
      <c r="C2414" s="2">
        <v>540095</v>
      </c>
      <c r="D2414" s="2" t="s">
        <v>884</v>
      </c>
      <c r="E2414" s="2" t="s">
        <v>111</v>
      </c>
      <c r="F2414" s="2" t="s">
        <v>115</v>
      </c>
      <c r="G2414" s="2">
        <v>2</v>
      </c>
      <c r="H2414" s="2">
        <v>0</v>
      </c>
      <c r="I2414" s="2">
        <v>0</v>
      </c>
      <c r="J2414" s="2">
        <v>0</v>
      </c>
      <c r="K2414" s="2">
        <v>0</v>
      </c>
      <c r="L2414" s="2">
        <v>0</v>
      </c>
      <c r="M2414" s="2">
        <v>0</v>
      </c>
      <c r="N2414" s="2">
        <v>0</v>
      </c>
      <c r="O2414" s="2">
        <v>0</v>
      </c>
      <c r="P2414" s="2">
        <v>0</v>
      </c>
      <c r="Q2414" s="2">
        <v>0</v>
      </c>
      <c r="R2414" s="2">
        <v>0</v>
      </c>
      <c r="S2414" s="2" t="s">
        <v>488</v>
      </c>
      <c r="T2414" s="2" t="s">
        <v>488</v>
      </c>
      <c r="U2414" s="2" t="s">
        <v>488</v>
      </c>
      <c r="V2414" s="2" t="s">
        <v>488</v>
      </c>
      <c r="W2414">
        <f t="shared" si="39"/>
        <v>0</v>
      </c>
    </row>
    <row r="2415" spans="1:23" x14ac:dyDescent="0.25">
      <c r="A2415" s="2" t="s">
        <v>1380</v>
      </c>
      <c r="B2415" s="2" t="s">
        <v>920</v>
      </c>
      <c r="C2415" s="2">
        <v>545535</v>
      </c>
      <c r="D2415" s="2" t="s">
        <v>885</v>
      </c>
      <c r="E2415" s="2" t="s">
        <v>111</v>
      </c>
      <c r="F2415" s="2" t="s">
        <v>115</v>
      </c>
      <c r="G2415" s="2">
        <v>2</v>
      </c>
      <c r="H2415" s="2">
        <v>0</v>
      </c>
      <c r="I2415" s="2">
        <v>0</v>
      </c>
      <c r="J2415" s="2">
        <v>0</v>
      </c>
      <c r="K2415" s="2">
        <v>0</v>
      </c>
      <c r="L2415" s="2">
        <v>0</v>
      </c>
      <c r="M2415" s="2">
        <v>0</v>
      </c>
      <c r="N2415" s="2">
        <v>0</v>
      </c>
      <c r="O2415" s="2">
        <v>0</v>
      </c>
      <c r="P2415" s="2">
        <v>0</v>
      </c>
      <c r="Q2415" s="2">
        <v>0</v>
      </c>
      <c r="R2415" s="2">
        <v>0</v>
      </c>
      <c r="S2415" s="2" t="s">
        <v>488</v>
      </c>
      <c r="T2415" s="2" t="s">
        <v>488</v>
      </c>
      <c r="U2415" s="2" t="s">
        <v>488</v>
      </c>
      <c r="V2415" s="2" t="s">
        <v>488</v>
      </c>
      <c r="W2415">
        <f t="shared" si="39"/>
        <v>0</v>
      </c>
    </row>
    <row r="2416" spans="1:23" x14ac:dyDescent="0.25">
      <c r="A2416" s="2" t="s">
        <v>1380</v>
      </c>
      <c r="B2416" s="2" t="s">
        <v>920</v>
      </c>
      <c r="C2416" s="2">
        <v>545537</v>
      </c>
      <c r="D2416" s="2" t="s">
        <v>886</v>
      </c>
      <c r="E2416" s="2" t="s">
        <v>111</v>
      </c>
      <c r="F2416" s="2" t="s">
        <v>115</v>
      </c>
      <c r="G2416" s="2">
        <v>2</v>
      </c>
      <c r="H2416" s="2">
        <v>0</v>
      </c>
      <c r="I2416" s="2">
        <v>0</v>
      </c>
      <c r="J2416" s="2">
        <v>0</v>
      </c>
      <c r="K2416" s="2">
        <v>0</v>
      </c>
      <c r="L2416" s="2">
        <v>0</v>
      </c>
      <c r="M2416" s="2">
        <v>0</v>
      </c>
      <c r="N2416" s="2">
        <v>0</v>
      </c>
      <c r="O2416" s="2">
        <v>0</v>
      </c>
      <c r="P2416" s="2">
        <v>0</v>
      </c>
      <c r="Q2416" s="2">
        <v>0</v>
      </c>
      <c r="R2416" s="2">
        <v>0</v>
      </c>
      <c r="S2416" s="2" t="s">
        <v>488</v>
      </c>
      <c r="T2416" s="2" t="s">
        <v>488</v>
      </c>
      <c r="U2416" s="2" t="s">
        <v>488</v>
      </c>
      <c r="V2416" s="2" t="s">
        <v>488</v>
      </c>
      <c r="W2416">
        <f t="shared" si="39"/>
        <v>0</v>
      </c>
    </row>
    <row r="2417" spans="1:23" x14ac:dyDescent="0.25">
      <c r="A2417" s="2" t="s">
        <v>1380</v>
      </c>
      <c r="B2417" s="2" t="s">
        <v>920</v>
      </c>
      <c r="C2417" s="2">
        <v>545539</v>
      </c>
      <c r="D2417" s="2" t="s">
        <v>887</v>
      </c>
      <c r="E2417" s="2" t="s">
        <v>111</v>
      </c>
      <c r="F2417" s="2" t="s">
        <v>115</v>
      </c>
      <c r="G2417" s="2">
        <v>2</v>
      </c>
      <c r="H2417" s="2">
        <v>0</v>
      </c>
      <c r="I2417" s="2">
        <v>0</v>
      </c>
      <c r="J2417" s="2">
        <v>0</v>
      </c>
      <c r="K2417" s="2">
        <v>0</v>
      </c>
      <c r="L2417" s="2">
        <v>0</v>
      </c>
      <c r="M2417" s="2">
        <v>0</v>
      </c>
      <c r="N2417" s="2">
        <v>0</v>
      </c>
      <c r="O2417" s="2">
        <v>0</v>
      </c>
      <c r="P2417" s="2">
        <v>0</v>
      </c>
      <c r="Q2417" s="2">
        <v>0</v>
      </c>
      <c r="R2417" s="2">
        <v>0</v>
      </c>
      <c r="S2417" s="2" t="s">
        <v>488</v>
      </c>
      <c r="T2417" s="2" t="s">
        <v>488</v>
      </c>
      <c r="U2417" s="2" t="s">
        <v>488</v>
      </c>
      <c r="V2417" s="2" t="s">
        <v>488</v>
      </c>
      <c r="W2417">
        <f t="shared" si="39"/>
        <v>0</v>
      </c>
    </row>
    <row r="2418" spans="1:23" x14ac:dyDescent="0.25">
      <c r="A2418" s="255" t="s">
        <v>1380</v>
      </c>
      <c r="B2418" s="255" t="s">
        <v>920</v>
      </c>
      <c r="C2418" s="255"/>
      <c r="D2418" s="255"/>
      <c r="E2418" s="255" t="s">
        <v>111</v>
      </c>
      <c r="F2418" s="255"/>
      <c r="G2418" s="255"/>
      <c r="H2418" s="255">
        <v>0</v>
      </c>
      <c r="I2418" s="255">
        <v>0</v>
      </c>
      <c r="J2418" s="255">
        <v>0</v>
      </c>
      <c r="K2418" s="255">
        <v>0</v>
      </c>
      <c r="L2418" s="255">
        <v>0</v>
      </c>
      <c r="M2418" s="255">
        <v>0</v>
      </c>
      <c r="N2418" s="255">
        <v>0</v>
      </c>
      <c r="O2418" s="255">
        <v>0</v>
      </c>
      <c r="P2418" s="255">
        <v>0</v>
      </c>
      <c r="Q2418" s="255">
        <v>0</v>
      </c>
      <c r="R2418" s="255">
        <v>0</v>
      </c>
      <c r="S2418" s="255" t="s">
        <v>488</v>
      </c>
      <c r="T2418" s="255" t="s">
        <v>488</v>
      </c>
      <c r="U2418" s="255" t="s">
        <v>488</v>
      </c>
      <c r="V2418" s="255" t="s">
        <v>488</v>
      </c>
      <c r="W2418">
        <f t="shared" si="39"/>
        <v>0</v>
      </c>
    </row>
    <row r="2419" spans="1:23" x14ac:dyDescent="0.25">
      <c r="A2419" s="2" t="s">
        <v>1380</v>
      </c>
      <c r="B2419" s="2" t="s">
        <v>920</v>
      </c>
      <c r="C2419" s="2">
        <v>540191</v>
      </c>
      <c r="D2419" s="2" t="s">
        <v>888</v>
      </c>
      <c r="E2419" s="2" t="s">
        <v>113</v>
      </c>
      <c r="F2419" s="2" t="s">
        <v>5</v>
      </c>
      <c r="G2419" s="2">
        <v>7</v>
      </c>
      <c r="H2419" s="2">
        <v>0</v>
      </c>
      <c r="I2419" s="2">
        <v>0</v>
      </c>
      <c r="J2419" s="2">
        <v>0</v>
      </c>
      <c r="K2419" s="2">
        <v>0</v>
      </c>
      <c r="L2419" s="2">
        <v>0</v>
      </c>
      <c r="M2419" s="2">
        <v>0</v>
      </c>
      <c r="N2419" s="2">
        <v>0</v>
      </c>
      <c r="O2419" s="2">
        <v>0</v>
      </c>
      <c r="P2419" s="2">
        <v>0</v>
      </c>
      <c r="Q2419" s="2">
        <v>0</v>
      </c>
      <c r="R2419" s="2">
        <v>0</v>
      </c>
      <c r="S2419" s="2" t="s">
        <v>488</v>
      </c>
      <c r="T2419" s="2" t="s">
        <v>488</v>
      </c>
      <c r="U2419" s="2" t="s">
        <v>488</v>
      </c>
      <c r="V2419" s="2" t="s">
        <v>488</v>
      </c>
      <c r="W2419">
        <f t="shared" si="39"/>
        <v>0</v>
      </c>
    </row>
    <row r="2420" spans="1:23" x14ac:dyDescent="0.25">
      <c r="A2420" s="2" t="s">
        <v>1380</v>
      </c>
      <c r="B2420" s="2" t="s">
        <v>920</v>
      </c>
      <c r="C2420" s="2">
        <v>540193</v>
      </c>
      <c r="D2420" s="2" t="s">
        <v>889</v>
      </c>
      <c r="E2420" s="2" t="s">
        <v>113</v>
      </c>
      <c r="F2420" s="2" t="s">
        <v>115</v>
      </c>
      <c r="G2420" s="2">
        <v>7</v>
      </c>
      <c r="H2420" s="2">
        <v>0</v>
      </c>
      <c r="I2420" s="2">
        <v>0</v>
      </c>
      <c r="J2420" s="2">
        <v>0</v>
      </c>
      <c r="K2420" s="2">
        <v>0</v>
      </c>
      <c r="L2420" s="2">
        <v>0</v>
      </c>
      <c r="M2420" s="2">
        <v>0</v>
      </c>
      <c r="N2420" s="2">
        <v>0</v>
      </c>
      <c r="O2420" s="2">
        <v>0</v>
      </c>
      <c r="P2420" s="2">
        <v>0</v>
      </c>
      <c r="Q2420" s="2">
        <v>0</v>
      </c>
      <c r="R2420" s="2">
        <v>0</v>
      </c>
      <c r="S2420" s="2" t="s">
        <v>488</v>
      </c>
      <c r="T2420" s="2" t="s">
        <v>488</v>
      </c>
      <c r="U2420" s="2" t="s">
        <v>488</v>
      </c>
      <c r="V2420" s="2" t="s">
        <v>488</v>
      </c>
      <c r="W2420">
        <f t="shared" si="39"/>
        <v>0</v>
      </c>
    </row>
    <row r="2421" spans="1:23" x14ac:dyDescent="0.25">
      <c r="A2421" s="2" t="s">
        <v>1380</v>
      </c>
      <c r="B2421" s="2" t="s">
        <v>920</v>
      </c>
      <c r="C2421" s="2">
        <v>540192</v>
      </c>
      <c r="D2421" s="2" t="s">
        <v>890</v>
      </c>
      <c r="E2421" s="2" t="s">
        <v>113</v>
      </c>
      <c r="F2421" s="2" t="s">
        <v>115</v>
      </c>
      <c r="G2421" s="2">
        <v>7</v>
      </c>
      <c r="H2421" s="2">
        <v>0</v>
      </c>
      <c r="I2421" s="2">
        <v>0</v>
      </c>
      <c r="J2421" s="2">
        <v>0</v>
      </c>
      <c r="K2421" s="2">
        <v>0</v>
      </c>
      <c r="L2421" s="2">
        <v>0</v>
      </c>
      <c r="M2421" s="2">
        <v>0</v>
      </c>
      <c r="N2421" s="2">
        <v>0</v>
      </c>
      <c r="O2421" s="2">
        <v>0</v>
      </c>
      <c r="P2421" s="2">
        <v>0</v>
      </c>
      <c r="Q2421" s="2">
        <v>0</v>
      </c>
      <c r="R2421" s="2">
        <v>0</v>
      </c>
      <c r="S2421" s="2" t="s">
        <v>488</v>
      </c>
      <c r="T2421" s="2" t="s">
        <v>488</v>
      </c>
      <c r="U2421" s="2" t="s">
        <v>488</v>
      </c>
      <c r="V2421" s="2" t="s">
        <v>488</v>
      </c>
      <c r="W2421">
        <f t="shared" si="39"/>
        <v>0</v>
      </c>
    </row>
    <row r="2422" spans="1:23" x14ac:dyDescent="0.25">
      <c r="A2422" s="2" t="s">
        <v>1380</v>
      </c>
      <c r="B2422" s="2" t="s">
        <v>920</v>
      </c>
      <c r="C2422" s="2">
        <v>540194</v>
      </c>
      <c r="D2422" s="2" t="s">
        <v>891</v>
      </c>
      <c r="E2422" s="2" t="s">
        <v>113</v>
      </c>
      <c r="F2422" s="2" t="s">
        <v>115</v>
      </c>
      <c r="G2422" s="2">
        <v>7</v>
      </c>
      <c r="H2422" s="2">
        <v>0</v>
      </c>
      <c r="I2422" s="2">
        <v>6</v>
      </c>
      <c r="J2422" s="2">
        <v>0</v>
      </c>
      <c r="K2422" s="2">
        <v>0</v>
      </c>
      <c r="L2422" s="2">
        <v>0</v>
      </c>
      <c r="M2422" s="2">
        <v>6</v>
      </c>
      <c r="N2422" s="2">
        <v>6</v>
      </c>
      <c r="O2422" s="2">
        <v>0</v>
      </c>
      <c r="P2422" s="2">
        <v>0</v>
      </c>
      <c r="Q2422" s="2">
        <v>0</v>
      </c>
      <c r="R2422" s="2">
        <v>0</v>
      </c>
      <c r="S2422" s="2" t="s">
        <v>488</v>
      </c>
      <c r="T2422" s="2" t="s">
        <v>488</v>
      </c>
      <c r="U2422" s="2" t="s">
        <v>488</v>
      </c>
      <c r="V2422" s="2" t="s">
        <v>488</v>
      </c>
      <c r="W2422">
        <f t="shared" si="39"/>
        <v>6</v>
      </c>
    </row>
    <row r="2423" spans="1:23" x14ac:dyDescent="0.25">
      <c r="A2423" s="2" t="s">
        <v>1380</v>
      </c>
      <c r="B2423" s="2" t="s">
        <v>920</v>
      </c>
      <c r="C2423" s="2">
        <v>540261</v>
      </c>
      <c r="D2423" s="2" t="s">
        <v>892</v>
      </c>
      <c r="E2423" s="2" t="s">
        <v>113</v>
      </c>
      <c r="F2423" s="2" t="s">
        <v>115</v>
      </c>
      <c r="G2423" s="2">
        <v>7</v>
      </c>
      <c r="H2423" s="2">
        <v>0</v>
      </c>
      <c r="I2423" s="2">
        <v>0</v>
      </c>
      <c r="J2423" s="2">
        <v>0</v>
      </c>
      <c r="K2423" s="2">
        <v>0</v>
      </c>
      <c r="L2423" s="2">
        <v>0</v>
      </c>
      <c r="M2423" s="2">
        <v>0</v>
      </c>
      <c r="N2423" s="2">
        <v>0</v>
      </c>
      <c r="O2423" s="2">
        <v>0</v>
      </c>
      <c r="P2423" s="2">
        <v>0</v>
      </c>
      <c r="Q2423" s="2">
        <v>0</v>
      </c>
      <c r="R2423" s="2">
        <v>0</v>
      </c>
      <c r="S2423" s="2" t="s">
        <v>488</v>
      </c>
      <c r="T2423" s="2" t="s">
        <v>488</v>
      </c>
      <c r="U2423" s="2" t="s">
        <v>488</v>
      </c>
      <c r="V2423" s="2" t="s">
        <v>488</v>
      </c>
      <c r="W2423">
        <f t="shared" si="39"/>
        <v>0</v>
      </c>
    </row>
    <row r="2424" spans="1:23" x14ac:dyDescent="0.25">
      <c r="A2424" s="2" t="s">
        <v>1380</v>
      </c>
      <c r="B2424" s="2" t="s">
        <v>920</v>
      </c>
      <c r="C2424" s="2">
        <v>540260</v>
      </c>
      <c r="D2424" s="2" t="s">
        <v>893</v>
      </c>
      <c r="E2424" s="2" t="s">
        <v>113</v>
      </c>
      <c r="F2424" s="2" t="s">
        <v>115</v>
      </c>
      <c r="G2424" s="2">
        <v>7</v>
      </c>
      <c r="H2424" s="2">
        <v>0</v>
      </c>
      <c r="I2424" s="2">
        <v>0</v>
      </c>
      <c r="J2424" s="2">
        <v>0</v>
      </c>
      <c r="K2424" s="2">
        <v>0</v>
      </c>
      <c r="L2424" s="2">
        <v>0</v>
      </c>
      <c r="M2424" s="2">
        <v>0</v>
      </c>
      <c r="N2424" s="2">
        <v>0</v>
      </c>
      <c r="O2424" s="2">
        <v>0</v>
      </c>
      <c r="P2424" s="2">
        <v>0</v>
      </c>
      <c r="Q2424" s="2">
        <v>0</v>
      </c>
      <c r="R2424" s="2">
        <v>0</v>
      </c>
      <c r="S2424" s="2" t="s">
        <v>488</v>
      </c>
      <c r="T2424" s="2" t="s">
        <v>488</v>
      </c>
      <c r="U2424" s="2" t="s">
        <v>488</v>
      </c>
      <c r="V2424" s="2" t="s">
        <v>488</v>
      </c>
      <c r="W2424">
        <f t="shared" si="39"/>
        <v>0</v>
      </c>
    </row>
    <row r="2425" spans="1:23" x14ac:dyDescent="0.25">
      <c r="A2425" s="255" t="s">
        <v>1380</v>
      </c>
      <c r="B2425" s="255" t="s">
        <v>920</v>
      </c>
      <c r="C2425" s="255"/>
      <c r="D2425" s="255"/>
      <c r="E2425" s="255" t="s">
        <v>113</v>
      </c>
      <c r="F2425" s="255"/>
      <c r="G2425" s="255"/>
      <c r="H2425" s="255">
        <v>0</v>
      </c>
      <c r="I2425" s="255">
        <v>6</v>
      </c>
      <c r="J2425" s="255">
        <v>0</v>
      </c>
      <c r="K2425" s="255">
        <v>0</v>
      </c>
      <c r="L2425" s="255">
        <v>0</v>
      </c>
      <c r="M2425" s="255">
        <v>6</v>
      </c>
      <c r="N2425" s="255">
        <v>6</v>
      </c>
      <c r="O2425" s="255">
        <v>0</v>
      </c>
      <c r="P2425" s="255">
        <v>0</v>
      </c>
      <c r="Q2425" s="255">
        <v>0</v>
      </c>
      <c r="R2425" s="255">
        <v>0</v>
      </c>
      <c r="S2425" s="255" t="s">
        <v>488</v>
      </c>
      <c r="T2425" s="255" t="s">
        <v>488</v>
      </c>
      <c r="U2425" s="255" t="s">
        <v>488</v>
      </c>
      <c r="V2425" s="255" t="s">
        <v>488</v>
      </c>
      <c r="W2425">
        <f t="shared" si="39"/>
        <v>6</v>
      </c>
    </row>
    <row r="2426" spans="1:23" x14ac:dyDescent="0.25">
      <c r="A2426" s="2" t="s">
        <v>1380</v>
      </c>
      <c r="B2426" s="2" t="s">
        <v>920</v>
      </c>
      <c r="C2426" s="2">
        <v>540027</v>
      </c>
      <c r="D2426" s="2" t="s">
        <v>894</v>
      </c>
      <c r="E2426" s="2" t="s">
        <v>21</v>
      </c>
      <c r="F2426" s="2" t="s">
        <v>115</v>
      </c>
      <c r="G2426" s="2">
        <v>4</v>
      </c>
      <c r="H2426" s="2">
        <v>0</v>
      </c>
      <c r="I2426" s="2">
        <v>0</v>
      </c>
      <c r="J2426" s="2">
        <v>0</v>
      </c>
      <c r="K2426" s="2">
        <v>0</v>
      </c>
      <c r="L2426" s="2">
        <v>0</v>
      </c>
      <c r="M2426" s="2">
        <v>0</v>
      </c>
      <c r="N2426" s="2">
        <v>0</v>
      </c>
      <c r="O2426" s="2">
        <v>0</v>
      </c>
      <c r="P2426" s="2">
        <v>0</v>
      </c>
      <c r="Q2426" s="2">
        <v>0</v>
      </c>
      <c r="R2426" s="2">
        <v>0</v>
      </c>
      <c r="S2426" s="2" t="s">
        <v>488</v>
      </c>
      <c r="T2426" s="2" t="s">
        <v>488</v>
      </c>
      <c r="U2426" s="2" t="s">
        <v>488</v>
      </c>
      <c r="V2426" s="2" t="s">
        <v>488</v>
      </c>
      <c r="W2426">
        <f t="shared" si="39"/>
        <v>0</v>
      </c>
    </row>
    <row r="2427" spans="1:23" x14ac:dyDescent="0.25">
      <c r="A2427" s="2" t="s">
        <v>1380</v>
      </c>
      <c r="B2427" s="2" t="s">
        <v>920</v>
      </c>
      <c r="C2427" s="2">
        <v>540028</v>
      </c>
      <c r="D2427" s="2" t="s">
        <v>895</v>
      </c>
      <c r="E2427" s="2" t="s">
        <v>21</v>
      </c>
      <c r="F2427" s="2" t="s">
        <v>115</v>
      </c>
      <c r="G2427" s="2">
        <v>4</v>
      </c>
      <c r="H2427" s="2">
        <v>0</v>
      </c>
      <c r="I2427" s="2">
        <v>0</v>
      </c>
      <c r="J2427" s="2">
        <v>0</v>
      </c>
      <c r="K2427" s="2">
        <v>0</v>
      </c>
      <c r="L2427" s="2">
        <v>0</v>
      </c>
      <c r="M2427" s="2">
        <v>0</v>
      </c>
      <c r="N2427" s="2">
        <v>0</v>
      </c>
      <c r="O2427" s="2">
        <v>0</v>
      </c>
      <c r="P2427" s="2">
        <v>0</v>
      </c>
      <c r="Q2427" s="2">
        <v>0</v>
      </c>
      <c r="R2427" s="2">
        <v>0</v>
      </c>
      <c r="S2427" s="2" t="s">
        <v>488</v>
      </c>
      <c r="T2427" s="2" t="s">
        <v>488</v>
      </c>
      <c r="U2427" s="2" t="s">
        <v>488</v>
      </c>
      <c r="V2427" s="2" t="s">
        <v>488</v>
      </c>
      <c r="W2427">
        <f t="shared" si="39"/>
        <v>0</v>
      </c>
    </row>
    <row r="2428" spans="1:23" x14ac:dyDescent="0.25">
      <c r="A2428" s="2" t="s">
        <v>1380</v>
      </c>
      <c r="B2428" s="2" t="s">
        <v>920</v>
      </c>
      <c r="C2428" s="2">
        <v>540029</v>
      </c>
      <c r="D2428" s="2" t="s">
        <v>701</v>
      </c>
      <c r="E2428" s="2" t="s">
        <v>21</v>
      </c>
      <c r="F2428" s="2" t="s">
        <v>115</v>
      </c>
      <c r="G2428" s="2">
        <v>4</v>
      </c>
      <c r="H2428" s="2">
        <v>0</v>
      </c>
      <c r="I2428" s="2">
        <v>0</v>
      </c>
      <c r="J2428" s="2">
        <v>0</v>
      </c>
      <c r="K2428" s="2">
        <v>0</v>
      </c>
      <c r="L2428" s="2">
        <v>0</v>
      </c>
      <c r="M2428" s="2">
        <v>0</v>
      </c>
      <c r="N2428" s="2">
        <v>0</v>
      </c>
      <c r="O2428" s="2">
        <v>0</v>
      </c>
      <c r="P2428" s="2">
        <v>0</v>
      </c>
      <c r="Q2428" s="2">
        <v>0</v>
      </c>
      <c r="R2428" s="2">
        <v>0</v>
      </c>
      <c r="S2428" s="2" t="s">
        <v>488</v>
      </c>
      <c r="T2428" s="2" t="s">
        <v>488</v>
      </c>
      <c r="U2428" s="2" t="s">
        <v>488</v>
      </c>
      <c r="V2428" s="2" t="s">
        <v>488</v>
      </c>
      <c r="W2428">
        <f t="shared" si="39"/>
        <v>0</v>
      </c>
    </row>
    <row r="2429" spans="1:23" x14ac:dyDescent="0.25">
      <c r="A2429" s="2" t="s">
        <v>1380</v>
      </c>
      <c r="B2429" s="2" t="s">
        <v>920</v>
      </c>
      <c r="C2429" s="2">
        <v>540031</v>
      </c>
      <c r="D2429" s="2" t="s">
        <v>896</v>
      </c>
      <c r="E2429" s="2" t="s">
        <v>21</v>
      </c>
      <c r="F2429" s="2" t="s">
        <v>115</v>
      </c>
      <c r="G2429" s="2">
        <v>4</v>
      </c>
      <c r="H2429" s="2">
        <v>0</v>
      </c>
      <c r="I2429" s="2">
        <v>0</v>
      </c>
      <c r="J2429" s="2">
        <v>0</v>
      </c>
      <c r="K2429" s="2">
        <v>0</v>
      </c>
      <c r="L2429" s="2">
        <v>0</v>
      </c>
      <c r="M2429" s="2">
        <v>0</v>
      </c>
      <c r="N2429" s="2">
        <v>0</v>
      </c>
      <c r="O2429" s="2">
        <v>0</v>
      </c>
      <c r="P2429" s="2">
        <v>0</v>
      </c>
      <c r="Q2429" s="2">
        <v>0</v>
      </c>
      <c r="R2429" s="2">
        <v>0</v>
      </c>
      <c r="S2429" s="2" t="s">
        <v>488</v>
      </c>
      <c r="T2429" s="2" t="s">
        <v>488</v>
      </c>
      <c r="U2429" s="2" t="s">
        <v>488</v>
      </c>
      <c r="V2429" s="2" t="s">
        <v>488</v>
      </c>
      <c r="W2429">
        <f t="shared" si="39"/>
        <v>0</v>
      </c>
    </row>
    <row r="2430" spans="1:23" x14ac:dyDescent="0.25">
      <c r="A2430" s="2" t="s">
        <v>1380</v>
      </c>
      <c r="B2430" s="2" t="s">
        <v>920</v>
      </c>
      <c r="C2430" s="2">
        <v>540032</v>
      </c>
      <c r="D2430" s="2" t="s">
        <v>897</v>
      </c>
      <c r="E2430" s="2" t="s">
        <v>21</v>
      </c>
      <c r="F2430" s="2" t="s">
        <v>115</v>
      </c>
      <c r="G2430" s="2">
        <v>4</v>
      </c>
      <c r="H2430" s="2">
        <v>0</v>
      </c>
      <c r="I2430" s="2">
        <v>0</v>
      </c>
      <c r="J2430" s="2">
        <v>0</v>
      </c>
      <c r="K2430" s="2">
        <v>0</v>
      </c>
      <c r="L2430" s="2">
        <v>0</v>
      </c>
      <c r="M2430" s="2">
        <v>0</v>
      </c>
      <c r="N2430" s="2">
        <v>0</v>
      </c>
      <c r="O2430" s="2">
        <v>0</v>
      </c>
      <c r="P2430" s="2">
        <v>0</v>
      </c>
      <c r="Q2430" s="2">
        <v>0</v>
      </c>
      <c r="R2430" s="2">
        <v>0</v>
      </c>
      <c r="S2430" s="2" t="s">
        <v>488</v>
      </c>
      <c r="T2430" s="2" t="s">
        <v>488</v>
      </c>
      <c r="U2430" s="2" t="s">
        <v>488</v>
      </c>
      <c r="V2430" s="2" t="s">
        <v>488</v>
      </c>
      <c r="W2430">
        <f t="shared" si="39"/>
        <v>0</v>
      </c>
    </row>
    <row r="2431" spans="1:23" x14ac:dyDescent="0.25">
      <c r="A2431" s="2" t="s">
        <v>1380</v>
      </c>
      <c r="B2431" s="2" t="s">
        <v>920</v>
      </c>
      <c r="C2431" s="2">
        <v>540050</v>
      </c>
      <c r="D2431" s="2" t="s">
        <v>898</v>
      </c>
      <c r="E2431" s="2" t="s">
        <v>21</v>
      </c>
      <c r="F2431" s="2" t="s">
        <v>115</v>
      </c>
      <c r="G2431" s="2">
        <v>4</v>
      </c>
      <c r="H2431" s="2">
        <v>0</v>
      </c>
      <c r="I2431" s="2">
        <v>0</v>
      </c>
      <c r="J2431" s="2">
        <v>0</v>
      </c>
      <c r="K2431" s="2">
        <v>0</v>
      </c>
      <c r="L2431" s="2">
        <v>0</v>
      </c>
      <c r="M2431" s="2">
        <v>0</v>
      </c>
      <c r="N2431" s="2">
        <v>0</v>
      </c>
      <c r="O2431" s="2">
        <v>0</v>
      </c>
      <c r="P2431" s="2">
        <v>0</v>
      </c>
      <c r="Q2431" s="2">
        <v>0</v>
      </c>
      <c r="R2431" s="2">
        <v>0</v>
      </c>
      <c r="S2431" s="2" t="s">
        <v>488</v>
      </c>
      <c r="T2431" s="2" t="s">
        <v>488</v>
      </c>
      <c r="U2431" s="2" t="s">
        <v>488</v>
      </c>
      <c r="V2431" s="2" t="s">
        <v>488</v>
      </c>
      <c r="W2431">
        <f t="shared" si="39"/>
        <v>0</v>
      </c>
    </row>
    <row r="2432" spans="1:23" x14ac:dyDescent="0.25">
      <c r="A2432" s="2" t="s">
        <v>1380</v>
      </c>
      <c r="B2432" s="2" t="s">
        <v>920</v>
      </c>
      <c r="C2432" s="2">
        <v>540293</v>
      </c>
      <c r="D2432" s="2" t="s">
        <v>899</v>
      </c>
      <c r="E2432" s="2" t="s">
        <v>21</v>
      </c>
      <c r="F2432" s="2" t="s">
        <v>115</v>
      </c>
      <c r="G2432" s="2">
        <v>4</v>
      </c>
      <c r="H2432" s="2">
        <v>0</v>
      </c>
      <c r="I2432" s="2">
        <v>0</v>
      </c>
      <c r="J2432" s="2">
        <v>0</v>
      </c>
      <c r="K2432" s="2">
        <v>0</v>
      </c>
      <c r="L2432" s="2">
        <v>0</v>
      </c>
      <c r="M2432" s="2">
        <v>0</v>
      </c>
      <c r="N2432" s="2">
        <v>0</v>
      </c>
      <c r="O2432" s="2">
        <v>0</v>
      </c>
      <c r="P2432" s="2">
        <v>0</v>
      </c>
      <c r="Q2432" s="2">
        <v>0</v>
      </c>
      <c r="R2432" s="2">
        <v>0</v>
      </c>
      <c r="S2432" s="2" t="s">
        <v>488</v>
      </c>
      <c r="T2432" s="2" t="s">
        <v>488</v>
      </c>
      <c r="U2432" s="2" t="s">
        <v>488</v>
      </c>
      <c r="V2432" s="2" t="s">
        <v>488</v>
      </c>
      <c r="W2432">
        <f t="shared" si="39"/>
        <v>0</v>
      </c>
    </row>
    <row r="2433" spans="1:23" x14ac:dyDescent="0.25">
      <c r="A2433" s="2" t="s">
        <v>1380</v>
      </c>
      <c r="B2433" s="2" t="s">
        <v>920</v>
      </c>
      <c r="C2433" s="2">
        <v>540294</v>
      </c>
      <c r="D2433" s="2" t="s">
        <v>900</v>
      </c>
      <c r="E2433" s="2" t="s">
        <v>21</v>
      </c>
      <c r="F2433" s="2" t="s">
        <v>115</v>
      </c>
      <c r="G2433" s="2">
        <v>4</v>
      </c>
      <c r="H2433" s="2">
        <v>0</v>
      </c>
      <c r="I2433" s="2">
        <v>0</v>
      </c>
      <c r="J2433" s="2">
        <v>0</v>
      </c>
      <c r="K2433" s="2">
        <v>0</v>
      </c>
      <c r="L2433" s="2">
        <v>0</v>
      </c>
      <c r="M2433" s="2">
        <v>0</v>
      </c>
      <c r="N2433" s="2">
        <v>0</v>
      </c>
      <c r="O2433" s="2">
        <v>0</v>
      </c>
      <c r="P2433" s="2">
        <v>0</v>
      </c>
      <c r="Q2433" s="2">
        <v>0</v>
      </c>
      <c r="R2433" s="2">
        <v>0</v>
      </c>
      <c r="S2433" s="2" t="s">
        <v>488</v>
      </c>
      <c r="T2433" s="2" t="s">
        <v>488</v>
      </c>
      <c r="U2433" s="2" t="s">
        <v>488</v>
      </c>
      <c r="V2433" s="2" t="s">
        <v>488</v>
      </c>
      <c r="W2433">
        <f t="shared" si="39"/>
        <v>0</v>
      </c>
    </row>
    <row r="2434" spans="1:23" x14ac:dyDescent="0.25">
      <c r="A2434" s="2" t="s">
        <v>1380</v>
      </c>
      <c r="B2434" s="2" t="s">
        <v>920</v>
      </c>
      <c r="C2434" s="2">
        <v>540033</v>
      </c>
      <c r="D2434" s="2" t="s">
        <v>716</v>
      </c>
      <c r="E2434" s="2" t="s">
        <v>21</v>
      </c>
      <c r="F2434" s="2" t="s">
        <v>115</v>
      </c>
      <c r="G2434" s="2">
        <v>4</v>
      </c>
      <c r="H2434" s="2">
        <v>0</v>
      </c>
      <c r="I2434" s="2">
        <v>0</v>
      </c>
      <c r="J2434" s="2">
        <v>0</v>
      </c>
      <c r="K2434" s="2">
        <v>0</v>
      </c>
      <c r="L2434" s="2">
        <v>0</v>
      </c>
      <c r="M2434" s="2">
        <v>0</v>
      </c>
      <c r="N2434" s="2">
        <v>0</v>
      </c>
      <c r="O2434" s="2">
        <v>0</v>
      </c>
      <c r="P2434" s="2">
        <v>0</v>
      </c>
      <c r="Q2434" s="2">
        <v>0</v>
      </c>
      <c r="R2434" s="2">
        <v>0</v>
      </c>
      <c r="S2434" s="2" t="s">
        <v>488</v>
      </c>
      <c r="T2434" s="2" t="s">
        <v>488</v>
      </c>
      <c r="U2434" s="2" t="s">
        <v>488</v>
      </c>
      <c r="V2434" s="2" t="s">
        <v>488</v>
      </c>
      <c r="W2434">
        <f t="shared" si="39"/>
        <v>0</v>
      </c>
    </row>
    <row r="2435" spans="1:23" x14ac:dyDescent="0.25">
      <c r="A2435" s="2" t="s">
        <v>1380</v>
      </c>
      <c r="B2435" s="2" t="s">
        <v>920</v>
      </c>
      <c r="C2435" s="2">
        <v>540280</v>
      </c>
      <c r="D2435" s="2" t="s">
        <v>901</v>
      </c>
      <c r="E2435" s="2" t="s">
        <v>21</v>
      </c>
      <c r="F2435" s="2" t="s">
        <v>115</v>
      </c>
      <c r="G2435" s="2">
        <v>4</v>
      </c>
      <c r="H2435" s="2">
        <v>33</v>
      </c>
      <c r="I2435" s="2">
        <v>0</v>
      </c>
      <c r="J2435" s="2">
        <v>0</v>
      </c>
      <c r="K2435" s="2">
        <v>0</v>
      </c>
      <c r="L2435" s="2">
        <v>0</v>
      </c>
      <c r="M2435" s="2">
        <v>0</v>
      </c>
      <c r="N2435" s="2">
        <v>33</v>
      </c>
      <c r="O2435" s="2">
        <v>0</v>
      </c>
      <c r="P2435" s="2">
        <v>0</v>
      </c>
      <c r="Q2435" s="2">
        <v>14</v>
      </c>
      <c r="R2435" s="2">
        <v>1</v>
      </c>
      <c r="S2435" s="2" t="s">
        <v>488</v>
      </c>
      <c r="T2435" s="2" t="s">
        <v>488</v>
      </c>
      <c r="U2435" s="2" t="s">
        <v>488</v>
      </c>
      <c r="V2435" s="2" t="s">
        <v>488</v>
      </c>
      <c r="W2435">
        <f t="shared" ref="W2435:W2498" si="40">SUM(N2435,P2435,R2435,T2435)</f>
        <v>34</v>
      </c>
    </row>
    <row r="2436" spans="1:23" x14ac:dyDescent="0.25">
      <c r="A2436" s="2" t="s">
        <v>1380</v>
      </c>
      <c r="B2436" s="2" t="s">
        <v>920</v>
      </c>
      <c r="C2436" s="2">
        <v>540026</v>
      </c>
      <c r="D2436" s="2" t="s">
        <v>902</v>
      </c>
      <c r="E2436" s="2" t="s">
        <v>21</v>
      </c>
      <c r="F2436" s="2" t="s">
        <v>5</v>
      </c>
      <c r="G2436" s="2">
        <v>4</v>
      </c>
      <c r="H2436" s="2">
        <v>5</v>
      </c>
      <c r="I2436" s="2">
        <v>0</v>
      </c>
      <c r="J2436" s="2">
        <v>0</v>
      </c>
      <c r="K2436" s="2">
        <v>0</v>
      </c>
      <c r="L2436" s="2">
        <v>0</v>
      </c>
      <c r="M2436" s="2">
        <v>0</v>
      </c>
      <c r="N2436" s="2">
        <v>5</v>
      </c>
      <c r="O2436" s="2">
        <v>0</v>
      </c>
      <c r="P2436" s="2">
        <v>0</v>
      </c>
      <c r="Q2436" s="2">
        <v>0</v>
      </c>
      <c r="R2436" s="2">
        <v>0</v>
      </c>
      <c r="S2436" s="2" t="s">
        <v>488</v>
      </c>
      <c r="T2436" s="2" t="s">
        <v>488</v>
      </c>
      <c r="U2436" s="2" t="s">
        <v>488</v>
      </c>
      <c r="V2436" s="2" t="s">
        <v>488</v>
      </c>
      <c r="W2436">
        <f t="shared" si="40"/>
        <v>5</v>
      </c>
    </row>
    <row r="2437" spans="1:23" x14ac:dyDescent="0.25">
      <c r="A2437" s="255" t="s">
        <v>1380</v>
      </c>
      <c r="B2437" s="255" t="s">
        <v>920</v>
      </c>
      <c r="C2437" s="255"/>
      <c r="D2437" s="255"/>
      <c r="E2437" s="255" t="s">
        <v>21</v>
      </c>
      <c r="F2437" s="255"/>
      <c r="G2437" s="255"/>
      <c r="H2437" s="255">
        <v>38</v>
      </c>
      <c r="I2437" s="255">
        <v>0</v>
      </c>
      <c r="J2437" s="255">
        <v>0</v>
      </c>
      <c r="K2437" s="255">
        <v>0</v>
      </c>
      <c r="L2437" s="255">
        <v>0</v>
      </c>
      <c r="M2437" s="255">
        <v>0</v>
      </c>
      <c r="N2437" s="255">
        <v>38</v>
      </c>
      <c r="O2437" s="255">
        <v>0</v>
      </c>
      <c r="P2437" s="255">
        <v>0</v>
      </c>
      <c r="Q2437" s="255">
        <v>14</v>
      </c>
      <c r="R2437" s="255">
        <v>1</v>
      </c>
      <c r="S2437" s="255" t="s">
        <v>488</v>
      </c>
      <c r="T2437" s="255" t="s">
        <v>488</v>
      </c>
      <c r="U2437" s="255" t="s">
        <v>488</v>
      </c>
      <c r="V2437" s="255" t="s">
        <v>488</v>
      </c>
      <c r="W2437">
        <f t="shared" si="40"/>
        <v>39</v>
      </c>
    </row>
    <row r="2438" spans="1:23" x14ac:dyDescent="0.25">
      <c r="A2438" s="2" t="s">
        <v>1380</v>
      </c>
      <c r="B2438" s="2" t="s">
        <v>920</v>
      </c>
      <c r="C2438" s="2">
        <v>540176</v>
      </c>
      <c r="D2438" s="2" t="s">
        <v>903</v>
      </c>
      <c r="E2438" s="2" t="s">
        <v>75</v>
      </c>
      <c r="F2438" s="2" t="s">
        <v>115</v>
      </c>
      <c r="G2438" s="2">
        <v>7</v>
      </c>
      <c r="H2438" s="2">
        <v>0</v>
      </c>
      <c r="I2438" s="2">
        <v>0</v>
      </c>
      <c r="J2438" s="2">
        <v>0</v>
      </c>
      <c r="K2438" s="2">
        <v>0</v>
      </c>
      <c r="L2438" s="2">
        <v>0</v>
      </c>
      <c r="M2438" s="2">
        <v>0</v>
      </c>
      <c r="N2438" s="2">
        <v>0</v>
      </c>
      <c r="O2438" s="2">
        <v>0</v>
      </c>
      <c r="P2438" s="2">
        <v>0</v>
      </c>
      <c r="Q2438" s="2">
        <v>0</v>
      </c>
      <c r="R2438" s="2">
        <v>0</v>
      </c>
      <c r="S2438" s="2" t="s">
        <v>488</v>
      </c>
      <c r="T2438" s="2" t="s">
        <v>488</v>
      </c>
      <c r="U2438" s="2" t="s">
        <v>488</v>
      </c>
      <c r="V2438" s="2" t="s">
        <v>488</v>
      </c>
      <c r="W2438">
        <f t="shared" si="40"/>
        <v>0</v>
      </c>
    </row>
    <row r="2439" spans="1:23" x14ac:dyDescent="0.25">
      <c r="A2439" s="2" t="s">
        <v>1380</v>
      </c>
      <c r="B2439" s="2" t="s">
        <v>920</v>
      </c>
      <c r="C2439" s="2">
        <v>540178</v>
      </c>
      <c r="D2439" s="2" t="s">
        <v>904</v>
      </c>
      <c r="E2439" s="2" t="s">
        <v>75</v>
      </c>
      <c r="F2439" s="2" t="s">
        <v>115</v>
      </c>
      <c r="G2439" s="2">
        <v>7</v>
      </c>
      <c r="H2439" s="2">
        <v>0</v>
      </c>
      <c r="I2439" s="2">
        <v>0</v>
      </c>
      <c r="J2439" s="2">
        <v>0</v>
      </c>
      <c r="K2439" s="2">
        <v>0</v>
      </c>
      <c r="L2439" s="2">
        <v>0</v>
      </c>
      <c r="M2439" s="2">
        <v>0</v>
      </c>
      <c r="N2439" s="2">
        <v>0</v>
      </c>
      <c r="O2439" s="2">
        <v>0</v>
      </c>
      <c r="P2439" s="2">
        <v>0</v>
      </c>
      <c r="Q2439" s="2">
        <v>0</v>
      </c>
      <c r="R2439" s="2">
        <v>0</v>
      </c>
      <c r="S2439" s="2" t="s">
        <v>488</v>
      </c>
      <c r="T2439" s="2" t="s">
        <v>488</v>
      </c>
      <c r="U2439" s="2" t="s">
        <v>488</v>
      </c>
      <c r="V2439" s="2" t="s">
        <v>488</v>
      </c>
      <c r="W2439">
        <f t="shared" si="40"/>
        <v>0</v>
      </c>
    </row>
    <row r="2440" spans="1:23" x14ac:dyDescent="0.25">
      <c r="A2440" s="2" t="s">
        <v>1380</v>
      </c>
      <c r="B2440" s="2" t="s">
        <v>920</v>
      </c>
      <c r="C2440" s="2">
        <v>540264</v>
      </c>
      <c r="D2440" s="2" t="s">
        <v>905</v>
      </c>
      <c r="E2440" s="2" t="s">
        <v>75</v>
      </c>
      <c r="F2440" s="2" t="s">
        <v>115</v>
      </c>
      <c r="G2440" s="2">
        <v>7</v>
      </c>
      <c r="H2440" s="2">
        <v>0</v>
      </c>
      <c r="I2440" s="2">
        <v>0</v>
      </c>
      <c r="J2440" s="2">
        <v>0</v>
      </c>
      <c r="K2440" s="2">
        <v>0</v>
      </c>
      <c r="L2440" s="2">
        <v>0</v>
      </c>
      <c r="M2440" s="2">
        <v>0</v>
      </c>
      <c r="N2440" s="2">
        <v>0</v>
      </c>
      <c r="O2440" s="2">
        <v>0</v>
      </c>
      <c r="P2440" s="2">
        <v>0</v>
      </c>
      <c r="Q2440" s="2">
        <v>0</v>
      </c>
      <c r="R2440" s="2">
        <v>0</v>
      </c>
      <c r="S2440" s="2" t="s">
        <v>488</v>
      </c>
      <c r="T2440" s="2" t="s">
        <v>488</v>
      </c>
      <c r="U2440" s="2" t="s">
        <v>488</v>
      </c>
      <c r="V2440" s="2" t="s">
        <v>488</v>
      </c>
      <c r="W2440">
        <f t="shared" si="40"/>
        <v>0</v>
      </c>
    </row>
    <row r="2441" spans="1:23" x14ac:dyDescent="0.25">
      <c r="A2441" s="2" t="s">
        <v>1380</v>
      </c>
      <c r="B2441" s="2" t="s">
        <v>920</v>
      </c>
      <c r="C2441" s="2">
        <v>540265</v>
      </c>
      <c r="D2441" s="2" t="s">
        <v>906</v>
      </c>
      <c r="E2441" s="2" t="s">
        <v>75</v>
      </c>
      <c r="F2441" s="2" t="s">
        <v>115</v>
      </c>
      <c r="G2441" s="2">
        <v>7</v>
      </c>
      <c r="H2441" s="2">
        <v>0</v>
      </c>
      <c r="I2441" s="2">
        <v>0</v>
      </c>
      <c r="J2441" s="2">
        <v>0</v>
      </c>
      <c r="K2441" s="2">
        <v>0</v>
      </c>
      <c r="L2441" s="2">
        <v>0</v>
      </c>
      <c r="M2441" s="2">
        <v>0</v>
      </c>
      <c r="N2441" s="2">
        <v>0</v>
      </c>
      <c r="O2441" s="2">
        <v>0</v>
      </c>
      <c r="P2441" s="2">
        <v>0</v>
      </c>
      <c r="Q2441" s="2">
        <v>0</v>
      </c>
      <c r="R2441" s="2">
        <v>0</v>
      </c>
      <c r="S2441" s="2" t="s">
        <v>488</v>
      </c>
      <c r="T2441" s="2" t="s">
        <v>488</v>
      </c>
      <c r="U2441" s="2" t="s">
        <v>488</v>
      </c>
      <c r="V2441" s="2" t="s">
        <v>488</v>
      </c>
      <c r="W2441">
        <f t="shared" si="40"/>
        <v>0</v>
      </c>
    </row>
    <row r="2442" spans="1:23" x14ac:dyDescent="0.25">
      <c r="A2442" s="2" t="s">
        <v>1380</v>
      </c>
      <c r="B2442" s="2" t="s">
        <v>920</v>
      </c>
      <c r="C2442" s="2">
        <v>540266</v>
      </c>
      <c r="D2442" s="2" t="s">
        <v>907</v>
      </c>
      <c r="E2442" s="2" t="s">
        <v>75</v>
      </c>
      <c r="F2442" s="2" t="s">
        <v>115</v>
      </c>
      <c r="G2442" s="2">
        <v>7</v>
      </c>
      <c r="H2442" s="2">
        <v>0</v>
      </c>
      <c r="I2442" s="2">
        <v>0</v>
      </c>
      <c r="J2442" s="2">
        <v>0</v>
      </c>
      <c r="K2442" s="2">
        <v>0</v>
      </c>
      <c r="L2442" s="2">
        <v>0</v>
      </c>
      <c r="M2442" s="2">
        <v>0</v>
      </c>
      <c r="N2442" s="2">
        <v>0</v>
      </c>
      <c r="O2442" s="2">
        <v>0</v>
      </c>
      <c r="P2442" s="2">
        <v>0</v>
      </c>
      <c r="Q2442" s="2">
        <v>0</v>
      </c>
      <c r="R2442" s="2">
        <v>0</v>
      </c>
      <c r="S2442" s="2" t="s">
        <v>488</v>
      </c>
      <c r="T2442" s="2" t="s">
        <v>488</v>
      </c>
      <c r="U2442" s="2" t="s">
        <v>488</v>
      </c>
      <c r="V2442" s="2" t="s">
        <v>488</v>
      </c>
      <c r="W2442">
        <f t="shared" si="40"/>
        <v>0</v>
      </c>
    </row>
    <row r="2443" spans="1:23" x14ac:dyDescent="0.25">
      <c r="A2443" s="2" t="s">
        <v>1380</v>
      </c>
      <c r="B2443" s="2" t="s">
        <v>920</v>
      </c>
      <c r="C2443" s="2">
        <v>540267</v>
      </c>
      <c r="D2443" s="2" t="s">
        <v>908</v>
      </c>
      <c r="E2443" s="2" t="s">
        <v>75</v>
      </c>
      <c r="F2443" s="2" t="s">
        <v>115</v>
      </c>
      <c r="G2443" s="2">
        <v>7</v>
      </c>
      <c r="H2443" s="2">
        <v>0</v>
      </c>
      <c r="I2443" s="2">
        <v>1</v>
      </c>
      <c r="J2443" s="2">
        <v>0</v>
      </c>
      <c r="K2443" s="2">
        <v>0</v>
      </c>
      <c r="L2443" s="2">
        <v>0</v>
      </c>
      <c r="M2443" s="2">
        <v>1</v>
      </c>
      <c r="N2443" s="2">
        <v>1</v>
      </c>
      <c r="O2443" s="2">
        <v>0</v>
      </c>
      <c r="P2443" s="2">
        <v>0</v>
      </c>
      <c r="Q2443" s="2">
        <v>0</v>
      </c>
      <c r="R2443" s="2">
        <v>0</v>
      </c>
      <c r="S2443" s="2" t="s">
        <v>488</v>
      </c>
      <c r="T2443" s="2" t="s">
        <v>488</v>
      </c>
      <c r="U2443" s="2" t="s">
        <v>488</v>
      </c>
      <c r="V2443" s="2" t="s">
        <v>488</v>
      </c>
      <c r="W2443">
        <f t="shared" si="40"/>
        <v>1</v>
      </c>
    </row>
    <row r="2444" spans="1:23" x14ac:dyDescent="0.25">
      <c r="A2444" s="2" t="s">
        <v>1380</v>
      </c>
      <c r="B2444" s="2" t="s">
        <v>920</v>
      </c>
      <c r="C2444" s="2">
        <v>540177</v>
      </c>
      <c r="D2444" s="2" t="s">
        <v>909</v>
      </c>
      <c r="E2444" s="2" t="s">
        <v>75</v>
      </c>
      <c r="F2444" s="2" t="s">
        <v>115</v>
      </c>
      <c r="G2444" s="2">
        <v>7</v>
      </c>
      <c r="H2444" s="2">
        <v>10</v>
      </c>
      <c r="I2444" s="2">
        <v>0</v>
      </c>
      <c r="J2444" s="2">
        <v>0</v>
      </c>
      <c r="K2444" s="2">
        <v>0</v>
      </c>
      <c r="L2444" s="2">
        <v>0</v>
      </c>
      <c r="M2444" s="2">
        <v>0</v>
      </c>
      <c r="N2444" s="2">
        <v>10</v>
      </c>
      <c r="O2444" s="2">
        <v>0</v>
      </c>
      <c r="P2444" s="2">
        <v>0</v>
      </c>
      <c r="Q2444" s="2">
        <v>10</v>
      </c>
      <c r="R2444" s="2">
        <v>0</v>
      </c>
      <c r="S2444" s="2" t="s">
        <v>488</v>
      </c>
      <c r="T2444" s="2" t="s">
        <v>488</v>
      </c>
      <c r="U2444" s="2" t="s">
        <v>488</v>
      </c>
      <c r="V2444" s="2" t="s">
        <v>488</v>
      </c>
      <c r="W2444">
        <f t="shared" si="40"/>
        <v>10</v>
      </c>
    </row>
    <row r="2445" spans="1:23" x14ac:dyDescent="0.25">
      <c r="A2445" s="2" t="s">
        <v>1380</v>
      </c>
      <c r="B2445" s="2" t="s">
        <v>920</v>
      </c>
      <c r="C2445" s="2">
        <v>540175</v>
      </c>
      <c r="D2445" s="2" t="s">
        <v>910</v>
      </c>
      <c r="E2445" s="2" t="s">
        <v>75</v>
      </c>
      <c r="F2445" s="2" t="s">
        <v>5</v>
      </c>
      <c r="G2445" s="2">
        <v>7</v>
      </c>
      <c r="H2445" s="2">
        <v>2</v>
      </c>
      <c r="I2445" s="2">
        <v>9</v>
      </c>
      <c r="J2445" s="2">
        <v>0</v>
      </c>
      <c r="K2445" s="2">
        <v>0</v>
      </c>
      <c r="L2445" s="2">
        <v>0</v>
      </c>
      <c r="M2445" s="2">
        <v>9</v>
      </c>
      <c r="N2445" s="2">
        <v>11</v>
      </c>
      <c r="O2445" s="2">
        <v>0</v>
      </c>
      <c r="P2445" s="2">
        <v>0</v>
      </c>
      <c r="Q2445" s="2">
        <v>2</v>
      </c>
      <c r="R2445" s="2">
        <v>0</v>
      </c>
      <c r="S2445" s="2" t="s">
        <v>488</v>
      </c>
      <c r="T2445" s="2" t="s">
        <v>488</v>
      </c>
      <c r="U2445" s="2" t="s">
        <v>488</v>
      </c>
      <c r="V2445" s="2" t="s">
        <v>488</v>
      </c>
      <c r="W2445">
        <f t="shared" si="40"/>
        <v>11</v>
      </c>
    </row>
    <row r="2446" spans="1:23" x14ac:dyDescent="0.25">
      <c r="A2446" s="255" t="s">
        <v>1380</v>
      </c>
      <c r="B2446" s="255" t="s">
        <v>920</v>
      </c>
      <c r="C2446" s="255"/>
      <c r="D2446" s="255"/>
      <c r="E2446" s="255" t="s">
        <v>75</v>
      </c>
      <c r="F2446" s="255"/>
      <c r="G2446" s="255"/>
      <c r="H2446" s="255">
        <v>12</v>
      </c>
      <c r="I2446" s="255">
        <v>10</v>
      </c>
      <c r="J2446" s="255">
        <v>0</v>
      </c>
      <c r="K2446" s="255">
        <v>0</v>
      </c>
      <c r="L2446" s="255">
        <v>0</v>
      </c>
      <c r="M2446" s="255">
        <v>10</v>
      </c>
      <c r="N2446" s="255">
        <v>22</v>
      </c>
      <c r="O2446" s="255">
        <v>0</v>
      </c>
      <c r="P2446" s="255">
        <v>0</v>
      </c>
      <c r="Q2446" s="255">
        <v>12</v>
      </c>
      <c r="R2446" s="255">
        <v>0</v>
      </c>
      <c r="S2446" s="255" t="s">
        <v>488</v>
      </c>
      <c r="T2446" s="255" t="s">
        <v>488</v>
      </c>
      <c r="U2446" s="255" t="s">
        <v>488</v>
      </c>
      <c r="V2446" s="255" t="s">
        <v>488</v>
      </c>
      <c r="W2446">
        <f t="shared" si="40"/>
        <v>22</v>
      </c>
    </row>
    <row r="2447" spans="1:23" x14ac:dyDescent="0.25">
      <c r="A2447" s="2" t="s">
        <v>1380</v>
      </c>
      <c r="B2447" s="2" t="s">
        <v>920</v>
      </c>
      <c r="C2447" s="2">
        <v>540219</v>
      </c>
      <c r="D2447" s="2" t="s">
        <v>911</v>
      </c>
      <c r="E2447" s="2" t="s">
        <v>95</v>
      </c>
      <c r="F2447" s="2" t="s">
        <v>115</v>
      </c>
      <c r="G2447" s="2">
        <v>1</v>
      </c>
      <c r="H2447" s="2">
        <v>0</v>
      </c>
      <c r="I2447" s="2">
        <v>0</v>
      </c>
      <c r="J2447" s="2">
        <v>0</v>
      </c>
      <c r="K2447" s="2">
        <v>0</v>
      </c>
      <c r="L2447" s="2">
        <v>0</v>
      </c>
      <c r="M2447" s="2">
        <v>0</v>
      </c>
      <c r="N2447" s="2">
        <v>0</v>
      </c>
      <c r="O2447" s="2">
        <v>0</v>
      </c>
      <c r="P2447" s="2">
        <v>0</v>
      </c>
      <c r="Q2447" s="2">
        <v>0</v>
      </c>
      <c r="R2447" s="2">
        <v>0</v>
      </c>
      <c r="S2447" s="2">
        <v>0</v>
      </c>
      <c r="T2447" s="2">
        <v>0</v>
      </c>
      <c r="U2447" s="2" t="s">
        <v>488</v>
      </c>
      <c r="V2447" s="2" t="s">
        <v>488</v>
      </c>
      <c r="W2447">
        <f t="shared" si="40"/>
        <v>0</v>
      </c>
    </row>
    <row r="2448" spans="1:23" x14ac:dyDescent="0.25">
      <c r="A2448" s="2" t="s">
        <v>1380</v>
      </c>
      <c r="B2448" s="2" t="s">
        <v>920</v>
      </c>
      <c r="C2448" s="2">
        <v>540220</v>
      </c>
      <c r="D2448" s="2" t="s">
        <v>912</v>
      </c>
      <c r="E2448" s="2" t="s">
        <v>95</v>
      </c>
      <c r="F2448" s="2" t="s">
        <v>115</v>
      </c>
      <c r="G2448" s="2">
        <v>1</v>
      </c>
      <c r="H2448" s="2">
        <v>0</v>
      </c>
      <c r="I2448" s="2">
        <v>0</v>
      </c>
      <c r="J2448" s="2">
        <v>0</v>
      </c>
      <c r="K2448" s="2">
        <v>0</v>
      </c>
      <c r="L2448" s="2">
        <v>0</v>
      </c>
      <c r="M2448" s="2">
        <v>0</v>
      </c>
      <c r="N2448" s="2">
        <v>0</v>
      </c>
      <c r="O2448" s="2">
        <v>0</v>
      </c>
      <c r="P2448" s="2">
        <v>0</v>
      </c>
      <c r="Q2448" s="2">
        <v>0</v>
      </c>
      <c r="R2448" s="2">
        <v>0</v>
      </c>
      <c r="S2448" s="2">
        <v>0</v>
      </c>
      <c r="T2448" s="2">
        <v>0</v>
      </c>
      <c r="U2448" s="2" t="s">
        <v>488</v>
      </c>
      <c r="V2448" s="2" t="s">
        <v>488</v>
      </c>
      <c r="W2448">
        <f t="shared" si="40"/>
        <v>0</v>
      </c>
    </row>
    <row r="2449" spans="1:23" x14ac:dyDescent="0.25">
      <c r="A2449" s="2" t="s">
        <v>1380</v>
      </c>
      <c r="B2449" s="2" t="s">
        <v>920</v>
      </c>
      <c r="C2449" s="2">
        <v>540218</v>
      </c>
      <c r="D2449" s="2" t="s">
        <v>913</v>
      </c>
      <c r="E2449" s="2" t="s">
        <v>95</v>
      </c>
      <c r="F2449" s="2" t="s">
        <v>115</v>
      </c>
      <c r="G2449" s="2">
        <v>1</v>
      </c>
      <c r="H2449" s="2">
        <v>0</v>
      </c>
      <c r="I2449" s="2">
        <v>35</v>
      </c>
      <c r="J2449" s="2">
        <v>0</v>
      </c>
      <c r="K2449" s="2">
        <v>0</v>
      </c>
      <c r="L2449" s="2">
        <v>0</v>
      </c>
      <c r="M2449" s="2">
        <v>35</v>
      </c>
      <c r="N2449" s="2">
        <v>35</v>
      </c>
      <c r="O2449" s="2">
        <v>0</v>
      </c>
      <c r="P2449" s="2">
        <v>0</v>
      </c>
      <c r="Q2449" s="2">
        <v>0</v>
      </c>
      <c r="R2449" s="2">
        <v>0</v>
      </c>
      <c r="S2449" s="2">
        <v>2</v>
      </c>
      <c r="T2449" s="2">
        <v>5</v>
      </c>
      <c r="U2449" s="2" t="s">
        <v>488</v>
      </c>
      <c r="V2449" s="2" t="s">
        <v>488</v>
      </c>
      <c r="W2449">
        <f t="shared" si="40"/>
        <v>40</v>
      </c>
    </row>
    <row r="2450" spans="1:23" x14ac:dyDescent="0.25">
      <c r="A2450" s="2" t="s">
        <v>1380</v>
      </c>
      <c r="B2450" s="2" t="s">
        <v>920</v>
      </c>
      <c r="C2450" s="2">
        <v>540217</v>
      </c>
      <c r="D2450" s="2" t="s">
        <v>914</v>
      </c>
      <c r="E2450" s="2" t="s">
        <v>95</v>
      </c>
      <c r="F2450" s="2" t="s">
        <v>5</v>
      </c>
      <c r="G2450" s="2">
        <v>1</v>
      </c>
      <c r="H2450" s="2">
        <v>0</v>
      </c>
      <c r="I2450" s="2">
        <v>0</v>
      </c>
      <c r="J2450" s="2">
        <v>0</v>
      </c>
      <c r="K2450" s="2">
        <v>0</v>
      </c>
      <c r="L2450" s="2">
        <v>0</v>
      </c>
      <c r="M2450" s="2">
        <v>0</v>
      </c>
      <c r="N2450" s="2">
        <v>0</v>
      </c>
      <c r="O2450" s="2">
        <v>0</v>
      </c>
      <c r="P2450" s="2">
        <v>0</v>
      </c>
      <c r="Q2450" s="2">
        <v>0</v>
      </c>
      <c r="R2450" s="2">
        <v>0</v>
      </c>
      <c r="S2450" s="2">
        <v>0</v>
      </c>
      <c r="T2450" s="2">
        <v>0</v>
      </c>
      <c r="U2450" s="2" t="s">
        <v>488</v>
      </c>
      <c r="V2450" s="2" t="s">
        <v>488</v>
      </c>
      <c r="W2450">
        <f t="shared" si="40"/>
        <v>0</v>
      </c>
    </row>
    <row r="2451" spans="1:23" x14ac:dyDescent="0.25">
      <c r="A2451" s="255" t="s">
        <v>1380</v>
      </c>
      <c r="B2451" s="255" t="s">
        <v>920</v>
      </c>
      <c r="C2451" s="255"/>
      <c r="D2451" s="255"/>
      <c r="E2451" s="255" t="s">
        <v>95</v>
      </c>
      <c r="F2451" s="255"/>
      <c r="G2451" s="255"/>
      <c r="H2451" s="255">
        <v>0</v>
      </c>
      <c r="I2451" s="255">
        <v>35</v>
      </c>
      <c r="J2451" s="255">
        <v>0</v>
      </c>
      <c r="K2451" s="255">
        <v>0</v>
      </c>
      <c r="L2451" s="255">
        <v>0</v>
      </c>
      <c r="M2451" s="255">
        <v>35</v>
      </c>
      <c r="N2451" s="255">
        <v>35</v>
      </c>
      <c r="O2451" s="255">
        <v>0</v>
      </c>
      <c r="P2451" s="255">
        <v>0</v>
      </c>
      <c r="Q2451" s="255">
        <v>0</v>
      </c>
      <c r="R2451" s="255">
        <v>0</v>
      </c>
      <c r="S2451" s="255">
        <v>2</v>
      </c>
      <c r="T2451" s="255">
        <v>5</v>
      </c>
      <c r="U2451" s="255" t="s">
        <v>488</v>
      </c>
      <c r="V2451" s="255" t="s">
        <v>488</v>
      </c>
      <c r="W2451">
        <f t="shared" si="40"/>
        <v>40</v>
      </c>
    </row>
    <row r="2452" spans="1:23" x14ac:dyDescent="0.25">
      <c r="A2452" s="2" t="s">
        <v>1380</v>
      </c>
      <c r="B2452" s="2" t="s">
        <v>921</v>
      </c>
      <c r="C2452" s="2">
        <v>540001</v>
      </c>
      <c r="D2452" s="2" t="s">
        <v>627</v>
      </c>
      <c r="E2452" s="2" t="s">
        <v>4</v>
      </c>
      <c r="F2452" s="2" t="s">
        <v>5</v>
      </c>
      <c r="G2452" s="2">
        <v>7</v>
      </c>
      <c r="H2452" s="2">
        <v>4</v>
      </c>
      <c r="I2452" s="2">
        <v>0</v>
      </c>
      <c r="J2452" s="2">
        <v>0</v>
      </c>
      <c r="K2452" s="2">
        <v>0</v>
      </c>
      <c r="L2452" s="2">
        <v>0</v>
      </c>
      <c r="M2452" s="2">
        <v>0</v>
      </c>
      <c r="N2452" s="2">
        <v>4</v>
      </c>
      <c r="O2452" s="2">
        <v>0</v>
      </c>
      <c r="P2452" s="2">
        <v>0</v>
      </c>
      <c r="Q2452" s="2">
        <v>2</v>
      </c>
      <c r="R2452" s="2">
        <v>1</v>
      </c>
      <c r="S2452" s="2" t="s">
        <v>488</v>
      </c>
      <c r="T2452" s="2" t="s">
        <v>488</v>
      </c>
      <c r="U2452" s="2" t="s">
        <v>488</v>
      </c>
      <c r="V2452" s="2" t="s">
        <v>488</v>
      </c>
      <c r="W2452">
        <f t="shared" si="40"/>
        <v>5</v>
      </c>
    </row>
    <row r="2453" spans="1:23" x14ac:dyDescent="0.25">
      <c r="A2453" s="2" t="s">
        <v>1380</v>
      </c>
      <c r="B2453" s="2" t="s">
        <v>921</v>
      </c>
      <c r="C2453" s="2">
        <v>540002</v>
      </c>
      <c r="D2453" s="2" t="s">
        <v>629</v>
      </c>
      <c r="E2453" s="2" t="s">
        <v>4</v>
      </c>
      <c r="F2453" s="2" t="s">
        <v>115</v>
      </c>
      <c r="G2453" s="2">
        <v>7</v>
      </c>
      <c r="H2453" s="2">
        <v>0</v>
      </c>
      <c r="I2453" s="2">
        <v>0</v>
      </c>
      <c r="J2453" s="2">
        <v>0</v>
      </c>
      <c r="K2453" s="2">
        <v>0</v>
      </c>
      <c r="L2453" s="2">
        <v>0</v>
      </c>
      <c r="M2453" s="2">
        <v>0</v>
      </c>
      <c r="N2453" s="2">
        <v>0</v>
      </c>
      <c r="O2453" s="2">
        <v>0</v>
      </c>
      <c r="P2453" s="2">
        <v>0</v>
      </c>
      <c r="Q2453" s="2">
        <v>0</v>
      </c>
      <c r="R2453" s="2">
        <v>0</v>
      </c>
      <c r="S2453" s="2" t="s">
        <v>488</v>
      </c>
      <c r="T2453" s="2" t="s">
        <v>488</v>
      </c>
      <c r="U2453" s="2" t="s">
        <v>488</v>
      </c>
      <c r="V2453" s="2" t="s">
        <v>488</v>
      </c>
      <c r="W2453">
        <f t="shared" si="40"/>
        <v>0</v>
      </c>
    </row>
    <row r="2454" spans="1:23" x14ac:dyDescent="0.25">
      <c r="A2454" s="2" t="s">
        <v>1380</v>
      </c>
      <c r="B2454" s="2" t="s">
        <v>921</v>
      </c>
      <c r="C2454" s="2">
        <v>540003</v>
      </c>
      <c r="D2454" s="2" t="s">
        <v>630</v>
      </c>
      <c r="E2454" s="2" t="s">
        <v>4</v>
      </c>
      <c r="F2454" s="2" t="s">
        <v>115</v>
      </c>
      <c r="G2454" s="2">
        <v>7</v>
      </c>
      <c r="H2454" s="2">
        <v>0</v>
      </c>
      <c r="I2454" s="2">
        <v>0</v>
      </c>
      <c r="J2454" s="2">
        <v>0</v>
      </c>
      <c r="K2454" s="2">
        <v>0</v>
      </c>
      <c r="L2454" s="2">
        <v>0</v>
      </c>
      <c r="M2454" s="2">
        <v>0</v>
      </c>
      <c r="N2454" s="2">
        <v>0</v>
      </c>
      <c r="O2454" s="2">
        <v>0</v>
      </c>
      <c r="P2454" s="2">
        <v>0</v>
      </c>
      <c r="Q2454" s="2">
        <v>0</v>
      </c>
      <c r="R2454" s="2">
        <v>0</v>
      </c>
      <c r="S2454" s="2" t="s">
        <v>488</v>
      </c>
      <c r="T2454" s="2" t="s">
        <v>488</v>
      </c>
      <c r="U2454" s="2" t="s">
        <v>488</v>
      </c>
      <c r="V2454" s="2" t="s">
        <v>488</v>
      </c>
      <c r="W2454">
        <f t="shared" si="40"/>
        <v>0</v>
      </c>
    </row>
    <row r="2455" spans="1:23" x14ac:dyDescent="0.25">
      <c r="A2455" s="2" t="s">
        <v>1380</v>
      </c>
      <c r="B2455" s="2" t="s">
        <v>921</v>
      </c>
      <c r="C2455" s="2">
        <v>540004</v>
      </c>
      <c r="D2455" s="2" t="s">
        <v>631</v>
      </c>
      <c r="E2455" s="2" t="s">
        <v>4</v>
      </c>
      <c r="F2455" s="2" t="s">
        <v>115</v>
      </c>
      <c r="G2455" s="2">
        <v>7</v>
      </c>
      <c r="H2455" s="2">
        <v>0</v>
      </c>
      <c r="I2455" s="2">
        <v>4</v>
      </c>
      <c r="J2455" s="2">
        <v>0</v>
      </c>
      <c r="K2455" s="2">
        <v>0</v>
      </c>
      <c r="L2455" s="2">
        <v>0</v>
      </c>
      <c r="M2455" s="2">
        <v>4</v>
      </c>
      <c r="N2455" s="2">
        <v>4</v>
      </c>
      <c r="O2455" s="2">
        <v>0</v>
      </c>
      <c r="P2455" s="2">
        <v>0</v>
      </c>
      <c r="Q2455" s="2">
        <v>0</v>
      </c>
      <c r="R2455" s="2">
        <v>0</v>
      </c>
      <c r="S2455" s="2" t="s">
        <v>488</v>
      </c>
      <c r="T2455" s="2" t="s">
        <v>488</v>
      </c>
      <c r="U2455" s="2" t="s">
        <v>488</v>
      </c>
      <c r="V2455" s="2" t="s">
        <v>488</v>
      </c>
      <c r="W2455">
        <f t="shared" si="40"/>
        <v>4</v>
      </c>
    </row>
    <row r="2456" spans="1:23" x14ac:dyDescent="0.25">
      <c r="A2456" s="255" t="s">
        <v>1380</v>
      </c>
      <c r="B2456" s="255" t="s">
        <v>921</v>
      </c>
      <c r="C2456" s="255"/>
      <c r="D2456" s="255"/>
      <c r="E2456" s="255" t="s">
        <v>4</v>
      </c>
      <c r="F2456" s="255"/>
      <c r="G2456" s="255"/>
      <c r="H2456" s="255">
        <v>4</v>
      </c>
      <c r="I2456" s="255">
        <v>4</v>
      </c>
      <c r="J2456" s="255">
        <v>0</v>
      </c>
      <c r="K2456" s="255">
        <v>0</v>
      </c>
      <c r="L2456" s="255">
        <v>0</v>
      </c>
      <c r="M2456" s="255">
        <v>4</v>
      </c>
      <c r="N2456" s="255">
        <v>8</v>
      </c>
      <c r="O2456" s="255">
        <v>0</v>
      </c>
      <c r="P2456" s="255">
        <v>0</v>
      </c>
      <c r="Q2456" s="255">
        <v>2</v>
      </c>
      <c r="R2456" s="255">
        <v>1</v>
      </c>
      <c r="S2456" s="255" t="s">
        <v>488</v>
      </c>
      <c r="T2456" s="255" t="s">
        <v>488</v>
      </c>
      <c r="U2456" s="255" t="s">
        <v>488</v>
      </c>
      <c r="V2456" s="255" t="s">
        <v>488</v>
      </c>
      <c r="W2456">
        <f t="shared" si="40"/>
        <v>9</v>
      </c>
    </row>
    <row r="2457" spans="1:23" x14ac:dyDescent="0.25">
      <c r="A2457" s="2" t="s">
        <v>1380</v>
      </c>
      <c r="B2457" s="2" t="s">
        <v>921</v>
      </c>
      <c r="C2457" s="2">
        <v>540007</v>
      </c>
      <c r="D2457" s="2" t="s">
        <v>632</v>
      </c>
      <c r="E2457" s="2" t="s">
        <v>7</v>
      </c>
      <c r="F2457" s="2" t="s">
        <v>5</v>
      </c>
      <c r="G2457" s="2">
        <v>3</v>
      </c>
      <c r="H2457" s="2">
        <v>3</v>
      </c>
      <c r="I2457" s="2">
        <v>10</v>
      </c>
      <c r="J2457" s="2">
        <v>1</v>
      </c>
      <c r="K2457" s="2">
        <v>0</v>
      </c>
      <c r="L2457" s="2">
        <v>0</v>
      </c>
      <c r="M2457" s="2">
        <v>11</v>
      </c>
      <c r="N2457" s="2">
        <v>14</v>
      </c>
      <c r="O2457" s="2">
        <v>0</v>
      </c>
      <c r="P2457" s="2">
        <v>0</v>
      </c>
      <c r="Q2457" s="2">
        <v>1</v>
      </c>
      <c r="R2457" s="2">
        <v>2</v>
      </c>
      <c r="S2457" s="2" t="s">
        <v>488</v>
      </c>
      <c r="T2457" s="2" t="s">
        <v>488</v>
      </c>
      <c r="U2457" s="2" t="s">
        <v>488</v>
      </c>
      <c r="V2457" s="2" t="s">
        <v>488</v>
      </c>
      <c r="W2457">
        <f t="shared" si="40"/>
        <v>16</v>
      </c>
    </row>
    <row r="2458" spans="1:23" x14ac:dyDescent="0.25">
      <c r="A2458" s="2" t="s">
        <v>1380</v>
      </c>
      <c r="B2458" s="2" t="s">
        <v>921</v>
      </c>
      <c r="C2458" s="2">
        <v>540008</v>
      </c>
      <c r="D2458" s="2" t="s">
        <v>633</v>
      </c>
      <c r="E2458" s="2" t="s">
        <v>7</v>
      </c>
      <c r="F2458" s="2" t="s">
        <v>115</v>
      </c>
      <c r="G2458" s="2">
        <v>3</v>
      </c>
      <c r="H2458" s="2">
        <v>0</v>
      </c>
      <c r="I2458" s="2">
        <v>2</v>
      </c>
      <c r="J2458" s="2">
        <v>0</v>
      </c>
      <c r="K2458" s="2">
        <v>0</v>
      </c>
      <c r="L2458" s="2">
        <v>0</v>
      </c>
      <c r="M2458" s="2">
        <v>2</v>
      </c>
      <c r="N2458" s="2">
        <v>2</v>
      </c>
      <c r="O2458" s="2">
        <v>0</v>
      </c>
      <c r="P2458" s="2">
        <v>0</v>
      </c>
      <c r="Q2458" s="2">
        <v>0</v>
      </c>
      <c r="R2458" s="2">
        <v>0</v>
      </c>
      <c r="S2458" s="2" t="s">
        <v>488</v>
      </c>
      <c r="T2458" s="2" t="s">
        <v>488</v>
      </c>
      <c r="U2458" s="2" t="s">
        <v>488</v>
      </c>
      <c r="V2458" s="2" t="s">
        <v>488</v>
      </c>
      <c r="W2458">
        <f t="shared" si="40"/>
        <v>2</v>
      </c>
    </row>
    <row r="2459" spans="1:23" x14ac:dyDescent="0.25">
      <c r="A2459" s="2" t="s">
        <v>1380</v>
      </c>
      <c r="B2459" s="2" t="s">
        <v>921</v>
      </c>
      <c r="C2459" s="2">
        <v>540229</v>
      </c>
      <c r="D2459" s="2" t="s">
        <v>634</v>
      </c>
      <c r="E2459" s="2" t="s">
        <v>7</v>
      </c>
      <c r="F2459" s="2" t="s">
        <v>115</v>
      </c>
      <c r="G2459" s="2">
        <v>3</v>
      </c>
      <c r="H2459" s="2">
        <v>0</v>
      </c>
      <c r="I2459" s="2">
        <v>1</v>
      </c>
      <c r="J2459" s="2">
        <v>0</v>
      </c>
      <c r="K2459" s="2">
        <v>0</v>
      </c>
      <c r="L2459" s="2">
        <v>0</v>
      </c>
      <c r="M2459" s="2">
        <v>1</v>
      </c>
      <c r="N2459" s="2">
        <v>1</v>
      </c>
      <c r="O2459" s="2">
        <v>0</v>
      </c>
      <c r="P2459" s="2">
        <v>0</v>
      </c>
      <c r="Q2459" s="2">
        <v>0</v>
      </c>
      <c r="R2459" s="2">
        <v>0</v>
      </c>
      <c r="S2459" s="2" t="s">
        <v>488</v>
      </c>
      <c r="T2459" s="2" t="s">
        <v>488</v>
      </c>
      <c r="U2459" s="2" t="s">
        <v>488</v>
      </c>
      <c r="V2459" s="2" t="s">
        <v>488</v>
      </c>
      <c r="W2459">
        <f t="shared" si="40"/>
        <v>1</v>
      </c>
    </row>
    <row r="2460" spans="1:23" x14ac:dyDescent="0.25">
      <c r="A2460" s="2" t="s">
        <v>1380</v>
      </c>
      <c r="B2460" s="2" t="s">
        <v>921</v>
      </c>
      <c r="C2460" s="2">
        <v>540230</v>
      </c>
      <c r="D2460" s="2" t="s">
        <v>635</v>
      </c>
      <c r="E2460" s="2" t="s">
        <v>7</v>
      </c>
      <c r="F2460" s="2" t="s">
        <v>115</v>
      </c>
      <c r="G2460" s="2">
        <v>3</v>
      </c>
      <c r="H2460" s="2">
        <v>0</v>
      </c>
      <c r="I2460" s="2">
        <v>0</v>
      </c>
      <c r="J2460" s="2">
        <v>2</v>
      </c>
      <c r="K2460" s="2">
        <v>0</v>
      </c>
      <c r="L2460" s="2">
        <v>0</v>
      </c>
      <c r="M2460" s="2">
        <v>2</v>
      </c>
      <c r="N2460" s="2">
        <v>2</v>
      </c>
      <c r="O2460" s="2">
        <v>0</v>
      </c>
      <c r="P2460" s="2">
        <v>0</v>
      </c>
      <c r="Q2460" s="2">
        <v>0</v>
      </c>
      <c r="R2460" s="2">
        <v>0</v>
      </c>
      <c r="S2460" s="2" t="s">
        <v>488</v>
      </c>
      <c r="T2460" s="2" t="s">
        <v>488</v>
      </c>
      <c r="U2460" s="2" t="s">
        <v>488</v>
      </c>
      <c r="V2460" s="2" t="s">
        <v>488</v>
      </c>
      <c r="W2460">
        <f t="shared" si="40"/>
        <v>2</v>
      </c>
    </row>
    <row r="2461" spans="1:23" x14ac:dyDescent="0.25">
      <c r="A2461" s="2" t="s">
        <v>1380</v>
      </c>
      <c r="B2461" s="2" t="s">
        <v>921</v>
      </c>
      <c r="C2461" s="2">
        <v>540238</v>
      </c>
      <c r="D2461" s="2" t="s">
        <v>636</v>
      </c>
      <c r="E2461" s="2" t="s">
        <v>7</v>
      </c>
      <c r="F2461" s="2" t="s">
        <v>115</v>
      </c>
      <c r="G2461" s="2">
        <v>3</v>
      </c>
      <c r="H2461" s="2">
        <v>0</v>
      </c>
      <c r="I2461" s="2">
        <v>1</v>
      </c>
      <c r="J2461" s="2">
        <v>0</v>
      </c>
      <c r="K2461" s="2">
        <v>0</v>
      </c>
      <c r="L2461" s="2">
        <v>0</v>
      </c>
      <c r="M2461" s="2">
        <v>1</v>
      </c>
      <c r="N2461" s="2">
        <v>1</v>
      </c>
      <c r="O2461" s="2">
        <v>0</v>
      </c>
      <c r="P2461" s="2">
        <v>0</v>
      </c>
      <c r="Q2461" s="2">
        <v>0</v>
      </c>
      <c r="R2461" s="2">
        <v>0</v>
      </c>
      <c r="S2461" s="2" t="s">
        <v>488</v>
      </c>
      <c r="T2461" s="2" t="s">
        <v>488</v>
      </c>
      <c r="U2461" s="2" t="s">
        <v>488</v>
      </c>
      <c r="V2461" s="2" t="s">
        <v>488</v>
      </c>
      <c r="W2461">
        <f t="shared" si="40"/>
        <v>1</v>
      </c>
    </row>
    <row r="2462" spans="1:23" x14ac:dyDescent="0.25">
      <c r="A2462" s="255" t="s">
        <v>1380</v>
      </c>
      <c r="B2462" s="255" t="s">
        <v>921</v>
      </c>
      <c r="C2462" s="255"/>
      <c r="D2462" s="255"/>
      <c r="E2462" s="255" t="s">
        <v>7</v>
      </c>
      <c r="F2462" s="255"/>
      <c r="G2462" s="255"/>
      <c r="H2462" s="255">
        <v>3</v>
      </c>
      <c r="I2462" s="255">
        <v>14</v>
      </c>
      <c r="J2462" s="255">
        <v>3</v>
      </c>
      <c r="K2462" s="255">
        <v>0</v>
      </c>
      <c r="L2462" s="255">
        <v>0</v>
      </c>
      <c r="M2462" s="255">
        <v>17</v>
      </c>
      <c r="N2462" s="255">
        <v>20</v>
      </c>
      <c r="O2462" s="255">
        <v>0</v>
      </c>
      <c r="P2462" s="255">
        <v>0</v>
      </c>
      <c r="Q2462" s="255">
        <v>1</v>
      </c>
      <c r="R2462" s="255">
        <v>2</v>
      </c>
      <c r="S2462" s="255" t="s">
        <v>488</v>
      </c>
      <c r="T2462" s="255" t="s">
        <v>488</v>
      </c>
      <c r="U2462" s="255" t="s">
        <v>488</v>
      </c>
      <c r="V2462" s="255" t="s">
        <v>488</v>
      </c>
      <c r="W2462">
        <f t="shared" si="40"/>
        <v>22</v>
      </c>
    </row>
    <row r="2463" spans="1:23" x14ac:dyDescent="0.25">
      <c r="A2463" s="2" t="s">
        <v>1380</v>
      </c>
      <c r="B2463" s="2" t="s">
        <v>921</v>
      </c>
      <c r="C2463" s="2">
        <v>540009</v>
      </c>
      <c r="D2463" s="2" t="s">
        <v>637</v>
      </c>
      <c r="E2463" s="2" t="s">
        <v>9</v>
      </c>
      <c r="F2463" s="2" t="s">
        <v>5</v>
      </c>
      <c r="G2463" s="2">
        <v>7</v>
      </c>
      <c r="H2463" s="2">
        <v>7</v>
      </c>
      <c r="I2463" s="2">
        <v>1</v>
      </c>
      <c r="J2463" s="2">
        <v>0</v>
      </c>
      <c r="K2463" s="2">
        <v>0</v>
      </c>
      <c r="L2463" s="2">
        <v>0</v>
      </c>
      <c r="M2463" s="2">
        <v>1</v>
      </c>
      <c r="N2463" s="2">
        <v>8</v>
      </c>
      <c r="O2463" s="2">
        <v>0</v>
      </c>
      <c r="P2463" s="2">
        <v>0</v>
      </c>
      <c r="Q2463" s="2" t="s">
        <v>488</v>
      </c>
      <c r="R2463" s="2" t="s">
        <v>488</v>
      </c>
      <c r="S2463" s="2" t="s">
        <v>488</v>
      </c>
      <c r="T2463" s="2" t="s">
        <v>488</v>
      </c>
      <c r="U2463" s="2" t="s">
        <v>488</v>
      </c>
      <c r="V2463" s="2" t="s">
        <v>488</v>
      </c>
      <c r="W2463">
        <f t="shared" si="40"/>
        <v>8</v>
      </c>
    </row>
    <row r="2464" spans="1:23" x14ac:dyDescent="0.25">
      <c r="A2464" s="2" t="s">
        <v>1380</v>
      </c>
      <c r="B2464" s="2" t="s">
        <v>921</v>
      </c>
      <c r="C2464" s="2">
        <v>540010</v>
      </c>
      <c r="D2464" s="2" t="s">
        <v>638</v>
      </c>
      <c r="E2464" s="2" t="s">
        <v>9</v>
      </c>
      <c r="F2464" s="2" t="s">
        <v>115</v>
      </c>
      <c r="G2464" s="2">
        <v>7</v>
      </c>
      <c r="H2464" s="2">
        <v>0</v>
      </c>
      <c r="I2464" s="2">
        <v>0</v>
      </c>
      <c r="J2464" s="2">
        <v>0</v>
      </c>
      <c r="K2464" s="2">
        <v>0</v>
      </c>
      <c r="L2464" s="2">
        <v>0</v>
      </c>
      <c r="M2464" s="2">
        <v>0</v>
      </c>
      <c r="N2464" s="2">
        <v>0</v>
      </c>
      <c r="O2464" s="2">
        <v>0</v>
      </c>
      <c r="P2464" s="2">
        <v>0</v>
      </c>
      <c r="Q2464" s="2" t="s">
        <v>488</v>
      </c>
      <c r="R2464" s="2" t="s">
        <v>488</v>
      </c>
      <c r="S2464" s="2" t="s">
        <v>488</v>
      </c>
      <c r="T2464" s="2" t="s">
        <v>488</v>
      </c>
      <c r="U2464" s="2" t="s">
        <v>488</v>
      </c>
      <c r="V2464" s="2" t="s">
        <v>488</v>
      </c>
      <c r="W2464">
        <f t="shared" si="40"/>
        <v>0</v>
      </c>
    </row>
    <row r="2465" spans="1:23" x14ac:dyDescent="0.25">
      <c r="A2465" s="2" t="s">
        <v>1380</v>
      </c>
      <c r="B2465" s="2" t="s">
        <v>921</v>
      </c>
      <c r="C2465" s="2">
        <v>540235</v>
      </c>
      <c r="D2465" s="2" t="s">
        <v>639</v>
      </c>
      <c r="E2465" s="2" t="s">
        <v>9</v>
      </c>
      <c r="F2465" s="2" t="s">
        <v>115</v>
      </c>
      <c r="G2465" s="2">
        <v>7</v>
      </c>
      <c r="H2465" s="2">
        <v>0</v>
      </c>
      <c r="I2465" s="2">
        <v>0</v>
      </c>
      <c r="J2465" s="2">
        <v>0</v>
      </c>
      <c r="K2465" s="2">
        <v>0</v>
      </c>
      <c r="L2465" s="2">
        <v>0</v>
      </c>
      <c r="M2465" s="2">
        <v>0</v>
      </c>
      <c r="N2465" s="2">
        <v>0</v>
      </c>
      <c r="O2465" s="2">
        <v>0</v>
      </c>
      <c r="P2465" s="2">
        <v>0</v>
      </c>
      <c r="Q2465" s="2" t="s">
        <v>488</v>
      </c>
      <c r="R2465" s="2" t="s">
        <v>488</v>
      </c>
      <c r="S2465" s="2" t="s">
        <v>488</v>
      </c>
      <c r="T2465" s="2" t="s">
        <v>488</v>
      </c>
      <c r="U2465" s="2" t="s">
        <v>488</v>
      </c>
      <c r="V2465" s="2" t="s">
        <v>488</v>
      </c>
      <c r="W2465">
        <f t="shared" si="40"/>
        <v>0</v>
      </c>
    </row>
    <row r="2466" spans="1:23" x14ac:dyDescent="0.25">
      <c r="A2466" s="2" t="s">
        <v>1380</v>
      </c>
      <c r="B2466" s="2" t="s">
        <v>921</v>
      </c>
      <c r="C2466" s="2">
        <v>540236</v>
      </c>
      <c r="D2466" s="2" t="s">
        <v>640</v>
      </c>
      <c r="E2466" s="2" t="s">
        <v>9</v>
      </c>
      <c r="F2466" s="2" t="s">
        <v>115</v>
      </c>
      <c r="G2466" s="2">
        <v>7</v>
      </c>
      <c r="H2466" s="2">
        <v>0</v>
      </c>
      <c r="I2466" s="2">
        <v>0</v>
      </c>
      <c r="J2466" s="2">
        <v>0</v>
      </c>
      <c r="K2466" s="2">
        <v>0</v>
      </c>
      <c r="L2466" s="2">
        <v>0</v>
      </c>
      <c r="M2466" s="2">
        <v>0</v>
      </c>
      <c r="N2466" s="2">
        <v>0</v>
      </c>
      <c r="O2466" s="2">
        <v>0</v>
      </c>
      <c r="P2466" s="2">
        <v>0</v>
      </c>
      <c r="Q2466" s="2" t="s">
        <v>488</v>
      </c>
      <c r="R2466" s="2" t="s">
        <v>488</v>
      </c>
      <c r="S2466" s="2" t="s">
        <v>488</v>
      </c>
      <c r="T2466" s="2" t="s">
        <v>488</v>
      </c>
      <c r="U2466" s="2" t="s">
        <v>488</v>
      </c>
      <c r="V2466" s="2" t="s">
        <v>488</v>
      </c>
      <c r="W2466">
        <f t="shared" si="40"/>
        <v>0</v>
      </c>
    </row>
    <row r="2467" spans="1:23" x14ac:dyDescent="0.25">
      <c r="A2467" s="2" t="s">
        <v>1380</v>
      </c>
      <c r="B2467" s="2" t="s">
        <v>921</v>
      </c>
      <c r="C2467" s="2">
        <v>540237</v>
      </c>
      <c r="D2467" s="2" t="s">
        <v>641</v>
      </c>
      <c r="E2467" s="2" t="s">
        <v>9</v>
      </c>
      <c r="F2467" s="2" t="s">
        <v>115</v>
      </c>
      <c r="G2467" s="2">
        <v>7</v>
      </c>
      <c r="H2467" s="2">
        <v>0</v>
      </c>
      <c r="I2467" s="2">
        <v>0</v>
      </c>
      <c r="J2467" s="2">
        <v>0</v>
      </c>
      <c r="K2467" s="2">
        <v>0</v>
      </c>
      <c r="L2467" s="2">
        <v>0</v>
      </c>
      <c r="M2467" s="2">
        <v>0</v>
      </c>
      <c r="N2467" s="2">
        <v>0</v>
      </c>
      <c r="O2467" s="2">
        <v>0</v>
      </c>
      <c r="P2467" s="2">
        <v>0</v>
      </c>
      <c r="Q2467" s="2" t="s">
        <v>488</v>
      </c>
      <c r="R2467" s="2" t="s">
        <v>488</v>
      </c>
      <c r="S2467" s="2" t="s">
        <v>488</v>
      </c>
      <c r="T2467" s="2" t="s">
        <v>488</v>
      </c>
      <c r="U2467" s="2" t="s">
        <v>488</v>
      </c>
      <c r="V2467" s="2" t="s">
        <v>488</v>
      </c>
      <c r="W2467">
        <f t="shared" si="40"/>
        <v>0</v>
      </c>
    </row>
    <row r="2468" spans="1:23" x14ac:dyDescent="0.25">
      <c r="A2468" s="255" t="s">
        <v>1380</v>
      </c>
      <c r="B2468" s="255" t="s">
        <v>921</v>
      </c>
      <c r="C2468" s="255"/>
      <c r="D2468" s="255"/>
      <c r="E2468" s="255" t="s">
        <v>9</v>
      </c>
      <c r="F2468" s="255"/>
      <c r="G2468" s="255"/>
      <c r="H2468" s="255">
        <v>7</v>
      </c>
      <c r="I2468" s="255">
        <v>1</v>
      </c>
      <c r="J2468" s="255">
        <v>0</v>
      </c>
      <c r="K2468" s="255">
        <v>0</v>
      </c>
      <c r="L2468" s="255">
        <v>0</v>
      </c>
      <c r="M2468" s="255">
        <v>1</v>
      </c>
      <c r="N2468" s="255">
        <v>8</v>
      </c>
      <c r="O2468" s="255">
        <v>0</v>
      </c>
      <c r="P2468" s="255">
        <v>0</v>
      </c>
      <c r="Q2468" s="255" t="s">
        <v>488</v>
      </c>
      <c r="R2468" s="255" t="s">
        <v>488</v>
      </c>
      <c r="S2468" s="255" t="s">
        <v>488</v>
      </c>
      <c r="T2468" s="255" t="s">
        <v>488</v>
      </c>
      <c r="U2468" s="255" t="s">
        <v>488</v>
      </c>
      <c r="V2468" s="255" t="s">
        <v>488</v>
      </c>
      <c r="W2468">
        <f t="shared" si="40"/>
        <v>8</v>
      </c>
    </row>
    <row r="2469" spans="1:23" x14ac:dyDescent="0.25">
      <c r="A2469" s="2" t="s">
        <v>1380</v>
      </c>
      <c r="B2469" s="2" t="s">
        <v>921</v>
      </c>
      <c r="C2469" s="2">
        <v>540011</v>
      </c>
      <c r="D2469" s="2" t="s">
        <v>642</v>
      </c>
      <c r="E2469" s="2" t="s">
        <v>11</v>
      </c>
      <c r="F2469" s="2" t="s">
        <v>5</v>
      </c>
      <c r="G2469" s="2">
        <v>11</v>
      </c>
      <c r="H2469" s="2">
        <v>0</v>
      </c>
      <c r="I2469" s="2">
        <v>0</v>
      </c>
      <c r="J2469" s="2">
        <v>0</v>
      </c>
      <c r="K2469" s="2">
        <v>0</v>
      </c>
      <c r="L2469" s="2">
        <v>0</v>
      </c>
      <c r="M2469" s="2">
        <v>0</v>
      </c>
      <c r="N2469" s="2">
        <v>0</v>
      </c>
      <c r="O2469" s="2">
        <v>0</v>
      </c>
      <c r="P2469" s="2">
        <v>0</v>
      </c>
      <c r="Q2469" s="2">
        <v>0</v>
      </c>
      <c r="R2469" s="2">
        <v>2</v>
      </c>
      <c r="S2469" s="2" t="s">
        <v>488</v>
      </c>
      <c r="T2469" s="2" t="s">
        <v>488</v>
      </c>
      <c r="U2469" s="2" t="s">
        <v>488</v>
      </c>
      <c r="V2469" s="2" t="s">
        <v>488</v>
      </c>
      <c r="W2469">
        <f t="shared" si="40"/>
        <v>2</v>
      </c>
    </row>
    <row r="2470" spans="1:23" x14ac:dyDescent="0.25">
      <c r="A2470" s="2" t="s">
        <v>1380</v>
      </c>
      <c r="B2470" s="2" t="s">
        <v>921</v>
      </c>
      <c r="C2470" s="2">
        <v>540012</v>
      </c>
      <c r="D2470" s="2" t="s">
        <v>643</v>
      </c>
      <c r="E2470" s="2" t="s">
        <v>11</v>
      </c>
      <c r="F2470" s="2" t="s">
        <v>115</v>
      </c>
      <c r="G2470" s="2">
        <v>11</v>
      </c>
      <c r="H2470" s="2">
        <v>0</v>
      </c>
      <c r="I2470" s="2">
        <v>0</v>
      </c>
      <c r="J2470" s="2">
        <v>0</v>
      </c>
      <c r="K2470" s="2">
        <v>0</v>
      </c>
      <c r="L2470" s="2">
        <v>0</v>
      </c>
      <c r="M2470" s="2">
        <v>0</v>
      </c>
      <c r="N2470" s="2">
        <v>0</v>
      </c>
      <c r="O2470" s="2">
        <v>0</v>
      </c>
      <c r="P2470" s="2">
        <v>0</v>
      </c>
      <c r="Q2470" s="2">
        <v>0</v>
      </c>
      <c r="R2470" s="2">
        <v>0</v>
      </c>
      <c r="S2470" s="2" t="s">
        <v>488</v>
      </c>
      <c r="T2470" s="2" t="s">
        <v>488</v>
      </c>
      <c r="U2470" s="2" t="s">
        <v>488</v>
      </c>
      <c r="V2470" s="2" t="s">
        <v>488</v>
      </c>
      <c r="W2470">
        <f t="shared" si="40"/>
        <v>0</v>
      </c>
    </row>
    <row r="2471" spans="1:23" x14ac:dyDescent="0.25">
      <c r="A2471" s="2" t="s">
        <v>1380</v>
      </c>
      <c r="B2471" s="2" t="s">
        <v>921</v>
      </c>
      <c r="C2471" s="2">
        <v>540013</v>
      </c>
      <c r="D2471" s="2" t="s">
        <v>644</v>
      </c>
      <c r="E2471" s="2" t="s">
        <v>11</v>
      </c>
      <c r="F2471" s="2" t="s">
        <v>115</v>
      </c>
      <c r="G2471" s="2">
        <v>11</v>
      </c>
      <c r="H2471" s="2">
        <v>0</v>
      </c>
      <c r="I2471" s="2">
        <v>1</v>
      </c>
      <c r="J2471" s="2">
        <v>0</v>
      </c>
      <c r="K2471" s="2">
        <v>0</v>
      </c>
      <c r="L2471" s="2">
        <v>0</v>
      </c>
      <c r="M2471" s="2">
        <v>1</v>
      </c>
      <c r="N2471" s="2">
        <v>1</v>
      </c>
      <c r="O2471" s="2">
        <v>0</v>
      </c>
      <c r="P2471" s="2">
        <v>0</v>
      </c>
      <c r="Q2471" s="2">
        <v>0</v>
      </c>
      <c r="R2471" s="2">
        <v>0</v>
      </c>
      <c r="S2471" s="2" t="s">
        <v>488</v>
      </c>
      <c r="T2471" s="2" t="s">
        <v>488</v>
      </c>
      <c r="U2471" s="2" t="s">
        <v>488</v>
      </c>
      <c r="V2471" s="2" t="s">
        <v>488</v>
      </c>
      <c r="W2471">
        <f t="shared" si="40"/>
        <v>1</v>
      </c>
    </row>
    <row r="2472" spans="1:23" x14ac:dyDescent="0.25">
      <c r="A2472" s="2" t="s">
        <v>1380</v>
      </c>
      <c r="B2472" s="2" t="s">
        <v>921</v>
      </c>
      <c r="C2472" s="2">
        <v>540014</v>
      </c>
      <c r="D2472" s="2" t="s">
        <v>645</v>
      </c>
      <c r="E2472" s="2" t="s">
        <v>11</v>
      </c>
      <c r="F2472" s="2" t="s">
        <v>115</v>
      </c>
      <c r="G2472" s="2">
        <v>11</v>
      </c>
      <c r="H2472" s="2">
        <v>0</v>
      </c>
      <c r="I2472" s="2">
        <v>0</v>
      </c>
      <c r="J2472" s="2">
        <v>0</v>
      </c>
      <c r="K2472" s="2">
        <v>0</v>
      </c>
      <c r="L2472" s="2">
        <v>0</v>
      </c>
      <c r="M2472" s="2">
        <v>0</v>
      </c>
      <c r="N2472" s="2">
        <v>0</v>
      </c>
      <c r="O2472" s="2">
        <v>0</v>
      </c>
      <c r="P2472" s="2">
        <v>0</v>
      </c>
      <c r="Q2472" s="2">
        <v>0</v>
      </c>
      <c r="R2472" s="2">
        <v>0</v>
      </c>
      <c r="S2472" s="2" t="s">
        <v>488</v>
      </c>
      <c r="T2472" s="2" t="s">
        <v>488</v>
      </c>
      <c r="U2472" s="2" t="s">
        <v>488</v>
      </c>
      <c r="V2472" s="2" t="s">
        <v>488</v>
      </c>
      <c r="W2472">
        <f t="shared" si="40"/>
        <v>0</v>
      </c>
    </row>
    <row r="2473" spans="1:23" x14ac:dyDescent="0.25">
      <c r="A2473" s="2" t="s">
        <v>1380</v>
      </c>
      <c r="B2473" s="2" t="s">
        <v>921</v>
      </c>
      <c r="C2473" s="2">
        <v>540015</v>
      </c>
      <c r="D2473" s="2" t="s">
        <v>646</v>
      </c>
      <c r="E2473" s="2" t="s">
        <v>11</v>
      </c>
      <c r="F2473" s="2" t="s">
        <v>115</v>
      </c>
      <c r="G2473" s="2">
        <v>11</v>
      </c>
      <c r="H2473" s="2">
        <v>0</v>
      </c>
      <c r="I2473" s="2">
        <v>11</v>
      </c>
      <c r="J2473" s="2">
        <v>0</v>
      </c>
      <c r="K2473" s="2">
        <v>0</v>
      </c>
      <c r="L2473" s="2">
        <v>0</v>
      </c>
      <c r="M2473" s="2">
        <v>11</v>
      </c>
      <c r="N2473" s="2">
        <v>11</v>
      </c>
      <c r="O2473" s="2">
        <v>0</v>
      </c>
      <c r="P2473" s="2">
        <v>0</v>
      </c>
      <c r="Q2473" s="2">
        <v>0</v>
      </c>
      <c r="R2473" s="2">
        <v>0</v>
      </c>
      <c r="S2473" s="2" t="s">
        <v>488</v>
      </c>
      <c r="T2473" s="2" t="s">
        <v>488</v>
      </c>
      <c r="U2473" s="2" t="s">
        <v>488</v>
      </c>
      <c r="V2473" s="2" t="s">
        <v>488</v>
      </c>
      <c r="W2473">
        <f t="shared" si="40"/>
        <v>11</v>
      </c>
    </row>
    <row r="2474" spans="1:23" x14ac:dyDescent="0.25">
      <c r="A2474" s="2" t="s">
        <v>1380</v>
      </c>
      <c r="B2474" s="2" t="s">
        <v>921</v>
      </c>
      <c r="C2474" s="2">
        <v>540093</v>
      </c>
      <c r="D2474" s="2" t="s">
        <v>647</v>
      </c>
      <c r="E2474" s="2" t="s">
        <v>11</v>
      </c>
      <c r="F2474" s="2" t="s">
        <v>115</v>
      </c>
      <c r="G2474" s="2">
        <v>11</v>
      </c>
      <c r="H2474" s="2">
        <v>0</v>
      </c>
      <c r="I2474" s="2">
        <v>0</v>
      </c>
      <c r="J2474" s="2">
        <v>0</v>
      </c>
      <c r="K2474" s="2">
        <v>0</v>
      </c>
      <c r="L2474" s="2">
        <v>0</v>
      </c>
      <c r="M2474" s="2">
        <v>0</v>
      </c>
      <c r="N2474" s="2">
        <v>0</v>
      </c>
      <c r="O2474" s="2">
        <v>0</v>
      </c>
      <c r="P2474" s="2">
        <v>0</v>
      </c>
      <c r="Q2474" s="2">
        <v>0</v>
      </c>
      <c r="R2474" s="2">
        <v>0</v>
      </c>
      <c r="S2474" s="2" t="s">
        <v>488</v>
      </c>
      <c r="T2474" s="2" t="s">
        <v>488</v>
      </c>
      <c r="U2474" s="2" t="s">
        <v>488</v>
      </c>
      <c r="V2474" s="2" t="s">
        <v>488</v>
      </c>
      <c r="W2474">
        <f t="shared" si="40"/>
        <v>0</v>
      </c>
    </row>
    <row r="2475" spans="1:23" x14ac:dyDescent="0.25">
      <c r="A2475" s="2" t="s">
        <v>1380</v>
      </c>
      <c r="B2475" s="2" t="s">
        <v>921</v>
      </c>
      <c r="C2475" s="2">
        <v>540084</v>
      </c>
      <c r="D2475" s="2" t="s">
        <v>648</v>
      </c>
      <c r="E2475" s="2" t="s">
        <v>11</v>
      </c>
      <c r="F2475" s="2" t="s">
        <v>115</v>
      </c>
      <c r="G2475" s="2">
        <v>11</v>
      </c>
      <c r="H2475" s="2">
        <v>0</v>
      </c>
      <c r="I2475" s="2">
        <v>0</v>
      </c>
      <c r="J2475" s="2">
        <v>0</v>
      </c>
      <c r="K2475" s="2">
        <v>0</v>
      </c>
      <c r="L2475" s="2">
        <v>0</v>
      </c>
      <c r="M2475" s="2">
        <v>0</v>
      </c>
      <c r="N2475" s="2">
        <v>0</v>
      </c>
      <c r="O2475" s="2">
        <v>0</v>
      </c>
      <c r="P2475" s="2">
        <v>0</v>
      </c>
      <c r="Q2475" s="2">
        <v>0</v>
      </c>
      <c r="R2475" s="2">
        <v>0</v>
      </c>
      <c r="S2475" s="2" t="s">
        <v>488</v>
      </c>
      <c r="T2475" s="2" t="s">
        <v>488</v>
      </c>
      <c r="U2475" s="2" t="s">
        <v>488</v>
      </c>
      <c r="V2475" s="2" t="s">
        <v>488</v>
      </c>
      <c r="W2475">
        <f t="shared" si="40"/>
        <v>0</v>
      </c>
    </row>
    <row r="2476" spans="1:23" x14ac:dyDescent="0.25">
      <c r="A2476" s="255" t="s">
        <v>1380</v>
      </c>
      <c r="B2476" s="255" t="s">
        <v>921</v>
      </c>
      <c r="C2476" s="255"/>
      <c r="D2476" s="255"/>
      <c r="E2476" s="255" t="s">
        <v>11</v>
      </c>
      <c r="F2476" s="255"/>
      <c r="G2476" s="255"/>
      <c r="H2476" s="255">
        <v>0</v>
      </c>
      <c r="I2476" s="255">
        <v>12</v>
      </c>
      <c r="J2476" s="255">
        <v>0</v>
      </c>
      <c r="K2476" s="255">
        <v>0</v>
      </c>
      <c r="L2476" s="255">
        <v>0</v>
      </c>
      <c r="M2476" s="255">
        <v>12</v>
      </c>
      <c r="N2476" s="255">
        <v>12</v>
      </c>
      <c r="O2476" s="255">
        <v>0</v>
      </c>
      <c r="P2476" s="255">
        <v>0</v>
      </c>
      <c r="Q2476" s="255">
        <v>0</v>
      </c>
      <c r="R2476" s="255">
        <v>2</v>
      </c>
      <c r="S2476" s="255" t="s">
        <v>488</v>
      </c>
      <c r="T2476" s="255" t="s">
        <v>488</v>
      </c>
      <c r="U2476" s="255" t="s">
        <v>488</v>
      </c>
      <c r="V2476" s="255" t="s">
        <v>488</v>
      </c>
      <c r="W2476">
        <f t="shared" si="40"/>
        <v>14</v>
      </c>
    </row>
    <row r="2477" spans="1:23" x14ac:dyDescent="0.25">
      <c r="A2477" s="2" t="s">
        <v>1380</v>
      </c>
      <c r="B2477" s="2" t="s">
        <v>921</v>
      </c>
      <c r="C2477" s="2">
        <v>540016</v>
      </c>
      <c r="D2477" s="2" t="s">
        <v>649</v>
      </c>
      <c r="E2477" s="2" t="s">
        <v>13</v>
      </c>
      <c r="F2477" s="2" t="s">
        <v>5</v>
      </c>
      <c r="G2477" s="2">
        <v>2</v>
      </c>
      <c r="H2477" s="2">
        <v>12</v>
      </c>
      <c r="I2477" s="2">
        <v>7</v>
      </c>
      <c r="J2477" s="2">
        <v>0</v>
      </c>
      <c r="K2477" s="2">
        <v>0</v>
      </c>
      <c r="L2477" s="2">
        <v>0</v>
      </c>
      <c r="M2477" s="2">
        <v>7</v>
      </c>
      <c r="N2477" s="2">
        <v>19</v>
      </c>
      <c r="O2477" s="2">
        <v>0</v>
      </c>
      <c r="P2477" s="2">
        <v>0</v>
      </c>
      <c r="Q2477" s="2">
        <v>8</v>
      </c>
      <c r="R2477" s="2">
        <v>1</v>
      </c>
      <c r="S2477" s="2" t="s">
        <v>488</v>
      </c>
      <c r="T2477" s="2" t="s">
        <v>488</v>
      </c>
      <c r="U2477" s="2" t="s">
        <v>488</v>
      </c>
      <c r="V2477" s="2" t="s">
        <v>488</v>
      </c>
      <c r="W2477">
        <f t="shared" si="40"/>
        <v>20</v>
      </c>
    </row>
    <row r="2478" spans="1:23" x14ac:dyDescent="0.25">
      <c r="A2478" s="2" t="s">
        <v>1380</v>
      </c>
      <c r="B2478" s="2" t="s">
        <v>921</v>
      </c>
      <c r="C2478" s="2">
        <v>540017</v>
      </c>
      <c r="D2478" s="2" t="s">
        <v>650</v>
      </c>
      <c r="E2478" s="2" t="s">
        <v>13</v>
      </c>
      <c r="F2478" s="2" t="s">
        <v>115</v>
      </c>
      <c r="G2478" s="2">
        <v>2</v>
      </c>
      <c r="H2478" s="2">
        <v>0</v>
      </c>
      <c r="I2478" s="2">
        <v>1</v>
      </c>
      <c r="J2478" s="2">
        <v>0</v>
      </c>
      <c r="K2478" s="2">
        <v>0</v>
      </c>
      <c r="L2478" s="2">
        <v>0</v>
      </c>
      <c r="M2478" s="2">
        <v>1</v>
      </c>
      <c r="N2478" s="2">
        <v>1</v>
      </c>
      <c r="O2478" s="2">
        <v>0</v>
      </c>
      <c r="P2478" s="2">
        <v>0</v>
      </c>
      <c r="Q2478" s="2">
        <v>0</v>
      </c>
      <c r="R2478" s="2">
        <v>0</v>
      </c>
      <c r="S2478" s="2" t="s">
        <v>488</v>
      </c>
      <c r="T2478" s="2" t="s">
        <v>488</v>
      </c>
      <c r="U2478" s="2" t="s">
        <v>488</v>
      </c>
      <c r="V2478" s="2" t="s">
        <v>488</v>
      </c>
      <c r="W2478">
        <f t="shared" si="40"/>
        <v>1</v>
      </c>
    </row>
    <row r="2479" spans="1:23" x14ac:dyDescent="0.25">
      <c r="A2479" s="2" t="s">
        <v>1380</v>
      </c>
      <c r="B2479" s="2" t="s">
        <v>921</v>
      </c>
      <c r="C2479" s="2">
        <v>540018</v>
      </c>
      <c r="D2479" s="2" t="s">
        <v>651</v>
      </c>
      <c r="E2479" s="2" t="s">
        <v>13</v>
      </c>
      <c r="F2479" s="2" t="s">
        <v>115</v>
      </c>
      <c r="G2479" s="2">
        <v>2</v>
      </c>
      <c r="H2479" s="2">
        <v>0</v>
      </c>
      <c r="I2479" s="2">
        <v>1</v>
      </c>
      <c r="J2479" s="2">
        <v>1</v>
      </c>
      <c r="K2479" s="2">
        <v>0</v>
      </c>
      <c r="L2479" s="2">
        <v>0</v>
      </c>
      <c r="M2479" s="2">
        <v>2</v>
      </c>
      <c r="N2479" s="2">
        <v>2</v>
      </c>
      <c r="O2479" s="2">
        <v>0</v>
      </c>
      <c r="P2479" s="2">
        <v>0</v>
      </c>
      <c r="Q2479" s="2">
        <v>0</v>
      </c>
      <c r="R2479" s="2">
        <v>0</v>
      </c>
      <c r="S2479" s="2" t="s">
        <v>488</v>
      </c>
      <c r="T2479" s="2" t="s">
        <v>488</v>
      </c>
      <c r="U2479" s="2" t="s">
        <v>488</v>
      </c>
      <c r="V2479" s="2" t="s">
        <v>488</v>
      </c>
      <c r="W2479">
        <f t="shared" si="40"/>
        <v>2</v>
      </c>
    </row>
    <row r="2480" spans="1:23" x14ac:dyDescent="0.25">
      <c r="A2480" s="2" t="s">
        <v>1380</v>
      </c>
      <c r="B2480" s="2" t="s">
        <v>921</v>
      </c>
      <c r="C2480" s="2">
        <v>540019</v>
      </c>
      <c r="D2480" s="2" t="s">
        <v>652</v>
      </c>
      <c r="E2480" s="2" t="s">
        <v>13</v>
      </c>
      <c r="F2480" s="2" t="s">
        <v>115</v>
      </c>
      <c r="G2480" s="2">
        <v>2</v>
      </c>
      <c r="H2480" s="2">
        <v>0</v>
      </c>
      <c r="I2480" s="2">
        <v>6</v>
      </c>
      <c r="J2480" s="2">
        <v>0</v>
      </c>
      <c r="K2480" s="2">
        <v>0</v>
      </c>
      <c r="L2480" s="2">
        <v>0</v>
      </c>
      <c r="M2480" s="2">
        <v>6</v>
      </c>
      <c r="N2480" s="2">
        <v>6</v>
      </c>
      <c r="O2480" s="2">
        <v>0</v>
      </c>
      <c r="P2480" s="2">
        <v>0</v>
      </c>
      <c r="Q2480" s="2">
        <v>0</v>
      </c>
      <c r="R2480" s="2">
        <v>0</v>
      </c>
      <c r="S2480" s="2" t="s">
        <v>488</v>
      </c>
      <c r="T2480" s="2" t="s">
        <v>488</v>
      </c>
      <c r="U2480" s="2" t="s">
        <v>488</v>
      </c>
      <c r="V2480" s="2" t="s">
        <v>488</v>
      </c>
      <c r="W2480">
        <f t="shared" si="40"/>
        <v>6</v>
      </c>
    </row>
    <row r="2481" spans="1:23" x14ac:dyDescent="0.25">
      <c r="A2481" s="255" t="s">
        <v>1380</v>
      </c>
      <c r="B2481" s="255" t="s">
        <v>921</v>
      </c>
      <c r="C2481" s="255"/>
      <c r="D2481" s="255"/>
      <c r="E2481" s="255" t="s">
        <v>13</v>
      </c>
      <c r="F2481" s="255"/>
      <c r="G2481" s="255"/>
      <c r="H2481" s="255">
        <v>12</v>
      </c>
      <c r="I2481" s="255">
        <v>15</v>
      </c>
      <c r="J2481" s="255">
        <v>1</v>
      </c>
      <c r="K2481" s="255">
        <v>0</v>
      </c>
      <c r="L2481" s="255">
        <v>0</v>
      </c>
      <c r="M2481" s="255">
        <v>16</v>
      </c>
      <c r="N2481" s="255">
        <v>28</v>
      </c>
      <c r="O2481" s="255">
        <v>0</v>
      </c>
      <c r="P2481" s="255">
        <v>0</v>
      </c>
      <c r="Q2481" s="255">
        <v>8</v>
      </c>
      <c r="R2481" s="255">
        <v>1</v>
      </c>
      <c r="S2481" s="255" t="s">
        <v>488</v>
      </c>
      <c r="T2481" s="255" t="s">
        <v>488</v>
      </c>
      <c r="U2481" s="255" t="s">
        <v>488</v>
      </c>
      <c r="V2481" s="255" t="s">
        <v>488</v>
      </c>
      <c r="W2481">
        <f t="shared" si="40"/>
        <v>29</v>
      </c>
    </row>
    <row r="2482" spans="1:23" x14ac:dyDescent="0.25">
      <c r="A2482" s="2" t="s">
        <v>1380</v>
      </c>
      <c r="B2482" s="2" t="s">
        <v>921</v>
      </c>
      <c r="C2482" s="2">
        <v>540020</v>
      </c>
      <c r="D2482" s="2" t="s">
        <v>653</v>
      </c>
      <c r="E2482" s="2" t="s">
        <v>15</v>
      </c>
      <c r="F2482" s="2" t="s">
        <v>5</v>
      </c>
      <c r="G2482" s="2">
        <v>5</v>
      </c>
      <c r="H2482" s="2">
        <v>4</v>
      </c>
      <c r="I2482" s="2">
        <v>2</v>
      </c>
      <c r="J2482" s="2">
        <v>0</v>
      </c>
      <c r="K2482" s="2">
        <v>0</v>
      </c>
      <c r="L2482" s="2">
        <v>0</v>
      </c>
      <c r="M2482" s="2">
        <v>2</v>
      </c>
      <c r="N2482" s="2">
        <v>6</v>
      </c>
      <c r="O2482" s="2">
        <v>0</v>
      </c>
      <c r="P2482" s="2">
        <v>0</v>
      </c>
      <c r="Q2482" s="2" t="s">
        <v>488</v>
      </c>
      <c r="R2482" s="2" t="s">
        <v>488</v>
      </c>
      <c r="S2482" s="2" t="s">
        <v>488</v>
      </c>
      <c r="T2482" s="2" t="s">
        <v>488</v>
      </c>
      <c r="U2482" s="2" t="s">
        <v>488</v>
      </c>
      <c r="V2482" s="2" t="s">
        <v>488</v>
      </c>
      <c r="W2482">
        <f t="shared" si="40"/>
        <v>6</v>
      </c>
    </row>
    <row r="2483" spans="1:23" x14ac:dyDescent="0.25">
      <c r="A2483" s="2" t="s">
        <v>1380</v>
      </c>
      <c r="B2483" s="2" t="s">
        <v>921</v>
      </c>
      <c r="C2483" s="2">
        <v>540021</v>
      </c>
      <c r="D2483" s="2" t="s">
        <v>654</v>
      </c>
      <c r="E2483" s="2" t="s">
        <v>15</v>
      </c>
      <c r="F2483" s="2" t="s">
        <v>115</v>
      </c>
      <c r="G2483" s="2">
        <v>5</v>
      </c>
      <c r="H2483" s="2">
        <v>0</v>
      </c>
      <c r="I2483" s="2">
        <v>0</v>
      </c>
      <c r="J2483" s="2">
        <v>0</v>
      </c>
      <c r="K2483" s="2">
        <v>0</v>
      </c>
      <c r="L2483" s="2">
        <v>0</v>
      </c>
      <c r="M2483" s="2">
        <v>0</v>
      </c>
      <c r="N2483" s="2">
        <v>0</v>
      </c>
      <c r="O2483" s="2">
        <v>0</v>
      </c>
      <c r="P2483" s="2">
        <v>0</v>
      </c>
      <c r="Q2483" s="2" t="s">
        <v>488</v>
      </c>
      <c r="R2483" s="2" t="s">
        <v>488</v>
      </c>
      <c r="S2483" s="2" t="s">
        <v>488</v>
      </c>
      <c r="T2483" s="2" t="s">
        <v>488</v>
      </c>
      <c r="U2483" s="2" t="s">
        <v>488</v>
      </c>
      <c r="V2483" s="2" t="s">
        <v>488</v>
      </c>
      <c r="W2483">
        <f t="shared" si="40"/>
        <v>0</v>
      </c>
    </row>
    <row r="2484" spans="1:23" x14ac:dyDescent="0.25">
      <c r="A2484" s="255" t="s">
        <v>1380</v>
      </c>
      <c r="B2484" s="255" t="s">
        <v>921</v>
      </c>
      <c r="C2484" s="255"/>
      <c r="D2484" s="255"/>
      <c r="E2484" s="255" t="s">
        <v>15</v>
      </c>
      <c r="F2484" s="255"/>
      <c r="G2484" s="255"/>
      <c r="H2484" s="255">
        <v>4</v>
      </c>
      <c r="I2484" s="255">
        <v>2</v>
      </c>
      <c r="J2484" s="255">
        <v>0</v>
      </c>
      <c r="K2484" s="255">
        <v>0</v>
      </c>
      <c r="L2484" s="255">
        <v>0</v>
      </c>
      <c r="M2484" s="255">
        <v>2</v>
      </c>
      <c r="N2484" s="255">
        <v>6</v>
      </c>
      <c r="O2484" s="255">
        <v>0</v>
      </c>
      <c r="P2484" s="255">
        <v>0</v>
      </c>
      <c r="Q2484" s="255" t="s">
        <v>488</v>
      </c>
      <c r="R2484" s="255" t="s">
        <v>488</v>
      </c>
      <c r="S2484" s="255" t="s">
        <v>488</v>
      </c>
      <c r="T2484" s="255" t="s">
        <v>488</v>
      </c>
      <c r="U2484" s="255" t="s">
        <v>488</v>
      </c>
      <c r="V2484" s="255" t="s">
        <v>488</v>
      </c>
      <c r="W2484">
        <f t="shared" si="40"/>
        <v>6</v>
      </c>
    </row>
    <row r="2485" spans="1:23" x14ac:dyDescent="0.25">
      <c r="A2485" s="2" t="s">
        <v>1380</v>
      </c>
      <c r="B2485" s="2" t="s">
        <v>921</v>
      </c>
      <c r="C2485" s="2">
        <v>540022</v>
      </c>
      <c r="D2485" s="2" t="s">
        <v>655</v>
      </c>
      <c r="E2485" s="2" t="s">
        <v>17</v>
      </c>
      <c r="F2485" s="2" t="s">
        <v>5</v>
      </c>
      <c r="G2485" s="2">
        <v>3</v>
      </c>
      <c r="H2485" s="2">
        <v>5</v>
      </c>
      <c r="I2485" s="2">
        <v>3</v>
      </c>
      <c r="J2485" s="2">
        <v>0</v>
      </c>
      <c r="K2485" s="2">
        <v>0</v>
      </c>
      <c r="L2485" s="2">
        <v>0</v>
      </c>
      <c r="M2485" s="2">
        <v>3</v>
      </c>
      <c r="N2485" s="2">
        <v>8</v>
      </c>
      <c r="O2485" s="2">
        <v>0</v>
      </c>
      <c r="P2485" s="2">
        <v>0</v>
      </c>
      <c r="Q2485" s="2" t="s">
        <v>488</v>
      </c>
      <c r="R2485" s="2" t="s">
        <v>488</v>
      </c>
      <c r="S2485" s="2" t="s">
        <v>488</v>
      </c>
      <c r="T2485" s="2" t="s">
        <v>488</v>
      </c>
      <c r="U2485" s="2" t="s">
        <v>488</v>
      </c>
      <c r="V2485" s="2" t="s">
        <v>488</v>
      </c>
      <c r="W2485">
        <f t="shared" si="40"/>
        <v>8</v>
      </c>
    </row>
    <row r="2486" spans="1:23" x14ac:dyDescent="0.25">
      <c r="A2486" s="2" t="s">
        <v>1380</v>
      </c>
      <c r="B2486" s="2" t="s">
        <v>921</v>
      </c>
      <c r="C2486" s="2">
        <v>540023</v>
      </c>
      <c r="D2486" s="2" t="s">
        <v>656</v>
      </c>
      <c r="E2486" s="2" t="s">
        <v>17</v>
      </c>
      <c r="F2486" s="2" t="s">
        <v>115</v>
      </c>
      <c r="G2486" s="2">
        <v>3</v>
      </c>
      <c r="H2486" s="2">
        <v>0</v>
      </c>
      <c r="I2486" s="2">
        <v>0</v>
      </c>
      <c r="J2486" s="2">
        <v>0</v>
      </c>
      <c r="K2486" s="2">
        <v>0</v>
      </c>
      <c r="L2486" s="2">
        <v>0</v>
      </c>
      <c r="M2486" s="2">
        <v>0</v>
      </c>
      <c r="N2486" s="2">
        <v>0</v>
      </c>
      <c r="O2486" s="2">
        <v>0</v>
      </c>
      <c r="P2486" s="2">
        <v>0</v>
      </c>
      <c r="Q2486" s="2" t="s">
        <v>488</v>
      </c>
      <c r="R2486" s="2" t="s">
        <v>488</v>
      </c>
      <c r="S2486" s="2" t="s">
        <v>488</v>
      </c>
      <c r="T2486" s="2" t="s">
        <v>488</v>
      </c>
      <c r="U2486" s="2" t="s">
        <v>488</v>
      </c>
      <c r="V2486" s="2" t="s">
        <v>488</v>
      </c>
      <c r="W2486">
        <f t="shared" si="40"/>
        <v>0</v>
      </c>
    </row>
    <row r="2487" spans="1:23" x14ac:dyDescent="0.25">
      <c r="A2487" s="255" t="s">
        <v>1380</v>
      </c>
      <c r="B2487" s="255" t="s">
        <v>921</v>
      </c>
      <c r="C2487" s="255"/>
      <c r="D2487" s="255"/>
      <c r="E2487" s="255" t="s">
        <v>17</v>
      </c>
      <c r="F2487" s="255"/>
      <c r="G2487" s="255"/>
      <c r="H2487" s="255">
        <v>5</v>
      </c>
      <c r="I2487" s="255">
        <v>3</v>
      </c>
      <c r="J2487" s="255">
        <v>0</v>
      </c>
      <c r="K2487" s="255">
        <v>0</v>
      </c>
      <c r="L2487" s="255">
        <v>0</v>
      </c>
      <c r="M2487" s="255">
        <v>3</v>
      </c>
      <c r="N2487" s="255">
        <v>8</v>
      </c>
      <c r="O2487" s="255">
        <v>0</v>
      </c>
      <c r="P2487" s="255">
        <v>0</v>
      </c>
      <c r="Q2487" s="255" t="s">
        <v>488</v>
      </c>
      <c r="R2487" s="255" t="s">
        <v>488</v>
      </c>
      <c r="S2487" s="255" t="s">
        <v>488</v>
      </c>
      <c r="T2487" s="255" t="s">
        <v>488</v>
      </c>
      <c r="U2487" s="255" t="s">
        <v>488</v>
      </c>
      <c r="V2487" s="255" t="s">
        <v>488</v>
      </c>
      <c r="W2487">
        <f t="shared" si="40"/>
        <v>8</v>
      </c>
    </row>
    <row r="2488" spans="1:23" x14ac:dyDescent="0.25">
      <c r="A2488" s="2" t="s">
        <v>1380</v>
      </c>
      <c r="B2488" s="2" t="s">
        <v>921</v>
      </c>
      <c r="C2488" s="2">
        <v>540024</v>
      </c>
      <c r="D2488" s="2" t="s">
        <v>657</v>
      </c>
      <c r="E2488" s="2" t="s">
        <v>19</v>
      </c>
      <c r="F2488" s="2" t="s">
        <v>5</v>
      </c>
      <c r="G2488" s="2">
        <v>6</v>
      </c>
      <c r="H2488" s="2">
        <v>11</v>
      </c>
      <c r="I2488" s="2">
        <v>3</v>
      </c>
      <c r="J2488" s="2">
        <v>0</v>
      </c>
      <c r="K2488" s="2">
        <v>0</v>
      </c>
      <c r="L2488" s="2">
        <v>0</v>
      </c>
      <c r="M2488" s="2">
        <v>3</v>
      </c>
      <c r="N2488" s="2">
        <v>14</v>
      </c>
      <c r="O2488" s="2">
        <v>0</v>
      </c>
      <c r="P2488" s="2">
        <v>0</v>
      </c>
      <c r="Q2488" s="2">
        <v>9</v>
      </c>
      <c r="R2488" s="2">
        <v>0</v>
      </c>
      <c r="S2488" s="2" t="s">
        <v>488</v>
      </c>
      <c r="T2488" s="2" t="s">
        <v>488</v>
      </c>
      <c r="U2488" s="2" t="s">
        <v>488</v>
      </c>
      <c r="V2488" s="2" t="s">
        <v>488</v>
      </c>
      <c r="W2488">
        <f t="shared" si="40"/>
        <v>14</v>
      </c>
    </row>
    <row r="2489" spans="1:23" x14ac:dyDescent="0.25">
      <c r="A2489" s="2" t="s">
        <v>1380</v>
      </c>
      <c r="B2489" s="2" t="s">
        <v>921</v>
      </c>
      <c r="C2489" s="2">
        <v>540025</v>
      </c>
      <c r="D2489" s="2" t="s">
        <v>658</v>
      </c>
      <c r="E2489" s="2" t="s">
        <v>19</v>
      </c>
      <c r="F2489" s="2" t="s">
        <v>115</v>
      </c>
      <c r="G2489" s="2">
        <v>6</v>
      </c>
      <c r="H2489" s="2">
        <v>0</v>
      </c>
      <c r="I2489" s="2">
        <v>1</v>
      </c>
      <c r="J2489" s="2">
        <v>0</v>
      </c>
      <c r="K2489" s="2">
        <v>0</v>
      </c>
      <c r="L2489" s="2">
        <v>0</v>
      </c>
      <c r="M2489" s="2">
        <v>1</v>
      </c>
      <c r="N2489" s="2">
        <v>1</v>
      </c>
      <c r="O2489" s="2">
        <v>0</v>
      </c>
      <c r="P2489" s="2">
        <v>0</v>
      </c>
      <c r="Q2489" s="2">
        <v>0</v>
      </c>
      <c r="R2489" s="2">
        <v>0</v>
      </c>
      <c r="S2489" s="2" t="s">
        <v>488</v>
      </c>
      <c r="T2489" s="2" t="s">
        <v>488</v>
      </c>
      <c r="U2489" s="2" t="s">
        <v>488</v>
      </c>
      <c r="V2489" s="2" t="s">
        <v>488</v>
      </c>
      <c r="W2489">
        <f t="shared" si="40"/>
        <v>1</v>
      </c>
    </row>
    <row r="2490" spans="1:23" x14ac:dyDescent="0.25">
      <c r="A2490" s="255" t="s">
        <v>1380</v>
      </c>
      <c r="B2490" s="255" t="s">
        <v>921</v>
      </c>
      <c r="C2490" s="255"/>
      <c r="D2490" s="255"/>
      <c r="E2490" s="255" t="s">
        <v>19</v>
      </c>
      <c r="F2490" s="255"/>
      <c r="G2490" s="255"/>
      <c r="H2490" s="255">
        <v>11</v>
      </c>
      <c r="I2490" s="255">
        <v>4</v>
      </c>
      <c r="J2490" s="255">
        <v>0</v>
      </c>
      <c r="K2490" s="255">
        <v>0</v>
      </c>
      <c r="L2490" s="255">
        <v>0</v>
      </c>
      <c r="M2490" s="255">
        <v>4</v>
      </c>
      <c r="N2490" s="255">
        <v>15</v>
      </c>
      <c r="O2490" s="255">
        <v>0</v>
      </c>
      <c r="P2490" s="255">
        <v>0</v>
      </c>
      <c r="Q2490" s="255">
        <v>9</v>
      </c>
      <c r="R2490" s="255">
        <v>0</v>
      </c>
      <c r="S2490" s="255" t="s">
        <v>488</v>
      </c>
      <c r="T2490" s="255" t="s">
        <v>488</v>
      </c>
      <c r="U2490" s="255" t="s">
        <v>488</v>
      </c>
      <c r="V2490" s="255" t="s">
        <v>488</v>
      </c>
      <c r="W2490">
        <f t="shared" si="40"/>
        <v>15</v>
      </c>
    </row>
    <row r="2491" spans="1:23" x14ac:dyDescent="0.25">
      <c r="A2491" s="2" t="s">
        <v>1380</v>
      </c>
      <c r="B2491" s="2" t="s">
        <v>921</v>
      </c>
      <c r="C2491" s="2">
        <v>540035</v>
      </c>
      <c r="D2491" s="2" t="s">
        <v>659</v>
      </c>
      <c r="E2491" s="2" t="s">
        <v>23</v>
      </c>
      <c r="F2491" s="2" t="s">
        <v>5</v>
      </c>
      <c r="G2491" s="2">
        <v>7</v>
      </c>
      <c r="H2491" s="2">
        <v>4</v>
      </c>
      <c r="I2491" s="2">
        <v>1</v>
      </c>
      <c r="J2491" s="2">
        <v>0</v>
      </c>
      <c r="K2491" s="2">
        <v>0</v>
      </c>
      <c r="L2491" s="2">
        <v>0</v>
      </c>
      <c r="M2491" s="2">
        <v>1</v>
      </c>
      <c r="N2491" s="2">
        <v>5</v>
      </c>
      <c r="O2491" s="2">
        <v>0</v>
      </c>
      <c r="P2491" s="2">
        <v>0</v>
      </c>
      <c r="Q2491" s="2" t="s">
        <v>488</v>
      </c>
      <c r="R2491" s="2" t="s">
        <v>488</v>
      </c>
      <c r="S2491" s="2" t="s">
        <v>488</v>
      </c>
      <c r="T2491" s="2" t="s">
        <v>488</v>
      </c>
      <c r="U2491" s="2" t="s">
        <v>488</v>
      </c>
      <c r="V2491" s="2" t="s">
        <v>488</v>
      </c>
      <c r="W2491">
        <f t="shared" si="40"/>
        <v>5</v>
      </c>
    </row>
    <row r="2492" spans="1:23" x14ac:dyDescent="0.25">
      <c r="A2492" s="2" t="s">
        <v>1380</v>
      </c>
      <c r="B2492" s="2" t="s">
        <v>921</v>
      </c>
      <c r="C2492" s="2">
        <v>540036</v>
      </c>
      <c r="D2492" s="2" t="s">
        <v>660</v>
      </c>
      <c r="E2492" s="2" t="s">
        <v>23</v>
      </c>
      <c r="F2492" s="2" t="s">
        <v>115</v>
      </c>
      <c r="G2492" s="2">
        <v>7</v>
      </c>
      <c r="H2492" s="2">
        <v>0</v>
      </c>
      <c r="I2492" s="2">
        <v>1</v>
      </c>
      <c r="J2492" s="2">
        <v>0</v>
      </c>
      <c r="K2492" s="2">
        <v>0</v>
      </c>
      <c r="L2492" s="2">
        <v>0</v>
      </c>
      <c r="M2492" s="2">
        <v>1</v>
      </c>
      <c r="N2492" s="2">
        <v>1</v>
      </c>
      <c r="O2492" s="2">
        <v>0</v>
      </c>
      <c r="P2492" s="2">
        <v>0</v>
      </c>
      <c r="Q2492" s="2" t="s">
        <v>488</v>
      </c>
      <c r="R2492" s="2" t="s">
        <v>488</v>
      </c>
      <c r="S2492" s="2" t="s">
        <v>488</v>
      </c>
      <c r="T2492" s="2" t="s">
        <v>488</v>
      </c>
      <c r="U2492" s="2" t="s">
        <v>488</v>
      </c>
      <c r="V2492" s="2" t="s">
        <v>488</v>
      </c>
      <c r="W2492">
        <f t="shared" si="40"/>
        <v>1</v>
      </c>
    </row>
    <row r="2493" spans="1:23" x14ac:dyDescent="0.25">
      <c r="A2493" s="2" t="s">
        <v>1380</v>
      </c>
      <c r="B2493" s="2" t="s">
        <v>921</v>
      </c>
      <c r="C2493" s="2">
        <v>540037</v>
      </c>
      <c r="D2493" s="2" t="s">
        <v>661</v>
      </c>
      <c r="E2493" s="2" t="s">
        <v>23</v>
      </c>
      <c r="F2493" s="2" t="s">
        <v>115</v>
      </c>
      <c r="G2493" s="2">
        <v>7</v>
      </c>
      <c r="H2493" s="2">
        <v>0</v>
      </c>
      <c r="I2493" s="2">
        <v>1</v>
      </c>
      <c r="J2493" s="2">
        <v>0</v>
      </c>
      <c r="K2493" s="2">
        <v>0</v>
      </c>
      <c r="L2493" s="2">
        <v>0</v>
      </c>
      <c r="M2493" s="2">
        <v>1</v>
      </c>
      <c r="N2493" s="2">
        <v>1</v>
      </c>
      <c r="O2493" s="2">
        <v>0</v>
      </c>
      <c r="P2493" s="2">
        <v>0</v>
      </c>
      <c r="Q2493" s="2" t="s">
        <v>488</v>
      </c>
      <c r="R2493" s="2" t="s">
        <v>488</v>
      </c>
      <c r="S2493" s="2" t="s">
        <v>488</v>
      </c>
      <c r="T2493" s="2" t="s">
        <v>488</v>
      </c>
      <c r="U2493" s="2" t="s">
        <v>488</v>
      </c>
      <c r="V2493" s="2" t="s">
        <v>488</v>
      </c>
      <c r="W2493">
        <f t="shared" si="40"/>
        <v>1</v>
      </c>
    </row>
    <row r="2494" spans="1:23" x14ac:dyDescent="0.25">
      <c r="A2494" s="255" t="s">
        <v>1380</v>
      </c>
      <c r="B2494" s="255" t="s">
        <v>921</v>
      </c>
      <c r="C2494" s="255"/>
      <c r="D2494" s="255"/>
      <c r="E2494" s="255" t="s">
        <v>23</v>
      </c>
      <c r="F2494" s="255"/>
      <c r="G2494" s="255"/>
      <c r="H2494" s="255">
        <v>4</v>
      </c>
      <c r="I2494" s="255">
        <v>3</v>
      </c>
      <c r="J2494" s="255">
        <v>0</v>
      </c>
      <c r="K2494" s="255">
        <v>0</v>
      </c>
      <c r="L2494" s="255">
        <v>0</v>
      </c>
      <c r="M2494" s="255">
        <v>3</v>
      </c>
      <c r="N2494" s="255">
        <v>7</v>
      </c>
      <c r="O2494" s="255">
        <v>0</v>
      </c>
      <c r="P2494" s="255">
        <v>0</v>
      </c>
      <c r="Q2494" s="255" t="s">
        <v>488</v>
      </c>
      <c r="R2494" s="255" t="s">
        <v>488</v>
      </c>
      <c r="S2494" s="255" t="s">
        <v>488</v>
      </c>
      <c r="T2494" s="255" t="s">
        <v>488</v>
      </c>
      <c r="U2494" s="255" t="s">
        <v>488</v>
      </c>
      <c r="V2494" s="255" t="s">
        <v>488</v>
      </c>
      <c r="W2494">
        <f t="shared" si="40"/>
        <v>7</v>
      </c>
    </row>
    <row r="2495" spans="1:23" x14ac:dyDescent="0.25">
      <c r="A2495" s="2" t="s">
        <v>1380</v>
      </c>
      <c r="B2495" s="2" t="s">
        <v>921</v>
      </c>
      <c r="C2495" s="2">
        <v>540038</v>
      </c>
      <c r="D2495" s="2" t="s">
        <v>662</v>
      </c>
      <c r="E2495" s="2" t="s">
        <v>25</v>
      </c>
      <c r="F2495" s="2" t="s">
        <v>5</v>
      </c>
      <c r="G2495" s="2">
        <v>8</v>
      </c>
      <c r="H2495" s="2">
        <v>3</v>
      </c>
      <c r="I2495" s="2">
        <v>1</v>
      </c>
      <c r="J2495" s="2">
        <v>0</v>
      </c>
      <c r="K2495" s="2">
        <v>0</v>
      </c>
      <c r="L2495" s="2">
        <v>0</v>
      </c>
      <c r="M2495" s="2">
        <v>1</v>
      </c>
      <c r="N2495" s="2">
        <v>4</v>
      </c>
      <c r="O2495" s="2">
        <v>0</v>
      </c>
      <c r="P2495" s="2">
        <v>0</v>
      </c>
      <c r="Q2495" s="2" t="s">
        <v>488</v>
      </c>
      <c r="R2495" s="2" t="s">
        <v>488</v>
      </c>
      <c r="S2495" s="2" t="s">
        <v>488</v>
      </c>
      <c r="T2495" s="2" t="s">
        <v>488</v>
      </c>
      <c r="U2495" s="2" t="s">
        <v>488</v>
      </c>
      <c r="V2495" s="2" t="s">
        <v>488</v>
      </c>
      <c r="W2495">
        <f t="shared" si="40"/>
        <v>4</v>
      </c>
    </row>
    <row r="2496" spans="1:23" x14ac:dyDescent="0.25">
      <c r="A2496" s="2" t="s">
        <v>1380</v>
      </c>
      <c r="B2496" s="2" t="s">
        <v>921</v>
      </c>
      <c r="C2496" s="2">
        <v>540039</v>
      </c>
      <c r="D2496" s="2" t="s">
        <v>663</v>
      </c>
      <c r="E2496" s="2" t="s">
        <v>25</v>
      </c>
      <c r="F2496" s="2" t="s">
        <v>115</v>
      </c>
      <c r="G2496" s="2">
        <v>8</v>
      </c>
      <c r="H2496" s="2">
        <v>0</v>
      </c>
      <c r="I2496" s="2">
        <v>0</v>
      </c>
      <c r="J2496" s="2">
        <v>0</v>
      </c>
      <c r="K2496" s="2">
        <v>0</v>
      </c>
      <c r="L2496" s="2">
        <v>0</v>
      </c>
      <c r="M2496" s="2">
        <v>0</v>
      </c>
      <c r="N2496" s="2">
        <v>0</v>
      </c>
      <c r="O2496" s="2">
        <v>0</v>
      </c>
      <c r="P2496" s="2">
        <v>0</v>
      </c>
      <c r="Q2496" s="2" t="s">
        <v>488</v>
      </c>
      <c r="R2496" s="2" t="s">
        <v>488</v>
      </c>
      <c r="S2496" s="2" t="s">
        <v>488</v>
      </c>
      <c r="T2496" s="2" t="s">
        <v>488</v>
      </c>
      <c r="U2496" s="2" t="s">
        <v>488</v>
      </c>
      <c r="V2496" s="2" t="s">
        <v>488</v>
      </c>
      <c r="W2496">
        <f t="shared" si="40"/>
        <v>0</v>
      </c>
    </row>
    <row r="2497" spans="1:23" x14ac:dyDescent="0.25">
      <c r="A2497" s="2" t="s">
        <v>1380</v>
      </c>
      <c r="B2497" s="2" t="s">
        <v>921</v>
      </c>
      <c r="C2497" s="2">
        <v>540240</v>
      </c>
      <c r="D2497" s="2" t="s">
        <v>664</v>
      </c>
      <c r="E2497" s="2" t="s">
        <v>25</v>
      </c>
      <c r="F2497" s="2" t="s">
        <v>115</v>
      </c>
      <c r="G2497" s="2">
        <v>8</v>
      </c>
      <c r="H2497" s="2">
        <v>0</v>
      </c>
      <c r="I2497" s="2">
        <v>0</v>
      </c>
      <c r="J2497" s="2">
        <v>0</v>
      </c>
      <c r="K2497" s="2">
        <v>0</v>
      </c>
      <c r="L2497" s="2">
        <v>0</v>
      </c>
      <c r="M2497" s="2">
        <v>0</v>
      </c>
      <c r="N2497" s="2">
        <v>0</v>
      </c>
      <c r="O2497" s="2">
        <v>0</v>
      </c>
      <c r="P2497" s="2">
        <v>0</v>
      </c>
      <c r="Q2497" s="2" t="s">
        <v>488</v>
      </c>
      <c r="R2497" s="2" t="s">
        <v>488</v>
      </c>
      <c r="S2497" s="2" t="s">
        <v>488</v>
      </c>
      <c r="T2497" s="2" t="s">
        <v>488</v>
      </c>
      <c r="U2497" s="2" t="s">
        <v>488</v>
      </c>
      <c r="V2497" s="2" t="s">
        <v>488</v>
      </c>
      <c r="W2497">
        <f t="shared" si="40"/>
        <v>0</v>
      </c>
    </row>
    <row r="2498" spans="1:23" x14ac:dyDescent="0.25">
      <c r="A2498" s="255" t="s">
        <v>1380</v>
      </c>
      <c r="B2498" s="255" t="s">
        <v>921</v>
      </c>
      <c r="C2498" s="255"/>
      <c r="D2498" s="255"/>
      <c r="E2498" s="255" t="s">
        <v>25</v>
      </c>
      <c r="F2498" s="255"/>
      <c r="G2498" s="255"/>
      <c r="H2498" s="255">
        <v>3</v>
      </c>
      <c r="I2498" s="255">
        <v>1</v>
      </c>
      <c r="J2498" s="255">
        <v>0</v>
      </c>
      <c r="K2498" s="255">
        <v>0</v>
      </c>
      <c r="L2498" s="255">
        <v>0</v>
      </c>
      <c r="M2498" s="255">
        <v>1</v>
      </c>
      <c r="N2498" s="255">
        <v>4</v>
      </c>
      <c r="O2498" s="255">
        <v>0</v>
      </c>
      <c r="P2498" s="255">
        <v>0</v>
      </c>
      <c r="Q2498" s="255" t="s">
        <v>488</v>
      </c>
      <c r="R2498" s="255" t="s">
        <v>488</v>
      </c>
      <c r="S2498" s="255" t="s">
        <v>488</v>
      </c>
      <c r="T2498" s="255" t="s">
        <v>488</v>
      </c>
      <c r="U2498" s="255" t="s">
        <v>488</v>
      </c>
      <c r="V2498" s="255" t="s">
        <v>488</v>
      </c>
      <c r="W2498">
        <f t="shared" si="40"/>
        <v>4</v>
      </c>
    </row>
    <row r="2499" spans="1:23" x14ac:dyDescent="0.25">
      <c r="A2499" s="2" t="s">
        <v>1380</v>
      </c>
      <c r="B2499" s="2" t="s">
        <v>921</v>
      </c>
      <c r="C2499" s="2">
        <v>540040</v>
      </c>
      <c r="D2499" s="2" t="s">
        <v>665</v>
      </c>
      <c r="E2499" s="2" t="s">
        <v>27</v>
      </c>
      <c r="F2499" s="2" t="s">
        <v>5</v>
      </c>
      <c r="G2499" s="2">
        <v>4</v>
      </c>
      <c r="H2499" s="2">
        <v>1</v>
      </c>
      <c r="I2499" s="2">
        <v>0</v>
      </c>
      <c r="J2499" s="2">
        <v>0</v>
      </c>
      <c r="K2499" s="2">
        <v>0</v>
      </c>
      <c r="L2499" s="2">
        <v>0</v>
      </c>
      <c r="M2499" s="2">
        <v>0</v>
      </c>
      <c r="N2499" s="2">
        <v>1</v>
      </c>
      <c r="O2499" s="2">
        <v>0</v>
      </c>
      <c r="P2499" s="2">
        <v>0</v>
      </c>
      <c r="Q2499" s="2">
        <v>0</v>
      </c>
      <c r="R2499" s="2">
        <v>0</v>
      </c>
      <c r="S2499" s="2" t="s">
        <v>488</v>
      </c>
      <c r="T2499" s="2" t="s">
        <v>488</v>
      </c>
      <c r="U2499" s="2" t="s">
        <v>488</v>
      </c>
      <c r="V2499" s="2" t="s">
        <v>488</v>
      </c>
      <c r="W2499">
        <f t="shared" ref="W2499:W2562" si="41">SUM(N2499,P2499,R2499,T2499)</f>
        <v>1</v>
      </c>
    </row>
    <row r="2500" spans="1:23" x14ac:dyDescent="0.25">
      <c r="A2500" s="2" t="s">
        <v>1380</v>
      </c>
      <c r="B2500" s="2" t="s">
        <v>921</v>
      </c>
      <c r="C2500" s="2">
        <v>540041</v>
      </c>
      <c r="D2500" s="2" t="s">
        <v>666</v>
      </c>
      <c r="E2500" s="2" t="s">
        <v>27</v>
      </c>
      <c r="F2500" s="2" t="s">
        <v>115</v>
      </c>
      <c r="G2500" s="2">
        <v>4</v>
      </c>
      <c r="H2500" s="2">
        <v>0</v>
      </c>
      <c r="I2500" s="2">
        <v>1</v>
      </c>
      <c r="J2500" s="2">
        <v>0</v>
      </c>
      <c r="K2500" s="2">
        <v>0</v>
      </c>
      <c r="L2500" s="2">
        <v>0</v>
      </c>
      <c r="M2500" s="2">
        <v>1</v>
      </c>
      <c r="N2500" s="2">
        <v>1</v>
      </c>
      <c r="O2500" s="2">
        <v>1</v>
      </c>
      <c r="P2500" s="2">
        <v>0</v>
      </c>
      <c r="Q2500" s="2">
        <v>0</v>
      </c>
      <c r="R2500" s="2">
        <v>1</v>
      </c>
      <c r="S2500" s="2" t="s">
        <v>488</v>
      </c>
      <c r="T2500" s="2" t="s">
        <v>488</v>
      </c>
      <c r="U2500" s="2" t="s">
        <v>488</v>
      </c>
      <c r="V2500" s="2" t="s">
        <v>488</v>
      </c>
      <c r="W2500">
        <f t="shared" si="41"/>
        <v>2</v>
      </c>
    </row>
    <row r="2501" spans="1:23" x14ac:dyDescent="0.25">
      <c r="A2501" s="2" t="s">
        <v>1380</v>
      </c>
      <c r="B2501" s="2" t="s">
        <v>921</v>
      </c>
      <c r="C2501" s="2">
        <v>540043</v>
      </c>
      <c r="D2501" s="2" t="s">
        <v>667</v>
      </c>
      <c r="E2501" s="2" t="s">
        <v>27</v>
      </c>
      <c r="F2501" s="2" t="s">
        <v>115</v>
      </c>
      <c r="G2501" s="2">
        <v>4</v>
      </c>
      <c r="H2501" s="2">
        <v>0</v>
      </c>
      <c r="I2501" s="2">
        <v>0</v>
      </c>
      <c r="J2501" s="2">
        <v>0</v>
      </c>
      <c r="K2501" s="2">
        <v>0</v>
      </c>
      <c r="L2501" s="2">
        <v>0</v>
      </c>
      <c r="M2501" s="2">
        <v>0</v>
      </c>
      <c r="N2501" s="2">
        <v>0</v>
      </c>
      <c r="O2501" s="2">
        <v>0</v>
      </c>
      <c r="P2501" s="2">
        <v>0</v>
      </c>
      <c r="Q2501" s="2">
        <v>0</v>
      </c>
      <c r="R2501" s="2">
        <v>0</v>
      </c>
      <c r="S2501" s="2" t="s">
        <v>488</v>
      </c>
      <c r="T2501" s="2" t="s">
        <v>488</v>
      </c>
      <c r="U2501" s="2" t="s">
        <v>488</v>
      </c>
      <c r="V2501" s="2" t="s">
        <v>488</v>
      </c>
      <c r="W2501">
        <f t="shared" si="41"/>
        <v>0</v>
      </c>
    </row>
    <row r="2502" spans="1:23" x14ac:dyDescent="0.25">
      <c r="A2502" s="2" t="s">
        <v>1380</v>
      </c>
      <c r="B2502" s="2" t="s">
        <v>921</v>
      </c>
      <c r="C2502" s="2">
        <v>540044</v>
      </c>
      <c r="D2502" s="2" t="s">
        <v>668</v>
      </c>
      <c r="E2502" s="2" t="s">
        <v>27</v>
      </c>
      <c r="F2502" s="2" t="s">
        <v>115</v>
      </c>
      <c r="G2502" s="2">
        <v>4</v>
      </c>
      <c r="H2502" s="2">
        <v>1</v>
      </c>
      <c r="I2502" s="2">
        <v>0</v>
      </c>
      <c r="J2502" s="2">
        <v>0</v>
      </c>
      <c r="K2502" s="2">
        <v>0</v>
      </c>
      <c r="L2502" s="2">
        <v>0</v>
      </c>
      <c r="M2502" s="2">
        <v>0</v>
      </c>
      <c r="N2502" s="2">
        <v>1</v>
      </c>
      <c r="O2502" s="2">
        <v>0</v>
      </c>
      <c r="P2502" s="2">
        <v>0</v>
      </c>
      <c r="Q2502" s="2">
        <v>0</v>
      </c>
      <c r="R2502" s="2">
        <v>0</v>
      </c>
      <c r="S2502" s="2" t="s">
        <v>488</v>
      </c>
      <c r="T2502" s="2" t="s">
        <v>488</v>
      </c>
      <c r="U2502" s="2" t="s">
        <v>488</v>
      </c>
      <c r="V2502" s="2" t="s">
        <v>488</v>
      </c>
      <c r="W2502">
        <f t="shared" si="41"/>
        <v>1</v>
      </c>
    </row>
    <row r="2503" spans="1:23" x14ac:dyDescent="0.25">
      <c r="A2503" s="2" t="s">
        <v>1380</v>
      </c>
      <c r="B2503" s="2" t="s">
        <v>921</v>
      </c>
      <c r="C2503" s="2">
        <v>540045</v>
      </c>
      <c r="D2503" s="2" t="s">
        <v>669</v>
      </c>
      <c r="E2503" s="2" t="s">
        <v>27</v>
      </c>
      <c r="F2503" s="2" t="s">
        <v>115</v>
      </c>
      <c r="G2503" s="2">
        <v>4</v>
      </c>
      <c r="H2503" s="2">
        <v>0</v>
      </c>
      <c r="I2503" s="2">
        <v>2</v>
      </c>
      <c r="J2503" s="2">
        <v>1</v>
      </c>
      <c r="K2503" s="2">
        <v>0</v>
      </c>
      <c r="L2503" s="2">
        <v>0</v>
      </c>
      <c r="M2503" s="2">
        <v>3</v>
      </c>
      <c r="N2503" s="2">
        <v>3</v>
      </c>
      <c r="O2503" s="2">
        <v>2</v>
      </c>
      <c r="P2503" s="2">
        <v>0</v>
      </c>
      <c r="Q2503" s="2">
        <v>0</v>
      </c>
      <c r="R2503" s="2">
        <v>0</v>
      </c>
      <c r="S2503" s="2" t="s">
        <v>488</v>
      </c>
      <c r="T2503" s="2" t="s">
        <v>488</v>
      </c>
      <c r="U2503" s="2" t="s">
        <v>488</v>
      </c>
      <c r="V2503" s="2" t="s">
        <v>488</v>
      </c>
      <c r="W2503">
        <f t="shared" si="41"/>
        <v>3</v>
      </c>
    </row>
    <row r="2504" spans="1:23" x14ac:dyDescent="0.25">
      <c r="A2504" s="2" t="s">
        <v>1380</v>
      </c>
      <c r="B2504" s="2" t="s">
        <v>921</v>
      </c>
      <c r="C2504" s="2">
        <v>540228</v>
      </c>
      <c r="D2504" s="2" t="s">
        <v>670</v>
      </c>
      <c r="E2504" s="2" t="s">
        <v>27</v>
      </c>
      <c r="F2504" s="2" t="s">
        <v>115</v>
      </c>
      <c r="G2504" s="2">
        <v>4</v>
      </c>
      <c r="H2504" s="2">
        <v>0</v>
      </c>
      <c r="I2504" s="2">
        <v>0</v>
      </c>
      <c r="J2504" s="2">
        <v>1</v>
      </c>
      <c r="K2504" s="2">
        <v>0</v>
      </c>
      <c r="L2504" s="2">
        <v>0</v>
      </c>
      <c r="M2504" s="2">
        <v>1</v>
      </c>
      <c r="N2504" s="2">
        <v>1</v>
      </c>
      <c r="O2504" s="2">
        <v>0</v>
      </c>
      <c r="P2504" s="2">
        <v>0</v>
      </c>
      <c r="Q2504" s="2">
        <v>0</v>
      </c>
      <c r="R2504" s="2">
        <v>0</v>
      </c>
      <c r="S2504" s="2" t="s">
        <v>488</v>
      </c>
      <c r="T2504" s="2" t="s">
        <v>488</v>
      </c>
      <c r="U2504" s="2" t="s">
        <v>488</v>
      </c>
      <c r="V2504" s="2" t="s">
        <v>488</v>
      </c>
      <c r="W2504">
        <f t="shared" si="41"/>
        <v>1</v>
      </c>
    </row>
    <row r="2505" spans="1:23" x14ac:dyDescent="0.25">
      <c r="A2505" s="2" t="s">
        <v>1380</v>
      </c>
      <c r="B2505" s="2" t="s">
        <v>921</v>
      </c>
      <c r="C2505" s="2">
        <v>540243</v>
      </c>
      <c r="D2505" s="2" t="s">
        <v>671</v>
      </c>
      <c r="E2505" s="2" t="s">
        <v>27</v>
      </c>
      <c r="F2505" s="2" t="s">
        <v>115</v>
      </c>
      <c r="G2505" s="2">
        <v>4</v>
      </c>
      <c r="H2505" s="2">
        <v>0</v>
      </c>
      <c r="I2505" s="2">
        <v>0</v>
      </c>
      <c r="J2505" s="2">
        <v>0</v>
      </c>
      <c r="K2505" s="2">
        <v>0</v>
      </c>
      <c r="L2505" s="2">
        <v>0</v>
      </c>
      <c r="M2505" s="2">
        <v>0</v>
      </c>
      <c r="N2505" s="2">
        <v>0</v>
      </c>
      <c r="O2505" s="2">
        <v>0</v>
      </c>
      <c r="P2505" s="2">
        <v>0</v>
      </c>
      <c r="Q2505" s="2">
        <v>0</v>
      </c>
      <c r="R2505" s="2">
        <v>0</v>
      </c>
      <c r="S2505" s="2" t="s">
        <v>488</v>
      </c>
      <c r="T2505" s="2" t="s">
        <v>488</v>
      </c>
      <c r="U2505" s="2" t="s">
        <v>488</v>
      </c>
      <c r="V2505" s="2" t="s">
        <v>488</v>
      </c>
      <c r="W2505">
        <f t="shared" si="41"/>
        <v>0</v>
      </c>
    </row>
    <row r="2506" spans="1:23" x14ac:dyDescent="0.25">
      <c r="A2506" s="2" t="s">
        <v>1380</v>
      </c>
      <c r="B2506" s="2" t="s">
        <v>921</v>
      </c>
      <c r="C2506" s="2">
        <v>540244</v>
      </c>
      <c r="D2506" s="2" t="s">
        <v>672</v>
      </c>
      <c r="E2506" s="2" t="s">
        <v>27</v>
      </c>
      <c r="F2506" s="2" t="s">
        <v>115</v>
      </c>
      <c r="G2506" s="2">
        <v>4</v>
      </c>
      <c r="H2506" s="2">
        <v>0</v>
      </c>
      <c r="I2506" s="2">
        <v>0</v>
      </c>
      <c r="J2506" s="2">
        <v>0</v>
      </c>
      <c r="K2506" s="2">
        <v>0</v>
      </c>
      <c r="L2506" s="2">
        <v>0</v>
      </c>
      <c r="M2506" s="2">
        <v>0</v>
      </c>
      <c r="N2506" s="2">
        <v>0</v>
      </c>
      <c r="O2506" s="2">
        <v>0</v>
      </c>
      <c r="P2506" s="2">
        <v>0</v>
      </c>
      <c r="Q2506" s="2">
        <v>0</v>
      </c>
      <c r="R2506" s="2">
        <v>0</v>
      </c>
      <c r="S2506" s="2" t="s">
        <v>488</v>
      </c>
      <c r="T2506" s="2" t="s">
        <v>488</v>
      </c>
      <c r="U2506" s="2" t="s">
        <v>488</v>
      </c>
      <c r="V2506" s="2" t="s">
        <v>488</v>
      </c>
      <c r="W2506">
        <f t="shared" si="41"/>
        <v>0</v>
      </c>
    </row>
    <row r="2507" spans="1:23" x14ac:dyDescent="0.25">
      <c r="A2507" s="2" t="s">
        <v>1380</v>
      </c>
      <c r="B2507" s="2" t="s">
        <v>921</v>
      </c>
      <c r="C2507" s="2">
        <v>540281</v>
      </c>
      <c r="D2507" s="2" t="s">
        <v>673</v>
      </c>
      <c r="E2507" s="2" t="s">
        <v>27</v>
      </c>
      <c r="F2507" s="2" t="s">
        <v>115</v>
      </c>
      <c r="G2507" s="2">
        <v>4</v>
      </c>
      <c r="H2507" s="2">
        <v>0</v>
      </c>
      <c r="I2507" s="2">
        <v>0</v>
      </c>
      <c r="J2507" s="2">
        <v>0</v>
      </c>
      <c r="K2507" s="2">
        <v>0</v>
      </c>
      <c r="L2507" s="2">
        <v>0</v>
      </c>
      <c r="M2507" s="2">
        <v>0</v>
      </c>
      <c r="N2507" s="2">
        <v>0</v>
      </c>
      <c r="O2507" s="2">
        <v>0</v>
      </c>
      <c r="P2507" s="2">
        <v>0</v>
      </c>
      <c r="Q2507" s="2">
        <v>0</v>
      </c>
      <c r="R2507" s="2">
        <v>0</v>
      </c>
      <c r="S2507" s="2" t="s">
        <v>488</v>
      </c>
      <c r="T2507" s="2" t="s">
        <v>488</v>
      </c>
      <c r="U2507" s="2" t="s">
        <v>488</v>
      </c>
      <c r="V2507" s="2" t="s">
        <v>488</v>
      </c>
      <c r="W2507">
        <f t="shared" si="41"/>
        <v>0</v>
      </c>
    </row>
    <row r="2508" spans="1:23" x14ac:dyDescent="0.25">
      <c r="A2508" s="255" t="s">
        <v>1380</v>
      </c>
      <c r="B2508" s="255" t="s">
        <v>921</v>
      </c>
      <c r="C2508" s="255"/>
      <c r="D2508" s="255"/>
      <c r="E2508" s="255" t="s">
        <v>27</v>
      </c>
      <c r="F2508" s="255"/>
      <c r="G2508" s="255"/>
      <c r="H2508" s="255">
        <v>2</v>
      </c>
      <c r="I2508" s="255">
        <v>3</v>
      </c>
      <c r="J2508" s="255">
        <v>2</v>
      </c>
      <c r="K2508" s="255">
        <v>0</v>
      </c>
      <c r="L2508" s="255">
        <v>0</v>
      </c>
      <c r="M2508" s="255">
        <v>5</v>
      </c>
      <c r="N2508" s="255">
        <v>7</v>
      </c>
      <c r="O2508" s="255">
        <v>3</v>
      </c>
      <c r="P2508" s="255">
        <v>0</v>
      </c>
      <c r="Q2508" s="255">
        <v>0</v>
      </c>
      <c r="R2508" s="255">
        <v>1</v>
      </c>
      <c r="S2508" s="255" t="s">
        <v>488</v>
      </c>
      <c r="T2508" s="255" t="s">
        <v>488</v>
      </c>
      <c r="U2508" s="255" t="s">
        <v>488</v>
      </c>
      <c r="V2508" s="255" t="s">
        <v>488</v>
      </c>
      <c r="W2508">
        <f t="shared" si="41"/>
        <v>8</v>
      </c>
    </row>
    <row r="2509" spans="1:23" x14ac:dyDescent="0.25">
      <c r="A2509" s="2" t="s">
        <v>1380</v>
      </c>
      <c r="B2509" s="2" t="s">
        <v>921</v>
      </c>
      <c r="C2509" s="2">
        <v>540047</v>
      </c>
      <c r="D2509" s="2" t="s">
        <v>674</v>
      </c>
      <c r="E2509" s="2" t="s">
        <v>29</v>
      </c>
      <c r="F2509" s="2" t="s">
        <v>5</v>
      </c>
      <c r="G2509" s="2">
        <v>11</v>
      </c>
      <c r="H2509" s="2">
        <v>0</v>
      </c>
      <c r="I2509" s="2">
        <v>0</v>
      </c>
      <c r="J2509" s="2">
        <v>0</v>
      </c>
      <c r="K2509" s="2">
        <v>0</v>
      </c>
      <c r="L2509" s="2">
        <v>0</v>
      </c>
      <c r="M2509" s="2">
        <v>0</v>
      </c>
      <c r="N2509" s="2">
        <v>0</v>
      </c>
      <c r="O2509" s="2">
        <v>0</v>
      </c>
      <c r="P2509" s="2">
        <v>0</v>
      </c>
      <c r="Q2509" s="2">
        <v>0</v>
      </c>
      <c r="R2509" s="2">
        <v>0</v>
      </c>
      <c r="S2509" s="2" t="s">
        <v>488</v>
      </c>
      <c r="T2509" s="2" t="s">
        <v>488</v>
      </c>
      <c r="U2509" s="2" t="s">
        <v>488</v>
      </c>
      <c r="V2509" s="2" t="s">
        <v>488</v>
      </c>
      <c r="W2509">
        <f t="shared" si="41"/>
        <v>0</v>
      </c>
    </row>
    <row r="2510" spans="1:23" x14ac:dyDescent="0.25">
      <c r="A2510" s="2" t="s">
        <v>1380</v>
      </c>
      <c r="B2510" s="2" t="s">
        <v>921</v>
      </c>
      <c r="C2510" s="2">
        <v>540014</v>
      </c>
      <c r="D2510" s="2" t="s">
        <v>645</v>
      </c>
      <c r="E2510" s="2" t="s">
        <v>29</v>
      </c>
      <c r="F2510" s="2" t="s">
        <v>115</v>
      </c>
      <c r="G2510" s="2">
        <v>11</v>
      </c>
      <c r="H2510" s="2">
        <v>0</v>
      </c>
      <c r="I2510" s="2">
        <v>2</v>
      </c>
      <c r="J2510" s="2">
        <v>1</v>
      </c>
      <c r="K2510" s="2">
        <v>0</v>
      </c>
      <c r="L2510" s="2">
        <v>0</v>
      </c>
      <c r="M2510" s="2">
        <v>3</v>
      </c>
      <c r="N2510" s="2">
        <v>3</v>
      </c>
      <c r="O2510" s="2">
        <v>0</v>
      </c>
      <c r="P2510" s="2">
        <v>0</v>
      </c>
      <c r="Q2510" s="2">
        <v>0</v>
      </c>
      <c r="R2510" s="2">
        <v>0</v>
      </c>
      <c r="S2510" s="2" t="s">
        <v>488</v>
      </c>
      <c r="T2510" s="2" t="s">
        <v>488</v>
      </c>
      <c r="U2510" s="2" t="s">
        <v>488</v>
      </c>
      <c r="V2510" s="2" t="s">
        <v>488</v>
      </c>
      <c r="W2510">
        <f t="shared" si="41"/>
        <v>3</v>
      </c>
    </row>
    <row r="2511" spans="1:23" x14ac:dyDescent="0.25">
      <c r="A2511" s="2" t="s">
        <v>1380</v>
      </c>
      <c r="B2511" s="2" t="s">
        <v>921</v>
      </c>
      <c r="C2511" s="2">
        <v>540048</v>
      </c>
      <c r="D2511" s="2" t="s">
        <v>675</v>
      </c>
      <c r="E2511" s="2" t="s">
        <v>29</v>
      </c>
      <c r="F2511" s="2" t="s">
        <v>115</v>
      </c>
      <c r="G2511" s="2">
        <v>11</v>
      </c>
      <c r="H2511" s="2">
        <v>0</v>
      </c>
      <c r="I2511" s="2">
        <v>0</v>
      </c>
      <c r="J2511" s="2">
        <v>0</v>
      </c>
      <c r="K2511" s="2">
        <v>0</v>
      </c>
      <c r="L2511" s="2">
        <v>0</v>
      </c>
      <c r="M2511" s="2">
        <v>0</v>
      </c>
      <c r="N2511" s="2">
        <v>0</v>
      </c>
      <c r="O2511" s="2">
        <v>0</v>
      </c>
      <c r="P2511" s="2">
        <v>0</v>
      </c>
      <c r="Q2511" s="2">
        <v>0</v>
      </c>
      <c r="R2511" s="2">
        <v>0</v>
      </c>
      <c r="S2511" s="2" t="s">
        <v>488</v>
      </c>
      <c r="T2511" s="2" t="s">
        <v>488</v>
      </c>
      <c r="U2511" s="2" t="s">
        <v>488</v>
      </c>
      <c r="V2511" s="2" t="s">
        <v>488</v>
      </c>
      <c r="W2511">
        <f t="shared" si="41"/>
        <v>0</v>
      </c>
    </row>
    <row r="2512" spans="1:23" x14ac:dyDescent="0.25">
      <c r="A2512" s="2" t="s">
        <v>1380</v>
      </c>
      <c r="B2512" s="2" t="s">
        <v>921</v>
      </c>
      <c r="C2512" s="2">
        <v>540049</v>
      </c>
      <c r="D2512" s="2" t="s">
        <v>676</v>
      </c>
      <c r="E2512" s="2" t="s">
        <v>29</v>
      </c>
      <c r="F2512" s="2" t="s">
        <v>115</v>
      </c>
      <c r="G2512" s="2">
        <v>11</v>
      </c>
      <c r="H2512" s="2">
        <v>0</v>
      </c>
      <c r="I2512" s="2">
        <v>1</v>
      </c>
      <c r="J2512" s="2">
        <v>0</v>
      </c>
      <c r="K2512" s="2">
        <v>0</v>
      </c>
      <c r="L2512" s="2">
        <v>0</v>
      </c>
      <c r="M2512" s="2">
        <v>1</v>
      </c>
      <c r="N2512" s="2">
        <v>1</v>
      </c>
      <c r="O2512" s="2">
        <v>0</v>
      </c>
      <c r="P2512" s="2">
        <v>0</v>
      </c>
      <c r="Q2512" s="2">
        <v>0</v>
      </c>
      <c r="R2512" s="2">
        <v>0</v>
      </c>
      <c r="S2512" s="2" t="s">
        <v>488</v>
      </c>
      <c r="T2512" s="2" t="s">
        <v>488</v>
      </c>
      <c r="U2512" s="2" t="s">
        <v>488</v>
      </c>
      <c r="V2512" s="2" t="s">
        <v>488</v>
      </c>
      <c r="W2512">
        <f t="shared" si="41"/>
        <v>1</v>
      </c>
    </row>
    <row r="2513" spans="1:23" x14ac:dyDescent="0.25">
      <c r="A2513" s="255" t="s">
        <v>1380</v>
      </c>
      <c r="B2513" s="255" t="s">
        <v>921</v>
      </c>
      <c r="C2513" s="255"/>
      <c r="D2513" s="255"/>
      <c r="E2513" s="255" t="s">
        <v>29</v>
      </c>
      <c r="F2513" s="255"/>
      <c r="G2513" s="255"/>
      <c r="H2513" s="255">
        <v>0</v>
      </c>
      <c r="I2513" s="255">
        <v>3</v>
      </c>
      <c r="J2513" s="255">
        <v>1</v>
      </c>
      <c r="K2513" s="255">
        <v>0</v>
      </c>
      <c r="L2513" s="255">
        <v>0</v>
      </c>
      <c r="M2513" s="255">
        <v>4</v>
      </c>
      <c r="N2513" s="255">
        <v>4</v>
      </c>
      <c r="O2513" s="255">
        <v>0</v>
      </c>
      <c r="P2513" s="255">
        <v>0</v>
      </c>
      <c r="Q2513" s="255">
        <v>0</v>
      </c>
      <c r="R2513" s="255">
        <v>0</v>
      </c>
      <c r="S2513" s="255" t="s">
        <v>488</v>
      </c>
      <c r="T2513" s="255" t="s">
        <v>488</v>
      </c>
      <c r="U2513" s="255" t="s">
        <v>488</v>
      </c>
      <c r="V2513" s="255" t="s">
        <v>488</v>
      </c>
      <c r="W2513">
        <f t="shared" si="41"/>
        <v>4</v>
      </c>
    </row>
    <row r="2514" spans="1:23" x14ac:dyDescent="0.25">
      <c r="A2514" s="2" t="s">
        <v>1380</v>
      </c>
      <c r="B2514" s="2" t="s">
        <v>921</v>
      </c>
      <c r="C2514" s="2">
        <v>540051</v>
      </c>
      <c r="D2514" s="2" t="s">
        <v>677</v>
      </c>
      <c r="E2514" s="2" t="s">
        <v>31</v>
      </c>
      <c r="F2514" s="2" t="s">
        <v>5</v>
      </c>
      <c r="G2514" s="2">
        <v>8</v>
      </c>
      <c r="H2514" s="2">
        <v>4</v>
      </c>
      <c r="I2514" s="2">
        <v>0</v>
      </c>
      <c r="J2514" s="2">
        <v>0</v>
      </c>
      <c r="K2514" s="2">
        <v>0</v>
      </c>
      <c r="L2514" s="2">
        <v>0</v>
      </c>
      <c r="M2514" s="2">
        <v>0</v>
      </c>
      <c r="N2514" s="2">
        <v>4</v>
      </c>
      <c r="O2514" s="2">
        <v>0</v>
      </c>
      <c r="P2514" s="2">
        <v>0</v>
      </c>
      <c r="Q2514" s="2" t="s">
        <v>488</v>
      </c>
      <c r="R2514" s="2" t="s">
        <v>488</v>
      </c>
      <c r="S2514" s="2" t="s">
        <v>488</v>
      </c>
      <c r="T2514" s="2" t="s">
        <v>488</v>
      </c>
      <c r="U2514" s="2" t="s">
        <v>488</v>
      </c>
      <c r="V2514" s="2" t="s">
        <v>488</v>
      </c>
      <c r="W2514">
        <f t="shared" si="41"/>
        <v>4</v>
      </c>
    </row>
    <row r="2515" spans="1:23" x14ac:dyDescent="0.25">
      <c r="A2515" s="2" t="s">
        <v>1380</v>
      </c>
      <c r="B2515" s="2" t="s">
        <v>921</v>
      </c>
      <c r="C2515" s="2">
        <v>540052</v>
      </c>
      <c r="D2515" s="2" t="s">
        <v>678</v>
      </c>
      <c r="E2515" s="2" t="s">
        <v>31</v>
      </c>
      <c r="F2515" s="2" t="s">
        <v>115</v>
      </c>
      <c r="G2515" s="2">
        <v>8</v>
      </c>
      <c r="H2515" s="2">
        <v>0</v>
      </c>
      <c r="I2515" s="2">
        <v>0</v>
      </c>
      <c r="J2515" s="2">
        <v>0</v>
      </c>
      <c r="K2515" s="2">
        <v>0</v>
      </c>
      <c r="L2515" s="2">
        <v>0</v>
      </c>
      <c r="M2515" s="2">
        <v>0</v>
      </c>
      <c r="N2515" s="2">
        <v>0</v>
      </c>
      <c r="O2515" s="2">
        <v>0</v>
      </c>
      <c r="P2515" s="2">
        <v>0</v>
      </c>
      <c r="Q2515" s="2" t="s">
        <v>488</v>
      </c>
      <c r="R2515" s="2" t="s">
        <v>488</v>
      </c>
      <c r="S2515" s="2" t="s">
        <v>488</v>
      </c>
      <c r="T2515" s="2" t="s">
        <v>488</v>
      </c>
      <c r="U2515" s="2" t="s">
        <v>488</v>
      </c>
      <c r="V2515" s="2" t="s">
        <v>488</v>
      </c>
      <c r="W2515">
        <f t="shared" si="41"/>
        <v>0</v>
      </c>
    </row>
    <row r="2516" spans="1:23" x14ac:dyDescent="0.25">
      <c r="A2516" s="2" t="s">
        <v>1380</v>
      </c>
      <c r="B2516" s="2" t="s">
        <v>921</v>
      </c>
      <c r="C2516" s="2">
        <v>540245</v>
      </c>
      <c r="D2516" s="2" t="s">
        <v>679</v>
      </c>
      <c r="E2516" s="2" t="s">
        <v>31</v>
      </c>
      <c r="F2516" s="2" t="s">
        <v>115</v>
      </c>
      <c r="G2516" s="2">
        <v>8</v>
      </c>
      <c r="H2516" s="2">
        <v>0</v>
      </c>
      <c r="I2516" s="2">
        <v>0</v>
      </c>
      <c r="J2516" s="2">
        <v>0</v>
      </c>
      <c r="K2516" s="2">
        <v>0</v>
      </c>
      <c r="L2516" s="2">
        <v>0</v>
      </c>
      <c r="M2516" s="2">
        <v>0</v>
      </c>
      <c r="N2516" s="2">
        <v>0</v>
      </c>
      <c r="O2516" s="2">
        <v>0</v>
      </c>
      <c r="P2516" s="2">
        <v>0</v>
      </c>
      <c r="Q2516" s="2" t="s">
        <v>488</v>
      </c>
      <c r="R2516" s="2" t="s">
        <v>488</v>
      </c>
      <c r="S2516" s="2" t="s">
        <v>488</v>
      </c>
      <c r="T2516" s="2" t="s">
        <v>488</v>
      </c>
      <c r="U2516" s="2" t="s">
        <v>488</v>
      </c>
      <c r="V2516" s="2" t="s">
        <v>488</v>
      </c>
      <c r="W2516">
        <f t="shared" si="41"/>
        <v>0</v>
      </c>
    </row>
    <row r="2517" spans="1:23" x14ac:dyDescent="0.25">
      <c r="A2517" s="255" t="s">
        <v>1380</v>
      </c>
      <c r="B2517" s="255" t="s">
        <v>921</v>
      </c>
      <c r="C2517" s="255"/>
      <c r="D2517" s="255"/>
      <c r="E2517" s="255" t="s">
        <v>31</v>
      </c>
      <c r="F2517" s="255"/>
      <c r="G2517" s="255"/>
      <c r="H2517" s="255">
        <v>4</v>
      </c>
      <c r="I2517" s="255">
        <v>0</v>
      </c>
      <c r="J2517" s="255">
        <v>0</v>
      </c>
      <c r="K2517" s="255">
        <v>0</v>
      </c>
      <c r="L2517" s="255">
        <v>0</v>
      </c>
      <c r="M2517" s="255">
        <v>0</v>
      </c>
      <c r="N2517" s="255">
        <v>4</v>
      </c>
      <c r="O2517" s="255">
        <v>0</v>
      </c>
      <c r="P2517" s="255">
        <v>0</v>
      </c>
      <c r="Q2517" s="255" t="s">
        <v>488</v>
      </c>
      <c r="R2517" s="255" t="s">
        <v>488</v>
      </c>
      <c r="S2517" s="255" t="s">
        <v>488</v>
      </c>
      <c r="T2517" s="255" t="s">
        <v>488</v>
      </c>
      <c r="U2517" s="255" t="s">
        <v>488</v>
      </c>
      <c r="V2517" s="255" t="s">
        <v>488</v>
      </c>
      <c r="W2517">
        <f t="shared" si="41"/>
        <v>4</v>
      </c>
    </row>
    <row r="2518" spans="1:23" x14ac:dyDescent="0.25">
      <c r="A2518" s="2" t="s">
        <v>1380</v>
      </c>
      <c r="B2518" s="2" t="s">
        <v>921</v>
      </c>
      <c r="C2518" s="2">
        <v>540053</v>
      </c>
      <c r="D2518" s="2" t="s">
        <v>680</v>
      </c>
      <c r="E2518" s="2" t="s">
        <v>33</v>
      </c>
      <c r="F2518" s="2" t="s">
        <v>5</v>
      </c>
      <c r="G2518" s="2">
        <v>6</v>
      </c>
      <c r="H2518" s="2">
        <v>5</v>
      </c>
      <c r="I2518" s="2">
        <v>8</v>
      </c>
      <c r="J2518" s="2">
        <v>3</v>
      </c>
      <c r="K2518" s="2">
        <v>0</v>
      </c>
      <c r="L2518" s="2">
        <v>0</v>
      </c>
      <c r="M2518" s="2">
        <v>11</v>
      </c>
      <c r="N2518" s="2">
        <v>16</v>
      </c>
      <c r="O2518" s="2">
        <v>0</v>
      </c>
      <c r="P2518" s="2">
        <v>0</v>
      </c>
      <c r="Q2518" s="2">
        <v>0</v>
      </c>
      <c r="R2518" s="2">
        <v>0</v>
      </c>
      <c r="S2518" s="2" t="s">
        <v>488</v>
      </c>
      <c r="T2518" s="2" t="s">
        <v>488</v>
      </c>
      <c r="U2518" s="2" t="s">
        <v>488</v>
      </c>
      <c r="V2518" s="2" t="s">
        <v>488</v>
      </c>
      <c r="W2518">
        <f t="shared" si="41"/>
        <v>16</v>
      </c>
    </row>
    <row r="2519" spans="1:23" x14ac:dyDescent="0.25">
      <c r="A2519" s="2" t="s">
        <v>1380</v>
      </c>
      <c r="B2519" s="2" t="s">
        <v>921</v>
      </c>
      <c r="C2519" s="2">
        <v>540054</v>
      </c>
      <c r="D2519" s="2" t="s">
        <v>681</v>
      </c>
      <c r="E2519" s="2" t="s">
        <v>33</v>
      </c>
      <c r="F2519" s="2" t="s">
        <v>115</v>
      </c>
      <c r="G2519" s="2">
        <v>6</v>
      </c>
      <c r="H2519" s="2">
        <v>0</v>
      </c>
      <c r="I2519" s="2">
        <v>0</v>
      </c>
      <c r="J2519" s="2">
        <v>0</v>
      </c>
      <c r="K2519" s="2">
        <v>0</v>
      </c>
      <c r="L2519" s="2">
        <v>0</v>
      </c>
      <c r="M2519" s="2">
        <v>0</v>
      </c>
      <c r="N2519" s="2">
        <v>0</v>
      </c>
      <c r="O2519" s="2">
        <v>0</v>
      </c>
      <c r="P2519" s="2">
        <v>0</v>
      </c>
      <c r="Q2519" s="2">
        <v>0</v>
      </c>
      <c r="R2519" s="2">
        <v>0</v>
      </c>
      <c r="S2519" s="2" t="s">
        <v>488</v>
      </c>
      <c r="T2519" s="2" t="s">
        <v>488</v>
      </c>
      <c r="U2519" s="2" t="s">
        <v>488</v>
      </c>
      <c r="V2519" s="2" t="s">
        <v>488</v>
      </c>
      <c r="W2519">
        <f t="shared" si="41"/>
        <v>0</v>
      </c>
    </row>
    <row r="2520" spans="1:23" x14ac:dyDescent="0.25">
      <c r="A2520" s="2" t="s">
        <v>1380</v>
      </c>
      <c r="B2520" s="2" t="s">
        <v>921</v>
      </c>
      <c r="C2520" s="2">
        <v>540055</v>
      </c>
      <c r="D2520" s="2" t="s">
        <v>682</v>
      </c>
      <c r="E2520" s="2" t="s">
        <v>33</v>
      </c>
      <c r="F2520" s="2" t="s">
        <v>115</v>
      </c>
      <c r="G2520" s="2">
        <v>6</v>
      </c>
      <c r="H2520" s="2">
        <v>0</v>
      </c>
      <c r="I2520" s="2">
        <v>0</v>
      </c>
      <c r="J2520" s="2">
        <v>0</v>
      </c>
      <c r="K2520" s="2">
        <v>0</v>
      </c>
      <c r="L2520" s="2">
        <v>0</v>
      </c>
      <c r="M2520" s="2">
        <v>0</v>
      </c>
      <c r="N2520" s="2">
        <v>0</v>
      </c>
      <c r="O2520" s="2">
        <v>0</v>
      </c>
      <c r="P2520" s="2">
        <v>0</v>
      </c>
      <c r="Q2520" s="2">
        <v>0</v>
      </c>
      <c r="R2520" s="2">
        <v>0</v>
      </c>
      <c r="S2520" s="2" t="s">
        <v>488</v>
      </c>
      <c r="T2520" s="2" t="s">
        <v>488</v>
      </c>
      <c r="U2520" s="2" t="s">
        <v>488</v>
      </c>
      <c r="V2520" s="2" t="s">
        <v>488</v>
      </c>
      <c r="W2520">
        <f t="shared" si="41"/>
        <v>0</v>
      </c>
    </row>
    <row r="2521" spans="1:23" x14ac:dyDescent="0.25">
      <c r="A2521" s="2" t="s">
        <v>1380</v>
      </c>
      <c r="B2521" s="2" t="s">
        <v>921</v>
      </c>
      <c r="C2521" s="2">
        <v>540056</v>
      </c>
      <c r="D2521" s="2" t="s">
        <v>683</v>
      </c>
      <c r="E2521" s="2" t="s">
        <v>33</v>
      </c>
      <c r="F2521" s="2" t="s">
        <v>115</v>
      </c>
      <c r="G2521" s="2">
        <v>6</v>
      </c>
      <c r="H2521" s="2">
        <v>0</v>
      </c>
      <c r="I2521" s="2">
        <v>2</v>
      </c>
      <c r="J2521" s="2">
        <v>0</v>
      </c>
      <c r="K2521" s="2">
        <v>0</v>
      </c>
      <c r="L2521" s="2">
        <v>0</v>
      </c>
      <c r="M2521" s="2">
        <v>2</v>
      </c>
      <c r="N2521" s="2">
        <v>2</v>
      </c>
      <c r="O2521" s="2">
        <v>0</v>
      </c>
      <c r="P2521" s="2">
        <v>0</v>
      </c>
      <c r="Q2521" s="2">
        <v>0</v>
      </c>
      <c r="R2521" s="2">
        <v>0</v>
      </c>
      <c r="S2521" s="2" t="s">
        <v>488</v>
      </c>
      <c r="T2521" s="2" t="s">
        <v>488</v>
      </c>
      <c r="U2521" s="2" t="s">
        <v>488</v>
      </c>
      <c r="V2521" s="2" t="s">
        <v>488</v>
      </c>
      <c r="W2521">
        <f t="shared" si="41"/>
        <v>2</v>
      </c>
    </row>
    <row r="2522" spans="1:23" x14ac:dyDescent="0.25">
      <c r="A2522" s="2" t="s">
        <v>1380</v>
      </c>
      <c r="B2522" s="2" t="s">
        <v>921</v>
      </c>
      <c r="C2522" s="2">
        <v>540057</v>
      </c>
      <c r="D2522" s="2" t="s">
        <v>684</v>
      </c>
      <c r="E2522" s="2" t="s">
        <v>33</v>
      </c>
      <c r="F2522" s="2" t="s">
        <v>115</v>
      </c>
      <c r="G2522" s="2">
        <v>6</v>
      </c>
      <c r="H2522" s="2">
        <v>0</v>
      </c>
      <c r="I2522" s="2">
        <v>0</v>
      </c>
      <c r="J2522" s="2">
        <v>0</v>
      </c>
      <c r="K2522" s="2">
        <v>0</v>
      </c>
      <c r="L2522" s="2">
        <v>0</v>
      </c>
      <c r="M2522" s="2">
        <v>0</v>
      </c>
      <c r="N2522" s="2">
        <v>0</v>
      </c>
      <c r="O2522" s="2">
        <v>0</v>
      </c>
      <c r="P2522" s="2">
        <v>0</v>
      </c>
      <c r="Q2522" s="2">
        <v>0</v>
      </c>
      <c r="R2522" s="2">
        <v>0</v>
      </c>
      <c r="S2522" s="2" t="s">
        <v>488</v>
      </c>
      <c r="T2522" s="2" t="s">
        <v>488</v>
      </c>
      <c r="U2522" s="2" t="s">
        <v>488</v>
      </c>
      <c r="V2522" s="2" t="s">
        <v>488</v>
      </c>
      <c r="W2522">
        <f t="shared" si="41"/>
        <v>0</v>
      </c>
    </row>
    <row r="2523" spans="1:23" x14ac:dyDescent="0.25">
      <c r="A2523" s="2" t="s">
        <v>1380</v>
      </c>
      <c r="B2523" s="2" t="s">
        <v>921</v>
      </c>
      <c r="C2523" s="2">
        <v>540058</v>
      </c>
      <c r="D2523" s="2" t="s">
        <v>685</v>
      </c>
      <c r="E2523" s="2" t="s">
        <v>33</v>
      </c>
      <c r="F2523" s="2" t="s">
        <v>115</v>
      </c>
      <c r="G2523" s="2">
        <v>6</v>
      </c>
      <c r="H2523" s="2">
        <v>0</v>
      </c>
      <c r="I2523" s="2">
        <v>0</v>
      </c>
      <c r="J2523" s="2">
        <v>0</v>
      </c>
      <c r="K2523" s="2">
        <v>0</v>
      </c>
      <c r="L2523" s="2">
        <v>0</v>
      </c>
      <c r="M2523" s="2">
        <v>0</v>
      </c>
      <c r="N2523" s="2">
        <v>0</v>
      </c>
      <c r="O2523" s="2">
        <v>0</v>
      </c>
      <c r="P2523" s="2">
        <v>0</v>
      </c>
      <c r="Q2523" s="2">
        <v>0</v>
      </c>
      <c r="R2523" s="2">
        <v>0</v>
      </c>
      <c r="S2523" s="2" t="s">
        <v>488</v>
      </c>
      <c r="T2523" s="2" t="s">
        <v>488</v>
      </c>
      <c r="U2523" s="2" t="s">
        <v>488</v>
      </c>
      <c r="V2523" s="2" t="s">
        <v>488</v>
      </c>
      <c r="W2523">
        <f t="shared" si="41"/>
        <v>0</v>
      </c>
    </row>
    <row r="2524" spans="1:23" x14ac:dyDescent="0.25">
      <c r="A2524" s="2" t="s">
        <v>1380</v>
      </c>
      <c r="B2524" s="2" t="s">
        <v>921</v>
      </c>
      <c r="C2524" s="2">
        <v>540059</v>
      </c>
      <c r="D2524" s="2" t="s">
        <v>686</v>
      </c>
      <c r="E2524" s="2" t="s">
        <v>33</v>
      </c>
      <c r="F2524" s="2" t="s">
        <v>115</v>
      </c>
      <c r="G2524" s="2">
        <v>6</v>
      </c>
      <c r="H2524" s="2">
        <v>0</v>
      </c>
      <c r="I2524" s="2">
        <v>0</v>
      </c>
      <c r="J2524" s="2">
        <v>0</v>
      </c>
      <c r="K2524" s="2">
        <v>0</v>
      </c>
      <c r="L2524" s="2">
        <v>0</v>
      </c>
      <c r="M2524" s="2">
        <v>0</v>
      </c>
      <c r="N2524" s="2">
        <v>0</v>
      </c>
      <c r="O2524" s="2">
        <v>0</v>
      </c>
      <c r="P2524" s="2">
        <v>0</v>
      </c>
      <c r="Q2524" s="2">
        <v>0</v>
      </c>
      <c r="R2524" s="2">
        <v>0</v>
      </c>
      <c r="S2524" s="2" t="s">
        <v>488</v>
      </c>
      <c r="T2524" s="2" t="s">
        <v>488</v>
      </c>
      <c r="U2524" s="2" t="s">
        <v>488</v>
      </c>
      <c r="V2524" s="2" t="s">
        <v>488</v>
      </c>
      <c r="W2524">
        <f t="shared" si="41"/>
        <v>0</v>
      </c>
    </row>
    <row r="2525" spans="1:23" x14ac:dyDescent="0.25">
      <c r="A2525" s="2" t="s">
        <v>1380</v>
      </c>
      <c r="B2525" s="2" t="s">
        <v>921</v>
      </c>
      <c r="C2525" s="2">
        <v>540060</v>
      </c>
      <c r="D2525" s="2" t="s">
        <v>687</v>
      </c>
      <c r="E2525" s="2" t="s">
        <v>33</v>
      </c>
      <c r="F2525" s="2" t="s">
        <v>115</v>
      </c>
      <c r="G2525" s="2">
        <v>6</v>
      </c>
      <c r="H2525" s="2">
        <v>0</v>
      </c>
      <c r="I2525" s="2">
        <v>0</v>
      </c>
      <c r="J2525" s="2">
        <v>0</v>
      </c>
      <c r="K2525" s="2">
        <v>0</v>
      </c>
      <c r="L2525" s="2">
        <v>0</v>
      </c>
      <c r="M2525" s="2">
        <v>0</v>
      </c>
      <c r="N2525" s="2">
        <v>0</v>
      </c>
      <c r="O2525" s="2">
        <v>0</v>
      </c>
      <c r="P2525" s="2">
        <v>0</v>
      </c>
      <c r="Q2525" s="2">
        <v>0</v>
      </c>
      <c r="R2525" s="2">
        <v>0</v>
      </c>
      <c r="S2525" s="2" t="s">
        <v>488</v>
      </c>
      <c r="T2525" s="2" t="s">
        <v>488</v>
      </c>
      <c r="U2525" s="2" t="s">
        <v>488</v>
      </c>
      <c r="V2525" s="2" t="s">
        <v>488</v>
      </c>
      <c r="W2525">
        <f t="shared" si="41"/>
        <v>0</v>
      </c>
    </row>
    <row r="2526" spans="1:23" x14ac:dyDescent="0.25">
      <c r="A2526" s="2" t="s">
        <v>1380</v>
      </c>
      <c r="B2526" s="2" t="s">
        <v>921</v>
      </c>
      <c r="C2526" s="2">
        <v>540061</v>
      </c>
      <c r="D2526" s="2" t="s">
        <v>688</v>
      </c>
      <c r="E2526" s="2" t="s">
        <v>33</v>
      </c>
      <c r="F2526" s="2" t="s">
        <v>115</v>
      </c>
      <c r="G2526" s="2">
        <v>6</v>
      </c>
      <c r="H2526" s="2">
        <v>0</v>
      </c>
      <c r="I2526" s="2">
        <v>0</v>
      </c>
      <c r="J2526" s="2">
        <v>0</v>
      </c>
      <c r="K2526" s="2">
        <v>0</v>
      </c>
      <c r="L2526" s="2">
        <v>0</v>
      </c>
      <c r="M2526" s="2">
        <v>0</v>
      </c>
      <c r="N2526" s="2">
        <v>0</v>
      </c>
      <c r="O2526" s="2">
        <v>0</v>
      </c>
      <c r="P2526" s="2">
        <v>0</v>
      </c>
      <c r="Q2526" s="2">
        <v>0</v>
      </c>
      <c r="R2526" s="2">
        <v>0</v>
      </c>
      <c r="S2526" s="2" t="s">
        <v>488</v>
      </c>
      <c r="T2526" s="2" t="s">
        <v>488</v>
      </c>
      <c r="U2526" s="2" t="s">
        <v>488</v>
      </c>
      <c r="V2526" s="2" t="s">
        <v>488</v>
      </c>
      <c r="W2526">
        <f t="shared" si="41"/>
        <v>0</v>
      </c>
    </row>
    <row r="2527" spans="1:23" x14ac:dyDescent="0.25">
      <c r="A2527" s="2" t="s">
        <v>1380</v>
      </c>
      <c r="B2527" s="2" t="s">
        <v>921</v>
      </c>
      <c r="C2527" s="2">
        <v>540062</v>
      </c>
      <c r="D2527" s="2" t="s">
        <v>689</v>
      </c>
      <c r="E2527" s="2" t="s">
        <v>33</v>
      </c>
      <c r="F2527" s="2" t="s">
        <v>115</v>
      </c>
      <c r="G2527" s="2">
        <v>6</v>
      </c>
      <c r="H2527" s="2">
        <v>0</v>
      </c>
      <c r="I2527" s="2">
        <v>0</v>
      </c>
      <c r="J2527" s="2">
        <v>0</v>
      </c>
      <c r="K2527" s="2">
        <v>0</v>
      </c>
      <c r="L2527" s="2">
        <v>0</v>
      </c>
      <c r="M2527" s="2">
        <v>0</v>
      </c>
      <c r="N2527" s="2">
        <v>0</v>
      </c>
      <c r="O2527" s="2">
        <v>0</v>
      </c>
      <c r="P2527" s="2">
        <v>0</v>
      </c>
      <c r="Q2527" s="2">
        <v>0</v>
      </c>
      <c r="R2527" s="2">
        <v>0</v>
      </c>
      <c r="S2527" s="2" t="s">
        <v>488</v>
      </c>
      <c r="T2527" s="2" t="s">
        <v>488</v>
      </c>
      <c r="U2527" s="2" t="s">
        <v>488</v>
      </c>
      <c r="V2527" s="2" t="s">
        <v>488</v>
      </c>
      <c r="W2527">
        <f t="shared" si="41"/>
        <v>0</v>
      </c>
    </row>
    <row r="2528" spans="1:23" x14ac:dyDescent="0.25">
      <c r="A2528" s="2" t="s">
        <v>1380</v>
      </c>
      <c r="B2528" s="2" t="s">
        <v>921</v>
      </c>
      <c r="C2528" s="2">
        <v>540242</v>
      </c>
      <c r="D2528" s="2" t="s">
        <v>690</v>
      </c>
      <c r="E2528" s="2" t="s">
        <v>33</v>
      </c>
      <c r="F2528" s="2" t="s">
        <v>115</v>
      </c>
      <c r="G2528" s="2">
        <v>6</v>
      </c>
      <c r="H2528" s="2">
        <v>0</v>
      </c>
      <c r="I2528" s="2">
        <v>0</v>
      </c>
      <c r="J2528" s="2">
        <v>0</v>
      </c>
      <c r="K2528" s="2">
        <v>0</v>
      </c>
      <c r="L2528" s="2">
        <v>0</v>
      </c>
      <c r="M2528" s="2">
        <v>0</v>
      </c>
      <c r="N2528" s="2">
        <v>0</v>
      </c>
      <c r="O2528" s="2">
        <v>0</v>
      </c>
      <c r="P2528" s="2">
        <v>0</v>
      </c>
      <c r="Q2528" s="2">
        <v>0</v>
      </c>
      <c r="R2528" s="2">
        <v>0</v>
      </c>
      <c r="S2528" s="2" t="s">
        <v>488</v>
      </c>
      <c r="T2528" s="2" t="s">
        <v>488</v>
      </c>
      <c r="U2528" s="2" t="s">
        <v>488</v>
      </c>
      <c r="V2528" s="2" t="s">
        <v>488</v>
      </c>
      <c r="W2528">
        <f t="shared" si="41"/>
        <v>0</v>
      </c>
    </row>
    <row r="2529" spans="1:23" x14ac:dyDescent="0.25">
      <c r="A2529" s="255" t="s">
        <v>1380</v>
      </c>
      <c r="B2529" s="255" t="s">
        <v>921</v>
      </c>
      <c r="C2529" s="255"/>
      <c r="D2529" s="255"/>
      <c r="E2529" s="255" t="s">
        <v>33</v>
      </c>
      <c r="F2529" s="255"/>
      <c r="G2529" s="255"/>
      <c r="H2529" s="255">
        <v>5</v>
      </c>
      <c r="I2529" s="255">
        <v>10</v>
      </c>
      <c r="J2529" s="255">
        <v>3</v>
      </c>
      <c r="K2529" s="255">
        <v>0</v>
      </c>
      <c r="L2529" s="255">
        <v>0</v>
      </c>
      <c r="M2529" s="255">
        <v>13</v>
      </c>
      <c r="N2529" s="255">
        <v>18</v>
      </c>
      <c r="O2529" s="255">
        <v>0</v>
      </c>
      <c r="P2529" s="255">
        <v>0</v>
      </c>
      <c r="Q2529" s="255">
        <v>0</v>
      </c>
      <c r="R2529" s="255">
        <v>0</v>
      </c>
      <c r="S2529" s="255" t="s">
        <v>488</v>
      </c>
      <c r="T2529" s="255" t="s">
        <v>488</v>
      </c>
      <c r="U2529" s="255" t="s">
        <v>488</v>
      </c>
      <c r="V2529" s="255" t="s">
        <v>488</v>
      </c>
      <c r="W2529">
        <f t="shared" si="41"/>
        <v>18</v>
      </c>
    </row>
    <row r="2530" spans="1:23" x14ac:dyDescent="0.25">
      <c r="A2530" s="2" t="s">
        <v>1380</v>
      </c>
      <c r="B2530" s="2" t="s">
        <v>921</v>
      </c>
      <c r="C2530" s="2">
        <v>540063</v>
      </c>
      <c r="D2530" s="2" t="s">
        <v>691</v>
      </c>
      <c r="E2530" s="2" t="s">
        <v>35</v>
      </c>
      <c r="F2530" s="2" t="s">
        <v>5</v>
      </c>
      <c r="G2530" s="2">
        <v>5</v>
      </c>
      <c r="H2530" s="2">
        <v>8</v>
      </c>
      <c r="I2530" s="2">
        <v>1</v>
      </c>
      <c r="J2530" s="2">
        <v>0</v>
      </c>
      <c r="K2530" s="2">
        <v>0</v>
      </c>
      <c r="L2530" s="2">
        <v>0</v>
      </c>
      <c r="M2530" s="2">
        <v>1</v>
      </c>
      <c r="N2530" s="2">
        <v>9</v>
      </c>
      <c r="O2530" s="2">
        <v>0</v>
      </c>
      <c r="P2530" s="2">
        <v>0</v>
      </c>
      <c r="Q2530" s="2" t="s">
        <v>488</v>
      </c>
      <c r="R2530" s="2" t="s">
        <v>488</v>
      </c>
      <c r="S2530" s="2" t="s">
        <v>488</v>
      </c>
      <c r="T2530" s="2" t="s">
        <v>488</v>
      </c>
      <c r="U2530" s="2" t="s">
        <v>488</v>
      </c>
      <c r="V2530" s="2" t="s">
        <v>488</v>
      </c>
      <c r="W2530">
        <f t="shared" si="41"/>
        <v>9</v>
      </c>
    </row>
    <row r="2531" spans="1:23" x14ac:dyDescent="0.25">
      <c r="A2531" s="2" t="s">
        <v>1380</v>
      </c>
      <c r="B2531" s="2" t="s">
        <v>921</v>
      </c>
      <c r="C2531" s="2">
        <v>540064</v>
      </c>
      <c r="D2531" s="2" t="s">
        <v>692</v>
      </c>
      <c r="E2531" s="2" t="s">
        <v>35</v>
      </c>
      <c r="F2531" s="2" t="s">
        <v>115</v>
      </c>
      <c r="G2531" s="2">
        <v>5</v>
      </c>
      <c r="H2531" s="2">
        <v>0</v>
      </c>
      <c r="I2531" s="2">
        <v>0</v>
      </c>
      <c r="J2531" s="2">
        <v>0</v>
      </c>
      <c r="K2531" s="2">
        <v>0</v>
      </c>
      <c r="L2531" s="2">
        <v>0</v>
      </c>
      <c r="M2531" s="2">
        <v>0</v>
      </c>
      <c r="N2531" s="2">
        <v>0</v>
      </c>
      <c r="O2531" s="2">
        <v>0</v>
      </c>
      <c r="P2531" s="2">
        <v>0</v>
      </c>
      <c r="Q2531" s="2" t="s">
        <v>488</v>
      </c>
      <c r="R2531" s="2" t="s">
        <v>488</v>
      </c>
      <c r="S2531" s="2" t="s">
        <v>488</v>
      </c>
      <c r="T2531" s="2" t="s">
        <v>488</v>
      </c>
      <c r="U2531" s="2" t="s">
        <v>488</v>
      </c>
      <c r="V2531" s="2" t="s">
        <v>488</v>
      </c>
      <c r="W2531">
        <f t="shared" si="41"/>
        <v>0</v>
      </c>
    </row>
    <row r="2532" spans="1:23" x14ac:dyDescent="0.25">
      <c r="A2532" s="2" t="s">
        <v>1380</v>
      </c>
      <c r="B2532" s="2" t="s">
        <v>921</v>
      </c>
      <c r="C2532" s="2">
        <v>540241</v>
      </c>
      <c r="D2532" s="2" t="s">
        <v>693</v>
      </c>
      <c r="E2532" s="2" t="s">
        <v>35</v>
      </c>
      <c r="F2532" s="2" t="s">
        <v>115</v>
      </c>
      <c r="G2532" s="2">
        <v>5</v>
      </c>
      <c r="H2532" s="2">
        <v>0</v>
      </c>
      <c r="I2532" s="2">
        <v>0</v>
      </c>
      <c r="J2532" s="2">
        <v>0</v>
      </c>
      <c r="K2532" s="2">
        <v>0</v>
      </c>
      <c r="L2532" s="2">
        <v>0</v>
      </c>
      <c r="M2532" s="2">
        <v>0</v>
      </c>
      <c r="N2532" s="2">
        <v>0</v>
      </c>
      <c r="O2532" s="2">
        <v>0</v>
      </c>
      <c r="P2532" s="2">
        <v>0</v>
      </c>
      <c r="Q2532" s="2" t="s">
        <v>488</v>
      </c>
      <c r="R2532" s="2" t="s">
        <v>488</v>
      </c>
      <c r="S2532" s="2" t="s">
        <v>488</v>
      </c>
      <c r="T2532" s="2" t="s">
        <v>488</v>
      </c>
      <c r="U2532" s="2" t="s">
        <v>488</v>
      </c>
      <c r="V2532" s="2" t="s">
        <v>488</v>
      </c>
      <c r="W2532">
        <f t="shared" si="41"/>
        <v>0</v>
      </c>
    </row>
    <row r="2533" spans="1:23" x14ac:dyDescent="0.25">
      <c r="A2533" s="255" t="s">
        <v>1380</v>
      </c>
      <c r="B2533" s="255" t="s">
        <v>921</v>
      </c>
      <c r="C2533" s="255"/>
      <c r="D2533" s="255"/>
      <c r="E2533" s="255" t="s">
        <v>35</v>
      </c>
      <c r="F2533" s="255"/>
      <c r="G2533" s="255"/>
      <c r="H2533" s="255">
        <v>8</v>
      </c>
      <c r="I2533" s="255">
        <v>1</v>
      </c>
      <c r="J2533" s="255">
        <v>0</v>
      </c>
      <c r="K2533" s="255">
        <v>0</v>
      </c>
      <c r="L2533" s="255">
        <v>0</v>
      </c>
      <c r="M2533" s="255">
        <v>1</v>
      </c>
      <c r="N2533" s="255">
        <v>9</v>
      </c>
      <c r="O2533" s="255">
        <v>0</v>
      </c>
      <c r="P2533" s="255">
        <v>0</v>
      </c>
      <c r="Q2533" s="255" t="s">
        <v>488</v>
      </c>
      <c r="R2533" s="255" t="s">
        <v>488</v>
      </c>
      <c r="S2533" s="255" t="s">
        <v>488</v>
      </c>
      <c r="T2533" s="255" t="s">
        <v>488</v>
      </c>
      <c r="U2533" s="255" t="s">
        <v>488</v>
      </c>
      <c r="V2533" s="255" t="s">
        <v>488</v>
      </c>
      <c r="W2533">
        <f t="shared" si="41"/>
        <v>9</v>
      </c>
    </row>
    <row r="2534" spans="1:23" x14ac:dyDescent="0.25">
      <c r="A2534" s="2" t="s">
        <v>1380</v>
      </c>
      <c r="B2534" s="2" t="s">
        <v>921</v>
      </c>
      <c r="C2534" s="2">
        <v>540065</v>
      </c>
      <c r="D2534" s="2" t="s">
        <v>694</v>
      </c>
      <c r="E2534" s="2" t="s">
        <v>37</v>
      </c>
      <c r="F2534" s="2" t="s">
        <v>5</v>
      </c>
      <c r="G2534" s="2">
        <v>9</v>
      </c>
      <c r="H2534" s="2">
        <v>1</v>
      </c>
      <c r="I2534" s="2">
        <v>0</v>
      </c>
      <c r="J2534" s="2">
        <v>0</v>
      </c>
      <c r="K2534" s="2">
        <v>0</v>
      </c>
      <c r="L2534" s="2">
        <v>0</v>
      </c>
      <c r="M2534" s="2">
        <v>0</v>
      </c>
      <c r="N2534" s="2">
        <v>1</v>
      </c>
      <c r="O2534" s="2">
        <v>0</v>
      </c>
      <c r="P2534" s="2">
        <v>0</v>
      </c>
      <c r="Q2534" s="2">
        <v>0</v>
      </c>
      <c r="R2534" s="2">
        <v>0</v>
      </c>
      <c r="S2534" s="2">
        <v>0</v>
      </c>
      <c r="T2534" s="2">
        <v>0</v>
      </c>
      <c r="U2534" s="2" t="s">
        <v>488</v>
      </c>
      <c r="V2534" s="2" t="s">
        <v>488</v>
      </c>
      <c r="W2534">
        <f t="shared" si="41"/>
        <v>1</v>
      </c>
    </row>
    <row r="2535" spans="1:23" x14ac:dyDescent="0.25">
      <c r="A2535" s="2" t="s">
        <v>1380</v>
      </c>
      <c r="B2535" s="2" t="s">
        <v>921</v>
      </c>
      <c r="C2535" s="2">
        <v>540030</v>
      </c>
      <c r="D2535" s="2" t="s">
        <v>695</v>
      </c>
      <c r="E2535" s="2" t="s">
        <v>37</v>
      </c>
      <c r="F2535" s="2" t="s">
        <v>115</v>
      </c>
      <c r="G2535" s="2">
        <v>9</v>
      </c>
      <c r="H2535" s="2">
        <v>0</v>
      </c>
      <c r="I2535" s="2">
        <v>0</v>
      </c>
      <c r="J2535" s="2">
        <v>0</v>
      </c>
      <c r="K2535" s="2">
        <v>0</v>
      </c>
      <c r="L2535" s="2">
        <v>0</v>
      </c>
      <c r="M2535" s="2">
        <v>0</v>
      </c>
      <c r="N2535" s="2">
        <v>0</v>
      </c>
      <c r="O2535" s="2">
        <v>0</v>
      </c>
      <c r="P2535" s="2">
        <v>0</v>
      </c>
      <c r="Q2535" s="2">
        <v>0</v>
      </c>
      <c r="R2535" s="2">
        <v>0</v>
      </c>
      <c r="S2535" s="2">
        <v>0</v>
      </c>
      <c r="T2535" s="2">
        <v>0</v>
      </c>
      <c r="U2535" s="2" t="s">
        <v>488</v>
      </c>
      <c r="V2535" s="2" t="s">
        <v>488</v>
      </c>
      <c r="W2535">
        <f t="shared" si="41"/>
        <v>0</v>
      </c>
    </row>
    <row r="2536" spans="1:23" x14ac:dyDescent="0.25">
      <c r="A2536" s="2" t="s">
        <v>1380</v>
      </c>
      <c r="B2536" s="2" t="s">
        <v>921</v>
      </c>
      <c r="C2536" s="2">
        <v>540066</v>
      </c>
      <c r="D2536" s="2" t="s">
        <v>696</v>
      </c>
      <c r="E2536" s="2" t="s">
        <v>37</v>
      </c>
      <c r="F2536" s="2" t="s">
        <v>115</v>
      </c>
      <c r="G2536" s="2">
        <v>9</v>
      </c>
      <c r="H2536" s="2">
        <v>0</v>
      </c>
      <c r="I2536" s="2">
        <v>0</v>
      </c>
      <c r="J2536" s="2">
        <v>0</v>
      </c>
      <c r="K2536" s="2">
        <v>0</v>
      </c>
      <c r="L2536" s="2">
        <v>0</v>
      </c>
      <c r="M2536" s="2">
        <v>0</v>
      </c>
      <c r="N2536" s="2">
        <v>0</v>
      </c>
      <c r="O2536" s="2">
        <v>0</v>
      </c>
      <c r="P2536" s="2">
        <v>0</v>
      </c>
      <c r="Q2536" s="2">
        <v>0</v>
      </c>
      <c r="R2536" s="2">
        <v>0</v>
      </c>
      <c r="S2536" s="2">
        <v>0</v>
      </c>
      <c r="T2536" s="2">
        <v>0</v>
      </c>
      <c r="U2536" s="2" t="s">
        <v>488</v>
      </c>
      <c r="V2536" s="2" t="s">
        <v>488</v>
      </c>
      <c r="W2536">
        <f t="shared" si="41"/>
        <v>0</v>
      </c>
    </row>
    <row r="2537" spans="1:23" x14ac:dyDescent="0.25">
      <c r="A2537" s="2" t="s">
        <v>1380</v>
      </c>
      <c r="B2537" s="2" t="s">
        <v>921</v>
      </c>
      <c r="C2537" s="2">
        <v>540067</v>
      </c>
      <c r="D2537" s="2" t="s">
        <v>697</v>
      </c>
      <c r="E2537" s="2" t="s">
        <v>37</v>
      </c>
      <c r="F2537" s="2" t="s">
        <v>115</v>
      </c>
      <c r="G2537" s="2">
        <v>9</v>
      </c>
      <c r="H2537" s="2">
        <v>0</v>
      </c>
      <c r="I2537" s="2">
        <v>0</v>
      </c>
      <c r="J2537" s="2">
        <v>0</v>
      </c>
      <c r="K2537" s="2">
        <v>0</v>
      </c>
      <c r="L2537" s="2">
        <v>0</v>
      </c>
      <c r="M2537" s="2">
        <v>0</v>
      </c>
      <c r="N2537" s="2">
        <v>0</v>
      </c>
      <c r="O2537" s="2">
        <v>0</v>
      </c>
      <c r="P2537" s="2">
        <v>0</v>
      </c>
      <c r="Q2537" s="2">
        <v>0</v>
      </c>
      <c r="R2537" s="2">
        <v>0</v>
      </c>
      <c r="S2537" s="2">
        <v>0</v>
      </c>
      <c r="T2537" s="2">
        <v>0</v>
      </c>
      <c r="U2537" s="2" t="s">
        <v>488</v>
      </c>
      <c r="V2537" s="2" t="s">
        <v>488</v>
      </c>
      <c r="W2537">
        <f t="shared" si="41"/>
        <v>0</v>
      </c>
    </row>
    <row r="2538" spans="1:23" x14ac:dyDescent="0.25">
      <c r="A2538" s="2" t="s">
        <v>1380</v>
      </c>
      <c r="B2538" s="2" t="s">
        <v>921</v>
      </c>
      <c r="C2538" s="2">
        <v>540068</v>
      </c>
      <c r="D2538" s="2" t="s">
        <v>698</v>
      </c>
      <c r="E2538" s="2" t="s">
        <v>37</v>
      </c>
      <c r="F2538" s="2" t="s">
        <v>115</v>
      </c>
      <c r="G2538" s="2">
        <v>9</v>
      </c>
      <c r="H2538" s="2">
        <v>0</v>
      </c>
      <c r="I2538" s="2">
        <v>0</v>
      </c>
      <c r="J2538" s="2">
        <v>0</v>
      </c>
      <c r="K2538" s="2">
        <v>0</v>
      </c>
      <c r="L2538" s="2">
        <v>0</v>
      </c>
      <c r="M2538" s="2">
        <v>0</v>
      </c>
      <c r="N2538" s="2">
        <v>0</v>
      </c>
      <c r="O2538" s="2">
        <v>0</v>
      </c>
      <c r="P2538" s="2">
        <v>0</v>
      </c>
      <c r="Q2538" s="2">
        <v>0</v>
      </c>
      <c r="R2538" s="2">
        <v>0</v>
      </c>
      <c r="S2538" s="2">
        <v>0</v>
      </c>
      <c r="T2538" s="2">
        <v>0</v>
      </c>
      <c r="U2538" s="2" t="s">
        <v>488</v>
      </c>
      <c r="V2538" s="2" t="s">
        <v>488</v>
      </c>
      <c r="W2538">
        <f t="shared" si="41"/>
        <v>0</v>
      </c>
    </row>
    <row r="2539" spans="1:23" x14ac:dyDescent="0.25">
      <c r="A2539" s="2" t="s">
        <v>1380</v>
      </c>
      <c r="B2539" s="2" t="s">
        <v>921</v>
      </c>
      <c r="C2539" s="2">
        <v>540069</v>
      </c>
      <c r="D2539" s="2" t="s">
        <v>699</v>
      </c>
      <c r="E2539" s="2" t="s">
        <v>37</v>
      </c>
      <c r="F2539" s="2" t="s">
        <v>115</v>
      </c>
      <c r="G2539" s="2">
        <v>9</v>
      </c>
      <c r="H2539" s="2">
        <v>0</v>
      </c>
      <c r="I2539" s="2">
        <v>0</v>
      </c>
      <c r="J2539" s="2">
        <v>0</v>
      </c>
      <c r="K2539" s="2">
        <v>0</v>
      </c>
      <c r="L2539" s="2">
        <v>0</v>
      </c>
      <c r="M2539" s="2">
        <v>0</v>
      </c>
      <c r="N2539" s="2">
        <v>0</v>
      </c>
      <c r="O2539" s="2">
        <v>0</v>
      </c>
      <c r="P2539" s="2">
        <v>0</v>
      </c>
      <c r="Q2539" s="2">
        <v>0</v>
      </c>
      <c r="R2539" s="2">
        <v>0</v>
      </c>
      <c r="S2539" s="2">
        <v>0</v>
      </c>
      <c r="T2539" s="2">
        <v>0</v>
      </c>
      <c r="U2539" s="2" t="s">
        <v>488</v>
      </c>
      <c r="V2539" s="2" t="s">
        <v>488</v>
      </c>
      <c r="W2539">
        <f t="shared" si="41"/>
        <v>0</v>
      </c>
    </row>
    <row r="2540" spans="1:23" x14ac:dyDescent="0.25">
      <c r="A2540" s="255" t="s">
        <v>1380</v>
      </c>
      <c r="B2540" s="255" t="s">
        <v>921</v>
      </c>
      <c r="C2540" s="255"/>
      <c r="D2540" s="255"/>
      <c r="E2540" s="255" t="s">
        <v>37</v>
      </c>
      <c r="F2540" s="255"/>
      <c r="G2540" s="255"/>
      <c r="H2540" s="255">
        <v>1</v>
      </c>
      <c r="I2540" s="255">
        <v>0</v>
      </c>
      <c r="J2540" s="255">
        <v>0</v>
      </c>
      <c r="K2540" s="255">
        <v>0</v>
      </c>
      <c r="L2540" s="255">
        <v>0</v>
      </c>
      <c r="M2540" s="255">
        <v>0</v>
      </c>
      <c r="N2540" s="255">
        <v>1</v>
      </c>
      <c r="O2540" s="255">
        <v>0</v>
      </c>
      <c r="P2540" s="255">
        <v>0</v>
      </c>
      <c r="Q2540" s="255">
        <v>0</v>
      </c>
      <c r="R2540" s="255">
        <v>0</v>
      </c>
      <c r="S2540" s="255">
        <v>0</v>
      </c>
      <c r="T2540" s="255">
        <v>0</v>
      </c>
      <c r="U2540" s="255" t="s">
        <v>488</v>
      </c>
      <c r="V2540" s="255" t="s">
        <v>488</v>
      </c>
      <c r="W2540">
        <f t="shared" si="41"/>
        <v>1</v>
      </c>
    </row>
    <row r="2541" spans="1:23" x14ac:dyDescent="0.25">
      <c r="A2541" s="2" t="s">
        <v>1380</v>
      </c>
      <c r="B2541" s="2" t="s">
        <v>921</v>
      </c>
      <c r="C2541" s="2">
        <v>540070</v>
      </c>
      <c r="D2541" s="2" t="s">
        <v>700</v>
      </c>
      <c r="E2541" s="2" t="s">
        <v>39</v>
      </c>
      <c r="F2541" s="2" t="s">
        <v>5</v>
      </c>
      <c r="G2541" s="2">
        <v>3</v>
      </c>
      <c r="H2541" s="2">
        <v>14</v>
      </c>
      <c r="I2541" s="2">
        <v>31</v>
      </c>
      <c r="J2541" s="2">
        <v>8</v>
      </c>
      <c r="K2541" s="2">
        <v>0</v>
      </c>
      <c r="L2541" s="2">
        <v>0</v>
      </c>
      <c r="M2541" s="2">
        <v>39</v>
      </c>
      <c r="N2541" s="2">
        <v>53</v>
      </c>
      <c r="O2541" s="2">
        <v>6</v>
      </c>
      <c r="P2541" s="2">
        <v>1</v>
      </c>
      <c r="Q2541" s="2">
        <v>9</v>
      </c>
      <c r="R2541" s="2">
        <v>2</v>
      </c>
      <c r="S2541" s="2" t="s">
        <v>488</v>
      </c>
      <c r="T2541" s="2" t="s">
        <v>488</v>
      </c>
      <c r="U2541" s="2" t="s">
        <v>488</v>
      </c>
      <c r="V2541" s="2" t="s">
        <v>488</v>
      </c>
      <c r="W2541">
        <f t="shared" si="41"/>
        <v>56</v>
      </c>
    </row>
    <row r="2542" spans="1:23" x14ac:dyDescent="0.25">
      <c r="A2542" s="2" t="s">
        <v>1380</v>
      </c>
      <c r="B2542" s="2" t="s">
        <v>921</v>
      </c>
      <c r="C2542" s="2">
        <v>540029</v>
      </c>
      <c r="D2542" s="2" t="s">
        <v>701</v>
      </c>
      <c r="E2542" s="2" t="s">
        <v>39</v>
      </c>
      <c r="F2542" s="2" t="s">
        <v>115</v>
      </c>
      <c r="G2542" s="2">
        <v>3</v>
      </c>
      <c r="H2542" s="2">
        <v>0</v>
      </c>
      <c r="I2542" s="2">
        <v>0</v>
      </c>
      <c r="J2542" s="2">
        <v>0</v>
      </c>
      <c r="K2542" s="2">
        <v>0</v>
      </c>
      <c r="L2542" s="2">
        <v>0</v>
      </c>
      <c r="M2542" s="2">
        <v>0</v>
      </c>
      <c r="N2542" s="2">
        <v>0</v>
      </c>
      <c r="O2542" s="2">
        <v>0</v>
      </c>
      <c r="P2542" s="2">
        <v>0</v>
      </c>
      <c r="Q2542" s="2">
        <v>0</v>
      </c>
      <c r="R2542" s="2">
        <v>1</v>
      </c>
      <c r="S2542" s="2" t="s">
        <v>488</v>
      </c>
      <c r="T2542" s="2" t="s">
        <v>488</v>
      </c>
      <c r="U2542" s="2" t="s">
        <v>488</v>
      </c>
      <c r="V2542" s="2" t="s">
        <v>488</v>
      </c>
      <c r="W2542">
        <f t="shared" si="41"/>
        <v>1</v>
      </c>
    </row>
    <row r="2543" spans="1:23" x14ac:dyDescent="0.25">
      <c r="A2543" s="2" t="s">
        <v>1380</v>
      </c>
      <c r="B2543" s="2" t="s">
        <v>921</v>
      </c>
      <c r="C2543" s="2">
        <v>540071</v>
      </c>
      <c r="D2543" s="2" t="s">
        <v>702</v>
      </c>
      <c r="E2543" s="2" t="s">
        <v>39</v>
      </c>
      <c r="F2543" s="2" t="s">
        <v>115</v>
      </c>
      <c r="G2543" s="2">
        <v>3</v>
      </c>
      <c r="H2543" s="2">
        <v>0</v>
      </c>
      <c r="I2543" s="2">
        <v>0</v>
      </c>
      <c r="J2543" s="2">
        <v>0</v>
      </c>
      <c r="K2543" s="2">
        <v>0</v>
      </c>
      <c r="L2543" s="2">
        <v>0</v>
      </c>
      <c r="M2543" s="2">
        <v>0</v>
      </c>
      <c r="N2543" s="2">
        <v>0</v>
      </c>
      <c r="O2543" s="2">
        <v>0</v>
      </c>
      <c r="P2543" s="2">
        <v>0</v>
      </c>
      <c r="Q2543" s="2">
        <v>0</v>
      </c>
      <c r="R2543" s="2">
        <v>0</v>
      </c>
      <c r="S2543" s="2" t="s">
        <v>488</v>
      </c>
      <c r="T2543" s="2" t="s">
        <v>488</v>
      </c>
      <c r="U2543" s="2" t="s">
        <v>488</v>
      </c>
      <c r="V2543" s="2" t="s">
        <v>488</v>
      </c>
      <c r="W2543">
        <f t="shared" si="41"/>
        <v>0</v>
      </c>
    </row>
    <row r="2544" spans="1:23" x14ac:dyDescent="0.25">
      <c r="A2544" s="2" t="s">
        <v>1380</v>
      </c>
      <c r="B2544" s="2" t="s">
        <v>921</v>
      </c>
      <c r="C2544" s="2">
        <v>540072</v>
      </c>
      <c r="D2544" s="2" t="s">
        <v>703</v>
      </c>
      <c r="E2544" s="2" t="s">
        <v>39</v>
      </c>
      <c r="F2544" s="2" t="s">
        <v>115</v>
      </c>
      <c r="G2544" s="2">
        <v>3</v>
      </c>
      <c r="H2544" s="2">
        <v>0</v>
      </c>
      <c r="I2544" s="2">
        <v>0</v>
      </c>
      <c r="J2544" s="2">
        <v>0</v>
      </c>
      <c r="K2544" s="2">
        <v>0</v>
      </c>
      <c r="L2544" s="2">
        <v>0</v>
      </c>
      <c r="M2544" s="2">
        <v>0</v>
      </c>
      <c r="N2544" s="2">
        <v>0</v>
      </c>
      <c r="O2544" s="2">
        <v>0</v>
      </c>
      <c r="P2544" s="2">
        <v>0</v>
      </c>
      <c r="Q2544" s="2">
        <v>0</v>
      </c>
      <c r="R2544" s="2">
        <v>0</v>
      </c>
      <c r="S2544" s="2" t="s">
        <v>488</v>
      </c>
      <c r="T2544" s="2" t="s">
        <v>488</v>
      </c>
      <c r="U2544" s="2" t="s">
        <v>488</v>
      </c>
      <c r="V2544" s="2" t="s">
        <v>488</v>
      </c>
      <c r="W2544">
        <f t="shared" si="41"/>
        <v>0</v>
      </c>
    </row>
    <row r="2545" spans="1:23" x14ac:dyDescent="0.25">
      <c r="A2545" s="2" t="s">
        <v>1380</v>
      </c>
      <c r="B2545" s="2" t="s">
        <v>921</v>
      </c>
      <c r="C2545" s="2">
        <v>540073</v>
      </c>
      <c r="D2545" s="2" t="s">
        <v>704</v>
      </c>
      <c r="E2545" s="2" t="s">
        <v>39</v>
      </c>
      <c r="F2545" s="2" t="s">
        <v>115</v>
      </c>
      <c r="G2545" s="2">
        <v>3</v>
      </c>
      <c r="H2545" s="2">
        <v>1</v>
      </c>
      <c r="I2545" s="2">
        <v>17</v>
      </c>
      <c r="J2545" s="2">
        <v>0</v>
      </c>
      <c r="K2545" s="2">
        <v>0</v>
      </c>
      <c r="L2545" s="2">
        <v>0</v>
      </c>
      <c r="M2545" s="2">
        <v>17</v>
      </c>
      <c r="N2545" s="2">
        <v>18</v>
      </c>
      <c r="O2545" s="2">
        <v>0</v>
      </c>
      <c r="P2545" s="2">
        <v>0</v>
      </c>
      <c r="Q2545" s="2">
        <v>1</v>
      </c>
      <c r="R2545" s="2">
        <v>0</v>
      </c>
      <c r="S2545" s="2" t="s">
        <v>488</v>
      </c>
      <c r="T2545" s="2" t="s">
        <v>488</v>
      </c>
      <c r="U2545" s="2" t="s">
        <v>488</v>
      </c>
      <c r="V2545" s="2" t="s">
        <v>488</v>
      </c>
      <c r="W2545">
        <f t="shared" si="41"/>
        <v>18</v>
      </c>
    </row>
    <row r="2546" spans="1:23" x14ac:dyDescent="0.25">
      <c r="A2546" s="2" t="s">
        <v>1380</v>
      </c>
      <c r="B2546" s="2" t="s">
        <v>921</v>
      </c>
      <c r="C2546" s="2">
        <v>540074</v>
      </c>
      <c r="D2546" s="2" t="s">
        <v>705</v>
      </c>
      <c r="E2546" s="2" t="s">
        <v>39</v>
      </c>
      <c r="F2546" s="2" t="s">
        <v>115</v>
      </c>
      <c r="G2546" s="2">
        <v>3</v>
      </c>
      <c r="H2546" s="2">
        <v>0</v>
      </c>
      <c r="I2546" s="2">
        <v>1</v>
      </c>
      <c r="J2546" s="2">
        <v>0</v>
      </c>
      <c r="K2546" s="2">
        <v>0</v>
      </c>
      <c r="L2546" s="2">
        <v>0</v>
      </c>
      <c r="M2546" s="2">
        <v>1</v>
      </c>
      <c r="N2546" s="2">
        <v>1</v>
      </c>
      <c r="O2546" s="2">
        <v>0</v>
      </c>
      <c r="P2546" s="2">
        <v>0</v>
      </c>
      <c r="Q2546" s="2">
        <v>0</v>
      </c>
      <c r="R2546" s="2">
        <v>0</v>
      </c>
      <c r="S2546" s="2" t="s">
        <v>488</v>
      </c>
      <c r="T2546" s="2" t="s">
        <v>488</v>
      </c>
      <c r="U2546" s="2" t="s">
        <v>488</v>
      </c>
      <c r="V2546" s="2" t="s">
        <v>488</v>
      </c>
      <c r="W2546">
        <f t="shared" si="41"/>
        <v>1</v>
      </c>
    </row>
    <row r="2547" spans="1:23" x14ac:dyDescent="0.25">
      <c r="A2547" s="2" t="s">
        <v>1380</v>
      </c>
      <c r="B2547" s="2" t="s">
        <v>921</v>
      </c>
      <c r="C2547" s="2">
        <v>540075</v>
      </c>
      <c r="D2547" s="2" t="s">
        <v>706</v>
      </c>
      <c r="E2547" s="2" t="s">
        <v>39</v>
      </c>
      <c r="F2547" s="2" t="s">
        <v>115</v>
      </c>
      <c r="G2547" s="2">
        <v>3</v>
      </c>
      <c r="H2547" s="2">
        <v>0</v>
      </c>
      <c r="I2547" s="2">
        <v>3</v>
      </c>
      <c r="J2547" s="2">
        <v>0</v>
      </c>
      <c r="K2547" s="2">
        <v>0</v>
      </c>
      <c r="L2547" s="2">
        <v>0</v>
      </c>
      <c r="M2547" s="2">
        <v>3</v>
      </c>
      <c r="N2547" s="2">
        <v>3</v>
      </c>
      <c r="O2547" s="2">
        <v>2</v>
      </c>
      <c r="P2547" s="2">
        <v>0</v>
      </c>
      <c r="Q2547" s="2">
        <v>0</v>
      </c>
      <c r="R2547" s="2">
        <v>0</v>
      </c>
      <c r="S2547" s="2" t="s">
        <v>488</v>
      </c>
      <c r="T2547" s="2" t="s">
        <v>488</v>
      </c>
      <c r="U2547" s="2" t="s">
        <v>488</v>
      </c>
      <c r="V2547" s="2" t="s">
        <v>488</v>
      </c>
      <c r="W2547">
        <f t="shared" si="41"/>
        <v>3</v>
      </c>
    </row>
    <row r="2548" spans="1:23" x14ac:dyDescent="0.25">
      <c r="A2548" s="2" t="s">
        <v>1380</v>
      </c>
      <c r="B2548" s="2" t="s">
        <v>921</v>
      </c>
      <c r="C2548" s="2">
        <v>540076</v>
      </c>
      <c r="D2548" s="2" t="s">
        <v>707</v>
      </c>
      <c r="E2548" s="2" t="s">
        <v>39</v>
      </c>
      <c r="F2548" s="2" t="s">
        <v>115</v>
      </c>
      <c r="G2548" s="2">
        <v>3</v>
      </c>
      <c r="H2548" s="2">
        <v>0</v>
      </c>
      <c r="I2548" s="2">
        <v>2</v>
      </c>
      <c r="J2548" s="2">
        <v>0</v>
      </c>
      <c r="K2548" s="2">
        <v>0</v>
      </c>
      <c r="L2548" s="2">
        <v>0</v>
      </c>
      <c r="M2548" s="2">
        <v>2</v>
      </c>
      <c r="N2548" s="2">
        <v>2</v>
      </c>
      <c r="O2548" s="2">
        <v>0</v>
      </c>
      <c r="P2548" s="2">
        <v>0</v>
      </c>
      <c r="Q2548" s="2">
        <v>0</v>
      </c>
      <c r="R2548" s="2">
        <v>0</v>
      </c>
      <c r="S2548" s="2" t="s">
        <v>488</v>
      </c>
      <c r="T2548" s="2" t="s">
        <v>488</v>
      </c>
      <c r="U2548" s="2" t="s">
        <v>488</v>
      </c>
      <c r="V2548" s="2" t="s">
        <v>488</v>
      </c>
      <c r="W2548">
        <f t="shared" si="41"/>
        <v>2</v>
      </c>
    </row>
    <row r="2549" spans="1:23" x14ac:dyDescent="0.25">
      <c r="A2549" s="2" t="s">
        <v>1380</v>
      </c>
      <c r="B2549" s="2" t="s">
        <v>921</v>
      </c>
      <c r="C2549" s="2">
        <v>540077</v>
      </c>
      <c r="D2549" s="2" t="s">
        <v>708</v>
      </c>
      <c r="E2549" s="2" t="s">
        <v>39</v>
      </c>
      <c r="F2549" s="2" t="s">
        <v>115</v>
      </c>
      <c r="G2549" s="2">
        <v>3</v>
      </c>
      <c r="H2549" s="2">
        <v>0</v>
      </c>
      <c r="I2549" s="2">
        <v>0</v>
      </c>
      <c r="J2549" s="2">
        <v>0</v>
      </c>
      <c r="K2549" s="2">
        <v>0</v>
      </c>
      <c r="L2549" s="2">
        <v>0</v>
      </c>
      <c r="M2549" s="2">
        <v>0</v>
      </c>
      <c r="N2549" s="2">
        <v>0</v>
      </c>
      <c r="O2549" s="2">
        <v>0</v>
      </c>
      <c r="P2549" s="2">
        <v>0</v>
      </c>
      <c r="Q2549" s="2">
        <v>0</v>
      </c>
      <c r="R2549" s="2">
        <v>0</v>
      </c>
      <c r="S2549" s="2" t="s">
        <v>488</v>
      </c>
      <c r="T2549" s="2" t="s">
        <v>488</v>
      </c>
      <c r="U2549" s="2" t="s">
        <v>488</v>
      </c>
      <c r="V2549" s="2" t="s">
        <v>488</v>
      </c>
      <c r="W2549">
        <f t="shared" si="41"/>
        <v>0</v>
      </c>
    </row>
    <row r="2550" spans="1:23" x14ac:dyDescent="0.25">
      <c r="A2550" s="2" t="s">
        <v>1380</v>
      </c>
      <c r="B2550" s="2" t="s">
        <v>921</v>
      </c>
      <c r="C2550" s="2">
        <v>540078</v>
      </c>
      <c r="D2550" s="2" t="s">
        <v>709</v>
      </c>
      <c r="E2550" s="2" t="s">
        <v>39</v>
      </c>
      <c r="F2550" s="2" t="s">
        <v>115</v>
      </c>
      <c r="G2550" s="2">
        <v>3</v>
      </c>
      <c r="H2550" s="2">
        <v>0</v>
      </c>
      <c r="I2550" s="2">
        <v>0</v>
      </c>
      <c r="J2550" s="2">
        <v>0</v>
      </c>
      <c r="K2550" s="2">
        <v>0</v>
      </c>
      <c r="L2550" s="2">
        <v>0</v>
      </c>
      <c r="M2550" s="2">
        <v>0</v>
      </c>
      <c r="N2550" s="2">
        <v>0</v>
      </c>
      <c r="O2550" s="2">
        <v>0</v>
      </c>
      <c r="P2550" s="2">
        <v>0</v>
      </c>
      <c r="Q2550" s="2">
        <v>0</v>
      </c>
      <c r="R2550" s="2">
        <v>0</v>
      </c>
      <c r="S2550" s="2" t="s">
        <v>488</v>
      </c>
      <c r="T2550" s="2" t="s">
        <v>488</v>
      </c>
      <c r="U2550" s="2" t="s">
        <v>488</v>
      </c>
      <c r="V2550" s="2" t="s">
        <v>488</v>
      </c>
      <c r="W2550">
        <f t="shared" si="41"/>
        <v>0</v>
      </c>
    </row>
    <row r="2551" spans="1:23" x14ac:dyDescent="0.25">
      <c r="A2551" s="2" t="s">
        <v>1380</v>
      </c>
      <c r="B2551" s="2" t="s">
        <v>921</v>
      </c>
      <c r="C2551" s="2">
        <v>540079</v>
      </c>
      <c r="D2551" s="2" t="s">
        <v>710</v>
      </c>
      <c r="E2551" s="2" t="s">
        <v>39</v>
      </c>
      <c r="F2551" s="2" t="s">
        <v>115</v>
      </c>
      <c r="G2551" s="2">
        <v>3</v>
      </c>
      <c r="H2551" s="2">
        <v>0</v>
      </c>
      <c r="I2551" s="2">
        <v>0</v>
      </c>
      <c r="J2551" s="2">
        <v>0</v>
      </c>
      <c r="K2551" s="2">
        <v>0</v>
      </c>
      <c r="L2551" s="2">
        <v>0</v>
      </c>
      <c r="M2551" s="2">
        <v>0</v>
      </c>
      <c r="N2551" s="2">
        <v>0</v>
      </c>
      <c r="O2551" s="2">
        <v>0</v>
      </c>
      <c r="P2551" s="2">
        <v>0</v>
      </c>
      <c r="Q2551" s="2">
        <v>0</v>
      </c>
      <c r="R2551" s="2">
        <v>0</v>
      </c>
      <c r="S2551" s="2" t="s">
        <v>488</v>
      </c>
      <c r="T2551" s="2" t="s">
        <v>488</v>
      </c>
      <c r="U2551" s="2" t="s">
        <v>488</v>
      </c>
      <c r="V2551" s="2" t="s">
        <v>488</v>
      </c>
      <c r="W2551">
        <f t="shared" si="41"/>
        <v>0</v>
      </c>
    </row>
    <row r="2552" spans="1:23" x14ac:dyDescent="0.25">
      <c r="A2552" s="2" t="s">
        <v>1380</v>
      </c>
      <c r="B2552" s="2" t="s">
        <v>921</v>
      </c>
      <c r="C2552" s="2">
        <v>540081</v>
      </c>
      <c r="D2552" s="2" t="s">
        <v>711</v>
      </c>
      <c r="E2552" s="2" t="s">
        <v>39</v>
      </c>
      <c r="F2552" s="2" t="s">
        <v>115</v>
      </c>
      <c r="G2552" s="2">
        <v>3</v>
      </c>
      <c r="H2552" s="2">
        <v>0</v>
      </c>
      <c r="I2552" s="2">
        <v>1</v>
      </c>
      <c r="J2552" s="2">
        <v>0</v>
      </c>
      <c r="K2552" s="2">
        <v>0</v>
      </c>
      <c r="L2552" s="2">
        <v>0</v>
      </c>
      <c r="M2552" s="2">
        <v>1</v>
      </c>
      <c r="N2552" s="2">
        <v>1</v>
      </c>
      <c r="O2552" s="2">
        <v>0</v>
      </c>
      <c r="P2552" s="2">
        <v>0</v>
      </c>
      <c r="Q2552" s="2">
        <v>0</v>
      </c>
      <c r="R2552" s="2">
        <v>0</v>
      </c>
      <c r="S2552" s="2" t="s">
        <v>488</v>
      </c>
      <c r="T2552" s="2" t="s">
        <v>488</v>
      </c>
      <c r="U2552" s="2" t="s">
        <v>488</v>
      </c>
      <c r="V2552" s="2" t="s">
        <v>488</v>
      </c>
      <c r="W2552">
        <f t="shared" si="41"/>
        <v>1</v>
      </c>
    </row>
    <row r="2553" spans="1:23" x14ac:dyDescent="0.25">
      <c r="A2553" s="2" t="s">
        <v>1380</v>
      </c>
      <c r="B2553" s="2" t="s">
        <v>921</v>
      </c>
      <c r="C2553" s="2">
        <v>540082</v>
      </c>
      <c r="D2553" s="2" t="s">
        <v>712</v>
      </c>
      <c r="E2553" s="2" t="s">
        <v>39</v>
      </c>
      <c r="F2553" s="2" t="s">
        <v>115</v>
      </c>
      <c r="G2553" s="2">
        <v>3</v>
      </c>
      <c r="H2553" s="2">
        <v>0</v>
      </c>
      <c r="I2553" s="2">
        <v>0</v>
      </c>
      <c r="J2553" s="2">
        <v>0</v>
      </c>
      <c r="K2553" s="2">
        <v>0</v>
      </c>
      <c r="L2553" s="2">
        <v>0</v>
      </c>
      <c r="M2553" s="2">
        <v>0</v>
      </c>
      <c r="N2553" s="2">
        <v>0</v>
      </c>
      <c r="O2553" s="2">
        <v>0</v>
      </c>
      <c r="P2553" s="2">
        <v>0</v>
      </c>
      <c r="Q2553" s="2">
        <v>0</v>
      </c>
      <c r="R2553" s="2">
        <v>0</v>
      </c>
      <c r="S2553" s="2" t="s">
        <v>488</v>
      </c>
      <c r="T2553" s="2" t="s">
        <v>488</v>
      </c>
      <c r="U2553" s="2" t="s">
        <v>488</v>
      </c>
      <c r="V2553" s="2" t="s">
        <v>488</v>
      </c>
      <c r="W2553">
        <f t="shared" si="41"/>
        <v>0</v>
      </c>
    </row>
    <row r="2554" spans="1:23" x14ac:dyDescent="0.25">
      <c r="A2554" s="2" t="s">
        <v>1380</v>
      </c>
      <c r="B2554" s="2" t="s">
        <v>921</v>
      </c>
      <c r="C2554" s="2">
        <v>540083</v>
      </c>
      <c r="D2554" s="2" t="s">
        <v>713</v>
      </c>
      <c r="E2554" s="2" t="s">
        <v>39</v>
      </c>
      <c r="F2554" s="2" t="s">
        <v>115</v>
      </c>
      <c r="G2554" s="2">
        <v>3</v>
      </c>
      <c r="H2554" s="2">
        <v>0</v>
      </c>
      <c r="I2554" s="2">
        <v>0</v>
      </c>
      <c r="J2554" s="2">
        <v>0</v>
      </c>
      <c r="K2554" s="2">
        <v>0</v>
      </c>
      <c r="L2554" s="2">
        <v>0</v>
      </c>
      <c r="M2554" s="2">
        <v>0</v>
      </c>
      <c r="N2554" s="2">
        <v>0</v>
      </c>
      <c r="O2554" s="2">
        <v>0</v>
      </c>
      <c r="P2554" s="2">
        <v>0</v>
      </c>
      <c r="Q2554" s="2">
        <v>0</v>
      </c>
      <c r="R2554" s="2">
        <v>0</v>
      </c>
      <c r="S2554" s="2" t="s">
        <v>488</v>
      </c>
      <c r="T2554" s="2" t="s">
        <v>488</v>
      </c>
      <c r="U2554" s="2" t="s">
        <v>488</v>
      </c>
      <c r="V2554" s="2" t="s">
        <v>488</v>
      </c>
      <c r="W2554">
        <f t="shared" si="41"/>
        <v>0</v>
      </c>
    </row>
    <row r="2555" spans="1:23" x14ac:dyDescent="0.25">
      <c r="A2555" s="2" t="s">
        <v>1380</v>
      </c>
      <c r="B2555" s="2" t="s">
        <v>921</v>
      </c>
      <c r="C2555" s="2">
        <v>540223</v>
      </c>
      <c r="D2555" s="2" t="s">
        <v>714</v>
      </c>
      <c r="E2555" s="2" t="s">
        <v>39</v>
      </c>
      <c r="F2555" s="2" t="s">
        <v>115</v>
      </c>
      <c r="G2555" s="2">
        <v>3</v>
      </c>
      <c r="H2555" s="2">
        <v>0</v>
      </c>
      <c r="I2555" s="2">
        <v>1</v>
      </c>
      <c r="J2555" s="2">
        <v>0</v>
      </c>
      <c r="K2555" s="2">
        <v>0</v>
      </c>
      <c r="L2555" s="2">
        <v>0</v>
      </c>
      <c r="M2555" s="2">
        <v>1</v>
      </c>
      <c r="N2555" s="2">
        <v>1</v>
      </c>
      <c r="O2555" s="2">
        <v>0</v>
      </c>
      <c r="P2555" s="2">
        <v>0</v>
      </c>
      <c r="Q2555" s="2">
        <v>0</v>
      </c>
      <c r="R2555" s="2">
        <v>0</v>
      </c>
      <c r="S2555" s="2" t="s">
        <v>488</v>
      </c>
      <c r="T2555" s="2" t="s">
        <v>488</v>
      </c>
      <c r="U2555" s="2" t="s">
        <v>488</v>
      </c>
      <c r="V2555" s="2" t="s">
        <v>488</v>
      </c>
      <c r="W2555">
        <f t="shared" si="41"/>
        <v>1</v>
      </c>
    </row>
    <row r="2556" spans="1:23" x14ac:dyDescent="0.25">
      <c r="A2556" s="2" t="s">
        <v>1380</v>
      </c>
      <c r="B2556" s="2" t="s">
        <v>921</v>
      </c>
      <c r="C2556" s="2">
        <v>540279</v>
      </c>
      <c r="D2556" s="2" t="s">
        <v>715</v>
      </c>
      <c r="E2556" s="2" t="s">
        <v>39</v>
      </c>
      <c r="F2556" s="2" t="s">
        <v>115</v>
      </c>
      <c r="G2556" s="2">
        <v>3</v>
      </c>
      <c r="H2556" s="2">
        <v>0</v>
      </c>
      <c r="I2556" s="2">
        <v>0</v>
      </c>
      <c r="J2556" s="2">
        <v>0</v>
      </c>
      <c r="K2556" s="2">
        <v>0</v>
      </c>
      <c r="L2556" s="2">
        <v>0</v>
      </c>
      <c r="M2556" s="2">
        <v>0</v>
      </c>
      <c r="N2556" s="2">
        <v>0</v>
      </c>
      <c r="O2556" s="2">
        <v>0</v>
      </c>
      <c r="P2556" s="2">
        <v>0</v>
      </c>
      <c r="Q2556" s="2">
        <v>0</v>
      </c>
      <c r="R2556" s="2">
        <v>0</v>
      </c>
      <c r="S2556" s="2" t="s">
        <v>488</v>
      </c>
      <c r="T2556" s="2" t="s">
        <v>488</v>
      </c>
      <c r="U2556" s="2" t="s">
        <v>488</v>
      </c>
      <c r="V2556" s="2" t="s">
        <v>488</v>
      </c>
      <c r="W2556">
        <f t="shared" si="41"/>
        <v>0</v>
      </c>
    </row>
    <row r="2557" spans="1:23" x14ac:dyDescent="0.25">
      <c r="A2557" s="2" t="s">
        <v>1380</v>
      </c>
      <c r="B2557" s="2" t="s">
        <v>921</v>
      </c>
      <c r="C2557" s="2">
        <v>540033</v>
      </c>
      <c r="D2557" s="2" t="s">
        <v>716</v>
      </c>
      <c r="E2557" s="2" t="s">
        <v>39</v>
      </c>
      <c r="F2557" s="2" t="s">
        <v>115</v>
      </c>
      <c r="G2557" s="2">
        <v>3</v>
      </c>
      <c r="H2557" s="2">
        <v>0</v>
      </c>
      <c r="I2557" s="2">
        <v>0</v>
      </c>
      <c r="J2557" s="2">
        <v>0</v>
      </c>
      <c r="K2557" s="2">
        <v>0</v>
      </c>
      <c r="L2557" s="2">
        <v>0</v>
      </c>
      <c r="M2557" s="2">
        <v>0</v>
      </c>
      <c r="N2557" s="2">
        <v>0</v>
      </c>
      <c r="O2557" s="2">
        <v>0</v>
      </c>
      <c r="P2557" s="2">
        <v>0</v>
      </c>
      <c r="Q2557" s="2">
        <v>0</v>
      </c>
      <c r="R2557" s="2">
        <v>0</v>
      </c>
      <c r="S2557" s="2" t="s">
        <v>488</v>
      </c>
      <c r="T2557" s="2" t="s">
        <v>488</v>
      </c>
      <c r="U2557" s="2" t="s">
        <v>488</v>
      </c>
      <c r="V2557" s="2" t="s">
        <v>488</v>
      </c>
      <c r="W2557">
        <f t="shared" si="41"/>
        <v>0</v>
      </c>
    </row>
    <row r="2558" spans="1:23" x14ac:dyDescent="0.25">
      <c r="A2558" s="255" t="s">
        <v>1380</v>
      </c>
      <c r="B2558" s="255" t="s">
        <v>921</v>
      </c>
      <c r="C2558" s="255"/>
      <c r="D2558" s="255"/>
      <c r="E2558" s="255" t="s">
        <v>39</v>
      </c>
      <c r="F2558" s="255"/>
      <c r="G2558" s="255"/>
      <c r="H2558" s="255">
        <v>15</v>
      </c>
      <c r="I2558" s="255">
        <v>56</v>
      </c>
      <c r="J2558" s="255">
        <v>8</v>
      </c>
      <c r="K2558" s="255">
        <v>0</v>
      </c>
      <c r="L2558" s="255">
        <v>0</v>
      </c>
      <c r="M2558" s="255">
        <v>64</v>
      </c>
      <c r="N2558" s="255">
        <v>79</v>
      </c>
      <c r="O2558" s="255">
        <v>8</v>
      </c>
      <c r="P2558" s="255">
        <v>1</v>
      </c>
      <c r="Q2558" s="255">
        <v>10</v>
      </c>
      <c r="R2558" s="255">
        <v>3</v>
      </c>
      <c r="S2558" s="255" t="s">
        <v>488</v>
      </c>
      <c r="T2558" s="255" t="s">
        <v>488</v>
      </c>
      <c r="U2558" s="255" t="s">
        <v>488</v>
      </c>
      <c r="V2558" s="255" t="s">
        <v>488</v>
      </c>
      <c r="W2558">
        <f t="shared" si="41"/>
        <v>83</v>
      </c>
    </row>
    <row r="2559" spans="1:23" x14ac:dyDescent="0.25">
      <c r="A2559" s="2" t="s">
        <v>1380</v>
      </c>
      <c r="B2559" s="2" t="s">
        <v>921</v>
      </c>
      <c r="C2559" s="2">
        <v>540085</v>
      </c>
      <c r="D2559" s="2" t="s">
        <v>717</v>
      </c>
      <c r="E2559" s="2" t="s">
        <v>41</v>
      </c>
      <c r="F2559" s="2" t="s">
        <v>5</v>
      </c>
      <c r="G2559" s="2">
        <v>7</v>
      </c>
      <c r="H2559" s="2">
        <v>7</v>
      </c>
      <c r="I2559" s="2">
        <v>2</v>
      </c>
      <c r="J2559" s="2">
        <v>0</v>
      </c>
      <c r="K2559" s="2">
        <v>0</v>
      </c>
      <c r="L2559" s="2">
        <v>0</v>
      </c>
      <c r="M2559" s="2">
        <v>2</v>
      </c>
      <c r="N2559" s="2">
        <v>9</v>
      </c>
      <c r="O2559" s="2">
        <v>0</v>
      </c>
      <c r="P2559" s="2">
        <v>0</v>
      </c>
      <c r="Q2559" s="2">
        <v>7</v>
      </c>
      <c r="R2559" s="2">
        <v>0</v>
      </c>
      <c r="S2559" s="2" t="s">
        <v>488</v>
      </c>
      <c r="T2559" s="2" t="s">
        <v>488</v>
      </c>
      <c r="U2559" s="2" t="s">
        <v>488</v>
      </c>
      <c r="V2559" s="2" t="s">
        <v>488</v>
      </c>
      <c r="W2559">
        <f t="shared" si="41"/>
        <v>9</v>
      </c>
    </row>
    <row r="2560" spans="1:23" x14ac:dyDescent="0.25">
      <c r="A2560" s="2" t="s">
        <v>1380</v>
      </c>
      <c r="B2560" s="2" t="s">
        <v>921</v>
      </c>
      <c r="C2560" s="2">
        <v>540086</v>
      </c>
      <c r="D2560" s="2" t="s">
        <v>718</v>
      </c>
      <c r="E2560" s="2" t="s">
        <v>41</v>
      </c>
      <c r="F2560" s="2" t="s">
        <v>115</v>
      </c>
      <c r="G2560" s="2">
        <v>7</v>
      </c>
      <c r="H2560" s="2">
        <v>0</v>
      </c>
      <c r="I2560" s="2">
        <v>0</v>
      </c>
      <c r="J2560" s="2">
        <v>0</v>
      </c>
      <c r="K2560" s="2">
        <v>0</v>
      </c>
      <c r="L2560" s="2">
        <v>0</v>
      </c>
      <c r="M2560" s="2">
        <v>0</v>
      </c>
      <c r="N2560" s="2">
        <v>0</v>
      </c>
      <c r="O2560" s="2">
        <v>0</v>
      </c>
      <c r="P2560" s="2">
        <v>0</v>
      </c>
      <c r="Q2560" s="2">
        <v>0</v>
      </c>
      <c r="R2560" s="2">
        <v>0</v>
      </c>
      <c r="S2560" s="2" t="s">
        <v>488</v>
      </c>
      <c r="T2560" s="2" t="s">
        <v>488</v>
      </c>
      <c r="U2560" s="2" t="s">
        <v>488</v>
      </c>
      <c r="V2560" s="2" t="s">
        <v>488</v>
      </c>
      <c r="W2560">
        <f t="shared" si="41"/>
        <v>0</v>
      </c>
    </row>
    <row r="2561" spans="1:23" x14ac:dyDescent="0.25">
      <c r="A2561" s="2" t="s">
        <v>1380</v>
      </c>
      <c r="B2561" s="2" t="s">
        <v>921</v>
      </c>
      <c r="C2561" s="2">
        <v>540087</v>
      </c>
      <c r="D2561" s="2" t="s">
        <v>719</v>
      </c>
      <c r="E2561" s="2" t="s">
        <v>41</v>
      </c>
      <c r="F2561" s="2" t="s">
        <v>115</v>
      </c>
      <c r="G2561" s="2">
        <v>7</v>
      </c>
      <c r="H2561" s="2">
        <v>0</v>
      </c>
      <c r="I2561" s="2">
        <v>2</v>
      </c>
      <c r="J2561" s="2">
        <v>0</v>
      </c>
      <c r="K2561" s="2">
        <v>0</v>
      </c>
      <c r="L2561" s="2">
        <v>0</v>
      </c>
      <c r="M2561" s="2">
        <v>2</v>
      </c>
      <c r="N2561" s="2">
        <v>2</v>
      </c>
      <c r="O2561" s="2">
        <v>0</v>
      </c>
      <c r="P2561" s="2">
        <v>0</v>
      </c>
      <c r="Q2561" s="2">
        <v>0</v>
      </c>
      <c r="R2561" s="2">
        <v>0</v>
      </c>
      <c r="S2561" s="2" t="s">
        <v>488</v>
      </c>
      <c r="T2561" s="2" t="s">
        <v>488</v>
      </c>
      <c r="U2561" s="2" t="s">
        <v>488</v>
      </c>
      <c r="V2561" s="2" t="s">
        <v>488</v>
      </c>
      <c r="W2561">
        <f t="shared" si="41"/>
        <v>2</v>
      </c>
    </row>
    <row r="2562" spans="1:23" x14ac:dyDescent="0.25">
      <c r="A2562" s="255" t="s">
        <v>1380</v>
      </c>
      <c r="B2562" s="255" t="s">
        <v>921</v>
      </c>
      <c r="C2562" s="255"/>
      <c r="D2562" s="255"/>
      <c r="E2562" s="255" t="s">
        <v>41</v>
      </c>
      <c r="F2562" s="255"/>
      <c r="G2562" s="255"/>
      <c r="H2562" s="255">
        <v>7</v>
      </c>
      <c r="I2562" s="255">
        <v>4</v>
      </c>
      <c r="J2562" s="255">
        <v>0</v>
      </c>
      <c r="K2562" s="255">
        <v>0</v>
      </c>
      <c r="L2562" s="255">
        <v>0</v>
      </c>
      <c r="M2562" s="255">
        <v>4</v>
      </c>
      <c r="N2562" s="255">
        <v>11</v>
      </c>
      <c r="O2562" s="255">
        <v>0</v>
      </c>
      <c r="P2562" s="255">
        <v>0</v>
      </c>
      <c r="Q2562" s="255">
        <v>7</v>
      </c>
      <c r="R2562" s="255">
        <v>0</v>
      </c>
      <c r="S2562" s="255" t="s">
        <v>488</v>
      </c>
      <c r="T2562" s="255" t="s">
        <v>488</v>
      </c>
      <c r="U2562" s="255" t="s">
        <v>488</v>
      </c>
      <c r="V2562" s="255" t="s">
        <v>488</v>
      </c>
      <c r="W2562">
        <f t="shared" si="41"/>
        <v>11</v>
      </c>
    </row>
    <row r="2563" spans="1:23" x14ac:dyDescent="0.25">
      <c r="A2563" s="2" t="s">
        <v>1380</v>
      </c>
      <c r="B2563" s="2" t="s">
        <v>921</v>
      </c>
      <c r="C2563" s="2">
        <v>540088</v>
      </c>
      <c r="D2563" s="2" t="s">
        <v>720</v>
      </c>
      <c r="E2563" s="2" t="s">
        <v>43</v>
      </c>
      <c r="F2563" s="2" t="s">
        <v>5</v>
      </c>
      <c r="G2563" s="2">
        <v>2</v>
      </c>
      <c r="H2563" s="2">
        <v>20</v>
      </c>
      <c r="I2563" s="2">
        <v>5</v>
      </c>
      <c r="J2563" s="2">
        <v>0</v>
      </c>
      <c r="K2563" s="2">
        <v>0</v>
      </c>
      <c r="L2563" s="2">
        <v>0</v>
      </c>
      <c r="M2563" s="2">
        <v>5</v>
      </c>
      <c r="N2563" s="2">
        <v>25</v>
      </c>
      <c r="O2563" s="2">
        <v>0</v>
      </c>
      <c r="P2563" s="2">
        <v>0</v>
      </c>
      <c r="Q2563" s="2" t="s">
        <v>488</v>
      </c>
      <c r="R2563" s="2" t="s">
        <v>488</v>
      </c>
      <c r="S2563" s="2" t="s">
        <v>488</v>
      </c>
      <c r="T2563" s="2" t="s">
        <v>488</v>
      </c>
      <c r="U2563" s="2" t="s">
        <v>488</v>
      </c>
      <c r="V2563" s="2" t="s">
        <v>488</v>
      </c>
      <c r="W2563">
        <f t="shared" ref="W2563:W2626" si="42">SUM(N2563,P2563,R2563,T2563)</f>
        <v>25</v>
      </c>
    </row>
    <row r="2564" spans="1:23" x14ac:dyDescent="0.25">
      <c r="A2564" s="2" t="s">
        <v>1380</v>
      </c>
      <c r="B2564" s="2" t="s">
        <v>921</v>
      </c>
      <c r="C2564" s="2">
        <v>540089</v>
      </c>
      <c r="D2564" s="2" t="s">
        <v>721</v>
      </c>
      <c r="E2564" s="2" t="s">
        <v>43</v>
      </c>
      <c r="F2564" s="2" t="s">
        <v>115</v>
      </c>
      <c r="G2564" s="2">
        <v>2</v>
      </c>
      <c r="H2564" s="2">
        <v>0</v>
      </c>
      <c r="I2564" s="2">
        <v>1</v>
      </c>
      <c r="J2564" s="2">
        <v>0</v>
      </c>
      <c r="K2564" s="2">
        <v>0</v>
      </c>
      <c r="L2564" s="2">
        <v>0</v>
      </c>
      <c r="M2564" s="2">
        <v>1</v>
      </c>
      <c r="N2564" s="2">
        <v>1</v>
      </c>
      <c r="O2564" s="2">
        <v>0</v>
      </c>
      <c r="P2564" s="2">
        <v>0</v>
      </c>
      <c r="Q2564" s="2" t="s">
        <v>488</v>
      </c>
      <c r="R2564" s="2" t="s">
        <v>488</v>
      </c>
      <c r="S2564" s="2" t="s">
        <v>488</v>
      </c>
      <c r="T2564" s="2" t="s">
        <v>488</v>
      </c>
      <c r="U2564" s="2" t="s">
        <v>488</v>
      </c>
      <c r="V2564" s="2" t="s">
        <v>488</v>
      </c>
      <c r="W2564">
        <f t="shared" si="42"/>
        <v>1</v>
      </c>
    </row>
    <row r="2565" spans="1:23" x14ac:dyDescent="0.25">
      <c r="A2565" s="2" t="s">
        <v>1380</v>
      </c>
      <c r="B2565" s="2" t="s">
        <v>921</v>
      </c>
      <c r="C2565" s="2">
        <v>540090</v>
      </c>
      <c r="D2565" s="2" t="s">
        <v>722</v>
      </c>
      <c r="E2565" s="2" t="s">
        <v>43</v>
      </c>
      <c r="F2565" s="2" t="s">
        <v>115</v>
      </c>
      <c r="G2565" s="2">
        <v>2</v>
      </c>
      <c r="H2565" s="2">
        <v>0</v>
      </c>
      <c r="I2565" s="2">
        <v>0</v>
      </c>
      <c r="J2565" s="2">
        <v>0</v>
      </c>
      <c r="K2565" s="2">
        <v>0</v>
      </c>
      <c r="L2565" s="2">
        <v>0</v>
      </c>
      <c r="M2565" s="2">
        <v>0</v>
      </c>
      <c r="N2565" s="2">
        <v>0</v>
      </c>
      <c r="O2565" s="2">
        <v>0</v>
      </c>
      <c r="P2565" s="2">
        <v>0</v>
      </c>
      <c r="Q2565" s="2" t="s">
        <v>488</v>
      </c>
      <c r="R2565" s="2" t="s">
        <v>488</v>
      </c>
      <c r="S2565" s="2" t="s">
        <v>488</v>
      </c>
      <c r="T2565" s="2" t="s">
        <v>488</v>
      </c>
      <c r="U2565" s="2" t="s">
        <v>488</v>
      </c>
      <c r="V2565" s="2" t="s">
        <v>488</v>
      </c>
      <c r="W2565">
        <f t="shared" si="42"/>
        <v>0</v>
      </c>
    </row>
    <row r="2566" spans="1:23" x14ac:dyDescent="0.25">
      <c r="A2566" s="255" t="s">
        <v>1380</v>
      </c>
      <c r="B2566" s="255" t="s">
        <v>921</v>
      </c>
      <c r="C2566" s="255"/>
      <c r="D2566" s="255"/>
      <c r="E2566" s="255" t="s">
        <v>43</v>
      </c>
      <c r="F2566" s="255"/>
      <c r="G2566" s="255"/>
      <c r="H2566" s="255">
        <v>20</v>
      </c>
      <c r="I2566" s="255">
        <v>6</v>
      </c>
      <c r="J2566" s="255">
        <v>0</v>
      </c>
      <c r="K2566" s="255">
        <v>0</v>
      </c>
      <c r="L2566" s="255">
        <v>0</v>
      </c>
      <c r="M2566" s="255">
        <v>6</v>
      </c>
      <c r="N2566" s="255">
        <v>26</v>
      </c>
      <c r="O2566" s="255">
        <v>0</v>
      </c>
      <c r="P2566" s="255">
        <v>0</v>
      </c>
      <c r="Q2566" s="255" t="s">
        <v>488</v>
      </c>
      <c r="R2566" s="255" t="s">
        <v>488</v>
      </c>
      <c r="S2566" s="255" t="s">
        <v>488</v>
      </c>
      <c r="T2566" s="255" t="s">
        <v>488</v>
      </c>
      <c r="U2566" s="255" t="s">
        <v>488</v>
      </c>
      <c r="V2566" s="255" t="s">
        <v>488</v>
      </c>
      <c r="W2566">
        <f t="shared" si="42"/>
        <v>26</v>
      </c>
    </row>
    <row r="2567" spans="1:23" x14ac:dyDescent="0.25">
      <c r="A2567" s="2" t="s">
        <v>1380</v>
      </c>
      <c r="B2567" s="2" t="s">
        <v>921</v>
      </c>
      <c r="C2567" s="2">
        <v>540097</v>
      </c>
      <c r="D2567" s="2" t="s">
        <v>723</v>
      </c>
      <c r="E2567" s="2" t="s">
        <v>45</v>
      </c>
      <c r="F2567" s="2" t="s">
        <v>5</v>
      </c>
      <c r="G2567" s="2">
        <v>6</v>
      </c>
      <c r="H2567" s="2">
        <v>9</v>
      </c>
      <c r="I2567" s="2">
        <v>1</v>
      </c>
      <c r="J2567" s="2">
        <v>0</v>
      </c>
      <c r="K2567" s="2">
        <v>0</v>
      </c>
      <c r="L2567" s="2">
        <v>0</v>
      </c>
      <c r="M2567" s="2">
        <v>1</v>
      </c>
      <c r="N2567" s="2">
        <v>10</v>
      </c>
      <c r="O2567" s="2">
        <v>0</v>
      </c>
      <c r="P2567" s="2">
        <v>0</v>
      </c>
      <c r="Q2567" s="2">
        <v>2</v>
      </c>
      <c r="R2567" s="2">
        <v>1</v>
      </c>
      <c r="S2567" s="2" t="s">
        <v>488</v>
      </c>
      <c r="T2567" s="2" t="s">
        <v>488</v>
      </c>
      <c r="U2567" s="2" t="s">
        <v>488</v>
      </c>
      <c r="V2567" s="2" t="s">
        <v>488</v>
      </c>
      <c r="W2567">
        <f t="shared" si="42"/>
        <v>11</v>
      </c>
    </row>
    <row r="2568" spans="1:23" x14ac:dyDescent="0.25">
      <c r="A2568" s="2" t="s">
        <v>1380</v>
      </c>
      <c r="B2568" s="2" t="s">
        <v>921</v>
      </c>
      <c r="C2568" s="2">
        <v>540098</v>
      </c>
      <c r="D2568" s="2" t="s">
        <v>724</v>
      </c>
      <c r="E2568" s="2" t="s">
        <v>45</v>
      </c>
      <c r="F2568" s="2" t="s">
        <v>115</v>
      </c>
      <c r="G2568" s="2">
        <v>6</v>
      </c>
      <c r="H2568" s="2">
        <v>0</v>
      </c>
      <c r="I2568" s="2">
        <v>0</v>
      </c>
      <c r="J2568" s="2">
        <v>0</v>
      </c>
      <c r="K2568" s="2">
        <v>0</v>
      </c>
      <c r="L2568" s="2">
        <v>0</v>
      </c>
      <c r="M2568" s="2">
        <v>0</v>
      </c>
      <c r="N2568" s="2">
        <v>0</v>
      </c>
      <c r="O2568" s="2">
        <v>0</v>
      </c>
      <c r="P2568" s="2">
        <v>0</v>
      </c>
      <c r="Q2568" s="2">
        <v>0</v>
      </c>
      <c r="R2568" s="2">
        <v>0</v>
      </c>
      <c r="S2568" s="2" t="s">
        <v>488</v>
      </c>
      <c r="T2568" s="2" t="s">
        <v>488</v>
      </c>
      <c r="U2568" s="2" t="s">
        <v>488</v>
      </c>
      <c r="V2568" s="2" t="s">
        <v>488</v>
      </c>
      <c r="W2568">
        <f t="shared" si="42"/>
        <v>0</v>
      </c>
    </row>
    <row r="2569" spans="1:23" x14ac:dyDescent="0.25">
      <c r="A2569" s="2" t="s">
        <v>1380</v>
      </c>
      <c r="B2569" s="2" t="s">
        <v>921</v>
      </c>
      <c r="C2569" s="2">
        <v>540099</v>
      </c>
      <c r="D2569" s="2" t="s">
        <v>725</v>
      </c>
      <c r="E2569" s="2" t="s">
        <v>45</v>
      </c>
      <c r="F2569" s="2" t="s">
        <v>115</v>
      </c>
      <c r="G2569" s="2">
        <v>6</v>
      </c>
      <c r="H2569" s="2">
        <v>0</v>
      </c>
      <c r="I2569" s="2">
        <v>0</v>
      </c>
      <c r="J2569" s="2">
        <v>0</v>
      </c>
      <c r="K2569" s="2">
        <v>0</v>
      </c>
      <c r="L2569" s="2">
        <v>0</v>
      </c>
      <c r="M2569" s="2">
        <v>0</v>
      </c>
      <c r="N2569" s="2">
        <v>0</v>
      </c>
      <c r="O2569" s="2">
        <v>0</v>
      </c>
      <c r="P2569" s="2">
        <v>0</v>
      </c>
      <c r="Q2569" s="2">
        <v>0</v>
      </c>
      <c r="R2569" s="2">
        <v>0</v>
      </c>
      <c r="S2569" s="2" t="s">
        <v>488</v>
      </c>
      <c r="T2569" s="2" t="s">
        <v>488</v>
      </c>
      <c r="U2569" s="2" t="s">
        <v>488</v>
      </c>
      <c r="V2569" s="2" t="s">
        <v>488</v>
      </c>
      <c r="W2569">
        <f t="shared" si="42"/>
        <v>0</v>
      </c>
    </row>
    <row r="2570" spans="1:23" x14ac:dyDescent="0.25">
      <c r="A2570" s="2" t="s">
        <v>1380</v>
      </c>
      <c r="B2570" s="2" t="s">
        <v>921</v>
      </c>
      <c r="C2570" s="2">
        <v>540100</v>
      </c>
      <c r="D2570" s="2" t="s">
        <v>726</v>
      </c>
      <c r="E2570" s="2" t="s">
        <v>45</v>
      </c>
      <c r="F2570" s="2" t="s">
        <v>115</v>
      </c>
      <c r="G2570" s="2">
        <v>6</v>
      </c>
      <c r="H2570" s="2">
        <v>0</v>
      </c>
      <c r="I2570" s="2">
        <v>0</v>
      </c>
      <c r="J2570" s="2">
        <v>0</v>
      </c>
      <c r="K2570" s="2">
        <v>0</v>
      </c>
      <c r="L2570" s="2">
        <v>0</v>
      </c>
      <c r="M2570" s="2">
        <v>0</v>
      </c>
      <c r="N2570" s="2">
        <v>0</v>
      </c>
      <c r="O2570" s="2">
        <v>0</v>
      </c>
      <c r="P2570" s="2">
        <v>0</v>
      </c>
      <c r="Q2570" s="2">
        <v>0</v>
      </c>
      <c r="R2570" s="2">
        <v>0</v>
      </c>
      <c r="S2570" s="2" t="s">
        <v>488</v>
      </c>
      <c r="T2570" s="2" t="s">
        <v>488</v>
      </c>
      <c r="U2570" s="2" t="s">
        <v>488</v>
      </c>
      <c r="V2570" s="2" t="s">
        <v>488</v>
      </c>
      <c r="W2570">
        <f t="shared" si="42"/>
        <v>0</v>
      </c>
    </row>
    <row r="2571" spans="1:23" x14ac:dyDescent="0.25">
      <c r="A2571" s="2" t="s">
        <v>1380</v>
      </c>
      <c r="B2571" s="2" t="s">
        <v>921</v>
      </c>
      <c r="C2571" s="2">
        <v>540101</v>
      </c>
      <c r="D2571" s="2" t="s">
        <v>727</v>
      </c>
      <c r="E2571" s="2" t="s">
        <v>45</v>
      </c>
      <c r="F2571" s="2" t="s">
        <v>115</v>
      </c>
      <c r="G2571" s="2">
        <v>6</v>
      </c>
      <c r="H2571" s="2">
        <v>0</v>
      </c>
      <c r="I2571" s="2">
        <v>0</v>
      </c>
      <c r="J2571" s="2">
        <v>0</v>
      </c>
      <c r="K2571" s="2">
        <v>0</v>
      </c>
      <c r="L2571" s="2">
        <v>0</v>
      </c>
      <c r="M2571" s="2">
        <v>0</v>
      </c>
      <c r="N2571" s="2">
        <v>0</v>
      </c>
      <c r="O2571" s="2">
        <v>0</v>
      </c>
      <c r="P2571" s="2">
        <v>0</v>
      </c>
      <c r="Q2571" s="2">
        <v>0</v>
      </c>
      <c r="R2571" s="2">
        <v>0</v>
      </c>
      <c r="S2571" s="2" t="s">
        <v>488</v>
      </c>
      <c r="T2571" s="2" t="s">
        <v>488</v>
      </c>
      <c r="U2571" s="2" t="s">
        <v>488</v>
      </c>
      <c r="V2571" s="2" t="s">
        <v>488</v>
      </c>
      <c r="W2571">
        <f t="shared" si="42"/>
        <v>0</v>
      </c>
    </row>
    <row r="2572" spans="1:23" x14ac:dyDescent="0.25">
      <c r="A2572" s="2" t="s">
        <v>1380</v>
      </c>
      <c r="B2572" s="2" t="s">
        <v>921</v>
      </c>
      <c r="C2572" s="2">
        <v>540102</v>
      </c>
      <c r="D2572" s="2" t="s">
        <v>728</v>
      </c>
      <c r="E2572" s="2" t="s">
        <v>45</v>
      </c>
      <c r="F2572" s="2" t="s">
        <v>115</v>
      </c>
      <c r="G2572" s="2">
        <v>6</v>
      </c>
      <c r="H2572" s="2">
        <v>0</v>
      </c>
      <c r="I2572" s="2">
        <v>1</v>
      </c>
      <c r="J2572" s="2">
        <v>0</v>
      </c>
      <c r="K2572" s="2">
        <v>0</v>
      </c>
      <c r="L2572" s="2">
        <v>0</v>
      </c>
      <c r="M2572" s="2">
        <v>1</v>
      </c>
      <c r="N2572" s="2">
        <v>1</v>
      </c>
      <c r="O2572" s="2">
        <v>0</v>
      </c>
      <c r="P2572" s="2">
        <v>0</v>
      </c>
      <c r="Q2572" s="2">
        <v>0</v>
      </c>
      <c r="R2572" s="2">
        <v>0</v>
      </c>
      <c r="S2572" s="2" t="s">
        <v>488</v>
      </c>
      <c r="T2572" s="2" t="s">
        <v>488</v>
      </c>
      <c r="U2572" s="2" t="s">
        <v>488</v>
      </c>
      <c r="V2572" s="2" t="s">
        <v>488</v>
      </c>
      <c r="W2572">
        <f t="shared" si="42"/>
        <v>1</v>
      </c>
    </row>
    <row r="2573" spans="1:23" x14ac:dyDescent="0.25">
      <c r="A2573" s="2" t="s">
        <v>1380</v>
      </c>
      <c r="B2573" s="2" t="s">
        <v>921</v>
      </c>
      <c r="C2573" s="2">
        <v>540103</v>
      </c>
      <c r="D2573" s="2" t="s">
        <v>729</v>
      </c>
      <c r="E2573" s="2" t="s">
        <v>45</v>
      </c>
      <c r="F2573" s="2" t="s">
        <v>115</v>
      </c>
      <c r="G2573" s="2">
        <v>6</v>
      </c>
      <c r="H2573" s="2">
        <v>0</v>
      </c>
      <c r="I2573" s="2">
        <v>2</v>
      </c>
      <c r="J2573" s="2">
        <v>0</v>
      </c>
      <c r="K2573" s="2">
        <v>0</v>
      </c>
      <c r="L2573" s="2">
        <v>0</v>
      </c>
      <c r="M2573" s="2">
        <v>2</v>
      </c>
      <c r="N2573" s="2">
        <v>2</v>
      </c>
      <c r="O2573" s="2">
        <v>0</v>
      </c>
      <c r="P2573" s="2">
        <v>0</v>
      </c>
      <c r="Q2573" s="2">
        <v>0</v>
      </c>
      <c r="R2573" s="2">
        <v>0</v>
      </c>
      <c r="S2573" s="2" t="s">
        <v>488</v>
      </c>
      <c r="T2573" s="2" t="s">
        <v>488</v>
      </c>
      <c r="U2573" s="2" t="s">
        <v>488</v>
      </c>
      <c r="V2573" s="2" t="s">
        <v>488</v>
      </c>
      <c r="W2573">
        <f t="shared" si="42"/>
        <v>2</v>
      </c>
    </row>
    <row r="2574" spans="1:23" x14ac:dyDescent="0.25">
      <c r="A2574" s="2" t="s">
        <v>1380</v>
      </c>
      <c r="B2574" s="2" t="s">
        <v>921</v>
      </c>
      <c r="C2574" s="2">
        <v>540104</v>
      </c>
      <c r="D2574" s="2" t="s">
        <v>730</v>
      </c>
      <c r="E2574" s="2" t="s">
        <v>45</v>
      </c>
      <c r="F2574" s="2" t="s">
        <v>115</v>
      </c>
      <c r="G2574" s="2">
        <v>6</v>
      </c>
      <c r="H2574" s="2">
        <v>0</v>
      </c>
      <c r="I2574" s="2">
        <v>0</v>
      </c>
      <c r="J2574" s="2">
        <v>0</v>
      </c>
      <c r="K2574" s="2">
        <v>0</v>
      </c>
      <c r="L2574" s="2">
        <v>0</v>
      </c>
      <c r="M2574" s="2">
        <v>0</v>
      </c>
      <c r="N2574" s="2">
        <v>0</v>
      </c>
      <c r="O2574" s="2">
        <v>0</v>
      </c>
      <c r="P2574" s="2">
        <v>0</v>
      </c>
      <c r="Q2574" s="2">
        <v>0</v>
      </c>
      <c r="R2574" s="2">
        <v>0</v>
      </c>
      <c r="S2574" s="2" t="s">
        <v>488</v>
      </c>
      <c r="T2574" s="2" t="s">
        <v>488</v>
      </c>
      <c r="U2574" s="2" t="s">
        <v>488</v>
      </c>
      <c r="V2574" s="2" t="s">
        <v>488</v>
      </c>
      <c r="W2574">
        <f t="shared" si="42"/>
        <v>0</v>
      </c>
    </row>
    <row r="2575" spans="1:23" x14ac:dyDescent="0.25">
      <c r="A2575" s="2" t="s">
        <v>1380</v>
      </c>
      <c r="B2575" s="2" t="s">
        <v>921</v>
      </c>
      <c r="C2575" s="2">
        <v>540105</v>
      </c>
      <c r="D2575" s="2" t="s">
        <v>731</v>
      </c>
      <c r="E2575" s="2" t="s">
        <v>45</v>
      </c>
      <c r="F2575" s="2" t="s">
        <v>115</v>
      </c>
      <c r="G2575" s="2">
        <v>6</v>
      </c>
      <c r="H2575" s="2">
        <v>0</v>
      </c>
      <c r="I2575" s="2">
        <v>1</v>
      </c>
      <c r="J2575" s="2">
        <v>0</v>
      </c>
      <c r="K2575" s="2">
        <v>0</v>
      </c>
      <c r="L2575" s="2">
        <v>0</v>
      </c>
      <c r="M2575" s="2">
        <v>1</v>
      </c>
      <c r="N2575" s="2">
        <v>1</v>
      </c>
      <c r="O2575" s="2">
        <v>0</v>
      </c>
      <c r="P2575" s="2">
        <v>0</v>
      </c>
      <c r="Q2575" s="2">
        <v>0</v>
      </c>
      <c r="R2575" s="2">
        <v>0</v>
      </c>
      <c r="S2575" s="2" t="s">
        <v>488</v>
      </c>
      <c r="T2575" s="2" t="s">
        <v>488</v>
      </c>
      <c r="U2575" s="2" t="s">
        <v>488</v>
      </c>
      <c r="V2575" s="2" t="s">
        <v>488</v>
      </c>
      <c r="W2575">
        <f t="shared" si="42"/>
        <v>1</v>
      </c>
    </row>
    <row r="2576" spans="1:23" x14ac:dyDescent="0.25">
      <c r="A2576" s="2" t="s">
        <v>1380</v>
      </c>
      <c r="B2576" s="2" t="s">
        <v>921</v>
      </c>
      <c r="C2576" s="2">
        <v>540106</v>
      </c>
      <c r="D2576" s="2" t="s">
        <v>732</v>
      </c>
      <c r="E2576" s="2" t="s">
        <v>45</v>
      </c>
      <c r="F2576" s="2" t="s">
        <v>115</v>
      </c>
      <c r="G2576" s="2">
        <v>6</v>
      </c>
      <c r="H2576" s="2">
        <v>0</v>
      </c>
      <c r="I2576" s="2">
        <v>0</v>
      </c>
      <c r="J2576" s="2">
        <v>0</v>
      </c>
      <c r="K2576" s="2">
        <v>0</v>
      </c>
      <c r="L2576" s="2">
        <v>0</v>
      </c>
      <c r="M2576" s="2">
        <v>0</v>
      </c>
      <c r="N2576" s="2">
        <v>0</v>
      </c>
      <c r="O2576" s="2">
        <v>0</v>
      </c>
      <c r="P2576" s="2">
        <v>0</v>
      </c>
      <c r="Q2576" s="2">
        <v>0</v>
      </c>
      <c r="R2576" s="2">
        <v>0</v>
      </c>
      <c r="S2576" s="2" t="s">
        <v>488</v>
      </c>
      <c r="T2576" s="2" t="s">
        <v>488</v>
      </c>
      <c r="U2576" s="2" t="s">
        <v>488</v>
      </c>
      <c r="V2576" s="2" t="s">
        <v>488</v>
      </c>
      <c r="W2576">
        <f t="shared" si="42"/>
        <v>0</v>
      </c>
    </row>
    <row r="2577" spans="1:23" x14ac:dyDescent="0.25">
      <c r="A2577" s="2" t="s">
        <v>1380</v>
      </c>
      <c r="B2577" s="2" t="s">
        <v>921</v>
      </c>
      <c r="C2577" s="2">
        <v>540292</v>
      </c>
      <c r="D2577" s="2" t="s">
        <v>733</v>
      </c>
      <c r="E2577" s="2" t="s">
        <v>45</v>
      </c>
      <c r="F2577" s="2" t="s">
        <v>115</v>
      </c>
      <c r="G2577" s="2">
        <v>6</v>
      </c>
      <c r="H2577" s="2">
        <v>0</v>
      </c>
      <c r="I2577" s="2">
        <v>0</v>
      </c>
      <c r="J2577" s="2">
        <v>0</v>
      </c>
      <c r="K2577" s="2">
        <v>0</v>
      </c>
      <c r="L2577" s="2">
        <v>0</v>
      </c>
      <c r="M2577" s="2">
        <v>0</v>
      </c>
      <c r="N2577" s="2">
        <v>0</v>
      </c>
      <c r="O2577" s="2">
        <v>0</v>
      </c>
      <c r="P2577" s="2">
        <v>0</v>
      </c>
      <c r="Q2577" s="2">
        <v>0</v>
      </c>
      <c r="R2577" s="2">
        <v>0</v>
      </c>
      <c r="S2577" s="2" t="s">
        <v>488</v>
      </c>
      <c r="T2577" s="2" t="s">
        <v>488</v>
      </c>
      <c r="U2577" s="2" t="s">
        <v>488</v>
      </c>
      <c r="V2577" s="2" t="s">
        <v>488</v>
      </c>
      <c r="W2577">
        <f t="shared" si="42"/>
        <v>0</v>
      </c>
    </row>
    <row r="2578" spans="1:23" x14ac:dyDescent="0.25">
      <c r="A2578" s="2" t="s">
        <v>1380</v>
      </c>
      <c r="B2578" s="2" t="s">
        <v>921</v>
      </c>
      <c r="C2578" s="2">
        <v>545556</v>
      </c>
      <c r="D2578" s="2" t="s">
        <v>734</v>
      </c>
      <c r="E2578" s="2" t="s">
        <v>45</v>
      </c>
      <c r="F2578" s="2" t="s">
        <v>115</v>
      </c>
      <c r="G2578" s="2">
        <v>6</v>
      </c>
      <c r="H2578" s="2">
        <v>0</v>
      </c>
      <c r="I2578" s="2">
        <v>0</v>
      </c>
      <c r="J2578" s="2">
        <v>0</v>
      </c>
      <c r="K2578" s="2">
        <v>0</v>
      </c>
      <c r="L2578" s="2">
        <v>0</v>
      </c>
      <c r="M2578" s="2">
        <v>0</v>
      </c>
      <c r="N2578" s="2">
        <v>0</v>
      </c>
      <c r="O2578" s="2">
        <v>0</v>
      </c>
      <c r="P2578" s="2">
        <v>0</v>
      </c>
      <c r="Q2578" s="2">
        <v>0</v>
      </c>
      <c r="R2578" s="2">
        <v>0</v>
      </c>
      <c r="S2578" s="2" t="s">
        <v>488</v>
      </c>
      <c r="T2578" s="2" t="s">
        <v>488</v>
      </c>
      <c r="U2578" s="2" t="s">
        <v>488</v>
      </c>
      <c r="V2578" s="2" t="s">
        <v>488</v>
      </c>
      <c r="W2578">
        <f t="shared" si="42"/>
        <v>0</v>
      </c>
    </row>
    <row r="2579" spans="1:23" x14ac:dyDescent="0.25">
      <c r="A2579" s="255" t="s">
        <v>1380</v>
      </c>
      <c r="B2579" s="255" t="s">
        <v>921</v>
      </c>
      <c r="C2579" s="255"/>
      <c r="D2579" s="255"/>
      <c r="E2579" s="255" t="s">
        <v>45</v>
      </c>
      <c r="F2579" s="255"/>
      <c r="G2579" s="255"/>
      <c r="H2579" s="255">
        <v>9</v>
      </c>
      <c r="I2579" s="255">
        <v>5</v>
      </c>
      <c r="J2579" s="255">
        <v>0</v>
      </c>
      <c r="K2579" s="255">
        <v>0</v>
      </c>
      <c r="L2579" s="255">
        <v>0</v>
      </c>
      <c r="M2579" s="255">
        <v>5</v>
      </c>
      <c r="N2579" s="255">
        <v>14</v>
      </c>
      <c r="O2579" s="255">
        <v>0</v>
      </c>
      <c r="P2579" s="255">
        <v>0</v>
      </c>
      <c r="Q2579" s="255">
        <v>2</v>
      </c>
      <c r="R2579" s="255">
        <v>1</v>
      </c>
      <c r="S2579" s="255" t="s">
        <v>488</v>
      </c>
      <c r="T2579" s="255" t="s">
        <v>488</v>
      </c>
      <c r="U2579" s="255" t="s">
        <v>488</v>
      </c>
      <c r="V2579" s="255" t="s">
        <v>488</v>
      </c>
      <c r="W2579">
        <f t="shared" si="42"/>
        <v>15</v>
      </c>
    </row>
    <row r="2580" spans="1:23" x14ac:dyDescent="0.25">
      <c r="A2580" s="2" t="s">
        <v>1380</v>
      </c>
      <c r="B2580" s="2" t="s">
        <v>921</v>
      </c>
      <c r="C2580" s="2">
        <v>540107</v>
      </c>
      <c r="D2580" s="2" t="s">
        <v>735</v>
      </c>
      <c r="E2580" s="2" t="s">
        <v>47</v>
      </c>
      <c r="F2580" s="2" t="s">
        <v>5</v>
      </c>
      <c r="G2580" s="2">
        <v>10</v>
      </c>
      <c r="H2580" s="2">
        <v>3</v>
      </c>
      <c r="I2580" s="2">
        <v>1</v>
      </c>
      <c r="J2580" s="2">
        <v>0</v>
      </c>
      <c r="K2580" s="2">
        <v>0</v>
      </c>
      <c r="L2580" s="2">
        <v>0</v>
      </c>
      <c r="M2580" s="2">
        <v>1</v>
      </c>
      <c r="N2580" s="2">
        <v>4</v>
      </c>
      <c r="O2580" s="2">
        <v>0</v>
      </c>
      <c r="P2580" s="2">
        <v>0</v>
      </c>
      <c r="Q2580" s="2" t="s">
        <v>488</v>
      </c>
      <c r="R2580" s="2" t="s">
        <v>488</v>
      </c>
      <c r="S2580" s="2" t="s">
        <v>488</v>
      </c>
      <c r="T2580" s="2" t="s">
        <v>488</v>
      </c>
      <c r="U2580" s="2" t="s">
        <v>488</v>
      </c>
      <c r="V2580" s="2" t="s">
        <v>488</v>
      </c>
      <c r="W2580">
        <f t="shared" si="42"/>
        <v>4</v>
      </c>
    </row>
    <row r="2581" spans="1:23" x14ac:dyDescent="0.25">
      <c r="A2581" s="2" t="s">
        <v>1380</v>
      </c>
      <c r="B2581" s="2" t="s">
        <v>921</v>
      </c>
      <c r="C2581" s="2">
        <v>540108</v>
      </c>
      <c r="D2581" s="2" t="s">
        <v>736</v>
      </c>
      <c r="E2581" s="2" t="s">
        <v>47</v>
      </c>
      <c r="F2581" s="2" t="s">
        <v>115</v>
      </c>
      <c r="G2581" s="2">
        <v>10</v>
      </c>
      <c r="H2581" s="2">
        <v>0</v>
      </c>
      <c r="I2581" s="2">
        <v>2</v>
      </c>
      <c r="J2581" s="2">
        <v>0</v>
      </c>
      <c r="K2581" s="2">
        <v>0</v>
      </c>
      <c r="L2581" s="2">
        <v>0</v>
      </c>
      <c r="M2581" s="2">
        <v>2</v>
      </c>
      <c r="N2581" s="2">
        <v>2</v>
      </c>
      <c r="O2581" s="2">
        <v>0</v>
      </c>
      <c r="P2581" s="2">
        <v>0</v>
      </c>
      <c r="Q2581" s="2" t="s">
        <v>488</v>
      </c>
      <c r="R2581" s="2" t="s">
        <v>488</v>
      </c>
      <c r="S2581" s="2" t="s">
        <v>488</v>
      </c>
      <c r="T2581" s="2" t="s">
        <v>488</v>
      </c>
      <c r="U2581" s="2" t="s">
        <v>488</v>
      </c>
      <c r="V2581" s="2" t="s">
        <v>488</v>
      </c>
      <c r="W2581">
        <f t="shared" si="42"/>
        <v>2</v>
      </c>
    </row>
    <row r="2582" spans="1:23" x14ac:dyDescent="0.25">
      <c r="A2582" s="2" t="s">
        <v>1380</v>
      </c>
      <c r="B2582" s="2" t="s">
        <v>921</v>
      </c>
      <c r="C2582" s="2">
        <v>540109</v>
      </c>
      <c r="D2582" s="2" t="s">
        <v>737</v>
      </c>
      <c r="E2582" s="2" t="s">
        <v>47</v>
      </c>
      <c r="F2582" s="2" t="s">
        <v>115</v>
      </c>
      <c r="G2582" s="2">
        <v>10</v>
      </c>
      <c r="H2582" s="2">
        <v>0</v>
      </c>
      <c r="I2582" s="2">
        <v>0</v>
      </c>
      <c r="J2582" s="2">
        <v>0</v>
      </c>
      <c r="K2582" s="2">
        <v>0</v>
      </c>
      <c r="L2582" s="2">
        <v>0</v>
      </c>
      <c r="M2582" s="2">
        <v>0</v>
      </c>
      <c r="N2582" s="2">
        <v>0</v>
      </c>
      <c r="O2582" s="2">
        <v>0</v>
      </c>
      <c r="P2582" s="2">
        <v>0</v>
      </c>
      <c r="Q2582" s="2" t="s">
        <v>488</v>
      </c>
      <c r="R2582" s="2" t="s">
        <v>488</v>
      </c>
      <c r="S2582" s="2" t="s">
        <v>488</v>
      </c>
      <c r="T2582" s="2" t="s">
        <v>488</v>
      </c>
      <c r="U2582" s="2" t="s">
        <v>488</v>
      </c>
      <c r="V2582" s="2" t="s">
        <v>488</v>
      </c>
      <c r="W2582">
        <f t="shared" si="42"/>
        <v>0</v>
      </c>
    </row>
    <row r="2583" spans="1:23" x14ac:dyDescent="0.25">
      <c r="A2583" s="2" t="s">
        <v>1380</v>
      </c>
      <c r="B2583" s="2" t="s">
        <v>921</v>
      </c>
      <c r="C2583" s="2">
        <v>540110</v>
      </c>
      <c r="D2583" s="2" t="s">
        <v>738</v>
      </c>
      <c r="E2583" s="2" t="s">
        <v>47</v>
      </c>
      <c r="F2583" s="2" t="s">
        <v>115</v>
      </c>
      <c r="G2583" s="2">
        <v>10</v>
      </c>
      <c r="H2583" s="2">
        <v>1</v>
      </c>
      <c r="I2583" s="2">
        <v>0</v>
      </c>
      <c r="J2583" s="2">
        <v>0</v>
      </c>
      <c r="K2583" s="2">
        <v>0</v>
      </c>
      <c r="L2583" s="2">
        <v>0</v>
      </c>
      <c r="M2583" s="2">
        <v>0</v>
      </c>
      <c r="N2583" s="2">
        <v>1</v>
      </c>
      <c r="O2583" s="2">
        <v>0</v>
      </c>
      <c r="P2583" s="2">
        <v>0</v>
      </c>
      <c r="Q2583" s="2" t="s">
        <v>488</v>
      </c>
      <c r="R2583" s="2" t="s">
        <v>488</v>
      </c>
      <c r="S2583" s="2" t="s">
        <v>488</v>
      </c>
      <c r="T2583" s="2" t="s">
        <v>488</v>
      </c>
      <c r="U2583" s="2" t="s">
        <v>488</v>
      </c>
      <c r="V2583" s="2" t="s">
        <v>488</v>
      </c>
      <c r="W2583">
        <f t="shared" si="42"/>
        <v>1</v>
      </c>
    </row>
    <row r="2584" spans="1:23" x14ac:dyDescent="0.25">
      <c r="A2584" s="2" t="s">
        <v>1380</v>
      </c>
      <c r="B2584" s="2" t="s">
        <v>921</v>
      </c>
      <c r="C2584" s="2">
        <v>540111</v>
      </c>
      <c r="D2584" s="2" t="s">
        <v>739</v>
      </c>
      <c r="E2584" s="2" t="s">
        <v>47</v>
      </c>
      <c r="F2584" s="2" t="s">
        <v>115</v>
      </c>
      <c r="G2584" s="2">
        <v>10</v>
      </c>
      <c r="H2584" s="2">
        <v>0</v>
      </c>
      <c r="I2584" s="2">
        <v>4</v>
      </c>
      <c r="J2584" s="2">
        <v>0</v>
      </c>
      <c r="K2584" s="2">
        <v>0</v>
      </c>
      <c r="L2584" s="2">
        <v>0</v>
      </c>
      <c r="M2584" s="2">
        <v>4</v>
      </c>
      <c r="N2584" s="2">
        <v>4</v>
      </c>
      <c r="O2584" s="2">
        <v>0</v>
      </c>
      <c r="P2584" s="2">
        <v>0</v>
      </c>
      <c r="Q2584" s="2" t="s">
        <v>488</v>
      </c>
      <c r="R2584" s="2" t="s">
        <v>488</v>
      </c>
      <c r="S2584" s="2" t="s">
        <v>488</v>
      </c>
      <c r="T2584" s="2" t="s">
        <v>488</v>
      </c>
      <c r="U2584" s="2" t="s">
        <v>488</v>
      </c>
      <c r="V2584" s="2" t="s">
        <v>488</v>
      </c>
      <c r="W2584">
        <f t="shared" si="42"/>
        <v>4</v>
      </c>
    </row>
    <row r="2585" spans="1:23" x14ac:dyDescent="0.25">
      <c r="A2585" s="2" t="s">
        <v>1380</v>
      </c>
      <c r="B2585" s="2" t="s">
        <v>921</v>
      </c>
      <c r="C2585" s="2">
        <v>540287</v>
      </c>
      <c r="D2585" s="2" t="s">
        <v>740</v>
      </c>
      <c r="E2585" s="2" t="s">
        <v>47</v>
      </c>
      <c r="F2585" s="2" t="s">
        <v>115</v>
      </c>
      <c r="G2585" s="2">
        <v>10</v>
      </c>
      <c r="H2585" s="2">
        <v>0</v>
      </c>
      <c r="I2585" s="2">
        <v>2</v>
      </c>
      <c r="J2585" s="2">
        <v>0</v>
      </c>
      <c r="K2585" s="2">
        <v>0</v>
      </c>
      <c r="L2585" s="2">
        <v>0</v>
      </c>
      <c r="M2585" s="2">
        <v>2</v>
      </c>
      <c r="N2585" s="2">
        <v>2</v>
      </c>
      <c r="O2585" s="2">
        <v>0</v>
      </c>
      <c r="P2585" s="2">
        <v>0</v>
      </c>
      <c r="Q2585" s="2" t="s">
        <v>488</v>
      </c>
      <c r="R2585" s="2" t="s">
        <v>488</v>
      </c>
      <c r="S2585" s="2" t="s">
        <v>488</v>
      </c>
      <c r="T2585" s="2" t="s">
        <v>488</v>
      </c>
      <c r="U2585" s="2" t="s">
        <v>488</v>
      </c>
      <c r="V2585" s="2" t="s">
        <v>488</v>
      </c>
      <c r="W2585">
        <f t="shared" si="42"/>
        <v>2</v>
      </c>
    </row>
    <row r="2586" spans="1:23" x14ac:dyDescent="0.25">
      <c r="A2586" s="2" t="s">
        <v>1380</v>
      </c>
      <c r="B2586" s="2" t="s">
        <v>921</v>
      </c>
      <c r="C2586" s="2">
        <v>540152</v>
      </c>
      <c r="D2586" s="2" t="s">
        <v>741</v>
      </c>
      <c r="E2586" s="2" t="s">
        <v>47</v>
      </c>
      <c r="F2586" s="2" t="s">
        <v>115</v>
      </c>
      <c r="G2586" s="2">
        <v>10</v>
      </c>
      <c r="H2586" s="2">
        <v>0</v>
      </c>
      <c r="I2586" s="2">
        <v>0</v>
      </c>
      <c r="J2586" s="2">
        <v>0</v>
      </c>
      <c r="K2586" s="2">
        <v>0</v>
      </c>
      <c r="L2586" s="2">
        <v>0</v>
      </c>
      <c r="M2586" s="2">
        <v>0</v>
      </c>
      <c r="N2586" s="2">
        <v>0</v>
      </c>
      <c r="O2586" s="2">
        <v>0</v>
      </c>
      <c r="P2586" s="2">
        <v>0</v>
      </c>
      <c r="Q2586" s="2" t="s">
        <v>488</v>
      </c>
      <c r="R2586" s="2" t="s">
        <v>488</v>
      </c>
      <c r="S2586" s="2" t="s">
        <v>488</v>
      </c>
      <c r="T2586" s="2" t="s">
        <v>488</v>
      </c>
      <c r="U2586" s="2" t="s">
        <v>488</v>
      </c>
      <c r="V2586" s="2" t="s">
        <v>488</v>
      </c>
      <c r="W2586">
        <f t="shared" si="42"/>
        <v>0</v>
      </c>
    </row>
    <row r="2587" spans="1:23" x14ac:dyDescent="0.25">
      <c r="A2587" s="255" t="s">
        <v>1380</v>
      </c>
      <c r="B2587" s="255" t="s">
        <v>921</v>
      </c>
      <c r="C2587" s="255"/>
      <c r="D2587" s="255"/>
      <c r="E2587" s="255" t="s">
        <v>47</v>
      </c>
      <c r="F2587" s="255"/>
      <c r="G2587" s="255"/>
      <c r="H2587" s="255">
        <v>4</v>
      </c>
      <c r="I2587" s="255">
        <v>9</v>
      </c>
      <c r="J2587" s="255">
        <v>0</v>
      </c>
      <c r="K2587" s="255">
        <v>0</v>
      </c>
      <c r="L2587" s="255">
        <v>0</v>
      </c>
      <c r="M2587" s="255">
        <v>9</v>
      </c>
      <c r="N2587" s="255">
        <v>13</v>
      </c>
      <c r="O2587" s="255">
        <v>0</v>
      </c>
      <c r="P2587" s="255">
        <v>0</v>
      </c>
      <c r="Q2587" s="255" t="s">
        <v>488</v>
      </c>
      <c r="R2587" s="255" t="s">
        <v>488</v>
      </c>
      <c r="S2587" s="255" t="s">
        <v>488</v>
      </c>
      <c r="T2587" s="255" t="s">
        <v>488</v>
      </c>
      <c r="U2587" s="255" t="s">
        <v>488</v>
      </c>
      <c r="V2587" s="255" t="s">
        <v>488</v>
      </c>
      <c r="W2587">
        <f t="shared" si="42"/>
        <v>13</v>
      </c>
    </row>
    <row r="2588" spans="1:23" x14ac:dyDescent="0.25">
      <c r="A2588" s="2" t="s">
        <v>1380</v>
      </c>
      <c r="B2588" s="2" t="s">
        <v>921</v>
      </c>
      <c r="C2588" s="2">
        <v>540112</v>
      </c>
      <c r="D2588" s="2" t="s">
        <v>742</v>
      </c>
      <c r="E2588" s="2" t="s">
        <v>49</v>
      </c>
      <c r="F2588" s="2" t="s">
        <v>5</v>
      </c>
      <c r="G2588" s="2">
        <v>2</v>
      </c>
      <c r="H2588" s="2">
        <v>4</v>
      </c>
      <c r="I2588" s="2">
        <v>4</v>
      </c>
      <c r="J2588" s="2">
        <v>0</v>
      </c>
      <c r="K2588" s="2">
        <v>0</v>
      </c>
      <c r="L2588" s="2">
        <v>0</v>
      </c>
      <c r="M2588" s="2">
        <v>4</v>
      </c>
      <c r="N2588" s="2">
        <v>8</v>
      </c>
      <c r="O2588" s="2">
        <v>0</v>
      </c>
      <c r="P2588" s="2">
        <v>0</v>
      </c>
      <c r="Q2588" s="2" t="s">
        <v>488</v>
      </c>
      <c r="R2588" s="2" t="s">
        <v>488</v>
      </c>
      <c r="S2588" s="2" t="s">
        <v>488</v>
      </c>
      <c r="T2588" s="2" t="s">
        <v>488</v>
      </c>
      <c r="U2588" s="2" t="s">
        <v>488</v>
      </c>
      <c r="V2588" s="2" t="s">
        <v>488</v>
      </c>
      <c r="W2588">
        <f t="shared" si="42"/>
        <v>8</v>
      </c>
    </row>
    <row r="2589" spans="1:23" x14ac:dyDescent="0.25">
      <c r="A2589" s="2" t="s">
        <v>1380</v>
      </c>
      <c r="B2589" s="2" t="s">
        <v>921</v>
      </c>
      <c r="C2589" s="2">
        <v>540113</v>
      </c>
      <c r="D2589" s="2" t="s">
        <v>743</v>
      </c>
      <c r="E2589" s="2" t="s">
        <v>49</v>
      </c>
      <c r="F2589" s="2" t="s">
        <v>115</v>
      </c>
      <c r="G2589" s="2">
        <v>2</v>
      </c>
      <c r="H2589" s="2">
        <v>0</v>
      </c>
      <c r="I2589" s="2">
        <v>1</v>
      </c>
      <c r="J2589" s="2">
        <v>0</v>
      </c>
      <c r="K2589" s="2">
        <v>0</v>
      </c>
      <c r="L2589" s="2">
        <v>0</v>
      </c>
      <c r="M2589" s="2">
        <v>1</v>
      </c>
      <c r="N2589" s="2">
        <v>1</v>
      </c>
      <c r="O2589" s="2">
        <v>0</v>
      </c>
      <c r="P2589" s="2">
        <v>0</v>
      </c>
      <c r="Q2589" s="2" t="s">
        <v>488</v>
      </c>
      <c r="R2589" s="2" t="s">
        <v>488</v>
      </c>
      <c r="S2589" s="2" t="s">
        <v>488</v>
      </c>
      <c r="T2589" s="2" t="s">
        <v>488</v>
      </c>
      <c r="U2589" s="2" t="s">
        <v>488</v>
      </c>
      <c r="V2589" s="2" t="s">
        <v>488</v>
      </c>
      <c r="W2589">
        <f t="shared" si="42"/>
        <v>1</v>
      </c>
    </row>
    <row r="2590" spans="1:23" x14ac:dyDescent="0.25">
      <c r="A2590" s="2" t="s">
        <v>1380</v>
      </c>
      <c r="B2590" s="2" t="s">
        <v>921</v>
      </c>
      <c r="C2590" s="2">
        <v>540247</v>
      </c>
      <c r="D2590" s="2" t="s">
        <v>744</v>
      </c>
      <c r="E2590" s="2" t="s">
        <v>49</v>
      </c>
      <c r="F2590" s="2" t="s">
        <v>115</v>
      </c>
      <c r="G2590" s="2">
        <v>2</v>
      </c>
      <c r="H2590" s="2">
        <v>0</v>
      </c>
      <c r="I2590" s="2">
        <v>0</v>
      </c>
      <c r="J2590" s="2">
        <v>0</v>
      </c>
      <c r="K2590" s="2">
        <v>0</v>
      </c>
      <c r="L2590" s="2">
        <v>0</v>
      </c>
      <c r="M2590" s="2">
        <v>0</v>
      </c>
      <c r="N2590" s="2">
        <v>0</v>
      </c>
      <c r="O2590" s="2">
        <v>0</v>
      </c>
      <c r="P2590" s="2">
        <v>0</v>
      </c>
      <c r="Q2590" s="2" t="s">
        <v>488</v>
      </c>
      <c r="R2590" s="2" t="s">
        <v>488</v>
      </c>
      <c r="S2590" s="2" t="s">
        <v>488</v>
      </c>
      <c r="T2590" s="2" t="s">
        <v>488</v>
      </c>
      <c r="U2590" s="2" t="s">
        <v>488</v>
      </c>
      <c r="V2590" s="2" t="s">
        <v>488</v>
      </c>
      <c r="W2590">
        <f t="shared" si="42"/>
        <v>0</v>
      </c>
    </row>
    <row r="2591" spans="1:23" x14ac:dyDescent="0.25">
      <c r="A2591" s="2" t="s">
        <v>1380</v>
      </c>
      <c r="B2591" s="2" t="s">
        <v>921</v>
      </c>
      <c r="C2591" s="2">
        <v>540248</v>
      </c>
      <c r="D2591" s="2" t="s">
        <v>745</v>
      </c>
      <c r="E2591" s="2" t="s">
        <v>49</v>
      </c>
      <c r="F2591" s="2" t="s">
        <v>115</v>
      </c>
      <c r="G2591" s="2">
        <v>2</v>
      </c>
      <c r="H2591" s="2">
        <v>0</v>
      </c>
      <c r="I2591" s="2">
        <v>0</v>
      </c>
      <c r="J2591" s="2">
        <v>0</v>
      </c>
      <c r="K2591" s="2">
        <v>0</v>
      </c>
      <c r="L2591" s="2">
        <v>0</v>
      </c>
      <c r="M2591" s="2">
        <v>0</v>
      </c>
      <c r="N2591" s="2">
        <v>0</v>
      </c>
      <c r="O2591" s="2">
        <v>0</v>
      </c>
      <c r="P2591" s="2">
        <v>0</v>
      </c>
      <c r="Q2591" s="2" t="s">
        <v>488</v>
      </c>
      <c r="R2591" s="2" t="s">
        <v>488</v>
      </c>
      <c r="S2591" s="2" t="s">
        <v>488</v>
      </c>
      <c r="T2591" s="2" t="s">
        <v>488</v>
      </c>
      <c r="U2591" s="2" t="s">
        <v>488</v>
      </c>
      <c r="V2591" s="2" t="s">
        <v>488</v>
      </c>
      <c r="W2591">
        <f t="shared" si="42"/>
        <v>0</v>
      </c>
    </row>
    <row r="2592" spans="1:23" x14ac:dyDescent="0.25">
      <c r="A2592" s="2" t="s">
        <v>1380</v>
      </c>
      <c r="B2592" s="2" t="s">
        <v>921</v>
      </c>
      <c r="C2592" s="2">
        <v>540249</v>
      </c>
      <c r="D2592" s="2" t="s">
        <v>746</v>
      </c>
      <c r="E2592" s="2" t="s">
        <v>49</v>
      </c>
      <c r="F2592" s="2" t="s">
        <v>115</v>
      </c>
      <c r="G2592" s="2">
        <v>2</v>
      </c>
      <c r="H2592" s="2">
        <v>0</v>
      </c>
      <c r="I2592" s="2">
        <v>0</v>
      </c>
      <c r="J2592" s="2">
        <v>0</v>
      </c>
      <c r="K2592" s="2">
        <v>0</v>
      </c>
      <c r="L2592" s="2">
        <v>0</v>
      </c>
      <c r="M2592" s="2">
        <v>0</v>
      </c>
      <c r="N2592" s="2">
        <v>0</v>
      </c>
      <c r="O2592" s="2">
        <v>0</v>
      </c>
      <c r="P2592" s="2">
        <v>0</v>
      </c>
      <c r="Q2592" s="2" t="s">
        <v>488</v>
      </c>
      <c r="R2592" s="2" t="s">
        <v>488</v>
      </c>
      <c r="S2592" s="2" t="s">
        <v>488</v>
      </c>
      <c r="T2592" s="2" t="s">
        <v>488</v>
      </c>
      <c r="U2592" s="2" t="s">
        <v>488</v>
      </c>
      <c r="V2592" s="2" t="s">
        <v>488</v>
      </c>
      <c r="W2592">
        <f t="shared" si="42"/>
        <v>0</v>
      </c>
    </row>
    <row r="2593" spans="1:23" x14ac:dyDescent="0.25">
      <c r="A2593" s="2" t="s">
        <v>1380</v>
      </c>
      <c r="B2593" s="2" t="s">
        <v>921</v>
      </c>
      <c r="C2593" s="2">
        <v>540250</v>
      </c>
      <c r="D2593" s="2" t="s">
        <v>747</v>
      </c>
      <c r="E2593" s="2" t="s">
        <v>49</v>
      </c>
      <c r="F2593" s="2" t="s">
        <v>115</v>
      </c>
      <c r="G2593" s="2">
        <v>2</v>
      </c>
      <c r="H2593" s="2">
        <v>0</v>
      </c>
      <c r="I2593" s="2">
        <v>0</v>
      </c>
      <c r="J2593" s="2">
        <v>0</v>
      </c>
      <c r="K2593" s="2">
        <v>0</v>
      </c>
      <c r="L2593" s="2">
        <v>0</v>
      </c>
      <c r="M2593" s="2">
        <v>0</v>
      </c>
      <c r="N2593" s="2">
        <v>0</v>
      </c>
      <c r="O2593" s="2">
        <v>0</v>
      </c>
      <c r="P2593" s="2">
        <v>0</v>
      </c>
      <c r="Q2593" s="2" t="s">
        <v>488</v>
      </c>
      <c r="R2593" s="2" t="s">
        <v>488</v>
      </c>
      <c r="S2593" s="2" t="s">
        <v>488</v>
      </c>
      <c r="T2593" s="2" t="s">
        <v>488</v>
      </c>
      <c r="U2593" s="2" t="s">
        <v>488</v>
      </c>
      <c r="V2593" s="2" t="s">
        <v>488</v>
      </c>
      <c r="W2593">
        <f t="shared" si="42"/>
        <v>0</v>
      </c>
    </row>
    <row r="2594" spans="1:23" x14ac:dyDescent="0.25">
      <c r="A2594" s="2" t="s">
        <v>1380</v>
      </c>
      <c r="B2594" s="2" t="s">
        <v>921</v>
      </c>
      <c r="C2594" s="2">
        <v>540251</v>
      </c>
      <c r="D2594" s="2" t="s">
        <v>748</v>
      </c>
      <c r="E2594" s="2" t="s">
        <v>49</v>
      </c>
      <c r="F2594" s="2" t="s">
        <v>115</v>
      </c>
      <c r="G2594" s="2">
        <v>2</v>
      </c>
      <c r="H2594" s="2">
        <v>0</v>
      </c>
      <c r="I2594" s="2">
        <v>0</v>
      </c>
      <c r="J2594" s="2">
        <v>0</v>
      </c>
      <c r="K2594" s="2">
        <v>0</v>
      </c>
      <c r="L2594" s="2">
        <v>0</v>
      </c>
      <c r="M2594" s="2">
        <v>0</v>
      </c>
      <c r="N2594" s="2">
        <v>0</v>
      </c>
      <c r="O2594" s="2">
        <v>0</v>
      </c>
      <c r="P2594" s="2">
        <v>0</v>
      </c>
      <c r="Q2594" s="2" t="s">
        <v>488</v>
      </c>
      <c r="R2594" s="2" t="s">
        <v>488</v>
      </c>
      <c r="S2594" s="2" t="s">
        <v>488</v>
      </c>
      <c r="T2594" s="2" t="s">
        <v>488</v>
      </c>
      <c r="U2594" s="2" t="s">
        <v>488</v>
      </c>
      <c r="V2594" s="2" t="s">
        <v>488</v>
      </c>
      <c r="W2594">
        <f t="shared" si="42"/>
        <v>0</v>
      </c>
    </row>
    <row r="2595" spans="1:23" x14ac:dyDescent="0.25">
      <c r="A2595" s="255" t="s">
        <v>1380</v>
      </c>
      <c r="B2595" s="255" t="s">
        <v>921</v>
      </c>
      <c r="C2595" s="255"/>
      <c r="D2595" s="255"/>
      <c r="E2595" s="255" t="s">
        <v>49</v>
      </c>
      <c r="F2595" s="255"/>
      <c r="G2595" s="255"/>
      <c r="H2595" s="255">
        <v>4</v>
      </c>
      <c r="I2595" s="255">
        <v>5</v>
      </c>
      <c r="J2595" s="255">
        <v>0</v>
      </c>
      <c r="K2595" s="255">
        <v>0</v>
      </c>
      <c r="L2595" s="255">
        <v>0</v>
      </c>
      <c r="M2595" s="255">
        <v>5</v>
      </c>
      <c r="N2595" s="255">
        <v>9</v>
      </c>
      <c r="O2595" s="255">
        <v>0</v>
      </c>
      <c r="P2595" s="255">
        <v>0</v>
      </c>
      <c r="Q2595" s="255" t="s">
        <v>488</v>
      </c>
      <c r="R2595" s="255" t="s">
        <v>488</v>
      </c>
      <c r="S2595" s="255" t="s">
        <v>488</v>
      </c>
      <c r="T2595" s="255" t="s">
        <v>488</v>
      </c>
      <c r="U2595" s="255" t="s">
        <v>488</v>
      </c>
      <c r="V2595" s="255" t="s">
        <v>488</v>
      </c>
      <c r="W2595">
        <f t="shared" si="42"/>
        <v>9</v>
      </c>
    </row>
    <row r="2596" spans="1:23" x14ac:dyDescent="0.25">
      <c r="A2596" s="2" t="s">
        <v>1380</v>
      </c>
      <c r="B2596" s="2" t="s">
        <v>921</v>
      </c>
      <c r="C2596" s="2">
        <v>540114</v>
      </c>
      <c r="D2596" s="2" t="s">
        <v>749</v>
      </c>
      <c r="E2596" s="2" t="s">
        <v>51</v>
      </c>
      <c r="F2596" s="2" t="s">
        <v>5</v>
      </c>
      <c r="G2596" s="2">
        <v>1</v>
      </c>
      <c r="H2596" s="2">
        <v>3</v>
      </c>
      <c r="I2596" s="2">
        <v>2</v>
      </c>
      <c r="J2596" s="2">
        <v>1</v>
      </c>
      <c r="K2596" s="2">
        <v>0</v>
      </c>
      <c r="L2596" s="2">
        <v>0</v>
      </c>
      <c r="M2596" s="2">
        <v>3</v>
      </c>
      <c r="N2596" s="2">
        <v>6</v>
      </c>
      <c r="O2596" s="2">
        <v>0</v>
      </c>
      <c r="P2596" s="2">
        <v>0</v>
      </c>
      <c r="Q2596" s="2">
        <v>2</v>
      </c>
      <c r="R2596" s="2">
        <v>0</v>
      </c>
      <c r="S2596" s="2">
        <v>1</v>
      </c>
      <c r="T2596" s="2">
        <v>0</v>
      </c>
      <c r="U2596" s="2" t="s">
        <v>488</v>
      </c>
      <c r="V2596" s="2" t="s">
        <v>488</v>
      </c>
      <c r="W2596">
        <f t="shared" si="42"/>
        <v>6</v>
      </c>
    </row>
    <row r="2597" spans="1:23" x14ac:dyDescent="0.25">
      <c r="A2597" s="2" t="s">
        <v>1380</v>
      </c>
      <c r="B2597" s="2" t="s">
        <v>921</v>
      </c>
      <c r="C2597" s="2">
        <v>540115</v>
      </c>
      <c r="D2597" s="2" t="s">
        <v>750</v>
      </c>
      <c r="E2597" s="2" t="s">
        <v>51</v>
      </c>
      <c r="F2597" s="2" t="s">
        <v>115</v>
      </c>
      <c r="G2597" s="2">
        <v>1</v>
      </c>
      <c r="H2597" s="2">
        <v>0</v>
      </c>
      <c r="I2597" s="2">
        <v>0</v>
      </c>
      <c r="J2597" s="2">
        <v>0</v>
      </c>
      <c r="K2597" s="2">
        <v>0</v>
      </c>
      <c r="L2597" s="2">
        <v>0</v>
      </c>
      <c r="M2597" s="2">
        <v>0</v>
      </c>
      <c r="N2597" s="2">
        <v>0</v>
      </c>
      <c r="O2597" s="2">
        <v>0</v>
      </c>
      <c r="P2597" s="2">
        <v>0</v>
      </c>
      <c r="Q2597" s="2">
        <v>0</v>
      </c>
      <c r="R2597" s="2">
        <v>0</v>
      </c>
      <c r="S2597" s="2">
        <v>0</v>
      </c>
      <c r="T2597" s="2">
        <v>0</v>
      </c>
      <c r="U2597" s="2" t="s">
        <v>488</v>
      </c>
      <c r="V2597" s="2" t="s">
        <v>488</v>
      </c>
      <c r="W2597">
        <f t="shared" si="42"/>
        <v>0</v>
      </c>
    </row>
    <row r="2598" spans="1:23" x14ac:dyDescent="0.25">
      <c r="A2598" s="2" t="s">
        <v>1380</v>
      </c>
      <c r="B2598" s="2" t="s">
        <v>921</v>
      </c>
      <c r="C2598" s="2">
        <v>540116</v>
      </c>
      <c r="D2598" s="2" t="s">
        <v>751</v>
      </c>
      <c r="E2598" s="2" t="s">
        <v>51</v>
      </c>
      <c r="F2598" s="2" t="s">
        <v>115</v>
      </c>
      <c r="G2598" s="2">
        <v>1</v>
      </c>
      <c r="H2598" s="2">
        <v>0</v>
      </c>
      <c r="I2598" s="2">
        <v>0</v>
      </c>
      <c r="J2598" s="2">
        <v>0</v>
      </c>
      <c r="K2598" s="2">
        <v>0</v>
      </c>
      <c r="L2598" s="2">
        <v>0</v>
      </c>
      <c r="M2598" s="2">
        <v>0</v>
      </c>
      <c r="N2598" s="2">
        <v>0</v>
      </c>
      <c r="O2598" s="2">
        <v>0</v>
      </c>
      <c r="P2598" s="2">
        <v>0</v>
      </c>
      <c r="Q2598" s="2">
        <v>0</v>
      </c>
      <c r="R2598" s="2">
        <v>0</v>
      </c>
      <c r="S2598" s="2">
        <v>0</v>
      </c>
      <c r="T2598" s="2">
        <v>0</v>
      </c>
      <c r="U2598" s="2" t="s">
        <v>488</v>
      </c>
      <c r="V2598" s="2" t="s">
        <v>488</v>
      </c>
      <c r="W2598">
        <f t="shared" si="42"/>
        <v>0</v>
      </c>
    </row>
    <row r="2599" spans="1:23" x14ac:dyDescent="0.25">
      <c r="A2599" s="2" t="s">
        <v>1380</v>
      </c>
      <c r="B2599" s="2" t="s">
        <v>921</v>
      </c>
      <c r="C2599" s="2">
        <v>540117</v>
      </c>
      <c r="D2599" s="2" t="s">
        <v>752</v>
      </c>
      <c r="E2599" s="2" t="s">
        <v>51</v>
      </c>
      <c r="F2599" s="2" t="s">
        <v>115</v>
      </c>
      <c r="G2599" s="2">
        <v>1</v>
      </c>
      <c r="H2599" s="2">
        <v>0</v>
      </c>
      <c r="I2599" s="2">
        <v>0</v>
      </c>
      <c r="J2599" s="2">
        <v>0</v>
      </c>
      <c r="K2599" s="2">
        <v>0</v>
      </c>
      <c r="L2599" s="2">
        <v>0</v>
      </c>
      <c r="M2599" s="2">
        <v>0</v>
      </c>
      <c r="N2599" s="2">
        <v>0</v>
      </c>
      <c r="O2599" s="2">
        <v>0</v>
      </c>
      <c r="P2599" s="2">
        <v>0</v>
      </c>
      <c r="Q2599" s="2">
        <v>0</v>
      </c>
      <c r="R2599" s="2">
        <v>0</v>
      </c>
      <c r="S2599" s="2">
        <v>0</v>
      </c>
      <c r="T2599" s="2">
        <v>0</v>
      </c>
      <c r="U2599" s="2" t="s">
        <v>488</v>
      </c>
      <c r="V2599" s="2" t="s">
        <v>488</v>
      </c>
      <c r="W2599">
        <f t="shared" si="42"/>
        <v>0</v>
      </c>
    </row>
    <row r="2600" spans="1:23" x14ac:dyDescent="0.25">
      <c r="A2600" s="2" t="s">
        <v>1380</v>
      </c>
      <c r="B2600" s="2" t="s">
        <v>921</v>
      </c>
      <c r="C2600" s="2">
        <v>540118</v>
      </c>
      <c r="D2600" s="2" t="s">
        <v>753</v>
      </c>
      <c r="E2600" s="2" t="s">
        <v>51</v>
      </c>
      <c r="F2600" s="2" t="s">
        <v>115</v>
      </c>
      <c r="G2600" s="2">
        <v>1</v>
      </c>
      <c r="H2600" s="2">
        <v>0</v>
      </c>
      <c r="I2600" s="2">
        <v>0</v>
      </c>
      <c r="J2600" s="2">
        <v>0</v>
      </c>
      <c r="K2600" s="2">
        <v>0</v>
      </c>
      <c r="L2600" s="2">
        <v>0</v>
      </c>
      <c r="M2600" s="2">
        <v>0</v>
      </c>
      <c r="N2600" s="2">
        <v>0</v>
      </c>
      <c r="O2600" s="2">
        <v>0</v>
      </c>
      <c r="P2600" s="2">
        <v>0</v>
      </c>
      <c r="Q2600" s="2">
        <v>0</v>
      </c>
      <c r="R2600" s="2">
        <v>0</v>
      </c>
      <c r="S2600" s="2">
        <v>0</v>
      </c>
      <c r="T2600" s="2">
        <v>0</v>
      </c>
      <c r="U2600" s="2" t="s">
        <v>488</v>
      </c>
      <c r="V2600" s="2" t="s">
        <v>488</v>
      </c>
      <c r="W2600">
        <f t="shared" si="42"/>
        <v>0</v>
      </c>
    </row>
    <row r="2601" spans="1:23" x14ac:dyDescent="0.25">
      <c r="A2601" s="2" t="s">
        <v>1380</v>
      </c>
      <c r="B2601" s="2" t="s">
        <v>921</v>
      </c>
      <c r="C2601" s="2">
        <v>540119</v>
      </c>
      <c r="D2601" s="2" t="s">
        <v>754</v>
      </c>
      <c r="E2601" s="2" t="s">
        <v>51</v>
      </c>
      <c r="F2601" s="2" t="s">
        <v>115</v>
      </c>
      <c r="G2601" s="2">
        <v>1</v>
      </c>
      <c r="H2601" s="2">
        <v>0</v>
      </c>
      <c r="I2601" s="2">
        <v>2</v>
      </c>
      <c r="J2601" s="2">
        <v>2</v>
      </c>
      <c r="K2601" s="2">
        <v>0</v>
      </c>
      <c r="L2601" s="2">
        <v>0</v>
      </c>
      <c r="M2601" s="2">
        <v>4</v>
      </c>
      <c r="N2601" s="2">
        <v>4</v>
      </c>
      <c r="O2601" s="2">
        <v>0</v>
      </c>
      <c r="P2601" s="2">
        <v>0</v>
      </c>
      <c r="Q2601" s="2">
        <v>0</v>
      </c>
      <c r="R2601" s="2">
        <v>0</v>
      </c>
      <c r="S2601" s="2">
        <v>2</v>
      </c>
      <c r="T2601" s="2">
        <v>0</v>
      </c>
      <c r="U2601" s="2" t="s">
        <v>488</v>
      </c>
      <c r="V2601" s="2" t="s">
        <v>488</v>
      </c>
      <c r="W2601">
        <f t="shared" si="42"/>
        <v>4</v>
      </c>
    </row>
    <row r="2602" spans="1:23" x14ac:dyDescent="0.25">
      <c r="A2602" s="2" t="s">
        <v>1380</v>
      </c>
      <c r="B2602" s="2" t="s">
        <v>921</v>
      </c>
      <c r="C2602" s="2">
        <v>540120</v>
      </c>
      <c r="D2602" s="2" t="s">
        <v>755</v>
      </c>
      <c r="E2602" s="2" t="s">
        <v>51</v>
      </c>
      <c r="F2602" s="2" t="s">
        <v>115</v>
      </c>
      <c r="G2602" s="2">
        <v>1</v>
      </c>
      <c r="H2602" s="2">
        <v>0</v>
      </c>
      <c r="I2602" s="2">
        <v>1</v>
      </c>
      <c r="J2602" s="2">
        <v>0</v>
      </c>
      <c r="K2602" s="2">
        <v>0</v>
      </c>
      <c r="L2602" s="2">
        <v>0</v>
      </c>
      <c r="M2602" s="2">
        <v>1</v>
      </c>
      <c r="N2602" s="2">
        <v>1</v>
      </c>
      <c r="O2602" s="2">
        <v>0</v>
      </c>
      <c r="P2602" s="2">
        <v>0</v>
      </c>
      <c r="Q2602" s="2">
        <v>0</v>
      </c>
      <c r="R2602" s="2">
        <v>0</v>
      </c>
      <c r="S2602" s="2">
        <v>0</v>
      </c>
      <c r="T2602" s="2">
        <v>0</v>
      </c>
      <c r="U2602" s="2" t="s">
        <v>488</v>
      </c>
      <c r="V2602" s="2" t="s">
        <v>488</v>
      </c>
      <c r="W2602">
        <f t="shared" si="42"/>
        <v>1</v>
      </c>
    </row>
    <row r="2603" spans="1:23" x14ac:dyDescent="0.25">
      <c r="A2603" s="2" t="s">
        <v>1380</v>
      </c>
      <c r="B2603" s="2" t="s">
        <v>921</v>
      </c>
      <c r="C2603" s="2">
        <v>540121</v>
      </c>
      <c r="D2603" s="2" t="s">
        <v>756</v>
      </c>
      <c r="E2603" s="2" t="s">
        <v>51</v>
      </c>
      <c r="F2603" s="2" t="s">
        <v>115</v>
      </c>
      <c r="G2603" s="2">
        <v>1</v>
      </c>
      <c r="H2603" s="2">
        <v>2</v>
      </c>
      <c r="I2603" s="2">
        <v>2</v>
      </c>
      <c r="J2603" s="2">
        <v>0</v>
      </c>
      <c r="K2603" s="2">
        <v>0</v>
      </c>
      <c r="L2603" s="2">
        <v>0</v>
      </c>
      <c r="M2603" s="2">
        <v>2</v>
      </c>
      <c r="N2603" s="2">
        <v>4</v>
      </c>
      <c r="O2603" s="2">
        <v>0</v>
      </c>
      <c r="P2603" s="2">
        <v>0</v>
      </c>
      <c r="Q2603" s="2">
        <v>0</v>
      </c>
      <c r="R2603" s="2">
        <v>0</v>
      </c>
      <c r="S2603" s="2">
        <v>0</v>
      </c>
      <c r="T2603" s="2">
        <v>0</v>
      </c>
      <c r="U2603" s="2" t="s">
        <v>488</v>
      </c>
      <c r="V2603" s="2" t="s">
        <v>488</v>
      </c>
      <c r="W2603">
        <f t="shared" si="42"/>
        <v>4</v>
      </c>
    </row>
    <row r="2604" spans="1:23" x14ac:dyDescent="0.25">
      <c r="A2604" s="2" t="s">
        <v>1380</v>
      </c>
      <c r="B2604" s="2" t="s">
        <v>921</v>
      </c>
      <c r="C2604" s="2">
        <v>540122</v>
      </c>
      <c r="D2604" s="2" t="s">
        <v>757</v>
      </c>
      <c r="E2604" s="2" t="s">
        <v>51</v>
      </c>
      <c r="F2604" s="2" t="s">
        <v>115</v>
      </c>
      <c r="G2604" s="2">
        <v>1</v>
      </c>
      <c r="H2604" s="2">
        <v>0</v>
      </c>
      <c r="I2604" s="2">
        <v>0</v>
      </c>
      <c r="J2604" s="2">
        <v>0</v>
      </c>
      <c r="K2604" s="2">
        <v>0</v>
      </c>
      <c r="L2604" s="2">
        <v>0</v>
      </c>
      <c r="M2604" s="2">
        <v>0</v>
      </c>
      <c r="N2604" s="2">
        <v>0</v>
      </c>
      <c r="O2604" s="2">
        <v>0</v>
      </c>
      <c r="P2604" s="2">
        <v>0</v>
      </c>
      <c r="Q2604" s="2">
        <v>0</v>
      </c>
      <c r="R2604" s="2">
        <v>0</v>
      </c>
      <c r="S2604" s="2">
        <v>0</v>
      </c>
      <c r="T2604" s="2">
        <v>1</v>
      </c>
      <c r="U2604" s="2" t="s">
        <v>488</v>
      </c>
      <c r="V2604" s="2" t="s">
        <v>488</v>
      </c>
      <c r="W2604">
        <f t="shared" si="42"/>
        <v>1</v>
      </c>
    </row>
    <row r="2605" spans="1:23" x14ac:dyDescent="0.25">
      <c r="A2605" s="2" t="s">
        <v>1380</v>
      </c>
      <c r="B2605" s="2" t="s">
        <v>921</v>
      </c>
      <c r="C2605" s="2">
        <v>540123</v>
      </c>
      <c r="D2605" s="2" t="s">
        <v>758</v>
      </c>
      <c r="E2605" s="2" t="s">
        <v>51</v>
      </c>
      <c r="F2605" s="2" t="s">
        <v>115</v>
      </c>
      <c r="G2605" s="2">
        <v>1</v>
      </c>
      <c r="H2605" s="2">
        <v>0</v>
      </c>
      <c r="I2605" s="2">
        <v>4</v>
      </c>
      <c r="J2605" s="2">
        <v>1</v>
      </c>
      <c r="K2605" s="2">
        <v>0</v>
      </c>
      <c r="L2605" s="2">
        <v>0</v>
      </c>
      <c r="M2605" s="2">
        <v>5</v>
      </c>
      <c r="N2605" s="2">
        <v>5</v>
      </c>
      <c r="O2605" s="2">
        <v>0</v>
      </c>
      <c r="P2605" s="2">
        <v>0</v>
      </c>
      <c r="Q2605" s="2">
        <v>0</v>
      </c>
      <c r="R2605" s="2">
        <v>0</v>
      </c>
      <c r="S2605" s="2">
        <v>1</v>
      </c>
      <c r="T2605" s="2">
        <v>1</v>
      </c>
      <c r="U2605" s="2" t="s">
        <v>488</v>
      </c>
      <c r="V2605" s="2" t="s">
        <v>488</v>
      </c>
      <c r="W2605">
        <f t="shared" si="42"/>
        <v>6</v>
      </c>
    </row>
    <row r="2606" spans="1:23" x14ac:dyDescent="0.25">
      <c r="A2606" s="2" t="s">
        <v>1380</v>
      </c>
      <c r="B2606" s="2" t="s">
        <v>921</v>
      </c>
      <c r="C2606" s="2">
        <v>540291</v>
      </c>
      <c r="D2606" s="2" t="s">
        <v>759</v>
      </c>
      <c r="E2606" s="2" t="s">
        <v>51</v>
      </c>
      <c r="F2606" s="2" t="s">
        <v>115</v>
      </c>
      <c r="G2606" s="2">
        <v>1</v>
      </c>
      <c r="H2606" s="2">
        <v>0</v>
      </c>
      <c r="I2606" s="2">
        <v>0</v>
      </c>
      <c r="J2606" s="2">
        <v>0</v>
      </c>
      <c r="K2606" s="2">
        <v>0</v>
      </c>
      <c r="L2606" s="2">
        <v>0</v>
      </c>
      <c r="M2606" s="2">
        <v>0</v>
      </c>
      <c r="N2606" s="2">
        <v>0</v>
      </c>
      <c r="O2606" s="2">
        <v>0</v>
      </c>
      <c r="P2606" s="2">
        <v>0</v>
      </c>
      <c r="Q2606" s="2">
        <v>0</v>
      </c>
      <c r="R2606" s="2">
        <v>1</v>
      </c>
      <c r="S2606" s="2">
        <v>0</v>
      </c>
      <c r="T2606" s="2">
        <v>0</v>
      </c>
      <c r="U2606" s="2" t="s">
        <v>488</v>
      </c>
      <c r="V2606" s="2" t="s">
        <v>488</v>
      </c>
      <c r="W2606">
        <f t="shared" si="42"/>
        <v>1</v>
      </c>
    </row>
    <row r="2607" spans="1:23" x14ac:dyDescent="0.25">
      <c r="A2607" s="255" t="s">
        <v>1380</v>
      </c>
      <c r="B2607" s="255" t="s">
        <v>921</v>
      </c>
      <c r="C2607" s="255"/>
      <c r="D2607" s="255"/>
      <c r="E2607" s="255" t="s">
        <v>51</v>
      </c>
      <c r="F2607" s="255"/>
      <c r="G2607" s="255"/>
      <c r="H2607" s="255">
        <v>5</v>
      </c>
      <c r="I2607" s="255">
        <v>11</v>
      </c>
      <c r="J2607" s="255">
        <v>4</v>
      </c>
      <c r="K2607" s="255">
        <v>0</v>
      </c>
      <c r="L2607" s="255">
        <v>0</v>
      </c>
      <c r="M2607" s="255">
        <v>15</v>
      </c>
      <c r="N2607" s="255">
        <v>20</v>
      </c>
      <c r="O2607" s="255">
        <v>0</v>
      </c>
      <c r="P2607" s="255">
        <v>0</v>
      </c>
      <c r="Q2607" s="255">
        <v>2</v>
      </c>
      <c r="R2607" s="255">
        <v>1</v>
      </c>
      <c r="S2607" s="255">
        <v>4</v>
      </c>
      <c r="T2607" s="255">
        <v>2</v>
      </c>
      <c r="U2607" s="255" t="s">
        <v>488</v>
      </c>
      <c r="V2607" s="255" t="s">
        <v>488</v>
      </c>
      <c r="W2607">
        <f t="shared" si="42"/>
        <v>23</v>
      </c>
    </row>
    <row r="2608" spans="1:23" x14ac:dyDescent="0.25">
      <c r="A2608" s="2" t="s">
        <v>1380</v>
      </c>
      <c r="B2608" s="2" t="s">
        <v>921</v>
      </c>
      <c r="C2608" s="2">
        <v>540124</v>
      </c>
      <c r="D2608" s="2" t="s">
        <v>760</v>
      </c>
      <c r="E2608" s="2" t="s">
        <v>53</v>
      </c>
      <c r="F2608" s="2" t="s">
        <v>5</v>
      </c>
      <c r="G2608" s="2">
        <v>1</v>
      </c>
      <c r="H2608" s="2">
        <v>4</v>
      </c>
      <c r="I2608" s="2">
        <v>3</v>
      </c>
      <c r="J2608" s="2">
        <v>2</v>
      </c>
      <c r="K2608" s="2">
        <v>0</v>
      </c>
      <c r="L2608" s="2">
        <v>0</v>
      </c>
      <c r="M2608" s="2">
        <v>5</v>
      </c>
      <c r="N2608" s="2">
        <v>9</v>
      </c>
      <c r="O2608" s="2">
        <v>0</v>
      </c>
      <c r="P2608" s="2">
        <v>0</v>
      </c>
      <c r="Q2608" s="2">
        <v>1</v>
      </c>
      <c r="R2608" s="2">
        <v>0</v>
      </c>
      <c r="S2608" s="2" t="s">
        <v>488</v>
      </c>
      <c r="T2608" s="2" t="s">
        <v>488</v>
      </c>
      <c r="U2608" s="2" t="s">
        <v>488</v>
      </c>
      <c r="V2608" s="2" t="s">
        <v>488</v>
      </c>
      <c r="W2608">
        <f t="shared" si="42"/>
        <v>9</v>
      </c>
    </row>
    <row r="2609" spans="1:23" x14ac:dyDescent="0.25">
      <c r="A2609" s="2" t="s">
        <v>1380</v>
      </c>
      <c r="B2609" s="2" t="s">
        <v>921</v>
      </c>
      <c r="C2609" s="2">
        <v>540125</v>
      </c>
      <c r="D2609" s="2" t="s">
        <v>761</v>
      </c>
      <c r="E2609" s="2" t="s">
        <v>53</v>
      </c>
      <c r="F2609" s="2" t="s">
        <v>115</v>
      </c>
      <c r="G2609" s="2">
        <v>1</v>
      </c>
      <c r="H2609" s="2">
        <v>0</v>
      </c>
      <c r="I2609" s="2">
        <v>1</v>
      </c>
      <c r="J2609" s="2">
        <v>0</v>
      </c>
      <c r="K2609" s="2">
        <v>0</v>
      </c>
      <c r="L2609" s="2">
        <v>0</v>
      </c>
      <c r="M2609" s="2">
        <v>1</v>
      </c>
      <c r="N2609" s="2">
        <v>1</v>
      </c>
      <c r="O2609" s="2">
        <v>0</v>
      </c>
      <c r="P2609" s="2">
        <v>0</v>
      </c>
      <c r="Q2609" s="2">
        <v>0</v>
      </c>
      <c r="R2609" s="2">
        <v>0</v>
      </c>
      <c r="S2609" s="2" t="s">
        <v>488</v>
      </c>
      <c r="T2609" s="2" t="s">
        <v>488</v>
      </c>
      <c r="U2609" s="2" t="s">
        <v>488</v>
      </c>
      <c r="V2609" s="2" t="s">
        <v>488</v>
      </c>
      <c r="W2609">
        <f t="shared" si="42"/>
        <v>1</v>
      </c>
    </row>
    <row r="2610" spans="1:23" x14ac:dyDescent="0.25">
      <c r="A2610" s="2" t="s">
        <v>1380</v>
      </c>
      <c r="B2610" s="2" t="s">
        <v>921</v>
      </c>
      <c r="C2610" s="2">
        <v>540126</v>
      </c>
      <c r="D2610" s="2" t="s">
        <v>762</v>
      </c>
      <c r="E2610" s="2" t="s">
        <v>53</v>
      </c>
      <c r="F2610" s="2" t="s">
        <v>115</v>
      </c>
      <c r="G2610" s="2">
        <v>1</v>
      </c>
      <c r="H2610" s="2">
        <v>0</v>
      </c>
      <c r="I2610" s="2">
        <v>0</v>
      </c>
      <c r="J2610" s="2">
        <v>0</v>
      </c>
      <c r="K2610" s="2">
        <v>0</v>
      </c>
      <c r="L2610" s="2">
        <v>0</v>
      </c>
      <c r="M2610" s="2">
        <v>0</v>
      </c>
      <c r="N2610" s="2">
        <v>0</v>
      </c>
      <c r="O2610" s="2">
        <v>0</v>
      </c>
      <c r="P2610" s="2">
        <v>0</v>
      </c>
      <c r="Q2610" s="2">
        <v>0</v>
      </c>
      <c r="R2610" s="2">
        <v>0</v>
      </c>
      <c r="S2610" s="2" t="s">
        <v>488</v>
      </c>
      <c r="T2610" s="2" t="s">
        <v>488</v>
      </c>
      <c r="U2610" s="2" t="s">
        <v>488</v>
      </c>
      <c r="V2610" s="2" t="s">
        <v>488</v>
      </c>
      <c r="W2610">
        <f t="shared" si="42"/>
        <v>0</v>
      </c>
    </row>
    <row r="2611" spans="1:23" x14ac:dyDescent="0.25">
      <c r="A2611" s="2" t="s">
        <v>1380</v>
      </c>
      <c r="B2611" s="2" t="s">
        <v>921</v>
      </c>
      <c r="C2611" s="2">
        <v>540127</v>
      </c>
      <c r="D2611" s="2" t="s">
        <v>763</v>
      </c>
      <c r="E2611" s="2" t="s">
        <v>53</v>
      </c>
      <c r="F2611" s="2" t="s">
        <v>115</v>
      </c>
      <c r="G2611" s="2">
        <v>1</v>
      </c>
      <c r="H2611" s="2">
        <v>0</v>
      </c>
      <c r="I2611" s="2">
        <v>0</v>
      </c>
      <c r="J2611" s="2">
        <v>0</v>
      </c>
      <c r="K2611" s="2">
        <v>0</v>
      </c>
      <c r="L2611" s="2">
        <v>0</v>
      </c>
      <c r="M2611" s="2">
        <v>0</v>
      </c>
      <c r="N2611" s="2">
        <v>0</v>
      </c>
      <c r="O2611" s="2">
        <v>0</v>
      </c>
      <c r="P2611" s="2">
        <v>0</v>
      </c>
      <c r="Q2611" s="2">
        <v>0</v>
      </c>
      <c r="R2611" s="2">
        <v>0</v>
      </c>
      <c r="S2611" s="2" t="s">
        <v>488</v>
      </c>
      <c r="T2611" s="2" t="s">
        <v>488</v>
      </c>
      <c r="U2611" s="2" t="s">
        <v>488</v>
      </c>
      <c r="V2611" s="2" t="s">
        <v>488</v>
      </c>
      <c r="W2611">
        <f t="shared" si="42"/>
        <v>0</v>
      </c>
    </row>
    <row r="2612" spans="1:23" x14ac:dyDescent="0.25">
      <c r="A2612" s="2" t="s">
        <v>1380</v>
      </c>
      <c r="B2612" s="2" t="s">
        <v>921</v>
      </c>
      <c r="C2612" s="2">
        <v>540128</v>
      </c>
      <c r="D2612" s="2" t="s">
        <v>764</v>
      </c>
      <c r="E2612" s="2" t="s">
        <v>53</v>
      </c>
      <c r="F2612" s="2" t="s">
        <v>115</v>
      </c>
      <c r="G2612" s="2">
        <v>1</v>
      </c>
      <c r="H2612" s="2">
        <v>0</v>
      </c>
      <c r="I2612" s="2">
        <v>3</v>
      </c>
      <c r="J2612" s="2">
        <v>0</v>
      </c>
      <c r="K2612" s="2">
        <v>0</v>
      </c>
      <c r="L2612" s="2">
        <v>0</v>
      </c>
      <c r="M2612" s="2">
        <v>3</v>
      </c>
      <c r="N2612" s="2">
        <v>3</v>
      </c>
      <c r="O2612" s="2">
        <v>0</v>
      </c>
      <c r="P2612" s="2">
        <v>0</v>
      </c>
      <c r="Q2612" s="2">
        <v>0</v>
      </c>
      <c r="R2612" s="2">
        <v>0</v>
      </c>
      <c r="S2612" s="2" t="s">
        <v>488</v>
      </c>
      <c r="T2612" s="2" t="s">
        <v>488</v>
      </c>
      <c r="U2612" s="2" t="s">
        <v>488</v>
      </c>
      <c r="V2612" s="2" t="s">
        <v>488</v>
      </c>
      <c r="W2612">
        <f t="shared" si="42"/>
        <v>3</v>
      </c>
    </row>
    <row r="2613" spans="1:23" x14ac:dyDescent="0.25">
      <c r="A2613" s="2" t="s">
        <v>1380</v>
      </c>
      <c r="B2613" s="2" t="s">
        <v>921</v>
      </c>
      <c r="C2613" s="2">
        <v>540172</v>
      </c>
      <c r="D2613" s="2" t="s">
        <v>765</v>
      </c>
      <c r="E2613" s="2" t="s">
        <v>53</v>
      </c>
      <c r="F2613" s="2" t="s">
        <v>115</v>
      </c>
      <c r="G2613" s="2">
        <v>1</v>
      </c>
      <c r="H2613" s="2">
        <v>0</v>
      </c>
      <c r="I2613" s="2">
        <v>0</v>
      </c>
      <c r="J2613" s="2">
        <v>0</v>
      </c>
      <c r="K2613" s="2">
        <v>0</v>
      </c>
      <c r="L2613" s="2">
        <v>0</v>
      </c>
      <c r="M2613" s="2">
        <v>0</v>
      </c>
      <c r="N2613" s="2">
        <v>0</v>
      </c>
      <c r="O2613" s="2">
        <v>0</v>
      </c>
      <c r="P2613" s="2">
        <v>0</v>
      </c>
      <c r="Q2613" s="2">
        <v>0</v>
      </c>
      <c r="R2613" s="2">
        <v>0</v>
      </c>
      <c r="S2613" s="2" t="s">
        <v>488</v>
      </c>
      <c r="T2613" s="2" t="s">
        <v>488</v>
      </c>
      <c r="U2613" s="2" t="s">
        <v>488</v>
      </c>
      <c r="V2613" s="2" t="s">
        <v>488</v>
      </c>
      <c r="W2613">
        <f t="shared" si="42"/>
        <v>0</v>
      </c>
    </row>
    <row r="2614" spans="1:23" x14ac:dyDescent="0.25">
      <c r="A2614" s="2" t="s">
        <v>1380</v>
      </c>
      <c r="B2614" s="2" t="s">
        <v>921</v>
      </c>
      <c r="C2614" s="2">
        <v>540285</v>
      </c>
      <c r="D2614" s="2" t="s">
        <v>766</v>
      </c>
      <c r="E2614" s="2" t="s">
        <v>53</v>
      </c>
      <c r="F2614" s="2" t="s">
        <v>115</v>
      </c>
      <c r="G2614" s="2">
        <v>1</v>
      </c>
      <c r="H2614" s="2">
        <v>0</v>
      </c>
      <c r="I2614" s="2">
        <v>0</v>
      </c>
      <c r="J2614" s="2">
        <v>0</v>
      </c>
      <c r="K2614" s="2">
        <v>0</v>
      </c>
      <c r="L2614" s="2">
        <v>0</v>
      </c>
      <c r="M2614" s="2">
        <v>0</v>
      </c>
      <c r="N2614" s="2">
        <v>0</v>
      </c>
      <c r="O2614" s="2">
        <v>0</v>
      </c>
      <c r="P2614" s="2">
        <v>0</v>
      </c>
      <c r="Q2614" s="2">
        <v>0</v>
      </c>
      <c r="R2614" s="2">
        <v>0</v>
      </c>
      <c r="S2614" s="2" t="s">
        <v>488</v>
      </c>
      <c r="T2614" s="2" t="s">
        <v>488</v>
      </c>
      <c r="U2614" s="2" t="s">
        <v>488</v>
      </c>
      <c r="V2614" s="2" t="s">
        <v>488</v>
      </c>
      <c r="W2614">
        <f t="shared" si="42"/>
        <v>0</v>
      </c>
    </row>
    <row r="2615" spans="1:23" x14ac:dyDescent="0.25">
      <c r="A2615" s="255" t="s">
        <v>1380</v>
      </c>
      <c r="B2615" s="255" t="s">
        <v>921</v>
      </c>
      <c r="C2615" s="255"/>
      <c r="D2615" s="255"/>
      <c r="E2615" s="255" t="s">
        <v>53</v>
      </c>
      <c r="F2615" s="255"/>
      <c r="G2615" s="255"/>
      <c r="H2615" s="255">
        <v>4</v>
      </c>
      <c r="I2615" s="255">
        <v>7</v>
      </c>
      <c r="J2615" s="255">
        <v>2</v>
      </c>
      <c r="K2615" s="255">
        <v>0</v>
      </c>
      <c r="L2615" s="255">
        <v>0</v>
      </c>
      <c r="M2615" s="255">
        <v>9</v>
      </c>
      <c r="N2615" s="255">
        <v>13</v>
      </c>
      <c r="O2615" s="255">
        <v>0</v>
      </c>
      <c r="P2615" s="255">
        <v>0</v>
      </c>
      <c r="Q2615" s="255">
        <v>1</v>
      </c>
      <c r="R2615" s="255">
        <v>0</v>
      </c>
      <c r="S2615" s="255" t="s">
        <v>488</v>
      </c>
      <c r="T2615" s="255" t="s">
        <v>488</v>
      </c>
      <c r="U2615" s="255" t="s">
        <v>488</v>
      </c>
      <c r="V2615" s="255" t="s">
        <v>488</v>
      </c>
      <c r="W2615">
        <f t="shared" si="42"/>
        <v>13</v>
      </c>
    </row>
    <row r="2616" spans="1:23" x14ac:dyDescent="0.25">
      <c r="A2616" s="2" t="s">
        <v>1380</v>
      </c>
      <c r="B2616" s="2" t="s">
        <v>921</v>
      </c>
      <c r="C2616" s="2">
        <v>540129</v>
      </c>
      <c r="D2616" s="2" t="s">
        <v>767</v>
      </c>
      <c r="E2616" s="2" t="s">
        <v>55</v>
      </c>
      <c r="F2616" s="2" t="s">
        <v>5</v>
      </c>
      <c r="G2616" s="2">
        <v>8</v>
      </c>
      <c r="H2616" s="2">
        <v>0</v>
      </c>
      <c r="I2616" s="2">
        <v>0</v>
      </c>
      <c r="J2616" s="2">
        <v>0</v>
      </c>
      <c r="K2616" s="2">
        <v>0</v>
      </c>
      <c r="L2616" s="2">
        <v>0</v>
      </c>
      <c r="M2616" s="2">
        <v>0</v>
      </c>
      <c r="N2616" s="2">
        <v>0</v>
      </c>
      <c r="O2616" s="2">
        <v>0</v>
      </c>
      <c r="P2616" s="2">
        <v>0</v>
      </c>
      <c r="Q2616" s="2">
        <v>0</v>
      </c>
      <c r="R2616" s="2">
        <v>0</v>
      </c>
      <c r="S2616" s="2" t="s">
        <v>488</v>
      </c>
      <c r="T2616" s="2" t="s">
        <v>488</v>
      </c>
      <c r="U2616" s="2" t="s">
        <v>488</v>
      </c>
      <c r="V2616" s="2" t="s">
        <v>488</v>
      </c>
      <c r="W2616">
        <f t="shared" si="42"/>
        <v>0</v>
      </c>
    </row>
    <row r="2617" spans="1:23" x14ac:dyDescent="0.25">
      <c r="A2617" s="2" t="s">
        <v>1380</v>
      </c>
      <c r="B2617" s="2" t="s">
        <v>921</v>
      </c>
      <c r="C2617" s="2">
        <v>540130</v>
      </c>
      <c r="D2617" s="2" t="s">
        <v>768</v>
      </c>
      <c r="E2617" s="2" t="s">
        <v>55</v>
      </c>
      <c r="F2617" s="2" t="s">
        <v>115</v>
      </c>
      <c r="G2617" s="2">
        <v>8</v>
      </c>
      <c r="H2617" s="2">
        <v>0</v>
      </c>
      <c r="I2617" s="2">
        <v>0</v>
      </c>
      <c r="J2617" s="2">
        <v>0</v>
      </c>
      <c r="K2617" s="2">
        <v>0</v>
      </c>
      <c r="L2617" s="2">
        <v>0</v>
      </c>
      <c r="M2617" s="2">
        <v>0</v>
      </c>
      <c r="N2617" s="2">
        <v>0</v>
      </c>
      <c r="O2617" s="2">
        <v>0</v>
      </c>
      <c r="P2617" s="2">
        <v>0</v>
      </c>
      <c r="Q2617" s="2">
        <v>0</v>
      </c>
      <c r="R2617" s="2">
        <v>0</v>
      </c>
      <c r="S2617" s="2" t="s">
        <v>488</v>
      </c>
      <c r="T2617" s="2" t="s">
        <v>488</v>
      </c>
      <c r="U2617" s="2" t="s">
        <v>488</v>
      </c>
      <c r="V2617" s="2" t="s">
        <v>488</v>
      </c>
      <c r="W2617">
        <f t="shared" si="42"/>
        <v>0</v>
      </c>
    </row>
    <row r="2618" spans="1:23" x14ac:dyDescent="0.25">
      <c r="A2618" s="2" t="s">
        <v>1380</v>
      </c>
      <c r="B2618" s="2" t="s">
        <v>921</v>
      </c>
      <c r="C2618" s="2">
        <v>540131</v>
      </c>
      <c r="D2618" s="2" t="s">
        <v>769</v>
      </c>
      <c r="E2618" s="2" t="s">
        <v>55</v>
      </c>
      <c r="F2618" s="2" t="s">
        <v>115</v>
      </c>
      <c r="G2618" s="2">
        <v>8</v>
      </c>
      <c r="H2618" s="2">
        <v>0</v>
      </c>
      <c r="I2618" s="2">
        <v>0</v>
      </c>
      <c r="J2618" s="2">
        <v>0</v>
      </c>
      <c r="K2618" s="2">
        <v>0</v>
      </c>
      <c r="L2618" s="2">
        <v>0</v>
      </c>
      <c r="M2618" s="2">
        <v>0</v>
      </c>
      <c r="N2618" s="2">
        <v>0</v>
      </c>
      <c r="O2618" s="2">
        <v>0</v>
      </c>
      <c r="P2618" s="2">
        <v>0</v>
      </c>
      <c r="Q2618" s="2">
        <v>0</v>
      </c>
      <c r="R2618" s="2">
        <v>0</v>
      </c>
      <c r="S2618" s="2" t="s">
        <v>488</v>
      </c>
      <c r="T2618" s="2" t="s">
        <v>488</v>
      </c>
      <c r="U2618" s="2" t="s">
        <v>488</v>
      </c>
      <c r="V2618" s="2" t="s">
        <v>488</v>
      </c>
      <c r="W2618">
        <f t="shared" si="42"/>
        <v>0</v>
      </c>
    </row>
    <row r="2619" spans="1:23" x14ac:dyDescent="0.25">
      <c r="A2619" s="2" t="s">
        <v>1380</v>
      </c>
      <c r="B2619" s="2" t="s">
        <v>921</v>
      </c>
      <c r="C2619" s="2">
        <v>540155</v>
      </c>
      <c r="D2619" s="2" t="s">
        <v>770</v>
      </c>
      <c r="E2619" s="2" t="s">
        <v>55</v>
      </c>
      <c r="F2619" s="2" t="s">
        <v>115</v>
      </c>
      <c r="G2619" s="2">
        <v>8</v>
      </c>
      <c r="H2619" s="2">
        <v>0</v>
      </c>
      <c r="I2619" s="2">
        <v>0</v>
      </c>
      <c r="J2619" s="2">
        <v>0</v>
      </c>
      <c r="K2619" s="2">
        <v>0</v>
      </c>
      <c r="L2619" s="2">
        <v>0</v>
      </c>
      <c r="M2619" s="2">
        <v>0</v>
      </c>
      <c r="N2619" s="2">
        <v>0</v>
      </c>
      <c r="O2619" s="2">
        <v>0</v>
      </c>
      <c r="P2619" s="2">
        <v>0</v>
      </c>
      <c r="Q2619" s="2">
        <v>0</v>
      </c>
      <c r="R2619" s="2">
        <v>0</v>
      </c>
      <c r="S2619" s="2" t="s">
        <v>488</v>
      </c>
      <c r="T2619" s="2" t="s">
        <v>488</v>
      </c>
      <c r="U2619" s="2" t="s">
        <v>488</v>
      </c>
      <c r="V2619" s="2" t="s">
        <v>488</v>
      </c>
      <c r="W2619">
        <f t="shared" si="42"/>
        <v>0</v>
      </c>
    </row>
    <row r="2620" spans="1:23" x14ac:dyDescent="0.25">
      <c r="A2620" s="2" t="s">
        <v>1380</v>
      </c>
      <c r="B2620" s="2" t="s">
        <v>921</v>
      </c>
      <c r="C2620" s="2">
        <v>545555</v>
      </c>
      <c r="D2620" s="2" t="s">
        <v>771</v>
      </c>
      <c r="E2620" s="2" t="s">
        <v>55</v>
      </c>
      <c r="F2620" s="2" t="s">
        <v>115</v>
      </c>
      <c r="G2620" s="2">
        <v>8</v>
      </c>
      <c r="H2620" s="2">
        <v>0</v>
      </c>
      <c r="I2620" s="2">
        <v>0</v>
      </c>
      <c r="J2620" s="2">
        <v>0</v>
      </c>
      <c r="K2620" s="2">
        <v>0</v>
      </c>
      <c r="L2620" s="2">
        <v>0</v>
      </c>
      <c r="M2620" s="2">
        <v>0</v>
      </c>
      <c r="N2620" s="2">
        <v>0</v>
      </c>
      <c r="O2620" s="2">
        <v>0</v>
      </c>
      <c r="P2620" s="2">
        <v>0</v>
      </c>
      <c r="Q2620" s="2">
        <v>0</v>
      </c>
      <c r="R2620" s="2">
        <v>0</v>
      </c>
      <c r="S2620" s="2" t="s">
        <v>488</v>
      </c>
      <c r="T2620" s="2" t="s">
        <v>488</v>
      </c>
      <c r="U2620" s="2" t="s">
        <v>488</v>
      </c>
      <c r="V2620" s="2" t="s">
        <v>488</v>
      </c>
      <c r="W2620">
        <f t="shared" si="42"/>
        <v>0</v>
      </c>
    </row>
    <row r="2621" spans="1:23" x14ac:dyDescent="0.25">
      <c r="A2621" s="2" t="s">
        <v>1380</v>
      </c>
      <c r="B2621" s="2" t="s">
        <v>921</v>
      </c>
      <c r="C2621" s="2">
        <v>540091</v>
      </c>
      <c r="D2621" s="2" t="s">
        <v>772</v>
      </c>
      <c r="E2621" s="2" t="s">
        <v>55</v>
      </c>
      <c r="F2621" s="2" t="s">
        <v>115</v>
      </c>
      <c r="G2621" s="2">
        <v>8</v>
      </c>
      <c r="H2621" s="2">
        <v>0</v>
      </c>
      <c r="I2621" s="2">
        <v>0</v>
      </c>
      <c r="J2621" s="2">
        <v>0</v>
      </c>
      <c r="K2621" s="2">
        <v>0</v>
      </c>
      <c r="L2621" s="2">
        <v>0</v>
      </c>
      <c r="M2621" s="2">
        <v>0</v>
      </c>
      <c r="N2621" s="2">
        <v>0</v>
      </c>
      <c r="O2621" s="2">
        <v>0</v>
      </c>
      <c r="P2621" s="2">
        <v>0</v>
      </c>
      <c r="Q2621" s="2">
        <v>0</v>
      </c>
      <c r="R2621" s="2">
        <v>0</v>
      </c>
      <c r="S2621" s="2" t="s">
        <v>488</v>
      </c>
      <c r="T2621" s="2" t="s">
        <v>488</v>
      </c>
      <c r="U2621" s="2" t="s">
        <v>488</v>
      </c>
      <c r="V2621" s="2" t="s">
        <v>488</v>
      </c>
      <c r="W2621">
        <f t="shared" si="42"/>
        <v>0</v>
      </c>
    </row>
    <row r="2622" spans="1:23" x14ac:dyDescent="0.25">
      <c r="A2622" s="255" t="s">
        <v>1380</v>
      </c>
      <c r="B2622" s="255" t="s">
        <v>921</v>
      </c>
      <c r="C2622" s="255"/>
      <c r="D2622" s="255"/>
      <c r="E2622" s="255" t="s">
        <v>55</v>
      </c>
      <c r="F2622" s="255"/>
      <c r="G2622" s="255"/>
      <c r="H2622" s="255">
        <v>0</v>
      </c>
      <c r="I2622" s="255">
        <v>0</v>
      </c>
      <c r="J2622" s="255">
        <v>0</v>
      </c>
      <c r="K2622" s="255">
        <v>0</v>
      </c>
      <c r="L2622" s="255">
        <v>0</v>
      </c>
      <c r="M2622" s="255">
        <v>0</v>
      </c>
      <c r="N2622" s="255">
        <v>0</v>
      </c>
      <c r="O2622" s="255">
        <v>0</v>
      </c>
      <c r="P2622" s="255">
        <v>0</v>
      </c>
      <c r="Q2622" s="255">
        <v>0</v>
      </c>
      <c r="R2622" s="255">
        <v>0</v>
      </c>
      <c r="S2622" s="255" t="s">
        <v>488</v>
      </c>
      <c r="T2622" s="255" t="s">
        <v>488</v>
      </c>
      <c r="U2622" s="255" t="s">
        <v>488</v>
      </c>
      <c r="V2622" s="255" t="s">
        <v>488</v>
      </c>
      <c r="W2622">
        <f t="shared" si="42"/>
        <v>0</v>
      </c>
    </row>
    <row r="2623" spans="1:23" x14ac:dyDescent="0.25">
      <c r="A2623" s="2" t="s">
        <v>1380</v>
      </c>
      <c r="B2623" s="2" t="s">
        <v>921</v>
      </c>
      <c r="C2623" s="2">
        <v>540133</v>
      </c>
      <c r="D2623" s="2" t="s">
        <v>773</v>
      </c>
      <c r="E2623" s="2" t="s">
        <v>57</v>
      </c>
      <c r="F2623" s="2" t="s">
        <v>5</v>
      </c>
      <c r="G2623" s="2">
        <v>2</v>
      </c>
      <c r="H2623" s="2">
        <v>5</v>
      </c>
      <c r="I2623" s="2">
        <v>9</v>
      </c>
      <c r="J2623" s="2">
        <v>1</v>
      </c>
      <c r="K2623" s="2">
        <v>0</v>
      </c>
      <c r="L2623" s="2">
        <v>0</v>
      </c>
      <c r="M2623" s="2">
        <v>10</v>
      </c>
      <c r="N2623" s="2">
        <v>15</v>
      </c>
      <c r="O2623" s="2">
        <v>0</v>
      </c>
      <c r="P2623" s="2">
        <v>0</v>
      </c>
      <c r="Q2623" s="2">
        <v>1</v>
      </c>
      <c r="R2623" s="2">
        <v>0</v>
      </c>
      <c r="S2623" s="2" t="s">
        <v>488</v>
      </c>
      <c r="T2623" s="2" t="s">
        <v>488</v>
      </c>
      <c r="U2623" s="2" t="s">
        <v>488</v>
      </c>
      <c r="V2623" s="2" t="s">
        <v>488</v>
      </c>
      <c r="W2623">
        <f t="shared" si="42"/>
        <v>15</v>
      </c>
    </row>
    <row r="2624" spans="1:23" x14ac:dyDescent="0.25">
      <c r="A2624" s="2" t="s">
        <v>1380</v>
      </c>
      <c r="B2624" s="2" t="s">
        <v>921</v>
      </c>
      <c r="C2624" s="2">
        <v>540134</v>
      </c>
      <c r="D2624" s="2" t="s">
        <v>774</v>
      </c>
      <c r="E2624" s="2" t="s">
        <v>57</v>
      </c>
      <c r="F2624" s="2" t="s">
        <v>115</v>
      </c>
      <c r="G2624" s="2">
        <v>2</v>
      </c>
      <c r="H2624" s="2">
        <v>0</v>
      </c>
      <c r="I2624" s="2">
        <v>2</v>
      </c>
      <c r="J2624" s="2">
        <v>0</v>
      </c>
      <c r="K2624" s="2">
        <v>0</v>
      </c>
      <c r="L2624" s="2">
        <v>0</v>
      </c>
      <c r="M2624" s="2">
        <v>2</v>
      </c>
      <c r="N2624" s="2">
        <v>2</v>
      </c>
      <c r="O2624" s="2">
        <v>0</v>
      </c>
      <c r="P2624" s="2">
        <v>0</v>
      </c>
      <c r="Q2624" s="2">
        <v>0</v>
      </c>
      <c r="R2624" s="2">
        <v>0</v>
      </c>
      <c r="S2624" s="2" t="s">
        <v>488</v>
      </c>
      <c r="T2624" s="2" t="s">
        <v>488</v>
      </c>
      <c r="U2624" s="2" t="s">
        <v>488</v>
      </c>
      <c r="V2624" s="2" t="s">
        <v>488</v>
      </c>
      <c r="W2624">
        <f t="shared" si="42"/>
        <v>2</v>
      </c>
    </row>
    <row r="2625" spans="1:23" x14ac:dyDescent="0.25">
      <c r="A2625" s="2" t="s">
        <v>1380</v>
      </c>
      <c r="B2625" s="2" t="s">
        <v>921</v>
      </c>
      <c r="C2625" s="2">
        <v>540135</v>
      </c>
      <c r="D2625" s="2" t="s">
        <v>775</v>
      </c>
      <c r="E2625" s="2" t="s">
        <v>57</v>
      </c>
      <c r="F2625" s="2" t="s">
        <v>115</v>
      </c>
      <c r="G2625" s="2">
        <v>2</v>
      </c>
      <c r="H2625" s="2">
        <v>0</v>
      </c>
      <c r="I2625" s="2">
        <v>1</v>
      </c>
      <c r="J2625" s="2">
        <v>0</v>
      </c>
      <c r="K2625" s="2">
        <v>0</v>
      </c>
      <c r="L2625" s="2">
        <v>0</v>
      </c>
      <c r="M2625" s="2">
        <v>1</v>
      </c>
      <c r="N2625" s="2">
        <v>1</v>
      </c>
      <c r="O2625" s="2">
        <v>0</v>
      </c>
      <c r="P2625" s="2">
        <v>0</v>
      </c>
      <c r="Q2625" s="2">
        <v>0</v>
      </c>
      <c r="R2625" s="2">
        <v>0</v>
      </c>
      <c r="S2625" s="2" t="s">
        <v>488</v>
      </c>
      <c r="T2625" s="2" t="s">
        <v>488</v>
      </c>
      <c r="U2625" s="2" t="s">
        <v>488</v>
      </c>
      <c r="V2625" s="2" t="s">
        <v>488</v>
      </c>
      <c r="W2625">
        <f t="shared" si="42"/>
        <v>1</v>
      </c>
    </row>
    <row r="2626" spans="1:23" x14ac:dyDescent="0.25">
      <c r="A2626" s="2" t="s">
        <v>1380</v>
      </c>
      <c r="B2626" s="2" t="s">
        <v>921</v>
      </c>
      <c r="C2626" s="2">
        <v>540136</v>
      </c>
      <c r="D2626" s="2" t="s">
        <v>776</v>
      </c>
      <c r="E2626" s="2" t="s">
        <v>57</v>
      </c>
      <c r="F2626" s="2" t="s">
        <v>115</v>
      </c>
      <c r="G2626" s="2">
        <v>2</v>
      </c>
      <c r="H2626" s="2">
        <v>0</v>
      </c>
      <c r="I2626" s="2">
        <v>1</v>
      </c>
      <c r="J2626" s="2">
        <v>0</v>
      </c>
      <c r="K2626" s="2">
        <v>0</v>
      </c>
      <c r="L2626" s="2">
        <v>0</v>
      </c>
      <c r="M2626" s="2">
        <v>1</v>
      </c>
      <c r="N2626" s="2">
        <v>1</v>
      </c>
      <c r="O2626" s="2">
        <v>0</v>
      </c>
      <c r="P2626" s="2">
        <v>0</v>
      </c>
      <c r="Q2626" s="2">
        <v>0</v>
      </c>
      <c r="R2626" s="2">
        <v>0</v>
      </c>
      <c r="S2626" s="2" t="s">
        <v>488</v>
      </c>
      <c r="T2626" s="2" t="s">
        <v>488</v>
      </c>
      <c r="U2626" s="2" t="s">
        <v>488</v>
      </c>
      <c r="V2626" s="2" t="s">
        <v>488</v>
      </c>
      <c r="W2626">
        <f t="shared" si="42"/>
        <v>1</v>
      </c>
    </row>
    <row r="2627" spans="1:23" x14ac:dyDescent="0.25">
      <c r="A2627" s="2" t="s">
        <v>1380</v>
      </c>
      <c r="B2627" s="2" t="s">
        <v>921</v>
      </c>
      <c r="C2627" s="2">
        <v>540138</v>
      </c>
      <c r="D2627" s="2" t="s">
        <v>777</v>
      </c>
      <c r="E2627" s="2" t="s">
        <v>57</v>
      </c>
      <c r="F2627" s="2" t="s">
        <v>115</v>
      </c>
      <c r="G2627" s="2">
        <v>2</v>
      </c>
      <c r="H2627" s="2">
        <v>0</v>
      </c>
      <c r="I2627" s="2">
        <v>2</v>
      </c>
      <c r="J2627" s="2">
        <v>0</v>
      </c>
      <c r="K2627" s="2">
        <v>0</v>
      </c>
      <c r="L2627" s="2">
        <v>0</v>
      </c>
      <c r="M2627" s="2">
        <v>2</v>
      </c>
      <c r="N2627" s="2">
        <v>2</v>
      </c>
      <c r="O2627" s="2">
        <v>0</v>
      </c>
      <c r="P2627" s="2">
        <v>0</v>
      </c>
      <c r="Q2627" s="2">
        <v>0</v>
      </c>
      <c r="R2627" s="2">
        <v>0</v>
      </c>
      <c r="S2627" s="2" t="s">
        <v>488</v>
      </c>
      <c r="T2627" s="2" t="s">
        <v>488</v>
      </c>
      <c r="U2627" s="2" t="s">
        <v>488</v>
      </c>
      <c r="V2627" s="2" t="s">
        <v>488</v>
      </c>
      <c r="W2627">
        <f t="shared" ref="W2627:W2690" si="43">SUM(N2627,P2627,R2627,T2627)</f>
        <v>2</v>
      </c>
    </row>
    <row r="2628" spans="1:23" x14ac:dyDescent="0.25">
      <c r="A2628" s="2" t="s">
        <v>1380</v>
      </c>
      <c r="B2628" s="2" t="s">
        <v>921</v>
      </c>
      <c r="C2628" s="2">
        <v>545538</v>
      </c>
      <c r="D2628" s="2" t="s">
        <v>778</v>
      </c>
      <c r="E2628" s="2" t="s">
        <v>57</v>
      </c>
      <c r="F2628" s="2" t="s">
        <v>115</v>
      </c>
      <c r="G2628" s="2">
        <v>2</v>
      </c>
      <c r="H2628" s="2">
        <v>0</v>
      </c>
      <c r="I2628" s="2">
        <v>0</v>
      </c>
      <c r="J2628" s="2">
        <v>0</v>
      </c>
      <c r="K2628" s="2">
        <v>0</v>
      </c>
      <c r="L2628" s="2">
        <v>0</v>
      </c>
      <c r="M2628" s="2">
        <v>0</v>
      </c>
      <c r="N2628" s="2">
        <v>0</v>
      </c>
      <c r="O2628" s="2">
        <v>0</v>
      </c>
      <c r="P2628" s="2">
        <v>0</v>
      </c>
      <c r="Q2628" s="2">
        <v>0</v>
      </c>
      <c r="R2628" s="2">
        <v>0</v>
      </c>
      <c r="S2628" s="2" t="s">
        <v>488</v>
      </c>
      <c r="T2628" s="2" t="s">
        <v>488</v>
      </c>
      <c r="U2628" s="2" t="s">
        <v>488</v>
      </c>
      <c r="V2628" s="2" t="s">
        <v>488</v>
      </c>
      <c r="W2628">
        <f t="shared" si="43"/>
        <v>0</v>
      </c>
    </row>
    <row r="2629" spans="1:23" x14ac:dyDescent="0.25">
      <c r="A2629" s="255" t="s">
        <v>1380</v>
      </c>
      <c r="B2629" s="255" t="s">
        <v>921</v>
      </c>
      <c r="C2629" s="255"/>
      <c r="D2629" s="255"/>
      <c r="E2629" s="255" t="s">
        <v>57</v>
      </c>
      <c r="F2629" s="255"/>
      <c r="G2629" s="255"/>
      <c r="H2629" s="255">
        <v>5</v>
      </c>
      <c r="I2629" s="255">
        <v>15</v>
      </c>
      <c r="J2629" s="255">
        <v>1</v>
      </c>
      <c r="K2629" s="255">
        <v>0</v>
      </c>
      <c r="L2629" s="255">
        <v>0</v>
      </c>
      <c r="M2629" s="255">
        <v>16</v>
      </c>
      <c r="N2629" s="255">
        <v>21</v>
      </c>
      <c r="O2629" s="255">
        <v>0</v>
      </c>
      <c r="P2629" s="255">
        <v>0</v>
      </c>
      <c r="Q2629" s="255">
        <v>1</v>
      </c>
      <c r="R2629" s="255">
        <v>0</v>
      </c>
      <c r="S2629" s="255" t="s">
        <v>488</v>
      </c>
      <c r="T2629" s="255" t="s">
        <v>488</v>
      </c>
      <c r="U2629" s="255" t="s">
        <v>488</v>
      </c>
      <c r="V2629" s="255" t="s">
        <v>488</v>
      </c>
      <c r="W2629">
        <f t="shared" si="43"/>
        <v>21</v>
      </c>
    </row>
    <row r="2630" spans="1:23" x14ac:dyDescent="0.25">
      <c r="A2630" s="2" t="s">
        <v>1380</v>
      </c>
      <c r="B2630" s="2" t="s">
        <v>921</v>
      </c>
      <c r="C2630" s="2">
        <v>540139</v>
      </c>
      <c r="D2630" s="2" t="s">
        <v>779</v>
      </c>
      <c r="E2630" s="2" t="s">
        <v>59</v>
      </c>
      <c r="F2630" s="2" t="s">
        <v>5</v>
      </c>
      <c r="G2630" s="2">
        <v>6</v>
      </c>
      <c r="H2630" s="2">
        <v>0</v>
      </c>
      <c r="I2630" s="2">
        <v>0</v>
      </c>
      <c r="J2630" s="2">
        <v>0</v>
      </c>
      <c r="K2630" s="2">
        <v>0</v>
      </c>
      <c r="L2630" s="2">
        <v>0</v>
      </c>
      <c r="M2630" s="2">
        <v>0</v>
      </c>
      <c r="N2630" s="2">
        <v>0</v>
      </c>
      <c r="O2630" s="2">
        <v>0</v>
      </c>
      <c r="P2630" s="2">
        <v>0</v>
      </c>
      <c r="Q2630" s="2">
        <v>0</v>
      </c>
      <c r="R2630" s="2">
        <v>0</v>
      </c>
      <c r="S2630" s="2" t="s">
        <v>488</v>
      </c>
      <c r="T2630" s="2" t="s">
        <v>488</v>
      </c>
      <c r="U2630" s="2" t="s">
        <v>488</v>
      </c>
      <c r="V2630" s="2" t="s">
        <v>488</v>
      </c>
      <c r="W2630">
        <f t="shared" si="43"/>
        <v>0</v>
      </c>
    </row>
    <row r="2631" spans="1:23" x14ac:dyDescent="0.25">
      <c r="A2631" s="2" t="s">
        <v>1380</v>
      </c>
      <c r="B2631" s="2" t="s">
        <v>921</v>
      </c>
      <c r="C2631" s="2">
        <v>540140</v>
      </c>
      <c r="D2631" s="2" t="s">
        <v>780</v>
      </c>
      <c r="E2631" s="2" t="s">
        <v>59</v>
      </c>
      <c r="F2631" s="2" t="s">
        <v>115</v>
      </c>
      <c r="G2631" s="2">
        <v>6</v>
      </c>
      <c r="H2631" s="2">
        <v>0</v>
      </c>
      <c r="I2631" s="2">
        <v>0</v>
      </c>
      <c r="J2631" s="2">
        <v>0</v>
      </c>
      <c r="K2631" s="2">
        <v>0</v>
      </c>
      <c r="L2631" s="2">
        <v>0</v>
      </c>
      <c r="M2631" s="2">
        <v>0</v>
      </c>
      <c r="N2631" s="2">
        <v>0</v>
      </c>
      <c r="O2631" s="2">
        <v>0</v>
      </c>
      <c r="P2631" s="2">
        <v>0</v>
      </c>
      <c r="Q2631" s="2">
        <v>0</v>
      </c>
      <c r="R2631" s="2">
        <v>0</v>
      </c>
      <c r="S2631" s="2" t="s">
        <v>488</v>
      </c>
      <c r="T2631" s="2" t="s">
        <v>488</v>
      </c>
      <c r="U2631" s="2" t="s">
        <v>488</v>
      </c>
      <c r="V2631" s="2" t="s">
        <v>488</v>
      </c>
      <c r="W2631">
        <f t="shared" si="43"/>
        <v>0</v>
      </c>
    </row>
    <row r="2632" spans="1:23" x14ac:dyDescent="0.25">
      <c r="A2632" s="2" t="s">
        <v>1380</v>
      </c>
      <c r="B2632" s="2" t="s">
        <v>921</v>
      </c>
      <c r="C2632" s="2">
        <v>540141</v>
      </c>
      <c r="D2632" s="2" t="s">
        <v>781</v>
      </c>
      <c r="E2632" s="2" t="s">
        <v>59</v>
      </c>
      <c r="F2632" s="2" t="s">
        <v>115</v>
      </c>
      <c r="G2632" s="2">
        <v>6</v>
      </c>
      <c r="H2632" s="2">
        <v>0</v>
      </c>
      <c r="I2632" s="2">
        <v>0</v>
      </c>
      <c r="J2632" s="2">
        <v>0</v>
      </c>
      <c r="K2632" s="2">
        <v>0</v>
      </c>
      <c r="L2632" s="2">
        <v>0</v>
      </c>
      <c r="M2632" s="2">
        <v>0</v>
      </c>
      <c r="N2632" s="2">
        <v>0</v>
      </c>
      <c r="O2632" s="2">
        <v>0</v>
      </c>
      <c r="P2632" s="2">
        <v>0</v>
      </c>
      <c r="Q2632" s="2">
        <v>0</v>
      </c>
      <c r="R2632" s="2">
        <v>0</v>
      </c>
      <c r="S2632" s="2" t="s">
        <v>488</v>
      </c>
      <c r="T2632" s="2" t="s">
        <v>488</v>
      </c>
      <c r="U2632" s="2" t="s">
        <v>488</v>
      </c>
      <c r="V2632" s="2" t="s">
        <v>488</v>
      </c>
      <c r="W2632">
        <f t="shared" si="43"/>
        <v>0</v>
      </c>
    </row>
    <row r="2633" spans="1:23" x14ac:dyDescent="0.25">
      <c r="A2633" s="2" t="s">
        <v>1380</v>
      </c>
      <c r="B2633" s="2" t="s">
        <v>921</v>
      </c>
      <c r="C2633" s="2">
        <v>540272</v>
      </c>
      <c r="D2633" s="2" t="s">
        <v>782</v>
      </c>
      <c r="E2633" s="2" t="s">
        <v>59</v>
      </c>
      <c r="F2633" s="2" t="s">
        <v>115</v>
      </c>
      <c r="G2633" s="2">
        <v>6</v>
      </c>
      <c r="H2633" s="2">
        <v>0</v>
      </c>
      <c r="I2633" s="2">
        <v>0</v>
      </c>
      <c r="J2633" s="2">
        <v>0</v>
      </c>
      <c r="K2633" s="2">
        <v>0</v>
      </c>
      <c r="L2633" s="2">
        <v>0</v>
      </c>
      <c r="M2633" s="2">
        <v>0</v>
      </c>
      <c r="N2633" s="2">
        <v>0</v>
      </c>
      <c r="O2633" s="2">
        <v>0</v>
      </c>
      <c r="P2633" s="2">
        <v>0</v>
      </c>
      <c r="Q2633" s="2">
        <v>0</v>
      </c>
      <c r="R2633" s="2">
        <v>0</v>
      </c>
      <c r="S2633" s="2" t="s">
        <v>488</v>
      </c>
      <c r="T2633" s="2" t="s">
        <v>488</v>
      </c>
      <c r="U2633" s="2" t="s">
        <v>488</v>
      </c>
      <c r="V2633" s="2" t="s">
        <v>488</v>
      </c>
      <c r="W2633">
        <f t="shared" si="43"/>
        <v>0</v>
      </c>
    </row>
    <row r="2634" spans="1:23" x14ac:dyDescent="0.25">
      <c r="A2634" s="2" t="s">
        <v>1380</v>
      </c>
      <c r="B2634" s="2" t="s">
        <v>921</v>
      </c>
      <c r="C2634" s="2">
        <v>540273</v>
      </c>
      <c r="D2634" s="2" t="s">
        <v>783</v>
      </c>
      <c r="E2634" s="2" t="s">
        <v>59</v>
      </c>
      <c r="F2634" s="2" t="s">
        <v>115</v>
      </c>
      <c r="G2634" s="2">
        <v>6</v>
      </c>
      <c r="H2634" s="2">
        <v>0</v>
      </c>
      <c r="I2634" s="2">
        <v>0</v>
      </c>
      <c r="J2634" s="2">
        <v>0</v>
      </c>
      <c r="K2634" s="2">
        <v>0</v>
      </c>
      <c r="L2634" s="2">
        <v>0</v>
      </c>
      <c r="M2634" s="2">
        <v>0</v>
      </c>
      <c r="N2634" s="2">
        <v>0</v>
      </c>
      <c r="O2634" s="2">
        <v>0</v>
      </c>
      <c r="P2634" s="2">
        <v>0</v>
      </c>
      <c r="Q2634" s="2">
        <v>0</v>
      </c>
      <c r="R2634" s="2">
        <v>0</v>
      </c>
      <c r="S2634" s="2" t="s">
        <v>488</v>
      </c>
      <c r="T2634" s="2" t="s">
        <v>488</v>
      </c>
      <c r="U2634" s="2" t="s">
        <v>488</v>
      </c>
      <c r="V2634" s="2" t="s">
        <v>488</v>
      </c>
      <c r="W2634">
        <f t="shared" si="43"/>
        <v>0</v>
      </c>
    </row>
    <row r="2635" spans="1:23" x14ac:dyDescent="0.25">
      <c r="A2635" s="2" t="s">
        <v>1380</v>
      </c>
      <c r="B2635" s="2" t="s">
        <v>921</v>
      </c>
      <c r="C2635" s="2">
        <v>540274</v>
      </c>
      <c r="D2635" s="2" t="s">
        <v>784</v>
      </c>
      <c r="E2635" s="2" t="s">
        <v>59</v>
      </c>
      <c r="F2635" s="2" t="s">
        <v>115</v>
      </c>
      <c r="G2635" s="2">
        <v>6</v>
      </c>
      <c r="H2635" s="2">
        <v>0</v>
      </c>
      <c r="I2635" s="2">
        <v>0</v>
      </c>
      <c r="J2635" s="2">
        <v>0</v>
      </c>
      <c r="K2635" s="2">
        <v>0</v>
      </c>
      <c r="L2635" s="2">
        <v>0</v>
      </c>
      <c r="M2635" s="2">
        <v>0</v>
      </c>
      <c r="N2635" s="2">
        <v>0</v>
      </c>
      <c r="O2635" s="2">
        <v>0</v>
      </c>
      <c r="P2635" s="2">
        <v>0</v>
      </c>
      <c r="Q2635" s="2">
        <v>0</v>
      </c>
      <c r="R2635" s="2">
        <v>0</v>
      </c>
      <c r="S2635" s="2" t="s">
        <v>488</v>
      </c>
      <c r="T2635" s="2" t="s">
        <v>488</v>
      </c>
      <c r="U2635" s="2" t="s">
        <v>488</v>
      </c>
      <c r="V2635" s="2" t="s">
        <v>488</v>
      </c>
      <c r="W2635">
        <f t="shared" si="43"/>
        <v>0</v>
      </c>
    </row>
    <row r="2636" spans="1:23" x14ac:dyDescent="0.25">
      <c r="A2636" s="255" t="s">
        <v>1380</v>
      </c>
      <c r="B2636" s="255" t="s">
        <v>921</v>
      </c>
      <c r="C2636" s="255"/>
      <c r="D2636" s="255"/>
      <c r="E2636" s="255" t="s">
        <v>59</v>
      </c>
      <c r="F2636" s="255"/>
      <c r="G2636" s="255"/>
      <c r="H2636" s="255">
        <v>0</v>
      </c>
      <c r="I2636" s="255">
        <v>0</v>
      </c>
      <c r="J2636" s="255">
        <v>0</v>
      </c>
      <c r="K2636" s="255">
        <v>0</v>
      </c>
      <c r="L2636" s="255">
        <v>0</v>
      </c>
      <c r="M2636" s="255">
        <v>0</v>
      </c>
      <c r="N2636" s="255">
        <v>0</v>
      </c>
      <c r="O2636" s="255">
        <v>0</v>
      </c>
      <c r="P2636" s="255">
        <v>0</v>
      </c>
      <c r="Q2636" s="255">
        <v>0</v>
      </c>
      <c r="R2636" s="255">
        <v>0</v>
      </c>
      <c r="S2636" s="255" t="s">
        <v>488</v>
      </c>
      <c r="T2636" s="255" t="s">
        <v>488</v>
      </c>
      <c r="U2636" s="255" t="s">
        <v>488</v>
      </c>
      <c r="V2636" s="255" t="s">
        <v>488</v>
      </c>
      <c r="W2636">
        <f t="shared" si="43"/>
        <v>0</v>
      </c>
    </row>
    <row r="2637" spans="1:23" x14ac:dyDescent="0.25">
      <c r="A2637" s="2" t="s">
        <v>1380</v>
      </c>
      <c r="B2637" s="2" t="s">
        <v>921</v>
      </c>
      <c r="C2637" s="2">
        <v>540144</v>
      </c>
      <c r="D2637" s="2" t="s">
        <v>785</v>
      </c>
      <c r="E2637" s="2" t="s">
        <v>61</v>
      </c>
      <c r="F2637" s="2" t="s">
        <v>5</v>
      </c>
      <c r="G2637" s="2">
        <v>9</v>
      </c>
      <c r="H2637" s="2">
        <v>0</v>
      </c>
      <c r="I2637" s="2">
        <v>0</v>
      </c>
      <c r="J2637" s="2">
        <v>0</v>
      </c>
      <c r="K2637" s="2">
        <v>0</v>
      </c>
      <c r="L2637" s="2">
        <v>0</v>
      </c>
      <c r="M2637" s="2">
        <v>0</v>
      </c>
      <c r="N2637" s="2">
        <v>0</v>
      </c>
      <c r="O2637" s="2">
        <v>0</v>
      </c>
      <c r="P2637" s="2">
        <v>0</v>
      </c>
      <c r="Q2637" s="2">
        <v>0</v>
      </c>
      <c r="R2637" s="2">
        <v>0</v>
      </c>
      <c r="S2637" s="2">
        <v>0</v>
      </c>
      <c r="T2637" s="2">
        <v>0</v>
      </c>
      <c r="U2637" s="2" t="s">
        <v>488</v>
      </c>
      <c r="V2637" s="2" t="s">
        <v>488</v>
      </c>
      <c r="W2637">
        <f t="shared" si="43"/>
        <v>0</v>
      </c>
    </row>
    <row r="2638" spans="1:23" x14ac:dyDescent="0.25">
      <c r="A2638" s="2" t="s">
        <v>1380</v>
      </c>
      <c r="B2638" s="2" t="s">
        <v>921</v>
      </c>
      <c r="C2638" s="2">
        <v>540005</v>
      </c>
      <c r="D2638" s="2" t="s">
        <v>786</v>
      </c>
      <c r="E2638" s="2" t="s">
        <v>61</v>
      </c>
      <c r="F2638" s="2" t="s">
        <v>115</v>
      </c>
      <c r="G2638" s="2">
        <v>9</v>
      </c>
      <c r="H2638" s="2">
        <v>0</v>
      </c>
      <c r="I2638" s="2">
        <v>3</v>
      </c>
      <c r="J2638" s="2">
        <v>0</v>
      </c>
      <c r="K2638" s="2">
        <v>0</v>
      </c>
      <c r="L2638" s="2">
        <v>0</v>
      </c>
      <c r="M2638" s="2">
        <v>3</v>
      </c>
      <c r="N2638" s="2">
        <v>3</v>
      </c>
      <c r="O2638" s="2">
        <v>0</v>
      </c>
      <c r="P2638" s="2">
        <v>0</v>
      </c>
      <c r="Q2638" s="2">
        <v>0</v>
      </c>
      <c r="R2638" s="2">
        <v>0</v>
      </c>
      <c r="S2638" s="2">
        <v>1</v>
      </c>
      <c r="T2638" s="2">
        <v>1</v>
      </c>
      <c r="U2638" s="2" t="s">
        <v>488</v>
      </c>
      <c r="V2638" s="2" t="s">
        <v>488</v>
      </c>
      <c r="W2638">
        <f t="shared" si="43"/>
        <v>4</v>
      </c>
    </row>
    <row r="2639" spans="1:23" x14ac:dyDescent="0.25">
      <c r="A2639" s="2" t="s">
        <v>1380</v>
      </c>
      <c r="B2639" s="2" t="s">
        <v>921</v>
      </c>
      <c r="C2639" s="2">
        <v>540252</v>
      </c>
      <c r="D2639" s="2" t="s">
        <v>787</v>
      </c>
      <c r="E2639" s="2" t="s">
        <v>61</v>
      </c>
      <c r="F2639" s="2" t="s">
        <v>115</v>
      </c>
      <c r="G2639" s="2">
        <v>9</v>
      </c>
      <c r="H2639" s="2">
        <v>0</v>
      </c>
      <c r="I2639" s="2">
        <v>0</v>
      </c>
      <c r="J2639" s="2">
        <v>0</v>
      </c>
      <c r="K2639" s="2">
        <v>0</v>
      </c>
      <c r="L2639" s="2">
        <v>0</v>
      </c>
      <c r="M2639" s="2">
        <v>0</v>
      </c>
      <c r="N2639" s="2">
        <v>0</v>
      </c>
      <c r="O2639" s="2">
        <v>0</v>
      </c>
      <c r="P2639" s="2">
        <v>0</v>
      </c>
      <c r="Q2639" s="2">
        <v>0</v>
      </c>
      <c r="R2639" s="2">
        <v>0</v>
      </c>
      <c r="S2639" s="2">
        <v>0</v>
      </c>
      <c r="T2639" s="2">
        <v>0</v>
      </c>
      <c r="U2639" s="2" t="s">
        <v>488</v>
      </c>
      <c r="V2639" s="2" t="s">
        <v>488</v>
      </c>
      <c r="W2639">
        <f t="shared" si="43"/>
        <v>0</v>
      </c>
    </row>
    <row r="2640" spans="1:23" x14ac:dyDescent="0.25">
      <c r="A2640" s="255" t="s">
        <v>1380</v>
      </c>
      <c r="B2640" s="255" t="s">
        <v>921</v>
      </c>
      <c r="C2640" s="255"/>
      <c r="D2640" s="255"/>
      <c r="E2640" s="255" t="s">
        <v>61</v>
      </c>
      <c r="F2640" s="255"/>
      <c r="G2640" s="255"/>
      <c r="H2640" s="255">
        <v>0</v>
      </c>
      <c r="I2640" s="255">
        <v>3</v>
      </c>
      <c r="J2640" s="255">
        <v>0</v>
      </c>
      <c r="K2640" s="255">
        <v>0</v>
      </c>
      <c r="L2640" s="255">
        <v>0</v>
      </c>
      <c r="M2640" s="255">
        <v>3</v>
      </c>
      <c r="N2640" s="255">
        <v>3</v>
      </c>
      <c r="O2640" s="255">
        <v>0</v>
      </c>
      <c r="P2640" s="255">
        <v>0</v>
      </c>
      <c r="Q2640" s="255">
        <v>0</v>
      </c>
      <c r="R2640" s="255">
        <v>0</v>
      </c>
      <c r="S2640" s="255">
        <v>1</v>
      </c>
      <c r="T2640" s="255">
        <v>1</v>
      </c>
      <c r="U2640" s="255" t="s">
        <v>488</v>
      </c>
      <c r="V2640" s="255" t="s">
        <v>488</v>
      </c>
      <c r="W2640">
        <f t="shared" si="43"/>
        <v>4</v>
      </c>
    </row>
    <row r="2641" spans="1:23" x14ac:dyDescent="0.25">
      <c r="A2641" s="2" t="s">
        <v>1380</v>
      </c>
      <c r="B2641" s="2" t="s">
        <v>921</v>
      </c>
      <c r="C2641" s="2">
        <v>540146</v>
      </c>
      <c r="D2641" s="2" t="s">
        <v>788</v>
      </c>
      <c r="E2641" s="2" t="s">
        <v>63</v>
      </c>
      <c r="F2641" s="2" t="s">
        <v>5</v>
      </c>
      <c r="G2641" s="2">
        <v>4</v>
      </c>
      <c r="H2641" s="2">
        <v>9</v>
      </c>
      <c r="I2641" s="2">
        <v>0</v>
      </c>
      <c r="J2641" s="2">
        <v>0</v>
      </c>
      <c r="K2641" s="2">
        <v>0</v>
      </c>
      <c r="L2641" s="2">
        <v>0</v>
      </c>
      <c r="M2641" s="2">
        <v>0</v>
      </c>
      <c r="N2641" s="2">
        <v>9</v>
      </c>
      <c r="O2641" s="2">
        <v>0</v>
      </c>
      <c r="P2641" s="2">
        <v>0</v>
      </c>
      <c r="Q2641" s="2" t="s">
        <v>488</v>
      </c>
      <c r="R2641" s="2" t="s">
        <v>488</v>
      </c>
      <c r="S2641" s="2" t="s">
        <v>488</v>
      </c>
      <c r="T2641" s="2" t="s">
        <v>488</v>
      </c>
      <c r="U2641" s="2" t="s">
        <v>488</v>
      </c>
      <c r="V2641" s="2" t="s">
        <v>488</v>
      </c>
      <c r="W2641">
        <f t="shared" si="43"/>
        <v>9</v>
      </c>
    </row>
    <row r="2642" spans="1:23" x14ac:dyDescent="0.25">
      <c r="A2642" s="2" t="s">
        <v>1380</v>
      </c>
      <c r="B2642" s="2" t="s">
        <v>921</v>
      </c>
      <c r="C2642" s="2">
        <v>540147</v>
      </c>
      <c r="D2642" s="2" t="s">
        <v>789</v>
      </c>
      <c r="E2642" s="2" t="s">
        <v>63</v>
      </c>
      <c r="F2642" s="2" t="s">
        <v>115</v>
      </c>
      <c r="G2642" s="2">
        <v>4</v>
      </c>
      <c r="H2642" s="2">
        <v>0</v>
      </c>
      <c r="I2642" s="2">
        <v>3</v>
      </c>
      <c r="J2642" s="2">
        <v>1</v>
      </c>
      <c r="K2642" s="2">
        <v>0</v>
      </c>
      <c r="L2642" s="2">
        <v>0</v>
      </c>
      <c r="M2642" s="2">
        <v>4</v>
      </c>
      <c r="N2642" s="2">
        <v>4</v>
      </c>
      <c r="O2642" s="2">
        <v>1</v>
      </c>
      <c r="P2642" s="2">
        <v>0</v>
      </c>
      <c r="Q2642" s="2" t="s">
        <v>488</v>
      </c>
      <c r="R2642" s="2" t="s">
        <v>488</v>
      </c>
      <c r="S2642" s="2" t="s">
        <v>488</v>
      </c>
      <c r="T2642" s="2" t="s">
        <v>488</v>
      </c>
      <c r="U2642" s="2" t="s">
        <v>488</v>
      </c>
      <c r="V2642" s="2" t="s">
        <v>488</v>
      </c>
      <c r="W2642">
        <f t="shared" si="43"/>
        <v>4</v>
      </c>
    </row>
    <row r="2643" spans="1:23" x14ac:dyDescent="0.25">
      <c r="A2643" s="2" t="s">
        <v>1380</v>
      </c>
      <c r="B2643" s="2" t="s">
        <v>921</v>
      </c>
      <c r="C2643" s="2">
        <v>540148</v>
      </c>
      <c r="D2643" s="2" t="s">
        <v>790</v>
      </c>
      <c r="E2643" s="2" t="s">
        <v>63</v>
      </c>
      <c r="F2643" s="2" t="s">
        <v>115</v>
      </c>
      <c r="G2643" s="2">
        <v>4</v>
      </c>
      <c r="H2643" s="2">
        <v>1</v>
      </c>
      <c r="I2643" s="2">
        <v>0</v>
      </c>
      <c r="J2643" s="2">
        <v>0</v>
      </c>
      <c r="K2643" s="2">
        <v>0</v>
      </c>
      <c r="L2643" s="2">
        <v>0</v>
      </c>
      <c r="M2643" s="2">
        <v>0</v>
      </c>
      <c r="N2643" s="2">
        <v>1</v>
      </c>
      <c r="O2643" s="2">
        <v>0</v>
      </c>
      <c r="P2643" s="2">
        <v>0</v>
      </c>
      <c r="Q2643" s="2" t="s">
        <v>488</v>
      </c>
      <c r="R2643" s="2" t="s">
        <v>488</v>
      </c>
      <c r="S2643" s="2" t="s">
        <v>488</v>
      </c>
      <c r="T2643" s="2" t="s">
        <v>488</v>
      </c>
      <c r="U2643" s="2" t="s">
        <v>488</v>
      </c>
      <c r="V2643" s="2" t="s">
        <v>488</v>
      </c>
      <c r="W2643">
        <f t="shared" si="43"/>
        <v>1</v>
      </c>
    </row>
    <row r="2644" spans="1:23" x14ac:dyDescent="0.25">
      <c r="A2644" s="255" t="s">
        <v>1380</v>
      </c>
      <c r="B2644" s="255" t="s">
        <v>921</v>
      </c>
      <c r="C2644" s="255"/>
      <c r="D2644" s="255"/>
      <c r="E2644" s="255" t="s">
        <v>63</v>
      </c>
      <c r="F2644" s="255"/>
      <c r="G2644" s="255"/>
      <c r="H2644" s="255">
        <v>10</v>
      </c>
      <c r="I2644" s="255">
        <v>3</v>
      </c>
      <c r="J2644" s="255">
        <v>1</v>
      </c>
      <c r="K2644" s="255">
        <v>0</v>
      </c>
      <c r="L2644" s="255">
        <v>0</v>
      </c>
      <c r="M2644" s="255">
        <v>4</v>
      </c>
      <c r="N2644" s="255">
        <v>14</v>
      </c>
      <c r="O2644" s="255">
        <v>1</v>
      </c>
      <c r="P2644" s="255">
        <v>0</v>
      </c>
      <c r="Q2644" s="255" t="s">
        <v>488</v>
      </c>
      <c r="R2644" s="255" t="s">
        <v>488</v>
      </c>
      <c r="S2644" s="255" t="s">
        <v>488</v>
      </c>
      <c r="T2644" s="255" t="s">
        <v>488</v>
      </c>
      <c r="U2644" s="255" t="s">
        <v>488</v>
      </c>
      <c r="V2644" s="255" t="s">
        <v>488</v>
      </c>
      <c r="W2644">
        <f t="shared" si="43"/>
        <v>14</v>
      </c>
    </row>
    <row r="2645" spans="1:23" x14ac:dyDescent="0.25">
      <c r="A2645" s="2" t="s">
        <v>1380</v>
      </c>
      <c r="B2645" s="2" t="s">
        <v>921</v>
      </c>
      <c r="C2645" s="2">
        <v>540149</v>
      </c>
      <c r="D2645" s="2" t="s">
        <v>791</v>
      </c>
      <c r="E2645" s="2" t="s">
        <v>65</v>
      </c>
      <c r="F2645" s="2" t="s">
        <v>5</v>
      </c>
      <c r="G2645" s="2">
        <v>10</v>
      </c>
      <c r="H2645" s="2">
        <v>3</v>
      </c>
      <c r="I2645" s="2">
        <v>0</v>
      </c>
      <c r="J2645" s="2">
        <v>0</v>
      </c>
      <c r="K2645" s="2">
        <v>0</v>
      </c>
      <c r="L2645" s="2">
        <v>0</v>
      </c>
      <c r="M2645" s="2">
        <v>0</v>
      </c>
      <c r="N2645" s="2">
        <v>3</v>
      </c>
      <c r="O2645" s="2">
        <v>0</v>
      </c>
      <c r="P2645" s="2">
        <v>0</v>
      </c>
      <c r="Q2645" s="2">
        <v>2</v>
      </c>
      <c r="R2645" s="2">
        <v>0</v>
      </c>
      <c r="S2645" s="2" t="s">
        <v>488</v>
      </c>
      <c r="T2645" s="2" t="s">
        <v>488</v>
      </c>
      <c r="U2645" s="2" t="s">
        <v>488</v>
      </c>
      <c r="V2645" s="2" t="s">
        <v>488</v>
      </c>
      <c r="W2645">
        <f t="shared" si="43"/>
        <v>3</v>
      </c>
    </row>
    <row r="2646" spans="1:23" x14ac:dyDescent="0.25">
      <c r="A2646" s="2" t="s">
        <v>1380</v>
      </c>
      <c r="B2646" s="2" t="s">
        <v>921</v>
      </c>
      <c r="C2646" s="2">
        <v>540080</v>
      </c>
      <c r="D2646" s="2" t="s">
        <v>792</v>
      </c>
      <c r="E2646" s="2" t="s">
        <v>65</v>
      </c>
      <c r="F2646" s="2" t="s">
        <v>115</v>
      </c>
      <c r="G2646" s="2">
        <v>10</v>
      </c>
      <c r="H2646" s="2">
        <v>0</v>
      </c>
      <c r="I2646" s="2">
        <v>0</v>
      </c>
      <c r="J2646" s="2">
        <v>0</v>
      </c>
      <c r="K2646" s="2">
        <v>0</v>
      </c>
      <c r="L2646" s="2">
        <v>0</v>
      </c>
      <c r="M2646" s="2">
        <v>0</v>
      </c>
      <c r="N2646" s="2">
        <v>0</v>
      </c>
      <c r="O2646" s="2">
        <v>0</v>
      </c>
      <c r="P2646" s="2">
        <v>0</v>
      </c>
      <c r="Q2646" s="2">
        <v>0</v>
      </c>
      <c r="R2646" s="2">
        <v>0</v>
      </c>
      <c r="S2646" s="2" t="s">
        <v>488</v>
      </c>
      <c r="T2646" s="2" t="s">
        <v>488</v>
      </c>
      <c r="U2646" s="2" t="s">
        <v>488</v>
      </c>
      <c r="V2646" s="2" t="s">
        <v>488</v>
      </c>
      <c r="W2646">
        <f t="shared" si="43"/>
        <v>0</v>
      </c>
    </row>
    <row r="2647" spans="1:23" x14ac:dyDescent="0.25">
      <c r="A2647" s="2" t="s">
        <v>1380</v>
      </c>
      <c r="B2647" s="2" t="s">
        <v>921</v>
      </c>
      <c r="C2647" s="2">
        <v>540094</v>
      </c>
      <c r="D2647" s="2" t="s">
        <v>793</v>
      </c>
      <c r="E2647" s="2" t="s">
        <v>65</v>
      </c>
      <c r="F2647" s="2" t="s">
        <v>115</v>
      </c>
      <c r="G2647" s="2">
        <v>10</v>
      </c>
      <c r="H2647" s="2">
        <v>0</v>
      </c>
      <c r="I2647" s="2">
        <v>0</v>
      </c>
      <c r="J2647" s="2">
        <v>0</v>
      </c>
      <c r="K2647" s="2">
        <v>0</v>
      </c>
      <c r="L2647" s="2">
        <v>0</v>
      </c>
      <c r="M2647" s="2">
        <v>0</v>
      </c>
      <c r="N2647" s="2">
        <v>0</v>
      </c>
      <c r="O2647" s="2">
        <v>0</v>
      </c>
      <c r="P2647" s="2">
        <v>0</v>
      </c>
      <c r="Q2647" s="2">
        <v>0</v>
      </c>
      <c r="R2647" s="2">
        <v>0</v>
      </c>
      <c r="S2647" s="2" t="s">
        <v>488</v>
      </c>
      <c r="T2647" s="2" t="s">
        <v>488</v>
      </c>
      <c r="U2647" s="2" t="s">
        <v>488</v>
      </c>
      <c r="V2647" s="2" t="s">
        <v>488</v>
      </c>
      <c r="W2647">
        <f t="shared" si="43"/>
        <v>0</v>
      </c>
    </row>
    <row r="2648" spans="1:23" x14ac:dyDescent="0.25">
      <c r="A2648" s="2" t="s">
        <v>1380</v>
      </c>
      <c r="B2648" s="2" t="s">
        <v>921</v>
      </c>
      <c r="C2648" s="2">
        <v>540150</v>
      </c>
      <c r="D2648" s="2" t="s">
        <v>794</v>
      </c>
      <c r="E2648" s="2" t="s">
        <v>65</v>
      </c>
      <c r="F2648" s="2" t="s">
        <v>115</v>
      </c>
      <c r="G2648" s="2">
        <v>10</v>
      </c>
      <c r="H2648" s="2">
        <v>0</v>
      </c>
      <c r="I2648" s="2">
        <v>0</v>
      </c>
      <c r="J2648" s="2">
        <v>0</v>
      </c>
      <c r="K2648" s="2">
        <v>0</v>
      </c>
      <c r="L2648" s="2">
        <v>0</v>
      </c>
      <c r="M2648" s="2">
        <v>0</v>
      </c>
      <c r="N2648" s="2">
        <v>0</v>
      </c>
      <c r="O2648" s="2">
        <v>0</v>
      </c>
      <c r="P2648" s="2">
        <v>0</v>
      </c>
      <c r="Q2648" s="2">
        <v>0</v>
      </c>
      <c r="R2648" s="2">
        <v>0</v>
      </c>
      <c r="S2648" s="2" t="s">
        <v>488</v>
      </c>
      <c r="T2648" s="2" t="s">
        <v>488</v>
      </c>
      <c r="U2648" s="2" t="s">
        <v>488</v>
      </c>
      <c r="V2648" s="2" t="s">
        <v>488</v>
      </c>
      <c r="W2648">
        <f t="shared" si="43"/>
        <v>0</v>
      </c>
    </row>
    <row r="2649" spans="1:23" x14ac:dyDescent="0.25">
      <c r="A2649" s="2" t="s">
        <v>1380</v>
      </c>
      <c r="B2649" s="2" t="s">
        <v>921</v>
      </c>
      <c r="C2649" s="2">
        <v>540151</v>
      </c>
      <c r="D2649" s="2" t="s">
        <v>795</v>
      </c>
      <c r="E2649" s="2" t="s">
        <v>65</v>
      </c>
      <c r="F2649" s="2" t="s">
        <v>115</v>
      </c>
      <c r="G2649" s="2">
        <v>10</v>
      </c>
      <c r="H2649" s="2">
        <v>0</v>
      </c>
      <c r="I2649" s="2">
        <v>0</v>
      </c>
      <c r="J2649" s="2">
        <v>0</v>
      </c>
      <c r="K2649" s="2">
        <v>0</v>
      </c>
      <c r="L2649" s="2">
        <v>0</v>
      </c>
      <c r="M2649" s="2">
        <v>0</v>
      </c>
      <c r="N2649" s="2">
        <v>0</v>
      </c>
      <c r="O2649" s="2">
        <v>0</v>
      </c>
      <c r="P2649" s="2">
        <v>0</v>
      </c>
      <c r="Q2649" s="2">
        <v>0</v>
      </c>
      <c r="R2649" s="2">
        <v>0</v>
      </c>
      <c r="S2649" s="2" t="s">
        <v>488</v>
      </c>
      <c r="T2649" s="2" t="s">
        <v>488</v>
      </c>
      <c r="U2649" s="2" t="s">
        <v>488</v>
      </c>
      <c r="V2649" s="2" t="s">
        <v>488</v>
      </c>
      <c r="W2649">
        <f t="shared" si="43"/>
        <v>0</v>
      </c>
    </row>
    <row r="2650" spans="1:23" x14ac:dyDescent="0.25">
      <c r="A2650" s="2" t="s">
        <v>1380</v>
      </c>
      <c r="B2650" s="2" t="s">
        <v>921</v>
      </c>
      <c r="C2650" s="2">
        <v>540152</v>
      </c>
      <c r="D2650" s="2" t="s">
        <v>741</v>
      </c>
      <c r="E2650" s="2" t="s">
        <v>65</v>
      </c>
      <c r="F2650" s="2" t="s">
        <v>115</v>
      </c>
      <c r="G2650" s="2">
        <v>10</v>
      </c>
      <c r="H2650" s="2">
        <v>1</v>
      </c>
      <c r="I2650" s="2">
        <v>24</v>
      </c>
      <c r="J2650" s="2">
        <v>2</v>
      </c>
      <c r="K2650" s="2">
        <v>0</v>
      </c>
      <c r="L2650" s="2">
        <v>0</v>
      </c>
      <c r="M2650" s="2">
        <v>26</v>
      </c>
      <c r="N2650" s="2">
        <v>27</v>
      </c>
      <c r="O2650" s="2">
        <v>0</v>
      </c>
      <c r="P2650" s="2">
        <v>0</v>
      </c>
      <c r="Q2650" s="2">
        <v>1</v>
      </c>
      <c r="R2650" s="2">
        <v>0</v>
      </c>
      <c r="S2650" s="2" t="s">
        <v>488</v>
      </c>
      <c r="T2650" s="2" t="s">
        <v>488</v>
      </c>
      <c r="U2650" s="2" t="s">
        <v>488</v>
      </c>
      <c r="V2650" s="2" t="s">
        <v>488</v>
      </c>
      <c r="W2650">
        <f t="shared" si="43"/>
        <v>27</v>
      </c>
    </row>
    <row r="2651" spans="1:23" x14ac:dyDescent="0.25">
      <c r="A2651" s="2" t="s">
        <v>1380</v>
      </c>
      <c r="B2651" s="2" t="s">
        <v>921</v>
      </c>
      <c r="C2651" s="2">
        <v>540275</v>
      </c>
      <c r="D2651" s="2" t="s">
        <v>796</v>
      </c>
      <c r="E2651" s="2" t="s">
        <v>65</v>
      </c>
      <c r="F2651" s="2" t="s">
        <v>115</v>
      </c>
      <c r="G2651" s="2">
        <v>10</v>
      </c>
      <c r="H2651" s="2">
        <v>0</v>
      </c>
      <c r="I2651" s="2">
        <v>0</v>
      </c>
      <c r="J2651" s="2">
        <v>0</v>
      </c>
      <c r="K2651" s="2">
        <v>0</v>
      </c>
      <c r="L2651" s="2">
        <v>0</v>
      </c>
      <c r="M2651" s="2">
        <v>0</v>
      </c>
      <c r="N2651" s="2">
        <v>0</v>
      </c>
      <c r="O2651" s="2">
        <v>0</v>
      </c>
      <c r="P2651" s="2">
        <v>0</v>
      </c>
      <c r="Q2651" s="2">
        <v>0</v>
      </c>
      <c r="R2651" s="2">
        <v>0</v>
      </c>
      <c r="S2651" s="2" t="s">
        <v>488</v>
      </c>
      <c r="T2651" s="2" t="s">
        <v>488</v>
      </c>
      <c r="U2651" s="2" t="s">
        <v>488</v>
      </c>
      <c r="V2651" s="2" t="s">
        <v>488</v>
      </c>
      <c r="W2651">
        <f t="shared" si="43"/>
        <v>0</v>
      </c>
    </row>
    <row r="2652" spans="1:23" x14ac:dyDescent="0.25">
      <c r="A2652" s="255" t="s">
        <v>1380</v>
      </c>
      <c r="B2652" s="255" t="s">
        <v>921</v>
      </c>
      <c r="C2652" s="255"/>
      <c r="D2652" s="255"/>
      <c r="E2652" s="255" t="s">
        <v>65</v>
      </c>
      <c r="F2652" s="255"/>
      <c r="G2652" s="255"/>
      <c r="H2652" s="255">
        <v>4</v>
      </c>
      <c r="I2652" s="255">
        <v>24</v>
      </c>
      <c r="J2652" s="255">
        <v>2</v>
      </c>
      <c r="K2652" s="255">
        <v>0</v>
      </c>
      <c r="L2652" s="255">
        <v>0</v>
      </c>
      <c r="M2652" s="255">
        <v>26</v>
      </c>
      <c r="N2652" s="255">
        <v>30</v>
      </c>
      <c r="O2652" s="255">
        <v>0</v>
      </c>
      <c r="P2652" s="255">
        <v>0</v>
      </c>
      <c r="Q2652" s="255">
        <v>3</v>
      </c>
      <c r="R2652" s="255">
        <v>0</v>
      </c>
      <c r="S2652" s="255" t="s">
        <v>488</v>
      </c>
      <c r="T2652" s="255" t="s">
        <v>488</v>
      </c>
      <c r="U2652" s="255" t="s">
        <v>488</v>
      </c>
      <c r="V2652" s="255" t="s">
        <v>488</v>
      </c>
      <c r="W2652">
        <f t="shared" si="43"/>
        <v>30</v>
      </c>
    </row>
    <row r="2653" spans="1:23" x14ac:dyDescent="0.25">
      <c r="A2653" s="2" t="s">
        <v>1380</v>
      </c>
      <c r="B2653" s="2" t="s">
        <v>921</v>
      </c>
      <c r="C2653" s="2">
        <v>540153</v>
      </c>
      <c r="D2653" s="2" t="s">
        <v>797</v>
      </c>
      <c r="E2653" s="2" t="s">
        <v>67</v>
      </c>
      <c r="F2653" s="2" t="s">
        <v>5</v>
      </c>
      <c r="G2653" s="2">
        <v>8</v>
      </c>
      <c r="H2653" s="2">
        <v>5</v>
      </c>
      <c r="I2653" s="2">
        <v>0</v>
      </c>
      <c r="J2653" s="2">
        <v>0</v>
      </c>
      <c r="K2653" s="2">
        <v>0</v>
      </c>
      <c r="L2653" s="2">
        <v>0</v>
      </c>
      <c r="M2653" s="2">
        <v>0</v>
      </c>
      <c r="N2653" s="2">
        <v>5</v>
      </c>
      <c r="O2653" s="2">
        <v>0</v>
      </c>
      <c r="P2653" s="2">
        <v>0</v>
      </c>
      <c r="Q2653" s="2" t="s">
        <v>488</v>
      </c>
      <c r="R2653" s="2" t="s">
        <v>488</v>
      </c>
      <c r="S2653" s="2" t="s">
        <v>488</v>
      </c>
      <c r="T2653" s="2" t="s">
        <v>488</v>
      </c>
      <c r="U2653" s="2" t="s">
        <v>488</v>
      </c>
      <c r="V2653" s="2" t="s">
        <v>488</v>
      </c>
      <c r="W2653">
        <f t="shared" si="43"/>
        <v>5</v>
      </c>
    </row>
    <row r="2654" spans="1:23" x14ac:dyDescent="0.25">
      <c r="A2654" s="2" t="s">
        <v>1380</v>
      </c>
      <c r="B2654" s="2" t="s">
        <v>921</v>
      </c>
      <c r="C2654" s="2">
        <v>540154</v>
      </c>
      <c r="D2654" s="2" t="s">
        <v>798</v>
      </c>
      <c r="E2654" s="2" t="s">
        <v>67</v>
      </c>
      <c r="F2654" s="2" t="s">
        <v>115</v>
      </c>
      <c r="G2654" s="2">
        <v>8</v>
      </c>
      <c r="H2654" s="2">
        <v>0</v>
      </c>
      <c r="I2654" s="2">
        <v>0</v>
      </c>
      <c r="J2654" s="2">
        <v>0</v>
      </c>
      <c r="K2654" s="2">
        <v>0</v>
      </c>
      <c r="L2654" s="2">
        <v>0</v>
      </c>
      <c r="M2654" s="2">
        <v>0</v>
      </c>
      <c r="N2654" s="2">
        <v>0</v>
      </c>
      <c r="O2654" s="2">
        <v>0</v>
      </c>
      <c r="P2654" s="2">
        <v>0</v>
      </c>
      <c r="Q2654" s="2" t="s">
        <v>488</v>
      </c>
      <c r="R2654" s="2" t="s">
        <v>488</v>
      </c>
      <c r="S2654" s="2" t="s">
        <v>488</v>
      </c>
      <c r="T2654" s="2" t="s">
        <v>488</v>
      </c>
      <c r="U2654" s="2" t="s">
        <v>488</v>
      </c>
      <c r="V2654" s="2" t="s">
        <v>488</v>
      </c>
      <c r="W2654">
        <f t="shared" si="43"/>
        <v>0</v>
      </c>
    </row>
    <row r="2655" spans="1:23" x14ac:dyDescent="0.25">
      <c r="A2655" s="255" t="s">
        <v>1380</v>
      </c>
      <c r="B2655" s="255" t="s">
        <v>921</v>
      </c>
      <c r="C2655" s="255"/>
      <c r="D2655" s="255"/>
      <c r="E2655" s="255" t="s">
        <v>67</v>
      </c>
      <c r="F2655" s="255"/>
      <c r="G2655" s="255"/>
      <c r="H2655" s="255">
        <v>5</v>
      </c>
      <c r="I2655" s="255">
        <v>0</v>
      </c>
      <c r="J2655" s="255">
        <v>0</v>
      </c>
      <c r="K2655" s="255">
        <v>0</v>
      </c>
      <c r="L2655" s="255">
        <v>0</v>
      </c>
      <c r="M2655" s="255">
        <v>0</v>
      </c>
      <c r="N2655" s="255">
        <v>5</v>
      </c>
      <c r="O2655" s="255">
        <v>0</v>
      </c>
      <c r="P2655" s="255">
        <v>0</v>
      </c>
      <c r="Q2655" s="255" t="s">
        <v>488</v>
      </c>
      <c r="R2655" s="255" t="s">
        <v>488</v>
      </c>
      <c r="S2655" s="255" t="s">
        <v>488</v>
      </c>
      <c r="T2655" s="255" t="s">
        <v>488</v>
      </c>
      <c r="U2655" s="255" t="s">
        <v>488</v>
      </c>
      <c r="V2655" s="255" t="s">
        <v>488</v>
      </c>
      <c r="W2655">
        <f t="shared" si="43"/>
        <v>5</v>
      </c>
    </row>
    <row r="2656" spans="1:23" x14ac:dyDescent="0.25">
      <c r="A2656" s="2" t="s">
        <v>1380</v>
      </c>
      <c r="B2656" s="2" t="s">
        <v>921</v>
      </c>
      <c r="C2656" s="2">
        <v>540160</v>
      </c>
      <c r="D2656" s="2" t="s">
        <v>799</v>
      </c>
      <c r="E2656" s="2" t="s">
        <v>69</v>
      </c>
      <c r="F2656" s="2" t="s">
        <v>5</v>
      </c>
      <c r="G2656" s="2">
        <v>6</v>
      </c>
      <c r="H2656" s="2">
        <v>1</v>
      </c>
      <c r="I2656" s="2">
        <v>0</v>
      </c>
      <c r="J2656" s="2">
        <v>0</v>
      </c>
      <c r="K2656" s="2">
        <v>0</v>
      </c>
      <c r="L2656" s="2">
        <v>0</v>
      </c>
      <c r="M2656" s="2">
        <v>0</v>
      </c>
      <c r="N2656" s="2">
        <v>1</v>
      </c>
      <c r="O2656" s="2">
        <v>0</v>
      </c>
      <c r="P2656" s="2">
        <v>0</v>
      </c>
      <c r="Q2656" s="2">
        <v>0</v>
      </c>
      <c r="R2656" s="2">
        <v>0</v>
      </c>
      <c r="S2656" s="2" t="s">
        <v>488</v>
      </c>
      <c r="T2656" s="2" t="s">
        <v>488</v>
      </c>
      <c r="U2656" s="2" t="s">
        <v>488</v>
      </c>
      <c r="V2656" s="2" t="s">
        <v>488</v>
      </c>
      <c r="W2656">
        <f t="shared" si="43"/>
        <v>1</v>
      </c>
    </row>
    <row r="2657" spans="1:23" x14ac:dyDescent="0.25">
      <c r="A2657" s="2" t="s">
        <v>1380</v>
      </c>
      <c r="B2657" s="2" t="s">
        <v>921</v>
      </c>
      <c r="C2657" s="2">
        <v>540137</v>
      </c>
      <c r="D2657" s="2" t="s">
        <v>800</v>
      </c>
      <c r="E2657" s="2" t="s">
        <v>69</v>
      </c>
      <c r="F2657" s="2" t="s">
        <v>115</v>
      </c>
      <c r="G2657" s="2">
        <v>6</v>
      </c>
      <c r="H2657" s="2">
        <v>0</v>
      </c>
      <c r="I2657" s="2">
        <v>0</v>
      </c>
      <c r="J2657" s="2">
        <v>0</v>
      </c>
      <c r="K2657" s="2">
        <v>0</v>
      </c>
      <c r="L2657" s="2">
        <v>0</v>
      </c>
      <c r="M2657" s="2">
        <v>0</v>
      </c>
      <c r="N2657" s="2">
        <v>0</v>
      </c>
      <c r="O2657" s="2">
        <v>0</v>
      </c>
      <c r="P2657" s="2">
        <v>0</v>
      </c>
      <c r="Q2657" s="2">
        <v>0</v>
      </c>
      <c r="R2657" s="2">
        <v>0</v>
      </c>
      <c r="S2657" s="2" t="s">
        <v>488</v>
      </c>
      <c r="T2657" s="2" t="s">
        <v>488</v>
      </c>
      <c r="U2657" s="2" t="s">
        <v>488</v>
      </c>
      <c r="V2657" s="2" t="s">
        <v>488</v>
      </c>
      <c r="W2657">
        <f t="shared" si="43"/>
        <v>0</v>
      </c>
    </row>
    <row r="2658" spans="1:23" x14ac:dyDescent="0.25">
      <c r="A2658" s="2" t="s">
        <v>1380</v>
      </c>
      <c r="B2658" s="2" t="s">
        <v>921</v>
      </c>
      <c r="C2658" s="2">
        <v>540161</v>
      </c>
      <c r="D2658" s="2" t="s">
        <v>801</v>
      </c>
      <c r="E2658" s="2" t="s">
        <v>69</v>
      </c>
      <c r="F2658" s="2" t="s">
        <v>115</v>
      </c>
      <c r="G2658" s="2">
        <v>6</v>
      </c>
      <c r="H2658" s="2">
        <v>0</v>
      </c>
      <c r="I2658" s="2">
        <v>1</v>
      </c>
      <c r="J2658" s="2">
        <v>0</v>
      </c>
      <c r="K2658" s="2">
        <v>0</v>
      </c>
      <c r="L2658" s="2">
        <v>0</v>
      </c>
      <c r="M2658" s="2">
        <v>1</v>
      </c>
      <c r="N2658" s="2">
        <v>1</v>
      </c>
      <c r="O2658" s="2">
        <v>0</v>
      </c>
      <c r="P2658" s="2">
        <v>0</v>
      </c>
      <c r="Q2658" s="2">
        <v>0</v>
      </c>
      <c r="R2658" s="2">
        <v>0</v>
      </c>
      <c r="S2658" s="2" t="s">
        <v>488</v>
      </c>
      <c r="T2658" s="2" t="s">
        <v>488</v>
      </c>
      <c r="U2658" s="2" t="s">
        <v>488</v>
      </c>
      <c r="V2658" s="2" t="s">
        <v>488</v>
      </c>
      <c r="W2658">
        <f t="shared" si="43"/>
        <v>1</v>
      </c>
    </row>
    <row r="2659" spans="1:23" x14ac:dyDescent="0.25">
      <c r="A2659" s="2" t="s">
        <v>1380</v>
      </c>
      <c r="B2659" s="2" t="s">
        <v>921</v>
      </c>
      <c r="C2659" s="2">
        <v>540162</v>
      </c>
      <c r="D2659" s="2" t="s">
        <v>802</v>
      </c>
      <c r="E2659" s="2" t="s">
        <v>69</v>
      </c>
      <c r="F2659" s="2" t="s">
        <v>115</v>
      </c>
      <c r="G2659" s="2">
        <v>6</v>
      </c>
      <c r="H2659" s="2">
        <v>0</v>
      </c>
      <c r="I2659" s="2">
        <v>0</v>
      </c>
      <c r="J2659" s="2">
        <v>0</v>
      </c>
      <c r="K2659" s="2">
        <v>0</v>
      </c>
      <c r="L2659" s="2">
        <v>0</v>
      </c>
      <c r="M2659" s="2">
        <v>0</v>
      </c>
      <c r="N2659" s="2">
        <v>0</v>
      </c>
      <c r="O2659" s="2">
        <v>0</v>
      </c>
      <c r="P2659" s="2">
        <v>0</v>
      </c>
      <c r="Q2659" s="2">
        <v>0</v>
      </c>
      <c r="R2659" s="2">
        <v>0</v>
      </c>
      <c r="S2659" s="2" t="s">
        <v>488</v>
      </c>
      <c r="T2659" s="2" t="s">
        <v>488</v>
      </c>
      <c r="U2659" s="2" t="s">
        <v>488</v>
      </c>
      <c r="V2659" s="2" t="s">
        <v>488</v>
      </c>
      <c r="W2659">
        <f t="shared" si="43"/>
        <v>0</v>
      </c>
    </row>
    <row r="2660" spans="1:23" x14ac:dyDescent="0.25">
      <c r="A2660" s="2" t="s">
        <v>1380</v>
      </c>
      <c r="B2660" s="2" t="s">
        <v>921</v>
      </c>
      <c r="C2660" s="2">
        <v>540163</v>
      </c>
      <c r="D2660" s="2" t="s">
        <v>803</v>
      </c>
      <c r="E2660" s="2" t="s">
        <v>69</v>
      </c>
      <c r="F2660" s="2" t="s">
        <v>115</v>
      </c>
      <c r="G2660" s="2">
        <v>6</v>
      </c>
      <c r="H2660" s="2">
        <v>0</v>
      </c>
      <c r="I2660" s="2">
        <v>1</v>
      </c>
      <c r="J2660" s="2">
        <v>0</v>
      </c>
      <c r="K2660" s="2">
        <v>0</v>
      </c>
      <c r="L2660" s="2">
        <v>0</v>
      </c>
      <c r="M2660" s="2">
        <v>1</v>
      </c>
      <c r="N2660" s="2">
        <v>1</v>
      </c>
      <c r="O2660" s="2">
        <v>0</v>
      </c>
      <c r="P2660" s="2">
        <v>0</v>
      </c>
      <c r="Q2660" s="2">
        <v>0</v>
      </c>
      <c r="R2660" s="2">
        <v>0</v>
      </c>
      <c r="S2660" s="2" t="s">
        <v>488</v>
      </c>
      <c r="T2660" s="2" t="s">
        <v>488</v>
      </c>
      <c r="U2660" s="2" t="s">
        <v>488</v>
      </c>
      <c r="V2660" s="2" t="s">
        <v>488</v>
      </c>
      <c r="W2660">
        <f t="shared" si="43"/>
        <v>1</v>
      </c>
    </row>
    <row r="2661" spans="1:23" x14ac:dyDescent="0.25">
      <c r="A2661" s="2" t="s">
        <v>1380</v>
      </c>
      <c r="B2661" s="2" t="s">
        <v>921</v>
      </c>
      <c r="C2661" s="2">
        <v>540254</v>
      </c>
      <c r="D2661" s="2" t="s">
        <v>804</v>
      </c>
      <c r="E2661" s="2" t="s">
        <v>69</v>
      </c>
      <c r="F2661" s="2" t="s">
        <v>115</v>
      </c>
      <c r="G2661" s="2">
        <v>6</v>
      </c>
      <c r="H2661" s="2">
        <v>0</v>
      </c>
      <c r="I2661" s="2">
        <v>0</v>
      </c>
      <c r="J2661" s="2">
        <v>0</v>
      </c>
      <c r="K2661" s="2">
        <v>0</v>
      </c>
      <c r="L2661" s="2">
        <v>0</v>
      </c>
      <c r="M2661" s="2">
        <v>0</v>
      </c>
      <c r="N2661" s="2">
        <v>0</v>
      </c>
      <c r="O2661" s="2">
        <v>0</v>
      </c>
      <c r="P2661" s="2">
        <v>0</v>
      </c>
      <c r="Q2661" s="2">
        <v>0</v>
      </c>
      <c r="R2661" s="2">
        <v>0</v>
      </c>
      <c r="S2661" s="2" t="s">
        <v>488</v>
      </c>
      <c r="T2661" s="2" t="s">
        <v>488</v>
      </c>
      <c r="U2661" s="2" t="s">
        <v>488</v>
      </c>
      <c r="V2661" s="2" t="s">
        <v>488</v>
      </c>
      <c r="W2661">
        <f t="shared" si="43"/>
        <v>0</v>
      </c>
    </row>
    <row r="2662" spans="1:23" x14ac:dyDescent="0.25">
      <c r="A2662" s="2" t="s">
        <v>1380</v>
      </c>
      <c r="B2662" s="2" t="s">
        <v>921</v>
      </c>
      <c r="C2662" s="2">
        <v>540257</v>
      </c>
      <c r="D2662" s="2" t="s">
        <v>805</v>
      </c>
      <c r="E2662" s="2" t="s">
        <v>69</v>
      </c>
      <c r="F2662" s="2" t="s">
        <v>115</v>
      </c>
      <c r="G2662" s="2">
        <v>6</v>
      </c>
      <c r="H2662" s="2">
        <v>0</v>
      </c>
      <c r="I2662" s="2">
        <v>0</v>
      </c>
      <c r="J2662" s="2">
        <v>0</v>
      </c>
      <c r="K2662" s="2">
        <v>0</v>
      </c>
      <c r="L2662" s="2">
        <v>0</v>
      </c>
      <c r="M2662" s="2">
        <v>0</v>
      </c>
      <c r="N2662" s="2">
        <v>0</v>
      </c>
      <c r="O2662" s="2">
        <v>0</v>
      </c>
      <c r="P2662" s="2">
        <v>0</v>
      </c>
      <c r="Q2662" s="2">
        <v>0</v>
      </c>
      <c r="R2662" s="2">
        <v>0</v>
      </c>
      <c r="S2662" s="2" t="s">
        <v>488</v>
      </c>
      <c r="T2662" s="2" t="s">
        <v>488</v>
      </c>
      <c r="U2662" s="2" t="s">
        <v>488</v>
      </c>
      <c r="V2662" s="2" t="s">
        <v>488</v>
      </c>
      <c r="W2662">
        <f t="shared" si="43"/>
        <v>0</v>
      </c>
    </row>
    <row r="2663" spans="1:23" x14ac:dyDescent="0.25">
      <c r="A2663" s="2" t="s">
        <v>1380</v>
      </c>
      <c r="B2663" s="2" t="s">
        <v>921</v>
      </c>
      <c r="C2663" s="2">
        <v>540268</v>
      </c>
      <c r="D2663" s="2" t="s">
        <v>806</v>
      </c>
      <c r="E2663" s="2" t="s">
        <v>69</v>
      </c>
      <c r="F2663" s="2" t="s">
        <v>115</v>
      </c>
      <c r="G2663" s="2">
        <v>6</v>
      </c>
      <c r="H2663" s="2">
        <v>0</v>
      </c>
      <c r="I2663" s="2">
        <v>0</v>
      </c>
      <c r="J2663" s="2">
        <v>0</v>
      </c>
      <c r="K2663" s="2">
        <v>0</v>
      </c>
      <c r="L2663" s="2">
        <v>0</v>
      </c>
      <c r="M2663" s="2">
        <v>0</v>
      </c>
      <c r="N2663" s="2">
        <v>0</v>
      </c>
      <c r="O2663" s="2">
        <v>0</v>
      </c>
      <c r="P2663" s="2">
        <v>0</v>
      </c>
      <c r="Q2663" s="2">
        <v>0</v>
      </c>
      <c r="R2663" s="2">
        <v>0</v>
      </c>
      <c r="S2663" s="2" t="s">
        <v>488</v>
      </c>
      <c r="T2663" s="2" t="s">
        <v>488</v>
      </c>
      <c r="U2663" s="2" t="s">
        <v>488</v>
      </c>
      <c r="V2663" s="2" t="s">
        <v>488</v>
      </c>
      <c r="W2663">
        <f t="shared" si="43"/>
        <v>0</v>
      </c>
    </row>
    <row r="2664" spans="1:23" x14ac:dyDescent="0.25">
      <c r="A2664" s="2" t="s">
        <v>1380</v>
      </c>
      <c r="B2664" s="2" t="s">
        <v>921</v>
      </c>
      <c r="C2664" s="2">
        <v>540269</v>
      </c>
      <c r="D2664" s="2" t="s">
        <v>807</v>
      </c>
      <c r="E2664" s="2" t="s">
        <v>69</v>
      </c>
      <c r="F2664" s="2" t="s">
        <v>115</v>
      </c>
      <c r="G2664" s="2">
        <v>6</v>
      </c>
      <c r="H2664" s="2">
        <v>0</v>
      </c>
      <c r="I2664" s="2">
        <v>0</v>
      </c>
      <c r="J2664" s="2">
        <v>0</v>
      </c>
      <c r="K2664" s="2">
        <v>0</v>
      </c>
      <c r="L2664" s="2">
        <v>0</v>
      </c>
      <c r="M2664" s="2">
        <v>0</v>
      </c>
      <c r="N2664" s="2">
        <v>0</v>
      </c>
      <c r="O2664" s="2">
        <v>0</v>
      </c>
      <c r="P2664" s="2">
        <v>0</v>
      </c>
      <c r="Q2664" s="2">
        <v>0</v>
      </c>
      <c r="R2664" s="2">
        <v>0</v>
      </c>
      <c r="S2664" s="2" t="s">
        <v>488</v>
      </c>
      <c r="T2664" s="2" t="s">
        <v>488</v>
      </c>
      <c r="U2664" s="2" t="s">
        <v>488</v>
      </c>
      <c r="V2664" s="2" t="s">
        <v>488</v>
      </c>
      <c r="W2664">
        <f t="shared" si="43"/>
        <v>0</v>
      </c>
    </row>
    <row r="2665" spans="1:23" x14ac:dyDescent="0.25">
      <c r="A2665" s="2" t="s">
        <v>1380</v>
      </c>
      <c r="B2665" s="2" t="s">
        <v>921</v>
      </c>
      <c r="C2665" s="2">
        <v>540270</v>
      </c>
      <c r="D2665" s="2" t="s">
        <v>808</v>
      </c>
      <c r="E2665" s="2" t="s">
        <v>69</v>
      </c>
      <c r="F2665" s="2" t="s">
        <v>115</v>
      </c>
      <c r="G2665" s="2">
        <v>6</v>
      </c>
      <c r="H2665" s="2">
        <v>0</v>
      </c>
      <c r="I2665" s="2">
        <v>0</v>
      </c>
      <c r="J2665" s="2">
        <v>0</v>
      </c>
      <c r="K2665" s="2">
        <v>0</v>
      </c>
      <c r="L2665" s="2">
        <v>0</v>
      </c>
      <c r="M2665" s="2">
        <v>0</v>
      </c>
      <c r="N2665" s="2">
        <v>0</v>
      </c>
      <c r="O2665" s="2">
        <v>0</v>
      </c>
      <c r="P2665" s="2">
        <v>0</v>
      </c>
      <c r="Q2665" s="2">
        <v>0</v>
      </c>
      <c r="R2665" s="2">
        <v>0</v>
      </c>
      <c r="S2665" s="2" t="s">
        <v>488</v>
      </c>
      <c r="T2665" s="2" t="s">
        <v>488</v>
      </c>
      <c r="U2665" s="2" t="s">
        <v>488</v>
      </c>
      <c r="V2665" s="2" t="s">
        <v>488</v>
      </c>
      <c r="W2665">
        <f t="shared" si="43"/>
        <v>0</v>
      </c>
    </row>
    <row r="2666" spans="1:23" x14ac:dyDescent="0.25">
      <c r="A2666" s="2" t="s">
        <v>1380</v>
      </c>
      <c r="B2666" s="2" t="s">
        <v>921</v>
      </c>
      <c r="C2666" s="2">
        <v>540284</v>
      </c>
      <c r="D2666" s="2" t="s">
        <v>809</v>
      </c>
      <c r="E2666" s="2" t="s">
        <v>69</v>
      </c>
      <c r="F2666" s="2" t="s">
        <v>115</v>
      </c>
      <c r="G2666" s="2">
        <v>6</v>
      </c>
      <c r="H2666" s="2">
        <v>0</v>
      </c>
      <c r="I2666" s="2">
        <v>0</v>
      </c>
      <c r="J2666" s="2">
        <v>0</v>
      </c>
      <c r="K2666" s="2">
        <v>0</v>
      </c>
      <c r="L2666" s="2">
        <v>0</v>
      </c>
      <c r="M2666" s="2">
        <v>0</v>
      </c>
      <c r="N2666" s="2">
        <v>0</v>
      </c>
      <c r="O2666" s="2">
        <v>0</v>
      </c>
      <c r="P2666" s="2">
        <v>0</v>
      </c>
      <c r="Q2666" s="2">
        <v>0</v>
      </c>
      <c r="R2666" s="2">
        <v>0</v>
      </c>
      <c r="S2666" s="2" t="s">
        <v>488</v>
      </c>
      <c r="T2666" s="2" t="s">
        <v>488</v>
      </c>
      <c r="U2666" s="2" t="s">
        <v>488</v>
      </c>
      <c r="V2666" s="2" t="s">
        <v>488</v>
      </c>
      <c r="W2666">
        <f t="shared" si="43"/>
        <v>0</v>
      </c>
    </row>
    <row r="2667" spans="1:23" x14ac:dyDescent="0.25">
      <c r="A2667" s="255" t="s">
        <v>1380</v>
      </c>
      <c r="B2667" s="255" t="s">
        <v>921</v>
      </c>
      <c r="C2667" s="255"/>
      <c r="D2667" s="255"/>
      <c r="E2667" s="255" t="s">
        <v>69</v>
      </c>
      <c r="F2667" s="255"/>
      <c r="G2667" s="255"/>
      <c r="H2667" s="255">
        <v>1</v>
      </c>
      <c r="I2667" s="255">
        <v>2</v>
      </c>
      <c r="J2667" s="255">
        <v>0</v>
      </c>
      <c r="K2667" s="255">
        <v>0</v>
      </c>
      <c r="L2667" s="255">
        <v>0</v>
      </c>
      <c r="M2667" s="255">
        <v>2</v>
      </c>
      <c r="N2667" s="255">
        <v>3</v>
      </c>
      <c r="O2667" s="255">
        <v>0</v>
      </c>
      <c r="P2667" s="255">
        <v>0</v>
      </c>
      <c r="Q2667" s="255">
        <v>0</v>
      </c>
      <c r="R2667" s="255">
        <v>0</v>
      </c>
      <c r="S2667" s="255" t="s">
        <v>488</v>
      </c>
      <c r="T2667" s="255" t="s">
        <v>488</v>
      </c>
      <c r="U2667" s="255" t="s">
        <v>488</v>
      </c>
      <c r="V2667" s="255" t="s">
        <v>488</v>
      </c>
      <c r="W2667">
        <f t="shared" si="43"/>
        <v>3</v>
      </c>
    </row>
    <row r="2668" spans="1:23" x14ac:dyDescent="0.25">
      <c r="A2668" s="2" t="s">
        <v>1380</v>
      </c>
      <c r="B2668" s="2" t="s">
        <v>921</v>
      </c>
      <c r="C2668" s="2">
        <v>540164</v>
      </c>
      <c r="D2668" s="2" t="s">
        <v>810</v>
      </c>
      <c r="E2668" s="2" t="s">
        <v>71</v>
      </c>
      <c r="F2668" s="2" t="s">
        <v>5</v>
      </c>
      <c r="G2668" s="2">
        <v>3</v>
      </c>
      <c r="H2668" s="2">
        <v>1</v>
      </c>
      <c r="I2668" s="2">
        <v>3</v>
      </c>
      <c r="J2668" s="2">
        <v>0</v>
      </c>
      <c r="K2668" s="2">
        <v>0</v>
      </c>
      <c r="L2668" s="2">
        <v>0</v>
      </c>
      <c r="M2668" s="2">
        <v>3</v>
      </c>
      <c r="N2668" s="2">
        <v>4</v>
      </c>
      <c r="O2668" s="2">
        <v>0</v>
      </c>
      <c r="P2668" s="2">
        <v>0</v>
      </c>
      <c r="Q2668" s="2">
        <v>0</v>
      </c>
      <c r="R2668" s="2">
        <v>0</v>
      </c>
      <c r="S2668" s="2" t="s">
        <v>488</v>
      </c>
      <c r="T2668" s="2" t="s">
        <v>488</v>
      </c>
      <c r="U2668" s="2" t="s">
        <v>488</v>
      </c>
      <c r="V2668" s="2" t="s">
        <v>488</v>
      </c>
      <c r="W2668">
        <f t="shared" si="43"/>
        <v>4</v>
      </c>
    </row>
    <row r="2669" spans="1:23" x14ac:dyDescent="0.25">
      <c r="A2669" s="2" t="s">
        <v>1380</v>
      </c>
      <c r="B2669" s="2" t="s">
        <v>921</v>
      </c>
      <c r="C2669" s="2">
        <v>540081</v>
      </c>
      <c r="D2669" s="2" t="s">
        <v>711</v>
      </c>
      <c r="E2669" s="2" t="s">
        <v>71</v>
      </c>
      <c r="F2669" s="2" t="s">
        <v>115</v>
      </c>
      <c r="G2669" s="2">
        <v>3</v>
      </c>
      <c r="H2669" s="2">
        <v>0</v>
      </c>
      <c r="I2669" s="2">
        <v>0</v>
      </c>
      <c r="J2669" s="2">
        <v>0</v>
      </c>
      <c r="K2669" s="2">
        <v>0</v>
      </c>
      <c r="L2669" s="2">
        <v>0</v>
      </c>
      <c r="M2669" s="2">
        <v>0</v>
      </c>
      <c r="N2669" s="2">
        <v>0</v>
      </c>
      <c r="O2669" s="2">
        <v>0</v>
      </c>
      <c r="P2669" s="2">
        <v>0</v>
      </c>
      <c r="Q2669" s="2">
        <v>0</v>
      </c>
      <c r="R2669" s="2">
        <v>0</v>
      </c>
      <c r="S2669" s="2" t="s">
        <v>488</v>
      </c>
      <c r="T2669" s="2" t="s">
        <v>488</v>
      </c>
      <c r="U2669" s="2" t="s">
        <v>488</v>
      </c>
      <c r="V2669" s="2" t="s">
        <v>488</v>
      </c>
      <c r="W2669">
        <f t="shared" si="43"/>
        <v>0</v>
      </c>
    </row>
    <row r="2670" spans="1:23" x14ac:dyDescent="0.25">
      <c r="A2670" s="2" t="s">
        <v>1380</v>
      </c>
      <c r="B2670" s="2" t="s">
        <v>921</v>
      </c>
      <c r="C2670" s="2">
        <v>540165</v>
      </c>
      <c r="D2670" s="2" t="s">
        <v>811</v>
      </c>
      <c r="E2670" s="2" t="s">
        <v>71</v>
      </c>
      <c r="F2670" s="2" t="s">
        <v>115</v>
      </c>
      <c r="G2670" s="2">
        <v>3</v>
      </c>
      <c r="H2670" s="2">
        <v>0</v>
      </c>
      <c r="I2670" s="2">
        <v>1</v>
      </c>
      <c r="J2670" s="2">
        <v>0</v>
      </c>
      <c r="K2670" s="2">
        <v>0</v>
      </c>
      <c r="L2670" s="2">
        <v>0</v>
      </c>
      <c r="M2670" s="2">
        <v>1</v>
      </c>
      <c r="N2670" s="2">
        <v>1</v>
      </c>
      <c r="O2670" s="2">
        <v>0</v>
      </c>
      <c r="P2670" s="2">
        <v>0</v>
      </c>
      <c r="Q2670" s="2">
        <v>0</v>
      </c>
      <c r="R2670" s="2">
        <v>0</v>
      </c>
      <c r="S2670" s="2" t="s">
        <v>488</v>
      </c>
      <c r="T2670" s="2" t="s">
        <v>488</v>
      </c>
      <c r="U2670" s="2" t="s">
        <v>488</v>
      </c>
      <c r="V2670" s="2" t="s">
        <v>488</v>
      </c>
      <c r="W2670">
        <f t="shared" si="43"/>
        <v>1</v>
      </c>
    </row>
    <row r="2671" spans="1:23" x14ac:dyDescent="0.25">
      <c r="A2671" s="2" t="s">
        <v>1380</v>
      </c>
      <c r="B2671" s="2" t="s">
        <v>921</v>
      </c>
      <c r="C2671" s="2">
        <v>540166</v>
      </c>
      <c r="D2671" s="2" t="s">
        <v>812</v>
      </c>
      <c r="E2671" s="2" t="s">
        <v>71</v>
      </c>
      <c r="F2671" s="2" t="s">
        <v>115</v>
      </c>
      <c r="G2671" s="2">
        <v>3</v>
      </c>
      <c r="H2671" s="2">
        <v>0</v>
      </c>
      <c r="I2671" s="2">
        <v>2</v>
      </c>
      <c r="J2671" s="2">
        <v>0</v>
      </c>
      <c r="K2671" s="2">
        <v>0</v>
      </c>
      <c r="L2671" s="2">
        <v>0</v>
      </c>
      <c r="M2671" s="2">
        <v>2</v>
      </c>
      <c r="N2671" s="2">
        <v>2</v>
      </c>
      <c r="O2671" s="2">
        <v>0</v>
      </c>
      <c r="P2671" s="2">
        <v>0</v>
      </c>
      <c r="Q2671" s="2">
        <v>0</v>
      </c>
      <c r="R2671" s="2">
        <v>0</v>
      </c>
      <c r="S2671" s="2" t="s">
        <v>488</v>
      </c>
      <c r="T2671" s="2" t="s">
        <v>488</v>
      </c>
      <c r="U2671" s="2" t="s">
        <v>488</v>
      </c>
      <c r="V2671" s="2" t="s">
        <v>488</v>
      </c>
      <c r="W2671">
        <f t="shared" si="43"/>
        <v>2</v>
      </c>
    </row>
    <row r="2672" spans="1:23" x14ac:dyDescent="0.25">
      <c r="A2672" s="2" t="s">
        <v>1380</v>
      </c>
      <c r="B2672" s="2" t="s">
        <v>921</v>
      </c>
      <c r="C2672" s="2">
        <v>540167</v>
      </c>
      <c r="D2672" s="2" t="s">
        <v>813</v>
      </c>
      <c r="E2672" s="2" t="s">
        <v>71</v>
      </c>
      <c r="F2672" s="2" t="s">
        <v>115</v>
      </c>
      <c r="G2672" s="2">
        <v>3</v>
      </c>
      <c r="H2672" s="2">
        <v>0</v>
      </c>
      <c r="I2672" s="2">
        <v>0</v>
      </c>
      <c r="J2672" s="2">
        <v>0</v>
      </c>
      <c r="K2672" s="2">
        <v>0</v>
      </c>
      <c r="L2672" s="2">
        <v>0</v>
      </c>
      <c r="M2672" s="2">
        <v>0</v>
      </c>
      <c r="N2672" s="2">
        <v>0</v>
      </c>
      <c r="O2672" s="2">
        <v>0</v>
      </c>
      <c r="P2672" s="2">
        <v>0</v>
      </c>
      <c r="Q2672" s="2">
        <v>0</v>
      </c>
      <c r="R2672" s="2">
        <v>0</v>
      </c>
      <c r="S2672" s="2" t="s">
        <v>488</v>
      </c>
      <c r="T2672" s="2" t="s">
        <v>488</v>
      </c>
      <c r="U2672" s="2" t="s">
        <v>488</v>
      </c>
      <c r="V2672" s="2" t="s">
        <v>488</v>
      </c>
      <c r="W2672">
        <f t="shared" si="43"/>
        <v>0</v>
      </c>
    </row>
    <row r="2673" spans="1:23" x14ac:dyDescent="0.25">
      <c r="A2673" s="2" t="s">
        <v>1380</v>
      </c>
      <c r="B2673" s="2" t="s">
        <v>921</v>
      </c>
      <c r="C2673" s="2">
        <v>540168</v>
      </c>
      <c r="D2673" s="2" t="s">
        <v>814</v>
      </c>
      <c r="E2673" s="2" t="s">
        <v>71</v>
      </c>
      <c r="F2673" s="2" t="s">
        <v>115</v>
      </c>
      <c r="G2673" s="2">
        <v>3</v>
      </c>
      <c r="H2673" s="2">
        <v>0</v>
      </c>
      <c r="I2673" s="2">
        <v>0</v>
      </c>
      <c r="J2673" s="2">
        <v>0</v>
      </c>
      <c r="K2673" s="2">
        <v>0</v>
      </c>
      <c r="L2673" s="2">
        <v>0</v>
      </c>
      <c r="M2673" s="2">
        <v>0</v>
      </c>
      <c r="N2673" s="2">
        <v>0</v>
      </c>
      <c r="O2673" s="2">
        <v>0</v>
      </c>
      <c r="P2673" s="2">
        <v>0</v>
      </c>
      <c r="Q2673" s="2">
        <v>0</v>
      </c>
      <c r="R2673" s="2">
        <v>0</v>
      </c>
      <c r="S2673" s="2" t="s">
        <v>488</v>
      </c>
      <c r="T2673" s="2" t="s">
        <v>488</v>
      </c>
      <c r="U2673" s="2" t="s">
        <v>488</v>
      </c>
      <c r="V2673" s="2" t="s">
        <v>488</v>
      </c>
      <c r="W2673">
        <f t="shared" si="43"/>
        <v>0</v>
      </c>
    </row>
    <row r="2674" spans="1:23" x14ac:dyDescent="0.25">
      <c r="A2674" s="2" t="s">
        <v>1380</v>
      </c>
      <c r="B2674" s="2" t="s">
        <v>921</v>
      </c>
      <c r="C2674" s="2">
        <v>540222</v>
      </c>
      <c r="D2674" s="2" t="s">
        <v>815</v>
      </c>
      <c r="E2674" s="2" t="s">
        <v>71</v>
      </c>
      <c r="F2674" s="2" t="s">
        <v>115</v>
      </c>
      <c r="G2674" s="2">
        <v>3</v>
      </c>
      <c r="H2674" s="2">
        <v>0</v>
      </c>
      <c r="I2674" s="2">
        <v>0</v>
      </c>
      <c r="J2674" s="2">
        <v>0</v>
      </c>
      <c r="K2674" s="2">
        <v>0</v>
      </c>
      <c r="L2674" s="2">
        <v>0</v>
      </c>
      <c r="M2674" s="2">
        <v>0</v>
      </c>
      <c r="N2674" s="2">
        <v>0</v>
      </c>
      <c r="O2674" s="2">
        <v>0</v>
      </c>
      <c r="P2674" s="2">
        <v>0</v>
      </c>
      <c r="Q2674" s="2">
        <v>0</v>
      </c>
      <c r="R2674" s="2">
        <v>0</v>
      </c>
      <c r="S2674" s="2" t="s">
        <v>488</v>
      </c>
      <c r="T2674" s="2" t="s">
        <v>488</v>
      </c>
      <c r="U2674" s="2" t="s">
        <v>488</v>
      </c>
      <c r="V2674" s="2" t="s">
        <v>488</v>
      </c>
      <c r="W2674">
        <f t="shared" si="43"/>
        <v>0</v>
      </c>
    </row>
    <row r="2675" spans="1:23" x14ac:dyDescent="0.25">
      <c r="A2675" s="2" t="s">
        <v>1380</v>
      </c>
      <c r="B2675" s="2" t="s">
        <v>921</v>
      </c>
      <c r="C2675" s="2">
        <v>540271</v>
      </c>
      <c r="D2675" s="2" t="s">
        <v>816</v>
      </c>
      <c r="E2675" s="2" t="s">
        <v>71</v>
      </c>
      <c r="F2675" s="2" t="s">
        <v>115</v>
      </c>
      <c r="G2675" s="2">
        <v>3</v>
      </c>
      <c r="H2675" s="2">
        <v>0</v>
      </c>
      <c r="I2675" s="2">
        <v>0</v>
      </c>
      <c r="J2675" s="2">
        <v>0</v>
      </c>
      <c r="K2675" s="2">
        <v>0</v>
      </c>
      <c r="L2675" s="2">
        <v>0</v>
      </c>
      <c r="M2675" s="2">
        <v>0</v>
      </c>
      <c r="N2675" s="2">
        <v>0</v>
      </c>
      <c r="O2675" s="2">
        <v>0</v>
      </c>
      <c r="P2675" s="2">
        <v>0</v>
      </c>
      <c r="Q2675" s="2">
        <v>0</v>
      </c>
      <c r="R2675" s="2">
        <v>0</v>
      </c>
      <c r="S2675" s="2" t="s">
        <v>488</v>
      </c>
      <c r="T2675" s="2" t="s">
        <v>488</v>
      </c>
      <c r="U2675" s="2" t="s">
        <v>488</v>
      </c>
      <c r="V2675" s="2" t="s">
        <v>488</v>
      </c>
      <c r="W2675">
        <f t="shared" si="43"/>
        <v>0</v>
      </c>
    </row>
    <row r="2676" spans="1:23" x14ac:dyDescent="0.25">
      <c r="A2676" s="255" t="s">
        <v>1380</v>
      </c>
      <c r="B2676" s="255" t="s">
        <v>921</v>
      </c>
      <c r="C2676" s="255"/>
      <c r="D2676" s="255"/>
      <c r="E2676" s="255" t="s">
        <v>71</v>
      </c>
      <c r="F2676" s="255"/>
      <c r="G2676" s="255"/>
      <c r="H2676" s="255">
        <v>1</v>
      </c>
      <c r="I2676" s="255">
        <v>6</v>
      </c>
      <c r="J2676" s="255">
        <v>0</v>
      </c>
      <c r="K2676" s="255">
        <v>0</v>
      </c>
      <c r="L2676" s="255">
        <v>0</v>
      </c>
      <c r="M2676" s="255">
        <v>6</v>
      </c>
      <c r="N2676" s="255">
        <v>7</v>
      </c>
      <c r="O2676" s="255">
        <v>0</v>
      </c>
      <c r="P2676" s="255">
        <v>0</v>
      </c>
      <c r="Q2676" s="255">
        <v>0</v>
      </c>
      <c r="R2676" s="255">
        <v>0</v>
      </c>
      <c r="S2676" s="255" t="s">
        <v>488</v>
      </c>
      <c r="T2676" s="255" t="s">
        <v>488</v>
      </c>
      <c r="U2676" s="255" t="s">
        <v>488</v>
      </c>
      <c r="V2676" s="255" t="s">
        <v>488</v>
      </c>
      <c r="W2676">
        <f t="shared" si="43"/>
        <v>7</v>
      </c>
    </row>
    <row r="2677" spans="1:23" x14ac:dyDescent="0.25">
      <c r="A2677" s="2" t="s">
        <v>1380</v>
      </c>
      <c r="B2677" s="2" t="s">
        <v>921</v>
      </c>
      <c r="C2677" s="2">
        <v>540169</v>
      </c>
      <c r="D2677" s="2" t="s">
        <v>817</v>
      </c>
      <c r="E2677" s="2" t="s">
        <v>73</v>
      </c>
      <c r="F2677" s="2" t="s">
        <v>5</v>
      </c>
      <c r="G2677" s="2">
        <v>1</v>
      </c>
      <c r="H2677" s="2">
        <v>7</v>
      </c>
      <c r="I2677" s="2">
        <v>4</v>
      </c>
      <c r="J2677" s="2">
        <v>0</v>
      </c>
      <c r="K2677" s="2">
        <v>0</v>
      </c>
      <c r="L2677" s="2">
        <v>0</v>
      </c>
      <c r="M2677" s="2">
        <v>4</v>
      </c>
      <c r="N2677" s="2">
        <v>11</v>
      </c>
      <c r="O2677" s="2">
        <v>0</v>
      </c>
      <c r="P2677" s="2">
        <v>0</v>
      </c>
      <c r="Q2677" s="2">
        <v>4</v>
      </c>
      <c r="R2677" s="2">
        <v>1</v>
      </c>
      <c r="S2677" s="2" t="s">
        <v>488</v>
      </c>
      <c r="T2677" s="2" t="s">
        <v>488</v>
      </c>
      <c r="U2677" s="2" t="s">
        <v>488</v>
      </c>
      <c r="V2677" s="2" t="s">
        <v>488</v>
      </c>
      <c r="W2677">
        <f t="shared" si="43"/>
        <v>12</v>
      </c>
    </row>
    <row r="2678" spans="1:23" x14ac:dyDescent="0.25">
      <c r="A2678" s="2" t="s">
        <v>1380</v>
      </c>
      <c r="B2678" s="2" t="s">
        <v>921</v>
      </c>
      <c r="C2678" s="2">
        <v>540170</v>
      </c>
      <c r="D2678" s="2" t="s">
        <v>818</v>
      </c>
      <c r="E2678" s="2" t="s">
        <v>73</v>
      </c>
      <c r="F2678" s="2" t="s">
        <v>115</v>
      </c>
      <c r="G2678" s="2">
        <v>1</v>
      </c>
      <c r="H2678" s="2">
        <v>0</v>
      </c>
      <c r="I2678" s="2">
        <v>0</v>
      </c>
      <c r="J2678" s="2">
        <v>0</v>
      </c>
      <c r="K2678" s="2">
        <v>0</v>
      </c>
      <c r="L2678" s="2">
        <v>0</v>
      </c>
      <c r="M2678" s="2">
        <v>0</v>
      </c>
      <c r="N2678" s="2">
        <v>0</v>
      </c>
      <c r="O2678" s="2">
        <v>0</v>
      </c>
      <c r="P2678" s="2">
        <v>0</v>
      </c>
      <c r="Q2678" s="2">
        <v>0</v>
      </c>
      <c r="R2678" s="2">
        <v>0</v>
      </c>
      <c r="S2678" s="2" t="s">
        <v>488</v>
      </c>
      <c r="T2678" s="2" t="s">
        <v>488</v>
      </c>
      <c r="U2678" s="2" t="s">
        <v>488</v>
      </c>
      <c r="V2678" s="2" t="s">
        <v>488</v>
      </c>
      <c r="W2678">
        <f t="shared" si="43"/>
        <v>0</v>
      </c>
    </row>
    <row r="2679" spans="1:23" x14ac:dyDescent="0.25">
      <c r="A2679" s="2" t="s">
        <v>1380</v>
      </c>
      <c r="B2679" s="2" t="s">
        <v>921</v>
      </c>
      <c r="C2679" s="2">
        <v>540171</v>
      </c>
      <c r="D2679" s="2" t="s">
        <v>819</v>
      </c>
      <c r="E2679" s="2" t="s">
        <v>73</v>
      </c>
      <c r="F2679" s="2" t="s">
        <v>115</v>
      </c>
      <c r="G2679" s="2">
        <v>1</v>
      </c>
      <c r="H2679" s="2">
        <v>0</v>
      </c>
      <c r="I2679" s="2">
        <v>0</v>
      </c>
      <c r="J2679" s="2">
        <v>0</v>
      </c>
      <c r="K2679" s="2">
        <v>0</v>
      </c>
      <c r="L2679" s="2">
        <v>0</v>
      </c>
      <c r="M2679" s="2">
        <v>0</v>
      </c>
      <c r="N2679" s="2">
        <v>0</v>
      </c>
      <c r="O2679" s="2">
        <v>0</v>
      </c>
      <c r="P2679" s="2">
        <v>0</v>
      </c>
      <c r="Q2679" s="2">
        <v>0</v>
      </c>
      <c r="R2679" s="2">
        <v>1</v>
      </c>
      <c r="S2679" s="2" t="s">
        <v>488</v>
      </c>
      <c r="T2679" s="2" t="s">
        <v>488</v>
      </c>
      <c r="U2679" s="2" t="s">
        <v>488</v>
      </c>
      <c r="V2679" s="2" t="s">
        <v>488</v>
      </c>
      <c r="W2679">
        <f t="shared" si="43"/>
        <v>1</v>
      </c>
    </row>
    <row r="2680" spans="1:23" x14ac:dyDescent="0.25">
      <c r="A2680" s="2" t="s">
        <v>1380</v>
      </c>
      <c r="B2680" s="2" t="s">
        <v>921</v>
      </c>
      <c r="C2680" s="2">
        <v>540173</v>
      </c>
      <c r="D2680" s="2" t="s">
        <v>820</v>
      </c>
      <c r="E2680" s="2" t="s">
        <v>73</v>
      </c>
      <c r="F2680" s="2" t="s">
        <v>115</v>
      </c>
      <c r="G2680" s="2">
        <v>1</v>
      </c>
      <c r="H2680" s="2">
        <v>1</v>
      </c>
      <c r="I2680" s="2">
        <v>0</v>
      </c>
      <c r="J2680" s="2">
        <v>0</v>
      </c>
      <c r="K2680" s="2">
        <v>0</v>
      </c>
      <c r="L2680" s="2">
        <v>0</v>
      </c>
      <c r="M2680" s="2">
        <v>0</v>
      </c>
      <c r="N2680" s="2">
        <v>1</v>
      </c>
      <c r="O2680" s="2">
        <v>0</v>
      </c>
      <c r="P2680" s="2">
        <v>0</v>
      </c>
      <c r="Q2680" s="2">
        <v>0</v>
      </c>
      <c r="R2680" s="2">
        <v>0</v>
      </c>
      <c r="S2680" s="2" t="s">
        <v>488</v>
      </c>
      <c r="T2680" s="2" t="s">
        <v>488</v>
      </c>
      <c r="U2680" s="2" t="s">
        <v>488</v>
      </c>
      <c r="V2680" s="2" t="s">
        <v>488</v>
      </c>
      <c r="W2680">
        <f t="shared" si="43"/>
        <v>1</v>
      </c>
    </row>
    <row r="2681" spans="1:23" x14ac:dyDescent="0.25">
      <c r="A2681" s="2" t="s">
        <v>1380</v>
      </c>
      <c r="B2681" s="2" t="s">
        <v>921</v>
      </c>
      <c r="C2681" s="2">
        <v>540174</v>
      </c>
      <c r="D2681" s="2" t="s">
        <v>821</v>
      </c>
      <c r="E2681" s="2" t="s">
        <v>73</v>
      </c>
      <c r="F2681" s="2" t="s">
        <v>115</v>
      </c>
      <c r="G2681" s="2">
        <v>1</v>
      </c>
      <c r="H2681" s="2">
        <v>0</v>
      </c>
      <c r="I2681" s="2">
        <v>0</v>
      </c>
      <c r="J2681" s="2">
        <v>0</v>
      </c>
      <c r="K2681" s="2">
        <v>0</v>
      </c>
      <c r="L2681" s="2">
        <v>0</v>
      </c>
      <c r="M2681" s="2">
        <v>0</v>
      </c>
      <c r="N2681" s="2">
        <v>0</v>
      </c>
      <c r="O2681" s="2">
        <v>0</v>
      </c>
      <c r="P2681" s="2">
        <v>0</v>
      </c>
      <c r="Q2681" s="2">
        <v>0</v>
      </c>
      <c r="R2681" s="2">
        <v>0</v>
      </c>
      <c r="S2681" s="2" t="s">
        <v>488</v>
      </c>
      <c r="T2681" s="2" t="s">
        <v>488</v>
      </c>
      <c r="U2681" s="2" t="s">
        <v>488</v>
      </c>
      <c r="V2681" s="2" t="s">
        <v>488</v>
      </c>
      <c r="W2681">
        <f t="shared" si="43"/>
        <v>0</v>
      </c>
    </row>
    <row r="2682" spans="1:23" x14ac:dyDescent="0.25">
      <c r="A2682" s="2" t="s">
        <v>1380</v>
      </c>
      <c r="B2682" s="2" t="s">
        <v>921</v>
      </c>
      <c r="C2682" s="2">
        <v>540286</v>
      </c>
      <c r="D2682" s="2" t="s">
        <v>822</v>
      </c>
      <c r="E2682" s="2" t="s">
        <v>73</v>
      </c>
      <c r="F2682" s="2" t="s">
        <v>115</v>
      </c>
      <c r="G2682" s="2">
        <v>1</v>
      </c>
      <c r="H2682" s="2">
        <v>0</v>
      </c>
      <c r="I2682" s="2">
        <v>2</v>
      </c>
      <c r="J2682" s="2">
        <v>0</v>
      </c>
      <c r="K2682" s="2">
        <v>0</v>
      </c>
      <c r="L2682" s="2">
        <v>0</v>
      </c>
      <c r="M2682" s="2">
        <v>2</v>
      </c>
      <c r="N2682" s="2">
        <v>2</v>
      </c>
      <c r="O2682" s="2">
        <v>0</v>
      </c>
      <c r="P2682" s="2">
        <v>0</v>
      </c>
      <c r="Q2682" s="2">
        <v>0</v>
      </c>
      <c r="R2682" s="2">
        <v>0</v>
      </c>
      <c r="S2682" s="2" t="s">
        <v>488</v>
      </c>
      <c r="T2682" s="2" t="s">
        <v>488</v>
      </c>
      <c r="U2682" s="2" t="s">
        <v>488</v>
      </c>
      <c r="V2682" s="2" t="s">
        <v>488</v>
      </c>
      <c r="W2682">
        <f t="shared" si="43"/>
        <v>2</v>
      </c>
    </row>
    <row r="2683" spans="1:23" x14ac:dyDescent="0.25">
      <c r="A2683" s="255" t="s">
        <v>1380</v>
      </c>
      <c r="B2683" s="255" t="s">
        <v>921</v>
      </c>
      <c r="C2683" s="255"/>
      <c r="D2683" s="255"/>
      <c r="E2683" s="255" t="s">
        <v>73</v>
      </c>
      <c r="F2683" s="255"/>
      <c r="G2683" s="255"/>
      <c r="H2683" s="255">
        <v>8</v>
      </c>
      <c r="I2683" s="255">
        <v>6</v>
      </c>
      <c r="J2683" s="255">
        <v>0</v>
      </c>
      <c r="K2683" s="255">
        <v>0</v>
      </c>
      <c r="L2683" s="255">
        <v>0</v>
      </c>
      <c r="M2683" s="255">
        <v>6</v>
      </c>
      <c r="N2683" s="255">
        <v>14</v>
      </c>
      <c r="O2683" s="255">
        <v>0</v>
      </c>
      <c r="P2683" s="255">
        <v>0</v>
      </c>
      <c r="Q2683" s="255">
        <v>4</v>
      </c>
      <c r="R2683" s="255">
        <v>2</v>
      </c>
      <c r="S2683" s="255" t="s">
        <v>488</v>
      </c>
      <c r="T2683" s="255" t="s">
        <v>488</v>
      </c>
      <c r="U2683" s="255" t="s">
        <v>488</v>
      </c>
      <c r="V2683" s="255" t="s">
        <v>488</v>
      </c>
      <c r="W2683">
        <f t="shared" si="43"/>
        <v>16</v>
      </c>
    </row>
    <row r="2684" spans="1:23" x14ac:dyDescent="0.25">
      <c r="A2684" s="2" t="s">
        <v>1380</v>
      </c>
      <c r="B2684" s="2" t="s">
        <v>921</v>
      </c>
      <c r="C2684" s="2">
        <v>540183</v>
      </c>
      <c r="D2684" s="2" t="s">
        <v>823</v>
      </c>
      <c r="E2684" s="2" t="s">
        <v>77</v>
      </c>
      <c r="F2684" s="2" t="s">
        <v>5</v>
      </c>
      <c r="G2684" s="2">
        <v>5</v>
      </c>
      <c r="H2684" s="2">
        <v>11</v>
      </c>
      <c r="I2684" s="2">
        <v>0</v>
      </c>
      <c r="J2684" s="2">
        <v>0</v>
      </c>
      <c r="K2684" s="2">
        <v>0</v>
      </c>
      <c r="L2684" s="2">
        <v>0</v>
      </c>
      <c r="M2684" s="2">
        <v>0</v>
      </c>
      <c r="N2684" s="2">
        <v>11</v>
      </c>
      <c r="O2684" s="2">
        <v>0</v>
      </c>
      <c r="P2684" s="2">
        <v>0</v>
      </c>
      <c r="Q2684" s="2">
        <v>2</v>
      </c>
      <c r="R2684" s="2">
        <v>5</v>
      </c>
      <c r="S2684" s="2" t="s">
        <v>488</v>
      </c>
      <c r="T2684" s="2" t="s">
        <v>488</v>
      </c>
      <c r="U2684" s="2" t="s">
        <v>488</v>
      </c>
      <c r="V2684" s="2" t="s">
        <v>488</v>
      </c>
      <c r="W2684">
        <f t="shared" si="43"/>
        <v>16</v>
      </c>
    </row>
    <row r="2685" spans="1:23" x14ac:dyDescent="0.25">
      <c r="A2685" s="2" t="s">
        <v>1380</v>
      </c>
      <c r="B2685" s="2" t="s">
        <v>921</v>
      </c>
      <c r="C2685" s="2">
        <v>540184</v>
      </c>
      <c r="D2685" s="2" t="s">
        <v>824</v>
      </c>
      <c r="E2685" s="2" t="s">
        <v>77</v>
      </c>
      <c r="F2685" s="2" t="s">
        <v>115</v>
      </c>
      <c r="G2685" s="2">
        <v>5</v>
      </c>
      <c r="H2685" s="2">
        <v>0</v>
      </c>
      <c r="I2685" s="2">
        <v>0</v>
      </c>
      <c r="J2685" s="2">
        <v>0</v>
      </c>
      <c r="K2685" s="2">
        <v>0</v>
      </c>
      <c r="L2685" s="2">
        <v>0</v>
      </c>
      <c r="M2685" s="2">
        <v>0</v>
      </c>
      <c r="N2685" s="2">
        <v>0</v>
      </c>
      <c r="O2685" s="2">
        <v>0</v>
      </c>
      <c r="P2685" s="2">
        <v>0</v>
      </c>
      <c r="Q2685" s="2">
        <v>0</v>
      </c>
      <c r="R2685" s="2">
        <v>0</v>
      </c>
      <c r="S2685" s="2" t="s">
        <v>488</v>
      </c>
      <c r="T2685" s="2" t="s">
        <v>488</v>
      </c>
      <c r="U2685" s="2" t="s">
        <v>488</v>
      </c>
      <c r="V2685" s="2" t="s">
        <v>488</v>
      </c>
      <c r="W2685">
        <f t="shared" si="43"/>
        <v>0</v>
      </c>
    </row>
    <row r="2686" spans="1:23" x14ac:dyDescent="0.25">
      <c r="A2686" s="2" t="s">
        <v>1380</v>
      </c>
      <c r="B2686" s="2" t="s">
        <v>921</v>
      </c>
      <c r="C2686" s="2">
        <v>540185</v>
      </c>
      <c r="D2686" s="2" t="s">
        <v>825</v>
      </c>
      <c r="E2686" s="2" t="s">
        <v>77</v>
      </c>
      <c r="F2686" s="2" t="s">
        <v>115</v>
      </c>
      <c r="G2686" s="2">
        <v>5</v>
      </c>
      <c r="H2686" s="2">
        <v>0</v>
      </c>
      <c r="I2686" s="2">
        <v>2</v>
      </c>
      <c r="J2686" s="2">
        <v>0</v>
      </c>
      <c r="K2686" s="2">
        <v>0</v>
      </c>
      <c r="L2686" s="2">
        <v>0</v>
      </c>
      <c r="M2686" s="2">
        <v>2</v>
      </c>
      <c r="N2686" s="2">
        <v>2</v>
      </c>
      <c r="O2686" s="2">
        <v>0</v>
      </c>
      <c r="P2686" s="2">
        <v>0</v>
      </c>
      <c r="Q2686" s="2">
        <v>0</v>
      </c>
      <c r="R2686" s="2">
        <v>0</v>
      </c>
      <c r="S2686" s="2" t="s">
        <v>488</v>
      </c>
      <c r="T2686" s="2" t="s">
        <v>488</v>
      </c>
      <c r="U2686" s="2" t="s">
        <v>488</v>
      </c>
      <c r="V2686" s="2" t="s">
        <v>488</v>
      </c>
      <c r="W2686">
        <f t="shared" si="43"/>
        <v>2</v>
      </c>
    </row>
    <row r="2687" spans="1:23" x14ac:dyDescent="0.25">
      <c r="A2687" s="255" t="s">
        <v>1380</v>
      </c>
      <c r="B2687" s="255" t="s">
        <v>921</v>
      </c>
      <c r="C2687" s="255"/>
      <c r="D2687" s="255"/>
      <c r="E2687" s="255" t="s">
        <v>77</v>
      </c>
      <c r="F2687" s="255"/>
      <c r="G2687" s="255"/>
      <c r="H2687" s="255">
        <v>11</v>
      </c>
      <c r="I2687" s="255">
        <v>2</v>
      </c>
      <c r="J2687" s="255">
        <v>0</v>
      </c>
      <c r="K2687" s="255">
        <v>0</v>
      </c>
      <c r="L2687" s="255">
        <v>0</v>
      </c>
      <c r="M2687" s="255">
        <v>2</v>
      </c>
      <c r="N2687" s="255">
        <v>13</v>
      </c>
      <c r="O2687" s="255">
        <v>0</v>
      </c>
      <c r="P2687" s="255">
        <v>0</v>
      </c>
      <c r="Q2687" s="255">
        <v>2</v>
      </c>
      <c r="R2687" s="255">
        <v>5</v>
      </c>
      <c r="S2687" s="255" t="s">
        <v>488</v>
      </c>
      <c r="T2687" s="255" t="s">
        <v>488</v>
      </c>
      <c r="U2687" s="255" t="s">
        <v>488</v>
      </c>
      <c r="V2687" s="255" t="s">
        <v>488</v>
      </c>
      <c r="W2687">
        <f t="shared" si="43"/>
        <v>18</v>
      </c>
    </row>
    <row r="2688" spans="1:23" x14ac:dyDescent="0.25">
      <c r="A2688" s="2" t="s">
        <v>1380</v>
      </c>
      <c r="B2688" s="2" t="s">
        <v>921</v>
      </c>
      <c r="C2688" s="2">
        <v>540186</v>
      </c>
      <c r="D2688" s="2" t="s">
        <v>826</v>
      </c>
      <c r="E2688" s="2" t="s">
        <v>79</v>
      </c>
      <c r="F2688" s="2" t="s">
        <v>5</v>
      </c>
      <c r="G2688" s="2">
        <v>1</v>
      </c>
      <c r="H2688" s="2">
        <v>1</v>
      </c>
      <c r="I2688" s="2">
        <v>3</v>
      </c>
      <c r="J2688" s="2">
        <v>0</v>
      </c>
      <c r="K2688" s="2">
        <v>0</v>
      </c>
      <c r="L2688" s="2">
        <v>0</v>
      </c>
      <c r="M2688" s="2">
        <v>3</v>
      </c>
      <c r="N2688" s="2">
        <v>4</v>
      </c>
      <c r="O2688" s="2">
        <v>0</v>
      </c>
      <c r="P2688" s="2">
        <v>0</v>
      </c>
      <c r="Q2688" s="2">
        <v>1</v>
      </c>
      <c r="R2688" s="2">
        <v>3</v>
      </c>
      <c r="S2688" s="2" t="s">
        <v>488</v>
      </c>
      <c r="T2688" s="2" t="s">
        <v>488</v>
      </c>
      <c r="U2688" s="2" t="s">
        <v>488</v>
      </c>
      <c r="V2688" s="2" t="s">
        <v>488</v>
      </c>
      <c r="W2688">
        <f t="shared" si="43"/>
        <v>7</v>
      </c>
    </row>
    <row r="2689" spans="1:23" x14ac:dyDescent="0.25">
      <c r="A2689" s="2" t="s">
        <v>1380</v>
      </c>
      <c r="B2689" s="2" t="s">
        <v>921</v>
      </c>
      <c r="C2689" s="2">
        <v>540187</v>
      </c>
      <c r="D2689" s="2" t="s">
        <v>827</v>
      </c>
      <c r="E2689" s="2" t="s">
        <v>79</v>
      </c>
      <c r="F2689" s="2" t="s">
        <v>115</v>
      </c>
      <c r="G2689" s="2">
        <v>1</v>
      </c>
      <c r="H2689" s="2">
        <v>0</v>
      </c>
      <c r="I2689" s="2">
        <v>1</v>
      </c>
      <c r="J2689" s="2">
        <v>0</v>
      </c>
      <c r="K2689" s="2">
        <v>0</v>
      </c>
      <c r="L2689" s="2">
        <v>0</v>
      </c>
      <c r="M2689" s="2">
        <v>1</v>
      </c>
      <c r="N2689" s="2">
        <v>1</v>
      </c>
      <c r="O2689" s="2">
        <v>0</v>
      </c>
      <c r="P2689" s="2">
        <v>0</v>
      </c>
      <c r="Q2689" s="2">
        <v>0</v>
      </c>
      <c r="R2689" s="2">
        <v>0</v>
      </c>
      <c r="S2689" s="2" t="s">
        <v>488</v>
      </c>
      <c r="T2689" s="2" t="s">
        <v>488</v>
      </c>
      <c r="U2689" s="2" t="s">
        <v>488</v>
      </c>
      <c r="V2689" s="2" t="s">
        <v>488</v>
      </c>
      <c r="W2689">
        <f t="shared" si="43"/>
        <v>1</v>
      </c>
    </row>
    <row r="2690" spans="1:23" x14ac:dyDescent="0.25">
      <c r="A2690" s="255" t="s">
        <v>1380</v>
      </c>
      <c r="B2690" s="255" t="s">
        <v>921</v>
      </c>
      <c r="C2690" s="255"/>
      <c r="D2690" s="255"/>
      <c r="E2690" s="255" t="s">
        <v>79</v>
      </c>
      <c r="F2690" s="255"/>
      <c r="G2690" s="255"/>
      <c r="H2690" s="255">
        <v>1</v>
      </c>
      <c r="I2690" s="255">
        <v>4</v>
      </c>
      <c r="J2690" s="255">
        <v>0</v>
      </c>
      <c r="K2690" s="255">
        <v>0</v>
      </c>
      <c r="L2690" s="255">
        <v>0</v>
      </c>
      <c r="M2690" s="255">
        <v>4</v>
      </c>
      <c r="N2690" s="255">
        <v>5</v>
      </c>
      <c r="O2690" s="255">
        <v>0</v>
      </c>
      <c r="P2690" s="255">
        <v>0</v>
      </c>
      <c r="Q2690" s="255">
        <v>1</v>
      </c>
      <c r="R2690" s="255">
        <v>3</v>
      </c>
      <c r="S2690" s="255" t="s">
        <v>488</v>
      </c>
      <c r="T2690" s="255" t="s">
        <v>488</v>
      </c>
      <c r="U2690" s="255" t="s">
        <v>488</v>
      </c>
      <c r="V2690" s="255" t="s">
        <v>488</v>
      </c>
      <c r="W2690">
        <f t="shared" si="43"/>
        <v>8</v>
      </c>
    </row>
    <row r="2691" spans="1:23" x14ac:dyDescent="0.25">
      <c r="A2691" s="2" t="s">
        <v>1380</v>
      </c>
      <c r="B2691" s="2" t="s">
        <v>921</v>
      </c>
      <c r="C2691" s="2">
        <v>540188</v>
      </c>
      <c r="D2691" s="2" t="s">
        <v>828</v>
      </c>
      <c r="E2691" s="2" t="s">
        <v>81</v>
      </c>
      <c r="F2691" s="2" t="s">
        <v>5</v>
      </c>
      <c r="G2691" s="2">
        <v>6</v>
      </c>
      <c r="H2691" s="2">
        <v>0</v>
      </c>
      <c r="I2691" s="2">
        <v>0</v>
      </c>
      <c r="J2691" s="2">
        <v>0</v>
      </c>
      <c r="K2691" s="2">
        <v>0</v>
      </c>
      <c r="L2691" s="2">
        <v>0</v>
      </c>
      <c r="M2691" s="2">
        <v>0</v>
      </c>
      <c r="N2691" s="2">
        <v>0</v>
      </c>
      <c r="O2691" s="2">
        <v>0</v>
      </c>
      <c r="P2691" s="2">
        <v>0</v>
      </c>
      <c r="Q2691" s="2">
        <v>0</v>
      </c>
      <c r="R2691" s="2">
        <v>3</v>
      </c>
      <c r="S2691" s="2" t="s">
        <v>488</v>
      </c>
      <c r="T2691" s="2" t="s">
        <v>488</v>
      </c>
      <c r="U2691" s="2" t="s">
        <v>488</v>
      </c>
      <c r="V2691" s="2" t="s">
        <v>488</v>
      </c>
      <c r="W2691">
        <f t="shared" ref="W2691:W2754" si="44">SUM(N2691,P2691,R2691,T2691)</f>
        <v>3</v>
      </c>
    </row>
    <row r="2692" spans="1:23" x14ac:dyDescent="0.25">
      <c r="A2692" s="2" t="s">
        <v>1380</v>
      </c>
      <c r="B2692" s="2" t="s">
        <v>921</v>
      </c>
      <c r="C2692" s="2">
        <v>540189</v>
      </c>
      <c r="D2692" s="2" t="s">
        <v>829</v>
      </c>
      <c r="E2692" s="2" t="s">
        <v>81</v>
      </c>
      <c r="F2692" s="2" t="s">
        <v>115</v>
      </c>
      <c r="G2692" s="2">
        <v>6</v>
      </c>
      <c r="H2692" s="2">
        <v>0</v>
      </c>
      <c r="I2692" s="2">
        <v>0</v>
      </c>
      <c r="J2692" s="2">
        <v>0</v>
      </c>
      <c r="K2692" s="2">
        <v>0</v>
      </c>
      <c r="L2692" s="2">
        <v>0</v>
      </c>
      <c r="M2692" s="2">
        <v>0</v>
      </c>
      <c r="N2692" s="2">
        <v>0</v>
      </c>
      <c r="O2692" s="2">
        <v>0</v>
      </c>
      <c r="P2692" s="2">
        <v>0</v>
      </c>
      <c r="Q2692" s="2">
        <v>0</v>
      </c>
      <c r="R2692" s="2">
        <v>0</v>
      </c>
      <c r="S2692" s="2" t="s">
        <v>488</v>
      </c>
      <c r="T2692" s="2" t="s">
        <v>488</v>
      </c>
      <c r="U2692" s="2" t="s">
        <v>488</v>
      </c>
      <c r="V2692" s="2" t="s">
        <v>488</v>
      </c>
      <c r="W2692">
        <f t="shared" si="44"/>
        <v>0</v>
      </c>
    </row>
    <row r="2693" spans="1:23" x14ac:dyDescent="0.25">
      <c r="A2693" s="2" t="s">
        <v>1380</v>
      </c>
      <c r="B2693" s="2" t="s">
        <v>921</v>
      </c>
      <c r="C2693" s="2">
        <v>540190</v>
      </c>
      <c r="D2693" s="2" t="s">
        <v>830</v>
      </c>
      <c r="E2693" s="2" t="s">
        <v>81</v>
      </c>
      <c r="F2693" s="2" t="s">
        <v>115</v>
      </c>
      <c r="G2693" s="2">
        <v>6</v>
      </c>
      <c r="H2693" s="2">
        <v>0</v>
      </c>
      <c r="I2693" s="2">
        <v>0</v>
      </c>
      <c r="J2693" s="2">
        <v>0</v>
      </c>
      <c r="K2693" s="2">
        <v>0</v>
      </c>
      <c r="L2693" s="2">
        <v>0</v>
      </c>
      <c r="M2693" s="2">
        <v>0</v>
      </c>
      <c r="N2693" s="2">
        <v>0</v>
      </c>
      <c r="O2693" s="2">
        <v>0</v>
      </c>
      <c r="P2693" s="2">
        <v>0</v>
      </c>
      <c r="Q2693" s="2">
        <v>0</v>
      </c>
      <c r="R2693" s="2">
        <v>0</v>
      </c>
      <c r="S2693" s="2" t="s">
        <v>488</v>
      </c>
      <c r="T2693" s="2" t="s">
        <v>488</v>
      </c>
      <c r="U2693" s="2" t="s">
        <v>488</v>
      </c>
      <c r="V2693" s="2" t="s">
        <v>488</v>
      </c>
      <c r="W2693">
        <f t="shared" si="44"/>
        <v>0</v>
      </c>
    </row>
    <row r="2694" spans="1:23" x14ac:dyDescent="0.25">
      <c r="A2694" s="255" t="s">
        <v>1380</v>
      </c>
      <c r="B2694" s="255" t="s">
        <v>921</v>
      </c>
      <c r="C2694" s="255"/>
      <c r="D2694" s="255"/>
      <c r="E2694" s="255" t="s">
        <v>81</v>
      </c>
      <c r="F2694" s="255"/>
      <c r="G2694" s="255"/>
      <c r="H2694" s="255">
        <v>0</v>
      </c>
      <c r="I2694" s="255">
        <v>0</v>
      </c>
      <c r="J2694" s="255">
        <v>0</v>
      </c>
      <c r="K2694" s="255">
        <v>0</v>
      </c>
      <c r="L2694" s="255">
        <v>0</v>
      </c>
      <c r="M2694" s="255">
        <v>0</v>
      </c>
      <c r="N2694" s="255">
        <v>0</v>
      </c>
      <c r="O2694" s="255">
        <v>0</v>
      </c>
      <c r="P2694" s="255">
        <v>0</v>
      </c>
      <c r="Q2694" s="255">
        <v>0</v>
      </c>
      <c r="R2694" s="255">
        <v>3</v>
      </c>
      <c r="S2694" s="255" t="s">
        <v>488</v>
      </c>
      <c r="T2694" s="255" t="s">
        <v>488</v>
      </c>
      <c r="U2694" s="255" t="s">
        <v>488</v>
      </c>
      <c r="V2694" s="255" t="s">
        <v>488</v>
      </c>
      <c r="W2694">
        <f t="shared" si="44"/>
        <v>3</v>
      </c>
    </row>
    <row r="2695" spans="1:23" x14ac:dyDescent="0.25">
      <c r="A2695" s="2" t="s">
        <v>1380</v>
      </c>
      <c r="B2695" s="2" t="s">
        <v>921</v>
      </c>
      <c r="C2695" s="2">
        <v>540198</v>
      </c>
      <c r="D2695" s="2" t="s">
        <v>831</v>
      </c>
      <c r="E2695" s="2" t="s">
        <v>83</v>
      </c>
      <c r="F2695" s="2" t="s">
        <v>5</v>
      </c>
      <c r="G2695" s="2">
        <v>7</v>
      </c>
      <c r="H2695" s="2">
        <v>1</v>
      </c>
      <c r="I2695" s="2">
        <v>0</v>
      </c>
      <c r="J2695" s="2">
        <v>0</v>
      </c>
      <c r="K2695" s="2">
        <v>0</v>
      </c>
      <c r="L2695" s="2">
        <v>0</v>
      </c>
      <c r="M2695" s="2">
        <v>0</v>
      </c>
      <c r="N2695" s="2">
        <v>1</v>
      </c>
      <c r="O2695" s="2">
        <v>0</v>
      </c>
      <c r="P2695" s="2">
        <v>0</v>
      </c>
      <c r="Q2695" s="2" t="s">
        <v>488</v>
      </c>
      <c r="R2695" s="2" t="s">
        <v>488</v>
      </c>
      <c r="S2695" s="2" t="s">
        <v>488</v>
      </c>
      <c r="T2695" s="2" t="s">
        <v>488</v>
      </c>
      <c r="U2695" s="2" t="s">
        <v>488</v>
      </c>
      <c r="V2695" s="2" t="s">
        <v>488</v>
      </c>
      <c r="W2695">
        <f t="shared" si="44"/>
        <v>1</v>
      </c>
    </row>
    <row r="2696" spans="1:23" x14ac:dyDescent="0.25">
      <c r="A2696" s="2" t="s">
        <v>1380</v>
      </c>
      <c r="B2696" s="2" t="s">
        <v>921</v>
      </c>
      <c r="C2696" s="2">
        <v>540199</v>
      </c>
      <c r="D2696" s="2" t="s">
        <v>832</v>
      </c>
      <c r="E2696" s="2" t="s">
        <v>83</v>
      </c>
      <c r="F2696" s="2" t="s">
        <v>115</v>
      </c>
      <c r="G2696" s="2">
        <v>7</v>
      </c>
      <c r="H2696" s="2">
        <v>0</v>
      </c>
      <c r="I2696" s="2">
        <v>6</v>
      </c>
      <c r="J2696" s="2">
        <v>0</v>
      </c>
      <c r="K2696" s="2">
        <v>0</v>
      </c>
      <c r="L2696" s="2">
        <v>0</v>
      </c>
      <c r="M2696" s="2">
        <v>6</v>
      </c>
      <c r="N2696" s="2">
        <v>6</v>
      </c>
      <c r="O2696" s="2">
        <v>0</v>
      </c>
      <c r="P2696" s="2">
        <v>0</v>
      </c>
      <c r="Q2696" s="2" t="s">
        <v>488</v>
      </c>
      <c r="R2696" s="2" t="s">
        <v>488</v>
      </c>
      <c r="S2696" s="2" t="s">
        <v>488</v>
      </c>
      <c r="T2696" s="2" t="s">
        <v>488</v>
      </c>
      <c r="U2696" s="2" t="s">
        <v>488</v>
      </c>
      <c r="V2696" s="2" t="s">
        <v>488</v>
      </c>
      <c r="W2696">
        <f t="shared" si="44"/>
        <v>6</v>
      </c>
    </row>
    <row r="2697" spans="1:23" x14ac:dyDescent="0.25">
      <c r="A2697" s="255" t="s">
        <v>1380</v>
      </c>
      <c r="B2697" s="255" t="s">
        <v>921</v>
      </c>
      <c r="C2697" s="255"/>
      <c r="D2697" s="255"/>
      <c r="E2697" s="255" t="s">
        <v>83</v>
      </c>
      <c r="F2697" s="255"/>
      <c r="G2697" s="255"/>
      <c r="H2697" s="255">
        <v>1</v>
      </c>
      <c r="I2697" s="255">
        <v>6</v>
      </c>
      <c r="J2697" s="255">
        <v>0</v>
      </c>
      <c r="K2697" s="255">
        <v>0</v>
      </c>
      <c r="L2697" s="255">
        <v>0</v>
      </c>
      <c r="M2697" s="255">
        <v>6</v>
      </c>
      <c r="N2697" s="255">
        <v>7</v>
      </c>
      <c r="O2697" s="255">
        <v>0</v>
      </c>
      <c r="P2697" s="255">
        <v>0</v>
      </c>
      <c r="Q2697" s="255" t="s">
        <v>488</v>
      </c>
      <c r="R2697" s="255" t="s">
        <v>488</v>
      </c>
      <c r="S2697" s="255" t="s">
        <v>488</v>
      </c>
      <c r="T2697" s="255" t="s">
        <v>488</v>
      </c>
      <c r="U2697" s="255" t="s">
        <v>488</v>
      </c>
      <c r="V2697" s="255" t="s">
        <v>488</v>
      </c>
      <c r="W2697">
        <f t="shared" si="44"/>
        <v>7</v>
      </c>
    </row>
    <row r="2698" spans="1:23" x14ac:dyDescent="0.25">
      <c r="A2698" s="2" t="s">
        <v>1380</v>
      </c>
      <c r="B2698" s="2" t="s">
        <v>921</v>
      </c>
      <c r="C2698" s="2">
        <v>540200</v>
      </c>
      <c r="D2698" s="2" t="s">
        <v>833</v>
      </c>
      <c r="E2698" s="2" t="s">
        <v>85</v>
      </c>
      <c r="F2698" s="2" t="s">
        <v>5</v>
      </c>
      <c r="G2698" s="2">
        <v>2</v>
      </c>
      <c r="H2698" s="2">
        <v>7</v>
      </c>
      <c r="I2698" s="2">
        <v>15</v>
      </c>
      <c r="J2698" s="2">
        <v>3</v>
      </c>
      <c r="K2698" s="2">
        <v>0</v>
      </c>
      <c r="L2698" s="2">
        <v>0</v>
      </c>
      <c r="M2698" s="2">
        <v>18</v>
      </c>
      <c r="N2698" s="2">
        <v>25</v>
      </c>
      <c r="O2698" s="2">
        <v>0</v>
      </c>
      <c r="P2698" s="2">
        <v>0</v>
      </c>
      <c r="Q2698" s="2">
        <v>1</v>
      </c>
      <c r="R2698" s="2">
        <v>3</v>
      </c>
      <c r="S2698" s="2" t="s">
        <v>488</v>
      </c>
      <c r="T2698" s="2" t="s">
        <v>488</v>
      </c>
      <c r="U2698" s="2" t="s">
        <v>488</v>
      </c>
      <c r="V2698" s="2" t="s">
        <v>488</v>
      </c>
      <c r="W2698">
        <f t="shared" si="44"/>
        <v>28</v>
      </c>
    </row>
    <row r="2699" spans="1:23" x14ac:dyDescent="0.25">
      <c r="A2699" s="2" t="s">
        <v>1380</v>
      </c>
      <c r="B2699" s="2" t="s">
        <v>921</v>
      </c>
      <c r="C2699" s="2">
        <v>540018</v>
      </c>
      <c r="D2699" s="2" t="s">
        <v>651</v>
      </c>
      <c r="E2699" s="2" t="s">
        <v>85</v>
      </c>
      <c r="F2699" s="2" t="s">
        <v>115</v>
      </c>
      <c r="G2699" s="2">
        <v>2</v>
      </c>
      <c r="H2699" s="2">
        <v>0</v>
      </c>
      <c r="I2699" s="2">
        <v>2</v>
      </c>
      <c r="J2699" s="2">
        <v>0</v>
      </c>
      <c r="K2699" s="2">
        <v>0</v>
      </c>
      <c r="L2699" s="2">
        <v>0</v>
      </c>
      <c r="M2699" s="2">
        <v>2</v>
      </c>
      <c r="N2699" s="2">
        <v>2</v>
      </c>
      <c r="O2699" s="2">
        <v>0</v>
      </c>
      <c r="P2699" s="2">
        <v>0</v>
      </c>
      <c r="Q2699" s="2">
        <v>0</v>
      </c>
      <c r="R2699" s="2">
        <v>0</v>
      </c>
      <c r="S2699" s="2" t="s">
        <v>488</v>
      </c>
      <c r="T2699" s="2" t="s">
        <v>488</v>
      </c>
      <c r="U2699" s="2" t="s">
        <v>488</v>
      </c>
      <c r="V2699" s="2" t="s">
        <v>488</v>
      </c>
      <c r="W2699">
        <f t="shared" si="44"/>
        <v>2</v>
      </c>
    </row>
    <row r="2700" spans="1:23" x14ac:dyDescent="0.25">
      <c r="A2700" s="2" t="s">
        <v>1380</v>
      </c>
      <c r="B2700" s="2" t="s">
        <v>921</v>
      </c>
      <c r="C2700" s="2">
        <v>540202</v>
      </c>
      <c r="D2700" s="2" t="s">
        <v>834</v>
      </c>
      <c r="E2700" s="2" t="s">
        <v>85</v>
      </c>
      <c r="F2700" s="2" t="s">
        <v>115</v>
      </c>
      <c r="G2700" s="2">
        <v>2</v>
      </c>
      <c r="H2700" s="2">
        <v>0</v>
      </c>
      <c r="I2700" s="2">
        <v>0</v>
      </c>
      <c r="J2700" s="2">
        <v>0</v>
      </c>
      <c r="K2700" s="2">
        <v>0</v>
      </c>
      <c r="L2700" s="2">
        <v>0</v>
      </c>
      <c r="M2700" s="2">
        <v>0</v>
      </c>
      <c r="N2700" s="2">
        <v>0</v>
      </c>
      <c r="O2700" s="2">
        <v>0</v>
      </c>
      <c r="P2700" s="2">
        <v>0</v>
      </c>
      <c r="Q2700" s="2">
        <v>0</v>
      </c>
      <c r="R2700" s="2">
        <v>0</v>
      </c>
      <c r="S2700" s="2" t="s">
        <v>488</v>
      </c>
      <c r="T2700" s="2" t="s">
        <v>488</v>
      </c>
      <c r="U2700" s="2" t="s">
        <v>488</v>
      </c>
      <c r="V2700" s="2" t="s">
        <v>488</v>
      </c>
      <c r="W2700">
        <f t="shared" si="44"/>
        <v>0</v>
      </c>
    </row>
    <row r="2701" spans="1:23" x14ac:dyDescent="0.25">
      <c r="A2701" s="2" t="s">
        <v>1380</v>
      </c>
      <c r="B2701" s="2" t="s">
        <v>921</v>
      </c>
      <c r="C2701" s="2">
        <v>540221</v>
      </c>
      <c r="D2701" s="2" t="s">
        <v>835</v>
      </c>
      <c r="E2701" s="2" t="s">
        <v>85</v>
      </c>
      <c r="F2701" s="2" t="s">
        <v>115</v>
      </c>
      <c r="G2701" s="2">
        <v>2</v>
      </c>
      <c r="H2701" s="2">
        <v>0</v>
      </c>
      <c r="I2701" s="2">
        <v>1</v>
      </c>
      <c r="J2701" s="2">
        <v>0</v>
      </c>
      <c r="K2701" s="2">
        <v>0</v>
      </c>
      <c r="L2701" s="2">
        <v>0</v>
      </c>
      <c r="M2701" s="2">
        <v>1</v>
      </c>
      <c r="N2701" s="2">
        <v>1</v>
      </c>
      <c r="O2701" s="2">
        <v>0</v>
      </c>
      <c r="P2701" s="2">
        <v>0</v>
      </c>
      <c r="Q2701" s="2">
        <v>0</v>
      </c>
      <c r="R2701" s="2">
        <v>0</v>
      </c>
      <c r="S2701" s="2" t="s">
        <v>488</v>
      </c>
      <c r="T2701" s="2" t="s">
        <v>488</v>
      </c>
      <c r="U2701" s="2" t="s">
        <v>488</v>
      </c>
      <c r="V2701" s="2" t="s">
        <v>488</v>
      </c>
      <c r="W2701">
        <f t="shared" si="44"/>
        <v>1</v>
      </c>
    </row>
    <row r="2702" spans="1:23" x14ac:dyDescent="0.25">
      <c r="A2702" s="2" t="s">
        <v>1380</v>
      </c>
      <c r="B2702" s="2" t="s">
        <v>921</v>
      </c>
      <c r="C2702" s="2">
        <v>540231</v>
      </c>
      <c r="D2702" s="2" t="s">
        <v>836</v>
      </c>
      <c r="E2702" s="2" t="s">
        <v>85</v>
      </c>
      <c r="F2702" s="2" t="s">
        <v>115</v>
      </c>
      <c r="G2702" s="2">
        <v>2</v>
      </c>
      <c r="H2702" s="2">
        <v>0</v>
      </c>
      <c r="I2702" s="2">
        <v>0</v>
      </c>
      <c r="J2702" s="2">
        <v>0</v>
      </c>
      <c r="K2702" s="2">
        <v>0</v>
      </c>
      <c r="L2702" s="2">
        <v>0</v>
      </c>
      <c r="M2702" s="2">
        <v>0</v>
      </c>
      <c r="N2702" s="2">
        <v>0</v>
      </c>
      <c r="O2702" s="2">
        <v>0</v>
      </c>
      <c r="P2702" s="2">
        <v>0</v>
      </c>
      <c r="Q2702" s="2">
        <v>0</v>
      </c>
      <c r="R2702" s="2">
        <v>0</v>
      </c>
      <c r="S2702" s="2" t="s">
        <v>488</v>
      </c>
      <c r="T2702" s="2" t="s">
        <v>488</v>
      </c>
      <c r="U2702" s="2" t="s">
        <v>488</v>
      </c>
      <c r="V2702" s="2" t="s">
        <v>488</v>
      </c>
      <c r="W2702">
        <f t="shared" si="44"/>
        <v>0</v>
      </c>
    </row>
    <row r="2703" spans="1:23" x14ac:dyDescent="0.25">
      <c r="A2703" s="2" t="s">
        <v>1380</v>
      </c>
      <c r="B2703" s="2" t="s">
        <v>921</v>
      </c>
      <c r="C2703" s="2">
        <v>540232</v>
      </c>
      <c r="D2703" s="2" t="s">
        <v>837</v>
      </c>
      <c r="E2703" s="2" t="s">
        <v>85</v>
      </c>
      <c r="F2703" s="2" t="s">
        <v>115</v>
      </c>
      <c r="G2703" s="2">
        <v>2</v>
      </c>
      <c r="H2703" s="2">
        <v>0</v>
      </c>
      <c r="I2703" s="2">
        <v>0</v>
      </c>
      <c r="J2703" s="2">
        <v>0</v>
      </c>
      <c r="K2703" s="2">
        <v>0</v>
      </c>
      <c r="L2703" s="2">
        <v>0</v>
      </c>
      <c r="M2703" s="2">
        <v>0</v>
      </c>
      <c r="N2703" s="2">
        <v>0</v>
      </c>
      <c r="O2703" s="2">
        <v>0</v>
      </c>
      <c r="P2703" s="2">
        <v>0</v>
      </c>
      <c r="Q2703" s="2">
        <v>0</v>
      </c>
      <c r="R2703" s="2">
        <v>0</v>
      </c>
      <c r="S2703" s="2" t="s">
        <v>488</v>
      </c>
      <c r="T2703" s="2" t="s">
        <v>488</v>
      </c>
      <c r="U2703" s="2" t="s">
        <v>488</v>
      </c>
      <c r="V2703" s="2" t="s">
        <v>488</v>
      </c>
      <c r="W2703">
        <f t="shared" si="44"/>
        <v>0</v>
      </c>
    </row>
    <row r="2704" spans="1:23" x14ac:dyDescent="0.25">
      <c r="A2704" s="255" t="s">
        <v>1380</v>
      </c>
      <c r="B2704" s="255" t="s">
        <v>921</v>
      </c>
      <c r="C2704" s="255"/>
      <c r="D2704" s="255"/>
      <c r="E2704" s="255" t="s">
        <v>85</v>
      </c>
      <c r="F2704" s="255"/>
      <c r="G2704" s="255"/>
      <c r="H2704" s="255">
        <v>7</v>
      </c>
      <c r="I2704" s="255">
        <v>18</v>
      </c>
      <c r="J2704" s="255">
        <v>3</v>
      </c>
      <c r="K2704" s="255">
        <v>0</v>
      </c>
      <c r="L2704" s="255">
        <v>0</v>
      </c>
      <c r="M2704" s="255">
        <v>21</v>
      </c>
      <c r="N2704" s="255">
        <v>28</v>
      </c>
      <c r="O2704" s="255">
        <v>0</v>
      </c>
      <c r="P2704" s="255">
        <v>0</v>
      </c>
      <c r="Q2704" s="255">
        <v>1</v>
      </c>
      <c r="R2704" s="255">
        <v>3</v>
      </c>
      <c r="S2704" s="255" t="s">
        <v>488</v>
      </c>
      <c r="T2704" s="255" t="s">
        <v>488</v>
      </c>
      <c r="U2704" s="255" t="s">
        <v>488</v>
      </c>
      <c r="V2704" s="255" t="s">
        <v>488</v>
      </c>
      <c r="W2704">
        <f t="shared" si="44"/>
        <v>31</v>
      </c>
    </row>
    <row r="2705" spans="1:23" x14ac:dyDescent="0.25">
      <c r="A2705" s="2" t="s">
        <v>1380</v>
      </c>
      <c r="B2705" s="2" t="s">
        <v>921</v>
      </c>
      <c r="C2705" s="2">
        <v>540203</v>
      </c>
      <c r="D2705" s="2" t="s">
        <v>838</v>
      </c>
      <c r="E2705" s="2" t="s">
        <v>87</v>
      </c>
      <c r="F2705" s="2" t="s">
        <v>5</v>
      </c>
      <c r="G2705" s="2">
        <v>4</v>
      </c>
      <c r="H2705" s="2">
        <v>3</v>
      </c>
      <c r="I2705" s="2">
        <v>2</v>
      </c>
      <c r="J2705" s="2">
        <v>3</v>
      </c>
      <c r="K2705" s="2">
        <v>0</v>
      </c>
      <c r="L2705" s="2">
        <v>0</v>
      </c>
      <c r="M2705" s="2">
        <v>5</v>
      </c>
      <c r="N2705" s="2">
        <v>8</v>
      </c>
      <c r="O2705" s="2">
        <v>0</v>
      </c>
      <c r="P2705" s="2">
        <v>0</v>
      </c>
      <c r="Q2705" s="2" t="s">
        <v>488</v>
      </c>
      <c r="R2705" s="2" t="s">
        <v>488</v>
      </c>
      <c r="S2705" s="2" t="s">
        <v>488</v>
      </c>
      <c r="T2705" s="2" t="s">
        <v>488</v>
      </c>
      <c r="U2705" s="2" t="s">
        <v>488</v>
      </c>
      <c r="V2705" s="2" t="s">
        <v>488</v>
      </c>
      <c r="W2705">
        <f t="shared" si="44"/>
        <v>8</v>
      </c>
    </row>
    <row r="2706" spans="1:23" x14ac:dyDescent="0.25">
      <c r="A2706" s="2" t="s">
        <v>1380</v>
      </c>
      <c r="B2706" s="2" t="s">
        <v>921</v>
      </c>
      <c r="C2706" s="2">
        <v>540204</v>
      </c>
      <c r="D2706" s="2" t="s">
        <v>839</v>
      </c>
      <c r="E2706" s="2" t="s">
        <v>87</v>
      </c>
      <c r="F2706" s="2" t="s">
        <v>115</v>
      </c>
      <c r="G2706" s="2">
        <v>4</v>
      </c>
      <c r="H2706" s="2">
        <v>0</v>
      </c>
      <c r="I2706" s="2">
        <v>2</v>
      </c>
      <c r="J2706" s="2">
        <v>0</v>
      </c>
      <c r="K2706" s="2">
        <v>0</v>
      </c>
      <c r="L2706" s="2">
        <v>0</v>
      </c>
      <c r="M2706" s="2">
        <v>2</v>
      </c>
      <c r="N2706" s="2">
        <v>2</v>
      </c>
      <c r="O2706" s="2">
        <v>0</v>
      </c>
      <c r="P2706" s="2">
        <v>0</v>
      </c>
      <c r="Q2706" s="2" t="s">
        <v>488</v>
      </c>
      <c r="R2706" s="2" t="s">
        <v>488</v>
      </c>
      <c r="S2706" s="2" t="s">
        <v>488</v>
      </c>
      <c r="T2706" s="2" t="s">
        <v>488</v>
      </c>
      <c r="U2706" s="2" t="s">
        <v>488</v>
      </c>
      <c r="V2706" s="2" t="s">
        <v>488</v>
      </c>
      <c r="W2706">
        <f t="shared" si="44"/>
        <v>2</v>
      </c>
    </row>
    <row r="2707" spans="1:23" x14ac:dyDescent="0.25">
      <c r="A2707" s="2" t="s">
        <v>1380</v>
      </c>
      <c r="B2707" s="2" t="s">
        <v>921</v>
      </c>
      <c r="C2707" s="2">
        <v>540205</v>
      </c>
      <c r="D2707" s="2" t="s">
        <v>840</v>
      </c>
      <c r="E2707" s="2" t="s">
        <v>87</v>
      </c>
      <c r="F2707" s="2" t="s">
        <v>115</v>
      </c>
      <c r="G2707" s="2">
        <v>4</v>
      </c>
      <c r="H2707" s="2">
        <v>0</v>
      </c>
      <c r="I2707" s="2">
        <v>0</v>
      </c>
      <c r="J2707" s="2">
        <v>0</v>
      </c>
      <c r="K2707" s="2">
        <v>0</v>
      </c>
      <c r="L2707" s="2">
        <v>0</v>
      </c>
      <c r="M2707" s="2">
        <v>0</v>
      </c>
      <c r="N2707" s="2">
        <v>0</v>
      </c>
      <c r="O2707" s="2">
        <v>0</v>
      </c>
      <c r="P2707" s="2">
        <v>0</v>
      </c>
      <c r="Q2707" s="2" t="s">
        <v>488</v>
      </c>
      <c r="R2707" s="2" t="s">
        <v>488</v>
      </c>
      <c r="S2707" s="2" t="s">
        <v>488</v>
      </c>
      <c r="T2707" s="2" t="s">
        <v>488</v>
      </c>
      <c r="U2707" s="2" t="s">
        <v>488</v>
      </c>
      <c r="V2707" s="2" t="s">
        <v>488</v>
      </c>
      <c r="W2707">
        <f t="shared" si="44"/>
        <v>0</v>
      </c>
    </row>
    <row r="2708" spans="1:23" x14ac:dyDescent="0.25">
      <c r="A2708" s="2" t="s">
        <v>1380</v>
      </c>
      <c r="B2708" s="2" t="s">
        <v>921</v>
      </c>
      <c r="C2708" s="2">
        <v>540206</v>
      </c>
      <c r="D2708" s="2" t="s">
        <v>841</v>
      </c>
      <c r="E2708" s="2" t="s">
        <v>87</v>
      </c>
      <c r="F2708" s="2" t="s">
        <v>115</v>
      </c>
      <c r="G2708" s="2">
        <v>4</v>
      </c>
      <c r="H2708" s="2">
        <v>0</v>
      </c>
      <c r="I2708" s="2">
        <v>0</v>
      </c>
      <c r="J2708" s="2">
        <v>0</v>
      </c>
      <c r="K2708" s="2">
        <v>0</v>
      </c>
      <c r="L2708" s="2">
        <v>0</v>
      </c>
      <c r="M2708" s="2">
        <v>0</v>
      </c>
      <c r="N2708" s="2">
        <v>0</v>
      </c>
      <c r="O2708" s="2">
        <v>0</v>
      </c>
      <c r="P2708" s="2">
        <v>0</v>
      </c>
      <c r="Q2708" s="2" t="s">
        <v>488</v>
      </c>
      <c r="R2708" s="2" t="s">
        <v>488</v>
      </c>
      <c r="S2708" s="2" t="s">
        <v>488</v>
      </c>
      <c r="T2708" s="2" t="s">
        <v>488</v>
      </c>
      <c r="U2708" s="2" t="s">
        <v>488</v>
      </c>
      <c r="V2708" s="2" t="s">
        <v>488</v>
      </c>
      <c r="W2708">
        <f t="shared" si="44"/>
        <v>0</v>
      </c>
    </row>
    <row r="2709" spans="1:23" x14ac:dyDescent="0.25">
      <c r="A2709" s="255" t="s">
        <v>1380</v>
      </c>
      <c r="B2709" s="255" t="s">
        <v>921</v>
      </c>
      <c r="C2709" s="255"/>
      <c r="D2709" s="255"/>
      <c r="E2709" s="255" t="s">
        <v>87</v>
      </c>
      <c r="F2709" s="255"/>
      <c r="G2709" s="255"/>
      <c r="H2709" s="255">
        <v>3</v>
      </c>
      <c r="I2709" s="255">
        <v>4</v>
      </c>
      <c r="J2709" s="255">
        <v>3</v>
      </c>
      <c r="K2709" s="255">
        <v>0</v>
      </c>
      <c r="L2709" s="255">
        <v>0</v>
      </c>
      <c r="M2709" s="255">
        <v>7</v>
      </c>
      <c r="N2709" s="255">
        <v>10</v>
      </c>
      <c r="O2709" s="255">
        <v>0</v>
      </c>
      <c r="P2709" s="255">
        <v>0</v>
      </c>
      <c r="Q2709" s="255" t="s">
        <v>488</v>
      </c>
      <c r="R2709" s="255" t="s">
        <v>488</v>
      </c>
      <c r="S2709" s="255" t="s">
        <v>488</v>
      </c>
      <c r="T2709" s="255" t="s">
        <v>488</v>
      </c>
      <c r="U2709" s="255" t="s">
        <v>488</v>
      </c>
      <c r="V2709" s="255" t="s">
        <v>488</v>
      </c>
      <c r="W2709">
        <f t="shared" si="44"/>
        <v>10</v>
      </c>
    </row>
    <row r="2710" spans="1:23" x14ac:dyDescent="0.25">
      <c r="A2710" s="2" t="s">
        <v>1380</v>
      </c>
      <c r="B2710" s="2" t="s">
        <v>921</v>
      </c>
      <c r="C2710" s="2">
        <v>540207</v>
      </c>
      <c r="D2710" s="2" t="s">
        <v>842</v>
      </c>
      <c r="E2710" s="2" t="s">
        <v>89</v>
      </c>
      <c r="F2710" s="2" t="s">
        <v>5</v>
      </c>
      <c r="G2710" s="2">
        <v>10</v>
      </c>
      <c r="H2710" s="2">
        <v>9</v>
      </c>
      <c r="I2710" s="2">
        <v>1</v>
      </c>
      <c r="J2710" s="2">
        <v>0</v>
      </c>
      <c r="K2710" s="2">
        <v>0</v>
      </c>
      <c r="L2710" s="2">
        <v>0</v>
      </c>
      <c r="M2710" s="2">
        <v>1</v>
      </c>
      <c r="N2710" s="2">
        <v>10</v>
      </c>
      <c r="O2710" s="2">
        <v>0</v>
      </c>
      <c r="P2710" s="2">
        <v>0</v>
      </c>
      <c r="Q2710" s="2" t="s">
        <v>488</v>
      </c>
      <c r="R2710" s="2" t="s">
        <v>488</v>
      </c>
      <c r="S2710" s="2" t="s">
        <v>488</v>
      </c>
      <c r="T2710" s="2" t="s">
        <v>488</v>
      </c>
      <c r="U2710" s="2" t="s">
        <v>488</v>
      </c>
      <c r="V2710" s="2" t="s">
        <v>488</v>
      </c>
      <c r="W2710">
        <f t="shared" si="44"/>
        <v>10</v>
      </c>
    </row>
    <row r="2711" spans="1:23" x14ac:dyDescent="0.25">
      <c r="A2711" s="2" t="s">
        <v>1380</v>
      </c>
      <c r="B2711" s="2" t="s">
        <v>921</v>
      </c>
      <c r="C2711" s="2">
        <v>540196</v>
      </c>
      <c r="D2711" s="2" t="s">
        <v>843</v>
      </c>
      <c r="E2711" s="2" t="s">
        <v>89</v>
      </c>
      <c r="F2711" s="2" t="s">
        <v>115</v>
      </c>
      <c r="G2711" s="2">
        <v>5</v>
      </c>
      <c r="H2711" s="2">
        <v>0</v>
      </c>
      <c r="I2711" s="2">
        <v>0</v>
      </c>
      <c r="J2711" s="2">
        <v>0</v>
      </c>
      <c r="K2711" s="2">
        <v>0</v>
      </c>
      <c r="L2711" s="2">
        <v>0</v>
      </c>
      <c r="M2711" s="2">
        <v>0</v>
      </c>
      <c r="N2711" s="2">
        <v>0</v>
      </c>
      <c r="O2711" s="2">
        <v>0</v>
      </c>
      <c r="P2711" s="2">
        <v>0</v>
      </c>
      <c r="Q2711" s="2" t="s">
        <v>488</v>
      </c>
      <c r="R2711" s="2" t="s">
        <v>488</v>
      </c>
      <c r="S2711" s="2" t="s">
        <v>488</v>
      </c>
      <c r="T2711" s="2" t="s">
        <v>488</v>
      </c>
      <c r="U2711" s="2" t="s">
        <v>488</v>
      </c>
      <c r="V2711" s="2" t="s">
        <v>488</v>
      </c>
      <c r="W2711">
        <f t="shared" si="44"/>
        <v>0</v>
      </c>
    </row>
    <row r="2712" spans="1:23" x14ac:dyDescent="0.25">
      <c r="A2712" s="2" t="s">
        <v>1380</v>
      </c>
      <c r="B2712" s="2" t="s">
        <v>921</v>
      </c>
      <c r="C2712" s="2">
        <v>540208</v>
      </c>
      <c r="D2712" s="2" t="s">
        <v>844</v>
      </c>
      <c r="E2712" s="2" t="s">
        <v>89</v>
      </c>
      <c r="F2712" s="2" t="s">
        <v>115</v>
      </c>
      <c r="G2712" s="2">
        <v>10</v>
      </c>
      <c r="H2712" s="2">
        <v>0</v>
      </c>
      <c r="I2712" s="2">
        <v>8</v>
      </c>
      <c r="J2712" s="2">
        <v>1</v>
      </c>
      <c r="K2712" s="2">
        <v>0</v>
      </c>
      <c r="L2712" s="2">
        <v>0</v>
      </c>
      <c r="M2712" s="2">
        <v>9</v>
      </c>
      <c r="N2712" s="2">
        <v>9</v>
      </c>
      <c r="O2712" s="2">
        <v>0</v>
      </c>
      <c r="P2712" s="2">
        <v>0</v>
      </c>
      <c r="Q2712" s="2" t="s">
        <v>488</v>
      </c>
      <c r="R2712" s="2" t="s">
        <v>488</v>
      </c>
      <c r="S2712" s="2" t="s">
        <v>488</v>
      </c>
      <c r="T2712" s="2" t="s">
        <v>488</v>
      </c>
      <c r="U2712" s="2" t="s">
        <v>488</v>
      </c>
      <c r="V2712" s="2" t="s">
        <v>488</v>
      </c>
      <c r="W2712">
        <f t="shared" si="44"/>
        <v>9</v>
      </c>
    </row>
    <row r="2713" spans="1:23" x14ac:dyDescent="0.25">
      <c r="A2713" s="2" t="s">
        <v>1380</v>
      </c>
      <c r="B2713" s="2" t="s">
        <v>921</v>
      </c>
      <c r="C2713" s="2">
        <v>540210</v>
      </c>
      <c r="D2713" s="2" t="s">
        <v>845</v>
      </c>
      <c r="E2713" s="2" t="s">
        <v>89</v>
      </c>
      <c r="F2713" s="2" t="s">
        <v>115</v>
      </c>
      <c r="G2713" s="2">
        <v>10</v>
      </c>
      <c r="H2713" s="2">
        <v>0</v>
      </c>
      <c r="I2713" s="2">
        <v>0</v>
      </c>
      <c r="J2713" s="2">
        <v>0</v>
      </c>
      <c r="K2713" s="2">
        <v>0</v>
      </c>
      <c r="L2713" s="2">
        <v>0</v>
      </c>
      <c r="M2713" s="2">
        <v>0</v>
      </c>
      <c r="N2713" s="2">
        <v>0</v>
      </c>
      <c r="O2713" s="2">
        <v>0</v>
      </c>
      <c r="P2713" s="2">
        <v>0</v>
      </c>
      <c r="Q2713" s="2" t="s">
        <v>488</v>
      </c>
      <c r="R2713" s="2" t="s">
        <v>488</v>
      </c>
      <c r="S2713" s="2" t="s">
        <v>488</v>
      </c>
      <c r="T2713" s="2" t="s">
        <v>488</v>
      </c>
      <c r="U2713" s="2" t="s">
        <v>488</v>
      </c>
      <c r="V2713" s="2" t="s">
        <v>488</v>
      </c>
      <c r="W2713">
        <f t="shared" si="44"/>
        <v>0</v>
      </c>
    </row>
    <row r="2714" spans="1:23" x14ac:dyDescent="0.25">
      <c r="A2714" s="2" t="s">
        <v>1380</v>
      </c>
      <c r="B2714" s="2" t="s">
        <v>921</v>
      </c>
      <c r="C2714" s="2">
        <v>540256</v>
      </c>
      <c r="D2714" s="2" t="s">
        <v>846</v>
      </c>
      <c r="E2714" s="2" t="s">
        <v>89</v>
      </c>
      <c r="F2714" s="2" t="s">
        <v>115</v>
      </c>
      <c r="G2714" s="2">
        <v>10</v>
      </c>
      <c r="H2714" s="2">
        <v>0</v>
      </c>
      <c r="I2714" s="2">
        <v>0</v>
      </c>
      <c r="J2714" s="2">
        <v>0</v>
      </c>
      <c r="K2714" s="2">
        <v>0</v>
      </c>
      <c r="L2714" s="2">
        <v>0</v>
      </c>
      <c r="M2714" s="2">
        <v>0</v>
      </c>
      <c r="N2714" s="2">
        <v>0</v>
      </c>
      <c r="O2714" s="2">
        <v>0</v>
      </c>
      <c r="P2714" s="2">
        <v>0</v>
      </c>
      <c r="Q2714" s="2" t="s">
        <v>488</v>
      </c>
      <c r="R2714" s="2" t="s">
        <v>488</v>
      </c>
      <c r="S2714" s="2" t="s">
        <v>488</v>
      </c>
      <c r="T2714" s="2" t="s">
        <v>488</v>
      </c>
      <c r="U2714" s="2" t="s">
        <v>488</v>
      </c>
      <c r="V2714" s="2" t="s">
        <v>488</v>
      </c>
      <c r="W2714">
        <f t="shared" si="44"/>
        <v>0</v>
      </c>
    </row>
    <row r="2715" spans="1:23" x14ac:dyDescent="0.25">
      <c r="A2715" s="2" t="s">
        <v>1380</v>
      </c>
      <c r="B2715" s="2" t="s">
        <v>921</v>
      </c>
      <c r="C2715" s="2">
        <v>540258</v>
      </c>
      <c r="D2715" s="2" t="s">
        <v>847</v>
      </c>
      <c r="E2715" s="2" t="s">
        <v>89</v>
      </c>
      <c r="F2715" s="2" t="s">
        <v>115</v>
      </c>
      <c r="G2715" s="2">
        <v>10</v>
      </c>
      <c r="H2715" s="2">
        <v>0</v>
      </c>
      <c r="I2715" s="2">
        <v>0</v>
      </c>
      <c r="J2715" s="2">
        <v>0</v>
      </c>
      <c r="K2715" s="2">
        <v>0</v>
      </c>
      <c r="L2715" s="2">
        <v>0</v>
      </c>
      <c r="M2715" s="2">
        <v>0</v>
      </c>
      <c r="N2715" s="2">
        <v>0</v>
      </c>
      <c r="O2715" s="2">
        <v>0</v>
      </c>
      <c r="P2715" s="2">
        <v>0</v>
      </c>
      <c r="Q2715" s="2" t="s">
        <v>488</v>
      </c>
      <c r="R2715" s="2" t="s">
        <v>488</v>
      </c>
      <c r="S2715" s="2" t="s">
        <v>488</v>
      </c>
      <c r="T2715" s="2" t="s">
        <v>488</v>
      </c>
      <c r="U2715" s="2" t="s">
        <v>488</v>
      </c>
      <c r="V2715" s="2" t="s">
        <v>488</v>
      </c>
      <c r="W2715">
        <f t="shared" si="44"/>
        <v>0</v>
      </c>
    </row>
    <row r="2716" spans="1:23" x14ac:dyDescent="0.25">
      <c r="A2716" s="255" t="s">
        <v>1380</v>
      </c>
      <c r="B2716" s="255" t="s">
        <v>921</v>
      </c>
      <c r="C2716" s="255"/>
      <c r="D2716" s="255"/>
      <c r="E2716" s="255" t="s">
        <v>89</v>
      </c>
      <c r="F2716" s="255"/>
      <c r="G2716" s="255"/>
      <c r="H2716" s="255">
        <v>9</v>
      </c>
      <c r="I2716" s="255">
        <v>9</v>
      </c>
      <c r="J2716" s="255">
        <v>1</v>
      </c>
      <c r="K2716" s="255">
        <v>0</v>
      </c>
      <c r="L2716" s="255">
        <v>0</v>
      </c>
      <c r="M2716" s="255">
        <v>10</v>
      </c>
      <c r="N2716" s="255">
        <v>19</v>
      </c>
      <c r="O2716" s="255">
        <v>0</v>
      </c>
      <c r="P2716" s="255">
        <v>0</v>
      </c>
      <c r="Q2716" s="255" t="s">
        <v>488</v>
      </c>
      <c r="R2716" s="255" t="s">
        <v>488</v>
      </c>
      <c r="S2716" s="255" t="s">
        <v>488</v>
      </c>
      <c r="T2716" s="255" t="s">
        <v>488</v>
      </c>
      <c r="U2716" s="255" t="s">
        <v>488</v>
      </c>
      <c r="V2716" s="255" t="s">
        <v>488</v>
      </c>
      <c r="W2716">
        <f t="shared" si="44"/>
        <v>19</v>
      </c>
    </row>
    <row r="2717" spans="1:23" x14ac:dyDescent="0.25">
      <c r="A2717" s="2" t="s">
        <v>1380</v>
      </c>
      <c r="B2717" s="2" t="s">
        <v>921</v>
      </c>
      <c r="C2717" s="2">
        <v>540211</v>
      </c>
      <c r="D2717" s="2" t="s">
        <v>848</v>
      </c>
      <c r="E2717" s="2" t="s">
        <v>91</v>
      </c>
      <c r="F2717" s="2" t="s">
        <v>5</v>
      </c>
      <c r="G2717" s="2">
        <v>5</v>
      </c>
      <c r="H2717" s="2">
        <v>3</v>
      </c>
      <c r="I2717" s="2">
        <v>0</v>
      </c>
      <c r="J2717" s="2">
        <v>0</v>
      </c>
      <c r="K2717" s="2">
        <v>0</v>
      </c>
      <c r="L2717" s="2">
        <v>0</v>
      </c>
      <c r="M2717" s="2">
        <v>0</v>
      </c>
      <c r="N2717" s="2">
        <v>3</v>
      </c>
      <c r="O2717" s="2">
        <v>0</v>
      </c>
      <c r="P2717" s="2">
        <v>0</v>
      </c>
      <c r="Q2717" s="2" t="s">
        <v>488</v>
      </c>
      <c r="R2717" s="2" t="s">
        <v>488</v>
      </c>
      <c r="S2717" s="2" t="s">
        <v>488</v>
      </c>
      <c r="T2717" s="2" t="s">
        <v>488</v>
      </c>
      <c r="U2717" s="2" t="s">
        <v>488</v>
      </c>
      <c r="V2717" s="2" t="s">
        <v>488</v>
      </c>
      <c r="W2717">
        <f t="shared" si="44"/>
        <v>3</v>
      </c>
    </row>
    <row r="2718" spans="1:23" x14ac:dyDescent="0.25">
      <c r="A2718" s="2" t="s">
        <v>1380</v>
      </c>
      <c r="B2718" s="2" t="s">
        <v>921</v>
      </c>
      <c r="C2718" s="2">
        <v>540212</v>
      </c>
      <c r="D2718" s="2" t="s">
        <v>849</v>
      </c>
      <c r="E2718" s="2" t="s">
        <v>91</v>
      </c>
      <c r="F2718" s="2" t="s">
        <v>115</v>
      </c>
      <c r="G2718" s="2">
        <v>5</v>
      </c>
      <c r="H2718" s="2">
        <v>0</v>
      </c>
      <c r="I2718" s="2">
        <v>0</v>
      </c>
      <c r="J2718" s="2">
        <v>0</v>
      </c>
      <c r="K2718" s="2">
        <v>0</v>
      </c>
      <c r="L2718" s="2">
        <v>0</v>
      </c>
      <c r="M2718" s="2">
        <v>0</v>
      </c>
      <c r="N2718" s="2">
        <v>0</v>
      </c>
      <c r="O2718" s="2">
        <v>0</v>
      </c>
      <c r="P2718" s="2">
        <v>0</v>
      </c>
      <c r="Q2718" s="2" t="s">
        <v>488</v>
      </c>
      <c r="R2718" s="2" t="s">
        <v>488</v>
      </c>
      <c r="S2718" s="2" t="s">
        <v>488</v>
      </c>
      <c r="T2718" s="2" t="s">
        <v>488</v>
      </c>
      <c r="U2718" s="2" t="s">
        <v>488</v>
      </c>
      <c r="V2718" s="2" t="s">
        <v>488</v>
      </c>
      <c r="W2718">
        <f t="shared" si="44"/>
        <v>0</v>
      </c>
    </row>
    <row r="2719" spans="1:23" x14ac:dyDescent="0.25">
      <c r="A2719" s="255" t="s">
        <v>1380</v>
      </c>
      <c r="B2719" s="255" t="s">
        <v>921</v>
      </c>
      <c r="C2719" s="255"/>
      <c r="D2719" s="255"/>
      <c r="E2719" s="255" t="s">
        <v>91</v>
      </c>
      <c r="F2719" s="255"/>
      <c r="G2719" s="255"/>
      <c r="H2719" s="255">
        <v>3</v>
      </c>
      <c r="I2719" s="255">
        <v>0</v>
      </c>
      <c r="J2719" s="255">
        <v>0</v>
      </c>
      <c r="K2719" s="255">
        <v>0</v>
      </c>
      <c r="L2719" s="255">
        <v>0</v>
      </c>
      <c r="M2719" s="255">
        <v>0</v>
      </c>
      <c r="N2719" s="255">
        <v>3</v>
      </c>
      <c r="O2719" s="255">
        <v>0</v>
      </c>
      <c r="P2719" s="255">
        <v>0</v>
      </c>
      <c r="Q2719" s="255" t="s">
        <v>488</v>
      </c>
      <c r="R2719" s="255" t="s">
        <v>488</v>
      </c>
      <c r="S2719" s="255" t="s">
        <v>488</v>
      </c>
      <c r="T2719" s="255" t="s">
        <v>488</v>
      </c>
      <c r="U2719" s="255" t="s">
        <v>488</v>
      </c>
      <c r="V2719" s="255" t="s">
        <v>488</v>
      </c>
      <c r="W2719">
        <f t="shared" si="44"/>
        <v>3</v>
      </c>
    </row>
    <row r="2720" spans="1:23" x14ac:dyDescent="0.25">
      <c r="A2720" s="2" t="s">
        <v>1380</v>
      </c>
      <c r="B2720" s="2" t="s">
        <v>921</v>
      </c>
      <c r="C2720" s="2">
        <v>540213</v>
      </c>
      <c r="D2720" s="2" t="s">
        <v>850</v>
      </c>
      <c r="E2720" s="2" t="s">
        <v>93</v>
      </c>
      <c r="F2720" s="2" t="s">
        <v>5</v>
      </c>
      <c r="G2720" s="2">
        <v>5</v>
      </c>
      <c r="H2720" s="2">
        <v>3</v>
      </c>
      <c r="I2720" s="2">
        <v>1</v>
      </c>
      <c r="J2720" s="2">
        <v>1</v>
      </c>
      <c r="K2720" s="2">
        <v>0</v>
      </c>
      <c r="L2720" s="2">
        <v>0</v>
      </c>
      <c r="M2720" s="2">
        <v>2</v>
      </c>
      <c r="N2720" s="2">
        <v>5</v>
      </c>
      <c r="O2720" s="2">
        <v>0</v>
      </c>
      <c r="P2720" s="2">
        <v>0</v>
      </c>
      <c r="Q2720" s="2" t="s">
        <v>488</v>
      </c>
      <c r="R2720" s="2" t="s">
        <v>488</v>
      </c>
      <c r="S2720" s="2" t="s">
        <v>488</v>
      </c>
      <c r="T2720" s="2" t="s">
        <v>488</v>
      </c>
      <c r="U2720" s="2" t="s">
        <v>488</v>
      </c>
      <c r="V2720" s="2" t="s">
        <v>488</v>
      </c>
      <c r="W2720">
        <f t="shared" si="44"/>
        <v>5</v>
      </c>
    </row>
    <row r="2721" spans="1:23" x14ac:dyDescent="0.25">
      <c r="A2721" s="2" t="s">
        <v>1380</v>
      </c>
      <c r="B2721" s="2" t="s">
        <v>921</v>
      </c>
      <c r="C2721" s="2">
        <v>540042</v>
      </c>
      <c r="D2721" s="2" t="s">
        <v>851</v>
      </c>
      <c r="E2721" s="2" t="s">
        <v>93</v>
      </c>
      <c r="F2721" s="2" t="s">
        <v>115</v>
      </c>
      <c r="G2721" s="2">
        <v>5</v>
      </c>
      <c r="H2721" s="2">
        <v>0</v>
      </c>
      <c r="I2721" s="2">
        <v>0</v>
      </c>
      <c r="J2721" s="2">
        <v>0</v>
      </c>
      <c r="K2721" s="2">
        <v>0</v>
      </c>
      <c r="L2721" s="2">
        <v>0</v>
      </c>
      <c r="M2721" s="2">
        <v>0</v>
      </c>
      <c r="N2721" s="2">
        <v>0</v>
      </c>
      <c r="O2721" s="2">
        <v>0</v>
      </c>
      <c r="P2721" s="2">
        <v>0</v>
      </c>
      <c r="Q2721" s="2" t="s">
        <v>488</v>
      </c>
      <c r="R2721" s="2" t="s">
        <v>488</v>
      </c>
      <c r="S2721" s="2" t="s">
        <v>488</v>
      </c>
      <c r="T2721" s="2" t="s">
        <v>488</v>
      </c>
      <c r="U2721" s="2" t="s">
        <v>488</v>
      </c>
      <c r="V2721" s="2" t="s">
        <v>488</v>
      </c>
      <c r="W2721">
        <f t="shared" si="44"/>
        <v>0</v>
      </c>
    </row>
    <row r="2722" spans="1:23" x14ac:dyDescent="0.25">
      <c r="A2722" s="2" t="s">
        <v>1380</v>
      </c>
      <c r="B2722" s="2" t="s">
        <v>921</v>
      </c>
      <c r="C2722" s="2">
        <v>540214</v>
      </c>
      <c r="D2722" s="2" t="s">
        <v>852</v>
      </c>
      <c r="E2722" s="2" t="s">
        <v>93</v>
      </c>
      <c r="F2722" s="2" t="s">
        <v>115</v>
      </c>
      <c r="G2722" s="2">
        <v>5</v>
      </c>
      <c r="H2722" s="2">
        <v>0</v>
      </c>
      <c r="I2722" s="2">
        <v>0</v>
      </c>
      <c r="J2722" s="2">
        <v>0</v>
      </c>
      <c r="K2722" s="2">
        <v>0</v>
      </c>
      <c r="L2722" s="2">
        <v>0</v>
      </c>
      <c r="M2722" s="2">
        <v>0</v>
      </c>
      <c r="N2722" s="2">
        <v>0</v>
      </c>
      <c r="O2722" s="2">
        <v>0</v>
      </c>
      <c r="P2722" s="2">
        <v>0</v>
      </c>
      <c r="Q2722" s="2" t="s">
        <v>488</v>
      </c>
      <c r="R2722" s="2" t="s">
        <v>488</v>
      </c>
      <c r="S2722" s="2" t="s">
        <v>488</v>
      </c>
      <c r="T2722" s="2" t="s">
        <v>488</v>
      </c>
      <c r="U2722" s="2" t="s">
        <v>488</v>
      </c>
      <c r="V2722" s="2" t="s">
        <v>488</v>
      </c>
      <c r="W2722">
        <f t="shared" si="44"/>
        <v>0</v>
      </c>
    </row>
    <row r="2723" spans="1:23" x14ac:dyDescent="0.25">
      <c r="A2723" s="2" t="s">
        <v>1380</v>
      </c>
      <c r="B2723" s="2" t="s">
        <v>921</v>
      </c>
      <c r="C2723" s="2">
        <v>540215</v>
      </c>
      <c r="D2723" s="2" t="s">
        <v>853</v>
      </c>
      <c r="E2723" s="2" t="s">
        <v>93</v>
      </c>
      <c r="F2723" s="2" t="s">
        <v>115</v>
      </c>
      <c r="G2723" s="2">
        <v>5</v>
      </c>
      <c r="H2723" s="2">
        <v>0</v>
      </c>
      <c r="I2723" s="2">
        <v>1</v>
      </c>
      <c r="J2723" s="2">
        <v>1</v>
      </c>
      <c r="K2723" s="2">
        <v>0</v>
      </c>
      <c r="L2723" s="2">
        <v>0</v>
      </c>
      <c r="M2723" s="2">
        <v>2</v>
      </c>
      <c r="N2723" s="2">
        <v>2</v>
      </c>
      <c r="O2723" s="2">
        <v>0</v>
      </c>
      <c r="P2723" s="2">
        <v>0</v>
      </c>
      <c r="Q2723" s="2" t="s">
        <v>488</v>
      </c>
      <c r="R2723" s="2" t="s">
        <v>488</v>
      </c>
      <c r="S2723" s="2" t="s">
        <v>488</v>
      </c>
      <c r="T2723" s="2" t="s">
        <v>488</v>
      </c>
      <c r="U2723" s="2" t="s">
        <v>488</v>
      </c>
      <c r="V2723" s="2" t="s">
        <v>488</v>
      </c>
      <c r="W2723">
        <f t="shared" si="44"/>
        <v>2</v>
      </c>
    </row>
    <row r="2724" spans="1:23" x14ac:dyDescent="0.25">
      <c r="A2724" s="2" t="s">
        <v>1380</v>
      </c>
      <c r="B2724" s="2" t="s">
        <v>921</v>
      </c>
      <c r="C2724" s="2">
        <v>540216</v>
      </c>
      <c r="D2724" s="2" t="s">
        <v>854</v>
      </c>
      <c r="E2724" s="2" t="s">
        <v>93</v>
      </c>
      <c r="F2724" s="2" t="s">
        <v>115</v>
      </c>
      <c r="G2724" s="2">
        <v>5</v>
      </c>
      <c r="H2724" s="2">
        <v>0</v>
      </c>
      <c r="I2724" s="2">
        <v>0</v>
      </c>
      <c r="J2724" s="2">
        <v>0</v>
      </c>
      <c r="K2724" s="2">
        <v>0</v>
      </c>
      <c r="L2724" s="2">
        <v>0</v>
      </c>
      <c r="M2724" s="2">
        <v>0</v>
      </c>
      <c r="N2724" s="2">
        <v>0</v>
      </c>
      <c r="O2724" s="2">
        <v>0</v>
      </c>
      <c r="P2724" s="2">
        <v>0</v>
      </c>
      <c r="Q2724" s="2" t="s">
        <v>488</v>
      </c>
      <c r="R2724" s="2" t="s">
        <v>488</v>
      </c>
      <c r="S2724" s="2" t="s">
        <v>488</v>
      </c>
      <c r="T2724" s="2" t="s">
        <v>488</v>
      </c>
      <c r="U2724" s="2" t="s">
        <v>488</v>
      </c>
      <c r="V2724" s="2" t="s">
        <v>488</v>
      </c>
      <c r="W2724">
        <f t="shared" si="44"/>
        <v>0</v>
      </c>
    </row>
    <row r="2725" spans="1:23" x14ac:dyDescent="0.25">
      <c r="A2725" s="255" t="s">
        <v>1380</v>
      </c>
      <c r="B2725" s="255" t="s">
        <v>921</v>
      </c>
      <c r="C2725" s="255"/>
      <c r="D2725" s="255"/>
      <c r="E2725" s="255" t="s">
        <v>93</v>
      </c>
      <c r="F2725" s="255"/>
      <c r="G2725" s="255"/>
      <c r="H2725" s="255">
        <v>3</v>
      </c>
      <c r="I2725" s="255">
        <v>2</v>
      </c>
      <c r="J2725" s="255">
        <v>2</v>
      </c>
      <c r="K2725" s="255">
        <v>0</v>
      </c>
      <c r="L2725" s="255">
        <v>0</v>
      </c>
      <c r="M2725" s="255">
        <v>4</v>
      </c>
      <c r="N2725" s="255">
        <v>7</v>
      </c>
      <c r="O2725" s="255">
        <v>0</v>
      </c>
      <c r="P2725" s="255">
        <v>0</v>
      </c>
      <c r="Q2725" s="255" t="s">
        <v>488</v>
      </c>
      <c r="R2725" s="255" t="s">
        <v>488</v>
      </c>
      <c r="S2725" s="255" t="s">
        <v>488</v>
      </c>
      <c r="T2725" s="255" t="s">
        <v>488</v>
      </c>
      <c r="U2725" s="255" t="s">
        <v>488</v>
      </c>
      <c r="V2725" s="255" t="s">
        <v>488</v>
      </c>
      <c r="W2725">
        <f t="shared" si="44"/>
        <v>7</v>
      </c>
    </row>
    <row r="2726" spans="1:23" x14ac:dyDescent="0.25">
      <c r="A2726" s="2" t="s">
        <v>1380</v>
      </c>
      <c r="B2726" s="2" t="s">
        <v>921</v>
      </c>
      <c r="C2726" s="2">
        <v>540224</v>
      </c>
      <c r="D2726" s="2" t="s">
        <v>855</v>
      </c>
      <c r="E2726" s="2" t="s">
        <v>97</v>
      </c>
      <c r="F2726" s="2" t="s">
        <v>5</v>
      </c>
      <c r="G2726" s="2">
        <v>5</v>
      </c>
      <c r="H2726" s="2">
        <v>1</v>
      </c>
      <c r="I2726" s="2">
        <v>0</v>
      </c>
      <c r="J2726" s="2">
        <v>0</v>
      </c>
      <c r="K2726" s="2">
        <v>0</v>
      </c>
      <c r="L2726" s="2">
        <v>0</v>
      </c>
      <c r="M2726" s="2">
        <v>0</v>
      </c>
      <c r="N2726" s="2">
        <v>1</v>
      </c>
      <c r="O2726" s="2">
        <v>0</v>
      </c>
      <c r="P2726" s="2">
        <v>0</v>
      </c>
      <c r="Q2726" s="2">
        <v>1</v>
      </c>
      <c r="R2726" s="2">
        <v>3</v>
      </c>
      <c r="S2726" s="2" t="s">
        <v>488</v>
      </c>
      <c r="T2726" s="2" t="s">
        <v>488</v>
      </c>
      <c r="U2726" s="2" t="s">
        <v>488</v>
      </c>
      <c r="V2726" s="2" t="s">
        <v>488</v>
      </c>
      <c r="W2726">
        <f t="shared" si="44"/>
        <v>4</v>
      </c>
    </row>
    <row r="2727" spans="1:23" x14ac:dyDescent="0.25">
      <c r="A2727" s="2" t="s">
        <v>1380</v>
      </c>
      <c r="B2727" s="2" t="s">
        <v>921</v>
      </c>
      <c r="C2727" s="2">
        <v>540132</v>
      </c>
      <c r="D2727" s="2" t="s">
        <v>856</v>
      </c>
      <c r="E2727" s="2" t="s">
        <v>97</v>
      </c>
      <c r="F2727" s="2" t="s">
        <v>115</v>
      </c>
      <c r="G2727" s="2">
        <v>5</v>
      </c>
      <c r="H2727" s="2">
        <v>0</v>
      </c>
      <c r="I2727" s="2">
        <v>0</v>
      </c>
      <c r="J2727" s="2">
        <v>0</v>
      </c>
      <c r="K2727" s="2">
        <v>0</v>
      </c>
      <c r="L2727" s="2">
        <v>0</v>
      </c>
      <c r="M2727" s="2">
        <v>0</v>
      </c>
      <c r="N2727" s="2">
        <v>0</v>
      </c>
      <c r="O2727" s="2">
        <v>0</v>
      </c>
      <c r="P2727" s="2">
        <v>0</v>
      </c>
      <c r="Q2727" s="2">
        <v>0</v>
      </c>
      <c r="R2727" s="2">
        <v>0</v>
      </c>
      <c r="S2727" s="2" t="s">
        <v>488</v>
      </c>
      <c r="T2727" s="2" t="s">
        <v>488</v>
      </c>
      <c r="U2727" s="2" t="s">
        <v>488</v>
      </c>
      <c r="V2727" s="2" t="s">
        <v>488</v>
      </c>
      <c r="W2727">
        <f t="shared" si="44"/>
        <v>0</v>
      </c>
    </row>
    <row r="2728" spans="1:23" x14ac:dyDescent="0.25">
      <c r="A2728" s="2" t="s">
        <v>1380</v>
      </c>
      <c r="B2728" s="2" t="s">
        <v>921</v>
      </c>
      <c r="C2728" s="2">
        <v>540179</v>
      </c>
      <c r="D2728" s="2" t="s">
        <v>857</v>
      </c>
      <c r="E2728" s="2" t="s">
        <v>97</v>
      </c>
      <c r="F2728" s="2" t="s">
        <v>115</v>
      </c>
      <c r="G2728" s="2">
        <v>5</v>
      </c>
      <c r="H2728" s="2">
        <v>0</v>
      </c>
      <c r="I2728" s="2">
        <v>0</v>
      </c>
      <c r="J2728" s="2">
        <v>0</v>
      </c>
      <c r="K2728" s="2">
        <v>0</v>
      </c>
      <c r="L2728" s="2">
        <v>0</v>
      </c>
      <c r="M2728" s="2">
        <v>0</v>
      </c>
      <c r="N2728" s="2">
        <v>0</v>
      </c>
      <c r="O2728" s="2">
        <v>0</v>
      </c>
      <c r="P2728" s="2">
        <v>0</v>
      </c>
      <c r="Q2728" s="2">
        <v>0</v>
      </c>
      <c r="R2728" s="2">
        <v>0</v>
      </c>
      <c r="S2728" s="2" t="s">
        <v>488</v>
      </c>
      <c r="T2728" s="2" t="s">
        <v>488</v>
      </c>
      <c r="U2728" s="2" t="s">
        <v>488</v>
      </c>
      <c r="V2728" s="2" t="s">
        <v>488</v>
      </c>
      <c r="W2728">
        <f t="shared" si="44"/>
        <v>0</v>
      </c>
    </row>
    <row r="2729" spans="1:23" x14ac:dyDescent="0.25">
      <c r="A2729" s="2" t="s">
        <v>1380</v>
      </c>
      <c r="B2729" s="2" t="s">
        <v>921</v>
      </c>
      <c r="C2729" s="2">
        <v>540180</v>
      </c>
      <c r="D2729" s="2" t="s">
        <v>858</v>
      </c>
      <c r="E2729" s="2" t="s">
        <v>97</v>
      </c>
      <c r="F2729" s="2" t="s">
        <v>115</v>
      </c>
      <c r="G2729" s="2">
        <v>5</v>
      </c>
      <c r="H2729" s="2">
        <v>0</v>
      </c>
      <c r="I2729" s="2">
        <v>0</v>
      </c>
      <c r="J2729" s="2">
        <v>0</v>
      </c>
      <c r="K2729" s="2">
        <v>0</v>
      </c>
      <c r="L2729" s="2">
        <v>0</v>
      </c>
      <c r="M2729" s="2">
        <v>0</v>
      </c>
      <c r="N2729" s="2">
        <v>0</v>
      </c>
      <c r="O2729" s="2">
        <v>0</v>
      </c>
      <c r="P2729" s="2">
        <v>0</v>
      </c>
      <c r="Q2729" s="2">
        <v>0</v>
      </c>
      <c r="R2729" s="2">
        <v>0</v>
      </c>
      <c r="S2729" s="2" t="s">
        <v>488</v>
      </c>
      <c r="T2729" s="2" t="s">
        <v>488</v>
      </c>
      <c r="U2729" s="2" t="s">
        <v>488</v>
      </c>
      <c r="V2729" s="2" t="s">
        <v>488</v>
      </c>
      <c r="W2729">
        <f t="shared" si="44"/>
        <v>0</v>
      </c>
    </row>
    <row r="2730" spans="1:23" x14ac:dyDescent="0.25">
      <c r="A2730" s="2" t="s">
        <v>1380</v>
      </c>
      <c r="B2730" s="2" t="s">
        <v>921</v>
      </c>
      <c r="C2730" s="2">
        <v>540182</v>
      </c>
      <c r="D2730" s="2" t="s">
        <v>859</v>
      </c>
      <c r="E2730" s="2" t="s">
        <v>97</v>
      </c>
      <c r="F2730" s="2" t="s">
        <v>115</v>
      </c>
      <c r="G2730" s="2">
        <v>5</v>
      </c>
      <c r="H2730" s="2">
        <v>0</v>
      </c>
      <c r="I2730" s="2">
        <v>0</v>
      </c>
      <c r="J2730" s="2">
        <v>0</v>
      </c>
      <c r="K2730" s="2">
        <v>0</v>
      </c>
      <c r="L2730" s="2">
        <v>0</v>
      </c>
      <c r="M2730" s="2">
        <v>0</v>
      </c>
      <c r="N2730" s="2">
        <v>0</v>
      </c>
      <c r="O2730" s="2">
        <v>0</v>
      </c>
      <c r="P2730" s="2">
        <v>0</v>
      </c>
      <c r="Q2730" s="2">
        <v>0</v>
      </c>
      <c r="R2730" s="2">
        <v>0</v>
      </c>
      <c r="S2730" s="2" t="s">
        <v>488</v>
      </c>
      <c r="T2730" s="2" t="s">
        <v>488</v>
      </c>
      <c r="U2730" s="2" t="s">
        <v>488</v>
      </c>
      <c r="V2730" s="2" t="s">
        <v>488</v>
      </c>
      <c r="W2730">
        <f t="shared" si="44"/>
        <v>0</v>
      </c>
    </row>
    <row r="2731" spans="1:23" x14ac:dyDescent="0.25">
      <c r="A2731" s="2" t="s">
        <v>1380</v>
      </c>
      <c r="B2731" s="2" t="s">
        <v>921</v>
      </c>
      <c r="C2731" s="2">
        <v>540262</v>
      </c>
      <c r="D2731" s="2" t="s">
        <v>860</v>
      </c>
      <c r="E2731" s="2" t="s">
        <v>97</v>
      </c>
      <c r="F2731" s="2" t="s">
        <v>115</v>
      </c>
      <c r="G2731" s="2">
        <v>5</v>
      </c>
      <c r="H2731" s="2">
        <v>0</v>
      </c>
      <c r="I2731" s="2">
        <v>0</v>
      </c>
      <c r="J2731" s="2">
        <v>0</v>
      </c>
      <c r="K2731" s="2">
        <v>0</v>
      </c>
      <c r="L2731" s="2">
        <v>0</v>
      </c>
      <c r="M2731" s="2">
        <v>0</v>
      </c>
      <c r="N2731" s="2">
        <v>0</v>
      </c>
      <c r="O2731" s="2">
        <v>0</v>
      </c>
      <c r="P2731" s="2">
        <v>0</v>
      </c>
      <c r="Q2731" s="2">
        <v>0</v>
      </c>
      <c r="R2731" s="2">
        <v>0</v>
      </c>
      <c r="S2731" s="2" t="s">
        <v>488</v>
      </c>
      <c r="T2731" s="2" t="s">
        <v>488</v>
      </c>
      <c r="U2731" s="2" t="s">
        <v>488</v>
      </c>
      <c r="V2731" s="2" t="s">
        <v>488</v>
      </c>
      <c r="W2731">
        <f t="shared" si="44"/>
        <v>0</v>
      </c>
    </row>
    <row r="2732" spans="1:23" x14ac:dyDescent="0.25">
      <c r="A2732" s="2" t="s">
        <v>1380</v>
      </c>
      <c r="B2732" s="2" t="s">
        <v>921</v>
      </c>
      <c r="C2732" s="2">
        <v>540263</v>
      </c>
      <c r="D2732" s="2" t="s">
        <v>861</v>
      </c>
      <c r="E2732" s="2" t="s">
        <v>97</v>
      </c>
      <c r="F2732" s="2" t="s">
        <v>115</v>
      </c>
      <c r="G2732" s="2">
        <v>5</v>
      </c>
      <c r="H2732" s="2">
        <v>0</v>
      </c>
      <c r="I2732" s="2">
        <v>0</v>
      </c>
      <c r="J2732" s="2">
        <v>0</v>
      </c>
      <c r="K2732" s="2">
        <v>0</v>
      </c>
      <c r="L2732" s="2">
        <v>0</v>
      </c>
      <c r="M2732" s="2">
        <v>0</v>
      </c>
      <c r="N2732" s="2">
        <v>0</v>
      </c>
      <c r="O2732" s="2">
        <v>0</v>
      </c>
      <c r="P2732" s="2">
        <v>0</v>
      </c>
      <c r="Q2732" s="2">
        <v>0</v>
      </c>
      <c r="R2732" s="2">
        <v>0</v>
      </c>
      <c r="S2732" s="2" t="s">
        <v>488</v>
      </c>
      <c r="T2732" s="2" t="s">
        <v>488</v>
      </c>
      <c r="U2732" s="2" t="s">
        <v>488</v>
      </c>
      <c r="V2732" s="2" t="s">
        <v>488</v>
      </c>
      <c r="W2732">
        <f t="shared" si="44"/>
        <v>0</v>
      </c>
    </row>
    <row r="2733" spans="1:23" x14ac:dyDescent="0.25">
      <c r="A2733" s="255" t="s">
        <v>1380</v>
      </c>
      <c r="B2733" s="255" t="s">
        <v>921</v>
      </c>
      <c r="C2733" s="255"/>
      <c r="D2733" s="255"/>
      <c r="E2733" s="255" t="s">
        <v>97</v>
      </c>
      <c r="F2733" s="255"/>
      <c r="G2733" s="255"/>
      <c r="H2733" s="255">
        <v>1</v>
      </c>
      <c r="I2733" s="255">
        <v>0</v>
      </c>
      <c r="J2733" s="255">
        <v>0</v>
      </c>
      <c r="K2733" s="255">
        <v>0</v>
      </c>
      <c r="L2733" s="255">
        <v>0</v>
      </c>
      <c r="M2733" s="255">
        <v>0</v>
      </c>
      <c r="N2733" s="255">
        <v>1</v>
      </c>
      <c r="O2733" s="255">
        <v>0</v>
      </c>
      <c r="P2733" s="255">
        <v>0</v>
      </c>
      <c r="Q2733" s="255">
        <v>1</v>
      </c>
      <c r="R2733" s="255">
        <v>3</v>
      </c>
      <c r="S2733" s="255" t="s">
        <v>488</v>
      </c>
      <c r="T2733" s="255" t="s">
        <v>488</v>
      </c>
      <c r="U2733" s="255" t="s">
        <v>488</v>
      </c>
      <c r="V2733" s="255" t="s">
        <v>488</v>
      </c>
      <c r="W2733">
        <f t="shared" si="44"/>
        <v>4</v>
      </c>
    </row>
    <row r="2734" spans="1:23" x14ac:dyDescent="0.25">
      <c r="A2734" s="2" t="s">
        <v>1380</v>
      </c>
      <c r="B2734" s="2" t="s">
        <v>921</v>
      </c>
      <c r="C2734" s="2">
        <v>540225</v>
      </c>
      <c r="D2734" s="2" t="s">
        <v>862</v>
      </c>
      <c r="E2734" s="2" t="s">
        <v>99</v>
      </c>
      <c r="F2734" s="2" t="s">
        <v>5</v>
      </c>
      <c r="G2734" s="2">
        <v>5</v>
      </c>
      <c r="H2734" s="2">
        <v>2</v>
      </c>
      <c r="I2734" s="2">
        <v>0</v>
      </c>
      <c r="J2734" s="2">
        <v>0</v>
      </c>
      <c r="K2734" s="2">
        <v>0</v>
      </c>
      <c r="L2734" s="2">
        <v>0</v>
      </c>
      <c r="M2734" s="2">
        <v>0</v>
      </c>
      <c r="N2734" s="2">
        <v>2</v>
      </c>
      <c r="O2734" s="2">
        <v>0</v>
      </c>
      <c r="P2734" s="2">
        <v>0</v>
      </c>
      <c r="Q2734" s="2">
        <v>1</v>
      </c>
      <c r="R2734" s="2">
        <v>0</v>
      </c>
      <c r="S2734" s="2" t="s">
        <v>488</v>
      </c>
      <c r="T2734" s="2" t="s">
        <v>488</v>
      </c>
      <c r="U2734" s="2" t="s">
        <v>488</v>
      </c>
      <c r="V2734" s="2" t="s">
        <v>488</v>
      </c>
      <c r="W2734">
        <f t="shared" si="44"/>
        <v>2</v>
      </c>
    </row>
    <row r="2735" spans="1:23" x14ac:dyDescent="0.25">
      <c r="A2735" s="2" t="s">
        <v>1380</v>
      </c>
      <c r="B2735" s="2" t="s">
        <v>921</v>
      </c>
      <c r="C2735" s="2">
        <v>540156</v>
      </c>
      <c r="D2735" s="2" t="s">
        <v>863</v>
      </c>
      <c r="E2735" s="2" t="s">
        <v>99</v>
      </c>
      <c r="F2735" s="2" t="s">
        <v>115</v>
      </c>
      <c r="G2735" s="2">
        <v>5</v>
      </c>
      <c r="H2735" s="2">
        <v>0</v>
      </c>
      <c r="I2735" s="2">
        <v>5</v>
      </c>
      <c r="J2735" s="2">
        <v>0</v>
      </c>
      <c r="K2735" s="2">
        <v>0</v>
      </c>
      <c r="L2735" s="2">
        <v>0</v>
      </c>
      <c r="M2735" s="2">
        <v>5</v>
      </c>
      <c r="N2735" s="2">
        <v>5</v>
      </c>
      <c r="O2735" s="2">
        <v>0</v>
      </c>
      <c r="P2735" s="2">
        <v>0</v>
      </c>
      <c r="Q2735" s="2">
        <v>0</v>
      </c>
      <c r="R2735" s="2">
        <v>0</v>
      </c>
      <c r="S2735" s="2" t="s">
        <v>488</v>
      </c>
      <c r="T2735" s="2" t="s">
        <v>488</v>
      </c>
      <c r="U2735" s="2" t="s">
        <v>488</v>
      </c>
      <c r="V2735" s="2" t="s">
        <v>488</v>
      </c>
      <c r="W2735">
        <f t="shared" si="44"/>
        <v>5</v>
      </c>
    </row>
    <row r="2736" spans="1:23" x14ac:dyDescent="0.25">
      <c r="A2736" s="2" t="s">
        <v>1380</v>
      </c>
      <c r="B2736" s="2" t="s">
        <v>921</v>
      </c>
      <c r="C2736" s="2">
        <v>540253</v>
      </c>
      <c r="D2736" s="2" t="s">
        <v>864</v>
      </c>
      <c r="E2736" s="2" t="s">
        <v>99</v>
      </c>
      <c r="F2736" s="2" t="s">
        <v>115</v>
      </c>
      <c r="G2736" s="2">
        <v>5</v>
      </c>
      <c r="H2736" s="2">
        <v>0</v>
      </c>
      <c r="I2736" s="2">
        <v>0</v>
      </c>
      <c r="J2736" s="2">
        <v>0</v>
      </c>
      <c r="K2736" s="2">
        <v>0</v>
      </c>
      <c r="L2736" s="2">
        <v>0</v>
      </c>
      <c r="M2736" s="2">
        <v>0</v>
      </c>
      <c r="N2736" s="2">
        <v>0</v>
      </c>
      <c r="O2736" s="2">
        <v>0</v>
      </c>
      <c r="P2736" s="2">
        <v>0</v>
      </c>
      <c r="Q2736" s="2">
        <v>0</v>
      </c>
      <c r="R2736" s="2">
        <v>0</v>
      </c>
      <c r="S2736" s="2" t="s">
        <v>488</v>
      </c>
      <c r="T2736" s="2" t="s">
        <v>488</v>
      </c>
      <c r="U2736" s="2" t="s">
        <v>488</v>
      </c>
      <c r="V2736" s="2" t="s">
        <v>488</v>
      </c>
      <c r="W2736">
        <f t="shared" si="44"/>
        <v>0</v>
      </c>
    </row>
    <row r="2737" spans="1:23" x14ac:dyDescent="0.25">
      <c r="A2737" s="255" t="s">
        <v>1380</v>
      </c>
      <c r="B2737" s="255" t="s">
        <v>921</v>
      </c>
      <c r="C2737" s="255"/>
      <c r="D2737" s="255"/>
      <c r="E2737" s="255" t="s">
        <v>99</v>
      </c>
      <c r="F2737" s="255"/>
      <c r="G2737" s="255"/>
      <c r="H2737" s="255">
        <v>2</v>
      </c>
      <c r="I2737" s="255">
        <v>5</v>
      </c>
      <c r="J2737" s="255">
        <v>0</v>
      </c>
      <c r="K2737" s="255">
        <v>0</v>
      </c>
      <c r="L2737" s="255">
        <v>0</v>
      </c>
      <c r="M2737" s="255">
        <v>5</v>
      </c>
      <c r="N2737" s="255">
        <v>7</v>
      </c>
      <c r="O2737" s="255">
        <v>0</v>
      </c>
      <c r="P2737" s="255">
        <v>0</v>
      </c>
      <c r="Q2737" s="255">
        <v>1</v>
      </c>
      <c r="R2737" s="255">
        <v>0</v>
      </c>
      <c r="S2737" s="255" t="s">
        <v>488</v>
      </c>
      <c r="T2737" s="255" t="s">
        <v>488</v>
      </c>
      <c r="U2737" s="255" t="s">
        <v>488</v>
      </c>
      <c r="V2737" s="255" t="s">
        <v>488</v>
      </c>
      <c r="W2737">
        <f t="shared" si="44"/>
        <v>7</v>
      </c>
    </row>
    <row r="2738" spans="1:23" x14ac:dyDescent="0.25">
      <c r="A2738" s="2" t="s">
        <v>1380</v>
      </c>
      <c r="B2738" s="2" t="s">
        <v>921</v>
      </c>
      <c r="C2738" s="2">
        <v>540226</v>
      </c>
      <c r="D2738" s="2" t="s">
        <v>865</v>
      </c>
      <c r="E2738" s="2" t="s">
        <v>101</v>
      </c>
      <c r="F2738" s="2" t="s">
        <v>5</v>
      </c>
      <c r="G2738" s="2">
        <v>8</v>
      </c>
      <c r="H2738" s="2">
        <v>3</v>
      </c>
      <c r="I2738" s="2">
        <v>0</v>
      </c>
      <c r="J2738" s="2">
        <v>1</v>
      </c>
      <c r="K2738" s="2">
        <v>0</v>
      </c>
      <c r="L2738" s="2">
        <v>0</v>
      </c>
      <c r="M2738" s="2">
        <v>1</v>
      </c>
      <c r="N2738" s="2">
        <v>4</v>
      </c>
      <c r="O2738" s="2">
        <v>0</v>
      </c>
      <c r="P2738" s="2">
        <v>0</v>
      </c>
      <c r="Q2738" s="2" t="s">
        <v>488</v>
      </c>
      <c r="R2738" s="2" t="s">
        <v>488</v>
      </c>
      <c r="S2738" s="2" t="s">
        <v>488</v>
      </c>
      <c r="T2738" s="2" t="s">
        <v>488</v>
      </c>
      <c r="U2738" s="2" t="s">
        <v>488</v>
      </c>
      <c r="V2738" s="2" t="s">
        <v>488</v>
      </c>
      <c r="W2738">
        <f t="shared" si="44"/>
        <v>4</v>
      </c>
    </row>
    <row r="2739" spans="1:23" x14ac:dyDescent="0.25">
      <c r="A2739" s="2" t="s">
        <v>1380</v>
      </c>
      <c r="B2739" s="2" t="s">
        <v>921</v>
      </c>
      <c r="C2739" s="2">
        <v>540046</v>
      </c>
      <c r="D2739" s="2" t="s">
        <v>866</v>
      </c>
      <c r="E2739" s="2" t="s">
        <v>101</v>
      </c>
      <c r="F2739" s="2" t="s">
        <v>115</v>
      </c>
      <c r="G2739" s="2">
        <v>8</v>
      </c>
      <c r="H2739" s="2">
        <v>0</v>
      </c>
      <c r="I2739" s="2">
        <v>3</v>
      </c>
      <c r="J2739" s="2">
        <v>0</v>
      </c>
      <c r="K2739" s="2">
        <v>0</v>
      </c>
      <c r="L2739" s="2">
        <v>0</v>
      </c>
      <c r="M2739" s="2">
        <v>3</v>
      </c>
      <c r="N2739" s="2">
        <v>3</v>
      </c>
      <c r="O2739" s="2">
        <v>0</v>
      </c>
      <c r="P2739" s="2">
        <v>0</v>
      </c>
      <c r="Q2739" s="2" t="s">
        <v>488</v>
      </c>
      <c r="R2739" s="2" t="s">
        <v>488</v>
      </c>
      <c r="S2739" s="2" t="s">
        <v>488</v>
      </c>
      <c r="T2739" s="2" t="s">
        <v>488</v>
      </c>
      <c r="U2739" s="2" t="s">
        <v>488</v>
      </c>
      <c r="V2739" s="2" t="s">
        <v>488</v>
      </c>
      <c r="W2739">
        <f t="shared" si="44"/>
        <v>3</v>
      </c>
    </row>
    <row r="2740" spans="1:23" x14ac:dyDescent="0.25">
      <c r="A2740" s="2" t="s">
        <v>1380</v>
      </c>
      <c r="B2740" s="2" t="s">
        <v>921</v>
      </c>
      <c r="C2740" s="2">
        <v>540276</v>
      </c>
      <c r="D2740" s="2" t="s">
        <v>867</v>
      </c>
      <c r="E2740" s="2" t="s">
        <v>101</v>
      </c>
      <c r="F2740" s="2" t="s">
        <v>115</v>
      </c>
      <c r="G2740" s="2">
        <v>8</v>
      </c>
      <c r="H2740" s="2">
        <v>0</v>
      </c>
      <c r="I2740" s="2">
        <v>0</v>
      </c>
      <c r="J2740" s="2">
        <v>0</v>
      </c>
      <c r="K2740" s="2">
        <v>0</v>
      </c>
      <c r="L2740" s="2">
        <v>0</v>
      </c>
      <c r="M2740" s="2">
        <v>0</v>
      </c>
      <c r="N2740" s="2">
        <v>0</v>
      </c>
      <c r="O2740" s="2">
        <v>0</v>
      </c>
      <c r="P2740" s="2">
        <v>0</v>
      </c>
      <c r="Q2740" s="2" t="s">
        <v>488</v>
      </c>
      <c r="R2740" s="2" t="s">
        <v>488</v>
      </c>
      <c r="S2740" s="2" t="s">
        <v>488</v>
      </c>
      <c r="T2740" s="2" t="s">
        <v>488</v>
      </c>
      <c r="U2740" s="2" t="s">
        <v>488</v>
      </c>
      <c r="V2740" s="2" t="s">
        <v>488</v>
      </c>
      <c r="W2740">
        <f t="shared" si="44"/>
        <v>0</v>
      </c>
    </row>
    <row r="2741" spans="1:23" x14ac:dyDescent="0.25">
      <c r="A2741" s="255" t="s">
        <v>1380</v>
      </c>
      <c r="B2741" s="255" t="s">
        <v>921</v>
      </c>
      <c r="C2741" s="255"/>
      <c r="D2741" s="255"/>
      <c r="E2741" s="255" t="s">
        <v>101</v>
      </c>
      <c r="F2741" s="255"/>
      <c r="G2741" s="255"/>
      <c r="H2741" s="255">
        <v>3</v>
      </c>
      <c r="I2741" s="255">
        <v>3</v>
      </c>
      <c r="J2741" s="255">
        <v>1</v>
      </c>
      <c r="K2741" s="255">
        <v>0</v>
      </c>
      <c r="L2741" s="255">
        <v>0</v>
      </c>
      <c r="M2741" s="255">
        <v>4</v>
      </c>
      <c r="N2741" s="255">
        <v>7</v>
      </c>
      <c r="O2741" s="255">
        <v>0</v>
      </c>
      <c r="P2741" s="255">
        <v>0</v>
      </c>
      <c r="Q2741" s="255" t="s">
        <v>488</v>
      </c>
      <c r="R2741" s="255" t="s">
        <v>488</v>
      </c>
      <c r="S2741" s="255" t="s">
        <v>488</v>
      </c>
      <c r="T2741" s="255" t="s">
        <v>488</v>
      </c>
      <c r="U2741" s="255" t="s">
        <v>488</v>
      </c>
      <c r="V2741" s="255" t="s">
        <v>488</v>
      </c>
      <c r="W2741">
        <f t="shared" si="44"/>
        <v>7</v>
      </c>
    </row>
    <row r="2742" spans="1:23" x14ac:dyDescent="0.25">
      <c r="A2742" s="2" t="s">
        <v>1380</v>
      </c>
      <c r="B2742" s="2" t="s">
        <v>921</v>
      </c>
      <c r="C2742" s="2">
        <v>540277</v>
      </c>
      <c r="D2742" s="2" t="s">
        <v>868</v>
      </c>
      <c r="E2742" s="2" t="s">
        <v>103</v>
      </c>
      <c r="F2742" s="2" t="s">
        <v>5</v>
      </c>
      <c r="G2742" s="2">
        <v>5</v>
      </c>
      <c r="H2742" s="2">
        <v>7</v>
      </c>
      <c r="I2742" s="2">
        <v>0</v>
      </c>
      <c r="J2742" s="2">
        <v>0</v>
      </c>
      <c r="K2742" s="2">
        <v>0</v>
      </c>
      <c r="L2742" s="2">
        <v>0</v>
      </c>
      <c r="M2742" s="2">
        <v>0</v>
      </c>
      <c r="N2742" s="2">
        <v>7</v>
      </c>
      <c r="O2742" s="2">
        <v>0</v>
      </c>
      <c r="P2742" s="2">
        <v>0</v>
      </c>
      <c r="Q2742" s="2">
        <v>7</v>
      </c>
      <c r="R2742" s="2">
        <v>0</v>
      </c>
      <c r="S2742" s="2" t="s">
        <v>488</v>
      </c>
      <c r="T2742" s="2" t="s">
        <v>488</v>
      </c>
      <c r="U2742" s="2" t="s">
        <v>488</v>
      </c>
      <c r="V2742" s="2" t="s">
        <v>488</v>
      </c>
      <c r="W2742">
        <f t="shared" si="44"/>
        <v>7</v>
      </c>
    </row>
    <row r="2743" spans="1:23" x14ac:dyDescent="0.25">
      <c r="A2743" s="2" t="s">
        <v>1380</v>
      </c>
      <c r="B2743" s="2" t="s">
        <v>921</v>
      </c>
      <c r="C2743" s="2">
        <v>540195</v>
      </c>
      <c r="D2743" s="2" t="s">
        <v>869</v>
      </c>
      <c r="E2743" s="2" t="s">
        <v>103</v>
      </c>
      <c r="F2743" s="2" t="s">
        <v>115</v>
      </c>
      <c r="G2743" s="2">
        <v>5</v>
      </c>
      <c r="H2743" s="2">
        <v>0</v>
      </c>
      <c r="I2743" s="2">
        <v>0</v>
      </c>
      <c r="J2743" s="2">
        <v>0</v>
      </c>
      <c r="K2743" s="2">
        <v>0</v>
      </c>
      <c r="L2743" s="2">
        <v>0</v>
      </c>
      <c r="M2743" s="2">
        <v>0</v>
      </c>
      <c r="N2743" s="2">
        <v>0</v>
      </c>
      <c r="O2743" s="2">
        <v>0</v>
      </c>
      <c r="P2743" s="2">
        <v>0</v>
      </c>
      <c r="Q2743" s="2">
        <v>0</v>
      </c>
      <c r="R2743" s="2">
        <v>0</v>
      </c>
      <c r="S2743" s="2" t="s">
        <v>488</v>
      </c>
      <c r="T2743" s="2" t="s">
        <v>488</v>
      </c>
      <c r="U2743" s="2" t="s">
        <v>488</v>
      </c>
      <c r="V2743" s="2" t="s">
        <v>488</v>
      </c>
      <c r="W2743">
        <f t="shared" si="44"/>
        <v>0</v>
      </c>
    </row>
    <row r="2744" spans="1:23" x14ac:dyDescent="0.25">
      <c r="A2744" s="2" t="s">
        <v>1380</v>
      </c>
      <c r="B2744" s="2" t="s">
        <v>921</v>
      </c>
      <c r="C2744" s="2">
        <v>540196</v>
      </c>
      <c r="D2744" s="2" t="s">
        <v>843</v>
      </c>
      <c r="E2744" s="2" t="s">
        <v>103</v>
      </c>
      <c r="F2744" s="2" t="s">
        <v>115</v>
      </c>
      <c r="G2744" s="2">
        <v>5</v>
      </c>
      <c r="H2744" s="2">
        <v>0</v>
      </c>
      <c r="I2744" s="2">
        <v>0</v>
      </c>
      <c r="J2744" s="2">
        <v>0</v>
      </c>
      <c r="K2744" s="2">
        <v>0</v>
      </c>
      <c r="L2744" s="2">
        <v>0</v>
      </c>
      <c r="M2744" s="2">
        <v>0</v>
      </c>
      <c r="N2744" s="2">
        <v>0</v>
      </c>
      <c r="O2744" s="2">
        <v>0</v>
      </c>
      <c r="P2744" s="2">
        <v>0</v>
      </c>
      <c r="Q2744" s="2">
        <v>0</v>
      </c>
      <c r="R2744" s="2">
        <v>0</v>
      </c>
      <c r="S2744" s="2" t="s">
        <v>488</v>
      </c>
      <c r="T2744" s="2" t="s">
        <v>488</v>
      </c>
      <c r="U2744" s="2" t="s">
        <v>488</v>
      </c>
      <c r="V2744" s="2" t="s">
        <v>488</v>
      </c>
      <c r="W2744">
        <f t="shared" si="44"/>
        <v>0</v>
      </c>
    </row>
    <row r="2745" spans="1:23" x14ac:dyDescent="0.25">
      <c r="A2745" s="2" t="s">
        <v>1380</v>
      </c>
      <c r="B2745" s="2" t="s">
        <v>921</v>
      </c>
      <c r="C2745" s="2">
        <v>540197</v>
      </c>
      <c r="D2745" s="2" t="s">
        <v>870</v>
      </c>
      <c r="E2745" s="2" t="s">
        <v>103</v>
      </c>
      <c r="F2745" s="2" t="s">
        <v>115</v>
      </c>
      <c r="G2745" s="2">
        <v>5</v>
      </c>
      <c r="H2745" s="2">
        <v>0</v>
      </c>
      <c r="I2745" s="2">
        <v>1</v>
      </c>
      <c r="J2745" s="2">
        <v>0</v>
      </c>
      <c r="K2745" s="2">
        <v>0</v>
      </c>
      <c r="L2745" s="2">
        <v>0</v>
      </c>
      <c r="M2745" s="2">
        <v>1</v>
      </c>
      <c r="N2745" s="2">
        <v>1</v>
      </c>
      <c r="O2745" s="2">
        <v>0</v>
      </c>
      <c r="P2745" s="2">
        <v>0</v>
      </c>
      <c r="Q2745" s="2">
        <v>0</v>
      </c>
      <c r="R2745" s="2">
        <v>0</v>
      </c>
      <c r="S2745" s="2" t="s">
        <v>488</v>
      </c>
      <c r="T2745" s="2" t="s">
        <v>488</v>
      </c>
      <c r="U2745" s="2" t="s">
        <v>488</v>
      </c>
      <c r="V2745" s="2" t="s">
        <v>488</v>
      </c>
      <c r="W2745">
        <f t="shared" si="44"/>
        <v>1</v>
      </c>
    </row>
    <row r="2746" spans="1:23" x14ac:dyDescent="0.25">
      <c r="A2746" s="2" t="s">
        <v>1380</v>
      </c>
      <c r="B2746" s="2" t="s">
        <v>921</v>
      </c>
      <c r="C2746" s="2">
        <v>540259</v>
      </c>
      <c r="D2746" s="2" t="s">
        <v>871</v>
      </c>
      <c r="E2746" s="2" t="s">
        <v>103</v>
      </c>
      <c r="F2746" s="2" t="s">
        <v>115</v>
      </c>
      <c r="G2746" s="2">
        <v>5</v>
      </c>
      <c r="H2746" s="2">
        <v>0</v>
      </c>
      <c r="I2746" s="2">
        <v>0</v>
      </c>
      <c r="J2746" s="2">
        <v>0</v>
      </c>
      <c r="K2746" s="2">
        <v>0</v>
      </c>
      <c r="L2746" s="2">
        <v>0</v>
      </c>
      <c r="M2746" s="2">
        <v>0</v>
      </c>
      <c r="N2746" s="2">
        <v>0</v>
      </c>
      <c r="O2746" s="2">
        <v>0</v>
      </c>
      <c r="P2746" s="2">
        <v>0</v>
      </c>
      <c r="Q2746" s="2">
        <v>0</v>
      </c>
      <c r="R2746" s="2">
        <v>0</v>
      </c>
      <c r="S2746" s="2" t="s">
        <v>488</v>
      </c>
      <c r="T2746" s="2" t="s">
        <v>488</v>
      </c>
      <c r="U2746" s="2" t="s">
        <v>488</v>
      </c>
      <c r="V2746" s="2" t="s">
        <v>488</v>
      </c>
      <c r="W2746">
        <f t="shared" si="44"/>
        <v>0</v>
      </c>
    </row>
    <row r="2747" spans="1:23" x14ac:dyDescent="0.25">
      <c r="A2747" s="255" t="s">
        <v>1380</v>
      </c>
      <c r="B2747" s="255" t="s">
        <v>921</v>
      </c>
      <c r="C2747" s="255"/>
      <c r="D2747" s="255"/>
      <c r="E2747" s="255" t="s">
        <v>103</v>
      </c>
      <c r="F2747" s="255"/>
      <c r="G2747" s="255"/>
      <c r="H2747" s="255">
        <v>7</v>
      </c>
      <c r="I2747" s="255">
        <v>1</v>
      </c>
      <c r="J2747" s="255">
        <v>0</v>
      </c>
      <c r="K2747" s="255">
        <v>0</v>
      </c>
      <c r="L2747" s="255">
        <v>0</v>
      </c>
      <c r="M2747" s="255">
        <v>1</v>
      </c>
      <c r="N2747" s="255">
        <v>8</v>
      </c>
      <c r="O2747" s="255">
        <v>0</v>
      </c>
      <c r="P2747" s="255">
        <v>0</v>
      </c>
      <c r="Q2747" s="255">
        <v>7</v>
      </c>
      <c r="R2747" s="255">
        <v>0</v>
      </c>
      <c r="S2747" s="255" t="s">
        <v>488</v>
      </c>
      <c r="T2747" s="255" t="s">
        <v>488</v>
      </c>
      <c r="U2747" s="255" t="s">
        <v>488</v>
      </c>
      <c r="V2747" s="255" t="s">
        <v>488</v>
      </c>
      <c r="W2747">
        <f t="shared" si="44"/>
        <v>8</v>
      </c>
    </row>
    <row r="2748" spans="1:23" x14ac:dyDescent="0.25">
      <c r="A2748" s="2" t="s">
        <v>1380</v>
      </c>
      <c r="B2748" s="2" t="s">
        <v>921</v>
      </c>
      <c r="C2748" s="2">
        <v>540278</v>
      </c>
      <c r="D2748" s="2" t="s">
        <v>872</v>
      </c>
      <c r="E2748" s="2" t="s">
        <v>105</v>
      </c>
      <c r="F2748" s="2" t="s">
        <v>5</v>
      </c>
      <c r="G2748" s="2">
        <v>1</v>
      </c>
      <c r="H2748" s="2">
        <v>0</v>
      </c>
      <c r="I2748" s="2">
        <v>0</v>
      </c>
      <c r="J2748" s="2">
        <v>0</v>
      </c>
      <c r="K2748" s="2">
        <v>0</v>
      </c>
      <c r="L2748" s="2">
        <v>0</v>
      </c>
      <c r="M2748" s="2">
        <v>0</v>
      </c>
      <c r="N2748" s="2">
        <v>0</v>
      </c>
      <c r="O2748" s="2">
        <v>0</v>
      </c>
      <c r="P2748" s="2">
        <v>0</v>
      </c>
      <c r="Q2748" s="2">
        <v>0</v>
      </c>
      <c r="R2748" s="2">
        <v>0</v>
      </c>
      <c r="S2748" s="2" t="s">
        <v>488</v>
      </c>
      <c r="T2748" s="2" t="s">
        <v>488</v>
      </c>
      <c r="U2748" s="2" t="s">
        <v>488</v>
      </c>
      <c r="V2748" s="2" t="s">
        <v>488</v>
      </c>
      <c r="W2748">
        <f t="shared" si="44"/>
        <v>0</v>
      </c>
    </row>
    <row r="2749" spans="1:23" x14ac:dyDescent="0.25">
      <c r="A2749" s="2" t="s">
        <v>1380</v>
      </c>
      <c r="B2749" s="2" t="s">
        <v>921</v>
      </c>
      <c r="C2749" s="2">
        <v>540041</v>
      </c>
      <c r="D2749" s="2" t="s">
        <v>666</v>
      </c>
      <c r="E2749" s="2" t="s">
        <v>105</v>
      </c>
      <c r="F2749" s="2" t="s">
        <v>115</v>
      </c>
      <c r="G2749" s="2">
        <v>1</v>
      </c>
      <c r="H2749" s="2">
        <v>0</v>
      </c>
      <c r="I2749" s="2">
        <v>0</v>
      </c>
      <c r="J2749" s="2">
        <v>0</v>
      </c>
      <c r="K2749" s="2">
        <v>0</v>
      </c>
      <c r="L2749" s="2">
        <v>0</v>
      </c>
      <c r="M2749" s="2">
        <v>0</v>
      </c>
      <c r="N2749" s="2">
        <v>0</v>
      </c>
      <c r="O2749" s="2">
        <v>0</v>
      </c>
      <c r="P2749" s="2">
        <v>0</v>
      </c>
      <c r="Q2749" s="2">
        <v>0</v>
      </c>
      <c r="R2749" s="2">
        <v>0</v>
      </c>
      <c r="S2749" s="2" t="s">
        <v>488</v>
      </c>
      <c r="T2749" s="2" t="s">
        <v>488</v>
      </c>
      <c r="U2749" s="2" t="s">
        <v>488</v>
      </c>
      <c r="V2749" s="2" t="s">
        <v>488</v>
      </c>
      <c r="W2749">
        <f t="shared" si="44"/>
        <v>0</v>
      </c>
    </row>
    <row r="2750" spans="1:23" x14ac:dyDescent="0.25">
      <c r="A2750" s="2" t="s">
        <v>1380</v>
      </c>
      <c r="B2750" s="2" t="s">
        <v>921</v>
      </c>
      <c r="C2750" s="2">
        <v>540143</v>
      </c>
      <c r="D2750" s="2" t="s">
        <v>873</v>
      </c>
      <c r="E2750" s="2" t="s">
        <v>105</v>
      </c>
      <c r="F2750" s="2" t="s">
        <v>115</v>
      </c>
      <c r="G2750" s="2">
        <v>1</v>
      </c>
      <c r="H2750" s="2">
        <v>0</v>
      </c>
      <c r="I2750" s="2">
        <v>0</v>
      </c>
      <c r="J2750" s="2">
        <v>0</v>
      </c>
      <c r="K2750" s="2">
        <v>0</v>
      </c>
      <c r="L2750" s="2">
        <v>0</v>
      </c>
      <c r="M2750" s="2">
        <v>0</v>
      </c>
      <c r="N2750" s="2">
        <v>0</v>
      </c>
      <c r="O2750" s="2">
        <v>0</v>
      </c>
      <c r="P2750" s="2">
        <v>0</v>
      </c>
      <c r="Q2750" s="2">
        <v>0</v>
      </c>
      <c r="R2750" s="2">
        <v>0</v>
      </c>
      <c r="S2750" s="2" t="s">
        <v>488</v>
      </c>
      <c r="T2750" s="2" t="s">
        <v>488</v>
      </c>
      <c r="U2750" s="2" t="s">
        <v>488</v>
      </c>
      <c r="V2750" s="2" t="s">
        <v>488</v>
      </c>
      <c r="W2750">
        <f t="shared" si="44"/>
        <v>0</v>
      </c>
    </row>
    <row r="2751" spans="1:23" x14ac:dyDescent="0.25">
      <c r="A2751" s="2" t="s">
        <v>1380</v>
      </c>
      <c r="B2751" s="2" t="s">
        <v>921</v>
      </c>
      <c r="C2751" s="2">
        <v>540290</v>
      </c>
      <c r="D2751" s="2" t="s">
        <v>874</v>
      </c>
      <c r="E2751" s="2" t="s">
        <v>105</v>
      </c>
      <c r="F2751" s="2" t="s">
        <v>115</v>
      </c>
      <c r="G2751" s="2">
        <v>1</v>
      </c>
      <c r="H2751" s="2">
        <v>0</v>
      </c>
      <c r="I2751" s="2">
        <v>0</v>
      </c>
      <c r="J2751" s="2">
        <v>0</v>
      </c>
      <c r="K2751" s="2">
        <v>0</v>
      </c>
      <c r="L2751" s="2">
        <v>0</v>
      </c>
      <c r="M2751" s="2">
        <v>0</v>
      </c>
      <c r="N2751" s="2">
        <v>0</v>
      </c>
      <c r="O2751" s="2">
        <v>0</v>
      </c>
      <c r="P2751" s="2">
        <v>0</v>
      </c>
      <c r="Q2751" s="2">
        <v>0</v>
      </c>
      <c r="R2751" s="2">
        <v>0</v>
      </c>
      <c r="S2751" s="2" t="s">
        <v>488</v>
      </c>
      <c r="T2751" s="2" t="s">
        <v>488</v>
      </c>
      <c r="U2751" s="2" t="s">
        <v>488</v>
      </c>
      <c r="V2751" s="2" t="s">
        <v>488</v>
      </c>
      <c r="W2751">
        <f t="shared" si="44"/>
        <v>0</v>
      </c>
    </row>
    <row r="2752" spans="1:23" x14ac:dyDescent="0.25">
      <c r="A2752" s="255" t="s">
        <v>1380</v>
      </c>
      <c r="B2752" s="255" t="s">
        <v>921</v>
      </c>
      <c r="C2752" s="255"/>
      <c r="D2752" s="255"/>
      <c r="E2752" s="255" t="s">
        <v>105</v>
      </c>
      <c r="F2752" s="255"/>
      <c r="G2752" s="255"/>
      <c r="H2752" s="255">
        <v>0</v>
      </c>
      <c r="I2752" s="255">
        <v>0</v>
      </c>
      <c r="J2752" s="255">
        <v>0</v>
      </c>
      <c r="K2752" s="255">
        <v>0</v>
      </c>
      <c r="L2752" s="255">
        <v>0</v>
      </c>
      <c r="M2752" s="255">
        <v>0</v>
      </c>
      <c r="N2752" s="255">
        <v>0</v>
      </c>
      <c r="O2752" s="255">
        <v>0</v>
      </c>
      <c r="P2752" s="255">
        <v>0</v>
      </c>
      <c r="Q2752" s="255">
        <v>0</v>
      </c>
      <c r="R2752" s="255">
        <v>0</v>
      </c>
      <c r="S2752" s="255" t="s">
        <v>488</v>
      </c>
      <c r="T2752" s="255" t="s">
        <v>488</v>
      </c>
      <c r="U2752" s="255" t="s">
        <v>488</v>
      </c>
      <c r="V2752" s="255" t="s">
        <v>488</v>
      </c>
      <c r="W2752">
        <f t="shared" si="44"/>
        <v>0</v>
      </c>
    </row>
    <row r="2753" spans="1:23" x14ac:dyDescent="0.25">
      <c r="A2753" s="2" t="s">
        <v>1380</v>
      </c>
      <c r="B2753" s="2" t="s">
        <v>921</v>
      </c>
      <c r="C2753" s="2">
        <v>540282</v>
      </c>
      <c r="D2753" s="2" t="s">
        <v>875</v>
      </c>
      <c r="E2753" s="2" t="s">
        <v>107</v>
      </c>
      <c r="F2753" s="2" t="s">
        <v>5</v>
      </c>
      <c r="G2753" s="2">
        <v>9</v>
      </c>
      <c r="H2753" s="2">
        <v>0</v>
      </c>
      <c r="I2753" s="2">
        <v>0</v>
      </c>
      <c r="J2753" s="2">
        <v>0</v>
      </c>
      <c r="K2753" s="2">
        <v>0</v>
      </c>
      <c r="L2753" s="2">
        <v>0</v>
      </c>
      <c r="M2753" s="2">
        <v>0</v>
      </c>
      <c r="N2753" s="2">
        <v>0</v>
      </c>
      <c r="O2753" s="2">
        <v>0</v>
      </c>
      <c r="P2753" s="2">
        <v>0</v>
      </c>
      <c r="Q2753" s="2">
        <v>0</v>
      </c>
      <c r="R2753" s="2">
        <v>0</v>
      </c>
      <c r="S2753" s="2">
        <v>0</v>
      </c>
      <c r="T2753" s="2">
        <v>0</v>
      </c>
      <c r="U2753" s="2" t="s">
        <v>488</v>
      </c>
      <c r="V2753" s="2" t="s">
        <v>488</v>
      </c>
      <c r="W2753">
        <f t="shared" si="44"/>
        <v>0</v>
      </c>
    </row>
    <row r="2754" spans="1:23" x14ac:dyDescent="0.25">
      <c r="A2754" s="2" t="s">
        <v>1380</v>
      </c>
      <c r="B2754" s="2" t="s">
        <v>921</v>
      </c>
      <c r="C2754" s="2">
        <v>540006</v>
      </c>
      <c r="D2754" s="2" t="s">
        <v>876</v>
      </c>
      <c r="E2754" s="2" t="s">
        <v>107</v>
      </c>
      <c r="F2754" s="2" t="s">
        <v>115</v>
      </c>
      <c r="G2754" s="2">
        <v>9</v>
      </c>
      <c r="H2754" s="2">
        <v>0</v>
      </c>
      <c r="I2754" s="2">
        <v>1</v>
      </c>
      <c r="J2754" s="2">
        <v>0</v>
      </c>
      <c r="K2754" s="2">
        <v>0</v>
      </c>
      <c r="L2754" s="2">
        <v>0</v>
      </c>
      <c r="M2754" s="2">
        <v>1</v>
      </c>
      <c r="N2754" s="2">
        <v>1</v>
      </c>
      <c r="O2754" s="2">
        <v>0</v>
      </c>
      <c r="P2754" s="2">
        <v>0</v>
      </c>
      <c r="Q2754" s="2">
        <v>0</v>
      </c>
      <c r="R2754" s="2">
        <v>0</v>
      </c>
      <c r="S2754" s="2">
        <v>1</v>
      </c>
      <c r="T2754" s="2">
        <v>0</v>
      </c>
      <c r="U2754" s="2" t="s">
        <v>488</v>
      </c>
      <c r="V2754" s="2" t="s">
        <v>488</v>
      </c>
      <c r="W2754">
        <f t="shared" si="44"/>
        <v>1</v>
      </c>
    </row>
    <row r="2755" spans="1:23" x14ac:dyDescent="0.25">
      <c r="A2755" s="2" t="s">
        <v>1380</v>
      </c>
      <c r="B2755" s="2" t="s">
        <v>921</v>
      </c>
      <c r="C2755" s="2">
        <v>545550</v>
      </c>
      <c r="D2755" s="2" t="s">
        <v>877</v>
      </c>
      <c r="E2755" s="2" t="s">
        <v>107</v>
      </c>
      <c r="F2755" s="2" t="s">
        <v>115</v>
      </c>
      <c r="G2755" s="2">
        <v>9</v>
      </c>
      <c r="H2755" s="2">
        <v>0</v>
      </c>
      <c r="I2755" s="2">
        <v>0</v>
      </c>
      <c r="J2755" s="2">
        <v>0</v>
      </c>
      <c r="K2755" s="2">
        <v>0</v>
      </c>
      <c r="L2755" s="2">
        <v>0</v>
      </c>
      <c r="M2755" s="2">
        <v>0</v>
      </c>
      <c r="N2755" s="2">
        <v>0</v>
      </c>
      <c r="O2755" s="2">
        <v>0</v>
      </c>
      <c r="P2755" s="2">
        <v>0</v>
      </c>
      <c r="Q2755" s="2">
        <v>0</v>
      </c>
      <c r="R2755" s="2">
        <v>0</v>
      </c>
      <c r="S2755" s="2">
        <v>0</v>
      </c>
      <c r="T2755" s="2">
        <v>0</v>
      </c>
      <c r="U2755" s="2" t="s">
        <v>488</v>
      </c>
      <c r="V2755" s="2" t="s">
        <v>488</v>
      </c>
      <c r="W2755">
        <f t="shared" ref="W2755:W2818" si="45">SUM(N2755,P2755,R2755,T2755)</f>
        <v>0</v>
      </c>
    </row>
    <row r="2756" spans="1:23" x14ac:dyDescent="0.25">
      <c r="A2756" s="255" t="s">
        <v>1380</v>
      </c>
      <c r="B2756" s="255" t="s">
        <v>921</v>
      </c>
      <c r="C2756" s="255"/>
      <c r="D2756" s="255"/>
      <c r="E2756" s="255" t="s">
        <v>107</v>
      </c>
      <c r="F2756" s="255"/>
      <c r="G2756" s="255"/>
      <c r="H2756" s="255">
        <v>0</v>
      </c>
      <c r="I2756" s="255">
        <v>1</v>
      </c>
      <c r="J2756" s="255">
        <v>0</v>
      </c>
      <c r="K2756" s="255">
        <v>0</v>
      </c>
      <c r="L2756" s="255">
        <v>0</v>
      </c>
      <c r="M2756" s="255">
        <v>1</v>
      </c>
      <c r="N2756" s="255">
        <v>1</v>
      </c>
      <c r="O2756" s="255">
        <v>0</v>
      </c>
      <c r="P2756" s="255">
        <v>0</v>
      </c>
      <c r="Q2756" s="255">
        <v>0</v>
      </c>
      <c r="R2756" s="255">
        <v>0</v>
      </c>
      <c r="S2756" s="255">
        <v>1</v>
      </c>
      <c r="T2756" s="255">
        <v>0</v>
      </c>
      <c r="U2756" s="255" t="s">
        <v>488</v>
      </c>
      <c r="V2756" s="255" t="s">
        <v>488</v>
      </c>
      <c r="W2756">
        <f t="shared" si="45"/>
        <v>1</v>
      </c>
    </row>
    <row r="2757" spans="1:23" x14ac:dyDescent="0.25">
      <c r="A2757" s="2" t="s">
        <v>1380</v>
      </c>
      <c r="B2757" s="2" t="s">
        <v>921</v>
      </c>
      <c r="C2757" s="2">
        <v>540283</v>
      </c>
      <c r="D2757" s="2" t="s">
        <v>878</v>
      </c>
      <c r="E2757" s="2" t="s">
        <v>109</v>
      </c>
      <c r="F2757" s="2" t="s">
        <v>5</v>
      </c>
      <c r="G2757" s="2">
        <v>4</v>
      </c>
      <c r="H2757" s="2">
        <v>5</v>
      </c>
      <c r="I2757" s="2">
        <v>0</v>
      </c>
      <c r="J2757" s="2">
        <v>0</v>
      </c>
      <c r="K2757" s="2">
        <v>0</v>
      </c>
      <c r="L2757" s="2">
        <v>0</v>
      </c>
      <c r="M2757" s="2">
        <v>0</v>
      </c>
      <c r="N2757" s="2">
        <v>5</v>
      </c>
      <c r="O2757" s="2">
        <v>0</v>
      </c>
      <c r="P2757" s="2">
        <v>0</v>
      </c>
      <c r="Q2757" s="2" t="s">
        <v>488</v>
      </c>
      <c r="R2757" s="2" t="s">
        <v>488</v>
      </c>
      <c r="S2757" s="2" t="s">
        <v>488</v>
      </c>
      <c r="T2757" s="2" t="s">
        <v>488</v>
      </c>
      <c r="U2757" s="2" t="s">
        <v>488</v>
      </c>
      <c r="V2757" s="2" t="s">
        <v>488</v>
      </c>
      <c r="W2757">
        <f t="shared" si="45"/>
        <v>5</v>
      </c>
    </row>
    <row r="2758" spans="1:23" x14ac:dyDescent="0.25">
      <c r="A2758" s="2" t="s">
        <v>1380</v>
      </c>
      <c r="B2758" s="2" t="s">
        <v>921</v>
      </c>
      <c r="C2758" s="2">
        <v>540158</v>
      </c>
      <c r="D2758" s="2" t="s">
        <v>879</v>
      </c>
      <c r="E2758" s="2" t="s">
        <v>109</v>
      </c>
      <c r="F2758" s="2" t="s">
        <v>115</v>
      </c>
      <c r="G2758" s="2">
        <v>4</v>
      </c>
      <c r="H2758" s="2">
        <v>0</v>
      </c>
      <c r="I2758" s="2">
        <v>0</v>
      </c>
      <c r="J2758" s="2">
        <v>0</v>
      </c>
      <c r="K2758" s="2">
        <v>0</v>
      </c>
      <c r="L2758" s="2">
        <v>0</v>
      </c>
      <c r="M2758" s="2">
        <v>0</v>
      </c>
      <c r="N2758" s="2">
        <v>0</v>
      </c>
      <c r="O2758" s="2">
        <v>0</v>
      </c>
      <c r="P2758" s="2">
        <v>0</v>
      </c>
      <c r="Q2758" s="2" t="s">
        <v>488</v>
      </c>
      <c r="R2758" s="2" t="s">
        <v>488</v>
      </c>
      <c r="S2758" s="2" t="s">
        <v>488</v>
      </c>
      <c r="T2758" s="2" t="s">
        <v>488</v>
      </c>
      <c r="U2758" s="2" t="s">
        <v>488</v>
      </c>
      <c r="V2758" s="2" t="s">
        <v>488</v>
      </c>
      <c r="W2758">
        <f t="shared" si="45"/>
        <v>0</v>
      </c>
    </row>
    <row r="2759" spans="1:23" x14ac:dyDescent="0.25">
      <c r="A2759" s="2" t="s">
        <v>1380</v>
      </c>
      <c r="B2759" s="2" t="s">
        <v>921</v>
      </c>
      <c r="C2759" s="2">
        <v>540159</v>
      </c>
      <c r="D2759" s="2" t="s">
        <v>880</v>
      </c>
      <c r="E2759" s="2" t="s">
        <v>109</v>
      </c>
      <c r="F2759" s="2" t="s">
        <v>115</v>
      </c>
      <c r="G2759" s="2">
        <v>4</v>
      </c>
      <c r="H2759" s="2">
        <v>0</v>
      </c>
      <c r="I2759" s="2">
        <v>5</v>
      </c>
      <c r="J2759" s="2">
        <v>0</v>
      </c>
      <c r="K2759" s="2">
        <v>0</v>
      </c>
      <c r="L2759" s="2">
        <v>0</v>
      </c>
      <c r="M2759" s="2">
        <v>5</v>
      </c>
      <c r="N2759" s="2">
        <v>5</v>
      </c>
      <c r="O2759" s="2">
        <v>0</v>
      </c>
      <c r="P2759" s="2">
        <v>0</v>
      </c>
      <c r="Q2759" s="2" t="s">
        <v>488</v>
      </c>
      <c r="R2759" s="2" t="s">
        <v>488</v>
      </c>
      <c r="S2759" s="2" t="s">
        <v>488</v>
      </c>
      <c r="T2759" s="2" t="s">
        <v>488</v>
      </c>
      <c r="U2759" s="2" t="s">
        <v>488</v>
      </c>
      <c r="V2759" s="2" t="s">
        <v>488</v>
      </c>
      <c r="W2759">
        <f t="shared" si="45"/>
        <v>5</v>
      </c>
    </row>
    <row r="2760" spans="1:23" x14ac:dyDescent="0.25">
      <c r="A2760" s="2" t="s">
        <v>1380</v>
      </c>
      <c r="B2760" s="2" t="s">
        <v>921</v>
      </c>
      <c r="C2760" s="2">
        <v>540288</v>
      </c>
      <c r="D2760" s="2" t="s">
        <v>881</v>
      </c>
      <c r="E2760" s="2" t="s">
        <v>109</v>
      </c>
      <c r="F2760" s="2" t="s">
        <v>115</v>
      </c>
      <c r="G2760" s="2">
        <v>4</v>
      </c>
      <c r="H2760" s="2">
        <v>0</v>
      </c>
      <c r="I2760" s="2">
        <v>0</v>
      </c>
      <c r="J2760" s="2">
        <v>0</v>
      </c>
      <c r="K2760" s="2">
        <v>0</v>
      </c>
      <c r="L2760" s="2">
        <v>0</v>
      </c>
      <c r="M2760" s="2">
        <v>0</v>
      </c>
      <c r="N2760" s="2">
        <v>0</v>
      </c>
      <c r="O2760" s="2">
        <v>0</v>
      </c>
      <c r="P2760" s="2">
        <v>0</v>
      </c>
      <c r="Q2760" s="2" t="s">
        <v>488</v>
      </c>
      <c r="R2760" s="2" t="s">
        <v>488</v>
      </c>
      <c r="S2760" s="2" t="s">
        <v>488</v>
      </c>
      <c r="T2760" s="2" t="s">
        <v>488</v>
      </c>
      <c r="U2760" s="2" t="s">
        <v>488</v>
      </c>
      <c r="V2760" s="2" t="s">
        <v>488</v>
      </c>
      <c r="W2760">
        <f t="shared" si="45"/>
        <v>0</v>
      </c>
    </row>
    <row r="2761" spans="1:23" x14ac:dyDescent="0.25">
      <c r="A2761" s="255" t="s">
        <v>1380</v>
      </c>
      <c r="B2761" s="255" t="s">
        <v>921</v>
      </c>
      <c r="C2761" s="255"/>
      <c r="D2761" s="255"/>
      <c r="E2761" s="255" t="s">
        <v>109</v>
      </c>
      <c r="F2761" s="255"/>
      <c r="G2761" s="255"/>
      <c r="H2761" s="255">
        <v>5</v>
      </c>
      <c r="I2761" s="255">
        <v>5</v>
      </c>
      <c r="J2761" s="255">
        <v>0</v>
      </c>
      <c r="K2761" s="255">
        <v>0</v>
      </c>
      <c r="L2761" s="255">
        <v>0</v>
      </c>
      <c r="M2761" s="255">
        <v>5</v>
      </c>
      <c r="N2761" s="255">
        <v>10</v>
      </c>
      <c r="O2761" s="255">
        <v>0</v>
      </c>
      <c r="P2761" s="255">
        <v>0</v>
      </c>
      <c r="Q2761" s="255" t="s">
        <v>488</v>
      </c>
      <c r="R2761" s="255" t="s">
        <v>488</v>
      </c>
      <c r="S2761" s="255" t="s">
        <v>488</v>
      </c>
      <c r="T2761" s="255" t="s">
        <v>488</v>
      </c>
      <c r="U2761" s="255" t="s">
        <v>488</v>
      </c>
      <c r="V2761" s="255" t="s">
        <v>488</v>
      </c>
      <c r="W2761">
        <f t="shared" si="45"/>
        <v>10</v>
      </c>
    </row>
    <row r="2762" spans="1:23" x14ac:dyDescent="0.25">
      <c r="A2762" s="2" t="s">
        <v>1380</v>
      </c>
      <c r="B2762" s="2" t="s">
        <v>921</v>
      </c>
      <c r="C2762" s="2">
        <v>545536</v>
      </c>
      <c r="D2762" s="2" t="s">
        <v>882</v>
      </c>
      <c r="E2762" s="2" t="s">
        <v>111</v>
      </c>
      <c r="F2762" s="2" t="s">
        <v>5</v>
      </c>
      <c r="G2762" s="2">
        <v>2</v>
      </c>
      <c r="H2762" s="2">
        <v>9</v>
      </c>
      <c r="I2762" s="2">
        <v>12</v>
      </c>
      <c r="J2762" s="2">
        <v>6</v>
      </c>
      <c r="K2762" s="2">
        <v>0</v>
      </c>
      <c r="L2762" s="2">
        <v>0</v>
      </c>
      <c r="M2762" s="2">
        <v>18</v>
      </c>
      <c r="N2762" s="2">
        <v>27</v>
      </c>
      <c r="O2762" s="2">
        <v>0</v>
      </c>
      <c r="P2762" s="2">
        <v>0</v>
      </c>
      <c r="Q2762" s="2">
        <v>3</v>
      </c>
      <c r="R2762" s="2">
        <v>3</v>
      </c>
      <c r="S2762" s="2" t="s">
        <v>488</v>
      </c>
      <c r="T2762" s="2" t="s">
        <v>488</v>
      </c>
      <c r="U2762" s="2" t="s">
        <v>488</v>
      </c>
      <c r="V2762" s="2" t="s">
        <v>488</v>
      </c>
      <c r="W2762">
        <f t="shared" si="45"/>
        <v>30</v>
      </c>
    </row>
    <row r="2763" spans="1:23" x14ac:dyDescent="0.25">
      <c r="A2763" s="2" t="s">
        <v>1380</v>
      </c>
      <c r="B2763" s="2" t="s">
        <v>921</v>
      </c>
      <c r="C2763" s="2">
        <v>540092</v>
      </c>
      <c r="D2763" s="2" t="s">
        <v>883</v>
      </c>
      <c r="E2763" s="2" t="s">
        <v>111</v>
      </c>
      <c r="F2763" s="2" t="s">
        <v>115</v>
      </c>
      <c r="G2763" s="2">
        <v>2</v>
      </c>
      <c r="H2763" s="2">
        <v>0</v>
      </c>
      <c r="I2763" s="2">
        <v>0</v>
      </c>
      <c r="J2763" s="2">
        <v>0</v>
      </c>
      <c r="K2763" s="2">
        <v>0</v>
      </c>
      <c r="L2763" s="2">
        <v>0</v>
      </c>
      <c r="M2763" s="2">
        <v>0</v>
      </c>
      <c r="N2763" s="2">
        <v>0</v>
      </c>
      <c r="O2763" s="2">
        <v>0</v>
      </c>
      <c r="P2763" s="2">
        <v>0</v>
      </c>
      <c r="Q2763" s="2">
        <v>0</v>
      </c>
      <c r="R2763" s="2">
        <v>0</v>
      </c>
      <c r="S2763" s="2" t="s">
        <v>488</v>
      </c>
      <c r="T2763" s="2" t="s">
        <v>488</v>
      </c>
      <c r="U2763" s="2" t="s">
        <v>488</v>
      </c>
      <c r="V2763" s="2" t="s">
        <v>488</v>
      </c>
      <c r="W2763">
        <f t="shared" si="45"/>
        <v>0</v>
      </c>
    </row>
    <row r="2764" spans="1:23" x14ac:dyDescent="0.25">
      <c r="A2764" s="2" t="s">
        <v>1380</v>
      </c>
      <c r="B2764" s="2" t="s">
        <v>921</v>
      </c>
      <c r="C2764" s="2">
        <v>540095</v>
      </c>
      <c r="D2764" s="2" t="s">
        <v>884</v>
      </c>
      <c r="E2764" s="2" t="s">
        <v>111</v>
      </c>
      <c r="F2764" s="2" t="s">
        <v>115</v>
      </c>
      <c r="G2764" s="2">
        <v>2</v>
      </c>
      <c r="H2764" s="2">
        <v>0</v>
      </c>
      <c r="I2764" s="2">
        <v>0</v>
      </c>
      <c r="J2764" s="2">
        <v>0</v>
      </c>
      <c r="K2764" s="2">
        <v>0</v>
      </c>
      <c r="L2764" s="2">
        <v>0</v>
      </c>
      <c r="M2764" s="2">
        <v>0</v>
      </c>
      <c r="N2764" s="2">
        <v>0</v>
      </c>
      <c r="O2764" s="2">
        <v>0</v>
      </c>
      <c r="P2764" s="2">
        <v>0</v>
      </c>
      <c r="Q2764" s="2">
        <v>0</v>
      </c>
      <c r="R2764" s="2">
        <v>0</v>
      </c>
      <c r="S2764" s="2" t="s">
        <v>488</v>
      </c>
      <c r="T2764" s="2" t="s">
        <v>488</v>
      </c>
      <c r="U2764" s="2" t="s">
        <v>488</v>
      </c>
      <c r="V2764" s="2" t="s">
        <v>488</v>
      </c>
      <c r="W2764">
        <f t="shared" si="45"/>
        <v>0</v>
      </c>
    </row>
    <row r="2765" spans="1:23" x14ac:dyDescent="0.25">
      <c r="A2765" s="2" t="s">
        <v>1380</v>
      </c>
      <c r="B2765" s="2" t="s">
        <v>921</v>
      </c>
      <c r="C2765" s="2">
        <v>545535</v>
      </c>
      <c r="D2765" s="2" t="s">
        <v>885</v>
      </c>
      <c r="E2765" s="2" t="s">
        <v>111</v>
      </c>
      <c r="F2765" s="2" t="s">
        <v>115</v>
      </c>
      <c r="G2765" s="2">
        <v>2</v>
      </c>
      <c r="H2765" s="2">
        <v>0</v>
      </c>
      <c r="I2765" s="2">
        <v>0</v>
      </c>
      <c r="J2765" s="2">
        <v>0</v>
      </c>
      <c r="K2765" s="2">
        <v>0</v>
      </c>
      <c r="L2765" s="2">
        <v>0</v>
      </c>
      <c r="M2765" s="2">
        <v>0</v>
      </c>
      <c r="N2765" s="2">
        <v>0</v>
      </c>
      <c r="O2765" s="2">
        <v>0</v>
      </c>
      <c r="P2765" s="2">
        <v>0</v>
      </c>
      <c r="Q2765" s="2">
        <v>0</v>
      </c>
      <c r="R2765" s="2">
        <v>0</v>
      </c>
      <c r="S2765" s="2" t="s">
        <v>488</v>
      </c>
      <c r="T2765" s="2" t="s">
        <v>488</v>
      </c>
      <c r="U2765" s="2" t="s">
        <v>488</v>
      </c>
      <c r="V2765" s="2" t="s">
        <v>488</v>
      </c>
      <c r="W2765">
        <f t="shared" si="45"/>
        <v>0</v>
      </c>
    </row>
    <row r="2766" spans="1:23" x14ac:dyDescent="0.25">
      <c r="A2766" s="2" t="s">
        <v>1380</v>
      </c>
      <c r="B2766" s="2" t="s">
        <v>921</v>
      </c>
      <c r="C2766" s="2">
        <v>545537</v>
      </c>
      <c r="D2766" s="2" t="s">
        <v>886</v>
      </c>
      <c r="E2766" s="2" t="s">
        <v>111</v>
      </c>
      <c r="F2766" s="2" t="s">
        <v>115</v>
      </c>
      <c r="G2766" s="2">
        <v>2</v>
      </c>
      <c r="H2766" s="2">
        <v>0</v>
      </c>
      <c r="I2766" s="2">
        <v>1</v>
      </c>
      <c r="J2766" s="2">
        <v>0</v>
      </c>
      <c r="K2766" s="2">
        <v>0</v>
      </c>
      <c r="L2766" s="2">
        <v>0</v>
      </c>
      <c r="M2766" s="2">
        <v>1</v>
      </c>
      <c r="N2766" s="2">
        <v>1</v>
      </c>
      <c r="O2766" s="2">
        <v>0</v>
      </c>
      <c r="P2766" s="2">
        <v>0</v>
      </c>
      <c r="Q2766" s="2">
        <v>0</v>
      </c>
      <c r="R2766" s="2">
        <v>0</v>
      </c>
      <c r="S2766" s="2" t="s">
        <v>488</v>
      </c>
      <c r="T2766" s="2" t="s">
        <v>488</v>
      </c>
      <c r="U2766" s="2" t="s">
        <v>488</v>
      </c>
      <c r="V2766" s="2" t="s">
        <v>488</v>
      </c>
      <c r="W2766">
        <f t="shared" si="45"/>
        <v>1</v>
      </c>
    </row>
    <row r="2767" spans="1:23" x14ac:dyDescent="0.25">
      <c r="A2767" s="2" t="s">
        <v>1380</v>
      </c>
      <c r="B2767" s="2" t="s">
        <v>921</v>
      </c>
      <c r="C2767" s="2">
        <v>545539</v>
      </c>
      <c r="D2767" s="2" t="s">
        <v>887</v>
      </c>
      <c r="E2767" s="2" t="s">
        <v>111</v>
      </c>
      <c r="F2767" s="2" t="s">
        <v>115</v>
      </c>
      <c r="G2767" s="2">
        <v>2</v>
      </c>
      <c r="H2767" s="2">
        <v>0</v>
      </c>
      <c r="I2767" s="2">
        <v>0</v>
      </c>
      <c r="J2767" s="2">
        <v>0</v>
      </c>
      <c r="K2767" s="2">
        <v>0</v>
      </c>
      <c r="L2767" s="2">
        <v>0</v>
      </c>
      <c r="M2767" s="2">
        <v>0</v>
      </c>
      <c r="N2767" s="2">
        <v>0</v>
      </c>
      <c r="O2767" s="2">
        <v>0</v>
      </c>
      <c r="P2767" s="2">
        <v>0</v>
      </c>
      <c r="Q2767" s="2">
        <v>0</v>
      </c>
      <c r="R2767" s="2">
        <v>0</v>
      </c>
      <c r="S2767" s="2" t="s">
        <v>488</v>
      </c>
      <c r="T2767" s="2" t="s">
        <v>488</v>
      </c>
      <c r="U2767" s="2" t="s">
        <v>488</v>
      </c>
      <c r="V2767" s="2" t="s">
        <v>488</v>
      </c>
      <c r="W2767">
        <f t="shared" si="45"/>
        <v>0</v>
      </c>
    </row>
    <row r="2768" spans="1:23" x14ac:dyDescent="0.25">
      <c r="A2768" s="255" t="s">
        <v>1380</v>
      </c>
      <c r="B2768" s="255" t="s">
        <v>921</v>
      </c>
      <c r="C2768" s="255"/>
      <c r="D2768" s="255"/>
      <c r="E2768" s="255" t="s">
        <v>111</v>
      </c>
      <c r="F2768" s="255"/>
      <c r="G2768" s="255"/>
      <c r="H2768" s="255">
        <v>9</v>
      </c>
      <c r="I2768" s="255">
        <v>13</v>
      </c>
      <c r="J2768" s="255">
        <v>6</v>
      </c>
      <c r="K2768" s="255">
        <v>0</v>
      </c>
      <c r="L2768" s="255">
        <v>0</v>
      </c>
      <c r="M2768" s="255">
        <v>19</v>
      </c>
      <c r="N2768" s="255">
        <v>28</v>
      </c>
      <c r="O2768" s="255">
        <v>0</v>
      </c>
      <c r="P2768" s="255">
        <v>0</v>
      </c>
      <c r="Q2768" s="255">
        <v>3</v>
      </c>
      <c r="R2768" s="255">
        <v>3</v>
      </c>
      <c r="S2768" s="255" t="s">
        <v>488</v>
      </c>
      <c r="T2768" s="255" t="s">
        <v>488</v>
      </c>
      <c r="U2768" s="255" t="s">
        <v>488</v>
      </c>
      <c r="V2768" s="255" t="s">
        <v>488</v>
      </c>
      <c r="W2768">
        <f t="shared" si="45"/>
        <v>31</v>
      </c>
    </row>
    <row r="2769" spans="1:23" x14ac:dyDescent="0.25">
      <c r="A2769" s="2" t="s">
        <v>1380</v>
      </c>
      <c r="B2769" s="2" t="s">
        <v>921</v>
      </c>
      <c r="C2769" s="2">
        <v>540191</v>
      </c>
      <c r="D2769" s="2" t="s">
        <v>888</v>
      </c>
      <c r="E2769" s="2" t="s">
        <v>113</v>
      </c>
      <c r="F2769" s="2" t="s">
        <v>5</v>
      </c>
      <c r="G2769" s="2">
        <v>7</v>
      </c>
      <c r="H2769" s="2">
        <v>0</v>
      </c>
      <c r="I2769" s="2">
        <v>0</v>
      </c>
      <c r="J2769" s="2">
        <v>0</v>
      </c>
      <c r="K2769" s="2">
        <v>0</v>
      </c>
      <c r="L2769" s="2">
        <v>0</v>
      </c>
      <c r="M2769" s="2">
        <v>0</v>
      </c>
      <c r="N2769" s="2">
        <v>0</v>
      </c>
      <c r="O2769" s="2">
        <v>0</v>
      </c>
      <c r="P2769" s="2">
        <v>0</v>
      </c>
      <c r="Q2769" s="2">
        <v>0</v>
      </c>
      <c r="R2769" s="2">
        <v>0</v>
      </c>
      <c r="S2769" s="2" t="s">
        <v>488</v>
      </c>
      <c r="T2769" s="2" t="s">
        <v>488</v>
      </c>
      <c r="U2769" s="2" t="s">
        <v>488</v>
      </c>
      <c r="V2769" s="2" t="s">
        <v>488</v>
      </c>
      <c r="W2769">
        <f t="shared" si="45"/>
        <v>0</v>
      </c>
    </row>
    <row r="2770" spans="1:23" x14ac:dyDescent="0.25">
      <c r="A2770" s="2" t="s">
        <v>1380</v>
      </c>
      <c r="B2770" s="2" t="s">
        <v>921</v>
      </c>
      <c r="C2770" s="2">
        <v>540193</v>
      </c>
      <c r="D2770" s="2" t="s">
        <v>889</v>
      </c>
      <c r="E2770" s="2" t="s">
        <v>113</v>
      </c>
      <c r="F2770" s="2" t="s">
        <v>115</v>
      </c>
      <c r="G2770" s="2">
        <v>7</v>
      </c>
      <c r="H2770" s="2">
        <v>0</v>
      </c>
      <c r="I2770" s="2">
        <v>0</v>
      </c>
      <c r="J2770" s="2">
        <v>0</v>
      </c>
      <c r="K2770" s="2">
        <v>0</v>
      </c>
      <c r="L2770" s="2">
        <v>0</v>
      </c>
      <c r="M2770" s="2">
        <v>0</v>
      </c>
      <c r="N2770" s="2">
        <v>0</v>
      </c>
      <c r="O2770" s="2">
        <v>0</v>
      </c>
      <c r="P2770" s="2">
        <v>0</v>
      </c>
      <c r="Q2770" s="2">
        <v>0</v>
      </c>
      <c r="R2770" s="2">
        <v>0</v>
      </c>
      <c r="S2770" s="2" t="s">
        <v>488</v>
      </c>
      <c r="T2770" s="2" t="s">
        <v>488</v>
      </c>
      <c r="U2770" s="2" t="s">
        <v>488</v>
      </c>
      <c r="V2770" s="2" t="s">
        <v>488</v>
      </c>
      <c r="W2770">
        <f t="shared" si="45"/>
        <v>0</v>
      </c>
    </row>
    <row r="2771" spans="1:23" x14ac:dyDescent="0.25">
      <c r="A2771" s="2" t="s">
        <v>1380</v>
      </c>
      <c r="B2771" s="2" t="s">
        <v>921</v>
      </c>
      <c r="C2771" s="2">
        <v>540192</v>
      </c>
      <c r="D2771" s="2" t="s">
        <v>890</v>
      </c>
      <c r="E2771" s="2" t="s">
        <v>113</v>
      </c>
      <c r="F2771" s="2" t="s">
        <v>115</v>
      </c>
      <c r="G2771" s="2">
        <v>7</v>
      </c>
      <c r="H2771" s="2">
        <v>0</v>
      </c>
      <c r="I2771" s="2">
        <v>0</v>
      </c>
      <c r="J2771" s="2">
        <v>0</v>
      </c>
      <c r="K2771" s="2">
        <v>0</v>
      </c>
      <c r="L2771" s="2">
        <v>0</v>
      </c>
      <c r="M2771" s="2">
        <v>0</v>
      </c>
      <c r="N2771" s="2">
        <v>0</v>
      </c>
      <c r="O2771" s="2">
        <v>0</v>
      </c>
      <c r="P2771" s="2">
        <v>0</v>
      </c>
      <c r="Q2771" s="2">
        <v>0</v>
      </c>
      <c r="R2771" s="2">
        <v>0</v>
      </c>
      <c r="S2771" s="2" t="s">
        <v>488</v>
      </c>
      <c r="T2771" s="2" t="s">
        <v>488</v>
      </c>
      <c r="U2771" s="2" t="s">
        <v>488</v>
      </c>
      <c r="V2771" s="2" t="s">
        <v>488</v>
      </c>
      <c r="W2771">
        <f t="shared" si="45"/>
        <v>0</v>
      </c>
    </row>
    <row r="2772" spans="1:23" x14ac:dyDescent="0.25">
      <c r="A2772" s="2" t="s">
        <v>1380</v>
      </c>
      <c r="B2772" s="2" t="s">
        <v>921</v>
      </c>
      <c r="C2772" s="2">
        <v>540194</v>
      </c>
      <c r="D2772" s="2" t="s">
        <v>891</v>
      </c>
      <c r="E2772" s="2" t="s">
        <v>113</v>
      </c>
      <c r="F2772" s="2" t="s">
        <v>115</v>
      </c>
      <c r="G2772" s="2">
        <v>7</v>
      </c>
      <c r="H2772" s="2">
        <v>0</v>
      </c>
      <c r="I2772" s="2">
        <v>1</v>
      </c>
      <c r="J2772" s="2">
        <v>2</v>
      </c>
      <c r="K2772" s="2">
        <v>0</v>
      </c>
      <c r="L2772" s="2">
        <v>0</v>
      </c>
      <c r="M2772" s="2">
        <v>3</v>
      </c>
      <c r="N2772" s="2">
        <v>3</v>
      </c>
      <c r="O2772" s="2">
        <v>0</v>
      </c>
      <c r="P2772" s="2">
        <v>0</v>
      </c>
      <c r="Q2772" s="2">
        <v>0</v>
      </c>
      <c r="R2772" s="2">
        <v>0</v>
      </c>
      <c r="S2772" s="2" t="s">
        <v>488</v>
      </c>
      <c r="T2772" s="2" t="s">
        <v>488</v>
      </c>
      <c r="U2772" s="2" t="s">
        <v>488</v>
      </c>
      <c r="V2772" s="2" t="s">
        <v>488</v>
      </c>
      <c r="W2772">
        <f t="shared" si="45"/>
        <v>3</v>
      </c>
    </row>
    <row r="2773" spans="1:23" x14ac:dyDescent="0.25">
      <c r="A2773" s="2" t="s">
        <v>1380</v>
      </c>
      <c r="B2773" s="2" t="s">
        <v>921</v>
      </c>
      <c r="C2773" s="2">
        <v>540261</v>
      </c>
      <c r="D2773" s="2" t="s">
        <v>892</v>
      </c>
      <c r="E2773" s="2" t="s">
        <v>113</v>
      </c>
      <c r="F2773" s="2" t="s">
        <v>115</v>
      </c>
      <c r="G2773" s="2">
        <v>7</v>
      </c>
      <c r="H2773" s="2">
        <v>0</v>
      </c>
      <c r="I2773" s="2">
        <v>0</v>
      </c>
      <c r="J2773" s="2">
        <v>0</v>
      </c>
      <c r="K2773" s="2">
        <v>0</v>
      </c>
      <c r="L2773" s="2">
        <v>0</v>
      </c>
      <c r="M2773" s="2">
        <v>0</v>
      </c>
      <c r="N2773" s="2">
        <v>0</v>
      </c>
      <c r="O2773" s="2">
        <v>0</v>
      </c>
      <c r="P2773" s="2">
        <v>0</v>
      </c>
      <c r="Q2773" s="2">
        <v>0</v>
      </c>
      <c r="R2773" s="2">
        <v>0</v>
      </c>
      <c r="S2773" s="2" t="s">
        <v>488</v>
      </c>
      <c r="T2773" s="2" t="s">
        <v>488</v>
      </c>
      <c r="U2773" s="2" t="s">
        <v>488</v>
      </c>
      <c r="V2773" s="2" t="s">
        <v>488</v>
      </c>
      <c r="W2773">
        <f t="shared" si="45"/>
        <v>0</v>
      </c>
    </row>
    <row r="2774" spans="1:23" x14ac:dyDescent="0.25">
      <c r="A2774" s="2" t="s">
        <v>1380</v>
      </c>
      <c r="B2774" s="2" t="s">
        <v>921</v>
      </c>
      <c r="C2774" s="2">
        <v>540260</v>
      </c>
      <c r="D2774" s="2" t="s">
        <v>893</v>
      </c>
      <c r="E2774" s="2" t="s">
        <v>113</v>
      </c>
      <c r="F2774" s="2" t="s">
        <v>115</v>
      </c>
      <c r="G2774" s="2">
        <v>7</v>
      </c>
      <c r="H2774" s="2">
        <v>0</v>
      </c>
      <c r="I2774" s="2">
        <v>0</v>
      </c>
      <c r="J2774" s="2">
        <v>0</v>
      </c>
      <c r="K2774" s="2">
        <v>0</v>
      </c>
      <c r="L2774" s="2">
        <v>0</v>
      </c>
      <c r="M2774" s="2">
        <v>0</v>
      </c>
      <c r="N2774" s="2">
        <v>0</v>
      </c>
      <c r="O2774" s="2">
        <v>0</v>
      </c>
      <c r="P2774" s="2">
        <v>0</v>
      </c>
      <c r="Q2774" s="2">
        <v>0</v>
      </c>
      <c r="R2774" s="2">
        <v>0</v>
      </c>
      <c r="S2774" s="2" t="s">
        <v>488</v>
      </c>
      <c r="T2774" s="2" t="s">
        <v>488</v>
      </c>
      <c r="U2774" s="2" t="s">
        <v>488</v>
      </c>
      <c r="V2774" s="2" t="s">
        <v>488</v>
      </c>
      <c r="W2774">
        <f t="shared" si="45"/>
        <v>0</v>
      </c>
    </row>
    <row r="2775" spans="1:23" x14ac:dyDescent="0.25">
      <c r="A2775" s="255" t="s">
        <v>1380</v>
      </c>
      <c r="B2775" s="255" t="s">
        <v>921</v>
      </c>
      <c r="C2775" s="255"/>
      <c r="D2775" s="255"/>
      <c r="E2775" s="255" t="s">
        <v>113</v>
      </c>
      <c r="F2775" s="255"/>
      <c r="G2775" s="255"/>
      <c r="H2775" s="255">
        <v>0</v>
      </c>
      <c r="I2775" s="255">
        <v>1</v>
      </c>
      <c r="J2775" s="255">
        <v>2</v>
      </c>
      <c r="K2775" s="255">
        <v>0</v>
      </c>
      <c r="L2775" s="255">
        <v>0</v>
      </c>
      <c r="M2775" s="255">
        <v>3</v>
      </c>
      <c r="N2775" s="255">
        <v>3</v>
      </c>
      <c r="O2775" s="255">
        <v>0</v>
      </c>
      <c r="P2775" s="255">
        <v>0</v>
      </c>
      <c r="Q2775" s="255">
        <v>0</v>
      </c>
      <c r="R2775" s="255">
        <v>0</v>
      </c>
      <c r="S2775" s="255" t="s">
        <v>488</v>
      </c>
      <c r="T2775" s="255" t="s">
        <v>488</v>
      </c>
      <c r="U2775" s="255" t="s">
        <v>488</v>
      </c>
      <c r="V2775" s="255" t="s">
        <v>488</v>
      </c>
      <c r="W2775">
        <f t="shared" si="45"/>
        <v>3</v>
      </c>
    </row>
    <row r="2776" spans="1:23" x14ac:dyDescent="0.25">
      <c r="A2776" s="2" t="s">
        <v>1380</v>
      </c>
      <c r="B2776" s="2" t="s">
        <v>921</v>
      </c>
      <c r="C2776" s="2">
        <v>540027</v>
      </c>
      <c r="D2776" s="2" t="s">
        <v>894</v>
      </c>
      <c r="E2776" s="2" t="s">
        <v>21</v>
      </c>
      <c r="F2776" s="2" t="s">
        <v>115</v>
      </c>
      <c r="G2776" s="2">
        <v>4</v>
      </c>
      <c r="H2776" s="2">
        <v>0</v>
      </c>
      <c r="I2776" s="2">
        <v>0</v>
      </c>
      <c r="J2776" s="2">
        <v>0</v>
      </c>
      <c r="K2776" s="2">
        <v>0</v>
      </c>
      <c r="L2776" s="2">
        <v>0</v>
      </c>
      <c r="M2776" s="2">
        <v>0</v>
      </c>
      <c r="N2776" s="2">
        <v>0</v>
      </c>
      <c r="O2776" s="2">
        <v>0</v>
      </c>
      <c r="P2776" s="2">
        <v>0</v>
      </c>
      <c r="Q2776" s="2">
        <v>0</v>
      </c>
      <c r="R2776" s="2">
        <v>0</v>
      </c>
      <c r="S2776" s="2" t="s">
        <v>488</v>
      </c>
      <c r="T2776" s="2" t="s">
        <v>488</v>
      </c>
      <c r="U2776" s="2" t="s">
        <v>488</v>
      </c>
      <c r="V2776" s="2" t="s">
        <v>488</v>
      </c>
      <c r="W2776">
        <f t="shared" si="45"/>
        <v>0</v>
      </c>
    </row>
    <row r="2777" spans="1:23" x14ac:dyDescent="0.25">
      <c r="A2777" s="2" t="s">
        <v>1380</v>
      </c>
      <c r="B2777" s="2" t="s">
        <v>921</v>
      </c>
      <c r="C2777" s="2">
        <v>540028</v>
      </c>
      <c r="D2777" s="2" t="s">
        <v>895</v>
      </c>
      <c r="E2777" s="2" t="s">
        <v>21</v>
      </c>
      <c r="F2777" s="2" t="s">
        <v>115</v>
      </c>
      <c r="G2777" s="2">
        <v>4</v>
      </c>
      <c r="H2777" s="2">
        <v>0</v>
      </c>
      <c r="I2777" s="2">
        <v>0</v>
      </c>
      <c r="J2777" s="2">
        <v>0</v>
      </c>
      <c r="K2777" s="2">
        <v>0</v>
      </c>
      <c r="L2777" s="2">
        <v>0</v>
      </c>
      <c r="M2777" s="2">
        <v>0</v>
      </c>
      <c r="N2777" s="2">
        <v>0</v>
      </c>
      <c r="O2777" s="2">
        <v>0</v>
      </c>
      <c r="P2777" s="2">
        <v>0</v>
      </c>
      <c r="Q2777" s="2">
        <v>0</v>
      </c>
      <c r="R2777" s="2">
        <v>0</v>
      </c>
      <c r="S2777" s="2" t="s">
        <v>488</v>
      </c>
      <c r="T2777" s="2" t="s">
        <v>488</v>
      </c>
      <c r="U2777" s="2" t="s">
        <v>488</v>
      </c>
      <c r="V2777" s="2" t="s">
        <v>488</v>
      </c>
      <c r="W2777">
        <f t="shared" si="45"/>
        <v>0</v>
      </c>
    </row>
    <row r="2778" spans="1:23" x14ac:dyDescent="0.25">
      <c r="A2778" s="2" t="s">
        <v>1380</v>
      </c>
      <c r="B2778" s="2" t="s">
        <v>921</v>
      </c>
      <c r="C2778" s="2">
        <v>540029</v>
      </c>
      <c r="D2778" s="2" t="s">
        <v>701</v>
      </c>
      <c r="E2778" s="2" t="s">
        <v>21</v>
      </c>
      <c r="F2778" s="2" t="s">
        <v>115</v>
      </c>
      <c r="G2778" s="2">
        <v>4</v>
      </c>
      <c r="H2778" s="2">
        <v>0</v>
      </c>
      <c r="I2778" s="2">
        <v>0</v>
      </c>
      <c r="J2778" s="2">
        <v>0</v>
      </c>
      <c r="K2778" s="2">
        <v>0</v>
      </c>
      <c r="L2778" s="2">
        <v>0</v>
      </c>
      <c r="M2778" s="2">
        <v>0</v>
      </c>
      <c r="N2778" s="2">
        <v>0</v>
      </c>
      <c r="O2778" s="2">
        <v>0</v>
      </c>
      <c r="P2778" s="2">
        <v>0</v>
      </c>
      <c r="Q2778" s="2">
        <v>0</v>
      </c>
      <c r="R2778" s="2">
        <v>0</v>
      </c>
      <c r="S2778" s="2" t="s">
        <v>488</v>
      </c>
      <c r="T2778" s="2" t="s">
        <v>488</v>
      </c>
      <c r="U2778" s="2" t="s">
        <v>488</v>
      </c>
      <c r="V2778" s="2" t="s">
        <v>488</v>
      </c>
      <c r="W2778">
        <f t="shared" si="45"/>
        <v>0</v>
      </c>
    </row>
    <row r="2779" spans="1:23" x14ac:dyDescent="0.25">
      <c r="A2779" s="2" t="s">
        <v>1380</v>
      </c>
      <c r="B2779" s="2" t="s">
        <v>921</v>
      </c>
      <c r="C2779" s="2">
        <v>540031</v>
      </c>
      <c r="D2779" s="2" t="s">
        <v>896</v>
      </c>
      <c r="E2779" s="2" t="s">
        <v>21</v>
      </c>
      <c r="F2779" s="2" t="s">
        <v>115</v>
      </c>
      <c r="G2779" s="2">
        <v>4</v>
      </c>
      <c r="H2779" s="2">
        <v>1</v>
      </c>
      <c r="I2779" s="2">
        <v>0</v>
      </c>
      <c r="J2779" s="2">
        <v>0</v>
      </c>
      <c r="K2779" s="2">
        <v>0</v>
      </c>
      <c r="L2779" s="2">
        <v>0</v>
      </c>
      <c r="M2779" s="2">
        <v>0</v>
      </c>
      <c r="N2779" s="2">
        <v>1</v>
      </c>
      <c r="O2779" s="2">
        <v>0</v>
      </c>
      <c r="P2779" s="2">
        <v>0</v>
      </c>
      <c r="Q2779" s="2">
        <v>1</v>
      </c>
      <c r="R2779" s="2">
        <v>0</v>
      </c>
      <c r="S2779" s="2" t="s">
        <v>488</v>
      </c>
      <c r="T2779" s="2" t="s">
        <v>488</v>
      </c>
      <c r="U2779" s="2" t="s">
        <v>488</v>
      </c>
      <c r="V2779" s="2" t="s">
        <v>488</v>
      </c>
      <c r="W2779">
        <f t="shared" si="45"/>
        <v>1</v>
      </c>
    </row>
    <row r="2780" spans="1:23" x14ac:dyDescent="0.25">
      <c r="A2780" s="2" t="s">
        <v>1380</v>
      </c>
      <c r="B2780" s="2" t="s">
        <v>921</v>
      </c>
      <c r="C2780" s="2">
        <v>540032</v>
      </c>
      <c r="D2780" s="2" t="s">
        <v>897</v>
      </c>
      <c r="E2780" s="2" t="s">
        <v>21</v>
      </c>
      <c r="F2780" s="2" t="s">
        <v>115</v>
      </c>
      <c r="G2780" s="2">
        <v>4</v>
      </c>
      <c r="H2780" s="2">
        <v>0</v>
      </c>
      <c r="I2780" s="2">
        <v>1</v>
      </c>
      <c r="J2780" s="2">
        <v>0</v>
      </c>
      <c r="K2780" s="2">
        <v>0</v>
      </c>
      <c r="L2780" s="2">
        <v>0</v>
      </c>
      <c r="M2780" s="2">
        <v>1</v>
      </c>
      <c r="N2780" s="2">
        <v>1</v>
      </c>
      <c r="O2780" s="2">
        <v>0</v>
      </c>
      <c r="P2780" s="2">
        <v>0</v>
      </c>
      <c r="Q2780" s="2">
        <v>0</v>
      </c>
      <c r="R2780" s="2">
        <v>0</v>
      </c>
      <c r="S2780" s="2" t="s">
        <v>488</v>
      </c>
      <c r="T2780" s="2" t="s">
        <v>488</v>
      </c>
      <c r="U2780" s="2" t="s">
        <v>488</v>
      </c>
      <c r="V2780" s="2" t="s">
        <v>488</v>
      </c>
      <c r="W2780">
        <f t="shared" si="45"/>
        <v>1</v>
      </c>
    </row>
    <row r="2781" spans="1:23" x14ac:dyDescent="0.25">
      <c r="A2781" s="2" t="s">
        <v>1380</v>
      </c>
      <c r="B2781" s="2" t="s">
        <v>921</v>
      </c>
      <c r="C2781" s="2">
        <v>540050</v>
      </c>
      <c r="D2781" s="2" t="s">
        <v>898</v>
      </c>
      <c r="E2781" s="2" t="s">
        <v>21</v>
      </c>
      <c r="F2781" s="2" t="s">
        <v>115</v>
      </c>
      <c r="G2781" s="2">
        <v>4</v>
      </c>
      <c r="H2781" s="2">
        <v>0</v>
      </c>
      <c r="I2781" s="2">
        <v>0</v>
      </c>
      <c r="J2781" s="2">
        <v>0</v>
      </c>
      <c r="K2781" s="2">
        <v>0</v>
      </c>
      <c r="L2781" s="2">
        <v>0</v>
      </c>
      <c r="M2781" s="2">
        <v>0</v>
      </c>
      <c r="N2781" s="2">
        <v>0</v>
      </c>
      <c r="O2781" s="2">
        <v>0</v>
      </c>
      <c r="P2781" s="2">
        <v>0</v>
      </c>
      <c r="Q2781" s="2">
        <v>0</v>
      </c>
      <c r="R2781" s="2">
        <v>0</v>
      </c>
      <c r="S2781" s="2" t="s">
        <v>488</v>
      </c>
      <c r="T2781" s="2" t="s">
        <v>488</v>
      </c>
      <c r="U2781" s="2" t="s">
        <v>488</v>
      </c>
      <c r="V2781" s="2" t="s">
        <v>488</v>
      </c>
      <c r="W2781">
        <f t="shared" si="45"/>
        <v>0</v>
      </c>
    </row>
    <row r="2782" spans="1:23" x14ac:dyDescent="0.25">
      <c r="A2782" s="2" t="s">
        <v>1380</v>
      </c>
      <c r="B2782" s="2" t="s">
        <v>921</v>
      </c>
      <c r="C2782" s="2">
        <v>540293</v>
      </c>
      <c r="D2782" s="2" t="s">
        <v>899</v>
      </c>
      <c r="E2782" s="2" t="s">
        <v>21</v>
      </c>
      <c r="F2782" s="2" t="s">
        <v>115</v>
      </c>
      <c r="G2782" s="2">
        <v>4</v>
      </c>
      <c r="H2782" s="2">
        <v>0</v>
      </c>
      <c r="I2782" s="2">
        <v>0</v>
      </c>
      <c r="J2782" s="2">
        <v>0</v>
      </c>
      <c r="K2782" s="2">
        <v>0</v>
      </c>
      <c r="L2782" s="2">
        <v>0</v>
      </c>
      <c r="M2782" s="2">
        <v>0</v>
      </c>
      <c r="N2782" s="2">
        <v>0</v>
      </c>
      <c r="O2782" s="2">
        <v>0</v>
      </c>
      <c r="P2782" s="2">
        <v>0</v>
      </c>
      <c r="Q2782" s="2">
        <v>0</v>
      </c>
      <c r="R2782" s="2">
        <v>0</v>
      </c>
      <c r="S2782" s="2" t="s">
        <v>488</v>
      </c>
      <c r="T2782" s="2" t="s">
        <v>488</v>
      </c>
      <c r="U2782" s="2" t="s">
        <v>488</v>
      </c>
      <c r="V2782" s="2" t="s">
        <v>488</v>
      </c>
      <c r="W2782">
        <f t="shared" si="45"/>
        <v>0</v>
      </c>
    </row>
    <row r="2783" spans="1:23" x14ac:dyDescent="0.25">
      <c r="A2783" s="2" t="s">
        <v>1380</v>
      </c>
      <c r="B2783" s="2" t="s">
        <v>921</v>
      </c>
      <c r="C2783" s="2">
        <v>540294</v>
      </c>
      <c r="D2783" s="2" t="s">
        <v>900</v>
      </c>
      <c r="E2783" s="2" t="s">
        <v>21</v>
      </c>
      <c r="F2783" s="2" t="s">
        <v>115</v>
      </c>
      <c r="G2783" s="2">
        <v>4</v>
      </c>
      <c r="H2783" s="2">
        <v>0</v>
      </c>
      <c r="I2783" s="2">
        <v>0</v>
      </c>
      <c r="J2783" s="2">
        <v>0</v>
      </c>
      <c r="K2783" s="2">
        <v>0</v>
      </c>
      <c r="L2783" s="2">
        <v>0</v>
      </c>
      <c r="M2783" s="2">
        <v>0</v>
      </c>
      <c r="N2783" s="2">
        <v>0</v>
      </c>
      <c r="O2783" s="2">
        <v>0</v>
      </c>
      <c r="P2783" s="2">
        <v>0</v>
      </c>
      <c r="Q2783" s="2">
        <v>0</v>
      </c>
      <c r="R2783" s="2">
        <v>1</v>
      </c>
      <c r="S2783" s="2" t="s">
        <v>488</v>
      </c>
      <c r="T2783" s="2" t="s">
        <v>488</v>
      </c>
      <c r="U2783" s="2" t="s">
        <v>488</v>
      </c>
      <c r="V2783" s="2" t="s">
        <v>488</v>
      </c>
      <c r="W2783">
        <f t="shared" si="45"/>
        <v>1</v>
      </c>
    </row>
    <row r="2784" spans="1:23" x14ac:dyDescent="0.25">
      <c r="A2784" s="2" t="s">
        <v>1380</v>
      </c>
      <c r="B2784" s="2" t="s">
        <v>921</v>
      </c>
      <c r="C2784" s="2">
        <v>540033</v>
      </c>
      <c r="D2784" s="2" t="s">
        <v>716</v>
      </c>
      <c r="E2784" s="2" t="s">
        <v>21</v>
      </c>
      <c r="F2784" s="2" t="s">
        <v>115</v>
      </c>
      <c r="G2784" s="2">
        <v>4</v>
      </c>
      <c r="H2784" s="2">
        <v>0</v>
      </c>
      <c r="I2784" s="2">
        <v>0</v>
      </c>
      <c r="J2784" s="2">
        <v>0</v>
      </c>
      <c r="K2784" s="2">
        <v>0</v>
      </c>
      <c r="L2784" s="2">
        <v>0</v>
      </c>
      <c r="M2784" s="2">
        <v>0</v>
      </c>
      <c r="N2784" s="2">
        <v>0</v>
      </c>
      <c r="O2784" s="2">
        <v>0</v>
      </c>
      <c r="P2784" s="2">
        <v>0</v>
      </c>
      <c r="Q2784" s="2">
        <v>0</v>
      </c>
      <c r="R2784" s="2">
        <v>0</v>
      </c>
      <c r="S2784" s="2" t="s">
        <v>488</v>
      </c>
      <c r="T2784" s="2" t="s">
        <v>488</v>
      </c>
      <c r="U2784" s="2" t="s">
        <v>488</v>
      </c>
      <c r="V2784" s="2" t="s">
        <v>488</v>
      </c>
      <c r="W2784">
        <f t="shared" si="45"/>
        <v>0</v>
      </c>
    </row>
    <row r="2785" spans="1:23" x14ac:dyDescent="0.25">
      <c r="A2785" s="2" t="s">
        <v>1380</v>
      </c>
      <c r="B2785" s="2" t="s">
        <v>921</v>
      </c>
      <c r="C2785" s="2">
        <v>540280</v>
      </c>
      <c r="D2785" s="2" t="s">
        <v>901</v>
      </c>
      <c r="E2785" s="2" t="s">
        <v>21</v>
      </c>
      <c r="F2785" s="2" t="s">
        <v>115</v>
      </c>
      <c r="G2785" s="2">
        <v>4</v>
      </c>
      <c r="H2785" s="2">
        <v>2</v>
      </c>
      <c r="I2785" s="2">
        <v>0</v>
      </c>
      <c r="J2785" s="2">
        <v>0</v>
      </c>
      <c r="K2785" s="2">
        <v>0</v>
      </c>
      <c r="L2785" s="2">
        <v>0</v>
      </c>
      <c r="M2785" s="2">
        <v>0</v>
      </c>
      <c r="N2785" s="2">
        <v>2</v>
      </c>
      <c r="O2785" s="2">
        <v>0</v>
      </c>
      <c r="P2785" s="2">
        <v>0</v>
      </c>
      <c r="Q2785" s="2">
        <v>1</v>
      </c>
      <c r="R2785" s="2">
        <v>0</v>
      </c>
      <c r="S2785" s="2" t="s">
        <v>488</v>
      </c>
      <c r="T2785" s="2" t="s">
        <v>488</v>
      </c>
      <c r="U2785" s="2" t="s">
        <v>488</v>
      </c>
      <c r="V2785" s="2" t="s">
        <v>488</v>
      </c>
      <c r="W2785">
        <f t="shared" si="45"/>
        <v>2</v>
      </c>
    </row>
    <row r="2786" spans="1:23" x14ac:dyDescent="0.25">
      <c r="A2786" s="2" t="s">
        <v>1380</v>
      </c>
      <c r="B2786" s="2" t="s">
        <v>921</v>
      </c>
      <c r="C2786" s="2">
        <v>540026</v>
      </c>
      <c r="D2786" s="2" t="s">
        <v>902</v>
      </c>
      <c r="E2786" s="2" t="s">
        <v>21</v>
      </c>
      <c r="F2786" s="2" t="s">
        <v>5</v>
      </c>
      <c r="G2786" s="2">
        <v>4</v>
      </c>
      <c r="H2786" s="2">
        <v>2</v>
      </c>
      <c r="I2786" s="2">
        <v>0</v>
      </c>
      <c r="J2786" s="2">
        <v>0</v>
      </c>
      <c r="K2786" s="2">
        <v>0</v>
      </c>
      <c r="L2786" s="2">
        <v>0</v>
      </c>
      <c r="M2786" s="2">
        <v>0</v>
      </c>
      <c r="N2786" s="2">
        <v>2</v>
      </c>
      <c r="O2786" s="2">
        <v>0</v>
      </c>
      <c r="P2786" s="2">
        <v>0</v>
      </c>
      <c r="Q2786" s="2">
        <v>1</v>
      </c>
      <c r="R2786" s="2">
        <v>6</v>
      </c>
      <c r="S2786" s="2" t="s">
        <v>488</v>
      </c>
      <c r="T2786" s="2" t="s">
        <v>488</v>
      </c>
      <c r="U2786" s="2" t="s">
        <v>488</v>
      </c>
      <c r="V2786" s="2" t="s">
        <v>488</v>
      </c>
      <c r="W2786">
        <f t="shared" si="45"/>
        <v>8</v>
      </c>
    </row>
    <row r="2787" spans="1:23" x14ac:dyDescent="0.25">
      <c r="A2787" s="255" t="s">
        <v>1380</v>
      </c>
      <c r="B2787" s="255" t="s">
        <v>921</v>
      </c>
      <c r="C2787" s="255"/>
      <c r="D2787" s="255"/>
      <c r="E2787" s="255" t="s">
        <v>21</v>
      </c>
      <c r="F2787" s="255"/>
      <c r="G2787" s="255"/>
      <c r="H2787" s="255">
        <v>5</v>
      </c>
      <c r="I2787" s="255">
        <v>1</v>
      </c>
      <c r="J2787" s="255">
        <v>0</v>
      </c>
      <c r="K2787" s="255">
        <v>0</v>
      </c>
      <c r="L2787" s="255">
        <v>0</v>
      </c>
      <c r="M2787" s="255">
        <v>1</v>
      </c>
      <c r="N2787" s="255">
        <v>6</v>
      </c>
      <c r="O2787" s="255">
        <v>0</v>
      </c>
      <c r="P2787" s="255">
        <v>0</v>
      </c>
      <c r="Q2787" s="255">
        <v>3</v>
      </c>
      <c r="R2787" s="255">
        <v>7</v>
      </c>
      <c r="S2787" s="255" t="s">
        <v>488</v>
      </c>
      <c r="T2787" s="255" t="s">
        <v>488</v>
      </c>
      <c r="U2787" s="255" t="s">
        <v>488</v>
      </c>
      <c r="V2787" s="255" t="s">
        <v>488</v>
      </c>
      <c r="W2787">
        <f t="shared" si="45"/>
        <v>13</v>
      </c>
    </row>
    <row r="2788" spans="1:23" x14ac:dyDescent="0.25">
      <c r="A2788" s="2" t="s">
        <v>1380</v>
      </c>
      <c r="B2788" s="2" t="s">
        <v>921</v>
      </c>
      <c r="C2788" s="2">
        <v>540176</v>
      </c>
      <c r="D2788" s="2" t="s">
        <v>903</v>
      </c>
      <c r="E2788" s="2" t="s">
        <v>75</v>
      </c>
      <c r="F2788" s="2" t="s">
        <v>115</v>
      </c>
      <c r="G2788" s="2">
        <v>7</v>
      </c>
      <c r="H2788" s="2">
        <v>0</v>
      </c>
      <c r="I2788" s="2">
        <v>0</v>
      </c>
      <c r="J2788" s="2">
        <v>0</v>
      </c>
      <c r="K2788" s="2">
        <v>0</v>
      </c>
      <c r="L2788" s="2">
        <v>0</v>
      </c>
      <c r="M2788" s="2">
        <v>0</v>
      </c>
      <c r="N2788" s="2">
        <v>0</v>
      </c>
      <c r="O2788" s="2">
        <v>0</v>
      </c>
      <c r="P2788" s="2">
        <v>0</v>
      </c>
      <c r="Q2788" s="2">
        <v>0</v>
      </c>
      <c r="R2788" s="2">
        <v>0</v>
      </c>
      <c r="S2788" s="2" t="s">
        <v>488</v>
      </c>
      <c r="T2788" s="2" t="s">
        <v>488</v>
      </c>
      <c r="U2788" s="2" t="s">
        <v>488</v>
      </c>
      <c r="V2788" s="2" t="s">
        <v>488</v>
      </c>
      <c r="W2788">
        <f t="shared" si="45"/>
        <v>0</v>
      </c>
    </row>
    <row r="2789" spans="1:23" x14ac:dyDescent="0.25">
      <c r="A2789" s="2" t="s">
        <v>1380</v>
      </c>
      <c r="B2789" s="2" t="s">
        <v>921</v>
      </c>
      <c r="C2789" s="2">
        <v>540178</v>
      </c>
      <c r="D2789" s="2" t="s">
        <v>904</v>
      </c>
      <c r="E2789" s="2" t="s">
        <v>75</v>
      </c>
      <c r="F2789" s="2" t="s">
        <v>115</v>
      </c>
      <c r="G2789" s="2">
        <v>7</v>
      </c>
      <c r="H2789" s="2">
        <v>0</v>
      </c>
      <c r="I2789" s="2">
        <v>0</v>
      </c>
      <c r="J2789" s="2">
        <v>0</v>
      </c>
      <c r="K2789" s="2">
        <v>0</v>
      </c>
      <c r="L2789" s="2">
        <v>0</v>
      </c>
      <c r="M2789" s="2">
        <v>0</v>
      </c>
      <c r="N2789" s="2">
        <v>0</v>
      </c>
      <c r="O2789" s="2">
        <v>0</v>
      </c>
      <c r="P2789" s="2">
        <v>0</v>
      </c>
      <c r="Q2789" s="2">
        <v>0</v>
      </c>
      <c r="R2789" s="2">
        <v>0</v>
      </c>
      <c r="S2789" s="2" t="s">
        <v>488</v>
      </c>
      <c r="T2789" s="2" t="s">
        <v>488</v>
      </c>
      <c r="U2789" s="2" t="s">
        <v>488</v>
      </c>
      <c r="V2789" s="2" t="s">
        <v>488</v>
      </c>
      <c r="W2789">
        <f t="shared" si="45"/>
        <v>0</v>
      </c>
    </row>
    <row r="2790" spans="1:23" x14ac:dyDescent="0.25">
      <c r="A2790" s="2" t="s">
        <v>1380</v>
      </c>
      <c r="B2790" s="2" t="s">
        <v>921</v>
      </c>
      <c r="C2790" s="2">
        <v>540264</v>
      </c>
      <c r="D2790" s="2" t="s">
        <v>905</v>
      </c>
      <c r="E2790" s="2" t="s">
        <v>75</v>
      </c>
      <c r="F2790" s="2" t="s">
        <v>115</v>
      </c>
      <c r="G2790" s="2">
        <v>7</v>
      </c>
      <c r="H2790" s="2">
        <v>0</v>
      </c>
      <c r="I2790" s="2">
        <v>0</v>
      </c>
      <c r="J2790" s="2">
        <v>0</v>
      </c>
      <c r="K2790" s="2">
        <v>0</v>
      </c>
      <c r="L2790" s="2">
        <v>0</v>
      </c>
      <c r="M2790" s="2">
        <v>0</v>
      </c>
      <c r="N2790" s="2">
        <v>0</v>
      </c>
      <c r="O2790" s="2">
        <v>0</v>
      </c>
      <c r="P2790" s="2">
        <v>0</v>
      </c>
      <c r="Q2790" s="2">
        <v>0</v>
      </c>
      <c r="R2790" s="2">
        <v>0</v>
      </c>
      <c r="S2790" s="2" t="s">
        <v>488</v>
      </c>
      <c r="T2790" s="2" t="s">
        <v>488</v>
      </c>
      <c r="U2790" s="2" t="s">
        <v>488</v>
      </c>
      <c r="V2790" s="2" t="s">
        <v>488</v>
      </c>
      <c r="W2790">
        <f t="shared" si="45"/>
        <v>0</v>
      </c>
    </row>
    <row r="2791" spans="1:23" x14ac:dyDescent="0.25">
      <c r="A2791" s="2" t="s">
        <v>1380</v>
      </c>
      <c r="B2791" s="2" t="s">
        <v>921</v>
      </c>
      <c r="C2791" s="2">
        <v>540265</v>
      </c>
      <c r="D2791" s="2" t="s">
        <v>906</v>
      </c>
      <c r="E2791" s="2" t="s">
        <v>75</v>
      </c>
      <c r="F2791" s="2" t="s">
        <v>115</v>
      </c>
      <c r="G2791" s="2">
        <v>7</v>
      </c>
      <c r="H2791" s="2">
        <v>0</v>
      </c>
      <c r="I2791" s="2">
        <v>0</v>
      </c>
      <c r="J2791" s="2">
        <v>0</v>
      </c>
      <c r="K2791" s="2">
        <v>0</v>
      </c>
      <c r="L2791" s="2">
        <v>0</v>
      </c>
      <c r="M2791" s="2">
        <v>0</v>
      </c>
      <c r="N2791" s="2">
        <v>0</v>
      </c>
      <c r="O2791" s="2">
        <v>0</v>
      </c>
      <c r="P2791" s="2">
        <v>0</v>
      </c>
      <c r="Q2791" s="2">
        <v>0</v>
      </c>
      <c r="R2791" s="2">
        <v>0</v>
      </c>
      <c r="S2791" s="2" t="s">
        <v>488</v>
      </c>
      <c r="T2791" s="2" t="s">
        <v>488</v>
      </c>
      <c r="U2791" s="2" t="s">
        <v>488</v>
      </c>
      <c r="V2791" s="2" t="s">
        <v>488</v>
      </c>
      <c r="W2791">
        <f t="shared" si="45"/>
        <v>0</v>
      </c>
    </row>
    <row r="2792" spans="1:23" x14ac:dyDescent="0.25">
      <c r="A2792" s="2" t="s">
        <v>1380</v>
      </c>
      <c r="B2792" s="2" t="s">
        <v>921</v>
      </c>
      <c r="C2792" s="2">
        <v>540266</v>
      </c>
      <c r="D2792" s="2" t="s">
        <v>907</v>
      </c>
      <c r="E2792" s="2" t="s">
        <v>75</v>
      </c>
      <c r="F2792" s="2" t="s">
        <v>115</v>
      </c>
      <c r="G2792" s="2">
        <v>7</v>
      </c>
      <c r="H2792" s="2">
        <v>0</v>
      </c>
      <c r="I2792" s="2">
        <v>0</v>
      </c>
      <c r="J2792" s="2">
        <v>0</v>
      </c>
      <c r="K2792" s="2">
        <v>0</v>
      </c>
      <c r="L2792" s="2">
        <v>0</v>
      </c>
      <c r="M2792" s="2">
        <v>0</v>
      </c>
      <c r="N2792" s="2">
        <v>0</v>
      </c>
      <c r="O2792" s="2">
        <v>0</v>
      </c>
      <c r="P2792" s="2">
        <v>0</v>
      </c>
      <c r="Q2792" s="2">
        <v>0</v>
      </c>
      <c r="R2792" s="2">
        <v>0</v>
      </c>
      <c r="S2792" s="2" t="s">
        <v>488</v>
      </c>
      <c r="T2792" s="2" t="s">
        <v>488</v>
      </c>
      <c r="U2792" s="2" t="s">
        <v>488</v>
      </c>
      <c r="V2792" s="2" t="s">
        <v>488</v>
      </c>
      <c r="W2792">
        <f t="shared" si="45"/>
        <v>0</v>
      </c>
    </row>
    <row r="2793" spans="1:23" x14ac:dyDescent="0.25">
      <c r="A2793" s="2" t="s">
        <v>1380</v>
      </c>
      <c r="B2793" s="2" t="s">
        <v>921</v>
      </c>
      <c r="C2793" s="2">
        <v>540267</v>
      </c>
      <c r="D2793" s="2" t="s">
        <v>908</v>
      </c>
      <c r="E2793" s="2" t="s">
        <v>75</v>
      </c>
      <c r="F2793" s="2" t="s">
        <v>115</v>
      </c>
      <c r="G2793" s="2">
        <v>7</v>
      </c>
      <c r="H2793" s="2">
        <v>0</v>
      </c>
      <c r="I2793" s="2">
        <v>0</v>
      </c>
      <c r="J2793" s="2">
        <v>0</v>
      </c>
      <c r="K2793" s="2">
        <v>0</v>
      </c>
      <c r="L2793" s="2">
        <v>0</v>
      </c>
      <c r="M2793" s="2">
        <v>0</v>
      </c>
      <c r="N2793" s="2">
        <v>0</v>
      </c>
      <c r="O2793" s="2">
        <v>0</v>
      </c>
      <c r="P2793" s="2">
        <v>0</v>
      </c>
      <c r="Q2793" s="2">
        <v>0</v>
      </c>
      <c r="R2793" s="2">
        <v>0</v>
      </c>
      <c r="S2793" s="2" t="s">
        <v>488</v>
      </c>
      <c r="T2793" s="2" t="s">
        <v>488</v>
      </c>
      <c r="U2793" s="2" t="s">
        <v>488</v>
      </c>
      <c r="V2793" s="2" t="s">
        <v>488</v>
      </c>
      <c r="W2793">
        <f t="shared" si="45"/>
        <v>0</v>
      </c>
    </row>
    <row r="2794" spans="1:23" x14ac:dyDescent="0.25">
      <c r="A2794" s="2" t="s">
        <v>1380</v>
      </c>
      <c r="B2794" s="2" t="s">
        <v>921</v>
      </c>
      <c r="C2794" s="2">
        <v>540177</v>
      </c>
      <c r="D2794" s="2" t="s">
        <v>909</v>
      </c>
      <c r="E2794" s="2" t="s">
        <v>75</v>
      </c>
      <c r="F2794" s="2" t="s">
        <v>115</v>
      </c>
      <c r="G2794" s="2">
        <v>7</v>
      </c>
      <c r="H2794" s="2">
        <v>1</v>
      </c>
      <c r="I2794" s="2">
        <v>0</v>
      </c>
      <c r="J2794" s="2">
        <v>0</v>
      </c>
      <c r="K2794" s="2">
        <v>0</v>
      </c>
      <c r="L2794" s="2">
        <v>0</v>
      </c>
      <c r="M2794" s="2">
        <v>0</v>
      </c>
      <c r="N2794" s="2">
        <v>1</v>
      </c>
      <c r="O2794" s="2">
        <v>0</v>
      </c>
      <c r="P2794" s="2">
        <v>0</v>
      </c>
      <c r="Q2794" s="2">
        <v>1</v>
      </c>
      <c r="R2794" s="2">
        <v>0</v>
      </c>
      <c r="S2794" s="2" t="s">
        <v>488</v>
      </c>
      <c r="T2794" s="2" t="s">
        <v>488</v>
      </c>
      <c r="U2794" s="2" t="s">
        <v>488</v>
      </c>
      <c r="V2794" s="2" t="s">
        <v>488</v>
      </c>
      <c r="W2794">
        <f t="shared" si="45"/>
        <v>1</v>
      </c>
    </row>
    <row r="2795" spans="1:23" x14ac:dyDescent="0.25">
      <c r="A2795" s="2" t="s">
        <v>1380</v>
      </c>
      <c r="B2795" s="2" t="s">
        <v>921</v>
      </c>
      <c r="C2795" s="2">
        <v>540175</v>
      </c>
      <c r="D2795" s="2" t="s">
        <v>910</v>
      </c>
      <c r="E2795" s="2" t="s">
        <v>75</v>
      </c>
      <c r="F2795" s="2" t="s">
        <v>5</v>
      </c>
      <c r="G2795" s="2">
        <v>7</v>
      </c>
      <c r="H2795" s="2">
        <v>4</v>
      </c>
      <c r="I2795" s="2">
        <v>0</v>
      </c>
      <c r="J2795" s="2">
        <v>0</v>
      </c>
      <c r="K2795" s="2">
        <v>0</v>
      </c>
      <c r="L2795" s="2">
        <v>0</v>
      </c>
      <c r="M2795" s="2">
        <v>0</v>
      </c>
      <c r="N2795" s="2">
        <v>4</v>
      </c>
      <c r="O2795" s="2">
        <v>0</v>
      </c>
      <c r="P2795" s="2">
        <v>0</v>
      </c>
      <c r="Q2795" s="2">
        <v>4</v>
      </c>
      <c r="R2795" s="2">
        <v>0</v>
      </c>
      <c r="S2795" s="2" t="s">
        <v>488</v>
      </c>
      <c r="T2795" s="2" t="s">
        <v>488</v>
      </c>
      <c r="U2795" s="2" t="s">
        <v>488</v>
      </c>
      <c r="V2795" s="2" t="s">
        <v>488</v>
      </c>
      <c r="W2795">
        <f t="shared" si="45"/>
        <v>4</v>
      </c>
    </row>
    <row r="2796" spans="1:23" x14ac:dyDescent="0.25">
      <c r="A2796" s="255" t="s">
        <v>1380</v>
      </c>
      <c r="B2796" s="255" t="s">
        <v>921</v>
      </c>
      <c r="C2796" s="255"/>
      <c r="D2796" s="255"/>
      <c r="E2796" s="255" t="s">
        <v>75</v>
      </c>
      <c r="F2796" s="255"/>
      <c r="G2796" s="255"/>
      <c r="H2796" s="255">
        <v>5</v>
      </c>
      <c r="I2796" s="255">
        <v>0</v>
      </c>
      <c r="J2796" s="255">
        <v>0</v>
      </c>
      <c r="K2796" s="255">
        <v>0</v>
      </c>
      <c r="L2796" s="255">
        <v>0</v>
      </c>
      <c r="M2796" s="255">
        <v>0</v>
      </c>
      <c r="N2796" s="255">
        <v>5</v>
      </c>
      <c r="O2796" s="255">
        <v>0</v>
      </c>
      <c r="P2796" s="255">
        <v>0</v>
      </c>
      <c r="Q2796" s="255">
        <v>5</v>
      </c>
      <c r="R2796" s="255">
        <v>0</v>
      </c>
      <c r="S2796" s="255" t="s">
        <v>488</v>
      </c>
      <c r="T2796" s="255" t="s">
        <v>488</v>
      </c>
      <c r="U2796" s="255" t="s">
        <v>488</v>
      </c>
      <c r="V2796" s="255" t="s">
        <v>488</v>
      </c>
      <c r="W2796">
        <f t="shared" si="45"/>
        <v>5</v>
      </c>
    </row>
    <row r="2797" spans="1:23" x14ac:dyDescent="0.25">
      <c r="A2797" s="2" t="s">
        <v>1380</v>
      </c>
      <c r="B2797" s="2" t="s">
        <v>921</v>
      </c>
      <c r="C2797" s="2">
        <v>540219</v>
      </c>
      <c r="D2797" s="2" t="s">
        <v>911</v>
      </c>
      <c r="E2797" s="2" t="s">
        <v>95</v>
      </c>
      <c r="F2797" s="2" t="s">
        <v>115</v>
      </c>
      <c r="G2797" s="2">
        <v>1</v>
      </c>
      <c r="H2797" s="2">
        <v>0</v>
      </c>
      <c r="I2797" s="2">
        <v>0</v>
      </c>
      <c r="J2797" s="2">
        <v>2</v>
      </c>
      <c r="K2797" s="2">
        <v>0</v>
      </c>
      <c r="L2797" s="2">
        <v>0</v>
      </c>
      <c r="M2797" s="2">
        <v>2</v>
      </c>
      <c r="N2797" s="2">
        <v>2</v>
      </c>
      <c r="O2797" s="2">
        <v>0</v>
      </c>
      <c r="P2797" s="2">
        <v>0</v>
      </c>
      <c r="Q2797" s="2">
        <v>0</v>
      </c>
      <c r="R2797" s="2">
        <v>0</v>
      </c>
      <c r="S2797" s="2">
        <v>2</v>
      </c>
      <c r="T2797" s="2">
        <v>3</v>
      </c>
      <c r="U2797" s="2" t="s">
        <v>488</v>
      </c>
      <c r="V2797" s="2" t="s">
        <v>488</v>
      </c>
      <c r="W2797">
        <f t="shared" si="45"/>
        <v>5</v>
      </c>
    </row>
    <row r="2798" spans="1:23" x14ac:dyDescent="0.25">
      <c r="A2798" s="2" t="s">
        <v>1380</v>
      </c>
      <c r="B2798" s="2" t="s">
        <v>921</v>
      </c>
      <c r="C2798" s="2">
        <v>540220</v>
      </c>
      <c r="D2798" s="2" t="s">
        <v>912</v>
      </c>
      <c r="E2798" s="2" t="s">
        <v>95</v>
      </c>
      <c r="F2798" s="2" t="s">
        <v>115</v>
      </c>
      <c r="G2798" s="2">
        <v>1</v>
      </c>
      <c r="H2798" s="2">
        <v>0</v>
      </c>
      <c r="I2798" s="2">
        <v>0</v>
      </c>
      <c r="J2798" s="2">
        <v>0</v>
      </c>
      <c r="K2798" s="2">
        <v>0</v>
      </c>
      <c r="L2798" s="2">
        <v>0</v>
      </c>
      <c r="M2798" s="2">
        <v>0</v>
      </c>
      <c r="N2798" s="2">
        <v>0</v>
      </c>
      <c r="O2798" s="2">
        <v>0</v>
      </c>
      <c r="P2798" s="2">
        <v>0</v>
      </c>
      <c r="Q2798" s="2">
        <v>0</v>
      </c>
      <c r="R2798" s="2">
        <v>0</v>
      </c>
      <c r="S2798" s="2">
        <v>0</v>
      </c>
      <c r="T2798" s="2">
        <v>0</v>
      </c>
      <c r="U2798" s="2" t="s">
        <v>488</v>
      </c>
      <c r="V2798" s="2" t="s">
        <v>488</v>
      </c>
      <c r="W2798">
        <f t="shared" si="45"/>
        <v>0</v>
      </c>
    </row>
    <row r="2799" spans="1:23" x14ac:dyDescent="0.25">
      <c r="A2799" s="2" t="s">
        <v>1380</v>
      </c>
      <c r="B2799" s="2" t="s">
        <v>921</v>
      </c>
      <c r="C2799" s="2">
        <v>540218</v>
      </c>
      <c r="D2799" s="2" t="s">
        <v>913</v>
      </c>
      <c r="E2799" s="2" t="s">
        <v>95</v>
      </c>
      <c r="F2799" s="2" t="s">
        <v>115</v>
      </c>
      <c r="G2799" s="2">
        <v>1</v>
      </c>
      <c r="H2799" s="2">
        <v>0</v>
      </c>
      <c r="I2799" s="2">
        <v>2</v>
      </c>
      <c r="J2799" s="2">
        <v>0</v>
      </c>
      <c r="K2799" s="2">
        <v>0</v>
      </c>
      <c r="L2799" s="2">
        <v>0</v>
      </c>
      <c r="M2799" s="2">
        <v>2</v>
      </c>
      <c r="N2799" s="2">
        <v>2</v>
      </c>
      <c r="O2799" s="2">
        <v>0</v>
      </c>
      <c r="P2799" s="2">
        <v>0</v>
      </c>
      <c r="Q2799" s="2">
        <v>0</v>
      </c>
      <c r="R2799" s="2">
        <v>0</v>
      </c>
      <c r="S2799" s="2">
        <v>1</v>
      </c>
      <c r="T2799" s="2">
        <v>0</v>
      </c>
      <c r="U2799" s="2" t="s">
        <v>488</v>
      </c>
      <c r="V2799" s="2" t="s">
        <v>488</v>
      </c>
      <c r="W2799">
        <f t="shared" si="45"/>
        <v>2</v>
      </c>
    </row>
    <row r="2800" spans="1:23" x14ac:dyDescent="0.25">
      <c r="A2800" s="2" t="s">
        <v>1380</v>
      </c>
      <c r="B2800" s="2" t="s">
        <v>921</v>
      </c>
      <c r="C2800" s="2">
        <v>540217</v>
      </c>
      <c r="D2800" s="2" t="s">
        <v>914</v>
      </c>
      <c r="E2800" s="2" t="s">
        <v>95</v>
      </c>
      <c r="F2800" s="2" t="s">
        <v>5</v>
      </c>
      <c r="G2800" s="2">
        <v>1</v>
      </c>
      <c r="H2800" s="2">
        <v>2</v>
      </c>
      <c r="I2800" s="2">
        <v>2</v>
      </c>
      <c r="J2800" s="2">
        <v>2</v>
      </c>
      <c r="K2800" s="2">
        <v>0</v>
      </c>
      <c r="L2800" s="2">
        <v>0</v>
      </c>
      <c r="M2800" s="2">
        <v>4</v>
      </c>
      <c r="N2800" s="2">
        <v>6</v>
      </c>
      <c r="O2800" s="2">
        <v>0</v>
      </c>
      <c r="P2800" s="2">
        <v>0</v>
      </c>
      <c r="Q2800" s="2">
        <v>0</v>
      </c>
      <c r="R2800" s="2">
        <v>4</v>
      </c>
      <c r="S2800" s="2">
        <v>3</v>
      </c>
      <c r="T2800" s="2">
        <v>0</v>
      </c>
      <c r="U2800" s="2" t="s">
        <v>488</v>
      </c>
      <c r="V2800" s="2" t="s">
        <v>488</v>
      </c>
      <c r="W2800">
        <f t="shared" si="45"/>
        <v>10</v>
      </c>
    </row>
    <row r="2801" spans="1:23" x14ac:dyDescent="0.25">
      <c r="A2801" s="255" t="s">
        <v>1380</v>
      </c>
      <c r="B2801" s="255" t="s">
        <v>921</v>
      </c>
      <c r="C2801" s="255"/>
      <c r="D2801" s="255"/>
      <c r="E2801" s="255" t="s">
        <v>95</v>
      </c>
      <c r="F2801" s="255"/>
      <c r="G2801" s="255"/>
      <c r="H2801" s="255">
        <v>2</v>
      </c>
      <c r="I2801" s="255">
        <v>4</v>
      </c>
      <c r="J2801" s="255">
        <v>4</v>
      </c>
      <c r="K2801" s="255">
        <v>0</v>
      </c>
      <c r="L2801" s="255">
        <v>0</v>
      </c>
      <c r="M2801" s="255">
        <v>8</v>
      </c>
      <c r="N2801" s="255">
        <v>10</v>
      </c>
      <c r="O2801" s="255">
        <v>0</v>
      </c>
      <c r="P2801" s="255">
        <v>0</v>
      </c>
      <c r="Q2801" s="255">
        <v>0</v>
      </c>
      <c r="R2801" s="255">
        <v>4</v>
      </c>
      <c r="S2801" s="255">
        <v>6</v>
      </c>
      <c r="T2801" s="255">
        <v>3</v>
      </c>
      <c r="U2801" s="255" t="s">
        <v>488</v>
      </c>
      <c r="V2801" s="255" t="s">
        <v>488</v>
      </c>
      <c r="W2801">
        <f t="shared" si="45"/>
        <v>17</v>
      </c>
    </row>
    <row r="2802" spans="1:23" x14ac:dyDescent="0.25">
      <c r="A2802" s="2" t="s">
        <v>1380</v>
      </c>
      <c r="B2802" s="2" t="s">
        <v>922</v>
      </c>
      <c r="C2802" s="2">
        <v>540001</v>
      </c>
      <c r="D2802" s="2" t="s">
        <v>627</v>
      </c>
      <c r="E2802" s="2" t="s">
        <v>4</v>
      </c>
      <c r="F2802" s="2" t="s">
        <v>5</v>
      </c>
      <c r="G2802" s="2">
        <v>7</v>
      </c>
      <c r="H2802" s="2">
        <v>0</v>
      </c>
      <c r="I2802" s="2">
        <v>0</v>
      </c>
      <c r="J2802" s="2">
        <v>0</v>
      </c>
      <c r="K2802" s="2">
        <v>0</v>
      </c>
      <c r="L2802" s="2">
        <v>0</v>
      </c>
      <c r="M2802" s="2">
        <v>0</v>
      </c>
      <c r="N2802" s="2">
        <v>0</v>
      </c>
      <c r="O2802" s="2">
        <v>0</v>
      </c>
      <c r="P2802" s="2">
        <v>0</v>
      </c>
      <c r="Q2802" s="2">
        <v>0</v>
      </c>
      <c r="R2802" s="2">
        <v>0</v>
      </c>
      <c r="S2802" s="2" t="s">
        <v>488</v>
      </c>
      <c r="T2802" s="2" t="s">
        <v>488</v>
      </c>
      <c r="U2802" s="2" t="s">
        <v>488</v>
      </c>
      <c r="V2802" s="2" t="s">
        <v>488</v>
      </c>
      <c r="W2802">
        <f t="shared" si="45"/>
        <v>0</v>
      </c>
    </row>
    <row r="2803" spans="1:23" x14ac:dyDescent="0.25">
      <c r="A2803" s="2" t="s">
        <v>1380</v>
      </c>
      <c r="B2803" s="2" t="s">
        <v>922</v>
      </c>
      <c r="C2803" s="2">
        <v>540002</v>
      </c>
      <c r="D2803" s="2" t="s">
        <v>629</v>
      </c>
      <c r="E2803" s="2" t="s">
        <v>4</v>
      </c>
      <c r="F2803" s="2" t="s">
        <v>115</v>
      </c>
      <c r="G2803" s="2">
        <v>7</v>
      </c>
      <c r="H2803" s="2">
        <v>0</v>
      </c>
      <c r="I2803" s="2">
        <v>0</v>
      </c>
      <c r="J2803" s="2">
        <v>0</v>
      </c>
      <c r="K2803" s="2">
        <v>0</v>
      </c>
      <c r="L2803" s="2">
        <v>0</v>
      </c>
      <c r="M2803" s="2">
        <v>0</v>
      </c>
      <c r="N2803" s="2">
        <v>0</v>
      </c>
      <c r="O2803" s="2">
        <v>0</v>
      </c>
      <c r="P2803" s="2">
        <v>0</v>
      </c>
      <c r="Q2803" s="2">
        <v>0</v>
      </c>
      <c r="R2803" s="2">
        <v>0</v>
      </c>
      <c r="S2803" s="2" t="s">
        <v>488</v>
      </c>
      <c r="T2803" s="2" t="s">
        <v>488</v>
      </c>
      <c r="U2803" s="2" t="s">
        <v>488</v>
      </c>
      <c r="V2803" s="2" t="s">
        <v>488</v>
      </c>
      <c r="W2803">
        <f t="shared" si="45"/>
        <v>0</v>
      </c>
    </row>
    <row r="2804" spans="1:23" x14ac:dyDescent="0.25">
      <c r="A2804" s="2" t="s">
        <v>1380</v>
      </c>
      <c r="B2804" s="2" t="s">
        <v>922</v>
      </c>
      <c r="C2804" s="2">
        <v>540003</v>
      </c>
      <c r="D2804" s="2" t="s">
        <v>630</v>
      </c>
      <c r="E2804" s="2" t="s">
        <v>4</v>
      </c>
      <c r="F2804" s="2" t="s">
        <v>115</v>
      </c>
      <c r="G2804" s="2">
        <v>7</v>
      </c>
      <c r="H2804" s="2">
        <v>0</v>
      </c>
      <c r="I2804" s="2">
        <v>0</v>
      </c>
      <c r="J2804" s="2">
        <v>0</v>
      </c>
      <c r="K2804" s="2">
        <v>0</v>
      </c>
      <c r="L2804" s="2">
        <v>0</v>
      </c>
      <c r="M2804" s="2">
        <v>0</v>
      </c>
      <c r="N2804" s="2">
        <v>0</v>
      </c>
      <c r="O2804" s="2">
        <v>0</v>
      </c>
      <c r="P2804" s="2">
        <v>0</v>
      </c>
      <c r="Q2804" s="2">
        <v>0</v>
      </c>
      <c r="R2804" s="2">
        <v>0</v>
      </c>
      <c r="S2804" s="2" t="s">
        <v>488</v>
      </c>
      <c r="T2804" s="2" t="s">
        <v>488</v>
      </c>
      <c r="U2804" s="2" t="s">
        <v>488</v>
      </c>
      <c r="V2804" s="2" t="s">
        <v>488</v>
      </c>
      <c r="W2804">
        <f t="shared" si="45"/>
        <v>0</v>
      </c>
    </row>
    <row r="2805" spans="1:23" x14ac:dyDescent="0.25">
      <c r="A2805" s="2" t="s">
        <v>1380</v>
      </c>
      <c r="B2805" s="2" t="s">
        <v>922</v>
      </c>
      <c r="C2805" s="2">
        <v>540004</v>
      </c>
      <c r="D2805" s="2" t="s">
        <v>631</v>
      </c>
      <c r="E2805" s="2" t="s">
        <v>4</v>
      </c>
      <c r="F2805" s="2" t="s">
        <v>115</v>
      </c>
      <c r="G2805" s="2">
        <v>7</v>
      </c>
      <c r="H2805" s="2">
        <v>0</v>
      </c>
      <c r="I2805" s="2">
        <v>1</v>
      </c>
      <c r="J2805" s="2">
        <v>0</v>
      </c>
      <c r="K2805" s="2">
        <v>0</v>
      </c>
      <c r="L2805" s="2">
        <v>0</v>
      </c>
      <c r="M2805" s="2">
        <v>1</v>
      </c>
      <c r="N2805" s="2">
        <v>1</v>
      </c>
      <c r="O2805" s="2">
        <v>0</v>
      </c>
      <c r="P2805" s="2">
        <v>0</v>
      </c>
      <c r="Q2805" s="2">
        <v>0</v>
      </c>
      <c r="R2805" s="2">
        <v>1</v>
      </c>
      <c r="S2805" s="2" t="s">
        <v>488</v>
      </c>
      <c r="T2805" s="2" t="s">
        <v>488</v>
      </c>
      <c r="U2805" s="2" t="s">
        <v>488</v>
      </c>
      <c r="V2805" s="2" t="s">
        <v>488</v>
      </c>
      <c r="W2805">
        <f t="shared" si="45"/>
        <v>2</v>
      </c>
    </row>
    <row r="2806" spans="1:23" x14ac:dyDescent="0.25">
      <c r="A2806" s="255" t="s">
        <v>1380</v>
      </c>
      <c r="B2806" s="255" t="s">
        <v>922</v>
      </c>
      <c r="C2806" s="255"/>
      <c r="D2806" s="255"/>
      <c r="E2806" s="255" t="s">
        <v>4</v>
      </c>
      <c r="F2806" s="255"/>
      <c r="G2806" s="255"/>
      <c r="H2806" s="255">
        <v>0</v>
      </c>
      <c r="I2806" s="255">
        <v>1</v>
      </c>
      <c r="J2806" s="255">
        <v>0</v>
      </c>
      <c r="K2806" s="255">
        <v>0</v>
      </c>
      <c r="L2806" s="255">
        <v>0</v>
      </c>
      <c r="M2806" s="255">
        <v>1</v>
      </c>
      <c r="N2806" s="255">
        <v>1</v>
      </c>
      <c r="O2806" s="255">
        <v>0</v>
      </c>
      <c r="P2806" s="255">
        <v>0</v>
      </c>
      <c r="Q2806" s="255">
        <v>0</v>
      </c>
      <c r="R2806" s="255">
        <v>1</v>
      </c>
      <c r="S2806" s="255" t="s">
        <v>488</v>
      </c>
      <c r="T2806" s="255" t="s">
        <v>488</v>
      </c>
      <c r="U2806" s="255" t="s">
        <v>488</v>
      </c>
      <c r="V2806" s="255" t="s">
        <v>488</v>
      </c>
      <c r="W2806">
        <f t="shared" si="45"/>
        <v>2</v>
      </c>
    </row>
    <row r="2807" spans="1:23" x14ac:dyDescent="0.25">
      <c r="A2807" s="2" t="s">
        <v>1380</v>
      </c>
      <c r="B2807" s="2" t="s">
        <v>922</v>
      </c>
      <c r="C2807" s="2">
        <v>540007</v>
      </c>
      <c r="D2807" s="2" t="s">
        <v>632</v>
      </c>
      <c r="E2807" s="2" t="s">
        <v>7</v>
      </c>
      <c r="F2807" s="2" t="s">
        <v>5</v>
      </c>
      <c r="G2807" s="2">
        <v>3</v>
      </c>
      <c r="H2807" s="2">
        <v>0</v>
      </c>
      <c r="I2807" s="2">
        <v>1</v>
      </c>
      <c r="J2807" s="2">
        <v>0</v>
      </c>
      <c r="K2807" s="2">
        <v>0</v>
      </c>
      <c r="L2807" s="2">
        <v>0</v>
      </c>
      <c r="M2807" s="2">
        <v>1</v>
      </c>
      <c r="N2807" s="2">
        <v>1</v>
      </c>
      <c r="O2807" s="2">
        <v>0</v>
      </c>
      <c r="P2807" s="2">
        <v>0</v>
      </c>
      <c r="Q2807" s="2">
        <v>0</v>
      </c>
      <c r="R2807" s="2">
        <v>2</v>
      </c>
      <c r="S2807" s="2" t="s">
        <v>488</v>
      </c>
      <c r="T2807" s="2" t="s">
        <v>488</v>
      </c>
      <c r="U2807" s="2" t="s">
        <v>488</v>
      </c>
      <c r="V2807" s="2" t="s">
        <v>488</v>
      </c>
      <c r="W2807">
        <f t="shared" si="45"/>
        <v>3</v>
      </c>
    </row>
    <row r="2808" spans="1:23" x14ac:dyDescent="0.25">
      <c r="A2808" s="2" t="s">
        <v>1380</v>
      </c>
      <c r="B2808" s="2" t="s">
        <v>922</v>
      </c>
      <c r="C2808" s="2">
        <v>540008</v>
      </c>
      <c r="D2808" s="2" t="s">
        <v>633</v>
      </c>
      <c r="E2808" s="2" t="s">
        <v>7</v>
      </c>
      <c r="F2808" s="2" t="s">
        <v>115</v>
      </c>
      <c r="G2808" s="2">
        <v>3</v>
      </c>
      <c r="H2808" s="2">
        <v>0</v>
      </c>
      <c r="I2808" s="2">
        <v>1</v>
      </c>
      <c r="J2808" s="2">
        <v>0</v>
      </c>
      <c r="K2808" s="2">
        <v>0</v>
      </c>
      <c r="L2808" s="2">
        <v>0</v>
      </c>
      <c r="M2808" s="2">
        <v>1</v>
      </c>
      <c r="N2808" s="2">
        <v>1</v>
      </c>
      <c r="O2808" s="2">
        <v>0</v>
      </c>
      <c r="P2808" s="2">
        <v>0</v>
      </c>
      <c r="Q2808" s="2">
        <v>0</v>
      </c>
      <c r="R2808" s="2">
        <v>0</v>
      </c>
      <c r="S2808" s="2" t="s">
        <v>488</v>
      </c>
      <c r="T2808" s="2" t="s">
        <v>488</v>
      </c>
      <c r="U2808" s="2" t="s">
        <v>488</v>
      </c>
      <c r="V2808" s="2" t="s">
        <v>488</v>
      </c>
      <c r="W2808">
        <f t="shared" si="45"/>
        <v>1</v>
      </c>
    </row>
    <row r="2809" spans="1:23" x14ac:dyDescent="0.25">
      <c r="A2809" s="2" t="s">
        <v>1380</v>
      </c>
      <c r="B2809" s="2" t="s">
        <v>922</v>
      </c>
      <c r="C2809" s="2">
        <v>540229</v>
      </c>
      <c r="D2809" s="2" t="s">
        <v>634</v>
      </c>
      <c r="E2809" s="2" t="s">
        <v>7</v>
      </c>
      <c r="F2809" s="2" t="s">
        <v>115</v>
      </c>
      <c r="G2809" s="2">
        <v>3</v>
      </c>
      <c r="H2809" s="2">
        <v>0</v>
      </c>
      <c r="I2809" s="2">
        <v>0</v>
      </c>
      <c r="J2809" s="2">
        <v>0</v>
      </c>
      <c r="K2809" s="2">
        <v>0</v>
      </c>
      <c r="L2809" s="2">
        <v>0</v>
      </c>
      <c r="M2809" s="2">
        <v>0</v>
      </c>
      <c r="N2809" s="2">
        <v>0</v>
      </c>
      <c r="O2809" s="2">
        <v>0</v>
      </c>
      <c r="P2809" s="2">
        <v>0</v>
      </c>
      <c r="Q2809" s="2">
        <v>0</v>
      </c>
      <c r="R2809" s="2">
        <v>0</v>
      </c>
      <c r="S2809" s="2" t="s">
        <v>488</v>
      </c>
      <c r="T2809" s="2" t="s">
        <v>488</v>
      </c>
      <c r="U2809" s="2" t="s">
        <v>488</v>
      </c>
      <c r="V2809" s="2" t="s">
        <v>488</v>
      </c>
      <c r="W2809">
        <f t="shared" si="45"/>
        <v>0</v>
      </c>
    </row>
    <row r="2810" spans="1:23" x14ac:dyDescent="0.25">
      <c r="A2810" s="2" t="s">
        <v>1380</v>
      </c>
      <c r="B2810" s="2" t="s">
        <v>922</v>
      </c>
      <c r="C2810" s="2">
        <v>540230</v>
      </c>
      <c r="D2810" s="2" t="s">
        <v>635</v>
      </c>
      <c r="E2810" s="2" t="s">
        <v>7</v>
      </c>
      <c r="F2810" s="2" t="s">
        <v>115</v>
      </c>
      <c r="G2810" s="2">
        <v>3</v>
      </c>
      <c r="H2810" s="2">
        <v>0</v>
      </c>
      <c r="I2810" s="2">
        <v>0</v>
      </c>
      <c r="J2810" s="2">
        <v>0</v>
      </c>
      <c r="K2810" s="2">
        <v>0</v>
      </c>
      <c r="L2810" s="2">
        <v>0</v>
      </c>
      <c r="M2810" s="2">
        <v>0</v>
      </c>
      <c r="N2810" s="2">
        <v>0</v>
      </c>
      <c r="O2810" s="2">
        <v>0</v>
      </c>
      <c r="P2810" s="2">
        <v>0</v>
      </c>
      <c r="Q2810" s="2">
        <v>0</v>
      </c>
      <c r="R2810" s="2">
        <v>0</v>
      </c>
      <c r="S2810" s="2" t="s">
        <v>488</v>
      </c>
      <c r="T2810" s="2" t="s">
        <v>488</v>
      </c>
      <c r="U2810" s="2" t="s">
        <v>488</v>
      </c>
      <c r="V2810" s="2" t="s">
        <v>488</v>
      </c>
      <c r="W2810">
        <f t="shared" si="45"/>
        <v>0</v>
      </c>
    </row>
    <row r="2811" spans="1:23" x14ac:dyDescent="0.25">
      <c r="A2811" s="2" t="s">
        <v>1380</v>
      </c>
      <c r="B2811" s="2" t="s">
        <v>922</v>
      </c>
      <c r="C2811" s="2">
        <v>540238</v>
      </c>
      <c r="D2811" s="2" t="s">
        <v>636</v>
      </c>
      <c r="E2811" s="2" t="s">
        <v>7</v>
      </c>
      <c r="F2811" s="2" t="s">
        <v>115</v>
      </c>
      <c r="G2811" s="2">
        <v>3</v>
      </c>
      <c r="H2811" s="2">
        <v>0</v>
      </c>
      <c r="I2811" s="2">
        <v>0</v>
      </c>
      <c r="J2811" s="2">
        <v>0</v>
      </c>
      <c r="K2811" s="2">
        <v>0</v>
      </c>
      <c r="L2811" s="2">
        <v>0</v>
      </c>
      <c r="M2811" s="2">
        <v>0</v>
      </c>
      <c r="N2811" s="2">
        <v>0</v>
      </c>
      <c r="O2811" s="2">
        <v>0</v>
      </c>
      <c r="P2811" s="2">
        <v>0</v>
      </c>
      <c r="Q2811" s="2">
        <v>0</v>
      </c>
      <c r="R2811" s="2">
        <v>0</v>
      </c>
      <c r="S2811" s="2" t="s">
        <v>488</v>
      </c>
      <c r="T2811" s="2" t="s">
        <v>488</v>
      </c>
      <c r="U2811" s="2" t="s">
        <v>488</v>
      </c>
      <c r="V2811" s="2" t="s">
        <v>488</v>
      </c>
      <c r="W2811">
        <f t="shared" si="45"/>
        <v>0</v>
      </c>
    </row>
    <row r="2812" spans="1:23" x14ac:dyDescent="0.25">
      <c r="A2812" s="255" t="s">
        <v>1380</v>
      </c>
      <c r="B2812" s="255" t="s">
        <v>922</v>
      </c>
      <c r="C2812" s="255"/>
      <c r="D2812" s="255"/>
      <c r="E2812" s="255" t="s">
        <v>7</v>
      </c>
      <c r="F2812" s="255"/>
      <c r="G2812" s="255"/>
      <c r="H2812" s="255">
        <v>0</v>
      </c>
      <c r="I2812" s="255">
        <v>2</v>
      </c>
      <c r="J2812" s="255">
        <v>0</v>
      </c>
      <c r="K2812" s="255">
        <v>0</v>
      </c>
      <c r="L2812" s="255">
        <v>0</v>
      </c>
      <c r="M2812" s="255">
        <v>2</v>
      </c>
      <c r="N2812" s="255">
        <v>2</v>
      </c>
      <c r="O2812" s="255">
        <v>0</v>
      </c>
      <c r="P2812" s="255">
        <v>0</v>
      </c>
      <c r="Q2812" s="255">
        <v>0</v>
      </c>
      <c r="R2812" s="255">
        <v>2</v>
      </c>
      <c r="S2812" s="255" t="s">
        <v>488</v>
      </c>
      <c r="T2812" s="255" t="s">
        <v>488</v>
      </c>
      <c r="U2812" s="255" t="s">
        <v>488</v>
      </c>
      <c r="V2812" s="255" t="s">
        <v>488</v>
      </c>
      <c r="W2812">
        <f t="shared" si="45"/>
        <v>4</v>
      </c>
    </row>
    <row r="2813" spans="1:23" x14ac:dyDescent="0.25">
      <c r="A2813" s="2" t="s">
        <v>1380</v>
      </c>
      <c r="B2813" s="2" t="s">
        <v>922</v>
      </c>
      <c r="C2813" s="2">
        <v>540009</v>
      </c>
      <c r="D2813" s="2" t="s">
        <v>637</v>
      </c>
      <c r="E2813" s="2" t="s">
        <v>9</v>
      </c>
      <c r="F2813" s="2" t="s">
        <v>5</v>
      </c>
      <c r="G2813" s="2">
        <v>7</v>
      </c>
      <c r="H2813" s="2">
        <v>0</v>
      </c>
      <c r="I2813" s="2">
        <v>0</v>
      </c>
      <c r="J2813" s="2">
        <v>0</v>
      </c>
      <c r="K2813" s="2">
        <v>0</v>
      </c>
      <c r="L2813" s="2">
        <v>0</v>
      </c>
      <c r="M2813" s="2">
        <v>0</v>
      </c>
      <c r="N2813" s="2">
        <v>0</v>
      </c>
      <c r="O2813" s="2">
        <v>0</v>
      </c>
      <c r="P2813" s="2">
        <v>0</v>
      </c>
      <c r="Q2813" s="2" t="s">
        <v>488</v>
      </c>
      <c r="R2813" s="2" t="s">
        <v>488</v>
      </c>
      <c r="S2813" s="2" t="s">
        <v>488</v>
      </c>
      <c r="T2813" s="2" t="s">
        <v>488</v>
      </c>
      <c r="U2813" s="2" t="s">
        <v>488</v>
      </c>
      <c r="V2813" s="2" t="s">
        <v>488</v>
      </c>
      <c r="W2813">
        <f t="shared" si="45"/>
        <v>0</v>
      </c>
    </row>
    <row r="2814" spans="1:23" x14ac:dyDescent="0.25">
      <c r="A2814" s="2" t="s">
        <v>1380</v>
      </c>
      <c r="B2814" s="2" t="s">
        <v>922</v>
      </c>
      <c r="C2814" s="2">
        <v>540010</v>
      </c>
      <c r="D2814" s="2" t="s">
        <v>638</v>
      </c>
      <c r="E2814" s="2" t="s">
        <v>9</v>
      </c>
      <c r="F2814" s="2" t="s">
        <v>115</v>
      </c>
      <c r="G2814" s="2">
        <v>7</v>
      </c>
      <c r="H2814" s="2">
        <v>0</v>
      </c>
      <c r="I2814" s="2">
        <v>0</v>
      </c>
      <c r="J2814" s="2">
        <v>0</v>
      </c>
      <c r="K2814" s="2">
        <v>0</v>
      </c>
      <c r="L2814" s="2">
        <v>0</v>
      </c>
      <c r="M2814" s="2">
        <v>0</v>
      </c>
      <c r="N2814" s="2">
        <v>0</v>
      </c>
      <c r="O2814" s="2">
        <v>0</v>
      </c>
      <c r="P2814" s="2">
        <v>0</v>
      </c>
      <c r="Q2814" s="2" t="s">
        <v>488</v>
      </c>
      <c r="R2814" s="2" t="s">
        <v>488</v>
      </c>
      <c r="S2814" s="2" t="s">
        <v>488</v>
      </c>
      <c r="T2814" s="2" t="s">
        <v>488</v>
      </c>
      <c r="U2814" s="2" t="s">
        <v>488</v>
      </c>
      <c r="V2814" s="2" t="s">
        <v>488</v>
      </c>
      <c r="W2814">
        <f t="shared" si="45"/>
        <v>0</v>
      </c>
    </row>
    <row r="2815" spans="1:23" x14ac:dyDescent="0.25">
      <c r="A2815" s="2" t="s">
        <v>1380</v>
      </c>
      <c r="B2815" s="2" t="s">
        <v>922</v>
      </c>
      <c r="C2815" s="2">
        <v>540235</v>
      </c>
      <c r="D2815" s="2" t="s">
        <v>639</v>
      </c>
      <c r="E2815" s="2" t="s">
        <v>9</v>
      </c>
      <c r="F2815" s="2" t="s">
        <v>115</v>
      </c>
      <c r="G2815" s="2">
        <v>7</v>
      </c>
      <c r="H2815" s="2">
        <v>0</v>
      </c>
      <c r="I2815" s="2">
        <v>0</v>
      </c>
      <c r="J2815" s="2">
        <v>0</v>
      </c>
      <c r="K2815" s="2">
        <v>0</v>
      </c>
      <c r="L2815" s="2">
        <v>0</v>
      </c>
      <c r="M2815" s="2">
        <v>0</v>
      </c>
      <c r="N2815" s="2">
        <v>0</v>
      </c>
      <c r="O2815" s="2">
        <v>0</v>
      </c>
      <c r="P2815" s="2">
        <v>0</v>
      </c>
      <c r="Q2815" s="2" t="s">
        <v>488</v>
      </c>
      <c r="R2815" s="2" t="s">
        <v>488</v>
      </c>
      <c r="S2815" s="2" t="s">
        <v>488</v>
      </c>
      <c r="T2815" s="2" t="s">
        <v>488</v>
      </c>
      <c r="U2815" s="2" t="s">
        <v>488</v>
      </c>
      <c r="V2815" s="2" t="s">
        <v>488</v>
      </c>
      <c r="W2815">
        <f t="shared" si="45"/>
        <v>0</v>
      </c>
    </row>
    <row r="2816" spans="1:23" x14ac:dyDescent="0.25">
      <c r="A2816" s="2" t="s">
        <v>1380</v>
      </c>
      <c r="B2816" s="2" t="s">
        <v>922</v>
      </c>
      <c r="C2816" s="2">
        <v>540236</v>
      </c>
      <c r="D2816" s="2" t="s">
        <v>640</v>
      </c>
      <c r="E2816" s="2" t="s">
        <v>9</v>
      </c>
      <c r="F2816" s="2" t="s">
        <v>115</v>
      </c>
      <c r="G2816" s="2">
        <v>7</v>
      </c>
      <c r="H2816" s="2">
        <v>0</v>
      </c>
      <c r="I2816" s="2">
        <v>0</v>
      </c>
      <c r="J2816" s="2">
        <v>0</v>
      </c>
      <c r="K2816" s="2">
        <v>0</v>
      </c>
      <c r="L2816" s="2">
        <v>0</v>
      </c>
      <c r="M2816" s="2">
        <v>0</v>
      </c>
      <c r="N2816" s="2">
        <v>0</v>
      </c>
      <c r="O2816" s="2">
        <v>0</v>
      </c>
      <c r="P2816" s="2">
        <v>0</v>
      </c>
      <c r="Q2816" s="2" t="s">
        <v>488</v>
      </c>
      <c r="R2816" s="2" t="s">
        <v>488</v>
      </c>
      <c r="S2816" s="2" t="s">
        <v>488</v>
      </c>
      <c r="T2816" s="2" t="s">
        <v>488</v>
      </c>
      <c r="U2816" s="2" t="s">
        <v>488</v>
      </c>
      <c r="V2816" s="2" t="s">
        <v>488</v>
      </c>
      <c r="W2816">
        <f t="shared" si="45"/>
        <v>0</v>
      </c>
    </row>
    <row r="2817" spans="1:23" x14ac:dyDescent="0.25">
      <c r="A2817" s="2" t="s">
        <v>1380</v>
      </c>
      <c r="B2817" s="2" t="s">
        <v>922</v>
      </c>
      <c r="C2817" s="2">
        <v>540237</v>
      </c>
      <c r="D2817" s="2" t="s">
        <v>641</v>
      </c>
      <c r="E2817" s="2" t="s">
        <v>9</v>
      </c>
      <c r="F2817" s="2" t="s">
        <v>115</v>
      </c>
      <c r="G2817" s="2">
        <v>7</v>
      </c>
      <c r="H2817" s="2">
        <v>0</v>
      </c>
      <c r="I2817" s="2">
        <v>0</v>
      </c>
      <c r="J2817" s="2">
        <v>0</v>
      </c>
      <c r="K2817" s="2">
        <v>0</v>
      </c>
      <c r="L2817" s="2">
        <v>0</v>
      </c>
      <c r="M2817" s="2">
        <v>0</v>
      </c>
      <c r="N2817" s="2">
        <v>0</v>
      </c>
      <c r="O2817" s="2">
        <v>0</v>
      </c>
      <c r="P2817" s="2">
        <v>0</v>
      </c>
      <c r="Q2817" s="2" t="s">
        <v>488</v>
      </c>
      <c r="R2817" s="2" t="s">
        <v>488</v>
      </c>
      <c r="S2817" s="2" t="s">
        <v>488</v>
      </c>
      <c r="T2817" s="2" t="s">
        <v>488</v>
      </c>
      <c r="U2817" s="2" t="s">
        <v>488</v>
      </c>
      <c r="V2817" s="2" t="s">
        <v>488</v>
      </c>
      <c r="W2817">
        <f t="shared" si="45"/>
        <v>0</v>
      </c>
    </row>
    <row r="2818" spans="1:23" x14ac:dyDescent="0.25">
      <c r="A2818" s="255" t="s">
        <v>1380</v>
      </c>
      <c r="B2818" s="255" t="s">
        <v>922</v>
      </c>
      <c r="C2818" s="255"/>
      <c r="D2818" s="255"/>
      <c r="E2818" s="255" t="s">
        <v>9</v>
      </c>
      <c r="F2818" s="255"/>
      <c r="G2818" s="255"/>
      <c r="H2818" s="255">
        <v>0</v>
      </c>
      <c r="I2818" s="255">
        <v>0</v>
      </c>
      <c r="J2818" s="255">
        <v>0</v>
      </c>
      <c r="K2818" s="255">
        <v>0</v>
      </c>
      <c r="L2818" s="255">
        <v>0</v>
      </c>
      <c r="M2818" s="255">
        <v>0</v>
      </c>
      <c r="N2818" s="255">
        <v>0</v>
      </c>
      <c r="O2818" s="255">
        <v>0</v>
      </c>
      <c r="P2818" s="255">
        <v>0</v>
      </c>
      <c r="Q2818" s="255" t="s">
        <v>488</v>
      </c>
      <c r="R2818" s="255" t="s">
        <v>488</v>
      </c>
      <c r="S2818" s="255" t="s">
        <v>488</v>
      </c>
      <c r="T2818" s="255" t="s">
        <v>488</v>
      </c>
      <c r="U2818" s="255" t="s">
        <v>488</v>
      </c>
      <c r="V2818" s="255" t="s">
        <v>488</v>
      </c>
      <c r="W2818">
        <f t="shared" si="45"/>
        <v>0</v>
      </c>
    </row>
    <row r="2819" spans="1:23" x14ac:dyDescent="0.25">
      <c r="A2819" s="2" t="s">
        <v>1380</v>
      </c>
      <c r="B2819" s="2" t="s">
        <v>922</v>
      </c>
      <c r="C2819" s="2">
        <v>540011</v>
      </c>
      <c r="D2819" s="2" t="s">
        <v>642</v>
      </c>
      <c r="E2819" s="2" t="s">
        <v>11</v>
      </c>
      <c r="F2819" s="2" t="s">
        <v>5</v>
      </c>
      <c r="G2819" s="2">
        <v>11</v>
      </c>
      <c r="H2819" s="2">
        <v>0</v>
      </c>
      <c r="I2819" s="2">
        <v>0</v>
      </c>
      <c r="J2819" s="2">
        <v>0</v>
      </c>
      <c r="K2819" s="2">
        <v>0</v>
      </c>
      <c r="L2819" s="2">
        <v>0</v>
      </c>
      <c r="M2819" s="2">
        <v>0</v>
      </c>
      <c r="N2819" s="2">
        <v>0</v>
      </c>
      <c r="O2819" s="2">
        <v>0</v>
      </c>
      <c r="P2819" s="2">
        <v>0</v>
      </c>
      <c r="Q2819" s="2">
        <v>0</v>
      </c>
      <c r="R2819" s="2">
        <v>0</v>
      </c>
      <c r="S2819" s="2" t="s">
        <v>488</v>
      </c>
      <c r="T2819" s="2" t="s">
        <v>488</v>
      </c>
      <c r="U2819" s="2" t="s">
        <v>488</v>
      </c>
      <c r="V2819" s="2" t="s">
        <v>488</v>
      </c>
      <c r="W2819">
        <f t="shared" ref="W2819:W2882" si="46">SUM(N2819,P2819,R2819,T2819)</f>
        <v>0</v>
      </c>
    </row>
    <row r="2820" spans="1:23" x14ac:dyDescent="0.25">
      <c r="A2820" s="2" t="s">
        <v>1380</v>
      </c>
      <c r="B2820" s="2" t="s">
        <v>922</v>
      </c>
      <c r="C2820" s="2">
        <v>540012</v>
      </c>
      <c r="D2820" s="2" t="s">
        <v>643</v>
      </c>
      <c r="E2820" s="2" t="s">
        <v>11</v>
      </c>
      <c r="F2820" s="2" t="s">
        <v>115</v>
      </c>
      <c r="G2820" s="2">
        <v>11</v>
      </c>
      <c r="H2820" s="2">
        <v>0</v>
      </c>
      <c r="I2820" s="2">
        <v>0</v>
      </c>
      <c r="J2820" s="2">
        <v>0</v>
      </c>
      <c r="K2820" s="2">
        <v>0</v>
      </c>
      <c r="L2820" s="2">
        <v>0</v>
      </c>
      <c r="M2820" s="2">
        <v>0</v>
      </c>
      <c r="N2820" s="2">
        <v>0</v>
      </c>
      <c r="O2820" s="2">
        <v>0</v>
      </c>
      <c r="P2820" s="2">
        <v>0</v>
      </c>
      <c r="Q2820" s="2">
        <v>0</v>
      </c>
      <c r="R2820" s="2">
        <v>0</v>
      </c>
      <c r="S2820" s="2" t="s">
        <v>488</v>
      </c>
      <c r="T2820" s="2" t="s">
        <v>488</v>
      </c>
      <c r="U2820" s="2" t="s">
        <v>488</v>
      </c>
      <c r="V2820" s="2" t="s">
        <v>488</v>
      </c>
      <c r="W2820">
        <f t="shared" si="46"/>
        <v>0</v>
      </c>
    </row>
    <row r="2821" spans="1:23" x14ac:dyDescent="0.25">
      <c r="A2821" s="2" t="s">
        <v>1380</v>
      </c>
      <c r="B2821" s="2" t="s">
        <v>922</v>
      </c>
      <c r="C2821" s="2">
        <v>540013</v>
      </c>
      <c r="D2821" s="2" t="s">
        <v>644</v>
      </c>
      <c r="E2821" s="2" t="s">
        <v>11</v>
      </c>
      <c r="F2821" s="2" t="s">
        <v>115</v>
      </c>
      <c r="G2821" s="2">
        <v>11</v>
      </c>
      <c r="H2821" s="2">
        <v>0</v>
      </c>
      <c r="I2821" s="2">
        <v>0</v>
      </c>
      <c r="J2821" s="2">
        <v>0</v>
      </c>
      <c r="K2821" s="2">
        <v>0</v>
      </c>
      <c r="L2821" s="2">
        <v>0</v>
      </c>
      <c r="M2821" s="2">
        <v>0</v>
      </c>
      <c r="N2821" s="2">
        <v>0</v>
      </c>
      <c r="O2821" s="2">
        <v>0</v>
      </c>
      <c r="P2821" s="2">
        <v>0</v>
      </c>
      <c r="Q2821" s="2">
        <v>0</v>
      </c>
      <c r="R2821" s="2">
        <v>0</v>
      </c>
      <c r="S2821" s="2" t="s">
        <v>488</v>
      </c>
      <c r="T2821" s="2" t="s">
        <v>488</v>
      </c>
      <c r="U2821" s="2" t="s">
        <v>488</v>
      </c>
      <c r="V2821" s="2" t="s">
        <v>488</v>
      </c>
      <c r="W2821">
        <f t="shared" si="46"/>
        <v>0</v>
      </c>
    </row>
    <row r="2822" spans="1:23" x14ac:dyDescent="0.25">
      <c r="A2822" s="2" t="s">
        <v>1380</v>
      </c>
      <c r="B2822" s="2" t="s">
        <v>922</v>
      </c>
      <c r="C2822" s="2">
        <v>540014</v>
      </c>
      <c r="D2822" s="2" t="s">
        <v>645</v>
      </c>
      <c r="E2822" s="2" t="s">
        <v>11</v>
      </c>
      <c r="F2822" s="2" t="s">
        <v>115</v>
      </c>
      <c r="G2822" s="2">
        <v>11</v>
      </c>
      <c r="H2822" s="2">
        <v>0</v>
      </c>
      <c r="I2822" s="2">
        <v>0</v>
      </c>
      <c r="J2822" s="2">
        <v>0</v>
      </c>
      <c r="K2822" s="2">
        <v>0</v>
      </c>
      <c r="L2822" s="2">
        <v>0</v>
      </c>
      <c r="M2822" s="2">
        <v>0</v>
      </c>
      <c r="N2822" s="2">
        <v>0</v>
      </c>
      <c r="O2822" s="2">
        <v>0</v>
      </c>
      <c r="P2822" s="2">
        <v>0</v>
      </c>
      <c r="Q2822" s="2">
        <v>0</v>
      </c>
      <c r="R2822" s="2">
        <v>0</v>
      </c>
      <c r="S2822" s="2" t="s">
        <v>488</v>
      </c>
      <c r="T2822" s="2" t="s">
        <v>488</v>
      </c>
      <c r="U2822" s="2" t="s">
        <v>488</v>
      </c>
      <c r="V2822" s="2" t="s">
        <v>488</v>
      </c>
      <c r="W2822">
        <f t="shared" si="46"/>
        <v>0</v>
      </c>
    </row>
    <row r="2823" spans="1:23" x14ac:dyDescent="0.25">
      <c r="A2823" s="2" t="s">
        <v>1380</v>
      </c>
      <c r="B2823" s="2" t="s">
        <v>922</v>
      </c>
      <c r="C2823" s="2">
        <v>540015</v>
      </c>
      <c r="D2823" s="2" t="s">
        <v>646</v>
      </c>
      <c r="E2823" s="2" t="s">
        <v>11</v>
      </c>
      <c r="F2823" s="2" t="s">
        <v>115</v>
      </c>
      <c r="G2823" s="2">
        <v>11</v>
      </c>
      <c r="H2823" s="2">
        <v>0</v>
      </c>
      <c r="I2823" s="2">
        <v>1</v>
      </c>
      <c r="J2823" s="2">
        <v>0</v>
      </c>
      <c r="K2823" s="2">
        <v>0</v>
      </c>
      <c r="L2823" s="2">
        <v>0</v>
      </c>
      <c r="M2823" s="2">
        <v>1</v>
      </c>
      <c r="N2823" s="2">
        <v>1</v>
      </c>
      <c r="O2823" s="2">
        <v>0</v>
      </c>
      <c r="P2823" s="2">
        <v>0</v>
      </c>
      <c r="Q2823" s="2">
        <v>0</v>
      </c>
      <c r="R2823" s="2">
        <v>0</v>
      </c>
      <c r="S2823" s="2" t="s">
        <v>488</v>
      </c>
      <c r="T2823" s="2" t="s">
        <v>488</v>
      </c>
      <c r="U2823" s="2" t="s">
        <v>488</v>
      </c>
      <c r="V2823" s="2" t="s">
        <v>488</v>
      </c>
      <c r="W2823">
        <f t="shared" si="46"/>
        <v>1</v>
      </c>
    </row>
    <row r="2824" spans="1:23" x14ac:dyDescent="0.25">
      <c r="A2824" s="2" t="s">
        <v>1380</v>
      </c>
      <c r="B2824" s="2" t="s">
        <v>922</v>
      </c>
      <c r="C2824" s="2">
        <v>540093</v>
      </c>
      <c r="D2824" s="2" t="s">
        <v>647</v>
      </c>
      <c r="E2824" s="2" t="s">
        <v>11</v>
      </c>
      <c r="F2824" s="2" t="s">
        <v>115</v>
      </c>
      <c r="G2824" s="2">
        <v>11</v>
      </c>
      <c r="H2824" s="2">
        <v>0</v>
      </c>
      <c r="I2824" s="2">
        <v>0</v>
      </c>
      <c r="J2824" s="2">
        <v>0</v>
      </c>
      <c r="K2824" s="2">
        <v>0</v>
      </c>
      <c r="L2824" s="2">
        <v>0</v>
      </c>
      <c r="M2824" s="2">
        <v>0</v>
      </c>
      <c r="N2824" s="2">
        <v>0</v>
      </c>
      <c r="O2824" s="2">
        <v>0</v>
      </c>
      <c r="P2824" s="2">
        <v>0</v>
      </c>
      <c r="Q2824" s="2">
        <v>0</v>
      </c>
      <c r="R2824" s="2">
        <v>0</v>
      </c>
      <c r="S2824" s="2" t="s">
        <v>488</v>
      </c>
      <c r="T2824" s="2" t="s">
        <v>488</v>
      </c>
      <c r="U2824" s="2" t="s">
        <v>488</v>
      </c>
      <c r="V2824" s="2" t="s">
        <v>488</v>
      </c>
      <c r="W2824">
        <f t="shared" si="46"/>
        <v>0</v>
      </c>
    </row>
    <row r="2825" spans="1:23" x14ac:dyDescent="0.25">
      <c r="A2825" s="2" t="s">
        <v>1380</v>
      </c>
      <c r="B2825" s="2" t="s">
        <v>922</v>
      </c>
      <c r="C2825" s="2">
        <v>540084</v>
      </c>
      <c r="D2825" s="2" t="s">
        <v>648</v>
      </c>
      <c r="E2825" s="2" t="s">
        <v>11</v>
      </c>
      <c r="F2825" s="2" t="s">
        <v>115</v>
      </c>
      <c r="G2825" s="2">
        <v>11</v>
      </c>
      <c r="H2825" s="2">
        <v>0</v>
      </c>
      <c r="I2825" s="2">
        <v>0</v>
      </c>
      <c r="J2825" s="2">
        <v>0</v>
      </c>
      <c r="K2825" s="2">
        <v>0</v>
      </c>
      <c r="L2825" s="2">
        <v>0</v>
      </c>
      <c r="M2825" s="2">
        <v>0</v>
      </c>
      <c r="N2825" s="2">
        <v>0</v>
      </c>
      <c r="O2825" s="2">
        <v>0</v>
      </c>
      <c r="P2825" s="2">
        <v>0</v>
      </c>
      <c r="Q2825" s="2">
        <v>0</v>
      </c>
      <c r="R2825" s="2">
        <v>0</v>
      </c>
      <c r="S2825" s="2" t="s">
        <v>488</v>
      </c>
      <c r="T2825" s="2" t="s">
        <v>488</v>
      </c>
      <c r="U2825" s="2" t="s">
        <v>488</v>
      </c>
      <c r="V2825" s="2" t="s">
        <v>488</v>
      </c>
      <c r="W2825">
        <f t="shared" si="46"/>
        <v>0</v>
      </c>
    </row>
    <row r="2826" spans="1:23" x14ac:dyDescent="0.25">
      <c r="A2826" s="255" t="s">
        <v>1380</v>
      </c>
      <c r="B2826" s="255" t="s">
        <v>922</v>
      </c>
      <c r="C2826" s="255"/>
      <c r="D2826" s="255"/>
      <c r="E2826" s="255" t="s">
        <v>11</v>
      </c>
      <c r="F2826" s="255"/>
      <c r="G2826" s="255"/>
      <c r="H2826" s="255">
        <v>0</v>
      </c>
      <c r="I2826" s="255">
        <v>1</v>
      </c>
      <c r="J2826" s="255">
        <v>0</v>
      </c>
      <c r="K2826" s="255">
        <v>0</v>
      </c>
      <c r="L2826" s="255">
        <v>0</v>
      </c>
      <c r="M2826" s="255">
        <v>1</v>
      </c>
      <c r="N2826" s="255">
        <v>1</v>
      </c>
      <c r="O2826" s="255">
        <v>0</v>
      </c>
      <c r="P2826" s="255">
        <v>0</v>
      </c>
      <c r="Q2826" s="255">
        <v>0</v>
      </c>
      <c r="R2826" s="255">
        <v>0</v>
      </c>
      <c r="S2826" s="255" t="s">
        <v>488</v>
      </c>
      <c r="T2826" s="255" t="s">
        <v>488</v>
      </c>
      <c r="U2826" s="255" t="s">
        <v>488</v>
      </c>
      <c r="V2826" s="255" t="s">
        <v>488</v>
      </c>
      <c r="W2826">
        <f t="shared" si="46"/>
        <v>1</v>
      </c>
    </row>
    <row r="2827" spans="1:23" x14ac:dyDescent="0.25">
      <c r="A2827" s="2" t="s">
        <v>1380</v>
      </c>
      <c r="B2827" s="2" t="s">
        <v>922</v>
      </c>
      <c r="C2827" s="2">
        <v>540016</v>
      </c>
      <c r="D2827" s="2" t="s">
        <v>649</v>
      </c>
      <c r="E2827" s="2" t="s">
        <v>13</v>
      </c>
      <c r="F2827" s="2" t="s">
        <v>5</v>
      </c>
      <c r="G2827" s="2">
        <v>2</v>
      </c>
      <c r="H2827" s="2">
        <v>0</v>
      </c>
      <c r="I2827" s="2">
        <v>0</v>
      </c>
      <c r="J2827" s="2">
        <v>0</v>
      </c>
      <c r="K2827" s="2">
        <v>0</v>
      </c>
      <c r="L2827" s="2">
        <v>0</v>
      </c>
      <c r="M2827" s="2">
        <v>0</v>
      </c>
      <c r="N2827" s="2">
        <v>0</v>
      </c>
      <c r="O2827" s="2">
        <v>0</v>
      </c>
      <c r="P2827" s="2">
        <v>0</v>
      </c>
      <c r="Q2827" s="2">
        <v>0</v>
      </c>
      <c r="R2827" s="2">
        <v>0</v>
      </c>
      <c r="S2827" s="2" t="s">
        <v>488</v>
      </c>
      <c r="T2827" s="2" t="s">
        <v>488</v>
      </c>
      <c r="U2827" s="2" t="s">
        <v>488</v>
      </c>
      <c r="V2827" s="2" t="s">
        <v>488</v>
      </c>
      <c r="W2827">
        <f t="shared" si="46"/>
        <v>0</v>
      </c>
    </row>
    <row r="2828" spans="1:23" x14ac:dyDescent="0.25">
      <c r="A2828" s="2" t="s">
        <v>1380</v>
      </c>
      <c r="B2828" s="2" t="s">
        <v>922</v>
      </c>
      <c r="C2828" s="2">
        <v>540017</v>
      </c>
      <c r="D2828" s="2" t="s">
        <v>650</v>
      </c>
      <c r="E2828" s="2" t="s">
        <v>13</v>
      </c>
      <c r="F2828" s="2" t="s">
        <v>115</v>
      </c>
      <c r="G2828" s="2">
        <v>2</v>
      </c>
      <c r="H2828" s="2">
        <v>0</v>
      </c>
      <c r="I2828" s="2">
        <v>0</v>
      </c>
      <c r="J2828" s="2">
        <v>0</v>
      </c>
      <c r="K2828" s="2">
        <v>0</v>
      </c>
      <c r="L2828" s="2">
        <v>0</v>
      </c>
      <c r="M2828" s="2">
        <v>0</v>
      </c>
      <c r="N2828" s="2">
        <v>0</v>
      </c>
      <c r="O2828" s="2">
        <v>0</v>
      </c>
      <c r="P2828" s="2">
        <v>0</v>
      </c>
      <c r="Q2828" s="2">
        <v>0</v>
      </c>
      <c r="R2828" s="2">
        <v>0</v>
      </c>
      <c r="S2828" s="2" t="s">
        <v>488</v>
      </c>
      <c r="T2828" s="2" t="s">
        <v>488</v>
      </c>
      <c r="U2828" s="2" t="s">
        <v>488</v>
      </c>
      <c r="V2828" s="2" t="s">
        <v>488</v>
      </c>
      <c r="W2828">
        <f t="shared" si="46"/>
        <v>0</v>
      </c>
    </row>
    <row r="2829" spans="1:23" x14ac:dyDescent="0.25">
      <c r="A2829" s="2" t="s">
        <v>1380</v>
      </c>
      <c r="B2829" s="2" t="s">
        <v>922</v>
      </c>
      <c r="C2829" s="2">
        <v>540018</v>
      </c>
      <c r="D2829" s="2" t="s">
        <v>651</v>
      </c>
      <c r="E2829" s="2" t="s">
        <v>13</v>
      </c>
      <c r="F2829" s="2" t="s">
        <v>115</v>
      </c>
      <c r="G2829" s="2">
        <v>2</v>
      </c>
      <c r="H2829" s="2">
        <v>0</v>
      </c>
      <c r="I2829" s="2">
        <v>0</v>
      </c>
      <c r="J2829" s="2">
        <v>0</v>
      </c>
      <c r="K2829" s="2">
        <v>0</v>
      </c>
      <c r="L2829" s="2">
        <v>0</v>
      </c>
      <c r="M2829" s="2">
        <v>0</v>
      </c>
      <c r="N2829" s="2">
        <v>0</v>
      </c>
      <c r="O2829" s="2">
        <v>0</v>
      </c>
      <c r="P2829" s="2">
        <v>0</v>
      </c>
      <c r="Q2829" s="2">
        <v>0</v>
      </c>
      <c r="R2829" s="2">
        <v>0</v>
      </c>
      <c r="S2829" s="2" t="s">
        <v>488</v>
      </c>
      <c r="T2829" s="2" t="s">
        <v>488</v>
      </c>
      <c r="U2829" s="2" t="s">
        <v>488</v>
      </c>
      <c r="V2829" s="2" t="s">
        <v>488</v>
      </c>
      <c r="W2829">
        <f t="shared" si="46"/>
        <v>0</v>
      </c>
    </row>
    <row r="2830" spans="1:23" x14ac:dyDescent="0.25">
      <c r="A2830" s="2" t="s">
        <v>1380</v>
      </c>
      <c r="B2830" s="2" t="s">
        <v>922</v>
      </c>
      <c r="C2830" s="2">
        <v>540019</v>
      </c>
      <c r="D2830" s="2" t="s">
        <v>652</v>
      </c>
      <c r="E2830" s="2" t="s">
        <v>13</v>
      </c>
      <c r="F2830" s="2" t="s">
        <v>115</v>
      </c>
      <c r="G2830" s="2">
        <v>2</v>
      </c>
      <c r="H2830" s="2">
        <v>0</v>
      </c>
      <c r="I2830" s="2">
        <v>0</v>
      </c>
      <c r="J2830" s="2">
        <v>0</v>
      </c>
      <c r="K2830" s="2">
        <v>0</v>
      </c>
      <c r="L2830" s="2">
        <v>0</v>
      </c>
      <c r="M2830" s="2">
        <v>0</v>
      </c>
      <c r="N2830" s="2">
        <v>0</v>
      </c>
      <c r="O2830" s="2">
        <v>0</v>
      </c>
      <c r="P2830" s="2">
        <v>0</v>
      </c>
      <c r="Q2830" s="2">
        <v>0</v>
      </c>
      <c r="R2830" s="2">
        <v>0</v>
      </c>
      <c r="S2830" s="2" t="s">
        <v>488</v>
      </c>
      <c r="T2830" s="2" t="s">
        <v>488</v>
      </c>
      <c r="U2830" s="2" t="s">
        <v>488</v>
      </c>
      <c r="V2830" s="2" t="s">
        <v>488</v>
      </c>
      <c r="W2830">
        <f t="shared" si="46"/>
        <v>0</v>
      </c>
    </row>
    <row r="2831" spans="1:23" x14ac:dyDescent="0.25">
      <c r="A2831" s="255" t="s">
        <v>1380</v>
      </c>
      <c r="B2831" s="255" t="s">
        <v>922</v>
      </c>
      <c r="C2831" s="255"/>
      <c r="D2831" s="255"/>
      <c r="E2831" s="255" t="s">
        <v>13</v>
      </c>
      <c r="F2831" s="255"/>
      <c r="G2831" s="255"/>
      <c r="H2831" s="255">
        <v>0</v>
      </c>
      <c r="I2831" s="255">
        <v>0</v>
      </c>
      <c r="J2831" s="255">
        <v>0</v>
      </c>
      <c r="K2831" s="255">
        <v>0</v>
      </c>
      <c r="L2831" s="255">
        <v>0</v>
      </c>
      <c r="M2831" s="255">
        <v>0</v>
      </c>
      <c r="N2831" s="255">
        <v>0</v>
      </c>
      <c r="O2831" s="255">
        <v>0</v>
      </c>
      <c r="P2831" s="255">
        <v>0</v>
      </c>
      <c r="Q2831" s="255">
        <v>0</v>
      </c>
      <c r="R2831" s="255">
        <v>0</v>
      </c>
      <c r="S2831" s="255" t="s">
        <v>488</v>
      </c>
      <c r="T2831" s="255" t="s">
        <v>488</v>
      </c>
      <c r="U2831" s="255" t="s">
        <v>488</v>
      </c>
      <c r="V2831" s="255" t="s">
        <v>488</v>
      </c>
      <c r="W2831">
        <f t="shared" si="46"/>
        <v>0</v>
      </c>
    </row>
    <row r="2832" spans="1:23" x14ac:dyDescent="0.25">
      <c r="A2832" s="2" t="s">
        <v>1380</v>
      </c>
      <c r="B2832" s="2" t="s">
        <v>922</v>
      </c>
      <c r="C2832" s="2">
        <v>540020</v>
      </c>
      <c r="D2832" s="2" t="s">
        <v>653</v>
      </c>
      <c r="E2832" s="2" t="s">
        <v>15</v>
      </c>
      <c r="F2832" s="2" t="s">
        <v>5</v>
      </c>
      <c r="G2832" s="2">
        <v>5</v>
      </c>
      <c r="H2832" s="2">
        <v>1</v>
      </c>
      <c r="I2832" s="2">
        <v>0</v>
      </c>
      <c r="J2832" s="2">
        <v>0</v>
      </c>
      <c r="K2832" s="2">
        <v>0</v>
      </c>
      <c r="L2832" s="2">
        <v>0</v>
      </c>
      <c r="M2832" s="2">
        <v>0</v>
      </c>
      <c r="N2832" s="2">
        <v>1</v>
      </c>
      <c r="O2832" s="2">
        <v>0</v>
      </c>
      <c r="P2832" s="2">
        <v>0</v>
      </c>
      <c r="Q2832" s="2" t="s">
        <v>488</v>
      </c>
      <c r="R2832" s="2" t="s">
        <v>488</v>
      </c>
      <c r="S2832" s="2" t="s">
        <v>488</v>
      </c>
      <c r="T2832" s="2" t="s">
        <v>488</v>
      </c>
      <c r="U2832" s="2" t="s">
        <v>488</v>
      </c>
      <c r="V2832" s="2" t="s">
        <v>488</v>
      </c>
      <c r="W2832">
        <f t="shared" si="46"/>
        <v>1</v>
      </c>
    </row>
    <row r="2833" spans="1:23" x14ac:dyDescent="0.25">
      <c r="A2833" s="2" t="s">
        <v>1380</v>
      </c>
      <c r="B2833" s="2" t="s">
        <v>922</v>
      </c>
      <c r="C2833" s="2">
        <v>540021</v>
      </c>
      <c r="D2833" s="2" t="s">
        <v>654</v>
      </c>
      <c r="E2833" s="2" t="s">
        <v>15</v>
      </c>
      <c r="F2833" s="2" t="s">
        <v>115</v>
      </c>
      <c r="G2833" s="2">
        <v>5</v>
      </c>
      <c r="H2833" s="2">
        <v>0</v>
      </c>
      <c r="I2833" s="2">
        <v>0</v>
      </c>
      <c r="J2833" s="2">
        <v>0</v>
      </c>
      <c r="K2833" s="2">
        <v>0</v>
      </c>
      <c r="L2833" s="2">
        <v>0</v>
      </c>
      <c r="M2833" s="2">
        <v>0</v>
      </c>
      <c r="N2833" s="2">
        <v>0</v>
      </c>
      <c r="O2833" s="2">
        <v>0</v>
      </c>
      <c r="P2833" s="2">
        <v>0</v>
      </c>
      <c r="Q2833" s="2" t="s">
        <v>488</v>
      </c>
      <c r="R2833" s="2" t="s">
        <v>488</v>
      </c>
      <c r="S2833" s="2" t="s">
        <v>488</v>
      </c>
      <c r="T2833" s="2" t="s">
        <v>488</v>
      </c>
      <c r="U2833" s="2" t="s">
        <v>488</v>
      </c>
      <c r="V2833" s="2" t="s">
        <v>488</v>
      </c>
      <c r="W2833">
        <f t="shared" si="46"/>
        <v>0</v>
      </c>
    </row>
    <row r="2834" spans="1:23" x14ac:dyDescent="0.25">
      <c r="A2834" s="255" t="s">
        <v>1380</v>
      </c>
      <c r="B2834" s="255" t="s">
        <v>922</v>
      </c>
      <c r="C2834" s="255"/>
      <c r="D2834" s="255"/>
      <c r="E2834" s="255" t="s">
        <v>15</v>
      </c>
      <c r="F2834" s="255"/>
      <c r="G2834" s="255"/>
      <c r="H2834" s="255">
        <v>1</v>
      </c>
      <c r="I2834" s="255">
        <v>0</v>
      </c>
      <c r="J2834" s="255">
        <v>0</v>
      </c>
      <c r="K2834" s="255">
        <v>0</v>
      </c>
      <c r="L2834" s="255">
        <v>0</v>
      </c>
      <c r="M2834" s="255">
        <v>0</v>
      </c>
      <c r="N2834" s="255">
        <v>1</v>
      </c>
      <c r="O2834" s="255">
        <v>0</v>
      </c>
      <c r="P2834" s="255">
        <v>0</v>
      </c>
      <c r="Q2834" s="255" t="s">
        <v>488</v>
      </c>
      <c r="R2834" s="255" t="s">
        <v>488</v>
      </c>
      <c r="S2834" s="255" t="s">
        <v>488</v>
      </c>
      <c r="T2834" s="255" t="s">
        <v>488</v>
      </c>
      <c r="U2834" s="255" t="s">
        <v>488</v>
      </c>
      <c r="V2834" s="255" t="s">
        <v>488</v>
      </c>
      <c r="W2834">
        <f t="shared" si="46"/>
        <v>1</v>
      </c>
    </row>
    <row r="2835" spans="1:23" x14ac:dyDescent="0.25">
      <c r="A2835" s="2" t="s">
        <v>1380</v>
      </c>
      <c r="B2835" s="2" t="s">
        <v>922</v>
      </c>
      <c r="C2835" s="2">
        <v>540022</v>
      </c>
      <c r="D2835" s="2" t="s">
        <v>655</v>
      </c>
      <c r="E2835" s="2" t="s">
        <v>17</v>
      </c>
      <c r="F2835" s="2" t="s">
        <v>5</v>
      </c>
      <c r="G2835" s="2">
        <v>3</v>
      </c>
      <c r="H2835" s="2">
        <v>0</v>
      </c>
      <c r="I2835" s="2">
        <v>0</v>
      </c>
      <c r="J2835" s="2">
        <v>0</v>
      </c>
      <c r="K2835" s="2">
        <v>0</v>
      </c>
      <c r="L2835" s="2">
        <v>0</v>
      </c>
      <c r="M2835" s="2">
        <v>0</v>
      </c>
      <c r="N2835" s="2">
        <v>0</v>
      </c>
      <c r="O2835" s="2">
        <v>0</v>
      </c>
      <c r="P2835" s="2">
        <v>0</v>
      </c>
      <c r="Q2835" s="2" t="s">
        <v>488</v>
      </c>
      <c r="R2835" s="2" t="s">
        <v>488</v>
      </c>
      <c r="S2835" s="2" t="s">
        <v>488</v>
      </c>
      <c r="T2835" s="2" t="s">
        <v>488</v>
      </c>
      <c r="U2835" s="2" t="s">
        <v>488</v>
      </c>
      <c r="V2835" s="2" t="s">
        <v>488</v>
      </c>
      <c r="W2835">
        <f t="shared" si="46"/>
        <v>0</v>
      </c>
    </row>
    <row r="2836" spans="1:23" x14ac:dyDescent="0.25">
      <c r="A2836" s="2" t="s">
        <v>1380</v>
      </c>
      <c r="B2836" s="2" t="s">
        <v>922</v>
      </c>
      <c r="C2836" s="2">
        <v>540023</v>
      </c>
      <c r="D2836" s="2" t="s">
        <v>656</v>
      </c>
      <c r="E2836" s="2" t="s">
        <v>17</v>
      </c>
      <c r="F2836" s="2" t="s">
        <v>115</v>
      </c>
      <c r="G2836" s="2">
        <v>3</v>
      </c>
      <c r="H2836" s="2">
        <v>0</v>
      </c>
      <c r="I2836" s="2">
        <v>0</v>
      </c>
      <c r="J2836" s="2">
        <v>0</v>
      </c>
      <c r="K2836" s="2">
        <v>0</v>
      </c>
      <c r="L2836" s="2">
        <v>0</v>
      </c>
      <c r="M2836" s="2">
        <v>0</v>
      </c>
      <c r="N2836" s="2">
        <v>0</v>
      </c>
      <c r="O2836" s="2">
        <v>0</v>
      </c>
      <c r="P2836" s="2">
        <v>0</v>
      </c>
      <c r="Q2836" s="2" t="s">
        <v>488</v>
      </c>
      <c r="R2836" s="2" t="s">
        <v>488</v>
      </c>
      <c r="S2836" s="2" t="s">
        <v>488</v>
      </c>
      <c r="T2836" s="2" t="s">
        <v>488</v>
      </c>
      <c r="U2836" s="2" t="s">
        <v>488</v>
      </c>
      <c r="V2836" s="2" t="s">
        <v>488</v>
      </c>
      <c r="W2836">
        <f t="shared" si="46"/>
        <v>0</v>
      </c>
    </row>
    <row r="2837" spans="1:23" x14ac:dyDescent="0.25">
      <c r="A2837" s="255" t="s">
        <v>1380</v>
      </c>
      <c r="B2837" s="255" t="s">
        <v>922</v>
      </c>
      <c r="C2837" s="255"/>
      <c r="D2837" s="255"/>
      <c r="E2837" s="255" t="s">
        <v>17</v>
      </c>
      <c r="F2837" s="255"/>
      <c r="G2837" s="255"/>
      <c r="H2837" s="255">
        <v>0</v>
      </c>
      <c r="I2837" s="255">
        <v>0</v>
      </c>
      <c r="J2837" s="255">
        <v>0</v>
      </c>
      <c r="K2837" s="255">
        <v>0</v>
      </c>
      <c r="L2837" s="255">
        <v>0</v>
      </c>
      <c r="M2837" s="255">
        <v>0</v>
      </c>
      <c r="N2837" s="255">
        <v>0</v>
      </c>
      <c r="O2837" s="255">
        <v>0</v>
      </c>
      <c r="P2837" s="255">
        <v>0</v>
      </c>
      <c r="Q2837" s="255" t="s">
        <v>488</v>
      </c>
      <c r="R2837" s="255" t="s">
        <v>488</v>
      </c>
      <c r="S2837" s="255" t="s">
        <v>488</v>
      </c>
      <c r="T2837" s="255" t="s">
        <v>488</v>
      </c>
      <c r="U2837" s="255" t="s">
        <v>488</v>
      </c>
      <c r="V2837" s="255" t="s">
        <v>488</v>
      </c>
      <c r="W2837">
        <f t="shared" si="46"/>
        <v>0</v>
      </c>
    </row>
    <row r="2838" spans="1:23" x14ac:dyDescent="0.25">
      <c r="A2838" s="2" t="s">
        <v>1380</v>
      </c>
      <c r="B2838" s="2" t="s">
        <v>922</v>
      </c>
      <c r="C2838" s="2">
        <v>540024</v>
      </c>
      <c r="D2838" s="2" t="s">
        <v>657</v>
      </c>
      <c r="E2838" s="2" t="s">
        <v>19</v>
      </c>
      <c r="F2838" s="2" t="s">
        <v>5</v>
      </c>
      <c r="G2838" s="2">
        <v>6</v>
      </c>
      <c r="H2838" s="2">
        <v>0</v>
      </c>
      <c r="I2838" s="2">
        <v>0</v>
      </c>
      <c r="J2838" s="2">
        <v>0</v>
      </c>
      <c r="K2838" s="2">
        <v>0</v>
      </c>
      <c r="L2838" s="2">
        <v>0</v>
      </c>
      <c r="M2838" s="2">
        <v>0</v>
      </c>
      <c r="N2838" s="2">
        <v>0</v>
      </c>
      <c r="O2838" s="2">
        <v>0</v>
      </c>
      <c r="P2838" s="2">
        <v>0</v>
      </c>
      <c r="Q2838" s="2">
        <v>0</v>
      </c>
      <c r="R2838" s="2">
        <v>0</v>
      </c>
      <c r="S2838" s="2" t="s">
        <v>488</v>
      </c>
      <c r="T2838" s="2" t="s">
        <v>488</v>
      </c>
      <c r="U2838" s="2" t="s">
        <v>488</v>
      </c>
      <c r="V2838" s="2" t="s">
        <v>488</v>
      </c>
      <c r="W2838">
        <f t="shared" si="46"/>
        <v>0</v>
      </c>
    </row>
    <row r="2839" spans="1:23" x14ac:dyDescent="0.25">
      <c r="A2839" s="2" t="s">
        <v>1380</v>
      </c>
      <c r="B2839" s="2" t="s">
        <v>922</v>
      </c>
      <c r="C2839" s="2">
        <v>540025</v>
      </c>
      <c r="D2839" s="2" t="s">
        <v>658</v>
      </c>
      <c r="E2839" s="2" t="s">
        <v>19</v>
      </c>
      <c r="F2839" s="2" t="s">
        <v>115</v>
      </c>
      <c r="G2839" s="2">
        <v>6</v>
      </c>
      <c r="H2839" s="2">
        <v>0</v>
      </c>
      <c r="I2839" s="2">
        <v>0</v>
      </c>
      <c r="J2839" s="2">
        <v>0</v>
      </c>
      <c r="K2839" s="2">
        <v>0</v>
      </c>
      <c r="L2839" s="2">
        <v>0</v>
      </c>
      <c r="M2839" s="2">
        <v>0</v>
      </c>
      <c r="N2839" s="2">
        <v>0</v>
      </c>
      <c r="O2839" s="2">
        <v>0</v>
      </c>
      <c r="P2839" s="2">
        <v>0</v>
      </c>
      <c r="Q2839" s="2">
        <v>0</v>
      </c>
      <c r="R2839" s="2">
        <v>0</v>
      </c>
      <c r="S2839" s="2" t="s">
        <v>488</v>
      </c>
      <c r="T2839" s="2" t="s">
        <v>488</v>
      </c>
      <c r="U2839" s="2" t="s">
        <v>488</v>
      </c>
      <c r="V2839" s="2" t="s">
        <v>488</v>
      </c>
      <c r="W2839">
        <f t="shared" si="46"/>
        <v>0</v>
      </c>
    </row>
    <row r="2840" spans="1:23" x14ac:dyDescent="0.25">
      <c r="A2840" s="255" t="s">
        <v>1380</v>
      </c>
      <c r="B2840" s="255" t="s">
        <v>922</v>
      </c>
      <c r="C2840" s="255"/>
      <c r="D2840" s="255"/>
      <c r="E2840" s="255" t="s">
        <v>19</v>
      </c>
      <c r="F2840" s="255"/>
      <c r="G2840" s="255"/>
      <c r="H2840" s="255">
        <v>0</v>
      </c>
      <c r="I2840" s="255">
        <v>0</v>
      </c>
      <c r="J2840" s="255">
        <v>0</v>
      </c>
      <c r="K2840" s="255">
        <v>0</v>
      </c>
      <c r="L2840" s="255">
        <v>0</v>
      </c>
      <c r="M2840" s="255">
        <v>0</v>
      </c>
      <c r="N2840" s="255">
        <v>0</v>
      </c>
      <c r="O2840" s="255">
        <v>0</v>
      </c>
      <c r="P2840" s="255">
        <v>0</v>
      </c>
      <c r="Q2840" s="255">
        <v>0</v>
      </c>
      <c r="R2840" s="255">
        <v>0</v>
      </c>
      <c r="S2840" s="255" t="s">
        <v>488</v>
      </c>
      <c r="T2840" s="255" t="s">
        <v>488</v>
      </c>
      <c r="U2840" s="255" t="s">
        <v>488</v>
      </c>
      <c r="V2840" s="255" t="s">
        <v>488</v>
      </c>
      <c r="W2840">
        <f t="shared" si="46"/>
        <v>0</v>
      </c>
    </row>
    <row r="2841" spans="1:23" x14ac:dyDescent="0.25">
      <c r="A2841" s="2" t="s">
        <v>1380</v>
      </c>
      <c r="B2841" s="2" t="s">
        <v>922</v>
      </c>
      <c r="C2841" s="2">
        <v>540035</v>
      </c>
      <c r="D2841" s="2" t="s">
        <v>659</v>
      </c>
      <c r="E2841" s="2" t="s">
        <v>23</v>
      </c>
      <c r="F2841" s="2" t="s">
        <v>5</v>
      </c>
      <c r="G2841" s="2">
        <v>7</v>
      </c>
      <c r="H2841" s="2">
        <v>0</v>
      </c>
      <c r="I2841" s="2">
        <v>0</v>
      </c>
      <c r="J2841" s="2">
        <v>0</v>
      </c>
      <c r="K2841" s="2">
        <v>0</v>
      </c>
      <c r="L2841" s="2">
        <v>0</v>
      </c>
      <c r="M2841" s="2">
        <v>0</v>
      </c>
      <c r="N2841" s="2">
        <v>0</v>
      </c>
      <c r="O2841" s="2">
        <v>0</v>
      </c>
      <c r="P2841" s="2">
        <v>0</v>
      </c>
      <c r="Q2841" s="2" t="s">
        <v>488</v>
      </c>
      <c r="R2841" s="2" t="s">
        <v>488</v>
      </c>
      <c r="S2841" s="2" t="s">
        <v>488</v>
      </c>
      <c r="T2841" s="2" t="s">
        <v>488</v>
      </c>
      <c r="U2841" s="2" t="s">
        <v>488</v>
      </c>
      <c r="V2841" s="2" t="s">
        <v>488</v>
      </c>
      <c r="W2841">
        <f t="shared" si="46"/>
        <v>0</v>
      </c>
    </row>
    <row r="2842" spans="1:23" x14ac:dyDescent="0.25">
      <c r="A2842" s="2" t="s">
        <v>1380</v>
      </c>
      <c r="B2842" s="2" t="s">
        <v>922</v>
      </c>
      <c r="C2842" s="2">
        <v>540036</v>
      </c>
      <c r="D2842" s="2" t="s">
        <v>660</v>
      </c>
      <c r="E2842" s="2" t="s">
        <v>23</v>
      </c>
      <c r="F2842" s="2" t="s">
        <v>115</v>
      </c>
      <c r="G2842" s="2">
        <v>7</v>
      </c>
      <c r="H2842" s="2">
        <v>0</v>
      </c>
      <c r="I2842" s="2">
        <v>0</v>
      </c>
      <c r="J2842" s="2">
        <v>0</v>
      </c>
      <c r="K2842" s="2">
        <v>0</v>
      </c>
      <c r="L2842" s="2">
        <v>0</v>
      </c>
      <c r="M2842" s="2">
        <v>0</v>
      </c>
      <c r="N2842" s="2">
        <v>0</v>
      </c>
      <c r="O2842" s="2">
        <v>0</v>
      </c>
      <c r="P2842" s="2">
        <v>0</v>
      </c>
      <c r="Q2842" s="2" t="s">
        <v>488</v>
      </c>
      <c r="R2842" s="2" t="s">
        <v>488</v>
      </c>
      <c r="S2842" s="2" t="s">
        <v>488</v>
      </c>
      <c r="T2842" s="2" t="s">
        <v>488</v>
      </c>
      <c r="U2842" s="2" t="s">
        <v>488</v>
      </c>
      <c r="V2842" s="2" t="s">
        <v>488</v>
      </c>
      <c r="W2842">
        <f t="shared" si="46"/>
        <v>0</v>
      </c>
    </row>
    <row r="2843" spans="1:23" x14ac:dyDescent="0.25">
      <c r="A2843" s="2" t="s">
        <v>1380</v>
      </c>
      <c r="B2843" s="2" t="s">
        <v>922</v>
      </c>
      <c r="C2843" s="2">
        <v>540037</v>
      </c>
      <c r="D2843" s="2" t="s">
        <v>661</v>
      </c>
      <c r="E2843" s="2" t="s">
        <v>23</v>
      </c>
      <c r="F2843" s="2" t="s">
        <v>115</v>
      </c>
      <c r="G2843" s="2">
        <v>7</v>
      </c>
      <c r="H2843" s="2">
        <v>0</v>
      </c>
      <c r="I2843" s="2">
        <v>0</v>
      </c>
      <c r="J2843" s="2">
        <v>0</v>
      </c>
      <c r="K2843" s="2">
        <v>0</v>
      </c>
      <c r="L2843" s="2">
        <v>0</v>
      </c>
      <c r="M2843" s="2">
        <v>0</v>
      </c>
      <c r="N2843" s="2">
        <v>0</v>
      </c>
      <c r="O2843" s="2">
        <v>0</v>
      </c>
      <c r="P2843" s="2">
        <v>0</v>
      </c>
      <c r="Q2843" s="2" t="s">
        <v>488</v>
      </c>
      <c r="R2843" s="2" t="s">
        <v>488</v>
      </c>
      <c r="S2843" s="2" t="s">
        <v>488</v>
      </c>
      <c r="T2843" s="2" t="s">
        <v>488</v>
      </c>
      <c r="U2843" s="2" t="s">
        <v>488</v>
      </c>
      <c r="V2843" s="2" t="s">
        <v>488</v>
      </c>
      <c r="W2843">
        <f t="shared" si="46"/>
        <v>0</v>
      </c>
    </row>
    <row r="2844" spans="1:23" x14ac:dyDescent="0.25">
      <c r="A2844" s="255" t="s">
        <v>1380</v>
      </c>
      <c r="B2844" s="255" t="s">
        <v>922</v>
      </c>
      <c r="C2844" s="255"/>
      <c r="D2844" s="255"/>
      <c r="E2844" s="255" t="s">
        <v>23</v>
      </c>
      <c r="F2844" s="255"/>
      <c r="G2844" s="255"/>
      <c r="H2844" s="255">
        <v>0</v>
      </c>
      <c r="I2844" s="255">
        <v>0</v>
      </c>
      <c r="J2844" s="255">
        <v>0</v>
      </c>
      <c r="K2844" s="255">
        <v>0</v>
      </c>
      <c r="L2844" s="255">
        <v>0</v>
      </c>
      <c r="M2844" s="255">
        <v>0</v>
      </c>
      <c r="N2844" s="255">
        <v>0</v>
      </c>
      <c r="O2844" s="255">
        <v>0</v>
      </c>
      <c r="P2844" s="255">
        <v>0</v>
      </c>
      <c r="Q2844" s="255" t="s">
        <v>488</v>
      </c>
      <c r="R2844" s="255" t="s">
        <v>488</v>
      </c>
      <c r="S2844" s="255" t="s">
        <v>488</v>
      </c>
      <c r="T2844" s="255" t="s">
        <v>488</v>
      </c>
      <c r="U2844" s="255" t="s">
        <v>488</v>
      </c>
      <c r="V2844" s="255" t="s">
        <v>488</v>
      </c>
      <c r="W2844">
        <f t="shared" si="46"/>
        <v>0</v>
      </c>
    </row>
    <row r="2845" spans="1:23" x14ac:dyDescent="0.25">
      <c r="A2845" s="2" t="s">
        <v>1380</v>
      </c>
      <c r="B2845" s="2" t="s">
        <v>922</v>
      </c>
      <c r="C2845" s="2">
        <v>540038</v>
      </c>
      <c r="D2845" s="2" t="s">
        <v>662</v>
      </c>
      <c r="E2845" s="2" t="s">
        <v>25</v>
      </c>
      <c r="F2845" s="2" t="s">
        <v>5</v>
      </c>
      <c r="G2845" s="2">
        <v>8</v>
      </c>
      <c r="H2845" s="2">
        <v>0</v>
      </c>
      <c r="I2845" s="2">
        <v>0</v>
      </c>
      <c r="J2845" s="2">
        <v>0</v>
      </c>
      <c r="K2845" s="2">
        <v>0</v>
      </c>
      <c r="L2845" s="2">
        <v>0</v>
      </c>
      <c r="M2845" s="2">
        <v>0</v>
      </c>
      <c r="N2845" s="2">
        <v>0</v>
      </c>
      <c r="O2845" s="2">
        <v>0</v>
      </c>
      <c r="P2845" s="2">
        <v>0</v>
      </c>
      <c r="Q2845" s="2" t="s">
        <v>488</v>
      </c>
      <c r="R2845" s="2" t="s">
        <v>488</v>
      </c>
      <c r="S2845" s="2" t="s">
        <v>488</v>
      </c>
      <c r="T2845" s="2" t="s">
        <v>488</v>
      </c>
      <c r="U2845" s="2" t="s">
        <v>488</v>
      </c>
      <c r="V2845" s="2" t="s">
        <v>488</v>
      </c>
      <c r="W2845">
        <f t="shared" si="46"/>
        <v>0</v>
      </c>
    </row>
    <row r="2846" spans="1:23" x14ac:dyDescent="0.25">
      <c r="A2846" s="2" t="s">
        <v>1380</v>
      </c>
      <c r="B2846" s="2" t="s">
        <v>922</v>
      </c>
      <c r="C2846" s="2">
        <v>540039</v>
      </c>
      <c r="D2846" s="2" t="s">
        <v>663</v>
      </c>
      <c r="E2846" s="2" t="s">
        <v>25</v>
      </c>
      <c r="F2846" s="2" t="s">
        <v>115</v>
      </c>
      <c r="G2846" s="2">
        <v>8</v>
      </c>
      <c r="H2846" s="2">
        <v>0</v>
      </c>
      <c r="I2846" s="2">
        <v>0</v>
      </c>
      <c r="J2846" s="2">
        <v>0</v>
      </c>
      <c r="K2846" s="2">
        <v>0</v>
      </c>
      <c r="L2846" s="2">
        <v>0</v>
      </c>
      <c r="M2846" s="2">
        <v>0</v>
      </c>
      <c r="N2846" s="2">
        <v>0</v>
      </c>
      <c r="O2846" s="2">
        <v>0</v>
      </c>
      <c r="P2846" s="2">
        <v>0</v>
      </c>
      <c r="Q2846" s="2" t="s">
        <v>488</v>
      </c>
      <c r="R2846" s="2" t="s">
        <v>488</v>
      </c>
      <c r="S2846" s="2" t="s">
        <v>488</v>
      </c>
      <c r="T2846" s="2" t="s">
        <v>488</v>
      </c>
      <c r="U2846" s="2" t="s">
        <v>488</v>
      </c>
      <c r="V2846" s="2" t="s">
        <v>488</v>
      </c>
      <c r="W2846">
        <f t="shared" si="46"/>
        <v>0</v>
      </c>
    </row>
    <row r="2847" spans="1:23" x14ac:dyDescent="0.25">
      <c r="A2847" s="2" t="s">
        <v>1380</v>
      </c>
      <c r="B2847" s="2" t="s">
        <v>922</v>
      </c>
      <c r="C2847" s="2">
        <v>540240</v>
      </c>
      <c r="D2847" s="2" t="s">
        <v>664</v>
      </c>
      <c r="E2847" s="2" t="s">
        <v>25</v>
      </c>
      <c r="F2847" s="2" t="s">
        <v>115</v>
      </c>
      <c r="G2847" s="2">
        <v>8</v>
      </c>
      <c r="H2847" s="2">
        <v>0</v>
      </c>
      <c r="I2847" s="2">
        <v>0</v>
      </c>
      <c r="J2847" s="2">
        <v>0</v>
      </c>
      <c r="K2847" s="2">
        <v>0</v>
      </c>
      <c r="L2847" s="2">
        <v>0</v>
      </c>
      <c r="M2847" s="2">
        <v>0</v>
      </c>
      <c r="N2847" s="2">
        <v>0</v>
      </c>
      <c r="O2847" s="2">
        <v>0</v>
      </c>
      <c r="P2847" s="2">
        <v>0</v>
      </c>
      <c r="Q2847" s="2" t="s">
        <v>488</v>
      </c>
      <c r="R2847" s="2" t="s">
        <v>488</v>
      </c>
      <c r="S2847" s="2" t="s">
        <v>488</v>
      </c>
      <c r="T2847" s="2" t="s">
        <v>488</v>
      </c>
      <c r="U2847" s="2" t="s">
        <v>488</v>
      </c>
      <c r="V2847" s="2" t="s">
        <v>488</v>
      </c>
      <c r="W2847">
        <f t="shared" si="46"/>
        <v>0</v>
      </c>
    </row>
    <row r="2848" spans="1:23" x14ac:dyDescent="0.25">
      <c r="A2848" s="255" t="s">
        <v>1380</v>
      </c>
      <c r="B2848" s="255" t="s">
        <v>922</v>
      </c>
      <c r="C2848" s="255"/>
      <c r="D2848" s="255"/>
      <c r="E2848" s="255" t="s">
        <v>25</v>
      </c>
      <c r="F2848" s="255"/>
      <c r="G2848" s="255"/>
      <c r="H2848" s="255">
        <v>0</v>
      </c>
      <c r="I2848" s="255">
        <v>0</v>
      </c>
      <c r="J2848" s="255">
        <v>0</v>
      </c>
      <c r="K2848" s="255">
        <v>0</v>
      </c>
      <c r="L2848" s="255">
        <v>0</v>
      </c>
      <c r="M2848" s="255">
        <v>0</v>
      </c>
      <c r="N2848" s="255">
        <v>0</v>
      </c>
      <c r="O2848" s="255">
        <v>0</v>
      </c>
      <c r="P2848" s="255">
        <v>0</v>
      </c>
      <c r="Q2848" s="255" t="s">
        <v>488</v>
      </c>
      <c r="R2848" s="255" t="s">
        <v>488</v>
      </c>
      <c r="S2848" s="255" t="s">
        <v>488</v>
      </c>
      <c r="T2848" s="255" t="s">
        <v>488</v>
      </c>
      <c r="U2848" s="255" t="s">
        <v>488</v>
      </c>
      <c r="V2848" s="255" t="s">
        <v>488</v>
      </c>
      <c r="W2848">
        <f t="shared" si="46"/>
        <v>0</v>
      </c>
    </row>
    <row r="2849" spans="1:23" x14ac:dyDescent="0.25">
      <c r="A2849" s="2" t="s">
        <v>1380</v>
      </c>
      <c r="B2849" s="2" t="s">
        <v>922</v>
      </c>
      <c r="C2849" s="2">
        <v>540040</v>
      </c>
      <c r="D2849" s="2" t="s">
        <v>665</v>
      </c>
      <c r="E2849" s="2" t="s">
        <v>27</v>
      </c>
      <c r="F2849" s="2" t="s">
        <v>5</v>
      </c>
      <c r="G2849" s="2">
        <v>4</v>
      </c>
      <c r="H2849" s="2">
        <v>0</v>
      </c>
      <c r="I2849" s="2">
        <v>0</v>
      </c>
      <c r="J2849" s="2">
        <v>0</v>
      </c>
      <c r="K2849" s="2">
        <v>0</v>
      </c>
      <c r="L2849" s="2">
        <v>0</v>
      </c>
      <c r="M2849" s="2">
        <v>0</v>
      </c>
      <c r="N2849" s="2">
        <v>0</v>
      </c>
      <c r="O2849" s="2">
        <v>0</v>
      </c>
      <c r="P2849" s="2">
        <v>0</v>
      </c>
      <c r="Q2849" s="2">
        <v>0</v>
      </c>
      <c r="R2849" s="2">
        <v>0</v>
      </c>
      <c r="S2849" s="2" t="s">
        <v>488</v>
      </c>
      <c r="T2849" s="2" t="s">
        <v>488</v>
      </c>
      <c r="U2849" s="2" t="s">
        <v>488</v>
      </c>
      <c r="V2849" s="2" t="s">
        <v>488</v>
      </c>
      <c r="W2849">
        <f t="shared" si="46"/>
        <v>0</v>
      </c>
    </row>
    <row r="2850" spans="1:23" x14ac:dyDescent="0.25">
      <c r="A2850" s="2" t="s">
        <v>1380</v>
      </c>
      <c r="B2850" s="2" t="s">
        <v>922</v>
      </c>
      <c r="C2850" s="2">
        <v>540041</v>
      </c>
      <c r="D2850" s="2" t="s">
        <v>666</v>
      </c>
      <c r="E2850" s="2" t="s">
        <v>27</v>
      </c>
      <c r="F2850" s="2" t="s">
        <v>115</v>
      </c>
      <c r="G2850" s="2">
        <v>4</v>
      </c>
      <c r="H2850" s="2">
        <v>0</v>
      </c>
      <c r="I2850" s="2">
        <v>0</v>
      </c>
      <c r="J2850" s="2">
        <v>0</v>
      </c>
      <c r="K2850" s="2">
        <v>0</v>
      </c>
      <c r="L2850" s="2">
        <v>0</v>
      </c>
      <c r="M2850" s="2">
        <v>0</v>
      </c>
      <c r="N2850" s="2">
        <v>0</v>
      </c>
      <c r="O2850" s="2">
        <v>0</v>
      </c>
      <c r="P2850" s="2">
        <v>0</v>
      </c>
      <c r="Q2850" s="2">
        <v>0</v>
      </c>
      <c r="R2850" s="2">
        <v>0</v>
      </c>
      <c r="S2850" s="2" t="s">
        <v>488</v>
      </c>
      <c r="T2850" s="2" t="s">
        <v>488</v>
      </c>
      <c r="U2850" s="2" t="s">
        <v>488</v>
      </c>
      <c r="V2850" s="2" t="s">
        <v>488</v>
      </c>
      <c r="W2850">
        <f t="shared" si="46"/>
        <v>0</v>
      </c>
    </row>
    <row r="2851" spans="1:23" x14ac:dyDescent="0.25">
      <c r="A2851" s="2" t="s">
        <v>1380</v>
      </c>
      <c r="B2851" s="2" t="s">
        <v>922</v>
      </c>
      <c r="C2851" s="2">
        <v>540043</v>
      </c>
      <c r="D2851" s="2" t="s">
        <v>667</v>
      </c>
      <c r="E2851" s="2" t="s">
        <v>27</v>
      </c>
      <c r="F2851" s="2" t="s">
        <v>115</v>
      </c>
      <c r="G2851" s="2">
        <v>4</v>
      </c>
      <c r="H2851" s="2">
        <v>0</v>
      </c>
      <c r="I2851" s="2">
        <v>0</v>
      </c>
      <c r="J2851" s="2">
        <v>0</v>
      </c>
      <c r="K2851" s="2">
        <v>0</v>
      </c>
      <c r="L2851" s="2">
        <v>0</v>
      </c>
      <c r="M2851" s="2">
        <v>0</v>
      </c>
      <c r="N2851" s="2">
        <v>0</v>
      </c>
      <c r="O2851" s="2">
        <v>0</v>
      </c>
      <c r="P2851" s="2">
        <v>0</v>
      </c>
      <c r="Q2851" s="2">
        <v>0</v>
      </c>
      <c r="R2851" s="2">
        <v>0</v>
      </c>
      <c r="S2851" s="2" t="s">
        <v>488</v>
      </c>
      <c r="T2851" s="2" t="s">
        <v>488</v>
      </c>
      <c r="U2851" s="2" t="s">
        <v>488</v>
      </c>
      <c r="V2851" s="2" t="s">
        <v>488</v>
      </c>
      <c r="W2851">
        <f t="shared" si="46"/>
        <v>0</v>
      </c>
    </row>
    <row r="2852" spans="1:23" x14ac:dyDescent="0.25">
      <c r="A2852" s="2" t="s">
        <v>1380</v>
      </c>
      <c r="B2852" s="2" t="s">
        <v>922</v>
      </c>
      <c r="C2852" s="2">
        <v>540044</v>
      </c>
      <c r="D2852" s="2" t="s">
        <v>668</v>
      </c>
      <c r="E2852" s="2" t="s">
        <v>27</v>
      </c>
      <c r="F2852" s="2" t="s">
        <v>115</v>
      </c>
      <c r="G2852" s="2">
        <v>4</v>
      </c>
      <c r="H2852" s="2">
        <v>0</v>
      </c>
      <c r="I2852" s="2">
        <v>0</v>
      </c>
      <c r="J2852" s="2">
        <v>0</v>
      </c>
      <c r="K2852" s="2">
        <v>0</v>
      </c>
      <c r="L2852" s="2">
        <v>0</v>
      </c>
      <c r="M2852" s="2">
        <v>0</v>
      </c>
      <c r="N2852" s="2">
        <v>0</v>
      </c>
      <c r="O2852" s="2">
        <v>0</v>
      </c>
      <c r="P2852" s="2">
        <v>0</v>
      </c>
      <c r="Q2852" s="2">
        <v>0</v>
      </c>
      <c r="R2852" s="2">
        <v>0</v>
      </c>
      <c r="S2852" s="2" t="s">
        <v>488</v>
      </c>
      <c r="T2852" s="2" t="s">
        <v>488</v>
      </c>
      <c r="U2852" s="2" t="s">
        <v>488</v>
      </c>
      <c r="V2852" s="2" t="s">
        <v>488</v>
      </c>
      <c r="W2852">
        <f t="shared" si="46"/>
        <v>0</v>
      </c>
    </row>
    <row r="2853" spans="1:23" x14ac:dyDescent="0.25">
      <c r="A2853" s="2" t="s">
        <v>1380</v>
      </c>
      <c r="B2853" s="2" t="s">
        <v>922</v>
      </c>
      <c r="C2853" s="2">
        <v>540045</v>
      </c>
      <c r="D2853" s="2" t="s">
        <v>669</v>
      </c>
      <c r="E2853" s="2" t="s">
        <v>27</v>
      </c>
      <c r="F2853" s="2" t="s">
        <v>115</v>
      </c>
      <c r="G2853" s="2">
        <v>4</v>
      </c>
      <c r="H2853" s="2">
        <v>0</v>
      </c>
      <c r="I2853" s="2">
        <v>0</v>
      </c>
      <c r="J2853" s="2">
        <v>0</v>
      </c>
      <c r="K2853" s="2">
        <v>0</v>
      </c>
      <c r="L2853" s="2">
        <v>0</v>
      </c>
      <c r="M2853" s="2">
        <v>0</v>
      </c>
      <c r="N2853" s="2">
        <v>0</v>
      </c>
      <c r="O2853" s="2">
        <v>0</v>
      </c>
      <c r="P2853" s="2">
        <v>0</v>
      </c>
      <c r="Q2853" s="2">
        <v>0</v>
      </c>
      <c r="R2853" s="2">
        <v>0</v>
      </c>
      <c r="S2853" s="2" t="s">
        <v>488</v>
      </c>
      <c r="T2853" s="2" t="s">
        <v>488</v>
      </c>
      <c r="U2853" s="2" t="s">
        <v>488</v>
      </c>
      <c r="V2853" s="2" t="s">
        <v>488</v>
      </c>
      <c r="W2853">
        <f t="shared" si="46"/>
        <v>0</v>
      </c>
    </row>
    <row r="2854" spans="1:23" x14ac:dyDescent="0.25">
      <c r="A2854" s="2" t="s">
        <v>1380</v>
      </c>
      <c r="B2854" s="2" t="s">
        <v>922</v>
      </c>
      <c r="C2854" s="2">
        <v>540228</v>
      </c>
      <c r="D2854" s="2" t="s">
        <v>670</v>
      </c>
      <c r="E2854" s="2" t="s">
        <v>27</v>
      </c>
      <c r="F2854" s="2" t="s">
        <v>115</v>
      </c>
      <c r="G2854" s="2">
        <v>4</v>
      </c>
      <c r="H2854" s="2">
        <v>0</v>
      </c>
      <c r="I2854" s="2">
        <v>0</v>
      </c>
      <c r="J2854" s="2">
        <v>0</v>
      </c>
      <c r="K2854" s="2">
        <v>0</v>
      </c>
      <c r="L2854" s="2">
        <v>0</v>
      </c>
      <c r="M2854" s="2">
        <v>0</v>
      </c>
      <c r="N2854" s="2">
        <v>0</v>
      </c>
      <c r="O2854" s="2">
        <v>0</v>
      </c>
      <c r="P2854" s="2">
        <v>0</v>
      </c>
      <c r="Q2854" s="2">
        <v>0</v>
      </c>
      <c r="R2854" s="2">
        <v>0</v>
      </c>
      <c r="S2854" s="2" t="s">
        <v>488</v>
      </c>
      <c r="T2854" s="2" t="s">
        <v>488</v>
      </c>
      <c r="U2854" s="2" t="s">
        <v>488</v>
      </c>
      <c r="V2854" s="2" t="s">
        <v>488</v>
      </c>
      <c r="W2854">
        <f t="shared" si="46"/>
        <v>0</v>
      </c>
    </row>
    <row r="2855" spans="1:23" x14ac:dyDescent="0.25">
      <c r="A2855" s="2" t="s">
        <v>1380</v>
      </c>
      <c r="B2855" s="2" t="s">
        <v>922</v>
      </c>
      <c r="C2855" s="2">
        <v>540243</v>
      </c>
      <c r="D2855" s="2" t="s">
        <v>671</v>
      </c>
      <c r="E2855" s="2" t="s">
        <v>27</v>
      </c>
      <c r="F2855" s="2" t="s">
        <v>115</v>
      </c>
      <c r="G2855" s="2">
        <v>4</v>
      </c>
      <c r="H2855" s="2">
        <v>0</v>
      </c>
      <c r="I2855" s="2">
        <v>0</v>
      </c>
      <c r="J2855" s="2">
        <v>0</v>
      </c>
      <c r="K2855" s="2">
        <v>0</v>
      </c>
      <c r="L2855" s="2">
        <v>0</v>
      </c>
      <c r="M2855" s="2">
        <v>0</v>
      </c>
      <c r="N2855" s="2">
        <v>0</v>
      </c>
      <c r="O2855" s="2">
        <v>0</v>
      </c>
      <c r="P2855" s="2">
        <v>0</v>
      </c>
      <c r="Q2855" s="2">
        <v>0</v>
      </c>
      <c r="R2855" s="2">
        <v>0</v>
      </c>
      <c r="S2855" s="2" t="s">
        <v>488</v>
      </c>
      <c r="T2855" s="2" t="s">
        <v>488</v>
      </c>
      <c r="U2855" s="2" t="s">
        <v>488</v>
      </c>
      <c r="V2855" s="2" t="s">
        <v>488</v>
      </c>
      <c r="W2855">
        <f t="shared" si="46"/>
        <v>0</v>
      </c>
    </row>
    <row r="2856" spans="1:23" x14ac:dyDescent="0.25">
      <c r="A2856" s="2" t="s">
        <v>1380</v>
      </c>
      <c r="B2856" s="2" t="s">
        <v>922</v>
      </c>
      <c r="C2856" s="2">
        <v>540244</v>
      </c>
      <c r="D2856" s="2" t="s">
        <v>672</v>
      </c>
      <c r="E2856" s="2" t="s">
        <v>27</v>
      </c>
      <c r="F2856" s="2" t="s">
        <v>115</v>
      </c>
      <c r="G2856" s="2">
        <v>4</v>
      </c>
      <c r="H2856" s="2">
        <v>0</v>
      </c>
      <c r="I2856" s="2">
        <v>0</v>
      </c>
      <c r="J2856" s="2">
        <v>0</v>
      </c>
      <c r="K2856" s="2">
        <v>0</v>
      </c>
      <c r="L2856" s="2">
        <v>0</v>
      </c>
      <c r="M2856" s="2">
        <v>0</v>
      </c>
      <c r="N2856" s="2">
        <v>0</v>
      </c>
      <c r="O2856" s="2">
        <v>0</v>
      </c>
      <c r="P2856" s="2">
        <v>0</v>
      </c>
      <c r="Q2856" s="2">
        <v>0</v>
      </c>
      <c r="R2856" s="2">
        <v>0</v>
      </c>
      <c r="S2856" s="2" t="s">
        <v>488</v>
      </c>
      <c r="T2856" s="2" t="s">
        <v>488</v>
      </c>
      <c r="U2856" s="2" t="s">
        <v>488</v>
      </c>
      <c r="V2856" s="2" t="s">
        <v>488</v>
      </c>
      <c r="W2856">
        <f t="shared" si="46"/>
        <v>0</v>
      </c>
    </row>
    <row r="2857" spans="1:23" x14ac:dyDescent="0.25">
      <c r="A2857" s="2" t="s">
        <v>1380</v>
      </c>
      <c r="B2857" s="2" t="s">
        <v>922</v>
      </c>
      <c r="C2857" s="2">
        <v>540281</v>
      </c>
      <c r="D2857" s="2" t="s">
        <v>673</v>
      </c>
      <c r="E2857" s="2" t="s">
        <v>27</v>
      </c>
      <c r="F2857" s="2" t="s">
        <v>115</v>
      </c>
      <c r="G2857" s="2">
        <v>4</v>
      </c>
      <c r="H2857" s="2">
        <v>0</v>
      </c>
      <c r="I2857" s="2">
        <v>0</v>
      </c>
      <c r="J2857" s="2">
        <v>0</v>
      </c>
      <c r="K2857" s="2">
        <v>0</v>
      </c>
      <c r="L2857" s="2">
        <v>0</v>
      </c>
      <c r="M2857" s="2">
        <v>0</v>
      </c>
      <c r="N2857" s="2">
        <v>0</v>
      </c>
      <c r="O2857" s="2">
        <v>0</v>
      </c>
      <c r="P2857" s="2">
        <v>0</v>
      </c>
      <c r="Q2857" s="2">
        <v>0</v>
      </c>
      <c r="R2857" s="2">
        <v>0</v>
      </c>
      <c r="S2857" s="2" t="s">
        <v>488</v>
      </c>
      <c r="T2857" s="2" t="s">
        <v>488</v>
      </c>
      <c r="U2857" s="2" t="s">
        <v>488</v>
      </c>
      <c r="V2857" s="2" t="s">
        <v>488</v>
      </c>
      <c r="W2857">
        <f t="shared" si="46"/>
        <v>0</v>
      </c>
    </row>
    <row r="2858" spans="1:23" x14ac:dyDescent="0.25">
      <c r="A2858" s="255" t="s">
        <v>1380</v>
      </c>
      <c r="B2858" s="255" t="s">
        <v>922</v>
      </c>
      <c r="C2858" s="255"/>
      <c r="D2858" s="255"/>
      <c r="E2858" s="255" t="s">
        <v>27</v>
      </c>
      <c r="F2858" s="255"/>
      <c r="G2858" s="255"/>
      <c r="H2858" s="255">
        <v>0</v>
      </c>
      <c r="I2858" s="255">
        <v>0</v>
      </c>
      <c r="J2858" s="255">
        <v>0</v>
      </c>
      <c r="K2858" s="255">
        <v>0</v>
      </c>
      <c r="L2858" s="255">
        <v>0</v>
      </c>
      <c r="M2858" s="255">
        <v>0</v>
      </c>
      <c r="N2858" s="255">
        <v>0</v>
      </c>
      <c r="O2858" s="255">
        <v>0</v>
      </c>
      <c r="P2858" s="255">
        <v>0</v>
      </c>
      <c r="Q2858" s="255">
        <v>0</v>
      </c>
      <c r="R2858" s="255">
        <v>0</v>
      </c>
      <c r="S2858" s="255" t="s">
        <v>488</v>
      </c>
      <c r="T2858" s="255" t="s">
        <v>488</v>
      </c>
      <c r="U2858" s="255" t="s">
        <v>488</v>
      </c>
      <c r="V2858" s="255" t="s">
        <v>488</v>
      </c>
      <c r="W2858">
        <f t="shared" si="46"/>
        <v>0</v>
      </c>
    </row>
    <row r="2859" spans="1:23" x14ac:dyDescent="0.25">
      <c r="A2859" s="2" t="s">
        <v>1380</v>
      </c>
      <c r="B2859" s="2" t="s">
        <v>922</v>
      </c>
      <c r="C2859" s="2">
        <v>540047</v>
      </c>
      <c r="D2859" s="2" t="s">
        <v>674</v>
      </c>
      <c r="E2859" s="2" t="s">
        <v>29</v>
      </c>
      <c r="F2859" s="2" t="s">
        <v>5</v>
      </c>
      <c r="G2859" s="2">
        <v>11</v>
      </c>
      <c r="H2859" s="2">
        <v>0</v>
      </c>
      <c r="I2859" s="2">
        <v>0</v>
      </c>
      <c r="J2859" s="2">
        <v>0</v>
      </c>
      <c r="K2859" s="2">
        <v>0</v>
      </c>
      <c r="L2859" s="2">
        <v>0</v>
      </c>
      <c r="M2859" s="2">
        <v>0</v>
      </c>
      <c r="N2859" s="2">
        <v>0</v>
      </c>
      <c r="O2859" s="2">
        <v>0</v>
      </c>
      <c r="P2859" s="2">
        <v>0</v>
      </c>
      <c r="Q2859" s="2">
        <v>0</v>
      </c>
      <c r="R2859" s="2">
        <v>0</v>
      </c>
      <c r="S2859" s="2" t="s">
        <v>488</v>
      </c>
      <c r="T2859" s="2" t="s">
        <v>488</v>
      </c>
      <c r="U2859" s="2" t="s">
        <v>488</v>
      </c>
      <c r="V2859" s="2" t="s">
        <v>488</v>
      </c>
      <c r="W2859">
        <f t="shared" si="46"/>
        <v>0</v>
      </c>
    </row>
    <row r="2860" spans="1:23" x14ac:dyDescent="0.25">
      <c r="A2860" s="2" t="s">
        <v>1380</v>
      </c>
      <c r="B2860" s="2" t="s">
        <v>922</v>
      </c>
      <c r="C2860" s="2">
        <v>540014</v>
      </c>
      <c r="D2860" s="2" t="s">
        <v>645</v>
      </c>
      <c r="E2860" s="2" t="s">
        <v>29</v>
      </c>
      <c r="F2860" s="2" t="s">
        <v>115</v>
      </c>
      <c r="G2860" s="2">
        <v>11</v>
      </c>
      <c r="H2860" s="2">
        <v>0</v>
      </c>
      <c r="I2860" s="2">
        <v>0</v>
      </c>
      <c r="J2860" s="2">
        <v>0</v>
      </c>
      <c r="K2860" s="2">
        <v>0</v>
      </c>
      <c r="L2860" s="2">
        <v>0</v>
      </c>
      <c r="M2860" s="2">
        <v>0</v>
      </c>
      <c r="N2860" s="2">
        <v>0</v>
      </c>
      <c r="O2860" s="2">
        <v>0</v>
      </c>
      <c r="P2860" s="2">
        <v>0</v>
      </c>
      <c r="Q2860" s="2">
        <v>0</v>
      </c>
      <c r="R2860" s="2">
        <v>0</v>
      </c>
      <c r="S2860" s="2" t="s">
        <v>488</v>
      </c>
      <c r="T2860" s="2" t="s">
        <v>488</v>
      </c>
      <c r="U2860" s="2" t="s">
        <v>488</v>
      </c>
      <c r="V2860" s="2" t="s">
        <v>488</v>
      </c>
      <c r="W2860">
        <f t="shared" si="46"/>
        <v>0</v>
      </c>
    </row>
    <row r="2861" spans="1:23" x14ac:dyDescent="0.25">
      <c r="A2861" s="2" t="s">
        <v>1380</v>
      </c>
      <c r="B2861" s="2" t="s">
        <v>922</v>
      </c>
      <c r="C2861" s="2">
        <v>540048</v>
      </c>
      <c r="D2861" s="2" t="s">
        <v>675</v>
      </c>
      <c r="E2861" s="2" t="s">
        <v>29</v>
      </c>
      <c r="F2861" s="2" t="s">
        <v>115</v>
      </c>
      <c r="G2861" s="2">
        <v>11</v>
      </c>
      <c r="H2861" s="2">
        <v>0</v>
      </c>
      <c r="I2861" s="2">
        <v>0</v>
      </c>
      <c r="J2861" s="2">
        <v>0</v>
      </c>
      <c r="K2861" s="2">
        <v>0</v>
      </c>
      <c r="L2861" s="2">
        <v>0</v>
      </c>
      <c r="M2861" s="2">
        <v>0</v>
      </c>
      <c r="N2861" s="2">
        <v>0</v>
      </c>
      <c r="O2861" s="2">
        <v>0</v>
      </c>
      <c r="P2861" s="2">
        <v>0</v>
      </c>
      <c r="Q2861" s="2">
        <v>0</v>
      </c>
      <c r="R2861" s="2">
        <v>0</v>
      </c>
      <c r="S2861" s="2" t="s">
        <v>488</v>
      </c>
      <c r="T2861" s="2" t="s">
        <v>488</v>
      </c>
      <c r="U2861" s="2" t="s">
        <v>488</v>
      </c>
      <c r="V2861" s="2" t="s">
        <v>488</v>
      </c>
      <c r="W2861">
        <f t="shared" si="46"/>
        <v>0</v>
      </c>
    </row>
    <row r="2862" spans="1:23" x14ac:dyDescent="0.25">
      <c r="A2862" s="2" t="s">
        <v>1380</v>
      </c>
      <c r="B2862" s="2" t="s">
        <v>922</v>
      </c>
      <c r="C2862" s="2">
        <v>540049</v>
      </c>
      <c r="D2862" s="2" t="s">
        <v>676</v>
      </c>
      <c r="E2862" s="2" t="s">
        <v>29</v>
      </c>
      <c r="F2862" s="2" t="s">
        <v>115</v>
      </c>
      <c r="G2862" s="2">
        <v>11</v>
      </c>
      <c r="H2862" s="2">
        <v>0</v>
      </c>
      <c r="I2862" s="2">
        <v>0</v>
      </c>
      <c r="J2862" s="2">
        <v>0</v>
      </c>
      <c r="K2862" s="2">
        <v>0</v>
      </c>
      <c r="L2862" s="2">
        <v>0</v>
      </c>
      <c r="M2862" s="2">
        <v>0</v>
      </c>
      <c r="N2862" s="2">
        <v>0</v>
      </c>
      <c r="O2862" s="2">
        <v>0</v>
      </c>
      <c r="P2862" s="2">
        <v>0</v>
      </c>
      <c r="Q2862" s="2">
        <v>0</v>
      </c>
      <c r="R2862" s="2">
        <v>0</v>
      </c>
      <c r="S2862" s="2" t="s">
        <v>488</v>
      </c>
      <c r="T2862" s="2" t="s">
        <v>488</v>
      </c>
      <c r="U2862" s="2" t="s">
        <v>488</v>
      </c>
      <c r="V2862" s="2" t="s">
        <v>488</v>
      </c>
      <c r="W2862">
        <f t="shared" si="46"/>
        <v>0</v>
      </c>
    </row>
    <row r="2863" spans="1:23" x14ac:dyDescent="0.25">
      <c r="A2863" s="255" t="s">
        <v>1380</v>
      </c>
      <c r="B2863" s="255" t="s">
        <v>922</v>
      </c>
      <c r="C2863" s="255"/>
      <c r="D2863" s="255"/>
      <c r="E2863" s="255" t="s">
        <v>29</v>
      </c>
      <c r="F2863" s="255"/>
      <c r="G2863" s="255"/>
      <c r="H2863" s="255">
        <v>0</v>
      </c>
      <c r="I2863" s="255">
        <v>0</v>
      </c>
      <c r="J2863" s="255">
        <v>0</v>
      </c>
      <c r="K2863" s="255">
        <v>0</v>
      </c>
      <c r="L2863" s="255">
        <v>0</v>
      </c>
      <c r="M2863" s="255">
        <v>0</v>
      </c>
      <c r="N2863" s="255">
        <v>0</v>
      </c>
      <c r="O2863" s="255">
        <v>0</v>
      </c>
      <c r="P2863" s="255">
        <v>0</v>
      </c>
      <c r="Q2863" s="255">
        <v>0</v>
      </c>
      <c r="R2863" s="255">
        <v>0</v>
      </c>
      <c r="S2863" s="255" t="s">
        <v>488</v>
      </c>
      <c r="T2863" s="255" t="s">
        <v>488</v>
      </c>
      <c r="U2863" s="255" t="s">
        <v>488</v>
      </c>
      <c r="V2863" s="255" t="s">
        <v>488</v>
      </c>
      <c r="W2863">
        <f t="shared" si="46"/>
        <v>0</v>
      </c>
    </row>
    <row r="2864" spans="1:23" x14ac:dyDescent="0.25">
      <c r="A2864" s="2" t="s">
        <v>1380</v>
      </c>
      <c r="B2864" s="2" t="s">
        <v>922</v>
      </c>
      <c r="C2864" s="2">
        <v>540051</v>
      </c>
      <c r="D2864" s="2" t="s">
        <v>677</v>
      </c>
      <c r="E2864" s="2" t="s">
        <v>31</v>
      </c>
      <c r="F2864" s="2" t="s">
        <v>5</v>
      </c>
      <c r="G2864" s="2">
        <v>8</v>
      </c>
      <c r="H2864" s="2">
        <v>0</v>
      </c>
      <c r="I2864" s="2">
        <v>0</v>
      </c>
      <c r="J2864" s="2">
        <v>0</v>
      </c>
      <c r="K2864" s="2">
        <v>0</v>
      </c>
      <c r="L2864" s="2">
        <v>0</v>
      </c>
      <c r="M2864" s="2">
        <v>0</v>
      </c>
      <c r="N2864" s="2">
        <v>0</v>
      </c>
      <c r="O2864" s="2">
        <v>0</v>
      </c>
      <c r="P2864" s="2">
        <v>0</v>
      </c>
      <c r="Q2864" s="2" t="s">
        <v>488</v>
      </c>
      <c r="R2864" s="2" t="s">
        <v>488</v>
      </c>
      <c r="S2864" s="2" t="s">
        <v>488</v>
      </c>
      <c r="T2864" s="2" t="s">
        <v>488</v>
      </c>
      <c r="U2864" s="2" t="s">
        <v>488</v>
      </c>
      <c r="V2864" s="2" t="s">
        <v>488</v>
      </c>
      <c r="W2864">
        <f t="shared" si="46"/>
        <v>0</v>
      </c>
    </row>
    <row r="2865" spans="1:23" x14ac:dyDescent="0.25">
      <c r="A2865" s="2" t="s">
        <v>1380</v>
      </c>
      <c r="B2865" s="2" t="s">
        <v>922</v>
      </c>
      <c r="C2865" s="2">
        <v>540052</v>
      </c>
      <c r="D2865" s="2" t="s">
        <v>678</v>
      </c>
      <c r="E2865" s="2" t="s">
        <v>31</v>
      </c>
      <c r="F2865" s="2" t="s">
        <v>115</v>
      </c>
      <c r="G2865" s="2">
        <v>8</v>
      </c>
      <c r="H2865" s="2">
        <v>0</v>
      </c>
      <c r="I2865" s="2">
        <v>0</v>
      </c>
      <c r="J2865" s="2">
        <v>0</v>
      </c>
      <c r="K2865" s="2">
        <v>0</v>
      </c>
      <c r="L2865" s="2">
        <v>0</v>
      </c>
      <c r="M2865" s="2">
        <v>0</v>
      </c>
      <c r="N2865" s="2">
        <v>0</v>
      </c>
      <c r="O2865" s="2">
        <v>0</v>
      </c>
      <c r="P2865" s="2">
        <v>0</v>
      </c>
      <c r="Q2865" s="2" t="s">
        <v>488</v>
      </c>
      <c r="R2865" s="2" t="s">
        <v>488</v>
      </c>
      <c r="S2865" s="2" t="s">
        <v>488</v>
      </c>
      <c r="T2865" s="2" t="s">
        <v>488</v>
      </c>
      <c r="U2865" s="2" t="s">
        <v>488</v>
      </c>
      <c r="V2865" s="2" t="s">
        <v>488</v>
      </c>
      <c r="W2865">
        <f t="shared" si="46"/>
        <v>0</v>
      </c>
    </row>
    <row r="2866" spans="1:23" x14ac:dyDescent="0.25">
      <c r="A2866" s="2" t="s">
        <v>1380</v>
      </c>
      <c r="B2866" s="2" t="s">
        <v>922</v>
      </c>
      <c r="C2866" s="2">
        <v>540245</v>
      </c>
      <c r="D2866" s="2" t="s">
        <v>679</v>
      </c>
      <c r="E2866" s="2" t="s">
        <v>31</v>
      </c>
      <c r="F2866" s="2" t="s">
        <v>115</v>
      </c>
      <c r="G2866" s="2">
        <v>8</v>
      </c>
      <c r="H2866" s="2">
        <v>0</v>
      </c>
      <c r="I2866" s="2">
        <v>0</v>
      </c>
      <c r="J2866" s="2">
        <v>0</v>
      </c>
      <c r="K2866" s="2">
        <v>0</v>
      </c>
      <c r="L2866" s="2">
        <v>0</v>
      </c>
      <c r="M2866" s="2">
        <v>0</v>
      </c>
      <c r="N2866" s="2">
        <v>0</v>
      </c>
      <c r="O2866" s="2">
        <v>0</v>
      </c>
      <c r="P2866" s="2">
        <v>0</v>
      </c>
      <c r="Q2866" s="2" t="s">
        <v>488</v>
      </c>
      <c r="R2866" s="2" t="s">
        <v>488</v>
      </c>
      <c r="S2866" s="2" t="s">
        <v>488</v>
      </c>
      <c r="T2866" s="2" t="s">
        <v>488</v>
      </c>
      <c r="U2866" s="2" t="s">
        <v>488</v>
      </c>
      <c r="V2866" s="2" t="s">
        <v>488</v>
      </c>
      <c r="W2866">
        <f t="shared" si="46"/>
        <v>0</v>
      </c>
    </row>
    <row r="2867" spans="1:23" x14ac:dyDescent="0.25">
      <c r="A2867" s="255" t="s">
        <v>1380</v>
      </c>
      <c r="B2867" s="255" t="s">
        <v>922</v>
      </c>
      <c r="C2867" s="255"/>
      <c r="D2867" s="255"/>
      <c r="E2867" s="255" t="s">
        <v>31</v>
      </c>
      <c r="F2867" s="255"/>
      <c r="G2867" s="255"/>
      <c r="H2867" s="255">
        <v>0</v>
      </c>
      <c r="I2867" s="255">
        <v>0</v>
      </c>
      <c r="J2867" s="255">
        <v>0</v>
      </c>
      <c r="K2867" s="255">
        <v>0</v>
      </c>
      <c r="L2867" s="255">
        <v>0</v>
      </c>
      <c r="M2867" s="255">
        <v>0</v>
      </c>
      <c r="N2867" s="255">
        <v>0</v>
      </c>
      <c r="O2867" s="255">
        <v>0</v>
      </c>
      <c r="P2867" s="255">
        <v>0</v>
      </c>
      <c r="Q2867" s="255" t="s">
        <v>488</v>
      </c>
      <c r="R2867" s="255" t="s">
        <v>488</v>
      </c>
      <c r="S2867" s="255" t="s">
        <v>488</v>
      </c>
      <c r="T2867" s="255" t="s">
        <v>488</v>
      </c>
      <c r="U2867" s="255" t="s">
        <v>488</v>
      </c>
      <c r="V2867" s="255" t="s">
        <v>488</v>
      </c>
      <c r="W2867">
        <f t="shared" si="46"/>
        <v>0</v>
      </c>
    </row>
    <row r="2868" spans="1:23" x14ac:dyDescent="0.25">
      <c r="A2868" s="2" t="s">
        <v>1380</v>
      </c>
      <c r="B2868" s="2" t="s">
        <v>922</v>
      </c>
      <c r="C2868" s="2">
        <v>540053</v>
      </c>
      <c r="D2868" s="2" t="s">
        <v>680</v>
      </c>
      <c r="E2868" s="2" t="s">
        <v>33</v>
      </c>
      <c r="F2868" s="2" t="s">
        <v>5</v>
      </c>
      <c r="G2868" s="2">
        <v>6</v>
      </c>
      <c r="H2868" s="2">
        <v>0</v>
      </c>
      <c r="I2868" s="2">
        <v>0</v>
      </c>
      <c r="J2868" s="2">
        <v>0</v>
      </c>
      <c r="K2868" s="2">
        <v>0</v>
      </c>
      <c r="L2868" s="2">
        <v>0</v>
      </c>
      <c r="M2868" s="2">
        <v>0</v>
      </c>
      <c r="N2868" s="2">
        <v>0</v>
      </c>
      <c r="O2868" s="2">
        <v>0</v>
      </c>
      <c r="P2868" s="2">
        <v>0</v>
      </c>
      <c r="Q2868" s="2">
        <v>0</v>
      </c>
      <c r="R2868" s="2">
        <v>0</v>
      </c>
      <c r="S2868" s="2" t="s">
        <v>488</v>
      </c>
      <c r="T2868" s="2" t="s">
        <v>488</v>
      </c>
      <c r="U2868" s="2" t="s">
        <v>488</v>
      </c>
      <c r="V2868" s="2" t="s">
        <v>488</v>
      </c>
      <c r="W2868">
        <f t="shared" si="46"/>
        <v>0</v>
      </c>
    </row>
    <row r="2869" spans="1:23" x14ac:dyDescent="0.25">
      <c r="A2869" s="2" t="s">
        <v>1380</v>
      </c>
      <c r="B2869" s="2" t="s">
        <v>922</v>
      </c>
      <c r="C2869" s="2">
        <v>540054</v>
      </c>
      <c r="D2869" s="2" t="s">
        <v>681</v>
      </c>
      <c r="E2869" s="2" t="s">
        <v>33</v>
      </c>
      <c r="F2869" s="2" t="s">
        <v>115</v>
      </c>
      <c r="G2869" s="2">
        <v>6</v>
      </c>
      <c r="H2869" s="2">
        <v>0</v>
      </c>
      <c r="I2869" s="2">
        <v>0</v>
      </c>
      <c r="J2869" s="2">
        <v>0</v>
      </c>
      <c r="K2869" s="2">
        <v>0</v>
      </c>
      <c r="L2869" s="2">
        <v>0</v>
      </c>
      <c r="M2869" s="2">
        <v>0</v>
      </c>
      <c r="N2869" s="2">
        <v>0</v>
      </c>
      <c r="O2869" s="2">
        <v>0</v>
      </c>
      <c r="P2869" s="2">
        <v>0</v>
      </c>
      <c r="Q2869" s="2">
        <v>0</v>
      </c>
      <c r="R2869" s="2">
        <v>0</v>
      </c>
      <c r="S2869" s="2" t="s">
        <v>488</v>
      </c>
      <c r="T2869" s="2" t="s">
        <v>488</v>
      </c>
      <c r="U2869" s="2" t="s">
        <v>488</v>
      </c>
      <c r="V2869" s="2" t="s">
        <v>488</v>
      </c>
      <c r="W2869">
        <f t="shared" si="46"/>
        <v>0</v>
      </c>
    </row>
    <row r="2870" spans="1:23" x14ac:dyDescent="0.25">
      <c r="A2870" s="2" t="s">
        <v>1380</v>
      </c>
      <c r="B2870" s="2" t="s">
        <v>922</v>
      </c>
      <c r="C2870" s="2">
        <v>540055</v>
      </c>
      <c r="D2870" s="2" t="s">
        <v>682</v>
      </c>
      <c r="E2870" s="2" t="s">
        <v>33</v>
      </c>
      <c r="F2870" s="2" t="s">
        <v>115</v>
      </c>
      <c r="G2870" s="2">
        <v>6</v>
      </c>
      <c r="H2870" s="2">
        <v>0</v>
      </c>
      <c r="I2870" s="2">
        <v>0</v>
      </c>
      <c r="J2870" s="2">
        <v>0</v>
      </c>
      <c r="K2870" s="2">
        <v>0</v>
      </c>
      <c r="L2870" s="2">
        <v>0</v>
      </c>
      <c r="M2870" s="2">
        <v>0</v>
      </c>
      <c r="N2870" s="2">
        <v>0</v>
      </c>
      <c r="O2870" s="2">
        <v>0</v>
      </c>
      <c r="P2870" s="2">
        <v>0</v>
      </c>
      <c r="Q2870" s="2">
        <v>0</v>
      </c>
      <c r="R2870" s="2">
        <v>0</v>
      </c>
      <c r="S2870" s="2" t="s">
        <v>488</v>
      </c>
      <c r="T2870" s="2" t="s">
        <v>488</v>
      </c>
      <c r="U2870" s="2" t="s">
        <v>488</v>
      </c>
      <c r="V2870" s="2" t="s">
        <v>488</v>
      </c>
      <c r="W2870">
        <f t="shared" si="46"/>
        <v>0</v>
      </c>
    </row>
    <row r="2871" spans="1:23" x14ac:dyDescent="0.25">
      <c r="A2871" s="2" t="s">
        <v>1380</v>
      </c>
      <c r="B2871" s="2" t="s">
        <v>922</v>
      </c>
      <c r="C2871" s="2">
        <v>540056</v>
      </c>
      <c r="D2871" s="2" t="s">
        <v>683</v>
      </c>
      <c r="E2871" s="2" t="s">
        <v>33</v>
      </c>
      <c r="F2871" s="2" t="s">
        <v>115</v>
      </c>
      <c r="G2871" s="2">
        <v>6</v>
      </c>
      <c r="H2871" s="2">
        <v>0</v>
      </c>
      <c r="I2871" s="2">
        <v>0</v>
      </c>
      <c r="J2871" s="2">
        <v>0</v>
      </c>
      <c r="K2871" s="2">
        <v>0</v>
      </c>
      <c r="L2871" s="2">
        <v>0</v>
      </c>
      <c r="M2871" s="2">
        <v>0</v>
      </c>
      <c r="N2871" s="2">
        <v>0</v>
      </c>
      <c r="O2871" s="2">
        <v>0</v>
      </c>
      <c r="P2871" s="2">
        <v>0</v>
      </c>
      <c r="Q2871" s="2">
        <v>0</v>
      </c>
      <c r="R2871" s="2">
        <v>0</v>
      </c>
      <c r="S2871" s="2" t="s">
        <v>488</v>
      </c>
      <c r="T2871" s="2" t="s">
        <v>488</v>
      </c>
      <c r="U2871" s="2" t="s">
        <v>488</v>
      </c>
      <c r="V2871" s="2" t="s">
        <v>488</v>
      </c>
      <c r="W2871">
        <f t="shared" si="46"/>
        <v>0</v>
      </c>
    </row>
    <row r="2872" spans="1:23" x14ac:dyDescent="0.25">
      <c r="A2872" s="2" t="s">
        <v>1380</v>
      </c>
      <c r="B2872" s="2" t="s">
        <v>922</v>
      </c>
      <c r="C2872" s="2">
        <v>540057</v>
      </c>
      <c r="D2872" s="2" t="s">
        <v>684</v>
      </c>
      <c r="E2872" s="2" t="s">
        <v>33</v>
      </c>
      <c r="F2872" s="2" t="s">
        <v>115</v>
      </c>
      <c r="G2872" s="2">
        <v>6</v>
      </c>
      <c r="H2872" s="2">
        <v>0</v>
      </c>
      <c r="I2872" s="2">
        <v>0</v>
      </c>
      <c r="J2872" s="2">
        <v>0</v>
      </c>
      <c r="K2872" s="2">
        <v>0</v>
      </c>
      <c r="L2872" s="2">
        <v>0</v>
      </c>
      <c r="M2872" s="2">
        <v>0</v>
      </c>
      <c r="N2872" s="2">
        <v>0</v>
      </c>
      <c r="O2872" s="2">
        <v>0</v>
      </c>
      <c r="P2872" s="2">
        <v>0</v>
      </c>
      <c r="Q2872" s="2">
        <v>0</v>
      </c>
      <c r="R2872" s="2">
        <v>0</v>
      </c>
      <c r="S2872" s="2" t="s">
        <v>488</v>
      </c>
      <c r="T2872" s="2" t="s">
        <v>488</v>
      </c>
      <c r="U2872" s="2" t="s">
        <v>488</v>
      </c>
      <c r="V2872" s="2" t="s">
        <v>488</v>
      </c>
      <c r="W2872">
        <f t="shared" si="46"/>
        <v>0</v>
      </c>
    </row>
    <row r="2873" spans="1:23" x14ac:dyDescent="0.25">
      <c r="A2873" s="2" t="s">
        <v>1380</v>
      </c>
      <c r="B2873" s="2" t="s">
        <v>922</v>
      </c>
      <c r="C2873" s="2">
        <v>540058</v>
      </c>
      <c r="D2873" s="2" t="s">
        <v>685</v>
      </c>
      <c r="E2873" s="2" t="s">
        <v>33</v>
      </c>
      <c r="F2873" s="2" t="s">
        <v>115</v>
      </c>
      <c r="G2873" s="2">
        <v>6</v>
      </c>
      <c r="H2873" s="2">
        <v>0</v>
      </c>
      <c r="I2873" s="2">
        <v>0</v>
      </c>
      <c r="J2873" s="2">
        <v>0</v>
      </c>
      <c r="K2873" s="2">
        <v>0</v>
      </c>
      <c r="L2873" s="2">
        <v>0</v>
      </c>
      <c r="M2873" s="2">
        <v>0</v>
      </c>
      <c r="N2873" s="2">
        <v>0</v>
      </c>
      <c r="O2873" s="2">
        <v>0</v>
      </c>
      <c r="P2873" s="2">
        <v>0</v>
      </c>
      <c r="Q2873" s="2">
        <v>0</v>
      </c>
      <c r="R2873" s="2">
        <v>0</v>
      </c>
      <c r="S2873" s="2" t="s">
        <v>488</v>
      </c>
      <c r="T2873" s="2" t="s">
        <v>488</v>
      </c>
      <c r="U2873" s="2" t="s">
        <v>488</v>
      </c>
      <c r="V2873" s="2" t="s">
        <v>488</v>
      </c>
      <c r="W2873">
        <f t="shared" si="46"/>
        <v>0</v>
      </c>
    </row>
    <row r="2874" spans="1:23" x14ac:dyDescent="0.25">
      <c r="A2874" s="2" t="s">
        <v>1380</v>
      </c>
      <c r="B2874" s="2" t="s">
        <v>922</v>
      </c>
      <c r="C2874" s="2">
        <v>540059</v>
      </c>
      <c r="D2874" s="2" t="s">
        <v>686</v>
      </c>
      <c r="E2874" s="2" t="s">
        <v>33</v>
      </c>
      <c r="F2874" s="2" t="s">
        <v>115</v>
      </c>
      <c r="G2874" s="2">
        <v>6</v>
      </c>
      <c r="H2874" s="2">
        <v>0</v>
      </c>
      <c r="I2874" s="2">
        <v>0</v>
      </c>
      <c r="J2874" s="2">
        <v>0</v>
      </c>
      <c r="K2874" s="2">
        <v>0</v>
      </c>
      <c r="L2874" s="2">
        <v>0</v>
      </c>
      <c r="M2874" s="2">
        <v>0</v>
      </c>
      <c r="N2874" s="2">
        <v>0</v>
      </c>
      <c r="O2874" s="2">
        <v>0</v>
      </c>
      <c r="P2874" s="2">
        <v>0</v>
      </c>
      <c r="Q2874" s="2">
        <v>0</v>
      </c>
      <c r="R2874" s="2">
        <v>0</v>
      </c>
      <c r="S2874" s="2" t="s">
        <v>488</v>
      </c>
      <c r="T2874" s="2" t="s">
        <v>488</v>
      </c>
      <c r="U2874" s="2" t="s">
        <v>488</v>
      </c>
      <c r="V2874" s="2" t="s">
        <v>488</v>
      </c>
      <c r="W2874">
        <f t="shared" si="46"/>
        <v>0</v>
      </c>
    </row>
    <row r="2875" spans="1:23" x14ac:dyDescent="0.25">
      <c r="A2875" s="2" t="s">
        <v>1380</v>
      </c>
      <c r="B2875" s="2" t="s">
        <v>922</v>
      </c>
      <c r="C2875" s="2">
        <v>540060</v>
      </c>
      <c r="D2875" s="2" t="s">
        <v>687</v>
      </c>
      <c r="E2875" s="2" t="s">
        <v>33</v>
      </c>
      <c r="F2875" s="2" t="s">
        <v>115</v>
      </c>
      <c r="G2875" s="2">
        <v>6</v>
      </c>
      <c r="H2875" s="2">
        <v>0</v>
      </c>
      <c r="I2875" s="2">
        <v>0</v>
      </c>
      <c r="J2875" s="2">
        <v>0</v>
      </c>
      <c r="K2875" s="2">
        <v>0</v>
      </c>
      <c r="L2875" s="2">
        <v>0</v>
      </c>
      <c r="M2875" s="2">
        <v>0</v>
      </c>
      <c r="N2875" s="2">
        <v>0</v>
      </c>
      <c r="O2875" s="2">
        <v>0</v>
      </c>
      <c r="P2875" s="2">
        <v>0</v>
      </c>
      <c r="Q2875" s="2">
        <v>0</v>
      </c>
      <c r="R2875" s="2">
        <v>0</v>
      </c>
      <c r="S2875" s="2" t="s">
        <v>488</v>
      </c>
      <c r="T2875" s="2" t="s">
        <v>488</v>
      </c>
      <c r="U2875" s="2" t="s">
        <v>488</v>
      </c>
      <c r="V2875" s="2" t="s">
        <v>488</v>
      </c>
      <c r="W2875">
        <f t="shared" si="46"/>
        <v>0</v>
      </c>
    </row>
    <row r="2876" spans="1:23" x14ac:dyDescent="0.25">
      <c r="A2876" s="2" t="s">
        <v>1380</v>
      </c>
      <c r="B2876" s="2" t="s">
        <v>922</v>
      </c>
      <c r="C2876" s="2">
        <v>540061</v>
      </c>
      <c r="D2876" s="2" t="s">
        <v>688</v>
      </c>
      <c r="E2876" s="2" t="s">
        <v>33</v>
      </c>
      <c r="F2876" s="2" t="s">
        <v>115</v>
      </c>
      <c r="G2876" s="2">
        <v>6</v>
      </c>
      <c r="H2876" s="2">
        <v>0</v>
      </c>
      <c r="I2876" s="2">
        <v>0</v>
      </c>
      <c r="J2876" s="2">
        <v>0</v>
      </c>
      <c r="K2876" s="2">
        <v>0</v>
      </c>
      <c r="L2876" s="2">
        <v>0</v>
      </c>
      <c r="M2876" s="2">
        <v>0</v>
      </c>
      <c r="N2876" s="2">
        <v>0</v>
      </c>
      <c r="O2876" s="2">
        <v>0</v>
      </c>
      <c r="P2876" s="2">
        <v>0</v>
      </c>
      <c r="Q2876" s="2">
        <v>0</v>
      </c>
      <c r="R2876" s="2">
        <v>0</v>
      </c>
      <c r="S2876" s="2" t="s">
        <v>488</v>
      </c>
      <c r="T2876" s="2" t="s">
        <v>488</v>
      </c>
      <c r="U2876" s="2" t="s">
        <v>488</v>
      </c>
      <c r="V2876" s="2" t="s">
        <v>488</v>
      </c>
      <c r="W2876">
        <f t="shared" si="46"/>
        <v>0</v>
      </c>
    </row>
    <row r="2877" spans="1:23" x14ac:dyDescent="0.25">
      <c r="A2877" s="2" t="s">
        <v>1380</v>
      </c>
      <c r="B2877" s="2" t="s">
        <v>922</v>
      </c>
      <c r="C2877" s="2">
        <v>540062</v>
      </c>
      <c r="D2877" s="2" t="s">
        <v>689</v>
      </c>
      <c r="E2877" s="2" t="s">
        <v>33</v>
      </c>
      <c r="F2877" s="2" t="s">
        <v>115</v>
      </c>
      <c r="G2877" s="2">
        <v>6</v>
      </c>
      <c r="H2877" s="2">
        <v>0</v>
      </c>
      <c r="I2877" s="2">
        <v>0</v>
      </c>
      <c r="J2877" s="2">
        <v>0</v>
      </c>
      <c r="K2877" s="2">
        <v>0</v>
      </c>
      <c r="L2877" s="2">
        <v>0</v>
      </c>
      <c r="M2877" s="2">
        <v>0</v>
      </c>
      <c r="N2877" s="2">
        <v>0</v>
      </c>
      <c r="O2877" s="2">
        <v>0</v>
      </c>
      <c r="P2877" s="2">
        <v>0</v>
      </c>
      <c r="Q2877" s="2">
        <v>0</v>
      </c>
      <c r="R2877" s="2">
        <v>0</v>
      </c>
      <c r="S2877" s="2" t="s">
        <v>488</v>
      </c>
      <c r="T2877" s="2" t="s">
        <v>488</v>
      </c>
      <c r="U2877" s="2" t="s">
        <v>488</v>
      </c>
      <c r="V2877" s="2" t="s">
        <v>488</v>
      </c>
      <c r="W2877">
        <f t="shared" si="46"/>
        <v>0</v>
      </c>
    </row>
    <row r="2878" spans="1:23" x14ac:dyDescent="0.25">
      <c r="A2878" s="2" t="s">
        <v>1380</v>
      </c>
      <c r="B2878" s="2" t="s">
        <v>922</v>
      </c>
      <c r="C2878" s="2">
        <v>540242</v>
      </c>
      <c r="D2878" s="2" t="s">
        <v>690</v>
      </c>
      <c r="E2878" s="2" t="s">
        <v>33</v>
      </c>
      <c r="F2878" s="2" t="s">
        <v>115</v>
      </c>
      <c r="G2878" s="2">
        <v>6</v>
      </c>
      <c r="H2878" s="2">
        <v>0</v>
      </c>
      <c r="I2878" s="2">
        <v>0</v>
      </c>
      <c r="J2878" s="2">
        <v>0</v>
      </c>
      <c r="K2878" s="2">
        <v>0</v>
      </c>
      <c r="L2878" s="2">
        <v>0</v>
      </c>
      <c r="M2878" s="2">
        <v>0</v>
      </c>
      <c r="N2878" s="2">
        <v>0</v>
      </c>
      <c r="O2878" s="2">
        <v>0</v>
      </c>
      <c r="P2878" s="2">
        <v>0</v>
      </c>
      <c r="Q2878" s="2">
        <v>0</v>
      </c>
      <c r="R2878" s="2">
        <v>0</v>
      </c>
      <c r="S2878" s="2" t="s">
        <v>488</v>
      </c>
      <c r="T2878" s="2" t="s">
        <v>488</v>
      </c>
      <c r="U2878" s="2" t="s">
        <v>488</v>
      </c>
      <c r="V2878" s="2" t="s">
        <v>488</v>
      </c>
      <c r="W2878">
        <f t="shared" si="46"/>
        <v>0</v>
      </c>
    </row>
    <row r="2879" spans="1:23" x14ac:dyDescent="0.25">
      <c r="A2879" s="255" t="s">
        <v>1380</v>
      </c>
      <c r="B2879" s="255" t="s">
        <v>922</v>
      </c>
      <c r="C2879" s="255"/>
      <c r="D2879" s="255"/>
      <c r="E2879" s="255" t="s">
        <v>33</v>
      </c>
      <c r="F2879" s="255"/>
      <c r="G2879" s="255"/>
      <c r="H2879" s="255">
        <v>0</v>
      </c>
      <c r="I2879" s="255">
        <v>0</v>
      </c>
      <c r="J2879" s="255">
        <v>0</v>
      </c>
      <c r="K2879" s="255">
        <v>0</v>
      </c>
      <c r="L2879" s="255">
        <v>0</v>
      </c>
      <c r="M2879" s="255">
        <v>0</v>
      </c>
      <c r="N2879" s="255">
        <v>0</v>
      </c>
      <c r="O2879" s="255">
        <v>0</v>
      </c>
      <c r="P2879" s="255">
        <v>0</v>
      </c>
      <c r="Q2879" s="255">
        <v>0</v>
      </c>
      <c r="R2879" s="255">
        <v>0</v>
      </c>
      <c r="S2879" s="255" t="s">
        <v>488</v>
      </c>
      <c r="T2879" s="255" t="s">
        <v>488</v>
      </c>
      <c r="U2879" s="255" t="s">
        <v>488</v>
      </c>
      <c r="V2879" s="255" t="s">
        <v>488</v>
      </c>
      <c r="W2879">
        <f t="shared" si="46"/>
        <v>0</v>
      </c>
    </row>
    <row r="2880" spans="1:23" x14ac:dyDescent="0.25">
      <c r="A2880" s="2" t="s">
        <v>1380</v>
      </c>
      <c r="B2880" s="2" t="s">
        <v>922</v>
      </c>
      <c r="C2880" s="2">
        <v>540063</v>
      </c>
      <c r="D2880" s="2" t="s">
        <v>691</v>
      </c>
      <c r="E2880" s="2" t="s">
        <v>35</v>
      </c>
      <c r="F2880" s="2" t="s">
        <v>5</v>
      </c>
      <c r="G2880" s="2">
        <v>5</v>
      </c>
      <c r="H2880" s="2">
        <v>0</v>
      </c>
      <c r="I2880" s="2">
        <v>0</v>
      </c>
      <c r="J2880" s="2">
        <v>0</v>
      </c>
      <c r="K2880" s="2">
        <v>0</v>
      </c>
      <c r="L2880" s="2">
        <v>0</v>
      </c>
      <c r="M2880" s="2">
        <v>0</v>
      </c>
      <c r="N2880" s="2">
        <v>0</v>
      </c>
      <c r="O2880" s="2">
        <v>0</v>
      </c>
      <c r="P2880" s="2">
        <v>0</v>
      </c>
      <c r="Q2880" s="2" t="s">
        <v>488</v>
      </c>
      <c r="R2880" s="2" t="s">
        <v>488</v>
      </c>
      <c r="S2880" s="2" t="s">
        <v>488</v>
      </c>
      <c r="T2880" s="2" t="s">
        <v>488</v>
      </c>
      <c r="U2880" s="2" t="s">
        <v>488</v>
      </c>
      <c r="V2880" s="2" t="s">
        <v>488</v>
      </c>
      <c r="W2880">
        <f t="shared" si="46"/>
        <v>0</v>
      </c>
    </row>
    <row r="2881" spans="1:23" x14ac:dyDescent="0.25">
      <c r="A2881" s="2" t="s">
        <v>1380</v>
      </c>
      <c r="B2881" s="2" t="s">
        <v>922</v>
      </c>
      <c r="C2881" s="2">
        <v>540064</v>
      </c>
      <c r="D2881" s="2" t="s">
        <v>692</v>
      </c>
      <c r="E2881" s="2" t="s">
        <v>35</v>
      </c>
      <c r="F2881" s="2" t="s">
        <v>115</v>
      </c>
      <c r="G2881" s="2">
        <v>5</v>
      </c>
      <c r="H2881" s="2">
        <v>0</v>
      </c>
      <c r="I2881" s="2">
        <v>0</v>
      </c>
      <c r="J2881" s="2">
        <v>0</v>
      </c>
      <c r="K2881" s="2">
        <v>0</v>
      </c>
      <c r="L2881" s="2">
        <v>0</v>
      </c>
      <c r="M2881" s="2">
        <v>0</v>
      </c>
      <c r="N2881" s="2">
        <v>0</v>
      </c>
      <c r="O2881" s="2">
        <v>0</v>
      </c>
      <c r="P2881" s="2">
        <v>0</v>
      </c>
      <c r="Q2881" s="2" t="s">
        <v>488</v>
      </c>
      <c r="R2881" s="2" t="s">
        <v>488</v>
      </c>
      <c r="S2881" s="2" t="s">
        <v>488</v>
      </c>
      <c r="T2881" s="2" t="s">
        <v>488</v>
      </c>
      <c r="U2881" s="2" t="s">
        <v>488</v>
      </c>
      <c r="V2881" s="2" t="s">
        <v>488</v>
      </c>
      <c r="W2881">
        <f t="shared" si="46"/>
        <v>0</v>
      </c>
    </row>
    <row r="2882" spans="1:23" x14ac:dyDescent="0.25">
      <c r="A2882" s="2" t="s">
        <v>1380</v>
      </c>
      <c r="B2882" s="2" t="s">
        <v>922</v>
      </c>
      <c r="C2882" s="2">
        <v>540241</v>
      </c>
      <c r="D2882" s="2" t="s">
        <v>693</v>
      </c>
      <c r="E2882" s="2" t="s">
        <v>35</v>
      </c>
      <c r="F2882" s="2" t="s">
        <v>115</v>
      </c>
      <c r="G2882" s="2">
        <v>5</v>
      </c>
      <c r="H2882" s="2">
        <v>0</v>
      </c>
      <c r="I2882" s="2">
        <v>0</v>
      </c>
      <c r="J2882" s="2">
        <v>0</v>
      </c>
      <c r="K2882" s="2">
        <v>0</v>
      </c>
      <c r="L2882" s="2">
        <v>0</v>
      </c>
      <c r="M2882" s="2">
        <v>0</v>
      </c>
      <c r="N2882" s="2">
        <v>0</v>
      </c>
      <c r="O2882" s="2">
        <v>0</v>
      </c>
      <c r="P2882" s="2">
        <v>0</v>
      </c>
      <c r="Q2882" s="2" t="s">
        <v>488</v>
      </c>
      <c r="R2882" s="2" t="s">
        <v>488</v>
      </c>
      <c r="S2882" s="2" t="s">
        <v>488</v>
      </c>
      <c r="T2882" s="2" t="s">
        <v>488</v>
      </c>
      <c r="U2882" s="2" t="s">
        <v>488</v>
      </c>
      <c r="V2882" s="2" t="s">
        <v>488</v>
      </c>
      <c r="W2882">
        <f t="shared" si="46"/>
        <v>0</v>
      </c>
    </row>
    <row r="2883" spans="1:23" x14ac:dyDescent="0.25">
      <c r="A2883" s="255" t="s">
        <v>1380</v>
      </c>
      <c r="B2883" s="255" t="s">
        <v>922</v>
      </c>
      <c r="C2883" s="255"/>
      <c r="D2883" s="255"/>
      <c r="E2883" s="255" t="s">
        <v>35</v>
      </c>
      <c r="F2883" s="255"/>
      <c r="G2883" s="255"/>
      <c r="H2883" s="255">
        <v>0</v>
      </c>
      <c r="I2883" s="255">
        <v>0</v>
      </c>
      <c r="J2883" s="255">
        <v>0</v>
      </c>
      <c r="K2883" s="255">
        <v>0</v>
      </c>
      <c r="L2883" s="255">
        <v>0</v>
      </c>
      <c r="M2883" s="255">
        <v>0</v>
      </c>
      <c r="N2883" s="255">
        <v>0</v>
      </c>
      <c r="O2883" s="255">
        <v>0</v>
      </c>
      <c r="P2883" s="255">
        <v>0</v>
      </c>
      <c r="Q2883" s="255" t="s">
        <v>488</v>
      </c>
      <c r="R2883" s="255" t="s">
        <v>488</v>
      </c>
      <c r="S2883" s="255" t="s">
        <v>488</v>
      </c>
      <c r="T2883" s="255" t="s">
        <v>488</v>
      </c>
      <c r="U2883" s="255" t="s">
        <v>488</v>
      </c>
      <c r="V2883" s="255" t="s">
        <v>488</v>
      </c>
      <c r="W2883">
        <f t="shared" ref="W2883:W2946" si="47">SUM(N2883,P2883,R2883,T2883)</f>
        <v>0</v>
      </c>
    </row>
    <row r="2884" spans="1:23" x14ac:dyDescent="0.25">
      <c r="A2884" s="2" t="s">
        <v>1380</v>
      </c>
      <c r="B2884" s="2" t="s">
        <v>922</v>
      </c>
      <c r="C2884" s="2">
        <v>540065</v>
      </c>
      <c r="D2884" s="2" t="s">
        <v>694</v>
      </c>
      <c r="E2884" s="2" t="s">
        <v>37</v>
      </c>
      <c r="F2884" s="2" t="s">
        <v>5</v>
      </c>
      <c r="G2884" s="2">
        <v>9</v>
      </c>
      <c r="H2884" s="2">
        <v>0</v>
      </c>
      <c r="I2884" s="2">
        <v>0</v>
      </c>
      <c r="J2884" s="2">
        <v>0</v>
      </c>
      <c r="K2884" s="2">
        <v>0</v>
      </c>
      <c r="L2884" s="2">
        <v>0</v>
      </c>
      <c r="M2884" s="2">
        <v>0</v>
      </c>
      <c r="N2884" s="2">
        <v>0</v>
      </c>
      <c r="O2884" s="2">
        <v>0</v>
      </c>
      <c r="P2884" s="2">
        <v>0</v>
      </c>
      <c r="Q2884" s="2">
        <v>0</v>
      </c>
      <c r="R2884" s="2">
        <v>0</v>
      </c>
      <c r="S2884" s="2">
        <v>0</v>
      </c>
      <c r="T2884" s="2">
        <v>0</v>
      </c>
      <c r="U2884" s="2" t="s">
        <v>488</v>
      </c>
      <c r="V2884" s="2" t="s">
        <v>488</v>
      </c>
      <c r="W2884">
        <f t="shared" si="47"/>
        <v>0</v>
      </c>
    </row>
    <row r="2885" spans="1:23" x14ac:dyDescent="0.25">
      <c r="A2885" s="2" t="s">
        <v>1380</v>
      </c>
      <c r="B2885" s="2" t="s">
        <v>922</v>
      </c>
      <c r="C2885" s="2">
        <v>540030</v>
      </c>
      <c r="D2885" s="2" t="s">
        <v>695</v>
      </c>
      <c r="E2885" s="2" t="s">
        <v>37</v>
      </c>
      <c r="F2885" s="2" t="s">
        <v>115</v>
      </c>
      <c r="G2885" s="2">
        <v>9</v>
      </c>
      <c r="H2885" s="2">
        <v>0</v>
      </c>
      <c r="I2885" s="2">
        <v>0</v>
      </c>
      <c r="J2885" s="2">
        <v>0</v>
      </c>
      <c r="K2885" s="2">
        <v>0</v>
      </c>
      <c r="L2885" s="2">
        <v>0</v>
      </c>
      <c r="M2885" s="2">
        <v>0</v>
      </c>
      <c r="N2885" s="2">
        <v>0</v>
      </c>
      <c r="O2885" s="2">
        <v>0</v>
      </c>
      <c r="P2885" s="2">
        <v>0</v>
      </c>
      <c r="Q2885" s="2">
        <v>0</v>
      </c>
      <c r="R2885" s="2">
        <v>0</v>
      </c>
      <c r="S2885" s="2">
        <v>0</v>
      </c>
      <c r="T2885" s="2">
        <v>0</v>
      </c>
      <c r="U2885" s="2" t="s">
        <v>488</v>
      </c>
      <c r="V2885" s="2" t="s">
        <v>488</v>
      </c>
      <c r="W2885">
        <f t="shared" si="47"/>
        <v>0</v>
      </c>
    </row>
    <row r="2886" spans="1:23" x14ac:dyDescent="0.25">
      <c r="A2886" s="2" t="s">
        <v>1380</v>
      </c>
      <c r="B2886" s="2" t="s">
        <v>922</v>
      </c>
      <c r="C2886" s="2">
        <v>540066</v>
      </c>
      <c r="D2886" s="2" t="s">
        <v>696</v>
      </c>
      <c r="E2886" s="2" t="s">
        <v>37</v>
      </c>
      <c r="F2886" s="2" t="s">
        <v>115</v>
      </c>
      <c r="G2886" s="2">
        <v>9</v>
      </c>
      <c r="H2886" s="2">
        <v>0</v>
      </c>
      <c r="I2886" s="2">
        <v>0</v>
      </c>
      <c r="J2886" s="2">
        <v>0</v>
      </c>
      <c r="K2886" s="2">
        <v>0</v>
      </c>
      <c r="L2886" s="2">
        <v>0</v>
      </c>
      <c r="M2886" s="2">
        <v>0</v>
      </c>
      <c r="N2886" s="2">
        <v>0</v>
      </c>
      <c r="O2886" s="2">
        <v>0</v>
      </c>
      <c r="P2886" s="2">
        <v>0</v>
      </c>
      <c r="Q2886" s="2">
        <v>0</v>
      </c>
      <c r="R2886" s="2">
        <v>0</v>
      </c>
      <c r="S2886" s="2">
        <v>0</v>
      </c>
      <c r="T2886" s="2">
        <v>0</v>
      </c>
      <c r="U2886" s="2" t="s">
        <v>488</v>
      </c>
      <c r="V2886" s="2" t="s">
        <v>488</v>
      </c>
      <c r="W2886">
        <f t="shared" si="47"/>
        <v>0</v>
      </c>
    </row>
    <row r="2887" spans="1:23" x14ac:dyDescent="0.25">
      <c r="A2887" s="2" t="s">
        <v>1380</v>
      </c>
      <c r="B2887" s="2" t="s">
        <v>922</v>
      </c>
      <c r="C2887" s="2">
        <v>540067</v>
      </c>
      <c r="D2887" s="2" t="s">
        <v>697</v>
      </c>
      <c r="E2887" s="2" t="s">
        <v>37</v>
      </c>
      <c r="F2887" s="2" t="s">
        <v>115</v>
      </c>
      <c r="G2887" s="2">
        <v>9</v>
      </c>
      <c r="H2887" s="2">
        <v>0</v>
      </c>
      <c r="I2887" s="2">
        <v>0</v>
      </c>
      <c r="J2887" s="2">
        <v>0</v>
      </c>
      <c r="K2887" s="2">
        <v>0</v>
      </c>
      <c r="L2887" s="2">
        <v>0</v>
      </c>
      <c r="M2887" s="2">
        <v>0</v>
      </c>
      <c r="N2887" s="2">
        <v>0</v>
      </c>
      <c r="O2887" s="2">
        <v>0</v>
      </c>
      <c r="P2887" s="2">
        <v>0</v>
      </c>
      <c r="Q2887" s="2">
        <v>0</v>
      </c>
      <c r="R2887" s="2">
        <v>0</v>
      </c>
      <c r="S2887" s="2">
        <v>0</v>
      </c>
      <c r="T2887" s="2">
        <v>0</v>
      </c>
      <c r="U2887" s="2" t="s">
        <v>488</v>
      </c>
      <c r="V2887" s="2" t="s">
        <v>488</v>
      </c>
      <c r="W2887">
        <f t="shared" si="47"/>
        <v>0</v>
      </c>
    </row>
    <row r="2888" spans="1:23" x14ac:dyDescent="0.25">
      <c r="A2888" s="2" t="s">
        <v>1380</v>
      </c>
      <c r="B2888" s="2" t="s">
        <v>922</v>
      </c>
      <c r="C2888" s="2">
        <v>540068</v>
      </c>
      <c r="D2888" s="2" t="s">
        <v>698</v>
      </c>
      <c r="E2888" s="2" t="s">
        <v>37</v>
      </c>
      <c r="F2888" s="2" t="s">
        <v>115</v>
      </c>
      <c r="G2888" s="2">
        <v>9</v>
      </c>
      <c r="H2888" s="2">
        <v>0</v>
      </c>
      <c r="I2888" s="2">
        <v>0</v>
      </c>
      <c r="J2888" s="2">
        <v>0</v>
      </c>
      <c r="K2888" s="2">
        <v>0</v>
      </c>
      <c r="L2888" s="2">
        <v>0</v>
      </c>
      <c r="M2888" s="2">
        <v>0</v>
      </c>
      <c r="N2888" s="2">
        <v>0</v>
      </c>
      <c r="O2888" s="2">
        <v>0</v>
      </c>
      <c r="P2888" s="2">
        <v>0</v>
      </c>
      <c r="Q2888" s="2">
        <v>0</v>
      </c>
      <c r="R2888" s="2">
        <v>0</v>
      </c>
      <c r="S2888" s="2">
        <v>0</v>
      </c>
      <c r="T2888" s="2">
        <v>0</v>
      </c>
      <c r="U2888" s="2" t="s">
        <v>488</v>
      </c>
      <c r="V2888" s="2" t="s">
        <v>488</v>
      </c>
      <c r="W2888">
        <f t="shared" si="47"/>
        <v>0</v>
      </c>
    </row>
    <row r="2889" spans="1:23" x14ac:dyDescent="0.25">
      <c r="A2889" s="2" t="s">
        <v>1380</v>
      </c>
      <c r="B2889" s="2" t="s">
        <v>922</v>
      </c>
      <c r="C2889" s="2">
        <v>540069</v>
      </c>
      <c r="D2889" s="2" t="s">
        <v>699</v>
      </c>
      <c r="E2889" s="2" t="s">
        <v>37</v>
      </c>
      <c r="F2889" s="2" t="s">
        <v>115</v>
      </c>
      <c r="G2889" s="2">
        <v>9</v>
      </c>
      <c r="H2889" s="2">
        <v>0</v>
      </c>
      <c r="I2889" s="2">
        <v>0</v>
      </c>
      <c r="J2889" s="2">
        <v>0</v>
      </c>
      <c r="K2889" s="2">
        <v>0</v>
      </c>
      <c r="L2889" s="2">
        <v>0</v>
      </c>
      <c r="M2889" s="2">
        <v>0</v>
      </c>
      <c r="N2889" s="2">
        <v>0</v>
      </c>
      <c r="O2889" s="2">
        <v>0</v>
      </c>
      <c r="P2889" s="2">
        <v>0</v>
      </c>
      <c r="Q2889" s="2">
        <v>0</v>
      </c>
      <c r="R2889" s="2">
        <v>0</v>
      </c>
      <c r="S2889" s="2">
        <v>0</v>
      </c>
      <c r="T2889" s="2">
        <v>0</v>
      </c>
      <c r="U2889" s="2" t="s">
        <v>488</v>
      </c>
      <c r="V2889" s="2" t="s">
        <v>488</v>
      </c>
      <c r="W2889">
        <f t="shared" si="47"/>
        <v>0</v>
      </c>
    </row>
    <row r="2890" spans="1:23" x14ac:dyDescent="0.25">
      <c r="A2890" s="255" t="s">
        <v>1380</v>
      </c>
      <c r="B2890" s="255" t="s">
        <v>922</v>
      </c>
      <c r="C2890" s="255"/>
      <c r="D2890" s="255"/>
      <c r="E2890" s="255" t="s">
        <v>37</v>
      </c>
      <c r="F2890" s="255"/>
      <c r="G2890" s="255"/>
      <c r="H2890" s="255">
        <v>0</v>
      </c>
      <c r="I2890" s="255">
        <v>0</v>
      </c>
      <c r="J2890" s="255">
        <v>0</v>
      </c>
      <c r="K2890" s="255">
        <v>0</v>
      </c>
      <c r="L2890" s="255">
        <v>0</v>
      </c>
      <c r="M2890" s="255">
        <v>0</v>
      </c>
      <c r="N2890" s="255">
        <v>0</v>
      </c>
      <c r="O2890" s="255">
        <v>0</v>
      </c>
      <c r="P2890" s="255">
        <v>0</v>
      </c>
      <c r="Q2890" s="255">
        <v>0</v>
      </c>
      <c r="R2890" s="255">
        <v>0</v>
      </c>
      <c r="S2890" s="255">
        <v>0</v>
      </c>
      <c r="T2890" s="255">
        <v>0</v>
      </c>
      <c r="U2890" s="255" t="s">
        <v>488</v>
      </c>
      <c r="V2890" s="255" t="s">
        <v>488</v>
      </c>
      <c r="W2890">
        <f t="shared" si="47"/>
        <v>0</v>
      </c>
    </row>
    <row r="2891" spans="1:23" x14ac:dyDescent="0.25">
      <c r="A2891" s="2" t="s">
        <v>1380</v>
      </c>
      <c r="B2891" s="2" t="s">
        <v>922</v>
      </c>
      <c r="C2891" s="2">
        <v>540070</v>
      </c>
      <c r="D2891" s="2" t="s">
        <v>700</v>
      </c>
      <c r="E2891" s="2" t="s">
        <v>39</v>
      </c>
      <c r="F2891" s="2" t="s">
        <v>5</v>
      </c>
      <c r="G2891" s="2">
        <v>3</v>
      </c>
      <c r="H2891" s="2">
        <v>1</v>
      </c>
      <c r="I2891" s="2">
        <v>1</v>
      </c>
      <c r="J2891" s="2">
        <v>0</v>
      </c>
      <c r="K2891" s="2">
        <v>0</v>
      </c>
      <c r="L2891" s="2">
        <v>0</v>
      </c>
      <c r="M2891" s="2">
        <v>1</v>
      </c>
      <c r="N2891" s="2">
        <v>2</v>
      </c>
      <c r="O2891" s="2">
        <v>0</v>
      </c>
      <c r="P2891" s="2">
        <v>0</v>
      </c>
      <c r="Q2891" s="2">
        <v>1</v>
      </c>
      <c r="R2891" s="2">
        <v>1</v>
      </c>
      <c r="S2891" s="2" t="s">
        <v>488</v>
      </c>
      <c r="T2891" s="2" t="s">
        <v>488</v>
      </c>
      <c r="U2891" s="2" t="s">
        <v>488</v>
      </c>
      <c r="V2891" s="2" t="s">
        <v>488</v>
      </c>
      <c r="W2891">
        <f t="shared" si="47"/>
        <v>3</v>
      </c>
    </row>
    <row r="2892" spans="1:23" x14ac:dyDescent="0.25">
      <c r="A2892" s="2" t="s">
        <v>1380</v>
      </c>
      <c r="B2892" s="2" t="s">
        <v>922</v>
      </c>
      <c r="C2892" s="2">
        <v>540029</v>
      </c>
      <c r="D2892" s="2" t="s">
        <v>701</v>
      </c>
      <c r="E2892" s="2" t="s">
        <v>39</v>
      </c>
      <c r="F2892" s="2" t="s">
        <v>115</v>
      </c>
      <c r="G2892" s="2">
        <v>3</v>
      </c>
      <c r="H2892" s="2">
        <v>0</v>
      </c>
      <c r="I2892" s="2">
        <v>0</v>
      </c>
      <c r="J2892" s="2">
        <v>0</v>
      </c>
      <c r="K2892" s="2">
        <v>0</v>
      </c>
      <c r="L2892" s="2">
        <v>0</v>
      </c>
      <c r="M2892" s="2">
        <v>0</v>
      </c>
      <c r="N2892" s="2">
        <v>0</v>
      </c>
      <c r="O2892" s="2">
        <v>0</v>
      </c>
      <c r="P2892" s="2">
        <v>0</v>
      </c>
      <c r="Q2892" s="2">
        <v>0</v>
      </c>
      <c r="R2892" s="2">
        <v>0</v>
      </c>
      <c r="S2892" s="2" t="s">
        <v>488</v>
      </c>
      <c r="T2892" s="2" t="s">
        <v>488</v>
      </c>
      <c r="U2892" s="2" t="s">
        <v>488</v>
      </c>
      <c r="V2892" s="2" t="s">
        <v>488</v>
      </c>
      <c r="W2892">
        <f t="shared" si="47"/>
        <v>0</v>
      </c>
    </row>
    <row r="2893" spans="1:23" x14ac:dyDescent="0.25">
      <c r="A2893" s="2" t="s">
        <v>1380</v>
      </c>
      <c r="B2893" s="2" t="s">
        <v>922</v>
      </c>
      <c r="C2893" s="2">
        <v>540071</v>
      </c>
      <c r="D2893" s="2" t="s">
        <v>702</v>
      </c>
      <c r="E2893" s="2" t="s">
        <v>39</v>
      </c>
      <c r="F2893" s="2" t="s">
        <v>115</v>
      </c>
      <c r="G2893" s="2">
        <v>3</v>
      </c>
      <c r="H2893" s="2">
        <v>0</v>
      </c>
      <c r="I2893" s="2">
        <v>0</v>
      </c>
      <c r="J2893" s="2">
        <v>0</v>
      </c>
      <c r="K2893" s="2">
        <v>0</v>
      </c>
      <c r="L2893" s="2">
        <v>0</v>
      </c>
      <c r="M2893" s="2">
        <v>0</v>
      </c>
      <c r="N2893" s="2">
        <v>0</v>
      </c>
      <c r="O2893" s="2">
        <v>0</v>
      </c>
      <c r="P2893" s="2">
        <v>0</v>
      </c>
      <c r="Q2893" s="2">
        <v>0</v>
      </c>
      <c r="R2893" s="2">
        <v>0</v>
      </c>
      <c r="S2893" s="2" t="s">
        <v>488</v>
      </c>
      <c r="T2893" s="2" t="s">
        <v>488</v>
      </c>
      <c r="U2893" s="2" t="s">
        <v>488</v>
      </c>
      <c r="V2893" s="2" t="s">
        <v>488</v>
      </c>
      <c r="W2893">
        <f t="shared" si="47"/>
        <v>0</v>
      </c>
    </row>
    <row r="2894" spans="1:23" x14ac:dyDescent="0.25">
      <c r="A2894" s="2" t="s">
        <v>1380</v>
      </c>
      <c r="B2894" s="2" t="s">
        <v>922</v>
      </c>
      <c r="C2894" s="2">
        <v>540072</v>
      </c>
      <c r="D2894" s="2" t="s">
        <v>703</v>
      </c>
      <c r="E2894" s="2" t="s">
        <v>39</v>
      </c>
      <c r="F2894" s="2" t="s">
        <v>115</v>
      </c>
      <c r="G2894" s="2">
        <v>3</v>
      </c>
      <c r="H2894" s="2">
        <v>0</v>
      </c>
      <c r="I2894" s="2">
        <v>0</v>
      </c>
      <c r="J2894" s="2">
        <v>0</v>
      </c>
      <c r="K2894" s="2">
        <v>0</v>
      </c>
      <c r="L2894" s="2">
        <v>0</v>
      </c>
      <c r="M2894" s="2">
        <v>0</v>
      </c>
      <c r="N2894" s="2">
        <v>0</v>
      </c>
      <c r="O2894" s="2">
        <v>0</v>
      </c>
      <c r="P2894" s="2">
        <v>0</v>
      </c>
      <c r="Q2894" s="2">
        <v>0</v>
      </c>
      <c r="R2894" s="2">
        <v>0</v>
      </c>
      <c r="S2894" s="2" t="s">
        <v>488</v>
      </c>
      <c r="T2894" s="2" t="s">
        <v>488</v>
      </c>
      <c r="U2894" s="2" t="s">
        <v>488</v>
      </c>
      <c r="V2894" s="2" t="s">
        <v>488</v>
      </c>
      <c r="W2894">
        <f t="shared" si="47"/>
        <v>0</v>
      </c>
    </row>
    <row r="2895" spans="1:23" x14ac:dyDescent="0.25">
      <c r="A2895" s="2" t="s">
        <v>1380</v>
      </c>
      <c r="B2895" s="2" t="s">
        <v>922</v>
      </c>
      <c r="C2895" s="2">
        <v>540073</v>
      </c>
      <c r="D2895" s="2" t="s">
        <v>704</v>
      </c>
      <c r="E2895" s="2" t="s">
        <v>39</v>
      </c>
      <c r="F2895" s="2" t="s">
        <v>115</v>
      </c>
      <c r="G2895" s="2">
        <v>3</v>
      </c>
      <c r="H2895" s="2">
        <v>0</v>
      </c>
      <c r="I2895" s="2">
        <v>3</v>
      </c>
      <c r="J2895" s="2">
        <v>0</v>
      </c>
      <c r="K2895" s="2">
        <v>0</v>
      </c>
      <c r="L2895" s="2">
        <v>0</v>
      </c>
      <c r="M2895" s="2">
        <v>3</v>
      </c>
      <c r="N2895" s="2">
        <v>3</v>
      </c>
      <c r="O2895" s="2">
        <v>0</v>
      </c>
      <c r="P2895" s="2">
        <v>0</v>
      </c>
      <c r="Q2895" s="2">
        <v>0</v>
      </c>
      <c r="R2895" s="2">
        <v>0</v>
      </c>
      <c r="S2895" s="2" t="s">
        <v>488</v>
      </c>
      <c r="T2895" s="2" t="s">
        <v>488</v>
      </c>
      <c r="U2895" s="2" t="s">
        <v>488</v>
      </c>
      <c r="V2895" s="2" t="s">
        <v>488</v>
      </c>
      <c r="W2895">
        <f t="shared" si="47"/>
        <v>3</v>
      </c>
    </row>
    <row r="2896" spans="1:23" x14ac:dyDescent="0.25">
      <c r="A2896" s="2" t="s">
        <v>1380</v>
      </c>
      <c r="B2896" s="2" t="s">
        <v>922</v>
      </c>
      <c r="C2896" s="2">
        <v>540074</v>
      </c>
      <c r="D2896" s="2" t="s">
        <v>705</v>
      </c>
      <c r="E2896" s="2" t="s">
        <v>39</v>
      </c>
      <c r="F2896" s="2" t="s">
        <v>115</v>
      </c>
      <c r="G2896" s="2">
        <v>3</v>
      </c>
      <c r="H2896" s="2">
        <v>0</v>
      </c>
      <c r="I2896" s="2">
        <v>0</v>
      </c>
      <c r="J2896" s="2">
        <v>0</v>
      </c>
      <c r="K2896" s="2">
        <v>0</v>
      </c>
      <c r="L2896" s="2">
        <v>0</v>
      </c>
      <c r="M2896" s="2">
        <v>0</v>
      </c>
      <c r="N2896" s="2">
        <v>0</v>
      </c>
      <c r="O2896" s="2">
        <v>0</v>
      </c>
      <c r="P2896" s="2">
        <v>0</v>
      </c>
      <c r="Q2896" s="2">
        <v>0</v>
      </c>
      <c r="R2896" s="2">
        <v>0</v>
      </c>
      <c r="S2896" s="2" t="s">
        <v>488</v>
      </c>
      <c r="T2896" s="2" t="s">
        <v>488</v>
      </c>
      <c r="U2896" s="2" t="s">
        <v>488</v>
      </c>
      <c r="V2896" s="2" t="s">
        <v>488</v>
      </c>
      <c r="W2896">
        <f t="shared" si="47"/>
        <v>0</v>
      </c>
    </row>
    <row r="2897" spans="1:23" x14ac:dyDescent="0.25">
      <c r="A2897" s="2" t="s">
        <v>1380</v>
      </c>
      <c r="B2897" s="2" t="s">
        <v>922</v>
      </c>
      <c r="C2897" s="2">
        <v>540075</v>
      </c>
      <c r="D2897" s="2" t="s">
        <v>706</v>
      </c>
      <c r="E2897" s="2" t="s">
        <v>39</v>
      </c>
      <c r="F2897" s="2" t="s">
        <v>115</v>
      </c>
      <c r="G2897" s="2">
        <v>3</v>
      </c>
      <c r="H2897" s="2">
        <v>0</v>
      </c>
      <c r="I2897" s="2">
        <v>0</v>
      </c>
      <c r="J2897" s="2">
        <v>0</v>
      </c>
      <c r="K2897" s="2">
        <v>0</v>
      </c>
      <c r="L2897" s="2">
        <v>0</v>
      </c>
      <c r="M2897" s="2">
        <v>0</v>
      </c>
      <c r="N2897" s="2">
        <v>0</v>
      </c>
      <c r="O2897" s="2">
        <v>0</v>
      </c>
      <c r="P2897" s="2">
        <v>0</v>
      </c>
      <c r="Q2897" s="2">
        <v>0</v>
      </c>
      <c r="R2897" s="2">
        <v>0</v>
      </c>
      <c r="S2897" s="2" t="s">
        <v>488</v>
      </c>
      <c r="T2897" s="2" t="s">
        <v>488</v>
      </c>
      <c r="U2897" s="2" t="s">
        <v>488</v>
      </c>
      <c r="V2897" s="2" t="s">
        <v>488</v>
      </c>
      <c r="W2897">
        <f t="shared" si="47"/>
        <v>0</v>
      </c>
    </row>
    <row r="2898" spans="1:23" x14ac:dyDescent="0.25">
      <c r="A2898" s="2" t="s">
        <v>1380</v>
      </c>
      <c r="B2898" s="2" t="s">
        <v>922</v>
      </c>
      <c r="C2898" s="2">
        <v>540076</v>
      </c>
      <c r="D2898" s="2" t="s">
        <v>707</v>
      </c>
      <c r="E2898" s="2" t="s">
        <v>39</v>
      </c>
      <c r="F2898" s="2" t="s">
        <v>115</v>
      </c>
      <c r="G2898" s="2">
        <v>3</v>
      </c>
      <c r="H2898" s="2">
        <v>0</v>
      </c>
      <c r="I2898" s="2">
        <v>1</v>
      </c>
      <c r="J2898" s="2">
        <v>0</v>
      </c>
      <c r="K2898" s="2">
        <v>0</v>
      </c>
      <c r="L2898" s="2">
        <v>0</v>
      </c>
      <c r="M2898" s="2">
        <v>1</v>
      </c>
      <c r="N2898" s="2">
        <v>1</v>
      </c>
      <c r="O2898" s="2">
        <v>0</v>
      </c>
      <c r="P2898" s="2">
        <v>0</v>
      </c>
      <c r="Q2898" s="2">
        <v>0</v>
      </c>
      <c r="R2898" s="2">
        <v>0</v>
      </c>
      <c r="S2898" s="2" t="s">
        <v>488</v>
      </c>
      <c r="T2898" s="2" t="s">
        <v>488</v>
      </c>
      <c r="U2898" s="2" t="s">
        <v>488</v>
      </c>
      <c r="V2898" s="2" t="s">
        <v>488</v>
      </c>
      <c r="W2898">
        <f t="shared" si="47"/>
        <v>1</v>
      </c>
    </row>
    <row r="2899" spans="1:23" x14ac:dyDescent="0.25">
      <c r="A2899" s="2" t="s">
        <v>1380</v>
      </c>
      <c r="B2899" s="2" t="s">
        <v>922</v>
      </c>
      <c r="C2899" s="2">
        <v>540077</v>
      </c>
      <c r="D2899" s="2" t="s">
        <v>708</v>
      </c>
      <c r="E2899" s="2" t="s">
        <v>39</v>
      </c>
      <c r="F2899" s="2" t="s">
        <v>115</v>
      </c>
      <c r="G2899" s="2">
        <v>3</v>
      </c>
      <c r="H2899" s="2">
        <v>0</v>
      </c>
      <c r="I2899" s="2">
        <v>0</v>
      </c>
      <c r="J2899" s="2">
        <v>0</v>
      </c>
      <c r="K2899" s="2">
        <v>0</v>
      </c>
      <c r="L2899" s="2">
        <v>0</v>
      </c>
      <c r="M2899" s="2">
        <v>0</v>
      </c>
      <c r="N2899" s="2">
        <v>0</v>
      </c>
      <c r="O2899" s="2">
        <v>0</v>
      </c>
      <c r="P2899" s="2">
        <v>0</v>
      </c>
      <c r="Q2899" s="2">
        <v>0</v>
      </c>
      <c r="R2899" s="2">
        <v>0</v>
      </c>
      <c r="S2899" s="2" t="s">
        <v>488</v>
      </c>
      <c r="T2899" s="2" t="s">
        <v>488</v>
      </c>
      <c r="U2899" s="2" t="s">
        <v>488</v>
      </c>
      <c r="V2899" s="2" t="s">
        <v>488</v>
      </c>
      <c r="W2899">
        <f t="shared" si="47"/>
        <v>0</v>
      </c>
    </row>
    <row r="2900" spans="1:23" x14ac:dyDescent="0.25">
      <c r="A2900" s="2" t="s">
        <v>1380</v>
      </c>
      <c r="B2900" s="2" t="s">
        <v>922</v>
      </c>
      <c r="C2900" s="2">
        <v>540078</v>
      </c>
      <c r="D2900" s="2" t="s">
        <v>709</v>
      </c>
      <c r="E2900" s="2" t="s">
        <v>39</v>
      </c>
      <c r="F2900" s="2" t="s">
        <v>115</v>
      </c>
      <c r="G2900" s="2">
        <v>3</v>
      </c>
      <c r="H2900" s="2">
        <v>0</v>
      </c>
      <c r="I2900" s="2">
        <v>0</v>
      </c>
      <c r="J2900" s="2">
        <v>0</v>
      </c>
      <c r="K2900" s="2">
        <v>0</v>
      </c>
      <c r="L2900" s="2">
        <v>0</v>
      </c>
      <c r="M2900" s="2">
        <v>0</v>
      </c>
      <c r="N2900" s="2">
        <v>0</v>
      </c>
      <c r="O2900" s="2">
        <v>0</v>
      </c>
      <c r="P2900" s="2">
        <v>0</v>
      </c>
      <c r="Q2900" s="2">
        <v>0</v>
      </c>
      <c r="R2900" s="2">
        <v>0</v>
      </c>
      <c r="S2900" s="2" t="s">
        <v>488</v>
      </c>
      <c r="T2900" s="2" t="s">
        <v>488</v>
      </c>
      <c r="U2900" s="2" t="s">
        <v>488</v>
      </c>
      <c r="V2900" s="2" t="s">
        <v>488</v>
      </c>
      <c r="W2900">
        <f t="shared" si="47"/>
        <v>0</v>
      </c>
    </row>
    <row r="2901" spans="1:23" x14ac:dyDescent="0.25">
      <c r="A2901" s="2" t="s">
        <v>1380</v>
      </c>
      <c r="B2901" s="2" t="s">
        <v>922</v>
      </c>
      <c r="C2901" s="2">
        <v>540079</v>
      </c>
      <c r="D2901" s="2" t="s">
        <v>710</v>
      </c>
      <c r="E2901" s="2" t="s">
        <v>39</v>
      </c>
      <c r="F2901" s="2" t="s">
        <v>115</v>
      </c>
      <c r="G2901" s="2">
        <v>3</v>
      </c>
      <c r="H2901" s="2">
        <v>0</v>
      </c>
      <c r="I2901" s="2">
        <v>0</v>
      </c>
      <c r="J2901" s="2">
        <v>0</v>
      </c>
      <c r="K2901" s="2">
        <v>0</v>
      </c>
      <c r="L2901" s="2">
        <v>0</v>
      </c>
      <c r="M2901" s="2">
        <v>0</v>
      </c>
      <c r="N2901" s="2">
        <v>0</v>
      </c>
      <c r="O2901" s="2">
        <v>0</v>
      </c>
      <c r="P2901" s="2">
        <v>0</v>
      </c>
      <c r="Q2901" s="2">
        <v>0</v>
      </c>
      <c r="R2901" s="2">
        <v>0</v>
      </c>
      <c r="S2901" s="2" t="s">
        <v>488</v>
      </c>
      <c r="T2901" s="2" t="s">
        <v>488</v>
      </c>
      <c r="U2901" s="2" t="s">
        <v>488</v>
      </c>
      <c r="V2901" s="2" t="s">
        <v>488</v>
      </c>
      <c r="W2901">
        <f t="shared" si="47"/>
        <v>0</v>
      </c>
    </row>
    <row r="2902" spans="1:23" x14ac:dyDescent="0.25">
      <c r="A2902" s="2" t="s">
        <v>1380</v>
      </c>
      <c r="B2902" s="2" t="s">
        <v>922</v>
      </c>
      <c r="C2902" s="2">
        <v>540081</v>
      </c>
      <c r="D2902" s="2" t="s">
        <v>711</v>
      </c>
      <c r="E2902" s="2" t="s">
        <v>39</v>
      </c>
      <c r="F2902" s="2" t="s">
        <v>115</v>
      </c>
      <c r="G2902" s="2">
        <v>3</v>
      </c>
      <c r="H2902" s="2">
        <v>0</v>
      </c>
      <c r="I2902" s="2">
        <v>0</v>
      </c>
      <c r="J2902" s="2">
        <v>0</v>
      </c>
      <c r="K2902" s="2">
        <v>0</v>
      </c>
      <c r="L2902" s="2">
        <v>0</v>
      </c>
      <c r="M2902" s="2">
        <v>0</v>
      </c>
      <c r="N2902" s="2">
        <v>0</v>
      </c>
      <c r="O2902" s="2">
        <v>0</v>
      </c>
      <c r="P2902" s="2">
        <v>0</v>
      </c>
      <c r="Q2902" s="2">
        <v>0</v>
      </c>
      <c r="R2902" s="2">
        <v>0</v>
      </c>
      <c r="S2902" s="2" t="s">
        <v>488</v>
      </c>
      <c r="T2902" s="2" t="s">
        <v>488</v>
      </c>
      <c r="U2902" s="2" t="s">
        <v>488</v>
      </c>
      <c r="V2902" s="2" t="s">
        <v>488</v>
      </c>
      <c r="W2902">
        <f t="shared" si="47"/>
        <v>0</v>
      </c>
    </row>
    <row r="2903" spans="1:23" x14ac:dyDescent="0.25">
      <c r="A2903" s="2" t="s">
        <v>1380</v>
      </c>
      <c r="B2903" s="2" t="s">
        <v>922</v>
      </c>
      <c r="C2903" s="2">
        <v>540082</v>
      </c>
      <c r="D2903" s="2" t="s">
        <v>712</v>
      </c>
      <c r="E2903" s="2" t="s">
        <v>39</v>
      </c>
      <c r="F2903" s="2" t="s">
        <v>115</v>
      </c>
      <c r="G2903" s="2">
        <v>3</v>
      </c>
      <c r="H2903" s="2">
        <v>0</v>
      </c>
      <c r="I2903" s="2">
        <v>0</v>
      </c>
      <c r="J2903" s="2">
        <v>0</v>
      </c>
      <c r="K2903" s="2">
        <v>0</v>
      </c>
      <c r="L2903" s="2">
        <v>0</v>
      </c>
      <c r="M2903" s="2">
        <v>0</v>
      </c>
      <c r="N2903" s="2">
        <v>0</v>
      </c>
      <c r="O2903" s="2">
        <v>0</v>
      </c>
      <c r="P2903" s="2">
        <v>0</v>
      </c>
      <c r="Q2903" s="2">
        <v>0</v>
      </c>
      <c r="R2903" s="2">
        <v>0</v>
      </c>
      <c r="S2903" s="2" t="s">
        <v>488</v>
      </c>
      <c r="T2903" s="2" t="s">
        <v>488</v>
      </c>
      <c r="U2903" s="2" t="s">
        <v>488</v>
      </c>
      <c r="V2903" s="2" t="s">
        <v>488</v>
      </c>
      <c r="W2903">
        <f t="shared" si="47"/>
        <v>0</v>
      </c>
    </row>
    <row r="2904" spans="1:23" x14ac:dyDescent="0.25">
      <c r="A2904" s="2" t="s">
        <v>1380</v>
      </c>
      <c r="B2904" s="2" t="s">
        <v>922</v>
      </c>
      <c r="C2904" s="2">
        <v>540083</v>
      </c>
      <c r="D2904" s="2" t="s">
        <v>713</v>
      </c>
      <c r="E2904" s="2" t="s">
        <v>39</v>
      </c>
      <c r="F2904" s="2" t="s">
        <v>115</v>
      </c>
      <c r="G2904" s="2">
        <v>3</v>
      </c>
      <c r="H2904" s="2">
        <v>0</v>
      </c>
      <c r="I2904" s="2">
        <v>0</v>
      </c>
      <c r="J2904" s="2">
        <v>0</v>
      </c>
      <c r="K2904" s="2">
        <v>0</v>
      </c>
      <c r="L2904" s="2">
        <v>0</v>
      </c>
      <c r="M2904" s="2">
        <v>0</v>
      </c>
      <c r="N2904" s="2">
        <v>0</v>
      </c>
      <c r="O2904" s="2">
        <v>0</v>
      </c>
      <c r="P2904" s="2">
        <v>0</v>
      </c>
      <c r="Q2904" s="2">
        <v>0</v>
      </c>
      <c r="R2904" s="2">
        <v>0</v>
      </c>
      <c r="S2904" s="2" t="s">
        <v>488</v>
      </c>
      <c r="T2904" s="2" t="s">
        <v>488</v>
      </c>
      <c r="U2904" s="2" t="s">
        <v>488</v>
      </c>
      <c r="V2904" s="2" t="s">
        <v>488</v>
      </c>
      <c r="W2904">
        <f t="shared" si="47"/>
        <v>0</v>
      </c>
    </row>
    <row r="2905" spans="1:23" x14ac:dyDescent="0.25">
      <c r="A2905" s="2" t="s">
        <v>1380</v>
      </c>
      <c r="B2905" s="2" t="s">
        <v>922</v>
      </c>
      <c r="C2905" s="2">
        <v>540223</v>
      </c>
      <c r="D2905" s="2" t="s">
        <v>714</v>
      </c>
      <c r="E2905" s="2" t="s">
        <v>39</v>
      </c>
      <c r="F2905" s="2" t="s">
        <v>115</v>
      </c>
      <c r="G2905" s="2">
        <v>3</v>
      </c>
      <c r="H2905" s="2">
        <v>0</v>
      </c>
      <c r="I2905" s="2">
        <v>0</v>
      </c>
      <c r="J2905" s="2">
        <v>0</v>
      </c>
      <c r="K2905" s="2">
        <v>0</v>
      </c>
      <c r="L2905" s="2">
        <v>0</v>
      </c>
      <c r="M2905" s="2">
        <v>0</v>
      </c>
      <c r="N2905" s="2">
        <v>0</v>
      </c>
      <c r="O2905" s="2">
        <v>0</v>
      </c>
      <c r="P2905" s="2">
        <v>0</v>
      </c>
      <c r="Q2905" s="2">
        <v>0</v>
      </c>
      <c r="R2905" s="2">
        <v>0</v>
      </c>
      <c r="S2905" s="2" t="s">
        <v>488</v>
      </c>
      <c r="T2905" s="2" t="s">
        <v>488</v>
      </c>
      <c r="U2905" s="2" t="s">
        <v>488</v>
      </c>
      <c r="V2905" s="2" t="s">
        <v>488</v>
      </c>
      <c r="W2905">
        <f t="shared" si="47"/>
        <v>0</v>
      </c>
    </row>
    <row r="2906" spans="1:23" x14ac:dyDescent="0.25">
      <c r="A2906" s="2" t="s">
        <v>1380</v>
      </c>
      <c r="B2906" s="2" t="s">
        <v>922</v>
      </c>
      <c r="C2906" s="2">
        <v>540279</v>
      </c>
      <c r="D2906" s="2" t="s">
        <v>715</v>
      </c>
      <c r="E2906" s="2" t="s">
        <v>39</v>
      </c>
      <c r="F2906" s="2" t="s">
        <v>115</v>
      </c>
      <c r="G2906" s="2">
        <v>3</v>
      </c>
      <c r="H2906" s="2">
        <v>0</v>
      </c>
      <c r="I2906" s="2">
        <v>0</v>
      </c>
      <c r="J2906" s="2">
        <v>0</v>
      </c>
      <c r="K2906" s="2">
        <v>0</v>
      </c>
      <c r="L2906" s="2">
        <v>0</v>
      </c>
      <c r="M2906" s="2">
        <v>0</v>
      </c>
      <c r="N2906" s="2">
        <v>0</v>
      </c>
      <c r="O2906" s="2">
        <v>0</v>
      </c>
      <c r="P2906" s="2">
        <v>0</v>
      </c>
      <c r="Q2906" s="2">
        <v>0</v>
      </c>
      <c r="R2906" s="2">
        <v>0</v>
      </c>
      <c r="S2906" s="2" t="s">
        <v>488</v>
      </c>
      <c r="T2906" s="2" t="s">
        <v>488</v>
      </c>
      <c r="U2906" s="2" t="s">
        <v>488</v>
      </c>
      <c r="V2906" s="2" t="s">
        <v>488</v>
      </c>
      <c r="W2906">
        <f t="shared" si="47"/>
        <v>0</v>
      </c>
    </row>
    <row r="2907" spans="1:23" x14ac:dyDescent="0.25">
      <c r="A2907" s="2" t="s">
        <v>1380</v>
      </c>
      <c r="B2907" s="2" t="s">
        <v>922</v>
      </c>
      <c r="C2907" s="2">
        <v>540033</v>
      </c>
      <c r="D2907" s="2" t="s">
        <v>716</v>
      </c>
      <c r="E2907" s="2" t="s">
        <v>39</v>
      </c>
      <c r="F2907" s="2" t="s">
        <v>115</v>
      </c>
      <c r="G2907" s="2">
        <v>3</v>
      </c>
      <c r="H2907" s="2">
        <v>0</v>
      </c>
      <c r="I2907" s="2">
        <v>0</v>
      </c>
      <c r="J2907" s="2">
        <v>0</v>
      </c>
      <c r="K2907" s="2">
        <v>0</v>
      </c>
      <c r="L2907" s="2">
        <v>0</v>
      </c>
      <c r="M2907" s="2">
        <v>0</v>
      </c>
      <c r="N2907" s="2">
        <v>0</v>
      </c>
      <c r="O2907" s="2">
        <v>0</v>
      </c>
      <c r="P2907" s="2">
        <v>0</v>
      </c>
      <c r="Q2907" s="2">
        <v>0</v>
      </c>
      <c r="R2907" s="2">
        <v>0</v>
      </c>
      <c r="S2907" s="2" t="s">
        <v>488</v>
      </c>
      <c r="T2907" s="2" t="s">
        <v>488</v>
      </c>
      <c r="U2907" s="2" t="s">
        <v>488</v>
      </c>
      <c r="V2907" s="2" t="s">
        <v>488</v>
      </c>
      <c r="W2907">
        <f t="shared" si="47"/>
        <v>0</v>
      </c>
    </row>
    <row r="2908" spans="1:23" x14ac:dyDescent="0.25">
      <c r="A2908" s="255" t="s">
        <v>1380</v>
      </c>
      <c r="B2908" s="255" t="s">
        <v>922</v>
      </c>
      <c r="C2908" s="255"/>
      <c r="D2908" s="255"/>
      <c r="E2908" s="255" t="s">
        <v>39</v>
      </c>
      <c r="F2908" s="255"/>
      <c r="G2908" s="255"/>
      <c r="H2908" s="255">
        <v>1</v>
      </c>
      <c r="I2908" s="255">
        <v>5</v>
      </c>
      <c r="J2908" s="255">
        <v>0</v>
      </c>
      <c r="K2908" s="255">
        <v>0</v>
      </c>
      <c r="L2908" s="255">
        <v>0</v>
      </c>
      <c r="M2908" s="255">
        <v>5</v>
      </c>
      <c r="N2908" s="255">
        <v>6</v>
      </c>
      <c r="O2908" s="255">
        <v>0</v>
      </c>
      <c r="P2908" s="255">
        <v>0</v>
      </c>
      <c r="Q2908" s="255">
        <v>1</v>
      </c>
      <c r="R2908" s="255">
        <v>1</v>
      </c>
      <c r="S2908" s="255" t="s">
        <v>488</v>
      </c>
      <c r="T2908" s="255" t="s">
        <v>488</v>
      </c>
      <c r="U2908" s="255" t="s">
        <v>488</v>
      </c>
      <c r="V2908" s="255" t="s">
        <v>488</v>
      </c>
      <c r="W2908">
        <f t="shared" si="47"/>
        <v>7</v>
      </c>
    </row>
    <row r="2909" spans="1:23" x14ac:dyDescent="0.25">
      <c r="A2909" s="2" t="s">
        <v>1380</v>
      </c>
      <c r="B2909" s="2" t="s">
        <v>922</v>
      </c>
      <c r="C2909" s="2">
        <v>540085</v>
      </c>
      <c r="D2909" s="2" t="s">
        <v>717</v>
      </c>
      <c r="E2909" s="2" t="s">
        <v>41</v>
      </c>
      <c r="F2909" s="2" t="s">
        <v>5</v>
      </c>
      <c r="G2909" s="2">
        <v>7</v>
      </c>
      <c r="H2909" s="2">
        <v>1</v>
      </c>
      <c r="I2909" s="2">
        <v>2</v>
      </c>
      <c r="J2909" s="2">
        <v>0</v>
      </c>
      <c r="K2909" s="2">
        <v>0</v>
      </c>
      <c r="L2909" s="2">
        <v>0</v>
      </c>
      <c r="M2909" s="2">
        <v>2</v>
      </c>
      <c r="N2909" s="2">
        <v>3</v>
      </c>
      <c r="O2909" s="2">
        <v>0</v>
      </c>
      <c r="P2909" s="2">
        <v>0</v>
      </c>
      <c r="Q2909" s="2">
        <v>1</v>
      </c>
      <c r="R2909" s="2">
        <v>0</v>
      </c>
      <c r="S2909" s="2" t="s">
        <v>488</v>
      </c>
      <c r="T2909" s="2" t="s">
        <v>488</v>
      </c>
      <c r="U2909" s="2" t="s">
        <v>488</v>
      </c>
      <c r="V2909" s="2" t="s">
        <v>488</v>
      </c>
      <c r="W2909">
        <f t="shared" si="47"/>
        <v>3</v>
      </c>
    </row>
    <row r="2910" spans="1:23" x14ac:dyDescent="0.25">
      <c r="A2910" s="2" t="s">
        <v>1380</v>
      </c>
      <c r="B2910" s="2" t="s">
        <v>922</v>
      </c>
      <c r="C2910" s="2">
        <v>540086</v>
      </c>
      <c r="D2910" s="2" t="s">
        <v>718</v>
      </c>
      <c r="E2910" s="2" t="s">
        <v>41</v>
      </c>
      <c r="F2910" s="2" t="s">
        <v>115</v>
      </c>
      <c r="G2910" s="2">
        <v>7</v>
      </c>
      <c r="H2910" s="2">
        <v>0</v>
      </c>
      <c r="I2910" s="2">
        <v>0</v>
      </c>
      <c r="J2910" s="2">
        <v>0</v>
      </c>
      <c r="K2910" s="2">
        <v>0</v>
      </c>
      <c r="L2910" s="2">
        <v>0</v>
      </c>
      <c r="M2910" s="2">
        <v>0</v>
      </c>
      <c r="N2910" s="2">
        <v>0</v>
      </c>
      <c r="O2910" s="2">
        <v>0</v>
      </c>
      <c r="P2910" s="2">
        <v>0</v>
      </c>
      <c r="Q2910" s="2">
        <v>0</v>
      </c>
      <c r="R2910" s="2">
        <v>0</v>
      </c>
      <c r="S2910" s="2" t="s">
        <v>488</v>
      </c>
      <c r="T2910" s="2" t="s">
        <v>488</v>
      </c>
      <c r="U2910" s="2" t="s">
        <v>488</v>
      </c>
      <c r="V2910" s="2" t="s">
        <v>488</v>
      </c>
      <c r="W2910">
        <f t="shared" si="47"/>
        <v>0</v>
      </c>
    </row>
    <row r="2911" spans="1:23" x14ac:dyDescent="0.25">
      <c r="A2911" s="2" t="s">
        <v>1380</v>
      </c>
      <c r="B2911" s="2" t="s">
        <v>922</v>
      </c>
      <c r="C2911" s="2">
        <v>540087</v>
      </c>
      <c r="D2911" s="2" t="s">
        <v>719</v>
      </c>
      <c r="E2911" s="2" t="s">
        <v>41</v>
      </c>
      <c r="F2911" s="2" t="s">
        <v>115</v>
      </c>
      <c r="G2911" s="2">
        <v>7</v>
      </c>
      <c r="H2911" s="2">
        <v>1</v>
      </c>
      <c r="I2911" s="2">
        <v>0</v>
      </c>
      <c r="J2911" s="2">
        <v>0</v>
      </c>
      <c r="K2911" s="2">
        <v>0</v>
      </c>
      <c r="L2911" s="2">
        <v>0</v>
      </c>
      <c r="M2911" s="2">
        <v>0</v>
      </c>
      <c r="N2911" s="2">
        <v>1</v>
      </c>
      <c r="O2911" s="2">
        <v>0</v>
      </c>
      <c r="P2911" s="2">
        <v>0</v>
      </c>
      <c r="Q2911" s="2">
        <v>1</v>
      </c>
      <c r="R2911" s="2">
        <v>0</v>
      </c>
      <c r="S2911" s="2" t="s">
        <v>488</v>
      </c>
      <c r="T2911" s="2" t="s">
        <v>488</v>
      </c>
      <c r="U2911" s="2" t="s">
        <v>488</v>
      </c>
      <c r="V2911" s="2" t="s">
        <v>488</v>
      </c>
      <c r="W2911">
        <f t="shared" si="47"/>
        <v>1</v>
      </c>
    </row>
    <row r="2912" spans="1:23" x14ac:dyDescent="0.25">
      <c r="A2912" s="255" t="s">
        <v>1380</v>
      </c>
      <c r="B2912" s="255" t="s">
        <v>922</v>
      </c>
      <c r="C2912" s="255"/>
      <c r="D2912" s="255"/>
      <c r="E2912" s="255" t="s">
        <v>41</v>
      </c>
      <c r="F2912" s="255"/>
      <c r="G2912" s="255"/>
      <c r="H2912" s="255">
        <v>2</v>
      </c>
      <c r="I2912" s="255">
        <v>2</v>
      </c>
      <c r="J2912" s="255">
        <v>0</v>
      </c>
      <c r="K2912" s="255">
        <v>0</v>
      </c>
      <c r="L2912" s="255">
        <v>0</v>
      </c>
      <c r="M2912" s="255">
        <v>2</v>
      </c>
      <c r="N2912" s="255">
        <v>4</v>
      </c>
      <c r="O2912" s="255">
        <v>0</v>
      </c>
      <c r="P2912" s="255">
        <v>0</v>
      </c>
      <c r="Q2912" s="255">
        <v>2</v>
      </c>
      <c r="R2912" s="255">
        <v>0</v>
      </c>
      <c r="S2912" s="255" t="s">
        <v>488</v>
      </c>
      <c r="T2912" s="255" t="s">
        <v>488</v>
      </c>
      <c r="U2912" s="255" t="s">
        <v>488</v>
      </c>
      <c r="V2912" s="255" t="s">
        <v>488</v>
      </c>
      <c r="W2912">
        <f t="shared" si="47"/>
        <v>4</v>
      </c>
    </row>
    <row r="2913" spans="1:23" x14ac:dyDescent="0.25">
      <c r="A2913" s="2" t="s">
        <v>1380</v>
      </c>
      <c r="B2913" s="2" t="s">
        <v>922</v>
      </c>
      <c r="C2913" s="2">
        <v>540088</v>
      </c>
      <c r="D2913" s="2" t="s">
        <v>720</v>
      </c>
      <c r="E2913" s="2" t="s">
        <v>43</v>
      </c>
      <c r="F2913" s="2" t="s">
        <v>5</v>
      </c>
      <c r="G2913" s="2">
        <v>2</v>
      </c>
      <c r="H2913" s="2">
        <v>0</v>
      </c>
      <c r="I2913" s="2">
        <v>0</v>
      </c>
      <c r="J2913" s="2">
        <v>0</v>
      </c>
      <c r="K2913" s="2">
        <v>0</v>
      </c>
      <c r="L2913" s="2">
        <v>0</v>
      </c>
      <c r="M2913" s="2">
        <v>0</v>
      </c>
      <c r="N2913" s="2">
        <v>0</v>
      </c>
      <c r="O2913" s="2">
        <v>0</v>
      </c>
      <c r="P2913" s="2">
        <v>0</v>
      </c>
      <c r="Q2913" s="2" t="s">
        <v>488</v>
      </c>
      <c r="R2913" s="2" t="s">
        <v>488</v>
      </c>
      <c r="S2913" s="2" t="s">
        <v>488</v>
      </c>
      <c r="T2913" s="2" t="s">
        <v>488</v>
      </c>
      <c r="U2913" s="2" t="s">
        <v>488</v>
      </c>
      <c r="V2913" s="2" t="s">
        <v>488</v>
      </c>
      <c r="W2913">
        <f t="shared" si="47"/>
        <v>0</v>
      </c>
    </row>
    <row r="2914" spans="1:23" x14ac:dyDescent="0.25">
      <c r="A2914" s="2" t="s">
        <v>1380</v>
      </c>
      <c r="B2914" s="2" t="s">
        <v>922</v>
      </c>
      <c r="C2914" s="2">
        <v>540089</v>
      </c>
      <c r="D2914" s="2" t="s">
        <v>721</v>
      </c>
      <c r="E2914" s="2" t="s">
        <v>43</v>
      </c>
      <c r="F2914" s="2" t="s">
        <v>115</v>
      </c>
      <c r="G2914" s="2">
        <v>2</v>
      </c>
      <c r="H2914" s="2">
        <v>0</v>
      </c>
      <c r="I2914" s="2">
        <v>0</v>
      </c>
      <c r="J2914" s="2">
        <v>0</v>
      </c>
      <c r="K2914" s="2">
        <v>0</v>
      </c>
      <c r="L2914" s="2">
        <v>0</v>
      </c>
      <c r="M2914" s="2">
        <v>0</v>
      </c>
      <c r="N2914" s="2">
        <v>0</v>
      </c>
      <c r="O2914" s="2">
        <v>0</v>
      </c>
      <c r="P2914" s="2">
        <v>0</v>
      </c>
      <c r="Q2914" s="2" t="s">
        <v>488</v>
      </c>
      <c r="R2914" s="2" t="s">
        <v>488</v>
      </c>
      <c r="S2914" s="2" t="s">
        <v>488</v>
      </c>
      <c r="T2914" s="2" t="s">
        <v>488</v>
      </c>
      <c r="U2914" s="2" t="s">
        <v>488</v>
      </c>
      <c r="V2914" s="2" t="s">
        <v>488</v>
      </c>
      <c r="W2914">
        <f t="shared" si="47"/>
        <v>0</v>
      </c>
    </row>
    <row r="2915" spans="1:23" x14ac:dyDescent="0.25">
      <c r="A2915" s="2" t="s">
        <v>1380</v>
      </c>
      <c r="B2915" s="2" t="s">
        <v>922</v>
      </c>
      <c r="C2915" s="2">
        <v>540090</v>
      </c>
      <c r="D2915" s="2" t="s">
        <v>722</v>
      </c>
      <c r="E2915" s="2" t="s">
        <v>43</v>
      </c>
      <c r="F2915" s="2" t="s">
        <v>115</v>
      </c>
      <c r="G2915" s="2">
        <v>2</v>
      </c>
      <c r="H2915" s="2">
        <v>0</v>
      </c>
      <c r="I2915" s="2">
        <v>0</v>
      </c>
      <c r="J2915" s="2">
        <v>0</v>
      </c>
      <c r="K2915" s="2">
        <v>0</v>
      </c>
      <c r="L2915" s="2">
        <v>0</v>
      </c>
      <c r="M2915" s="2">
        <v>0</v>
      </c>
      <c r="N2915" s="2">
        <v>0</v>
      </c>
      <c r="O2915" s="2">
        <v>0</v>
      </c>
      <c r="P2915" s="2">
        <v>0</v>
      </c>
      <c r="Q2915" s="2" t="s">
        <v>488</v>
      </c>
      <c r="R2915" s="2" t="s">
        <v>488</v>
      </c>
      <c r="S2915" s="2" t="s">
        <v>488</v>
      </c>
      <c r="T2915" s="2" t="s">
        <v>488</v>
      </c>
      <c r="U2915" s="2" t="s">
        <v>488</v>
      </c>
      <c r="V2915" s="2" t="s">
        <v>488</v>
      </c>
      <c r="W2915">
        <f t="shared" si="47"/>
        <v>0</v>
      </c>
    </row>
    <row r="2916" spans="1:23" x14ac:dyDescent="0.25">
      <c r="A2916" s="255" t="s">
        <v>1380</v>
      </c>
      <c r="B2916" s="255" t="s">
        <v>922</v>
      </c>
      <c r="C2916" s="255"/>
      <c r="D2916" s="255"/>
      <c r="E2916" s="255" t="s">
        <v>43</v>
      </c>
      <c r="F2916" s="255"/>
      <c r="G2916" s="255"/>
      <c r="H2916" s="255">
        <v>0</v>
      </c>
      <c r="I2916" s="255">
        <v>0</v>
      </c>
      <c r="J2916" s="255">
        <v>0</v>
      </c>
      <c r="K2916" s="255">
        <v>0</v>
      </c>
      <c r="L2916" s="255">
        <v>0</v>
      </c>
      <c r="M2916" s="255">
        <v>0</v>
      </c>
      <c r="N2916" s="255">
        <v>0</v>
      </c>
      <c r="O2916" s="255">
        <v>0</v>
      </c>
      <c r="P2916" s="255">
        <v>0</v>
      </c>
      <c r="Q2916" s="255" t="s">
        <v>488</v>
      </c>
      <c r="R2916" s="255" t="s">
        <v>488</v>
      </c>
      <c r="S2916" s="255" t="s">
        <v>488</v>
      </c>
      <c r="T2916" s="255" t="s">
        <v>488</v>
      </c>
      <c r="U2916" s="255" t="s">
        <v>488</v>
      </c>
      <c r="V2916" s="255" t="s">
        <v>488</v>
      </c>
      <c r="W2916">
        <f t="shared" si="47"/>
        <v>0</v>
      </c>
    </row>
    <row r="2917" spans="1:23" x14ac:dyDescent="0.25">
      <c r="A2917" s="2" t="s">
        <v>1380</v>
      </c>
      <c r="B2917" s="2" t="s">
        <v>922</v>
      </c>
      <c r="C2917" s="2">
        <v>540097</v>
      </c>
      <c r="D2917" s="2" t="s">
        <v>723</v>
      </c>
      <c r="E2917" s="2" t="s">
        <v>45</v>
      </c>
      <c r="F2917" s="2" t="s">
        <v>5</v>
      </c>
      <c r="G2917" s="2">
        <v>6</v>
      </c>
      <c r="H2917" s="2">
        <v>0</v>
      </c>
      <c r="I2917" s="2">
        <v>0</v>
      </c>
      <c r="J2917" s="2">
        <v>0</v>
      </c>
      <c r="K2917" s="2">
        <v>0</v>
      </c>
      <c r="L2917" s="2">
        <v>0</v>
      </c>
      <c r="M2917" s="2">
        <v>0</v>
      </c>
      <c r="N2917" s="2">
        <v>0</v>
      </c>
      <c r="O2917" s="2">
        <v>0</v>
      </c>
      <c r="P2917" s="2">
        <v>0</v>
      </c>
      <c r="Q2917" s="2">
        <v>0</v>
      </c>
      <c r="R2917" s="2">
        <v>0</v>
      </c>
      <c r="S2917" s="2" t="s">
        <v>488</v>
      </c>
      <c r="T2917" s="2" t="s">
        <v>488</v>
      </c>
      <c r="U2917" s="2" t="s">
        <v>488</v>
      </c>
      <c r="V2917" s="2" t="s">
        <v>488</v>
      </c>
      <c r="W2917">
        <f t="shared" si="47"/>
        <v>0</v>
      </c>
    </row>
    <row r="2918" spans="1:23" x14ac:dyDescent="0.25">
      <c r="A2918" s="2" t="s">
        <v>1380</v>
      </c>
      <c r="B2918" s="2" t="s">
        <v>922</v>
      </c>
      <c r="C2918" s="2">
        <v>540098</v>
      </c>
      <c r="D2918" s="2" t="s">
        <v>724</v>
      </c>
      <c r="E2918" s="2" t="s">
        <v>45</v>
      </c>
      <c r="F2918" s="2" t="s">
        <v>115</v>
      </c>
      <c r="G2918" s="2">
        <v>6</v>
      </c>
      <c r="H2918" s="2">
        <v>0</v>
      </c>
      <c r="I2918" s="2">
        <v>0</v>
      </c>
      <c r="J2918" s="2">
        <v>0</v>
      </c>
      <c r="K2918" s="2">
        <v>0</v>
      </c>
      <c r="L2918" s="2">
        <v>0</v>
      </c>
      <c r="M2918" s="2">
        <v>0</v>
      </c>
      <c r="N2918" s="2">
        <v>0</v>
      </c>
      <c r="O2918" s="2">
        <v>0</v>
      </c>
      <c r="P2918" s="2">
        <v>0</v>
      </c>
      <c r="Q2918" s="2">
        <v>0</v>
      </c>
      <c r="R2918" s="2">
        <v>0</v>
      </c>
      <c r="S2918" s="2" t="s">
        <v>488</v>
      </c>
      <c r="T2918" s="2" t="s">
        <v>488</v>
      </c>
      <c r="U2918" s="2" t="s">
        <v>488</v>
      </c>
      <c r="V2918" s="2" t="s">
        <v>488</v>
      </c>
      <c r="W2918">
        <f t="shared" si="47"/>
        <v>0</v>
      </c>
    </row>
    <row r="2919" spans="1:23" x14ac:dyDescent="0.25">
      <c r="A2919" s="2" t="s">
        <v>1380</v>
      </c>
      <c r="B2919" s="2" t="s">
        <v>922</v>
      </c>
      <c r="C2919" s="2">
        <v>540099</v>
      </c>
      <c r="D2919" s="2" t="s">
        <v>725</v>
      </c>
      <c r="E2919" s="2" t="s">
        <v>45</v>
      </c>
      <c r="F2919" s="2" t="s">
        <v>115</v>
      </c>
      <c r="G2919" s="2">
        <v>6</v>
      </c>
      <c r="H2919" s="2">
        <v>0</v>
      </c>
      <c r="I2919" s="2">
        <v>0</v>
      </c>
      <c r="J2919" s="2">
        <v>0</v>
      </c>
      <c r="K2919" s="2">
        <v>0</v>
      </c>
      <c r="L2919" s="2">
        <v>0</v>
      </c>
      <c r="M2919" s="2">
        <v>0</v>
      </c>
      <c r="N2919" s="2">
        <v>0</v>
      </c>
      <c r="O2919" s="2">
        <v>0</v>
      </c>
      <c r="P2919" s="2">
        <v>0</v>
      </c>
      <c r="Q2919" s="2">
        <v>0</v>
      </c>
      <c r="R2919" s="2">
        <v>0</v>
      </c>
      <c r="S2919" s="2" t="s">
        <v>488</v>
      </c>
      <c r="T2919" s="2" t="s">
        <v>488</v>
      </c>
      <c r="U2919" s="2" t="s">
        <v>488</v>
      </c>
      <c r="V2919" s="2" t="s">
        <v>488</v>
      </c>
      <c r="W2919">
        <f t="shared" si="47"/>
        <v>0</v>
      </c>
    </row>
    <row r="2920" spans="1:23" x14ac:dyDescent="0.25">
      <c r="A2920" s="2" t="s">
        <v>1380</v>
      </c>
      <c r="B2920" s="2" t="s">
        <v>922</v>
      </c>
      <c r="C2920" s="2">
        <v>540100</v>
      </c>
      <c r="D2920" s="2" t="s">
        <v>726</v>
      </c>
      <c r="E2920" s="2" t="s">
        <v>45</v>
      </c>
      <c r="F2920" s="2" t="s">
        <v>115</v>
      </c>
      <c r="G2920" s="2">
        <v>6</v>
      </c>
      <c r="H2920" s="2">
        <v>0</v>
      </c>
      <c r="I2920" s="2">
        <v>0</v>
      </c>
      <c r="J2920" s="2">
        <v>0</v>
      </c>
      <c r="K2920" s="2">
        <v>0</v>
      </c>
      <c r="L2920" s="2">
        <v>0</v>
      </c>
      <c r="M2920" s="2">
        <v>0</v>
      </c>
      <c r="N2920" s="2">
        <v>0</v>
      </c>
      <c r="O2920" s="2">
        <v>0</v>
      </c>
      <c r="P2920" s="2">
        <v>0</v>
      </c>
      <c r="Q2920" s="2">
        <v>0</v>
      </c>
      <c r="R2920" s="2">
        <v>0</v>
      </c>
      <c r="S2920" s="2" t="s">
        <v>488</v>
      </c>
      <c r="T2920" s="2" t="s">
        <v>488</v>
      </c>
      <c r="U2920" s="2" t="s">
        <v>488</v>
      </c>
      <c r="V2920" s="2" t="s">
        <v>488</v>
      </c>
      <c r="W2920">
        <f t="shared" si="47"/>
        <v>0</v>
      </c>
    </row>
    <row r="2921" spans="1:23" x14ac:dyDescent="0.25">
      <c r="A2921" s="2" t="s">
        <v>1380</v>
      </c>
      <c r="B2921" s="2" t="s">
        <v>922</v>
      </c>
      <c r="C2921" s="2">
        <v>540101</v>
      </c>
      <c r="D2921" s="2" t="s">
        <v>727</v>
      </c>
      <c r="E2921" s="2" t="s">
        <v>45</v>
      </c>
      <c r="F2921" s="2" t="s">
        <v>115</v>
      </c>
      <c r="G2921" s="2">
        <v>6</v>
      </c>
      <c r="H2921" s="2">
        <v>0</v>
      </c>
      <c r="I2921" s="2">
        <v>2</v>
      </c>
      <c r="J2921" s="2">
        <v>0</v>
      </c>
      <c r="K2921" s="2">
        <v>0</v>
      </c>
      <c r="L2921" s="2">
        <v>0</v>
      </c>
      <c r="M2921" s="2">
        <v>2</v>
      </c>
      <c r="N2921" s="2">
        <v>2</v>
      </c>
      <c r="O2921" s="2">
        <v>0</v>
      </c>
      <c r="P2921" s="2">
        <v>0</v>
      </c>
      <c r="Q2921" s="2">
        <v>0</v>
      </c>
      <c r="R2921" s="2">
        <v>0</v>
      </c>
      <c r="S2921" s="2" t="s">
        <v>488</v>
      </c>
      <c r="T2921" s="2" t="s">
        <v>488</v>
      </c>
      <c r="U2921" s="2" t="s">
        <v>488</v>
      </c>
      <c r="V2921" s="2" t="s">
        <v>488</v>
      </c>
      <c r="W2921">
        <f t="shared" si="47"/>
        <v>2</v>
      </c>
    </row>
    <row r="2922" spans="1:23" x14ac:dyDescent="0.25">
      <c r="A2922" s="2" t="s">
        <v>1380</v>
      </c>
      <c r="B2922" s="2" t="s">
        <v>922</v>
      </c>
      <c r="C2922" s="2">
        <v>540102</v>
      </c>
      <c r="D2922" s="2" t="s">
        <v>728</v>
      </c>
      <c r="E2922" s="2" t="s">
        <v>45</v>
      </c>
      <c r="F2922" s="2" t="s">
        <v>115</v>
      </c>
      <c r="G2922" s="2">
        <v>6</v>
      </c>
      <c r="H2922" s="2">
        <v>0</v>
      </c>
      <c r="I2922" s="2">
        <v>0</v>
      </c>
      <c r="J2922" s="2">
        <v>0</v>
      </c>
      <c r="K2922" s="2">
        <v>0</v>
      </c>
      <c r="L2922" s="2">
        <v>0</v>
      </c>
      <c r="M2922" s="2">
        <v>0</v>
      </c>
      <c r="N2922" s="2">
        <v>0</v>
      </c>
      <c r="O2922" s="2">
        <v>0</v>
      </c>
      <c r="P2922" s="2">
        <v>0</v>
      </c>
      <c r="Q2922" s="2">
        <v>0</v>
      </c>
      <c r="R2922" s="2">
        <v>0</v>
      </c>
      <c r="S2922" s="2" t="s">
        <v>488</v>
      </c>
      <c r="T2922" s="2" t="s">
        <v>488</v>
      </c>
      <c r="U2922" s="2" t="s">
        <v>488</v>
      </c>
      <c r="V2922" s="2" t="s">
        <v>488</v>
      </c>
      <c r="W2922">
        <f t="shared" si="47"/>
        <v>0</v>
      </c>
    </row>
    <row r="2923" spans="1:23" x14ac:dyDescent="0.25">
      <c r="A2923" s="2" t="s">
        <v>1380</v>
      </c>
      <c r="B2923" s="2" t="s">
        <v>922</v>
      </c>
      <c r="C2923" s="2">
        <v>540103</v>
      </c>
      <c r="D2923" s="2" t="s">
        <v>729</v>
      </c>
      <c r="E2923" s="2" t="s">
        <v>45</v>
      </c>
      <c r="F2923" s="2" t="s">
        <v>115</v>
      </c>
      <c r="G2923" s="2">
        <v>6</v>
      </c>
      <c r="H2923" s="2">
        <v>0</v>
      </c>
      <c r="I2923" s="2">
        <v>0</v>
      </c>
      <c r="J2923" s="2">
        <v>0</v>
      </c>
      <c r="K2923" s="2">
        <v>0</v>
      </c>
      <c r="L2923" s="2">
        <v>0</v>
      </c>
      <c r="M2923" s="2">
        <v>0</v>
      </c>
      <c r="N2923" s="2">
        <v>0</v>
      </c>
      <c r="O2923" s="2">
        <v>0</v>
      </c>
      <c r="P2923" s="2">
        <v>0</v>
      </c>
      <c r="Q2923" s="2">
        <v>0</v>
      </c>
      <c r="R2923" s="2">
        <v>0</v>
      </c>
      <c r="S2923" s="2" t="s">
        <v>488</v>
      </c>
      <c r="T2923" s="2" t="s">
        <v>488</v>
      </c>
      <c r="U2923" s="2" t="s">
        <v>488</v>
      </c>
      <c r="V2923" s="2" t="s">
        <v>488</v>
      </c>
      <c r="W2923">
        <f t="shared" si="47"/>
        <v>0</v>
      </c>
    </row>
    <row r="2924" spans="1:23" x14ac:dyDescent="0.25">
      <c r="A2924" s="2" t="s">
        <v>1380</v>
      </c>
      <c r="B2924" s="2" t="s">
        <v>922</v>
      </c>
      <c r="C2924" s="2">
        <v>540104</v>
      </c>
      <c r="D2924" s="2" t="s">
        <v>730</v>
      </c>
      <c r="E2924" s="2" t="s">
        <v>45</v>
      </c>
      <c r="F2924" s="2" t="s">
        <v>115</v>
      </c>
      <c r="G2924" s="2">
        <v>6</v>
      </c>
      <c r="H2924" s="2">
        <v>0</v>
      </c>
      <c r="I2924" s="2">
        <v>0</v>
      </c>
      <c r="J2924" s="2">
        <v>0</v>
      </c>
      <c r="K2924" s="2">
        <v>0</v>
      </c>
      <c r="L2924" s="2">
        <v>0</v>
      </c>
      <c r="M2924" s="2">
        <v>0</v>
      </c>
      <c r="N2924" s="2">
        <v>0</v>
      </c>
      <c r="O2924" s="2">
        <v>0</v>
      </c>
      <c r="P2924" s="2">
        <v>0</v>
      </c>
      <c r="Q2924" s="2">
        <v>0</v>
      </c>
      <c r="R2924" s="2">
        <v>0</v>
      </c>
      <c r="S2924" s="2" t="s">
        <v>488</v>
      </c>
      <c r="T2924" s="2" t="s">
        <v>488</v>
      </c>
      <c r="U2924" s="2" t="s">
        <v>488</v>
      </c>
      <c r="V2924" s="2" t="s">
        <v>488</v>
      </c>
      <c r="W2924">
        <f t="shared" si="47"/>
        <v>0</v>
      </c>
    </row>
    <row r="2925" spans="1:23" x14ac:dyDescent="0.25">
      <c r="A2925" s="2" t="s">
        <v>1380</v>
      </c>
      <c r="B2925" s="2" t="s">
        <v>922</v>
      </c>
      <c r="C2925" s="2">
        <v>540105</v>
      </c>
      <c r="D2925" s="2" t="s">
        <v>731</v>
      </c>
      <c r="E2925" s="2" t="s">
        <v>45</v>
      </c>
      <c r="F2925" s="2" t="s">
        <v>115</v>
      </c>
      <c r="G2925" s="2">
        <v>6</v>
      </c>
      <c r="H2925" s="2">
        <v>0</v>
      </c>
      <c r="I2925" s="2">
        <v>0</v>
      </c>
      <c r="J2925" s="2">
        <v>0</v>
      </c>
      <c r="K2925" s="2">
        <v>0</v>
      </c>
      <c r="L2925" s="2">
        <v>0</v>
      </c>
      <c r="M2925" s="2">
        <v>0</v>
      </c>
      <c r="N2925" s="2">
        <v>0</v>
      </c>
      <c r="O2925" s="2">
        <v>0</v>
      </c>
      <c r="P2925" s="2">
        <v>0</v>
      </c>
      <c r="Q2925" s="2">
        <v>0</v>
      </c>
      <c r="R2925" s="2">
        <v>0</v>
      </c>
      <c r="S2925" s="2" t="s">
        <v>488</v>
      </c>
      <c r="T2925" s="2" t="s">
        <v>488</v>
      </c>
      <c r="U2925" s="2" t="s">
        <v>488</v>
      </c>
      <c r="V2925" s="2" t="s">
        <v>488</v>
      </c>
      <c r="W2925">
        <f t="shared" si="47"/>
        <v>0</v>
      </c>
    </row>
    <row r="2926" spans="1:23" x14ac:dyDescent="0.25">
      <c r="A2926" s="2" t="s">
        <v>1380</v>
      </c>
      <c r="B2926" s="2" t="s">
        <v>922</v>
      </c>
      <c r="C2926" s="2">
        <v>540106</v>
      </c>
      <c r="D2926" s="2" t="s">
        <v>732</v>
      </c>
      <c r="E2926" s="2" t="s">
        <v>45</v>
      </c>
      <c r="F2926" s="2" t="s">
        <v>115</v>
      </c>
      <c r="G2926" s="2">
        <v>6</v>
      </c>
      <c r="H2926" s="2">
        <v>0</v>
      </c>
      <c r="I2926" s="2">
        <v>0</v>
      </c>
      <c r="J2926" s="2">
        <v>0</v>
      </c>
      <c r="K2926" s="2">
        <v>0</v>
      </c>
      <c r="L2926" s="2">
        <v>0</v>
      </c>
      <c r="M2926" s="2">
        <v>0</v>
      </c>
      <c r="N2926" s="2">
        <v>0</v>
      </c>
      <c r="O2926" s="2">
        <v>0</v>
      </c>
      <c r="P2926" s="2">
        <v>0</v>
      </c>
      <c r="Q2926" s="2">
        <v>0</v>
      </c>
      <c r="R2926" s="2">
        <v>0</v>
      </c>
      <c r="S2926" s="2" t="s">
        <v>488</v>
      </c>
      <c r="T2926" s="2" t="s">
        <v>488</v>
      </c>
      <c r="U2926" s="2" t="s">
        <v>488</v>
      </c>
      <c r="V2926" s="2" t="s">
        <v>488</v>
      </c>
      <c r="W2926">
        <f t="shared" si="47"/>
        <v>0</v>
      </c>
    </row>
    <row r="2927" spans="1:23" x14ac:dyDescent="0.25">
      <c r="A2927" s="2" t="s">
        <v>1380</v>
      </c>
      <c r="B2927" s="2" t="s">
        <v>922</v>
      </c>
      <c r="C2927" s="2">
        <v>540292</v>
      </c>
      <c r="D2927" s="2" t="s">
        <v>733</v>
      </c>
      <c r="E2927" s="2" t="s">
        <v>45</v>
      </c>
      <c r="F2927" s="2" t="s">
        <v>115</v>
      </c>
      <c r="G2927" s="2">
        <v>6</v>
      </c>
      <c r="H2927" s="2">
        <v>0</v>
      </c>
      <c r="I2927" s="2">
        <v>0</v>
      </c>
      <c r="J2927" s="2">
        <v>0</v>
      </c>
      <c r="K2927" s="2">
        <v>0</v>
      </c>
      <c r="L2927" s="2">
        <v>0</v>
      </c>
      <c r="M2927" s="2">
        <v>0</v>
      </c>
      <c r="N2927" s="2">
        <v>0</v>
      </c>
      <c r="O2927" s="2">
        <v>0</v>
      </c>
      <c r="P2927" s="2">
        <v>0</v>
      </c>
      <c r="Q2927" s="2">
        <v>0</v>
      </c>
      <c r="R2927" s="2">
        <v>0</v>
      </c>
      <c r="S2927" s="2" t="s">
        <v>488</v>
      </c>
      <c r="T2927" s="2" t="s">
        <v>488</v>
      </c>
      <c r="U2927" s="2" t="s">
        <v>488</v>
      </c>
      <c r="V2927" s="2" t="s">
        <v>488</v>
      </c>
      <c r="W2927">
        <f t="shared" si="47"/>
        <v>0</v>
      </c>
    </row>
    <row r="2928" spans="1:23" x14ac:dyDescent="0.25">
      <c r="A2928" s="2" t="s">
        <v>1380</v>
      </c>
      <c r="B2928" s="2" t="s">
        <v>922</v>
      </c>
      <c r="C2928" s="2">
        <v>545556</v>
      </c>
      <c r="D2928" s="2" t="s">
        <v>734</v>
      </c>
      <c r="E2928" s="2" t="s">
        <v>45</v>
      </c>
      <c r="F2928" s="2" t="s">
        <v>115</v>
      </c>
      <c r="G2928" s="2">
        <v>6</v>
      </c>
      <c r="H2928" s="2">
        <v>0</v>
      </c>
      <c r="I2928" s="2">
        <v>0</v>
      </c>
      <c r="J2928" s="2">
        <v>0</v>
      </c>
      <c r="K2928" s="2">
        <v>0</v>
      </c>
      <c r="L2928" s="2">
        <v>0</v>
      </c>
      <c r="M2928" s="2">
        <v>0</v>
      </c>
      <c r="N2928" s="2">
        <v>0</v>
      </c>
      <c r="O2928" s="2">
        <v>0</v>
      </c>
      <c r="P2928" s="2">
        <v>0</v>
      </c>
      <c r="Q2928" s="2">
        <v>0</v>
      </c>
      <c r="R2928" s="2">
        <v>0</v>
      </c>
      <c r="S2928" s="2" t="s">
        <v>488</v>
      </c>
      <c r="T2928" s="2" t="s">
        <v>488</v>
      </c>
      <c r="U2928" s="2" t="s">
        <v>488</v>
      </c>
      <c r="V2928" s="2" t="s">
        <v>488</v>
      </c>
      <c r="W2928">
        <f t="shared" si="47"/>
        <v>0</v>
      </c>
    </row>
    <row r="2929" spans="1:23" x14ac:dyDescent="0.25">
      <c r="A2929" s="255" t="s">
        <v>1380</v>
      </c>
      <c r="B2929" s="255" t="s">
        <v>922</v>
      </c>
      <c r="C2929" s="255"/>
      <c r="D2929" s="255"/>
      <c r="E2929" s="255" t="s">
        <v>45</v>
      </c>
      <c r="F2929" s="255"/>
      <c r="G2929" s="255"/>
      <c r="H2929" s="255">
        <v>0</v>
      </c>
      <c r="I2929" s="255">
        <v>2</v>
      </c>
      <c r="J2929" s="255">
        <v>0</v>
      </c>
      <c r="K2929" s="255">
        <v>0</v>
      </c>
      <c r="L2929" s="255">
        <v>0</v>
      </c>
      <c r="M2929" s="255">
        <v>2</v>
      </c>
      <c r="N2929" s="255">
        <v>2</v>
      </c>
      <c r="O2929" s="255">
        <v>0</v>
      </c>
      <c r="P2929" s="255">
        <v>0</v>
      </c>
      <c r="Q2929" s="255">
        <v>0</v>
      </c>
      <c r="R2929" s="255">
        <v>0</v>
      </c>
      <c r="S2929" s="255" t="s">
        <v>488</v>
      </c>
      <c r="T2929" s="255" t="s">
        <v>488</v>
      </c>
      <c r="U2929" s="255" t="s">
        <v>488</v>
      </c>
      <c r="V2929" s="255" t="s">
        <v>488</v>
      </c>
      <c r="W2929">
        <f t="shared" si="47"/>
        <v>2</v>
      </c>
    </row>
    <row r="2930" spans="1:23" x14ac:dyDescent="0.25">
      <c r="A2930" s="2" t="s">
        <v>1380</v>
      </c>
      <c r="B2930" s="2" t="s">
        <v>922</v>
      </c>
      <c r="C2930" s="2">
        <v>540107</v>
      </c>
      <c r="D2930" s="2" t="s">
        <v>735</v>
      </c>
      <c r="E2930" s="2" t="s">
        <v>47</v>
      </c>
      <c r="F2930" s="2" t="s">
        <v>5</v>
      </c>
      <c r="G2930" s="2">
        <v>10</v>
      </c>
      <c r="H2930" s="2">
        <v>0</v>
      </c>
      <c r="I2930" s="2">
        <v>0</v>
      </c>
      <c r="J2930" s="2">
        <v>0</v>
      </c>
      <c r="K2930" s="2">
        <v>0</v>
      </c>
      <c r="L2930" s="2">
        <v>0</v>
      </c>
      <c r="M2930" s="2">
        <v>0</v>
      </c>
      <c r="N2930" s="2">
        <v>0</v>
      </c>
      <c r="O2930" s="2">
        <v>0</v>
      </c>
      <c r="P2930" s="2">
        <v>0</v>
      </c>
      <c r="Q2930" s="2" t="s">
        <v>488</v>
      </c>
      <c r="R2930" s="2" t="s">
        <v>488</v>
      </c>
      <c r="S2930" s="2" t="s">
        <v>488</v>
      </c>
      <c r="T2930" s="2" t="s">
        <v>488</v>
      </c>
      <c r="U2930" s="2" t="s">
        <v>488</v>
      </c>
      <c r="V2930" s="2" t="s">
        <v>488</v>
      </c>
      <c r="W2930">
        <f t="shared" si="47"/>
        <v>0</v>
      </c>
    </row>
    <row r="2931" spans="1:23" x14ac:dyDescent="0.25">
      <c r="A2931" s="2" t="s">
        <v>1380</v>
      </c>
      <c r="B2931" s="2" t="s">
        <v>922</v>
      </c>
      <c r="C2931" s="2">
        <v>540108</v>
      </c>
      <c r="D2931" s="2" t="s">
        <v>736</v>
      </c>
      <c r="E2931" s="2" t="s">
        <v>47</v>
      </c>
      <c r="F2931" s="2" t="s">
        <v>115</v>
      </c>
      <c r="G2931" s="2">
        <v>10</v>
      </c>
      <c r="H2931" s="2">
        <v>0</v>
      </c>
      <c r="I2931" s="2">
        <v>0</v>
      </c>
      <c r="J2931" s="2">
        <v>0</v>
      </c>
      <c r="K2931" s="2">
        <v>0</v>
      </c>
      <c r="L2931" s="2">
        <v>0</v>
      </c>
      <c r="M2931" s="2">
        <v>0</v>
      </c>
      <c r="N2931" s="2">
        <v>0</v>
      </c>
      <c r="O2931" s="2">
        <v>0</v>
      </c>
      <c r="P2931" s="2">
        <v>0</v>
      </c>
      <c r="Q2931" s="2" t="s">
        <v>488</v>
      </c>
      <c r="R2931" s="2" t="s">
        <v>488</v>
      </c>
      <c r="S2931" s="2" t="s">
        <v>488</v>
      </c>
      <c r="T2931" s="2" t="s">
        <v>488</v>
      </c>
      <c r="U2931" s="2" t="s">
        <v>488</v>
      </c>
      <c r="V2931" s="2" t="s">
        <v>488</v>
      </c>
      <c r="W2931">
        <f t="shared" si="47"/>
        <v>0</v>
      </c>
    </row>
    <row r="2932" spans="1:23" x14ac:dyDescent="0.25">
      <c r="A2932" s="2" t="s">
        <v>1380</v>
      </c>
      <c r="B2932" s="2" t="s">
        <v>922</v>
      </c>
      <c r="C2932" s="2">
        <v>540109</v>
      </c>
      <c r="D2932" s="2" t="s">
        <v>737</v>
      </c>
      <c r="E2932" s="2" t="s">
        <v>47</v>
      </c>
      <c r="F2932" s="2" t="s">
        <v>115</v>
      </c>
      <c r="G2932" s="2">
        <v>10</v>
      </c>
      <c r="H2932" s="2">
        <v>0</v>
      </c>
      <c r="I2932" s="2">
        <v>0</v>
      </c>
      <c r="J2932" s="2">
        <v>0</v>
      </c>
      <c r="K2932" s="2">
        <v>0</v>
      </c>
      <c r="L2932" s="2">
        <v>0</v>
      </c>
      <c r="M2932" s="2">
        <v>0</v>
      </c>
      <c r="N2932" s="2">
        <v>0</v>
      </c>
      <c r="O2932" s="2">
        <v>0</v>
      </c>
      <c r="P2932" s="2">
        <v>0</v>
      </c>
      <c r="Q2932" s="2" t="s">
        <v>488</v>
      </c>
      <c r="R2932" s="2" t="s">
        <v>488</v>
      </c>
      <c r="S2932" s="2" t="s">
        <v>488</v>
      </c>
      <c r="T2932" s="2" t="s">
        <v>488</v>
      </c>
      <c r="U2932" s="2" t="s">
        <v>488</v>
      </c>
      <c r="V2932" s="2" t="s">
        <v>488</v>
      </c>
      <c r="W2932">
        <f t="shared" si="47"/>
        <v>0</v>
      </c>
    </row>
    <row r="2933" spans="1:23" x14ac:dyDescent="0.25">
      <c r="A2933" s="2" t="s">
        <v>1380</v>
      </c>
      <c r="B2933" s="2" t="s">
        <v>922</v>
      </c>
      <c r="C2933" s="2">
        <v>540110</v>
      </c>
      <c r="D2933" s="2" t="s">
        <v>738</v>
      </c>
      <c r="E2933" s="2" t="s">
        <v>47</v>
      </c>
      <c r="F2933" s="2" t="s">
        <v>115</v>
      </c>
      <c r="G2933" s="2">
        <v>10</v>
      </c>
      <c r="H2933" s="2">
        <v>0</v>
      </c>
      <c r="I2933" s="2">
        <v>0</v>
      </c>
      <c r="J2933" s="2">
        <v>0</v>
      </c>
      <c r="K2933" s="2">
        <v>0</v>
      </c>
      <c r="L2933" s="2">
        <v>0</v>
      </c>
      <c r="M2933" s="2">
        <v>0</v>
      </c>
      <c r="N2933" s="2">
        <v>0</v>
      </c>
      <c r="O2933" s="2">
        <v>0</v>
      </c>
      <c r="P2933" s="2">
        <v>0</v>
      </c>
      <c r="Q2933" s="2" t="s">
        <v>488</v>
      </c>
      <c r="R2933" s="2" t="s">
        <v>488</v>
      </c>
      <c r="S2933" s="2" t="s">
        <v>488</v>
      </c>
      <c r="T2933" s="2" t="s">
        <v>488</v>
      </c>
      <c r="U2933" s="2" t="s">
        <v>488</v>
      </c>
      <c r="V2933" s="2" t="s">
        <v>488</v>
      </c>
      <c r="W2933">
        <f t="shared" si="47"/>
        <v>0</v>
      </c>
    </row>
    <row r="2934" spans="1:23" x14ac:dyDescent="0.25">
      <c r="A2934" s="2" t="s">
        <v>1380</v>
      </c>
      <c r="B2934" s="2" t="s">
        <v>922</v>
      </c>
      <c r="C2934" s="2">
        <v>540111</v>
      </c>
      <c r="D2934" s="2" t="s">
        <v>739</v>
      </c>
      <c r="E2934" s="2" t="s">
        <v>47</v>
      </c>
      <c r="F2934" s="2" t="s">
        <v>115</v>
      </c>
      <c r="G2934" s="2">
        <v>10</v>
      </c>
      <c r="H2934" s="2">
        <v>0</v>
      </c>
      <c r="I2934" s="2">
        <v>1</v>
      </c>
      <c r="J2934" s="2">
        <v>0</v>
      </c>
      <c r="K2934" s="2">
        <v>0</v>
      </c>
      <c r="L2934" s="2">
        <v>0</v>
      </c>
      <c r="M2934" s="2">
        <v>1</v>
      </c>
      <c r="N2934" s="2">
        <v>1</v>
      </c>
      <c r="O2934" s="2">
        <v>0</v>
      </c>
      <c r="P2934" s="2">
        <v>0</v>
      </c>
      <c r="Q2934" s="2" t="s">
        <v>488</v>
      </c>
      <c r="R2934" s="2" t="s">
        <v>488</v>
      </c>
      <c r="S2934" s="2" t="s">
        <v>488</v>
      </c>
      <c r="T2934" s="2" t="s">
        <v>488</v>
      </c>
      <c r="U2934" s="2" t="s">
        <v>488</v>
      </c>
      <c r="V2934" s="2" t="s">
        <v>488</v>
      </c>
      <c r="W2934">
        <f t="shared" si="47"/>
        <v>1</v>
      </c>
    </row>
    <row r="2935" spans="1:23" x14ac:dyDescent="0.25">
      <c r="A2935" s="2" t="s">
        <v>1380</v>
      </c>
      <c r="B2935" s="2" t="s">
        <v>922</v>
      </c>
      <c r="C2935" s="2">
        <v>540287</v>
      </c>
      <c r="D2935" s="2" t="s">
        <v>740</v>
      </c>
      <c r="E2935" s="2" t="s">
        <v>47</v>
      </c>
      <c r="F2935" s="2" t="s">
        <v>115</v>
      </c>
      <c r="G2935" s="2">
        <v>10</v>
      </c>
      <c r="H2935" s="2">
        <v>0</v>
      </c>
      <c r="I2935" s="2">
        <v>0</v>
      </c>
      <c r="J2935" s="2">
        <v>0</v>
      </c>
      <c r="K2935" s="2">
        <v>0</v>
      </c>
      <c r="L2935" s="2">
        <v>0</v>
      </c>
      <c r="M2935" s="2">
        <v>0</v>
      </c>
      <c r="N2935" s="2">
        <v>0</v>
      </c>
      <c r="O2935" s="2">
        <v>0</v>
      </c>
      <c r="P2935" s="2">
        <v>0</v>
      </c>
      <c r="Q2935" s="2" t="s">
        <v>488</v>
      </c>
      <c r="R2935" s="2" t="s">
        <v>488</v>
      </c>
      <c r="S2935" s="2" t="s">
        <v>488</v>
      </c>
      <c r="T2935" s="2" t="s">
        <v>488</v>
      </c>
      <c r="U2935" s="2" t="s">
        <v>488</v>
      </c>
      <c r="V2935" s="2" t="s">
        <v>488</v>
      </c>
      <c r="W2935">
        <f t="shared" si="47"/>
        <v>0</v>
      </c>
    </row>
    <row r="2936" spans="1:23" x14ac:dyDescent="0.25">
      <c r="A2936" s="2" t="s">
        <v>1380</v>
      </c>
      <c r="B2936" s="2" t="s">
        <v>922</v>
      </c>
      <c r="C2936" s="2">
        <v>540152</v>
      </c>
      <c r="D2936" s="2" t="s">
        <v>741</v>
      </c>
      <c r="E2936" s="2" t="s">
        <v>47</v>
      </c>
      <c r="F2936" s="2" t="s">
        <v>115</v>
      </c>
      <c r="G2936" s="2">
        <v>10</v>
      </c>
      <c r="H2936" s="2">
        <v>0</v>
      </c>
      <c r="I2936" s="2">
        <v>0</v>
      </c>
      <c r="J2936" s="2">
        <v>0</v>
      </c>
      <c r="K2936" s="2">
        <v>0</v>
      </c>
      <c r="L2936" s="2">
        <v>0</v>
      </c>
      <c r="M2936" s="2">
        <v>0</v>
      </c>
      <c r="N2936" s="2">
        <v>0</v>
      </c>
      <c r="O2936" s="2">
        <v>0</v>
      </c>
      <c r="P2936" s="2">
        <v>0</v>
      </c>
      <c r="Q2936" s="2" t="s">
        <v>488</v>
      </c>
      <c r="R2936" s="2" t="s">
        <v>488</v>
      </c>
      <c r="S2936" s="2" t="s">
        <v>488</v>
      </c>
      <c r="T2936" s="2" t="s">
        <v>488</v>
      </c>
      <c r="U2936" s="2" t="s">
        <v>488</v>
      </c>
      <c r="V2936" s="2" t="s">
        <v>488</v>
      </c>
      <c r="W2936">
        <f t="shared" si="47"/>
        <v>0</v>
      </c>
    </row>
    <row r="2937" spans="1:23" x14ac:dyDescent="0.25">
      <c r="A2937" s="255" t="s">
        <v>1380</v>
      </c>
      <c r="B2937" s="255" t="s">
        <v>922</v>
      </c>
      <c r="C2937" s="255"/>
      <c r="D2937" s="255"/>
      <c r="E2937" s="255" t="s">
        <v>47</v>
      </c>
      <c r="F2937" s="255"/>
      <c r="G2937" s="255"/>
      <c r="H2937" s="255">
        <v>0</v>
      </c>
      <c r="I2937" s="255">
        <v>1</v>
      </c>
      <c r="J2937" s="255">
        <v>0</v>
      </c>
      <c r="K2937" s="255">
        <v>0</v>
      </c>
      <c r="L2937" s="255">
        <v>0</v>
      </c>
      <c r="M2937" s="255">
        <v>1</v>
      </c>
      <c r="N2937" s="255">
        <v>1</v>
      </c>
      <c r="O2937" s="255">
        <v>0</v>
      </c>
      <c r="P2937" s="255">
        <v>0</v>
      </c>
      <c r="Q2937" s="255" t="s">
        <v>488</v>
      </c>
      <c r="R2937" s="255" t="s">
        <v>488</v>
      </c>
      <c r="S2937" s="255" t="s">
        <v>488</v>
      </c>
      <c r="T2937" s="255" t="s">
        <v>488</v>
      </c>
      <c r="U2937" s="255" t="s">
        <v>488</v>
      </c>
      <c r="V2937" s="255" t="s">
        <v>488</v>
      </c>
      <c r="W2937">
        <f t="shared" si="47"/>
        <v>1</v>
      </c>
    </row>
    <row r="2938" spans="1:23" x14ac:dyDescent="0.25">
      <c r="A2938" s="2" t="s">
        <v>1380</v>
      </c>
      <c r="B2938" s="2" t="s">
        <v>922</v>
      </c>
      <c r="C2938" s="2">
        <v>540112</v>
      </c>
      <c r="D2938" s="2" t="s">
        <v>742</v>
      </c>
      <c r="E2938" s="2" t="s">
        <v>49</v>
      </c>
      <c r="F2938" s="2" t="s">
        <v>5</v>
      </c>
      <c r="G2938" s="2">
        <v>2</v>
      </c>
      <c r="H2938" s="2">
        <v>0</v>
      </c>
      <c r="I2938" s="2">
        <v>0</v>
      </c>
      <c r="J2938" s="2">
        <v>0</v>
      </c>
      <c r="K2938" s="2">
        <v>0</v>
      </c>
      <c r="L2938" s="2">
        <v>0</v>
      </c>
      <c r="M2938" s="2">
        <v>0</v>
      </c>
      <c r="N2938" s="2">
        <v>0</v>
      </c>
      <c r="O2938" s="2">
        <v>0</v>
      </c>
      <c r="P2938" s="2">
        <v>0</v>
      </c>
      <c r="Q2938" s="2" t="s">
        <v>488</v>
      </c>
      <c r="R2938" s="2" t="s">
        <v>488</v>
      </c>
      <c r="S2938" s="2" t="s">
        <v>488</v>
      </c>
      <c r="T2938" s="2" t="s">
        <v>488</v>
      </c>
      <c r="U2938" s="2" t="s">
        <v>488</v>
      </c>
      <c r="V2938" s="2" t="s">
        <v>488</v>
      </c>
      <c r="W2938">
        <f t="shared" si="47"/>
        <v>0</v>
      </c>
    </row>
    <row r="2939" spans="1:23" x14ac:dyDescent="0.25">
      <c r="A2939" s="2" t="s">
        <v>1380</v>
      </c>
      <c r="B2939" s="2" t="s">
        <v>922</v>
      </c>
      <c r="C2939" s="2">
        <v>540113</v>
      </c>
      <c r="D2939" s="2" t="s">
        <v>743</v>
      </c>
      <c r="E2939" s="2" t="s">
        <v>49</v>
      </c>
      <c r="F2939" s="2" t="s">
        <v>115</v>
      </c>
      <c r="G2939" s="2">
        <v>2</v>
      </c>
      <c r="H2939" s="2">
        <v>0</v>
      </c>
      <c r="I2939" s="2">
        <v>0</v>
      </c>
      <c r="J2939" s="2">
        <v>0</v>
      </c>
      <c r="K2939" s="2">
        <v>0</v>
      </c>
      <c r="L2939" s="2">
        <v>0</v>
      </c>
      <c r="M2939" s="2">
        <v>0</v>
      </c>
      <c r="N2939" s="2">
        <v>0</v>
      </c>
      <c r="O2939" s="2">
        <v>0</v>
      </c>
      <c r="P2939" s="2">
        <v>0</v>
      </c>
      <c r="Q2939" s="2" t="s">
        <v>488</v>
      </c>
      <c r="R2939" s="2" t="s">
        <v>488</v>
      </c>
      <c r="S2939" s="2" t="s">
        <v>488</v>
      </c>
      <c r="T2939" s="2" t="s">
        <v>488</v>
      </c>
      <c r="U2939" s="2" t="s">
        <v>488</v>
      </c>
      <c r="V2939" s="2" t="s">
        <v>488</v>
      </c>
      <c r="W2939">
        <f t="shared" si="47"/>
        <v>0</v>
      </c>
    </row>
    <row r="2940" spans="1:23" x14ac:dyDescent="0.25">
      <c r="A2940" s="2" t="s">
        <v>1380</v>
      </c>
      <c r="B2940" s="2" t="s">
        <v>922</v>
      </c>
      <c r="C2940" s="2">
        <v>540247</v>
      </c>
      <c r="D2940" s="2" t="s">
        <v>744</v>
      </c>
      <c r="E2940" s="2" t="s">
        <v>49</v>
      </c>
      <c r="F2940" s="2" t="s">
        <v>115</v>
      </c>
      <c r="G2940" s="2">
        <v>2</v>
      </c>
      <c r="H2940" s="2">
        <v>0</v>
      </c>
      <c r="I2940" s="2">
        <v>0</v>
      </c>
      <c r="J2940" s="2">
        <v>0</v>
      </c>
      <c r="K2940" s="2">
        <v>0</v>
      </c>
      <c r="L2940" s="2">
        <v>0</v>
      </c>
      <c r="M2940" s="2">
        <v>0</v>
      </c>
      <c r="N2940" s="2">
        <v>0</v>
      </c>
      <c r="O2940" s="2">
        <v>0</v>
      </c>
      <c r="P2940" s="2">
        <v>0</v>
      </c>
      <c r="Q2940" s="2" t="s">
        <v>488</v>
      </c>
      <c r="R2940" s="2" t="s">
        <v>488</v>
      </c>
      <c r="S2940" s="2" t="s">
        <v>488</v>
      </c>
      <c r="T2940" s="2" t="s">
        <v>488</v>
      </c>
      <c r="U2940" s="2" t="s">
        <v>488</v>
      </c>
      <c r="V2940" s="2" t="s">
        <v>488</v>
      </c>
      <c r="W2940">
        <f t="shared" si="47"/>
        <v>0</v>
      </c>
    </row>
    <row r="2941" spans="1:23" x14ac:dyDescent="0.25">
      <c r="A2941" s="2" t="s">
        <v>1380</v>
      </c>
      <c r="B2941" s="2" t="s">
        <v>922</v>
      </c>
      <c r="C2941" s="2">
        <v>540248</v>
      </c>
      <c r="D2941" s="2" t="s">
        <v>745</v>
      </c>
      <c r="E2941" s="2" t="s">
        <v>49</v>
      </c>
      <c r="F2941" s="2" t="s">
        <v>115</v>
      </c>
      <c r="G2941" s="2">
        <v>2</v>
      </c>
      <c r="H2941" s="2">
        <v>0</v>
      </c>
      <c r="I2941" s="2">
        <v>0</v>
      </c>
      <c r="J2941" s="2">
        <v>0</v>
      </c>
      <c r="K2941" s="2">
        <v>0</v>
      </c>
      <c r="L2941" s="2">
        <v>0</v>
      </c>
      <c r="M2941" s="2">
        <v>0</v>
      </c>
      <c r="N2941" s="2">
        <v>0</v>
      </c>
      <c r="O2941" s="2">
        <v>0</v>
      </c>
      <c r="P2941" s="2">
        <v>0</v>
      </c>
      <c r="Q2941" s="2" t="s">
        <v>488</v>
      </c>
      <c r="R2941" s="2" t="s">
        <v>488</v>
      </c>
      <c r="S2941" s="2" t="s">
        <v>488</v>
      </c>
      <c r="T2941" s="2" t="s">
        <v>488</v>
      </c>
      <c r="U2941" s="2" t="s">
        <v>488</v>
      </c>
      <c r="V2941" s="2" t="s">
        <v>488</v>
      </c>
      <c r="W2941">
        <f t="shared" si="47"/>
        <v>0</v>
      </c>
    </row>
    <row r="2942" spans="1:23" x14ac:dyDescent="0.25">
      <c r="A2942" s="2" t="s">
        <v>1380</v>
      </c>
      <c r="B2942" s="2" t="s">
        <v>922</v>
      </c>
      <c r="C2942" s="2">
        <v>540249</v>
      </c>
      <c r="D2942" s="2" t="s">
        <v>746</v>
      </c>
      <c r="E2942" s="2" t="s">
        <v>49</v>
      </c>
      <c r="F2942" s="2" t="s">
        <v>115</v>
      </c>
      <c r="G2942" s="2">
        <v>2</v>
      </c>
      <c r="H2942" s="2">
        <v>0</v>
      </c>
      <c r="I2942" s="2">
        <v>0</v>
      </c>
      <c r="J2942" s="2">
        <v>0</v>
      </c>
      <c r="K2942" s="2">
        <v>0</v>
      </c>
      <c r="L2942" s="2">
        <v>0</v>
      </c>
      <c r="M2942" s="2">
        <v>0</v>
      </c>
      <c r="N2942" s="2">
        <v>0</v>
      </c>
      <c r="O2942" s="2">
        <v>0</v>
      </c>
      <c r="P2942" s="2">
        <v>0</v>
      </c>
      <c r="Q2942" s="2" t="s">
        <v>488</v>
      </c>
      <c r="R2942" s="2" t="s">
        <v>488</v>
      </c>
      <c r="S2942" s="2" t="s">
        <v>488</v>
      </c>
      <c r="T2942" s="2" t="s">
        <v>488</v>
      </c>
      <c r="U2942" s="2" t="s">
        <v>488</v>
      </c>
      <c r="V2942" s="2" t="s">
        <v>488</v>
      </c>
      <c r="W2942">
        <f t="shared" si="47"/>
        <v>0</v>
      </c>
    </row>
    <row r="2943" spans="1:23" x14ac:dyDescent="0.25">
      <c r="A2943" s="2" t="s">
        <v>1380</v>
      </c>
      <c r="B2943" s="2" t="s">
        <v>922</v>
      </c>
      <c r="C2943" s="2">
        <v>540250</v>
      </c>
      <c r="D2943" s="2" t="s">
        <v>747</v>
      </c>
      <c r="E2943" s="2" t="s">
        <v>49</v>
      </c>
      <c r="F2943" s="2" t="s">
        <v>115</v>
      </c>
      <c r="G2943" s="2">
        <v>2</v>
      </c>
      <c r="H2943" s="2">
        <v>0</v>
      </c>
      <c r="I2943" s="2">
        <v>0</v>
      </c>
      <c r="J2943" s="2">
        <v>0</v>
      </c>
      <c r="K2943" s="2">
        <v>0</v>
      </c>
      <c r="L2943" s="2">
        <v>0</v>
      </c>
      <c r="M2943" s="2">
        <v>0</v>
      </c>
      <c r="N2943" s="2">
        <v>0</v>
      </c>
      <c r="O2943" s="2">
        <v>0</v>
      </c>
      <c r="P2943" s="2">
        <v>0</v>
      </c>
      <c r="Q2943" s="2" t="s">
        <v>488</v>
      </c>
      <c r="R2943" s="2" t="s">
        <v>488</v>
      </c>
      <c r="S2943" s="2" t="s">
        <v>488</v>
      </c>
      <c r="T2943" s="2" t="s">
        <v>488</v>
      </c>
      <c r="U2943" s="2" t="s">
        <v>488</v>
      </c>
      <c r="V2943" s="2" t="s">
        <v>488</v>
      </c>
      <c r="W2943">
        <f t="shared" si="47"/>
        <v>0</v>
      </c>
    </row>
    <row r="2944" spans="1:23" x14ac:dyDescent="0.25">
      <c r="A2944" s="2" t="s">
        <v>1380</v>
      </c>
      <c r="B2944" s="2" t="s">
        <v>922</v>
      </c>
      <c r="C2944" s="2">
        <v>540251</v>
      </c>
      <c r="D2944" s="2" t="s">
        <v>748</v>
      </c>
      <c r="E2944" s="2" t="s">
        <v>49</v>
      </c>
      <c r="F2944" s="2" t="s">
        <v>115</v>
      </c>
      <c r="G2944" s="2">
        <v>2</v>
      </c>
      <c r="H2944" s="2">
        <v>0</v>
      </c>
      <c r="I2944" s="2">
        <v>0</v>
      </c>
      <c r="J2944" s="2">
        <v>0</v>
      </c>
      <c r="K2944" s="2">
        <v>0</v>
      </c>
      <c r="L2944" s="2">
        <v>0</v>
      </c>
      <c r="M2944" s="2">
        <v>0</v>
      </c>
      <c r="N2944" s="2">
        <v>0</v>
      </c>
      <c r="O2944" s="2">
        <v>0</v>
      </c>
      <c r="P2944" s="2">
        <v>0</v>
      </c>
      <c r="Q2944" s="2" t="s">
        <v>488</v>
      </c>
      <c r="R2944" s="2" t="s">
        <v>488</v>
      </c>
      <c r="S2944" s="2" t="s">
        <v>488</v>
      </c>
      <c r="T2944" s="2" t="s">
        <v>488</v>
      </c>
      <c r="U2944" s="2" t="s">
        <v>488</v>
      </c>
      <c r="V2944" s="2" t="s">
        <v>488</v>
      </c>
      <c r="W2944">
        <f t="shared" si="47"/>
        <v>0</v>
      </c>
    </row>
    <row r="2945" spans="1:23" x14ac:dyDescent="0.25">
      <c r="A2945" s="255" t="s">
        <v>1380</v>
      </c>
      <c r="B2945" s="255" t="s">
        <v>922</v>
      </c>
      <c r="C2945" s="255"/>
      <c r="D2945" s="255"/>
      <c r="E2945" s="255" t="s">
        <v>49</v>
      </c>
      <c r="F2945" s="255"/>
      <c r="G2945" s="255"/>
      <c r="H2945" s="255">
        <v>0</v>
      </c>
      <c r="I2945" s="255">
        <v>0</v>
      </c>
      <c r="J2945" s="255">
        <v>0</v>
      </c>
      <c r="K2945" s="255">
        <v>0</v>
      </c>
      <c r="L2945" s="255">
        <v>0</v>
      </c>
      <c r="M2945" s="255">
        <v>0</v>
      </c>
      <c r="N2945" s="255">
        <v>0</v>
      </c>
      <c r="O2945" s="255">
        <v>0</v>
      </c>
      <c r="P2945" s="255">
        <v>0</v>
      </c>
      <c r="Q2945" s="255" t="s">
        <v>488</v>
      </c>
      <c r="R2945" s="255" t="s">
        <v>488</v>
      </c>
      <c r="S2945" s="255" t="s">
        <v>488</v>
      </c>
      <c r="T2945" s="255" t="s">
        <v>488</v>
      </c>
      <c r="U2945" s="255" t="s">
        <v>488</v>
      </c>
      <c r="V2945" s="255" t="s">
        <v>488</v>
      </c>
      <c r="W2945">
        <f t="shared" si="47"/>
        <v>0</v>
      </c>
    </row>
    <row r="2946" spans="1:23" x14ac:dyDescent="0.25">
      <c r="A2946" s="2" t="s">
        <v>1380</v>
      </c>
      <c r="B2946" s="2" t="s">
        <v>922</v>
      </c>
      <c r="C2946" s="2">
        <v>540114</v>
      </c>
      <c r="D2946" s="2" t="s">
        <v>749</v>
      </c>
      <c r="E2946" s="2" t="s">
        <v>51</v>
      </c>
      <c r="F2946" s="2" t="s">
        <v>5</v>
      </c>
      <c r="G2946" s="2">
        <v>1</v>
      </c>
      <c r="H2946" s="2">
        <v>0</v>
      </c>
      <c r="I2946" s="2">
        <v>0</v>
      </c>
      <c r="J2946" s="2">
        <v>0</v>
      </c>
      <c r="K2946" s="2">
        <v>0</v>
      </c>
      <c r="L2946" s="2">
        <v>0</v>
      </c>
      <c r="M2946" s="2">
        <v>0</v>
      </c>
      <c r="N2946" s="2">
        <v>0</v>
      </c>
      <c r="O2946" s="2">
        <v>0</v>
      </c>
      <c r="P2946" s="2">
        <v>0</v>
      </c>
      <c r="Q2946" s="2">
        <v>0</v>
      </c>
      <c r="R2946" s="2">
        <v>0</v>
      </c>
      <c r="S2946" s="2">
        <v>0</v>
      </c>
      <c r="T2946" s="2">
        <v>0</v>
      </c>
      <c r="U2946" s="2" t="s">
        <v>488</v>
      </c>
      <c r="V2946" s="2" t="s">
        <v>488</v>
      </c>
      <c r="W2946">
        <f t="shared" si="47"/>
        <v>0</v>
      </c>
    </row>
    <row r="2947" spans="1:23" x14ac:dyDescent="0.25">
      <c r="A2947" s="2" t="s">
        <v>1380</v>
      </c>
      <c r="B2947" s="2" t="s">
        <v>922</v>
      </c>
      <c r="C2947" s="2">
        <v>540115</v>
      </c>
      <c r="D2947" s="2" t="s">
        <v>750</v>
      </c>
      <c r="E2947" s="2" t="s">
        <v>51</v>
      </c>
      <c r="F2947" s="2" t="s">
        <v>115</v>
      </c>
      <c r="G2947" s="2">
        <v>1</v>
      </c>
      <c r="H2947" s="2">
        <v>0</v>
      </c>
      <c r="I2947" s="2">
        <v>0</v>
      </c>
      <c r="J2947" s="2">
        <v>0</v>
      </c>
      <c r="K2947" s="2">
        <v>0</v>
      </c>
      <c r="L2947" s="2">
        <v>0</v>
      </c>
      <c r="M2947" s="2">
        <v>0</v>
      </c>
      <c r="N2947" s="2">
        <v>0</v>
      </c>
      <c r="O2947" s="2">
        <v>0</v>
      </c>
      <c r="P2947" s="2">
        <v>0</v>
      </c>
      <c r="Q2947" s="2">
        <v>0</v>
      </c>
      <c r="R2947" s="2">
        <v>0</v>
      </c>
      <c r="S2947" s="2">
        <v>0</v>
      </c>
      <c r="T2947" s="2">
        <v>0</v>
      </c>
      <c r="U2947" s="2" t="s">
        <v>488</v>
      </c>
      <c r="V2947" s="2" t="s">
        <v>488</v>
      </c>
      <c r="W2947">
        <f t="shared" ref="W2947:W3010" si="48">SUM(N2947,P2947,R2947,T2947)</f>
        <v>0</v>
      </c>
    </row>
    <row r="2948" spans="1:23" x14ac:dyDescent="0.25">
      <c r="A2948" s="2" t="s">
        <v>1380</v>
      </c>
      <c r="B2948" s="2" t="s">
        <v>922</v>
      </c>
      <c r="C2948" s="2">
        <v>540116</v>
      </c>
      <c r="D2948" s="2" t="s">
        <v>751</v>
      </c>
      <c r="E2948" s="2" t="s">
        <v>51</v>
      </c>
      <c r="F2948" s="2" t="s">
        <v>115</v>
      </c>
      <c r="G2948" s="2">
        <v>1</v>
      </c>
      <c r="H2948" s="2">
        <v>0</v>
      </c>
      <c r="I2948" s="2">
        <v>0</v>
      </c>
      <c r="J2948" s="2">
        <v>0</v>
      </c>
      <c r="K2948" s="2">
        <v>0</v>
      </c>
      <c r="L2948" s="2">
        <v>0</v>
      </c>
      <c r="M2948" s="2">
        <v>0</v>
      </c>
      <c r="N2948" s="2">
        <v>0</v>
      </c>
      <c r="O2948" s="2">
        <v>0</v>
      </c>
      <c r="P2948" s="2">
        <v>0</v>
      </c>
      <c r="Q2948" s="2">
        <v>0</v>
      </c>
      <c r="R2948" s="2">
        <v>0</v>
      </c>
      <c r="S2948" s="2">
        <v>0</v>
      </c>
      <c r="T2948" s="2">
        <v>0</v>
      </c>
      <c r="U2948" s="2" t="s">
        <v>488</v>
      </c>
      <c r="V2948" s="2" t="s">
        <v>488</v>
      </c>
      <c r="W2948">
        <f t="shared" si="48"/>
        <v>0</v>
      </c>
    </row>
    <row r="2949" spans="1:23" x14ac:dyDescent="0.25">
      <c r="A2949" s="2" t="s">
        <v>1380</v>
      </c>
      <c r="B2949" s="2" t="s">
        <v>922</v>
      </c>
      <c r="C2949" s="2">
        <v>540117</v>
      </c>
      <c r="D2949" s="2" t="s">
        <v>752</v>
      </c>
      <c r="E2949" s="2" t="s">
        <v>51</v>
      </c>
      <c r="F2949" s="2" t="s">
        <v>115</v>
      </c>
      <c r="G2949" s="2">
        <v>1</v>
      </c>
      <c r="H2949" s="2">
        <v>0</v>
      </c>
      <c r="I2949" s="2">
        <v>0</v>
      </c>
      <c r="J2949" s="2">
        <v>0</v>
      </c>
      <c r="K2949" s="2">
        <v>0</v>
      </c>
      <c r="L2949" s="2">
        <v>0</v>
      </c>
      <c r="M2949" s="2">
        <v>0</v>
      </c>
      <c r="N2949" s="2">
        <v>0</v>
      </c>
      <c r="O2949" s="2">
        <v>0</v>
      </c>
      <c r="P2949" s="2">
        <v>0</v>
      </c>
      <c r="Q2949" s="2">
        <v>0</v>
      </c>
      <c r="R2949" s="2">
        <v>0</v>
      </c>
      <c r="S2949" s="2">
        <v>0</v>
      </c>
      <c r="T2949" s="2">
        <v>0</v>
      </c>
      <c r="U2949" s="2" t="s">
        <v>488</v>
      </c>
      <c r="V2949" s="2" t="s">
        <v>488</v>
      </c>
      <c r="W2949">
        <f t="shared" si="48"/>
        <v>0</v>
      </c>
    </row>
    <row r="2950" spans="1:23" x14ac:dyDescent="0.25">
      <c r="A2950" s="2" t="s">
        <v>1380</v>
      </c>
      <c r="B2950" s="2" t="s">
        <v>922</v>
      </c>
      <c r="C2950" s="2">
        <v>540118</v>
      </c>
      <c r="D2950" s="2" t="s">
        <v>753</v>
      </c>
      <c r="E2950" s="2" t="s">
        <v>51</v>
      </c>
      <c r="F2950" s="2" t="s">
        <v>115</v>
      </c>
      <c r="G2950" s="2">
        <v>1</v>
      </c>
      <c r="H2950" s="2">
        <v>0</v>
      </c>
      <c r="I2950" s="2">
        <v>0</v>
      </c>
      <c r="J2950" s="2">
        <v>0</v>
      </c>
      <c r="K2950" s="2">
        <v>0</v>
      </c>
      <c r="L2950" s="2">
        <v>0</v>
      </c>
      <c r="M2950" s="2">
        <v>0</v>
      </c>
      <c r="N2950" s="2">
        <v>0</v>
      </c>
      <c r="O2950" s="2">
        <v>0</v>
      </c>
      <c r="P2950" s="2">
        <v>0</v>
      </c>
      <c r="Q2950" s="2">
        <v>0</v>
      </c>
      <c r="R2950" s="2">
        <v>0</v>
      </c>
      <c r="S2950" s="2">
        <v>0</v>
      </c>
      <c r="T2950" s="2">
        <v>0</v>
      </c>
      <c r="U2950" s="2" t="s">
        <v>488</v>
      </c>
      <c r="V2950" s="2" t="s">
        <v>488</v>
      </c>
      <c r="W2950">
        <f t="shared" si="48"/>
        <v>0</v>
      </c>
    </row>
    <row r="2951" spans="1:23" x14ac:dyDescent="0.25">
      <c r="A2951" s="2" t="s">
        <v>1380</v>
      </c>
      <c r="B2951" s="2" t="s">
        <v>922</v>
      </c>
      <c r="C2951" s="2">
        <v>540119</v>
      </c>
      <c r="D2951" s="2" t="s">
        <v>754</v>
      </c>
      <c r="E2951" s="2" t="s">
        <v>51</v>
      </c>
      <c r="F2951" s="2" t="s">
        <v>115</v>
      </c>
      <c r="G2951" s="2">
        <v>1</v>
      </c>
      <c r="H2951" s="2">
        <v>0</v>
      </c>
      <c r="I2951" s="2">
        <v>0</v>
      </c>
      <c r="J2951" s="2">
        <v>0</v>
      </c>
      <c r="K2951" s="2">
        <v>0</v>
      </c>
      <c r="L2951" s="2">
        <v>0</v>
      </c>
      <c r="M2951" s="2">
        <v>0</v>
      </c>
      <c r="N2951" s="2">
        <v>0</v>
      </c>
      <c r="O2951" s="2">
        <v>0</v>
      </c>
      <c r="P2951" s="2">
        <v>0</v>
      </c>
      <c r="Q2951" s="2">
        <v>0</v>
      </c>
      <c r="R2951" s="2">
        <v>0</v>
      </c>
      <c r="S2951" s="2">
        <v>0</v>
      </c>
      <c r="T2951" s="2">
        <v>0</v>
      </c>
      <c r="U2951" s="2" t="s">
        <v>488</v>
      </c>
      <c r="V2951" s="2" t="s">
        <v>488</v>
      </c>
      <c r="W2951">
        <f t="shared" si="48"/>
        <v>0</v>
      </c>
    </row>
    <row r="2952" spans="1:23" x14ac:dyDescent="0.25">
      <c r="A2952" s="2" t="s">
        <v>1380</v>
      </c>
      <c r="B2952" s="2" t="s">
        <v>922</v>
      </c>
      <c r="C2952" s="2">
        <v>540120</v>
      </c>
      <c r="D2952" s="2" t="s">
        <v>755</v>
      </c>
      <c r="E2952" s="2" t="s">
        <v>51</v>
      </c>
      <c r="F2952" s="2" t="s">
        <v>115</v>
      </c>
      <c r="G2952" s="2">
        <v>1</v>
      </c>
      <c r="H2952" s="2">
        <v>0</v>
      </c>
      <c r="I2952" s="2">
        <v>0</v>
      </c>
      <c r="J2952" s="2">
        <v>0</v>
      </c>
      <c r="K2952" s="2">
        <v>0</v>
      </c>
      <c r="L2952" s="2">
        <v>0</v>
      </c>
      <c r="M2952" s="2">
        <v>0</v>
      </c>
      <c r="N2952" s="2">
        <v>0</v>
      </c>
      <c r="O2952" s="2">
        <v>0</v>
      </c>
      <c r="P2952" s="2">
        <v>0</v>
      </c>
      <c r="Q2952" s="2">
        <v>0</v>
      </c>
      <c r="R2952" s="2">
        <v>0</v>
      </c>
      <c r="S2952" s="2">
        <v>0</v>
      </c>
      <c r="T2952" s="2">
        <v>0</v>
      </c>
      <c r="U2952" s="2" t="s">
        <v>488</v>
      </c>
      <c r="V2952" s="2" t="s">
        <v>488</v>
      </c>
      <c r="W2952">
        <f t="shared" si="48"/>
        <v>0</v>
      </c>
    </row>
    <row r="2953" spans="1:23" x14ac:dyDescent="0.25">
      <c r="A2953" s="2" t="s">
        <v>1380</v>
      </c>
      <c r="B2953" s="2" t="s">
        <v>922</v>
      </c>
      <c r="C2953" s="2">
        <v>540121</v>
      </c>
      <c r="D2953" s="2" t="s">
        <v>756</v>
      </c>
      <c r="E2953" s="2" t="s">
        <v>51</v>
      </c>
      <c r="F2953" s="2" t="s">
        <v>115</v>
      </c>
      <c r="G2953" s="2">
        <v>1</v>
      </c>
      <c r="H2953" s="2">
        <v>0</v>
      </c>
      <c r="I2953" s="2">
        <v>0</v>
      </c>
      <c r="J2953" s="2">
        <v>0</v>
      </c>
      <c r="K2953" s="2">
        <v>0</v>
      </c>
      <c r="L2953" s="2">
        <v>0</v>
      </c>
      <c r="M2953" s="2">
        <v>0</v>
      </c>
      <c r="N2953" s="2">
        <v>0</v>
      </c>
      <c r="O2953" s="2">
        <v>0</v>
      </c>
      <c r="P2953" s="2">
        <v>0</v>
      </c>
      <c r="Q2953" s="2">
        <v>0</v>
      </c>
      <c r="R2953" s="2">
        <v>0</v>
      </c>
      <c r="S2953" s="2">
        <v>0</v>
      </c>
      <c r="T2953" s="2">
        <v>0</v>
      </c>
      <c r="U2953" s="2" t="s">
        <v>488</v>
      </c>
      <c r="V2953" s="2" t="s">
        <v>488</v>
      </c>
      <c r="W2953">
        <f t="shared" si="48"/>
        <v>0</v>
      </c>
    </row>
    <row r="2954" spans="1:23" x14ac:dyDescent="0.25">
      <c r="A2954" s="2" t="s">
        <v>1380</v>
      </c>
      <c r="B2954" s="2" t="s">
        <v>922</v>
      </c>
      <c r="C2954" s="2">
        <v>540122</v>
      </c>
      <c r="D2954" s="2" t="s">
        <v>757</v>
      </c>
      <c r="E2954" s="2" t="s">
        <v>51</v>
      </c>
      <c r="F2954" s="2" t="s">
        <v>115</v>
      </c>
      <c r="G2954" s="2">
        <v>1</v>
      </c>
      <c r="H2954" s="2">
        <v>0</v>
      </c>
      <c r="I2954" s="2">
        <v>0</v>
      </c>
      <c r="J2954" s="2">
        <v>0</v>
      </c>
      <c r="K2954" s="2">
        <v>0</v>
      </c>
      <c r="L2954" s="2">
        <v>0</v>
      </c>
      <c r="M2954" s="2">
        <v>0</v>
      </c>
      <c r="N2954" s="2">
        <v>0</v>
      </c>
      <c r="O2954" s="2">
        <v>0</v>
      </c>
      <c r="P2954" s="2">
        <v>0</v>
      </c>
      <c r="Q2954" s="2">
        <v>0</v>
      </c>
      <c r="R2954" s="2">
        <v>0</v>
      </c>
      <c r="S2954" s="2">
        <v>0</v>
      </c>
      <c r="T2954" s="2">
        <v>0</v>
      </c>
      <c r="U2954" s="2" t="s">
        <v>488</v>
      </c>
      <c r="V2954" s="2" t="s">
        <v>488</v>
      </c>
      <c r="W2954">
        <f t="shared" si="48"/>
        <v>0</v>
      </c>
    </row>
    <row r="2955" spans="1:23" x14ac:dyDescent="0.25">
      <c r="A2955" s="2" t="s">
        <v>1380</v>
      </c>
      <c r="B2955" s="2" t="s">
        <v>922</v>
      </c>
      <c r="C2955" s="2">
        <v>540123</v>
      </c>
      <c r="D2955" s="2" t="s">
        <v>758</v>
      </c>
      <c r="E2955" s="2" t="s">
        <v>51</v>
      </c>
      <c r="F2955" s="2" t="s">
        <v>115</v>
      </c>
      <c r="G2955" s="2">
        <v>1</v>
      </c>
      <c r="H2955" s="2">
        <v>0</v>
      </c>
      <c r="I2955" s="2">
        <v>5</v>
      </c>
      <c r="J2955" s="2">
        <v>0</v>
      </c>
      <c r="K2955" s="2">
        <v>0</v>
      </c>
      <c r="L2955" s="2">
        <v>0</v>
      </c>
      <c r="M2955" s="2">
        <v>5</v>
      </c>
      <c r="N2955" s="2">
        <v>5</v>
      </c>
      <c r="O2955" s="2">
        <v>0</v>
      </c>
      <c r="P2955" s="2">
        <v>0</v>
      </c>
      <c r="Q2955" s="2">
        <v>0</v>
      </c>
      <c r="R2955" s="2">
        <v>0</v>
      </c>
      <c r="S2955" s="2">
        <v>0</v>
      </c>
      <c r="T2955" s="2">
        <v>0</v>
      </c>
      <c r="U2955" s="2" t="s">
        <v>488</v>
      </c>
      <c r="V2955" s="2" t="s">
        <v>488</v>
      </c>
      <c r="W2955">
        <f t="shared" si="48"/>
        <v>5</v>
      </c>
    </row>
    <row r="2956" spans="1:23" x14ac:dyDescent="0.25">
      <c r="A2956" s="2" t="s">
        <v>1380</v>
      </c>
      <c r="B2956" s="2" t="s">
        <v>922</v>
      </c>
      <c r="C2956" s="2">
        <v>540291</v>
      </c>
      <c r="D2956" s="2" t="s">
        <v>759</v>
      </c>
      <c r="E2956" s="2" t="s">
        <v>51</v>
      </c>
      <c r="F2956" s="2" t="s">
        <v>115</v>
      </c>
      <c r="G2956" s="2">
        <v>1</v>
      </c>
      <c r="H2956" s="2">
        <v>0</v>
      </c>
      <c r="I2956" s="2">
        <v>0</v>
      </c>
      <c r="J2956" s="2">
        <v>0</v>
      </c>
      <c r="K2956" s="2">
        <v>0</v>
      </c>
      <c r="L2956" s="2">
        <v>0</v>
      </c>
      <c r="M2956" s="2">
        <v>0</v>
      </c>
      <c r="N2956" s="2">
        <v>0</v>
      </c>
      <c r="O2956" s="2">
        <v>0</v>
      </c>
      <c r="P2956" s="2">
        <v>0</v>
      </c>
      <c r="Q2956" s="2">
        <v>0</v>
      </c>
      <c r="R2956" s="2">
        <v>0</v>
      </c>
      <c r="S2956" s="2">
        <v>0</v>
      </c>
      <c r="T2956" s="2">
        <v>0</v>
      </c>
      <c r="U2956" s="2" t="s">
        <v>488</v>
      </c>
      <c r="V2956" s="2" t="s">
        <v>488</v>
      </c>
      <c r="W2956">
        <f t="shared" si="48"/>
        <v>0</v>
      </c>
    </row>
    <row r="2957" spans="1:23" x14ac:dyDescent="0.25">
      <c r="A2957" s="255" t="s">
        <v>1380</v>
      </c>
      <c r="B2957" s="255" t="s">
        <v>922</v>
      </c>
      <c r="C2957" s="255"/>
      <c r="D2957" s="255"/>
      <c r="E2957" s="255" t="s">
        <v>51</v>
      </c>
      <c r="F2957" s="255"/>
      <c r="G2957" s="255"/>
      <c r="H2957" s="255">
        <v>0</v>
      </c>
      <c r="I2957" s="255">
        <v>5</v>
      </c>
      <c r="J2957" s="255">
        <v>0</v>
      </c>
      <c r="K2957" s="255">
        <v>0</v>
      </c>
      <c r="L2957" s="255">
        <v>0</v>
      </c>
      <c r="M2957" s="255">
        <v>5</v>
      </c>
      <c r="N2957" s="255">
        <v>5</v>
      </c>
      <c r="O2957" s="255">
        <v>0</v>
      </c>
      <c r="P2957" s="255">
        <v>0</v>
      </c>
      <c r="Q2957" s="255">
        <v>0</v>
      </c>
      <c r="R2957" s="255">
        <v>0</v>
      </c>
      <c r="S2957" s="255">
        <v>0</v>
      </c>
      <c r="T2957" s="255">
        <v>0</v>
      </c>
      <c r="U2957" s="255" t="s">
        <v>488</v>
      </c>
      <c r="V2957" s="255" t="s">
        <v>488</v>
      </c>
      <c r="W2957">
        <f t="shared" si="48"/>
        <v>5</v>
      </c>
    </row>
    <row r="2958" spans="1:23" x14ac:dyDescent="0.25">
      <c r="A2958" s="2" t="s">
        <v>1380</v>
      </c>
      <c r="B2958" s="2" t="s">
        <v>922</v>
      </c>
      <c r="C2958" s="2">
        <v>540124</v>
      </c>
      <c r="D2958" s="2" t="s">
        <v>760</v>
      </c>
      <c r="E2958" s="2" t="s">
        <v>53</v>
      </c>
      <c r="F2958" s="2" t="s">
        <v>5</v>
      </c>
      <c r="G2958" s="2">
        <v>1</v>
      </c>
      <c r="H2958" s="2">
        <v>0</v>
      </c>
      <c r="I2958" s="2">
        <v>0</v>
      </c>
      <c r="J2958" s="2">
        <v>0</v>
      </c>
      <c r="K2958" s="2">
        <v>0</v>
      </c>
      <c r="L2958" s="2">
        <v>0</v>
      </c>
      <c r="M2958" s="2">
        <v>0</v>
      </c>
      <c r="N2958" s="2">
        <v>0</v>
      </c>
      <c r="O2958" s="2">
        <v>0</v>
      </c>
      <c r="P2958" s="2">
        <v>0</v>
      </c>
      <c r="Q2958" s="2">
        <v>0</v>
      </c>
      <c r="R2958" s="2">
        <v>0</v>
      </c>
      <c r="S2958" s="2" t="s">
        <v>488</v>
      </c>
      <c r="T2958" s="2" t="s">
        <v>488</v>
      </c>
      <c r="U2958" s="2" t="s">
        <v>488</v>
      </c>
      <c r="V2958" s="2" t="s">
        <v>488</v>
      </c>
      <c r="W2958">
        <f t="shared" si="48"/>
        <v>0</v>
      </c>
    </row>
    <row r="2959" spans="1:23" x14ac:dyDescent="0.25">
      <c r="A2959" s="2" t="s">
        <v>1380</v>
      </c>
      <c r="B2959" s="2" t="s">
        <v>922</v>
      </c>
      <c r="C2959" s="2">
        <v>540125</v>
      </c>
      <c r="D2959" s="2" t="s">
        <v>761</v>
      </c>
      <c r="E2959" s="2" t="s">
        <v>53</v>
      </c>
      <c r="F2959" s="2" t="s">
        <v>115</v>
      </c>
      <c r="G2959" s="2">
        <v>1</v>
      </c>
      <c r="H2959" s="2">
        <v>0</v>
      </c>
      <c r="I2959" s="2">
        <v>0</v>
      </c>
      <c r="J2959" s="2">
        <v>0</v>
      </c>
      <c r="K2959" s="2">
        <v>0</v>
      </c>
      <c r="L2959" s="2">
        <v>0</v>
      </c>
      <c r="M2959" s="2">
        <v>0</v>
      </c>
      <c r="N2959" s="2">
        <v>0</v>
      </c>
      <c r="O2959" s="2">
        <v>0</v>
      </c>
      <c r="P2959" s="2">
        <v>0</v>
      </c>
      <c r="Q2959" s="2">
        <v>0</v>
      </c>
      <c r="R2959" s="2">
        <v>0</v>
      </c>
      <c r="S2959" s="2" t="s">
        <v>488</v>
      </c>
      <c r="T2959" s="2" t="s">
        <v>488</v>
      </c>
      <c r="U2959" s="2" t="s">
        <v>488</v>
      </c>
      <c r="V2959" s="2" t="s">
        <v>488</v>
      </c>
      <c r="W2959">
        <f t="shared" si="48"/>
        <v>0</v>
      </c>
    </row>
    <row r="2960" spans="1:23" x14ac:dyDescent="0.25">
      <c r="A2960" s="2" t="s">
        <v>1380</v>
      </c>
      <c r="B2960" s="2" t="s">
        <v>922</v>
      </c>
      <c r="C2960" s="2">
        <v>540126</v>
      </c>
      <c r="D2960" s="2" t="s">
        <v>762</v>
      </c>
      <c r="E2960" s="2" t="s">
        <v>53</v>
      </c>
      <c r="F2960" s="2" t="s">
        <v>115</v>
      </c>
      <c r="G2960" s="2">
        <v>1</v>
      </c>
      <c r="H2960" s="2">
        <v>0</v>
      </c>
      <c r="I2960" s="2">
        <v>0</v>
      </c>
      <c r="J2960" s="2">
        <v>0</v>
      </c>
      <c r="K2960" s="2">
        <v>0</v>
      </c>
      <c r="L2960" s="2">
        <v>0</v>
      </c>
      <c r="M2960" s="2">
        <v>0</v>
      </c>
      <c r="N2960" s="2">
        <v>0</v>
      </c>
      <c r="O2960" s="2">
        <v>0</v>
      </c>
      <c r="P2960" s="2">
        <v>0</v>
      </c>
      <c r="Q2960" s="2">
        <v>0</v>
      </c>
      <c r="R2960" s="2">
        <v>0</v>
      </c>
      <c r="S2960" s="2" t="s">
        <v>488</v>
      </c>
      <c r="T2960" s="2" t="s">
        <v>488</v>
      </c>
      <c r="U2960" s="2" t="s">
        <v>488</v>
      </c>
      <c r="V2960" s="2" t="s">
        <v>488</v>
      </c>
      <c r="W2960">
        <f t="shared" si="48"/>
        <v>0</v>
      </c>
    </row>
    <row r="2961" spans="1:23" x14ac:dyDescent="0.25">
      <c r="A2961" s="2" t="s">
        <v>1380</v>
      </c>
      <c r="B2961" s="2" t="s">
        <v>922</v>
      </c>
      <c r="C2961" s="2">
        <v>540127</v>
      </c>
      <c r="D2961" s="2" t="s">
        <v>763</v>
      </c>
      <c r="E2961" s="2" t="s">
        <v>53</v>
      </c>
      <c r="F2961" s="2" t="s">
        <v>115</v>
      </c>
      <c r="G2961" s="2">
        <v>1</v>
      </c>
      <c r="H2961" s="2">
        <v>0</v>
      </c>
      <c r="I2961" s="2">
        <v>0</v>
      </c>
      <c r="J2961" s="2">
        <v>0</v>
      </c>
      <c r="K2961" s="2">
        <v>0</v>
      </c>
      <c r="L2961" s="2">
        <v>0</v>
      </c>
      <c r="M2961" s="2">
        <v>0</v>
      </c>
      <c r="N2961" s="2">
        <v>0</v>
      </c>
      <c r="O2961" s="2">
        <v>0</v>
      </c>
      <c r="P2961" s="2">
        <v>0</v>
      </c>
      <c r="Q2961" s="2">
        <v>0</v>
      </c>
      <c r="R2961" s="2">
        <v>0</v>
      </c>
      <c r="S2961" s="2" t="s">
        <v>488</v>
      </c>
      <c r="T2961" s="2" t="s">
        <v>488</v>
      </c>
      <c r="U2961" s="2" t="s">
        <v>488</v>
      </c>
      <c r="V2961" s="2" t="s">
        <v>488</v>
      </c>
      <c r="W2961">
        <f t="shared" si="48"/>
        <v>0</v>
      </c>
    </row>
    <row r="2962" spans="1:23" x14ac:dyDescent="0.25">
      <c r="A2962" s="2" t="s">
        <v>1380</v>
      </c>
      <c r="B2962" s="2" t="s">
        <v>922</v>
      </c>
      <c r="C2962" s="2">
        <v>540128</v>
      </c>
      <c r="D2962" s="2" t="s">
        <v>764</v>
      </c>
      <c r="E2962" s="2" t="s">
        <v>53</v>
      </c>
      <c r="F2962" s="2" t="s">
        <v>115</v>
      </c>
      <c r="G2962" s="2">
        <v>1</v>
      </c>
      <c r="H2962" s="2">
        <v>0</v>
      </c>
      <c r="I2962" s="2">
        <v>0</v>
      </c>
      <c r="J2962" s="2">
        <v>0</v>
      </c>
      <c r="K2962" s="2">
        <v>0</v>
      </c>
      <c r="L2962" s="2">
        <v>0</v>
      </c>
      <c r="M2962" s="2">
        <v>0</v>
      </c>
      <c r="N2962" s="2">
        <v>0</v>
      </c>
      <c r="O2962" s="2">
        <v>0</v>
      </c>
      <c r="P2962" s="2">
        <v>0</v>
      </c>
      <c r="Q2962" s="2">
        <v>0</v>
      </c>
      <c r="R2962" s="2">
        <v>0</v>
      </c>
      <c r="S2962" s="2" t="s">
        <v>488</v>
      </c>
      <c r="T2962" s="2" t="s">
        <v>488</v>
      </c>
      <c r="U2962" s="2" t="s">
        <v>488</v>
      </c>
      <c r="V2962" s="2" t="s">
        <v>488</v>
      </c>
      <c r="W2962">
        <f t="shared" si="48"/>
        <v>0</v>
      </c>
    </row>
    <row r="2963" spans="1:23" x14ac:dyDescent="0.25">
      <c r="A2963" s="2" t="s">
        <v>1380</v>
      </c>
      <c r="B2963" s="2" t="s">
        <v>922</v>
      </c>
      <c r="C2963" s="2">
        <v>540172</v>
      </c>
      <c r="D2963" s="2" t="s">
        <v>765</v>
      </c>
      <c r="E2963" s="2" t="s">
        <v>53</v>
      </c>
      <c r="F2963" s="2" t="s">
        <v>115</v>
      </c>
      <c r="G2963" s="2">
        <v>1</v>
      </c>
      <c r="H2963" s="2">
        <v>0</v>
      </c>
      <c r="I2963" s="2">
        <v>0</v>
      </c>
      <c r="J2963" s="2">
        <v>0</v>
      </c>
      <c r="K2963" s="2">
        <v>0</v>
      </c>
      <c r="L2963" s="2">
        <v>0</v>
      </c>
      <c r="M2963" s="2">
        <v>0</v>
      </c>
      <c r="N2963" s="2">
        <v>0</v>
      </c>
      <c r="O2963" s="2">
        <v>0</v>
      </c>
      <c r="P2963" s="2">
        <v>0</v>
      </c>
      <c r="Q2963" s="2">
        <v>0</v>
      </c>
      <c r="R2963" s="2">
        <v>0</v>
      </c>
      <c r="S2963" s="2" t="s">
        <v>488</v>
      </c>
      <c r="T2963" s="2" t="s">
        <v>488</v>
      </c>
      <c r="U2963" s="2" t="s">
        <v>488</v>
      </c>
      <c r="V2963" s="2" t="s">
        <v>488</v>
      </c>
      <c r="W2963">
        <f t="shared" si="48"/>
        <v>0</v>
      </c>
    </row>
    <row r="2964" spans="1:23" x14ac:dyDescent="0.25">
      <c r="A2964" s="2" t="s">
        <v>1380</v>
      </c>
      <c r="B2964" s="2" t="s">
        <v>922</v>
      </c>
      <c r="C2964" s="2">
        <v>540285</v>
      </c>
      <c r="D2964" s="2" t="s">
        <v>766</v>
      </c>
      <c r="E2964" s="2" t="s">
        <v>53</v>
      </c>
      <c r="F2964" s="2" t="s">
        <v>115</v>
      </c>
      <c r="G2964" s="2">
        <v>1</v>
      </c>
      <c r="H2964" s="2">
        <v>0</v>
      </c>
      <c r="I2964" s="2">
        <v>0</v>
      </c>
      <c r="J2964" s="2">
        <v>0</v>
      </c>
      <c r="K2964" s="2">
        <v>0</v>
      </c>
      <c r="L2964" s="2">
        <v>0</v>
      </c>
      <c r="M2964" s="2">
        <v>0</v>
      </c>
      <c r="N2964" s="2">
        <v>0</v>
      </c>
      <c r="O2964" s="2">
        <v>0</v>
      </c>
      <c r="P2964" s="2">
        <v>0</v>
      </c>
      <c r="Q2964" s="2">
        <v>0</v>
      </c>
      <c r="R2964" s="2">
        <v>0</v>
      </c>
      <c r="S2964" s="2" t="s">
        <v>488</v>
      </c>
      <c r="T2964" s="2" t="s">
        <v>488</v>
      </c>
      <c r="U2964" s="2" t="s">
        <v>488</v>
      </c>
      <c r="V2964" s="2" t="s">
        <v>488</v>
      </c>
      <c r="W2964">
        <f t="shared" si="48"/>
        <v>0</v>
      </c>
    </row>
    <row r="2965" spans="1:23" x14ac:dyDescent="0.25">
      <c r="A2965" s="255" t="s">
        <v>1380</v>
      </c>
      <c r="B2965" s="255" t="s">
        <v>922</v>
      </c>
      <c r="C2965" s="255"/>
      <c r="D2965" s="255"/>
      <c r="E2965" s="255" t="s">
        <v>53</v>
      </c>
      <c r="F2965" s="255"/>
      <c r="G2965" s="255"/>
      <c r="H2965" s="255">
        <v>0</v>
      </c>
      <c r="I2965" s="255">
        <v>0</v>
      </c>
      <c r="J2965" s="255">
        <v>0</v>
      </c>
      <c r="K2965" s="255">
        <v>0</v>
      </c>
      <c r="L2965" s="255">
        <v>0</v>
      </c>
      <c r="M2965" s="255">
        <v>0</v>
      </c>
      <c r="N2965" s="255">
        <v>0</v>
      </c>
      <c r="O2965" s="255">
        <v>0</v>
      </c>
      <c r="P2965" s="255">
        <v>0</v>
      </c>
      <c r="Q2965" s="255">
        <v>0</v>
      </c>
      <c r="R2965" s="255">
        <v>0</v>
      </c>
      <c r="S2965" s="255" t="s">
        <v>488</v>
      </c>
      <c r="T2965" s="255" t="s">
        <v>488</v>
      </c>
      <c r="U2965" s="255" t="s">
        <v>488</v>
      </c>
      <c r="V2965" s="255" t="s">
        <v>488</v>
      </c>
      <c r="W2965">
        <f t="shared" si="48"/>
        <v>0</v>
      </c>
    </row>
    <row r="2966" spans="1:23" x14ac:dyDescent="0.25">
      <c r="A2966" s="2" t="s">
        <v>1380</v>
      </c>
      <c r="B2966" s="2" t="s">
        <v>922</v>
      </c>
      <c r="C2966" s="2">
        <v>540129</v>
      </c>
      <c r="D2966" s="2" t="s">
        <v>767</v>
      </c>
      <c r="E2966" s="2" t="s">
        <v>55</v>
      </c>
      <c r="F2966" s="2" t="s">
        <v>5</v>
      </c>
      <c r="G2966" s="2">
        <v>8</v>
      </c>
      <c r="H2966" s="2">
        <v>0</v>
      </c>
      <c r="I2966" s="2">
        <v>0</v>
      </c>
      <c r="J2966" s="2">
        <v>0</v>
      </c>
      <c r="K2966" s="2">
        <v>0</v>
      </c>
      <c r="L2966" s="2">
        <v>0</v>
      </c>
      <c r="M2966" s="2">
        <v>0</v>
      </c>
      <c r="N2966" s="2">
        <v>0</v>
      </c>
      <c r="O2966" s="2">
        <v>0</v>
      </c>
      <c r="P2966" s="2">
        <v>0</v>
      </c>
      <c r="Q2966" s="2">
        <v>0</v>
      </c>
      <c r="R2966" s="2">
        <v>0</v>
      </c>
      <c r="S2966" s="2" t="s">
        <v>488</v>
      </c>
      <c r="T2966" s="2" t="s">
        <v>488</v>
      </c>
      <c r="U2966" s="2" t="s">
        <v>488</v>
      </c>
      <c r="V2966" s="2" t="s">
        <v>488</v>
      </c>
      <c r="W2966">
        <f t="shared" si="48"/>
        <v>0</v>
      </c>
    </row>
    <row r="2967" spans="1:23" x14ac:dyDescent="0.25">
      <c r="A2967" s="2" t="s">
        <v>1380</v>
      </c>
      <c r="B2967" s="2" t="s">
        <v>922</v>
      </c>
      <c r="C2967" s="2">
        <v>540130</v>
      </c>
      <c r="D2967" s="2" t="s">
        <v>768</v>
      </c>
      <c r="E2967" s="2" t="s">
        <v>55</v>
      </c>
      <c r="F2967" s="2" t="s">
        <v>115</v>
      </c>
      <c r="G2967" s="2">
        <v>8</v>
      </c>
      <c r="H2967" s="2">
        <v>0</v>
      </c>
      <c r="I2967" s="2">
        <v>0</v>
      </c>
      <c r="J2967" s="2">
        <v>0</v>
      </c>
      <c r="K2967" s="2">
        <v>0</v>
      </c>
      <c r="L2967" s="2">
        <v>0</v>
      </c>
      <c r="M2967" s="2">
        <v>0</v>
      </c>
      <c r="N2967" s="2">
        <v>0</v>
      </c>
      <c r="O2967" s="2">
        <v>0</v>
      </c>
      <c r="P2967" s="2">
        <v>0</v>
      </c>
      <c r="Q2967" s="2">
        <v>0</v>
      </c>
      <c r="R2967" s="2">
        <v>0</v>
      </c>
      <c r="S2967" s="2" t="s">
        <v>488</v>
      </c>
      <c r="T2967" s="2" t="s">
        <v>488</v>
      </c>
      <c r="U2967" s="2" t="s">
        <v>488</v>
      </c>
      <c r="V2967" s="2" t="s">
        <v>488</v>
      </c>
      <c r="W2967">
        <f t="shared" si="48"/>
        <v>0</v>
      </c>
    </row>
    <row r="2968" spans="1:23" x14ac:dyDescent="0.25">
      <c r="A2968" s="2" t="s">
        <v>1380</v>
      </c>
      <c r="B2968" s="2" t="s">
        <v>922</v>
      </c>
      <c r="C2968" s="2">
        <v>540131</v>
      </c>
      <c r="D2968" s="2" t="s">
        <v>769</v>
      </c>
      <c r="E2968" s="2" t="s">
        <v>55</v>
      </c>
      <c r="F2968" s="2" t="s">
        <v>115</v>
      </c>
      <c r="G2968" s="2">
        <v>8</v>
      </c>
      <c r="H2968" s="2">
        <v>0</v>
      </c>
      <c r="I2968" s="2">
        <v>0</v>
      </c>
      <c r="J2968" s="2">
        <v>0</v>
      </c>
      <c r="K2968" s="2">
        <v>0</v>
      </c>
      <c r="L2968" s="2">
        <v>0</v>
      </c>
      <c r="M2968" s="2">
        <v>0</v>
      </c>
      <c r="N2968" s="2">
        <v>0</v>
      </c>
      <c r="O2968" s="2">
        <v>0</v>
      </c>
      <c r="P2968" s="2">
        <v>0</v>
      </c>
      <c r="Q2968" s="2">
        <v>0</v>
      </c>
      <c r="R2968" s="2">
        <v>0</v>
      </c>
      <c r="S2968" s="2" t="s">
        <v>488</v>
      </c>
      <c r="T2968" s="2" t="s">
        <v>488</v>
      </c>
      <c r="U2968" s="2" t="s">
        <v>488</v>
      </c>
      <c r="V2968" s="2" t="s">
        <v>488</v>
      </c>
      <c r="W2968">
        <f t="shared" si="48"/>
        <v>0</v>
      </c>
    </row>
    <row r="2969" spans="1:23" x14ac:dyDescent="0.25">
      <c r="A2969" s="2" t="s">
        <v>1380</v>
      </c>
      <c r="B2969" s="2" t="s">
        <v>922</v>
      </c>
      <c r="C2969" s="2">
        <v>540155</v>
      </c>
      <c r="D2969" s="2" t="s">
        <v>770</v>
      </c>
      <c r="E2969" s="2" t="s">
        <v>55</v>
      </c>
      <c r="F2969" s="2" t="s">
        <v>115</v>
      </c>
      <c r="G2969" s="2">
        <v>8</v>
      </c>
      <c r="H2969" s="2">
        <v>0</v>
      </c>
      <c r="I2969" s="2">
        <v>0</v>
      </c>
      <c r="J2969" s="2">
        <v>0</v>
      </c>
      <c r="K2969" s="2">
        <v>0</v>
      </c>
      <c r="L2969" s="2">
        <v>0</v>
      </c>
      <c r="M2969" s="2">
        <v>0</v>
      </c>
      <c r="N2969" s="2">
        <v>0</v>
      </c>
      <c r="O2969" s="2">
        <v>0</v>
      </c>
      <c r="P2969" s="2">
        <v>0</v>
      </c>
      <c r="Q2969" s="2">
        <v>0</v>
      </c>
      <c r="R2969" s="2">
        <v>0</v>
      </c>
      <c r="S2969" s="2" t="s">
        <v>488</v>
      </c>
      <c r="T2969" s="2" t="s">
        <v>488</v>
      </c>
      <c r="U2969" s="2" t="s">
        <v>488</v>
      </c>
      <c r="V2969" s="2" t="s">
        <v>488</v>
      </c>
      <c r="W2969">
        <f t="shared" si="48"/>
        <v>0</v>
      </c>
    </row>
    <row r="2970" spans="1:23" x14ac:dyDescent="0.25">
      <c r="A2970" s="2" t="s">
        <v>1380</v>
      </c>
      <c r="B2970" s="2" t="s">
        <v>922</v>
      </c>
      <c r="C2970" s="2">
        <v>545555</v>
      </c>
      <c r="D2970" s="2" t="s">
        <v>771</v>
      </c>
      <c r="E2970" s="2" t="s">
        <v>55</v>
      </c>
      <c r="F2970" s="2" t="s">
        <v>115</v>
      </c>
      <c r="G2970" s="2">
        <v>8</v>
      </c>
      <c r="H2970" s="2">
        <v>0</v>
      </c>
      <c r="I2970" s="2">
        <v>0</v>
      </c>
      <c r="J2970" s="2">
        <v>0</v>
      </c>
      <c r="K2970" s="2">
        <v>0</v>
      </c>
      <c r="L2970" s="2">
        <v>0</v>
      </c>
      <c r="M2970" s="2">
        <v>0</v>
      </c>
      <c r="N2970" s="2">
        <v>0</v>
      </c>
      <c r="O2970" s="2">
        <v>0</v>
      </c>
      <c r="P2970" s="2">
        <v>0</v>
      </c>
      <c r="Q2970" s="2">
        <v>0</v>
      </c>
      <c r="R2970" s="2">
        <v>0</v>
      </c>
      <c r="S2970" s="2" t="s">
        <v>488</v>
      </c>
      <c r="T2970" s="2" t="s">
        <v>488</v>
      </c>
      <c r="U2970" s="2" t="s">
        <v>488</v>
      </c>
      <c r="V2970" s="2" t="s">
        <v>488</v>
      </c>
      <c r="W2970">
        <f t="shared" si="48"/>
        <v>0</v>
      </c>
    </row>
    <row r="2971" spans="1:23" x14ac:dyDescent="0.25">
      <c r="A2971" s="2" t="s">
        <v>1380</v>
      </c>
      <c r="B2971" s="2" t="s">
        <v>922</v>
      </c>
      <c r="C2971" s="2">
        <v>540091</v>
      </c>
      <c r="D2971" s="2" t="s">
        <v>772</v>
      </c>
      <c r="E2971" s="2" t="s">
        <v>55</v>
      </c>
      <c r="F2971" s="2" t="s">
        <v>115</v>
      </c>
      <c r="G2971" s="2">
        <v>8</v>
      </c>
      <c r="H2971" s="2">
        <v>0</v>
      </c>
      <c r="I2971" s="2">
        <v>0</v>
      </c>
      <c r="J2971" s="2">
        <v>0</v>
      </c>
      <c r="K2971" s="2">
        <v>0</v>
      </c>
      <c r="L2971" s="2">
        <v>0</v>
      </c>
      <c r="M2971" s="2">
        <v>0</v>
      </c>
      <c r="N2971" s="2">
        <v>0</v>
      </c>
      <c r="O2971" s="2">
        <v>0</v>
      </c>
      <c r="P2971" s="2">
        <v>0</v>
      </c>
      <c r="Q2971" s="2">
        <v>0</v>
      </c>
      <c r="R2971" s="2">
        <v>0</v>
      </c>
      <c r="S2971" s="2" t="s">
        <v>488</v>
      </c>
      <c r="T2971" s="2" t="s">
        <v>488</v>
      </c>
      <c r="U2971" s="2" t="s">
        <v>488</v>
      </c>
      <c r="V2971" s="2" t="s">
        <v>488</v>
      </c>
      <c r="W2971">
        <f t="shared" si="48"/>
        <v>0</v>
      </c>
    </row>
    <row r="2972" spans="1:23" x14ac:dyDescent="0.25">
      <c r="A2972" s="255" t="s">
        <v>1380</v>
      </c>
      <c r="B2972" s="255" t="s">
        <v>922</v>
      </c>
      <c r="C2972" s="255"/>
      <c r="D2972" s="255"/>
      <c r="E2972" s="255" t="s">
        <v>55</v>
      </c>
      <c r="F2972" s="255"/>
      <c r="G2972" s="255"/>
      <c r="H2972" s="255">
        <v>0</v>
      </c>
      <c r="I2972" s="255">
        <v>0</v>
      </c>
      <c r="J2972" s="255">
        <v>0</v>
      </c>
      <c r="K2972" s="255">
        <v>0</v>
      </c>
      <c r="L2972" s="255">
        <v>0</v>
      </c>
      <c r="M2972" s="255">
        <v>0</v>
      </c>
      <c r="N2972" s="255">
        <v>0</v>
      </c>
      <c r="O2972" s="255">
        <v>0</v>
      </c>
      <c r="P2972" s="255">
        <v>0</v>
      </c>
      <c r="Q2972" s="255">
        <v>0</v>
      </c>
      <c r="R2972" s="255">
        <v>0</v>
      </c>
      <c r="S2972" s="255" t="s">
        <v>488</v>
      </c>
      <c r="T2972" s="255" t="s">
        <v>488</v>
      </c>
      <c r="U2972" s="255" t="s">
        <v>488</v>
      </c>
      <c r="V2972" s="255" t="s">
        <v>488</v>
      </c>
      <c r="W2972">
        <f t="shared" si="48"/>
        <v>0</v>
      </c>
    </row>
    <row r="2973" spans="1:23" x14ac:dyDescent="0.25">
      <c r="A2973" s="2" t="s">
        <v>1380</v>
      </c>
      <c r="B2973" s="2" t="s">
        <v>922</v>
      </c>
      <c r="C2973" s="2">
        <v>540133</v>
      </c>
      <c r="D2973" s="2" t="s">
        <v>773</v>
      </c>
      <c r="E2973" s="2" t="s">
        <v>57</v>
      </c>
      <c r="F2973" s="2" t="s">
        <v>5</v>
      </c>
      <c r="G2973" s="2">
        <v>2</v>
      </c>
      <c r="H2973" s="2">
        <v>0</v>
      </c>
      <c r="I2973" s="2">
        <v>0</v>
      </c>
      <c r="J2973" s="2">
        <v>0</v>
      </c>
      <c r="K2973" s="2">
        <v>0</v>
      </c>
      <c r="L2973" s="2">
        <v>0</v>
      </c>
      <c r="M2973" s="2">
        <v>0</v>
      </c>
      <c r="N2973" s="2">
        <v>0</v>
      </c>
      <c r="O2973" s="2">
        <v>0</v>
      </c>
      <c r="P2973" s="2">
        <v>0</v>
      </c>
      <c r="Q2973" s="2">
        <v>0</v>
      </c>
      <c r="R2973" s="2">
        <v>0</v>
      </c>
      <c r="S2973" s="2" t="s">
        <v>488</v>
      </c>
      <c r="T2973" s="2" t="s">
        <v>488</v>
      </c>
      <c r="U2973" s="2" t="s">
        <v>488</v>
      </c>
      <c r="V2973" s="2" t="s">
        <v>488</v>
      </c>
      <c r="W2973">
        <f t="shared" si="48"/>
        <v>0</v>
      </c>
    </row>
    <row r="2974" spans="1:23" x14ac:dyDescent="0.25">
      <c r="A2974" s="2" t="s">
        <v>1380</v>
      </c>
      <c r="B2974" s="2" t="s">
        <v>922</v>
      </c>
      <c r="C2974" s="2">
        <v>540134</v>
      </c>
      <c r="D2974" s="2" t="s">
        <v>774</v>
      </c>
      <c r="E2974" s="2" t="s">
        <v>57</v>
      </c>
      <c r="F2974" s="2" t="s">
        <v>115</v>
      </c>
      <c r="G2974" s="2">
        <v>2</v>
      </c>
      <c r="H2974" s="2">
        <v>0</v>
      </c>
      <c r="I2974" s="2">
        <v>0</v>
      </c>
      <c r="J2974" s="2">
        <v>0</v>
      </c>
      <c r="K2974" s="2">
        <v>0</v>
      </c>
      <c r="L2974" s="2">
        <v>0</v>
      </c>
      <c r="M2974" s="2">
        <v>0</v>
      </c>
      <c r="N2974" s="2">
        <v>0</v>
      </c>
      <c r="O2974" s="2">
        <v>0</v>
      </c>
      <c r="P2974" s="2">
        <v>0</v>
      </c>
      <c r="Q2974" s="2">
        <v>0</v>
      </c>
      <c r="R2974" s="2">
        <v>0</v>
      </c>
      <c r="S2974" s="2" t="s">
        <v>488</v>
      </c>
      <c r="T2974" s="2" t="s">
        <v>488</v>
      </c>
      <c r="U2974" s="2" t="s">
        <v>488</v>
      </c>
      <c r="V2974" s="2" t="s">
        <v>488</v>
      </c>
      <c r="W2974">
        <f t="shared" si="48"/>
        <v>0</v>
      </c>
    </row>
    <row r="2975" spans="1:23" x14ac:dyDescent="0.25">
      <c r="A2975" s="2" t="s">
        <v>1380</v>
      </c>
      <c r="B2975" s="2" t="s">
        <v>922</v>
      </c>
      <c r="C2975" s="2">
        <v>540135</v>
      </c>
      <c r="D2975" s="2" t="s">
        <v>775</v>
      </c>
      <c r="E2975" s="2" t="s">
        <v>57</v>
      </c>
      <c r="F2975" s="2" t="s">
        <v>115</v>
      </c>
      <c r="G2975" s="2">
        <v>2</v>
      </c>
      <c r="H2975" s="2">
        <v>0</v>
      </c>
      <c r="I2975" s="2">
        <v>0</v>
      </c>
      <c r="J2975" s="2">
        <v>0</v>
      </c>
      <c r="K2975" s="2">
        <v>0</v>
      </c>
      <c r="L2975" s="2">
        <v>0</v>
      </c>
      <c r="M2975" s="2">
        <v>0</v>
      </c>
      <c r="N2975" s="2">
        <v>0</v>
      </c>
      <c r="O2975" s="2">
        <v>0</v>
      </c>
      <c r="P2975" s="2">
        <v>0</v>
      </c>
      <c r="Q2975" s="2">
        <v>0</v>
      </c>
      <c r="R2975" s="2">
        <v>0</v>
      </c>
      <c r="S2975" s="2" t="s">
        <v>488</v>
      </c>
      <c r="T2975" s="2" t="s">
        <v>488</v>
      </c>
      <c r="U2975" s="2" t="s">
        <v>488</v>
      </c>
      <c r="V2975" s="2" t="s">
        <v>488</v>
      </c>
      <c r="W2975">
        <f t="shared" si="48"/>
        <v>0</v>
      </c>
    </row>
    <row r="2976" spans="1:23" x14ac:dyDescent="0.25">
      <c r="A2976" s="2" t="s">
        <v>1380</v>
      </c>
      <c r="B2976" s="2" t="s">
        <v>922</v>
      </c>
      <c r="C2976" s="2">
        <v>540136</v>
      </c>
      <c r="D2976" s="2" t="s">
        <v>776</v>
      </c>
      <c r="E2976" s="2" t="s">
        <v>57</v>
      </c>
      <c r="F2976" s="2" t="s">
        <v>115</v>
      </c>
      <c r="G2976" s="2">
        <v>2</v>
      </c>
      <c r="H2976" s="2">
        <v>0</v>
      </c>
      <c r="I2976" s="2">
        <v>0</v>
      </c>
      <c r="J2976" s="2">
        <v>0</v>
      </c>
      <c r="K2976" s="2">
        <v>0</v>
      </c>
      <c r="L2976" s="2">
        <v>0</v>
      </c>
      <c r="M2976" s="2">
        <v>0</v>
      </c>
      <c r="N2976" s="2">
        <v>0</v>
      </c>
      <c r="O2976" s="2">
        <v>0</v>
      </c>
      <c r="P2976" s="2">
        <v>0</v>
      </c>
      <c r="Q2976" s="2">
        <v>0</v>
      </c>
      <c r="R2976" s="2">
        <v>0</v>
      </c>
      <c r="S2976" s="2" t="s">
        <v>488</v>
      </c>
      <c r="T2976" s="2" t="s">
        <v>488</v>
      </c>
      <c r="U2976" s="2" t="s">
        <v>488</v>
      </c>
      <c r="V2976" s="2" t="s">
        <v>488</v>
      </c>
      <c r="W2976">
        <f t="shared" si="48"/>
        <v>0</v>
      </c>
    </row>
    <row r="2977" spans="1:23" x14ac:dyDescent="0.25">
      <c r="A2977" s="2" t="s">
        <v>1380</v>
      </c>
      <c r="B2977" s="2" t="s">
        <v>922</v>
      </c>
      <c r="C2977" s="2">
        <v>540138</v>
      </c>
      <c r="D2977" s="2" t="s">
        <v>777</v>
      </c>
      <c r="E2977" s="2" t="s">
        <v>57</v>
      </c>
      <c r="F2977" s="2" t="s">
        <v>115</v>
      </c>
      <c r="G2977" s="2">
        <v>2</v>
      </c>
      <c r="H2977" s="2">
        <v>0</v>
      </c>
      <c r="I2977" s="2">
        <v>0</v>
      </c>
      <c r="J2977" s="2">
        <v>0</v>
      </c>
      <c r="K2977" s="2">
        <v>0</v>
      </c>
      <c r="L2977" s="2">
        <v>0</v>
      </c>
      <c r="M2977" s="2">
        <v>0</v>
      </c>
      <c r="N2977" s="2">
        <v>0</v>
      </c>
      <c r="O2977" s="2">
        <v>0</v>
      </c>
      <c r="P2977" s="2">
        <v>0</v>
      </c>
      <c r="Q2977" s="2">
        <v>0</v>
      </c>
      <c r="R2977" s="2">
        <v>0</v>
      </c>
      <c r="S2977" s="2" t="s">
        <v>488</v>
      </c>
      <c r="T2977" s="2" t="s">
        <v>488</v>
      </c>
      <c r="U2977" s="2" t="s">
        <v>488</v>
      </c>
      <c r="V2977" s="2" t="s">
        <v>488</v>
      </c>
      <c r="W2977">
        <f t="shared" si="48"/>
        <v>0</v>
      </c>
    </row>
    <row r="2978" spans="1:23" x14ac:dyDescent="0.25">
      <c r="A2978" s="2" t="s">
        <v>1380</v>
      </c>
      <c r="B2978" s="2" t="s">
        <v>922</v>
      </c>
      <c r="C2978" s="2">
        <v>545538</v>
      </c>
      <c r="D2978" s="2" t="s">
        <v>778</v>
      </c>
      <c r="E2978" s="2" t="s">
        <v>57</v>
      </c>
      <c r="F2978" s="2" t="s">
        <v>115</v>
      </c>
      <c r="G2978" s="2">
        <v>2</v>
      </c>
      <c r="H2978" s="2">
        <v>0</v>
      </c>
      <c r="I2978" s="2">
        <v>0</v>
      </c>
      <c r="J2978" s="2">
        <v>0</v>
      </c>
      <c r="K2978" s="2">
        <v>0</v>
      </c>
      <c r="L2978" s="2">
        <v>0</v>
      </c>
      <c r="M2978" s="2">
        <v>0</v>
      </c>
      <c r="N2978" s="2">
        <v>0</v>
      </c>
      <c r="O2978" s="2">
        <v>0</v>
      </c>
      <c r="P2978" s="2">
        <v>0</v>
      </c>
      <c r="Q2978" s="2">
        <v>0</v>
      </c>
      <c r="R2978" s="2">
        <v>0</v>
      </c>
      <c r="S2978" s="2" t="s">
        <v>488</v>
      </c>
      <c r="T2978" s="2" t="s">
        <v>488</v>
      </c>
      <c r="U2978" s="2" t="s">
        <v>488</v>
      </c>
      <c r="V2978" s="2" t="s">
        <v>488</v>
      </c>
      <c r="W2978">
        <f t="shared" si="48"/>
        <v>0</v>
      </c>
    </row>
    <row r="2979" spans="1:23" x14ac:dyDescent="0.25">
      <c r="A2979" s="255" t="s">
        <v>1380</v>
      </c>
      <c r="B2979" s="255" t="s">
        <v>922</v>
      </c>
      <c r="C2979" s="255"/>
      <c r="D2979" s="255"/>
      <c r="E2979" s="255" t="s">
        <v>57</v>
      </c>
      <c r="F2979" s="255"/>
      <c r="G2979" s="255"/>
      <c r="H2979" s="255">
        <v>0</v>
      </c>
      <c r="I2979" s="255">
        <v>0</v>
      </c>
      <c r="J2979" s="255">
        <v>0</v>
      </c>
      <c r="K2979" s="255">
        <v>0</v>
      </c>
      <c r="L2979" s="255">
        <v>0</v>
      </c>
      <c r="M2979" s="255">
        <v>0</v>
      </c>
      <c r="N2979" s="255">
        <v>0</v>
      </c>
      <c r="O2979" s="255">
        <v>0</v>
      </c>
      <c r="P2979" s="255">
        <v>0</v>
      </c>
      <c r="Q2979" s="255">
        <v>0</v>
      </c>
      <c r="R2979" s="255">
        <v>0</v>
      </c>
      <c r="S2979" s="255" t="s">
        <v>488</v>
      </c>
      <c r="T2979" s="255" t="s">
        <v>488</v>
      </c>
      <c r="U2979" s="255" t="s">
        <v>488</v>
      </c>
      <c r="V2979" s="255" t="s">
        <v>488</v>
      </c>
      <c r="W2979">
        <f t="shared" si="48"/>
        <v>0</v>
      </c>
    </row>
    <row r="2980" spans="1:23" x14ac:dyDescent="0.25">
      <c r="A2980" s="2" t="s">
        <v>1380</v>
      </c>
      <c r="B2980" s="2" t="s">
        <v>922</v>
      </c>
      <c r="C2980" s="2">
        <v>540139</v>
      </c>
      <c r="D2980" s="2" t="s">
        <v>779</v>
      </c>
      <c r="E2980" s="2" t="s">
        <v>59</v>
      </c>
      <c r="F2980" s="2" t="s">
        <v>5</v>
      </c>
      <c r="G2980" s="2">
        <v>6</v>
      </c>
      <c r="H2980" s="2">
        <v>0</v>
      </c>
      <c r="I2980" s="2">
        <v>0</v>
      </c>
      <c r="J2980" s="2">
        <v>0</v>
      </c>
      <c r="K2980" s="2">
        <v>0</v>
      </c>
      <c r="L2980" s="2">
        <v>0</v>
      </c>
      <c r="M2980" s="2">
        <v>0</v>
      </c>
      <c r="N2980" s="2">
        <v>0</v>
      </c>
      <c r="O2980" s="2">
        <v>0</v>
      </c>
      <c r="P2980" s="2">
        <v>0</v>
      </c>
      <c r="Q2980" s="2">
        <v>0</v>
      </c>
      <c r="R2980" s="2">
        <v>0</v>
      </c>
      <c r="S2980" s="2" t="s">
        <v>488</v>
      </c>
      <c r="T2980" s="2" t="s">
        <v>488</v>
      </c>
      <c r="U2980" s="2" t="s">
        <v>488</v>
      </c>
      <c r="V2980" s="2" t="s">
        <v>488</v>
      </c>
      <c r="W2980">
        <f t="shared" si="48"/>
        <v>0</v>
      </c>
    </row>
    <row r="2981" spans="1:23" x14ac:dyDescent="0.25">
      <c r="A2981" s="2" t="s">
        <v>1380</v>
      </c>
      <c r="B2981" s="2" t="s">
        <v>922</v>
      </c>
      <c r="C2981" s="2">
        <v>540140</v>
      </c>
      <c r="D2981" s="2" t="s">
        <v>780</v>
      </c>
      <c r="E2981" s="2" t="s">
        <v>59</v>
      </c>
      <c r="F2981" s="2" t="s">
        <v>115</v>
      </c>
      <c r="G2981" s="2">
        <v>6</v>
      </c>
      <c r="H2981" s="2">
        <v>0</v>
      </c>
      <c r="I2981" s="2">
        <v>0</v>
      </c>
      <c r="J2981" s="2">
        <v>0</v>
      </c>
      <c r="K2981" s="2">
        <v>0</v>
      </c>
      <c r="L2981" s="2">
        <v>0</v>
      </c>
      <c r="M2981" s="2">
        <v>0</v>
      </c>
      <c r="N2981" s="2">
        <v>0</v>
      </c>
      <c r="O2981" s="2">
        <v>0</v>
      </c>
      <c r="P2981" s="2">
        <v>0</v>
      </c>
      <c r="Q2981" s="2">
        <v>0</v>
      </c>
      <c r="R2981" s="2">
        <v>0</v>
      </c>
      <c r="S2981" s="2" t="s">
        <v>488</v>
      </c>
      <c r="T2981" s="2" t="s">
        <v>488</v>
      </c>
      <c r="U2981" s="2" t="s">
        <v>488</v>
      </c>
      <c r="V2981" s="2" t="s">
        <v>488</v>
      </c>
      <c r="W2981">
        <f t="shared" si="48"/>
        <v>0</v>
      </c>
    </row>
    <row r="2982" spans="1:23" x14ac:dyDescent="0.25">
      <c r="A2982" s="2" t="s">
        <v>1380</v>
      </c>
      <c r="B2982" s="2" t="s">
        <v>922</v>
      </c>
      <c r="C2982" s="2">
        <v>540141</v>
      </c>
      <c r="D2982" s="2" t="s">
        <v>781</v>
      </c>
      <c r="E2982" s="2" t="s">
        <v>59</v>
      </c>
      <c r="F2982" s="2" t="s">
        <v>115</v>
      </c>
      <c r="G2982" s="2">
        <v>6</v>
      </c>
      <c r="H2982" s="2">
        <v>0</v>
      </c>
      <c r="I2982" s="2">
        <v>0</v>
      </c>
      <c r="J2982" s="2">
        <v>0</v>
      </c>
      <c r="K2982" s="2">
        <v>0</v>
      </c>
      <c r="L2982" s="2">
        <v>0</v>
      </c>
      <c r="M2982" s="2">
        <v>0</v>
      </c>
      <c r="N2982" s="2">
        <v>0</v>
      </c>
      <c r="O2982" s="2">
        <v>0</v>
      </c>
      <c r="P2982" s="2">
        <v>0</v>
      </c>
      <c r="Q2982" s="2">
        <v>0</v>
      </c>
      <c r="R2982" s="2">
        <v>0</v>
      </c>
      <c r="S2982" s="2" t="s">
        <v>488</v>
      </c>
      <c r="T2982" s="2" t="s">
        <v>488</v>
      </c>
      <c r="U2982" s="2" t="s">
        <v>488</v>
      </c>
      <c r="V2982" s="2" t="s">
        <v>488</v>
      </c>
      <c r="W2982">
        <f t="shared" si="48"/>
        <v>0</v>
      </c>
    </row>
    <row r="2983" spans="1:23" x14ac:dyDescent="0.25">
      <c r="A2983" s="2" t="s">
        <v>1380</v>
      </c>
      <c r="B2983" s="2" t="s">
        <v>922</v>
      </c>
      <c r="C2983" s="2">
        <v>540272</v>
      </c>
      <c r="D2983" s="2" t="s">
        <v>782</v>
      </c>
      <c r="E2983" s="2" t="s">
        <v>59</v>
      </c>
      <c r="F2983" s="2" t="s">
        <v>115</v>
      </c>
      <c r="G2983" s="2">
        <v>6</v>
      </c>
      <c r="H2983" s="2">
        <v>0</v>
      </c>
      <c r="I2983" s="2">
        <v>0</v>
      </c>
      <c r="J2983" s="2">
        <v>0</v>
      </c>
      <c r="K2983" s="2">
        <v>0</v>
      </c>
      <c r="L2983" s="2">
        <v>0</v>
      </c>
      <c r="M2983" s="2">
        <v>0</v>
      </c>
      <c r="N2983" s="2">
        <v>0</v>
      </c>
      <c r="O2983" s="2">
        <v>0</v>
      </c>
      <c r="P2983" s="2">
        <v>0</v>
      </c>
      <c r="Q2983" s="2">
        <v>0</v>
      </c>
      <c r="R2983" s="2">
        <v>0</v>
      </c>
      <c r="S2983" s="2" t="s">
        <v>488</v>
      </c>
      <c r="T2983" s="2" t="s">
        <v>488</v>
      </c>
      <c r="U2983" s="2" t="s">
        <v>488</v>
      </c>
      <c r="V2983" s="2" t="s">
        <v>488</v>
      </c>
      <c r="W2983">
        <f t="shared" si="48"/>
        <v>0</v>
      </c>
    </row>
    <row r="2984" spans="1:23" x14ac:dyDescent="0.25">
      <c r="A2984" s="2" t="s">
        <v>1380</v>
      </c>
      <c r="B2984" s="2" t="s">
        <v>922</v>
      </c>
      <c r="C2984" s="2">
        <v>540273</v>
      </c>
      <c r="D2984" s="2" t="s">
        <v>783</v>
      </c>
      <c r="E2984" s="2" t="s">
        <v>59</v>
      </c>
      <c r="F2984" s="2" t="s">
        <v>115</v>
      </c>
      <c r="G2984" s="2">
        <v>6</v>
      </c>
      <c r="H2984" s="2">
        <v>0</v>
      </c>
      <c r="I2984" s="2">
        <v>0</v>
      </c>
      <c r="J2984" s="2">
        <v>0</v>
      </c>
      <c r="K2984" s="2">
        <v>0</v>
      </c>
      <c r="L2984" s="2">
        <v>0</v>
      </c>
      <c r="M2984" s="2">
        <v>0</v>
      </c>
      <c r="N2984" s="2">
        <v>0</v>
      </c>
      <c r="O2984" s="2">
        <v>0</v>
      </c>
      <c r="P2984" s="2">
        <v>0</v>
      </c>
      <c r="Q2984" s="2">
        <v>0</v>
      </c>
      <c r="R2984" s="2">
        <v>0</v>
      </c>
      <c r="S2984" s="2" t="s">
        <v>488</v>
      </c>
      <c r="T2984" s="2" t="s">
        <v>488</v>
      </c>
      <c r="U2984" s="2" t="s">
        <v>488</v>
      </c>
      <c r="V2984" s="2" t="s">
        <v>488</v>
      </c>
      <c r="W2984">
        <f t="shared" si="48"/>
        <v>0</v>
      </c>
    </row>
    <row r="2985" spans="1:23" x14ac:dyDescent="0.25">
      <c r="A2985" s="2" t="s">
        <v>1380</v>
      </c>
      <c r="B2985" s="2" t="s">
        <v>922</v>
      </c>
      <c r="C2985" s="2">
        <v>540274</v>
      </c>
      <c r="D2985" s="2" t="s">
        <v>784</v>
      </c>
      <c r="E2985" s="2" t="s">
        <v>59</v>
      </c>
      <c r="F2985" s="2" t="s">
        <v>115</v>
      </c>
      <c r="G2985" s="2">
        <v>6</v>
      </c>
      <c r="H2985" s="2">
        <v>0</v>
      </c>
      <c r="I2985" s="2">
        <v>0</v>
      </c>
      <c r="J2985" s="2">
        <v>0</v>
      </c>
      <c r="K2985" s="2">
        <v>0</v>
      </c>
      <c r="L2985" s="2">
        <v>0</v>
      </c>
      <c r="M2985" s="2">
        <v>0</v>
      </c>
      <c r="N2985" s="2">
        <v>0</v>
      </c>
      <c r="O2985" s="2">
        <v>0</v>
      </c>
      <c r="P2985" s="2">
        <v>0</v>
      </c>
      <c r="Q2985" s="2">
        <v>0</v>
      </c>
      <c r="R2985" s="2">
        <v>0</v>
      </c>
      <c r="S2985" s="2" t="s">
        <v>488</v>
      </c>
      <c r="T2985" s="2" t="s">
        <v>488</v>
      </c>
      <c r="U2985" s="2" t="s">
        <v>488</v>
      </c>
      <c r="V2985" s="2" t="s">
        <v>488</v>
      </c>
      <c r="W2985">
        <f t="shared" si="48"/>
        <v>0</v>
      </c>
    </row>
    <row r="2986" spans="1:23" x14ac:dyDescent="0.25">
      <c r="A2986" s="255" t="s">
        <v>1380</v>
      </c>
      <c r="B2986" s="255" t="s">
        <v>922</v>
      </c>
      <c r="C2986" s="255"/>
      <c r="D2986" s="255"/>
      <c r="E2986" s="255" t="s">
        <v>59</v>
      </c>
      <c r="F2986" s="255"/>
      <c r="G2986" s="255"/>
      <c r="H2986" s="255">
        <v>0</v>
      </c>
      <c r="I2986" s="255">
        <v>0</v>
      </c>
      <c r="J2986" s="255">
        <v>0</v>
      </c>
      <c r="K2986" s="255">
        <v>0</v>
      </c>
      <c r="L2986" s="255">
        <v>0</v>
      </c>
      <c r="M2986" s="255">
        <v>0</v>
      </c>
      <c r="N2986" s="255">
        <v>0</v>
      </c>
      <c r="O2986" s="255">
        <v>0</v>
      </c>
      <c r="P2986" s="255">
        <v>0</v>
      </c>
      <c r="Q2986" s="255">
        <v>0</v>
      </c>
      <c r="R2986" s="255">
        <v>0</v>
      </c>
      <c r="S2986" s="255" t="s">
        <v>488</v>
      </c>
      <c r="T2986" s="255" t="s">
        <v>488</v>
      </c>
      <c r="U2986" s="255" t="s">
        <v>488</v>
      </c>
      <c r="V2986" s="255" t="s">
        <v>488</v>
      </c>
      <c r="W2986">
        <f t="shared" si="48"/>
        <v>0</v>
      </c>
    </row>
    <row r="2987" spans="1:23" x14ac:dyDescent="0.25">
      <c r="A2987" s="2" t="s">
        <v>1380</v>
      </c>
      <c r="B2987" s="2" t="s">
        <v>922</v>
      </c>
      <c r="C2987" s="2">
        <v>540144</v>
      </c>
      <c r="D2987" s="2" t="s">
        <v>785</v>
      </c>
      <c r="E2987" s="2" t="s">
        <v>61</v>
      </c>
      <c r="F2987" s="2" t="s">
        <v>5</v>
      </c>
      <c r="G2987" s="2">
        <v>9</v>
      </c>
      <c r="H2987" s="2">
        <v>0</v>
      </c>
      <c r="I2987" s="2">
        <v>0</v>
      </c>
      <c r="J2987" s="2">
        <v>0</v>
      </c>
      <c r="K2987" s="2">
        <v>0</v>
      </c>
      <c r="L2987" s="2">
        <v>0</v>
      </c>
      <c r="M2987" s="2">
        <v>0</v>
      </c>
      <c r="N2987" s="2">
        <v>0</v>
      </c>
      <c r="O2987" s="2">
        <v>0</v>
      </c>
      <c r="P2987" s="2">
        <v>0</v>
      </c>
      <c r="Q2987" s="2">
        <v>0</v>
      </c>
      <c r="R2987" s="2">
        <v>0</v>
      </c>
      <c r="S2987" s="2">
        <v>0</v>
      </c>
      <c r="T2987" s="2">
        <v>0</v>
      </c>
      <c r="U2987" s="2" t="s">
        <v>488</v>
      </c>
      <c r="V2987" s="2" t="s">
        <v>488</v>
      </c>
      <c r="W2987">
        <f t="shared" si="48"/>
        <v>0</v>
      </c>
    </row>
    <row r="2988" spans="1:23" x14ac:dyDescent="0.25">
      <c r="A2988" s="2" t="s">
        <v>1380</v>
      </c>
      <c r="B2988" s="2" t="s">
        <v>922</v>
      </c>
      <c r="C2988" s="2">
        <v>540005</v>
      </c>
      <c r="D2988" s="2" t="s">
        <v>786</v>
      </c>
      <c r="E2988" s="2" t="s">
        <v>61</v>
      </c>
      <c r="F2988" s="2" t="s">
        <v>115</v>
      </c>
      <c r="G2988" s="2">
        <v>9</v>
      </c>
      <c r="H2988" s="2">
        <v>0</v>
      </c>
      <c r="I2988" s="2">
        <v>0</v>
      </c>
      <c r="J2988" s="2">
        <v>0</v>
      </c>
      <c r="K2988" s="2">
        <v>0</v>
      </c>
      <c r="L2988" s="2">
        <v>0</v>
      </c>
      <c r="M2988" s="2">
        <v>0</v>
      </c>
      <c r="N2988" s="2">
        <v>0</v>
      </c>
      <c r="O2988" s="2">
        <v>0</v>
      </c>
      <c r="P2988" s="2">
        <v>0</v>
      </c>
      <c r="Q2988" s="2">
        <v>0</v>
      </c>
      <c r="R2988" s="2">
        <v>0</v>
      </c>
      <c r="S2988" s="2">
        <v>0</v>
      </c>
      <c r="T2988" s="2">
        <v>0</v>
      </c>
      <c r="U2988" s="2" t="s">
        <v>488</v>
      </c>
      <c r="V2988" s="2" t="s">
        <v>488</v>
      </c>
      <c r="W2988">
        <f t="shared" si="48"/>
        <v>0</v>
      </c>
    </row>
    <row r="2989" spans="1:23" x14ac:dyDescent="0.25">
      <c r="A2989" s="2" t="s">
        <v>1380</v>
      </c>
      <c r="B2989" s="2" t="s">
        <v>922</v>
      </c>
      <c r="C2989" s="2">
        <v>540252</v>
      </c>
      <c r="D2989" s="2" t="s">
        <v>787</v>
      </c>
      <c r="E2989" s="2" t="s">
        <v>61</v>
      </c>
      <c r="F2989" s="2" t="s">
        <v>115</v>
      </c>
      <c r="G2989" s="2">
        <v>9</v>
      </c>
      <c r="H2989" s="2">
        <v>0</v>
      </c>
      <c r="I2989" s="2">
        <v>0</v>
      </c>
      <c r="J2989" s="2">
        <v>0</v>
      </c>
      <c r="K2989" s="2">
        <v>0</v>
      </c>
      <c r="L2989" s="2">
        <v>0</v>
      </c>
      <c r="M2989" s="2">
        <v>0</v>
      </c>
      <c r="N2989" s="2">
        <v>0</v>
      </c>
      <c r="O2989" s="2">
        <v>0</v>
      </c>
      <c r="P2989" s="2">
        <v>0</v>
      </c>
      <c r="Q2989" s="2">
        <v>0</v>
      </c>
      <c r="R2989" s="2">
        <v>0</v>
      </c>
      <c r="S2989" s="2">
        <v>0</v>
      </c>
      <c r="T2989" s="2">
        <v>0</v>
      </c>
      <c r="U2989" s="2" t="s">
        <v>488</v>
      </c>
      <c r="V2989" s="2" t="s">
        <v>488</v>
      </c>
      <c r="W2989">
        <f t="shared" si="48"/>
        <v>0</v>
      </c>
    </row>
    <row r="2990" spans="1:23" x14ac:dyDescent="0.25">
      <c r="A2990" s="255" t="s">
        <v>1380</v>
      </c>
      <c r="B2990" s="255" t="s">
        <v>922</v>
      </c>
      <c r="C2990" s="255"/>
      <c r="D2990" s="255"/>
      <c r="E2990" s="255" t="s">
        <v>61</v>
      </c>
      <c r="F2990" s="255"/>
      <c r="G2990" s="255"/>
      <c r="H2990" s="255">
        <v>0</v>
      </c>
      <c r="I2990" s="255">
        <v>0</v>
      </c>
      <c r="J2990" s="255">
        <v>0</v>
      </c>
      <c r="K2990" s="255">
        <v>0</v>
      </c>
      <c r="L2990" s="255">
        <v>0</v>
      </c>
      <c r="M2990" s="255">
        <v>0</v>
      </c>
      <c r="N2990" s="255">
        <v>0</v>
      </c>
      <c r="O2990" s="255">
        <v>0</v>
      </c>
      <c r="P2990" s="255">
        <v>0</v>
      </c>
      <c r="Q2990" s="255">
        <v>0</v>
      </c>
      <c r="R2990" s="255">
        <v>0</v>
      </c>
      <c r="S2990" s="255">
        <v>0</v>
      </c>
      <c r="T2990" s="255">
        <v>0</v>
      </c>
      <c r="U2990" s="255" t="s">
        <v>488</v>
      </c>
      <c r="V2990" s="255" t="s">
        <v>488</v>
      </c>
      <c r="W2990">
        <f t="shared" si="48"/>
        <v>0</v>
      </c>
    </row>
    <row r="2991" spans="1:23" x14ac:dyDescent="0.25">
      <c r="A2991" s="2" t="s">
        <v>1380</v>
      </c>
      <c r="B2991" s="2" t="s">
        <v>922</v>
      </c>
      <c r="C2991" s="2">
        <v>540146</v>
      </c>
      <c r="D2991" s="2" t="s">
        <v>788</v>
      </c>
      <c r="E2991" s="2" t="s">
        <v>63</v>
      </c>
      <c r="F2991" s="2" t="s">
        <v>5</v>
      </c>
      <c r="G2991" s="2">
        <v>4</v>
      </c>
      <c r="H2991" s="2">
        <v>0</v>
      </c>
      <c r="I2991" s="2">
        <v>0</v>
      </c>
      <c r="J2991" s="2">
        <v>0</v>
      </c>
      <c r="K2991" s="2">
        <v>0</v>
      </c>
      <c r="L2991" s="2">
        <v>0</v>
      </c>
      <c r="M2991" s="2">
        <v>0</v>
      </c>
      <c r="N2991" s="2">
        <v>0</v>
      </c>
      <c r="O2991" s="2">
        <v>0</v>
      </c>
      <c r="P2991" s="2">
        <v>0</v>
      </c>
      <c r="Q2991" s="2" t="s">
        <v>488</v>
      </c>
      <c r="R2991" s="2" t="s">
        <v>488</v>
      </c>
      <c r="S2991" s="2" t="s">
        <v>488</v>
      </c>
      <c r="T2991" s="2" t="s">
        <v>488</v>
      </c>
      <c r="U2991" s="2" t="s">
        <v>488</v>
      </c>
      <c r="V2991" s="2" t="s">
        <v>488</v>
      </c>
      <c r="W2991">
        <f t="shared" si="48"/>
        <v>0</v>
      </c>
    </row>
    <row r="2992" spans="1:23" x14ac:dyDescent="0.25">
      <c r="A2992" s="2" t="s">
        <v>1380</v>
      </c>
      <c r="B2992" s="2" t="s">
        <v>922</v>
      </c>
      <c r="C2992" s="2">
        <v>540147</v>
      </c>
      <c r="D2992" s="2" t="s">
        <v>789</v>
      </c>
      <c r="E2992" s="2" t="s">
        <v>63</v>
      </c>
      <c r="F2992" s="2" t="s">
        <v>115</v>
      </c>
      <c r="G2992" s="2">
        <v>4</v>
      </c>
      <c r="H2992" s="2">
        <v>0</v>
      </c>
      <c r="I2992" s="2">
        <v>1</v>
      </c>
      <c r="J2992" s="2">
        <v>0</v>
      </c>
      <c r="K2992" s="2">
        <v>0</v>
      </c>
      <c r="L2992" s="2">
        <v>0</v>
      </c>
      <c r="M2992" s="2">
        <v>1</v>
      </c>
      <c r="N2992" s="2">
        <v>1</v>
      </c>
      <c r="O2992" s="2">
        <v>0</v>
      </c>
      <c r="P2992" s="2">
        <v>0</v>
      </c>
      <c r="Q2992" s="2" t="s">
        <v>488</v>
      </c>
      <c r="R2992" s="2" t="s">
        <v>488</v>
      </c>
      <c r="S2992" s="2" t="s">
        <v>488</v>
      </c>
      <c r="T2992" s="2" t="s">
        <v>488</v>
      </c>
      <c r="U2992" s="2" t="s">
        <v>488</v>
      </c>
      <c r="V2992" s="2" t="s">
        <v>488</v>
      </c>
      <c r="W2992">
        <f t="shared" si="48"/>
        <v>1</v>
      </c>
    </row>
    <row r="2993" spans="1:23" x14ac:dyDescent="0.25">
      <c r="A2993" s="2" t="s">
        <v>1380</v>
      </c>
      <c r="B2993" s="2" t="s">
        <v>922</v>
      </c>
      <c r="C2993" s="2">
        <v>540148</v>
      </c>
      <c r="D2993" s="2" t="s">
        <v>790</v>
      </c>
      <c r="E2993" s="2" t="s">
        <v>63</v>
      </c>
      <c r="F2993" s="2" t="s">
        <v>115</v>
      </c>
      <c r="G2993" s="2">
        <v>4</v>
      </c>
      <c r="H2993" s="2">
        <v>0</v>
      </c>
      <c r="I2993" s="2">
        <v>0</v>
      </c>
      <c r="J2993" s="2">
        <v>0</v>
      </c>
      <c r="K2993" s="2">
        <v>0</v>
      </c>
      <c r="L2993" s="2">
        <v>0</v>
      </c>
      <c r="M2993" s="2">
        <v>0</v>
      </c>
      <c r="N2993" s="2">
        <v>0</v>
      </c>
      <c r="O2993" s="2">
        <v>0</v>
      </c>
      <c r="P2993" s="2">
        <v>0</v>
      </c>
      <c r="Q2993" s="2" t="s">
        <v>488</v>
      </c>
      <c r="R2993" s="2" t="s">
        <v>488</v>
      </c>
      <c r="S2993" s="2" t="s">
        <v>488</v>
      </c>
      <c r="T2993" s="2" t="s">
        <v>488</v>
      </c>
      <c r="U2993" s="2" t="s">
        <v>488</v>
      </c>
      <c r="V2993" s="2" t="s">
        <v>488</v>
      </c>
      <c r="W2993">
        <f t="shared" si="48"/>
        <v>0</v>
      </c>
    </row>
    <row r="2994" spans="1:23" x14ac:dyDescent="0.25">
      <c r="A2994" s="255" t="s">
        <v>1380</v>
      </c>
      <c r="B2994" s="255" t="s">
        <v>922</v>
      </c>
      <c r="C2994" s="255"/>
      <c r="D2994" s="255"/>
      <c r="E2994" s="255" t="s">
        <v>63</v>
      </c>
      <c r="F2994" s="255"/>
      <c r="G2994" s="255"/>
      <c r="H2994" s="255">
        <v>0</v>
      </c>
      <c r="I2994" s="255">
        <v>1</v>
      </c>
      <c r="J2994" s="255">
        <v>0</v>
      </c>
      <c r="K2994" s="255">
        <v>0</v>
      </c>
      <c r="L2994" s="255">
        <v>0</v>
      </c>
      <c r="M2994" s="255">
        <v>1</v>
      </c>
      <c r="N2994" s="255">
        <v>1</v>
      </c>
      <c r="O2994" s="255">
        <v>0</v>
      </c>
      <c r="P2994" s="255">
        <v>0</v>
      </c>
      <c r="Q2994" s="255" t="s">
        <v>488</v>
      </c>
      <c r="R2994" s="255" t="s">
        <v>488</v>
      </c>
      <c r="S2994" s="255" t="s">
        <v>488</v>
      </c>
      <c r="T2994" s="255" t="s">
        <v>488</v>
      </c>
      <c r="U2994" s="255" t="s">
        <v>488</v>
      </c>
      <c r="V2994" s="255" t="s">
        <v>488</v>
      </c>
      <c r="W2994">
        <f t="shared" si="48"/>
        <v>1</v>
      </c>
    </row>
    <row r="2995" spans="1:23" x14ac:dyDescent="0.25">
      <c r="A2995" s="2" t="s">
        <v>1380</v>
      </c>
      <c r="B2995" s="2" t="s">
        <v>922</v>
      </c>
      <c r="C2995" s="2">
        <v>540149</v>
      </c>
      <c r="D2995" s="2" t="s">
        <v>791</v>
      </c>
      <c r="E2995" s="2" t="s">
        <v>65</v>
      </c>
      <c r="F2995" s="2" t="s">
        <v>5</v>
      </c>
      <c r="G2995" s="2">
        <v>10</v>
      </c>
      <c r="H2995" s="2">
        <v>0</v>
      </c>
      <c r="I2995" s="2">
        <v>0</v>
      </c>
      <c r="J2995" s="2">
        <v>0</v>
      </c>
      <c r="K2995" s="2">
        <v>0</v>
      </c>
      <c r="L2995" s="2">
        <v>0</v>
      </c>
      <c r="M2995" s="2">
        <v>0</v>
      </c>
      <c r="N2995" s="2">
        <v>0</v>
      </c>
      <c r="O2995" s="2">
        <v>0</v>
      </c>
      <c r="P2995" s="2">
        <v>0</v>
      </c>
      <c r="Q2995" s="2">
        <v>0</v>
      </c>
      <c r="R2995" s="2">
        <v>0</v>
      </c>
      <c r="S2995" s="2" t="s">
        <v>488</v>
      </c>
      <c r="T2995" s="2" t="s">
        <v>488</v>
      </c>
      <c r="U2995" s="2" t="s">
        <v>488</v>
      </c>
      <c r="V2995" s="2" t="s">
        <v>488</v>
      </c>
      <c r="W2995">
        <f t="shared" si="48"/>
        <v>0</v>
      </c>
    </row>
    <row r="2996" spans="1:23" x14ac:dyDescent="0.25">
      <c r="A2996" s="2" t="s">
        <v>1380</v>
      </c>
      <c r="B2996" s="2" t="s">
        <v>922</v>
      </c>
      <c r="C2996" s="2">
        <v>540080</v>
      </c>
      <c r="D2996" s="2" t="s">
        <v>792</v>
      </c>
      <c r="E2996" s="2" t="s">
        <v>65</v>
      </c>
      <c r="F2996" s="2" t="s">
        <v>115</v>
      </c>
      <c r="G2996" s="2">
        <v>10</v>
      </c>
      <c r="H2996" s="2">
        <v>0</v>
      </c>
      <c r="I2996" s="2">
        <v>0</v>
      </c>
      <c r="J2996" s="2">
        <v>0</v>
      </c>
      <c r="K2996" s="2">
        <v>0</v>
      </c>
      <c r="L2996" s="2">
        <v>0</v>
      </c>
      <c r="M2996" s="2">
        <v>0</v>
      </c>
      <c r="N2996" s="2">
        <v>0</v>
      </c>
      <c r="O2996" s="2">
        <v>0</v>
      </c>
      <c r="P2996" s="2">
        <v>0</v>
      </c>
      <c r="Q2996" s="2">
        <v>0</v>
      </c>
      <c r="R2996" s="2">
        <v>0</v>
      </c>
      <c r="S2996" s="2" t="s">
        <v>488</v>
      </c>
      <c r="T2996" s="2" t="s">
        <v>488</v>
      </c>
      <c r="U2996" s="2" t="s">
        <v>488</v>
      </c>
      <c r="V2996" s="2" t="s">
        <v>488</v>
      </c>
      <c r="W2996">
        <f t="shared" si="48"/>
        <v>0</v>
      </c>
    </row>
    <row r="2997" spans="1:23" x14ac:dyDescent="0.25">
      <c r="A2997" s="2" t="s">
        <v>1380</v>
      </c>
      <c r="B2997" s="2" t="s">
        <v>922</v>
      </c>
      <c r="C2997" s="2">
        <v>540094</v>
      </c>
      <c r="D2997" s="2" t="s">
        <v>793</v>
      </c>
      <c r="E2997" s="2" t="s">
        <v>65</v>
      </c>
      <c r="F2997" s="2" t="s">
        <v>115</v>
      </c>
      <c r="G2997" s="2">
        <v>10</v>
      </c>
      <c r="H2997" s="2">
        <v>0</v>
      </c>
      <c r="I2997" s="2">
        <v>0</v>
      </c>
      <c r="J2997" s="2">
        <v>0</v>
      </c>
      <c r="K2997" s="2">
        <v>0</v>
      </c>
      <c r="L2997" s="2">
        <v>0</v>
      </c>
      <c r="M2997" s="2">
        <v>0</v>
      </c>
      <c r="N2997" s="2">
        <v>0</v>
      </c>
      <c r="O2997" s="2">
        <v>0</v>
      </c>
      <c r="P2997" s="2">
        <v>0</v>
      </c>
      <c r="Q2997" s="2">
        <v>0</v>
      </c>
      <c r="R2997" s="2">
        <v>0</v>
      </c>
      <c r="S2997" s="2" t="s">
        <v>488</v>
      </c>
      <c r="T2997" s="2" t="s">
        <v>488</v>
      </c>
      <c r="U2997" s="2" t="s">
        <v>488</v>
      </c>
      <c r="V2997" s="2" t="s">
        <v>488</v>
      </c>
      <c r="W2997">
        <f t="shared" si="48"/>
        <v>0</v>
      </c>
    </row>
    <row r="2998" spans="1:23" x14ac:dyDescent="0.25">
      <c r="A2998" s="2" t="s">
        <v>1380</v>
      </c>
      <c r="B2998" s="2" t="s">
        <v>922</v>
      </c>
      <c r="C2998" s="2">
        <v>540150</v>
      </c>
      <c r="D2998" s="2" t="s">
        <v>794</v>
      </c>
      <c r="E2998" s="2" t="s">
        <v>65</v>
      </c>
      <c r="F2998" s="2" t="s">
        <v>115</v>
      </c>
      <c r="G2998" s="2">
        <v>10</v>
      </c>
      <c r="H2998" s="2">
        <v>0</v>
      </c>
      <c r="I2998" s="2">
        <v>0</v>
      </c>
      <c r="J2998" s="2">
        <v>0</v>
      </c>
      <c r="K2998" s="2">
        <v>0</v>
      </c>
      <c r="L2998" s="2">
        <v>0</v>
      </c>
      <c r="M2998" s="2">
        <v>0</v>
      </c>
      <c r="N2998" s="2">
        <v>0</v>
      </c>
      <c r="O2998" s="2">
        <v>0</v>
      </c>
      <c r="P2998" s="2">
        <v>0</v>
      </c>
      <c r="Q2998" s="2">
        <v>0</v>
      </c>
      <c r="R2998" s="2">
        <v>0</v>
      </c>
      <c r="S2998" s="2" t="s">
        <v>488</v>
      </c>
      <c r="T2998" s="2" t="s">
        <v>488</v>
      </c>
      <c r="U2998" s="2" t="s">
        <v>488</v>
      </c>
      <c r="V2998" s="2" t="s">
        <v>488</v>
      </c>
      <c r="W2998">
        <f t="shared" si="48"/>
        <v>0</v>
      </c>
    </row>
    <row r="2999" spans="1:23" x14ac:dyDescent="0.25">
      <c r="A2999" s="2" t="s">
        <v>1380</v>
      </c>
      <c r="B2999" s="2" t="s">
        <v>922</v>
      </c>
      <c r="C2999" s="2">
        <v>540151</v>
      </c>
      <c r="D2999" s="2" t="s">
        <v>795</v>
      </c>
      <c r="E2999" s="2" t="s">
        <v>65</v>
      </c>
      <c r="F2999" s="2" t="s">
        <v>115</v>
      </c>
      <c r="G2999" s="2">
        <v>10</v>
      </c>
      <c r="H2999" s="2">
        <v>0</v>
      </c>
      <c r="I2999" s="2">
        <v>0</v>
      </c>
      <c r="J2999" s="2">
        <v>0</v>
      </c>
      <c r="K2999" s="2">
        <v>0</v>
      </c>
      <c r="L2999" s="2">
        <v>0</v>
      </c>
      <c r="M2999" s="2">
        <v>0</v>
      </c>
      <c r="N2999" s="2">
        <v>0</v>
      </c>
      <c r="O2999" s="2">
        <v>0</v>
      </c>
      <c r="P2999" s="2">
        <v>0</v>
      </c>
      <c r="Q2999" s="2">
        <v>0</v>
      </c>
      <c r="R2999" s="2">
        <v>0</v>
      </c>
      <c r="S2999" s="2" t="s">
        <v>488</v>
      </c>
      <c r="T2999" s="2" t="s">
        <v>488</v>
      </c>
      <c r="U2999" s="2" t="s">
        <v>488</v>
      </c>
      <c r="V2999" s="2" t="s">
        <v>488</v>
      </c>
      <c r="W2999">
        <f t="shared" si="48"/>
        <v>0</v>
      </c>
    </row>
    <row r="3000" spans="1:23" x14ac:dyDescent="0.25">
      <c r="A3000" s="2" t="s">
        <v>1380</v>
      </c>
      <c r="B3000" s="2" t="s">
        <v>922</v>
      </c>
      <c r="C3000" s="2">
        <v>540152</v>
      </c>
      <c r="D3000" s="2" t="s">
        <v>741</v>
      </c>
      <c r="E3000" s="2" t="s">
        <v>65</v>
      </c>
      <c r="F3000" s="2" t="s">
        <v>115</v>
      </c>
      <c r="G3000" s="2">
        <v>10</v>
      </c>
      <c r="H3000" s="2">
        <v>0</v>
      </c>
      <c r="I3000" s="2">
        <v>0</v>
      </c>
      <c r="J3000" s="2">
        <v>0</v>
      </c>
      <c r="K3000" s="2">
        <v>0</v>
      </c>
      <c r="L3000" s="2">
        <v>0</v>
      </c>
      <c r="M3000" s="2">
        <v>0</v>
      </c>
      <c r="N3000" s="2">
        <v>0</v>
      </c>
      <c r="O3000" s="2">
        <v>0</v>
      </c>
      <c r="P3000" s="2">
        <v>0</v>
      </c>
      <c r="Q3000" s="2">
        <v>0</v>
      </c>
      <c r="R3000" s="2">
        <v>0</v>
      </c>
      <c r="S3000" s="2" t="s">
        <v>488</v>
      </c>
      <c r="T3000" s="2" t="s">
        <v>488</v>
      </c>
      <c r="U3000" s="2" t="s">
        <v>488</v>
      </c>
      <c r="V3000" s="2" t="s">
        <v>488</v>
      </c>
      <c r="W3000">
        <f t="shared" si="48"/>
        <v>0</v>
      </c>
    </row>
    <row r="3001" spans="1:23" x14ac:dyDescent="0.25">
      <c r="A3001" s="2" t="s">
        <v>1380</v>
      </c>
      <c r="B3001" s="2" t="s">
        <v>922</v>
      </c>
      <c r="C3001" s="2">
        <v>540275</v>
      </c>
      <c r="D3001" s="2" t="s">
        <v>796</v>
      </c>
      <c r="E3001" s="2" t="s">
        <v>65</v>
      </c>
      <c r="F3001" s="2" t="s">
        <v>115</v>
      </c>
      <c r="G3001" s="2">
        <v>10</v>
      </c>
      <c r="H3001" s="2">
        <v>0</v>
      </c>
      <c r="I3001" s="2">
        <v>0</v>
      </c>
      <c r="J3001" s="2">
        <v>0</v>
      </c>
      <c r="K3001" s="2">
        <v>0</v>
      </c>
      <c r="L3001" s="2">
        <v>0</v>
      </c>
      <c r="M3001" s="2">
        <v>0</v>
      </c>
      <c r="N3001" s="2">
        <v>0</v>
      </c>
      <c r="O3001" s="2">
        <v>0</v>
      </c>
      <c r="P3001" s="2">
        <v>0</v>
      </c>
      <c r="Q3001" s="2">
        <v>0</v>
      </c>
      <c r="R3001" s="2">
        <v>0</v>
      </c>
      <c r="S3001" s="2" t="s">
        <v>488</v>
      </c>
      <c r="T3001" s="2" t="s">
        <v>488</v>
      </c>
      <c r="U3001" s="2" t="s">
        <v>488</v>
      </c>
      <c r="V3001" s="2" t="s">
        <v>488</v>
      </c>
      <c r="W3001">
        <f t="shared" si="48"/>
        <v>0</v>
      </c>
    </row>
    <row r="3002" spans="1:23" x14ac:dyDescent="0.25">
      <c r="A3002" s="255" t="s">
        <v>1380</v>
      </c>
      <c r="B3002" s="255" t="s">
        <v>922</v>
      </c>
      <c r="C3002" s="255"/>
      <c r="D3002" s="255"/>
      <c r="E3002" s="255" t="s">
        <v>65</v>
      </c>
      <c r="F3002" s="255"/>
      <c r="G3002" s="255"/>
      <c r="H3002" s="255">
        <v>0</v>
      </c>
      <c r="I3002" s="255">
        <v>0</v>
      </c>
      <c r="J3002" s="255">
        <v>0</v>
      </c>
      <c r="K3002" s="255">
        <v>0</v>
      </c>
      <c r="L3002" s="255">
        <v>0</v>
      </c>
      <c r="M3002" s="255">
        <v>0</v>
      </c>
      <c r="N3002" s="255">
        <v>0</v>
      </c>
      <c r="O3002" s="255">
        <v>0</v>
      </c>
      <c r="P3002" s="255">
        <v>0</v>
      </c>
      <c r="Q3002" s="255">
        <v>0</v>
      </c>
      <c r="R3002" s="255">
        <v>0</v>
      </c>
      <c r="S3002" s="255" t="s">
        <v>488</v>
      </c>
      <c r="T3002" s="255" t="s">
        <v>488</v>
      </c>
      <c r="U3002" s="255" t="s">
        <v>488</v>
      </c>
      <c r="V3002" s="255" t="s">
        <v>488</v>
      </c>
      <c r="W3002">
        <f t="shared" si="48"/>
        <v>0</v>
      </c>
    </row>
    <row r="3003" spans="1:23" x14ac:dyDescent="0.25">
      <c r="A3003" s="2" t="s">
        <v>1380</v>
      </c>
      <c r="B3003" s="2" t="s">
        <v>922</v>
      </c>
      <c r="C3003" s="2">
        <v>540153</v>
      </c>
      <c r="D3003" s="2" t="s">
        <v>797</v>
      </c>
      <c r="E3003" s="2" t="s">
        <v>67</v>
      </c>
      <c r="F3003" s="2" t="s">
        <v>5</v>
      </c>
      <c r="G3003" s="2">
        <v>8</v>
      </c>
      <c r="H3003" s="2">
        <v>0</v>
      </c>
      <c r="I3003" s="2">
        <v>0</v>
      </c>
      <c r="J3003" s="2">
        <v>0</v>
      </c>
      <c r="K3003" s="2">
        <v>0</v>
      </c>
      <c r="L3003" s="2">
        <v>0</v>
      </c>
      <c r="M3003" s="2">
        <v>0</v>
      </c>
      <c r="N3003" s="2">
        <v>0</v>
      </c>
      <c r="O3003" s="2">
        <v>0</v>
      </c>
      <c r="P3003" s="2">
        <v>0</v>
      </c>
      <c r="Q3003" s="2" t="s">
        <v>488</v>
      </c>
      <c r="R3003" s="2" t="s">
        <v>488</v>
      </c>
      <c r="S3003" s="2" t="s">
        <v>488</v>
      </c>
      <c r="T3003" s="2" t="s">
        <v>488</v>
      </c>
      <c r="U3003" s="2" t="s">
        <v>488</v>
      </c>
      <c r="V3003" s="2" t="s">
        <v>488</v>
      </c>
      <c r="W3003">
        <f t="shared" si="48"/>
        <v>0</v>
      </c>
    </row>
    <row r="3004" spans="1:23" x14ac:dyDescent="0.25">
      <c r="A3004" s="2" t="s">
        <v>1380</v>
      </c>
      <c r="B3004" s="2" t="s">
        <v>922</v>
      </c>
      <c r="C3004" s="2">
        <v>540154</v>
      </c>
      <c r="D3004" s="2" t="s">
        <v>798</v>
      </c>
      <c r="E3004" s="2" t="s">
        <v>67</v>
      </c>
      <c r="F3004" s="2" t="s">
        <v>115</v>
      </c>
      <c r="G3004" s="2">
        <v>8</v>
      </c>
      <c r="H3004" s="2">
        <v>0</v>
      </c>
      <c r="I3004" s="2">
        <v>0</v>
      </c>
      <c r="J3004" s="2">
        <v>0</v>
      </c>
      <c r="K3004" s="2">
        <v>0</v>
      </c>
      <c r="L3004" s="2">
        <v>0</v>
      </c>
      <c r="M3004" s="2">
        <v>0</v>
      </c>
      <c r="N3004" s="2">
        <v>0</v>
      </c>
      <c r="O3004" s="2">
        <v>0</v>
      </c>
      <c r="P3004" s="2">
        <v>0</v>
      </c>
      <c r="Q3004" s="2" t="s">
        <v>488</v>
      </c>
      <c r="R3004" s="2" t="s">
        <v>488</v>
      </c>
      <c r="S3004" s="2" t="s">
        <v>488</v>
      </c>
      <c r="T3004" s="2" t="s">
        <v>488</v>
      </c>
      <c r="U3004" s="2" t="s">
        <v>488</v>
      </c>
      <c r="V3004" s="2" t="s">
        <v>488</v>
      </c>
      <c r="W3004">
        <f t="shared" si="48"/>
        <v>0</v>
      </c>
    </row>
    <row r="3005" spans="1:23" x14ac:dyDescent="0.25">
      <c r="A3005" s="255" t="s">
        <v>1380</v>
      </c>
      <c r="B3005" s="255" t="s">
        <v>922</v>
      </c>
      <c r="C3005" s="255"/>
      <c r="D3005" s="255"/>
      <c r="E3005" s="255" t="s">
        <v>67</v>
      </c>
      <c r="F3005" s="255"/>
      <c r="G3005" s="255"/>
      <c r="H3005" s="255">
        <v>0</v>
      </c>
      <c r="I3005" s="255">
        <v>0</v>
      </c>
      <c r="J3005" s="255">
        <v>0</v>
      </c>
      <c r="K3005" s="255">
        <v>0</v>
      </c>
      <c r="L3005" s="255">
        <v>0</v>
      </c>
      <c r="M3005" s="255">
        <v>0</v>
      </c>
      <c r="N3005" s="255">
        <v>0</v>
      </c>
      <c r="O3005" s="255">
        <v>0</v>
      </c>
      <c r="P3005" s="255">
        <v>0</v>
      </c>
      <c r="Q3005" s="255" t="s">
        <v>488</v>
      </c>
      <c r="R3005" s="255" t="s">
        <v>488</v>
      </c>
      <c r="S3005" s="255" t="s">
        <v>488</v>
      </c>
      <c r="T3005" s="255" t="s">
        <v>488</v>
      </c>
      <c r="U3005" s="255" t="s">
        <v>488</v>
      </c>
      <c r="V3005" s="255" t="s">
        <v>488</v>
      </c>
      <c r="W3005">
        <f t="shared" si="48"/>
        <v>0</v>
      </c>
    </row>
    <row r="3006" spans="1:23" x14ac:dyDescent="0.25">
      <c r="A3006" s="2" t="s">
        <v>1380</v>
      </c>
      <c r="B3006" s="2" t="s">
        <v>922</v>
      </c>
      <c r="C3006" s="2">
        <v>540160</v>
      </c>
      <c r="D3006" s="2" t="s">
        <v>799</v>
      </c>
      <c r="E3006" s="2" t="s">
        <v>69</v>
      </c>
      <c r="F3006" s="2" t="s">
        <v>5</v>
      </c>
      <c r="G3006" s="2">
        <v>6</v>
      </c>
      <c r="H3006" s="2">
        <v>0</v>
      </c>
      <c r="I3006" s="2">
        <v>1</v>
      </c>
      <c r="J3006" s="2">
        <v>0</v>
      </c>
      <c r="K3006" s="2">
        <v>0</v>
      </c>
      <c r="L3006" s="2">
        <v>0</v>
      </c>
      <c r="M3006" s="2">
        <v>1</v>
      </c>
      <c r="N3006" s="2">
        <v>1</v>
      </c>
      <c r="O3006" s="2">
        <v>0</v>
      </c>
      <c r="P3006" s="2">
        <v>0</v>
      </c>
      <c r="Q3006" s="2">
        <v>0</v>
      </c>
      <c r="R3006" s="2">
        <v>0</v>
      </c>
      <c r="S3006" s="2" t="s">
        <v>488</v>
      </c>
      <c r="T3006" s="2" t="s">
        <v>488</v>
      </c>
      <c r="U3006" s="2" t="s">
        <v>488</v>
      </c>
      <c r="V3006" s="2" t="s">
        <v>488</v>
      </c>
      <c r="W3006">
        <f t="shared" si="48"/>
        <v>1</v>
      </c>
    </row>
    <row r="3007" spans="1:23" x14ac:dyDescent="0.25">
      <c r="A3007" s="2" t="s">
        <v>1380</v>
      </c>
      <c r="B3007" s="2" t="s">
        <v>922</v>
      </c>
      <c r="C3007" s="2">
        <v>540137</v>
      </c>
      <c r="D3007" s="2" t="s">
        <v>800</v>
      </c>
      <c r="E3007" s="2" t="s">
        <v>69</v>
      </c>
      <c r="F3007" s="2" t="s">
        <v>115</v>
      </c>
      <c r="G3007" s="2">
        <v>6</v>
      </c>
      <c r="H3007" s="2">
        <v>0</v>
      </c>
      <c r="I3007" s="2">
        <v>0</v>
      </c>
      <c r="J3007" s="2">
        <v>0</v>
      </c>
      <c r="K3007" s="2">
        <v>0</v>
      </c>
      <c r="L3007" s="2">
        <v>0</v>
      </c>
      <c r="M3007" s="2">
        <v>0</v>
      </c>
      <c r="N3007" s="2">
        <v>0</v>
      </c>
      <c r="O3007" s="2">
        <v>0</v>
      </c>
      <c r="P3007" s="2">
        <v>0</v>
      </c>
      <c r="Q3007" s="2">
        <v>0</v>
      </c>
      <c r="R3007" s="2">
        <v>0</v>
      </c>
      <c r="S3007" s="2" t="s">
        <v>488</v>
      </c>
      <c r="T3007" s="2" t="s">
        <v>488</v>
      </c>
      <c r="U3007" s="2" t="s">
        <v>488</v>
      </c>
      <c r="V3007" s="2" t="s">
        <v>488</v>
      </c>
      <c r="W3007">
        <f t="shared" si="48"/>
        <v>0</v>
      </c>
    </row>
    <row r="3008" spans="1:23" x14ac:dyDescent="0.25">
      <c r="A3008" s="2" t="s">
        <v>1380</v>
      </c>
      <c r="B3008" s="2" t="s">
        <v>922</v>
      </c>
      <c r="C3008" s="2">
        <v>540161</v>
      </c>
      <c r="D3008" s="2" t="s">
        <v>801</v>
      </c>
      <c r="E3008" s="2" t="s">
        <v>69</v>
      </c>
      <c r="F3008" s="2" t="s">
        <v>115</v>
      </c>
      <c r="G3008" s="2">
        <v>6</v>
      </c>
      <c r="H3008" s="2">
        <v>0</v>
      </c>
      <c r="I3008" s="2">
        <v>0</v>
      </c>
      <c r="J3008" s="2">
        <v>0</v>
      </c>
      <c r="K3008" s="2">
        <v>0</v>
      </c>
      <c r="L3008" s="2">
        <v>0</v>
      </c>
      <c r="M3008" s="2">
        <v>0</v>
      </c>
      <c r="N3008" s="2">
        <v>0</v>
      </c>
      <c r="O3008" s="2">
        <v>0</v>
      </c>
      <c r="P3008" s="2">
        <v>0</v>
      </c>
      <c r="Q3008" s="2">
        <v>0</v>
      </c>
      <c r="R3008" s="2">
        <v>0</v>
      </c>
      <c r="S3008" s="2" t="s">
        <v>488</v>
      </c>
      <c r="T3008" s="2" t="s">
        <v>488</v>
      </c>
      <c r="U3008" s="2" t="s">
        <v>488</v>
      </c>
      <c r="V3008" s="2" t="s">
        <v>488</v>
      </c>
      <c r="W3008">
        <f t="shared" si="48"/>
        <v>0</v>
      </c>
    </row>
    <row r="3009" spans="1:23" x14ac:dyDescent="0.25">
      <c r="A3009" s="2" t="s">
        <v>1380</v>
      </c>
      <c r="B3009" s="2" t="s">
        <v>922</v>
      </c>
      <c r="C3009" s="2">
        <v>540162</v>
      </c>
      <c r="D3009" s="2" t="s">
        <v>802</v>
      </c>
      <c r="E3009" s="2" t="s">
        <v>69</v>
      </c>
      <c r="F3009" s="2" t="s">
        <v>115</v>
      </c>
      <c r="G3009" s="2">
        <v>6</v>
      </c>
      <c r="H3009" s="2">
        <v>0</v>
      </c>
      <c r="I3009" s="2">
        <v>0</v>
      </c>
      <c r="J3009" s="2">
        <v>1</v>
      </c>
      <c r="K3009" s="2">
        <v>0</v>
      </c>
      <c r="L3009" s="2">
        <v>0</v>
      </c>
      <c r="M3009" s="2">
        <v>1</v>
      </c>
      <c r="N3009" s="2">
        <v>1</v>
      </c>
      <c r="O3009" s="2">
        <v>0</v>
      </c>
      <c r="P3009" s="2">
        <v>0</v>
      </c>
      <c r="Q3009" s="2">
        <v>0</v>
      </c>
      <c r="R3009" s="2">
        <v>0</v>
      </c>
      <c r="S3009" s="2" t="s">
        <v>488</v>
      </c>
      <c r="T3009" s="2" t="s">
        <v>488</v>
      </c>
      <c r="U3009" s="2" t="s">
        <v>488</v>
      </c>
      <c r="V3009" s="2" t="s">
        <v>488</v>
      </c>
      <c r="W3009">
        <f t="shared" si="48"/>
        <v>1</v>
      </c>
    </row>
    <row r="3010" spans="1:23" x14ac:dyDescent="0.25">
      <c r="A3010" s="2" t="s">
        <v>1380</v>
      </c>
      <c r="B3010" s="2" t="s">
        <v>922</v>
      </c>
      <c r="C3010" s="2">
        <v>540163</v>
      </c>
      <c r="D3010" s="2" t="s">
        <v>803</v>
      </c>
      <c r="E3010" s="2" t="s">
        <v>69</v>
      </c>
      <c r="F3010" s="2" t="s">
        <v>115</v>
      </c>
      <c r="G3010" s="2">
        <v>6</v>
      </c>
      <c r="H3010" s="2">
        <v>0</v>
      </c>
      <c r="I3010" s="2">
        <v>0</v>
      </c>
      <c r="J3010" s="2">
        <v>0</v>
      </c>
      <c r="K3010" s="2">
        <v>0</v>
      </c>
      <c r="L3010" s="2">
        <v>0</v>
      </c>
      <c r="M3010" s="2">
        <v>0</v>
      </c>
      <c r="N3010" s="2">
        <v>0</v>
      </c>
      <c r="O3010" s="2">
        <v>0</v>
      </c>
      <c r="P3010" s="2">
        <v>0</v>
      </c>
      <c r="Q3010" s="2">
        <v>0</v>
      </c>
      <c r="R3010" s="2">
        <v>0</v>
      </c>
      <c r="S3010" s="2" t="s">
        <v>488</v>
      </c>
      <c r="T3010" s="2" t="s">
        <v>488</v>
      </c>
      <c r="U3010" s="2" t="s">
        <v>488</v>
      </c>
      <c r="V3010" s="2" t="s">
        <v>488</v>
      </c>
      <c r="W3010">
        <f t="shared" si="48"/>
        <v>0</v>
      </c>
    </row>
    <row r="3011" spans="1:23" x14ac:dyDescent="0.25">
      <c r="A3011" s="2" t="s">
        <v>1380</v>
      </c>
      <c r="B3011" s="2" t="s">
        <v>922</v>
      </c>
      <c r="C3011" s="2">
        <v>540254</v>
      </c>
      <c r="D3011" s="2" t="s">
        <v>804</v>
      </c>
      <c r="E3011" s="2" t="s">
        <v>69</v>
      </c>
      <c r="F3011" s="2" t="s">
        <v>115</v>
      </c>
      <c r="G3011" s="2">
        <v>6</v>
      </c>
      <c r="H3011" s="2">
        <v>0</v>
      </c>
      <c r="I3011" s="2">
        <v>0</v>
      </c>
      <c r="J3011" s="2">
        <v>0</v>
      </c>
      <c r="K3011" s="2">
        <v>0</v>
      </c>
      <c r="L3011" s="2">
        <v>0</v>
      </c>
      <c r="M3011" s="2">
        <v>0</v>
      </c>
      <c r="N3011" s="2">
        <v>0</v>
      </c>
      <c r="O3011" s="2">
        <v>0</v>
      </c>
      <c r="P3011" s="2">
        <v>0</v>
      </c>
      <c r="Q3011" s="2">
        <v>0</v>
      </c>
      <c r="R3011" s="2">
        <v>0</v>
      </c>
      <c r="S3011" s="2" t="s">
        <v>488</v>
      </c>
      <c r="T3011" s="2" t="s">
        <v>488</v>
      </c>
      <c r="U3011" s="2" t="s">
        <v>488</v>
      </c>
      <c r="V3011" s="2" t="s">
        <v>488</v>
      </c>
      <c r="W3011">
        <f t="shared" ref="W3011:W3074" si="49">SUM(N3011,P3011,R3011,T3011)</f>
        <v>0</v>
      </c>
    </row>
    <row r="3012" spans="1:23" x14ac:dyDescent="0.25">
      <c r="A3012" s="2" t="s">
        <v>1380</v>
      </c>
      <c r="B3012" s="2" t="s">
        <v>922</v>
      </c>
      <c r="C3012" s="2">
        <v>540257</v>
      </c>
      <c r="D3012" s="2" t="s">
        <v>805</v>
      </c>
      <c r="E3012" s="2" t="s">
        <v>69</v>
      </c>
      <c r="F3012" s="2" t="s">
        <v>115</v>
      </c>
      <c r="G3012" s="2">
        <v>6</v>
      </c>
      <c r="H3012" s="2">
        <v>0</v>
      </c>
      <c r="I3012" s="2">
        <v>0</v>
      </c>
      <c r="J3012" s="2">
        <v>0</v>
      </c>
      <c r="K3012" s="2">
        <v>0</v>
      </c>
      <c r="L3012" s="2">
        <v>0</v>
      </c>
      <c r="M3012" s="2">
        <v>0</v>
      </c>
      <c r="N3012" s="2">
        <v>0</v>
      </c>
      <c r="O3012" s="2">
        <v>0</v>
      </c>
      <c r="P3012" s="2">
        <v>0</v>
      </c>
      <c r="Q3012" s="2">
        <v>0</v>
      </c>
      <c r="R3012" s="2">
        <v>0</v>
      </c>
      <c r="S3012" s="2" t="s">
        <v>488</v>
      </c>
      <c r="T3012" s="2" t="s">
        <v>488</v>
      </c>
      <c r="U3012" s="2" t="s">
        <v>488</v>
      </c>
      <c r="V3012" s="2" t="s">
        <v>488</v>
      </c>
      <c r="W3012">
        <f t="shared" si="49"/>
        <v>0</v>
      </c>
    </row>
    <row r="3013" spans="1:23" x14ac:dyDescent="0.25">
      <c r="A3013" s="2" t="s">
        <v>1380</v>
      </c>
      <c r="B3013" s="2" t="s">
        <v>922</v>
      </c>
      <c r="C3013" s="2">
        <v>540268</v>
      </c>
      <c r="D3013" s="2" t="s">
        <v>806</v>
      </c>
      <c r="E3013" s="2" t="s">
        <v>69</v>
      </c>
      <c r="F3013" s="2" t="s">
        <v>115</v>
      </c>
      <c r="G3013" s="2">
        <v>6</v>
      </c>
      <c r="H3013" s="2">
        <v>0</v>
      </c>
      <c r="I3013" s="2">
        <v>0</v>
      </c>
      <c r="J3013" s="2">
        <v>0</v>
      </c>
      <c r="K3013" s="2">
        <v>0</v>
      </c>
      <c r="L3013" s="2">
        <v>0</v>
      </c>
      <c r="M3013" s="2">
        <v>0</v>
      </c>
      <c r="N3013" s="2">
        <v>0</v>
      </c>
      <c r="O3013" s="2">
        <v>0</v>
      </c>
      <c r="P3013" s="2">
        <v>0</v>
      </c>
      <c r="Q3013" s="2">
        <v>0</v>
      </c>
      <c r="R3013" s="2">
        <v>0</v>
      </c>
      <c r="S3013" s="2" t="s">
        <v>488</v>
      </c>
      <c r="T3013" s="2" t="s">
        <v>488</v>
      </c>
      <c r="U3013" s="2" t="s">
        <v>488</v>
      </c>
      <c r="V3013" s="2" t="s">
        <v>488</v>
      </c>
      <c r="W3013">
        <f t="shared" si="49"/>
        <v>0</v>
      </c>
    </row>
    <row r="3014" spans="1:23" x14ac:dyDescent="0.25">
      <c r="A3014" s="2" t="s">
        <v>1380</v>
      </c>
      <c r="B3014" s="2" t="s">
        <v>922</v>
      </c>
      <c r="C3014" s="2">
        <v>540269</v>
      </c>
      <c r="D3014" s="2" t="s">
        <v>807</v>
      </c>
      <c r="E3014" s="2" t="s">
        <v>69</v>
      </c>
      <c r="F3014" s="2" t="s">
        <v>115</v>
      </c>
      <c r="G3014" s="2">
        <v>6</v>
      </c>
      <c r="H3014" s="2">
        <v>0</v>
      </c>
      <c r="I3014" s="2">
        <v>0</v>
      </c>
      <c r="J3014" s="2">
        <v>0</v>
      </c>
      <c r="K3014" s="2">
        <v>0</v>
      </c>
      <c r="L3014" s="2">
        <v>0</v>
      </c>
      <c r="M3014" s="2">
        <v>0</v>
      </c>
      <c r="N3014" s="2">
        <v>0</v>
      </c>
      <c r="O3014" s="2">
        <v>0</v>
      </c>
      <c r="P3014" s="2">
        <v>0</v>
      </c>
      <c r="Q3014" s="2">
        <v>0</v>
      </c>
      <c r="R3014" s="2">
        <v>0</v>
      </c>
      <c r="S3014" s="2" t="s">
        <v>488</v>
      </c>
      <c r="T3014" s="2" t="s">
        <v>488</v>
      </c>
      <c r="U3014" s="2" t="s">
        <v>488</v>
      </c>
      <c r="V3014" s="2" t="s">
        <v>488</v>
      </c>
      <c r="W3014">
        <f t="shared" si="49"/>
        <v>0</v>
      </c>
    </row>
    <row r="3015" spans="1:23" x14ac:dyDescent="0.25">
      <c r="A3015" s="2" t="s">
        <v>1380</v>
      </c>
      <c r="B3015" s="2" t="s">
        <v>922</v>
      </c>
      <c r="C3015" s="2">
        <v>540270</v>
      </c>
      <c r="D3015" s="2" t="s">
        <v>808</v>
      </c>
      <c r="E3015" s="2" t="s">
        <v>69</v>
      </c>
      <c r="F3015" s="2" t="s">
        <v>115</v>
      </c>
      <c r="G3015" s="2">
        <v>6</v>
      </c>
      <c r="H3015" s="2">
        <v>0</v>
      </c>
      <c r="I3015" s="2">
        <v>0</v>
      </c>
      <c r="J3015" s="2">
        <v>0</v>
      </c>
      <c r="K3015" s="2">
        <v>0</v>
      </c>
      <c r="L3015" s="2">
        <v>0</v>
      </c>
      <c r="M3015" s="2">
        <v>0</v>
      </c>
      <c r="N3015" s="2">
        <v>0</v>
      </c>
      <c r="O3015" s="2">
        <v>0</v>
      </c>
      <c r="P3015" s="2">
        <v>0</v>
      </c>
      <c r="Q3015" s="2">
        <v>0</v>
      </c>
      <c r="R3015" s="2">
        <v>0</v>
      </c>
      <c r="S3015" s="2" t="s">
        <v>488</v>
      </c>
      <c r="T3015" s="2" t="s">
        <v>488</v>
      </c>
      <c r="U3015" s="2" t="s">
        <v>488</v>
      </c>
      <c r="V3015" s="2" t="s">
        <v>488</v>
      </c>
      <c r="W3015">
        <f t="shared" si="49"/>
        <v>0</v>
      </c>
    </row>
    <row r="3016" spans="1:23" x14ac:dyDescent="0.25">
      <c r="A3016" s="2" t="s">
        <v>1380</v>
      </c>
      <c r="B3016" s="2" t="s">
        <v>922</v>
      </c>
      <c r="C3016" s="2">
        <v>540284</v>
      </c>
      <c r="D3016" s="2" t="s">
        <v>809</v>
      </c>
      <c r="E3016" s="2" t="s">
        <v>69</v>
      </c>
      <c r="F3016" s="2" t="s">
        <v>115</v>
      </c>
      <c r="G3016" s="2">
        <v>6</v>
      </c>
      <c r="H3016" s="2">
        <v>0</v>
      </c>
      <c r="I3016" s="2">
        <v>0</v>
      </c>
      <c r="J3016" s="2">
        <v>0</v>
      </c>
      <c r="K3016" s="2">
        <v>0</v>
      </c>
      <c r="L3016" s="2">
        <v>0</v>
      </c>
      <c r="M3016" s="2">
        <v>0</v>
      </c>
      <c r="N3016" s="2">
        <v>0</v>
      </c>
      <c r="O3016" s="2">
        <v>0</v>
      </c>
      <c r="P3016" s="2">
        <v>0</v>
      </c>
      <c r="Q3016" s="2">
        <v>0</v>
      </c>
      <c r="R3016" s="2">
        <v>0</v>
      </c>
      <c r="S3016" s="2" t="s">
        <v>488</v>
      </c>
      <c r="T3016" s="2" t="s">
        <v>488</v>
      </c>
      <c r="U3016" s="2" t="s">
        <v>488</v>
      </c>
      <c r="V3016" s="2" t="s">
        <v>488</v>
      </c>
      <c r="W3016">
        <f t="shared" si="49"/>
        <v>0</v>
      </c>
    </row>
    <row r="3017" spans="1:23" x14ac:dyDescent="0.25">
      <c r="A3017" s="255" t="s">
        <v>1380</v>
      </c>
      <c r="B3017" s="255" t="s">
        <v>922</v>
      </c>
      <c r="C3017" s="255"/>
      <c r="D3017" s="255"/>
      <c r="E3017" s="255" t="s">
        <v>69</v>
      </c>
      <c r="F3017" s="255"/>
      <c r="G3017" s="255"/>
      <c r="H3017" s="255">
        <v>0</v>
      </c>
      <c r="I3017" s="255">
        <v>1</v>
      </c>
      <c r="J3017" s="255">
        <v>1</v>
      </c>
      <c r="K3017" s="255">
        <v>0</v>
      </c>
      <c r="L3017" s="255">
        <v>0</v>
      </c>
      <c r="M3017" s="255">
        <v>2</v>
      </c>
      <c r="N3017" s="255">
        <v>2</v>
      </c>
      <c r="O3017" s="255">
        <v>0</v>
      </c>
      <c r="P3017" s="255">
        <v>0</v>
      </c>
      <c r="Q3017" s="255">
        <v>0</v>
      </c>
      <c r="R3017" s="255">
        <v>0</v>
      </c>
      <c r="S3017" s="255" t="s">
        <v>488</v>
      </c>
      <c r="T3017" s="255" t="s">
        <v>488</v>
      </c>
      <c r="U3017" s="255" t="s">
        <v>488</v>
      </c>
      <c r="V3017" s="255" t="s">
        <v>488</v>
      </c>
      <c r="W3017">
        <f t="shared" si="49"/>
        <v>2</v>
      </c>
    </row>
    <row r="3018" spans="1:23" x14ac:dyDescent="0.25">
      <c r="A3018" s="2" t="s">
        <v>1380</v>
      </c>
      <c r="B3018" s="2" t="s">
        <v>922</v>
      </c>
      <c r="C3018" s="2">
        <v>540164</v>
      </c>
      <c r="D3018" s="2" t="s">
        <v>810</v>
      </c>
      <c r="E3018" s="2" t="s">
        <v>71</v>
      </c>
      <c r="F3018" s="2" t="s">
        <v>5</v>
      </c>
      <c r="G3018" s="2">
        <v>3</v>
      </c>
      <c r="H3018" s="2">
        <v>0</v>
      </c>
      <c r="I3018" s="2">
        <v>0</v>
      </c>
      <c r="J3018" s="2">
        <v>0</v>
      </c>
      <c r="K3018" s="2">
        <v>0</v>
      </c>
      <c r="L3018" s="2">
        <v>0</v>
      </c>
      <c r="M3018" s="2">
        <v>0</v>
      </c>
      <c r="N3018" s="2">
        <v>0</v>
      </c>
      <c r="O3018" s="2">
        <v>0</v>
      </c>
      <c r="P3018" s="2">
        <v>0</v>
      </c>
      <c r="Q3018" s="2">
        <v>0</v>
      </c>
      <c r="R3018" s="2">
        <v>0</v>
      </c>
      <c r="S3018" s="2" t="s">
        <v>488</v>
      </c>
      <c r="T3018" s="2" t="s">
        <v>488</v>
      </c>
      <c r="U3018" s="2" t="s">
        <v>488</v>
      </c>
      <c r="V3018" s="2" t="s">
        <v>488</v>
      </c>
      <c r="W3018">
        <f t="shared" si="49"/>
        <v>0</v>
      </c>
    </row>
    <row r="3019" spans="1:23" x14ac:dyDescent="0.25">
      <c r="A3019" s="2" t="s">
        <v>1380</v>
      </c>
      <c r="B3019" s="2" t="s">
        <v>922</v>
      </c>
      <c r="C3019" s="2">
        <v>540081</v>
      </c>
      <c r="D3019" s="2" t="s">
        <v>711</v>
      </c>
      <c r="E3019" s="2" t="s">
        <v>71</v>
      </c>
      <c r="F3019" s="2" t="s">
        <v>115</v>
      </c>
      <c r="G3019" s="2">
        <v>3</v>
      </c>
      <c r="H3019" s="2">
        <v>0</v>
      </c>
      <c r="I3019" s="2">
        <v>0</v>
      </c>
      <c r="J3019" s="2">
        <v>0</v>
      </c>
      <c r="K3019" s="2">
        <v>0</v>
      </c>
      <c r="L3019" s="2">
        <v>0</v>
      </c>
      <c r="M3019" s="2">
        <v>0</v>
      </c>
      <c r="N3019" s="2">
        <v>0</v>
      </c>
      <c r="O3019" s="2">
        <v>0</v>
      </c>
      <c r="P3019" s="2">
        <v>0</v>
      </c>
      <c r="Q3019" s="2">
        <v>0</v>
      </c>
      <c r="R3019" s="2">
        <v>0</v>
      </c>
      <c r="S3019" s="2" t="s">
        <v>488</v>
      </c>
      <c r="T3019" s="2" t="s">
        <v>488</v>
      </c>
      <c r="U3019" s="2" t="s">
        <v>488</v>
      </c>
      <c r="V3019" s="2" t="s">
        <v>488</v>
      </c>
      <c r="W3019">
        <f t="shared" si="49"/>
        <v>0</v>
      </c>
    </row>
    <row r="3020" spans="1:23" x14ac:dyDescent="0.25">
      <c r="A3020" s="2" t="s">
        <v>1380</v>
      </c>
      <c r="B3020" s="2" t="s">
        <v>922</v>
      </c>
      <c r="C3020" s="2">
        <v>540165</v>
      </c>
      <c r="D3020" s="2" t="s">
        <v>811</v>
      </c>
      <c r="E3020" s="2" t="s">
        <v>71</v>
      </c>
      <c r="F3020" s="2" t="s">
        <v>115</v>
      </c>
      <c r="G3020" s="2">
        <v>3</v>
      </c>
      <c r="H3020" s="2">
        <v>0</v>
      </c>
      <c r="I3020" s="2">
        <v>0</v>
      </c>
      <c r="J3020" s="2">
        <v>0</v>
      </c>
      <c r="K3020" s="2">
        <v>0</v>
      </c>
      <c r="L3020" s="2">
        <v>0</v>
      </c>
      <c r="M3020" s="2">
        <v>0</v>
      </c>
      <c r="N3020" s="2">
        <v>0</v>
      </c>
      <c r="O3020" s="2">
        <v>0</v>
      </c>
      <c r="P3020" s="2">
        <v>0</v>
      </c>
      <c r="Q3020" s="2">
        <v>0</v>
      </c>
      <c r="R3020" s="2">
        <v>0</v>
      </c>
      <c r="S3020" s="2" t="s">
        <v>488</v>
      </c>
      <c r="T3020" s="2" t="s">
        <v>488</v>
      </c>
      <c r="U3020" s="2" t="s">
        <v>488</v>
      </c>
      <c r="V3020" s="2" t="s">
        <v>488</v>
      </c>
      <c r="W3020">
        <f t="shared" si="49"/>
        <v>0</v>
      </c>
    </row>
    <row r="3021" spans="1:23" x14ac:dyDescent="0.25">
      <c r="A3021" s="2" t="s">
        <v>1380</v>
      </c>
      <c r="B3021" s="2" t="s">
        <v>922</v>
      </c>
      <c r="C3021" s="2">
        <v>540166</v>
      </c>
      <c r="D3021" s="2" t="s">
        <v>812</v>
      </c>
      <c r="E3021" s="2" t="s">
        <v>71</v>
      </c>
      <c r="F3021" s="2" t="s">
        <v>115</v>
      </c>
      <c r="G3021" s="2">
        <v>3</v>
      </c>
      <c r="H3021" s="2">
        <v>0</v>
      </c>
      <c r="I3021" s="2">
        <v>0</v>
      </c>
      <c r="J3021" s="2">
        <v>0</v>
      </c>
      <c r="K3021" s="2">
        <v>0</v>
      </c>
      <c r="L3021" s="2">
        <v>0</v>
      </c>
      <c r="M3021" s="2">
        <v>0</v>
      </c>
      <c r="N3021" s="2">
        <v>0</v>
      </c>
      <c r="O3021" s="2">
        <v>0</v>
      </c>
      <c r="P3021" s="2">
        <v>0</v>
      </c>
      <c r="Q3021" s="2">
        <v>0</v>
      </c>
      <c r="R3021" s="2">
        <v>0</v>
      </c>
      <c r="S3021" s="2" t="s">
        <v>488</v>
      </c>
      <c r="T3021" s="2" t="s">
        <v>488</v>
      </c>
      <c r="U3021" s="2" t="s">
        <v>488</v>
      </c>
      <c r="V3021" s="2" t="s">
        <v>488</v>
      </c>
      <c r="W3021">
        <f t="shared" si="49"/>
        <v>0</v>
      </c>
    </row>
    <row r="3022" spans="1:23" x14ac:dyDescent="0.25">
      <c r="A3022" s="2" t="s">
        <v>1380</v>
      </c>
      <c r="B3022" s="2" t="s">
        <v>922</v>
      </c>
      <c r="C3022" s="2">
        <v>540167</v>
      </c>
      <c r="D3022" s="2" t="s">
        <v>813</v>
      </c>
      <c r="E3022" s="2" t="s">
        <v>71</v>
      </c>
      <c r="F3022" s="2" t="s">
        <v>115</v>
      </c>
      <c r="G3022" s="2">
        <v>3</v>
      </c>
      <c r="H3022" s="2">
        <v>0</v>
      </c>
      <c r="I3022" s="2">
        <v>0</v>
      </c>
      <c r="J3022" s="2">
        <v>0</v>
      </c>
      <c r="K3022" s="2">
        <v>0</v>
      </c>
      <c r="L3022" s="2">
        <v>0</v>
      </c>
      <c r="M3022" s="2">
        <v>0</v>
      </c>
      <c r="N3022" s="2">
        <v>0</v>
      </c>
      <c r="O3022" s="2">
        <v>0</v>
      </c>
      <c r="P3022" s="2">
        <v>0</v>
      </c>
      <c r="Q3022" s="2">
        <v>0</v>
      </c>
      <c r="R3022" s="2">
        <v>0</v>
      </c>
      <c r="S3022" s="2" t="s">
        <v>488</v>
      </c>
      <c r="T3022" s="2" t="s">
        <v>488</v>
      </c>
      <c r="U3022" s="2" t="s">
        <v>488</v>
      </c>
      <c r="V3022" s="2" t="s">
        <v>488</v>
      </c>
      <c r="W3022">
        <f t="shared" si="49"/>
        <v>0</v>
      </c>
    </row>
    <row r="3023" spans="1:23" x14ac:dyDescent="0.25">
      <c r="A3023" s="2" t="s">
        <v>1380</v>
      </c>
      <c r="B3023" s="2" t="s">
        <v>922</v>
      </c>
      <c r="C3023" s="2">
        <v>540168</v>
      </c>
      <c r="D3023" s="2" t="s">
        <v>814</v>
      </c>
      <c r="E3023" s="2" t="s">
        <v>71</v>
      </c>
      <c r="F3023" s="2" t="s">
        <v>115</v>
      </c>
      <c r="G3023" s="2">
        <v>3</v>
      </c>
      <c r="H3023" s="2">
        <v>0</v>
      </c>
      <c r="I3023" s="2">
        <v>0</v>
      </c>
      <c r="J3023" s="2">
        <v>0</v>
      </c>
      <c r="K3023" s="2">
        <v>0</v>
      </c>
      <c r="L3023" s="2">
        <v>0</v>
      </c>
      <c r="M3023" s="2">
        <v>0</v>
      </c>
      <c r="N3023" s="2">
        <v>0</v>
      </c>
      <c r="O3023" s="2">
        <v>0</v>
      </c>
      <c r="P3023" s="2">
        <v>0</v>
      </c>
      <c r="Q3023" s="2">
        <v>0</v>
      </c>
      <c r="R3023" s="2">
        <v>0</v>
      </c>
      <c r="S3023" s="2" t="s">
        <v>488</v>
      </c>
      <c r="T3023" s="2" t="s">
        <v>488</v>
      </c>
      <c r="U3023" s="2" t="s">
        <v>488</v>
      </c>
      <c r="V3023" s="2" t="s">
        <v>488</v>
      </c>
      <c r="W3023">
        <f t="shared" si="49"/>
        <v>0</v>
      </c>
    </row>
    <row r="3024" spans="1:23" x14ac:dyDescent="0.25">
      <c r="A3024" s="2" t="s">
        <v>1380</v>
      </c>
      <c r="B3024" s="2" t="s">
        <v>922</v>
      </c>
      <c r="C3024" s="2">
        <v>540222</v>
      </c>
      <c r="D3024" s="2" t="s">
        <v>815</v>
      </c>
      <c r="E3024" s="2" t="s">
        <v>71</v>
      </c>
      <c r="F3024" s="2" t="s">
        <v>115</v>
      </c>
      <c r="G3024" s="2">
        <v>3</v>
      </c>
      <c r="H3024" s="2">
        <v>0</v>
      </c>
      <c r="I3024" s="2">
        <v>0</v>
      </c>
      <c r="J3024" s="2">
        <v>0</v>
      </c>
      <c r="K3024" s="2">
        <v>0</v>
      </c>
      <c r="L3024" s="2">
        <v>0</v>
      </c>
      <c r="M3024" s="2">
        <v>0</v>
      </c>
      <c r="N3024" s="2">
        <v>0</v>
      </c>
      <c r="O3024" s="2">
        <v>0</v>
      </c>
      <c r="P3024" s="2">
        <v>0</v>
      </c>
      <c r="Q3024" s="2">
        <v>0</v>
      </c>
      <c r="R3024" s="2">
        <v>0</v>
      </c>
      <c r="S3024" s="2" t="s">
        <v>488</v>
      </c>
      <c r="T3024" s="2" t="s">
        <v>488</v>
      </c>
      <c r="U3024" s="2" t="s">
        <v>488</v>
      </c>
      <c r="V3024" s="2" t="s">
        <v>488</v>
      </c>
      <c r="W3024">
        <f t="shared" si="49"/>
        <v>0</v>
      </c>
    </row>
    <row r="3025" spans="1:23" x14ac:dyDescent="0.25">
      <c r="A3025" s="2" t="s">
        <v>1380</v>
      </c>
      <c r="B3025" s="2" t="s">
        <v>922</v>
      </c>
      <c r="C3025" s="2">
        <v>540271</v>
      </c>
      <c r="D3025" s="2" t="s">
        <v>816</v>
      </c>
      <c r="E3025" s="2" t="s">
        <v>71</v>
      </c>
      <c r="F3025" s="2" t="s">
        <v>115</v>
      </c>
      <c r="G3025" s="2">
        <v>3</v>
      </c>
      <c r="H3025" s="2">
        <v>0</v>
      </c>
      <c r="I3025" s="2">
        <v>0</v>
      </c>
      <c r="J3025" s="2">
        <v>0</v>
      </c>
      <c r="K3025" s="2">
        <v>0</v>
      </c>
      <c r="L3025" s="2">
        <v>0</v>
      </c>
      <c r="M3025" s="2">
        <v>0</v>
      </c>
      <c r="N3025" s="2">
        <v>0</v>
      </c>
      <c r="O3025" s="2">
        <v>0</v>
      </c>
      <c r="P3025" s="2">
        <v>0</v>
      </c>
      <c r="Q3025" s="2">
        <v>0</v>
      </c>
      <c r="R3025" s="2">
        <v>0</v>
      </c>
      <c r="S3025" s="2" t="s">
        <v>488</v>
      </c>
      <c r="T3025" s="2" t="s">
        <v>488</v>
      </c>
      <c r="U3025" s="2" t="s">
        <v>488</v>
      </c>
      <c r="V3025" s="2" t="s">
        <v>488</v>
      </c>
      <c r="W3025">
        <f t="shared" si="49"/>
        <v>0</v>
      </c>
    </row>
    <row r="3026" spans="1:23" x14ac:dyDescent="0.25">
      <c r="A3026" s="255" t="s">
        <v>1380</v>
      </c>
      <c r="B3026" s="255" t="s">
        <v>922</v>
      </c>
      <c r="C3026" s="255"/>
      <c r="D3026" s="255"/>
      <c r="E3026" s="255" t="s">
        <v>71</v>
      </c>
      <c r="F3026" s="255"/>
      <c r="G3026" s="255"/>
      <c r="H3026" s="255">
        <v>0</v>
      </c>
      <c r="I3026" s="255">
        <v>0</v>
      </c>
      <c r="J3026" s="255">
        <v>0</v>
      </c>
      <c r="K3026" s="255">
        <v>0</v>
      </c>
      <c r="L3026" s="255">
        <v>0</v>
      </c>
      <c r="M3026" s="255">
        <v>0</v>
      </c>
      <c r="N3026" s="255">
        <v>0</v>
      </c>
      <c r="O3026" s="255">
        <v>0</v>
      </c>
      <c r="P3026" s="255">
        <v>0</v>
      </c>
      <c r="Q3026" s="255">
        <v>0</v>
      </c>
      <c r="R3026" s="255">
        <v>0</v>
      </c>
      <c r="S3026" s="255" t="s">
        <v>488</v>
      </c>
      <c r="T3026" s="255" t="s">
        <v>488</v>
      </c>
      <c r="U3026" s="255" t="s">
        <v>488</v>
      </c>
      <c r="V3026" s="255" t="s">
        <v>488</v>
      </c>
      <c r="W3026">
        <f t="shared" si="49"/>
        <v>0</v>
      </c>
    </row>
    <row r="3027" spans="1:23" x14ac:dyDescent="0.25">
      <c r="A3027" s="2" t="s">
        <v>1380</v>
      </c>
      <c r="B3027" s="2" t="s">
        <v>922</v>
      </c>
      <c r="C3027" s="2">
        <v>540169</v>
      </c>
      <c r="D3027" s="2" t="s">
        <v>817</v>
      </c>
      <c r="E3027" s="2" t="s">
        <v>73</v>
      </c>
      <c r="F3027" s="2" t="s">
        <v>5</v>
      </c>
      <c r="G3027" s="2">
        <v>1</v>
      </c>
      <c r="H3027" s="2">
        <v>1</v>
      </c>
      <c r="I3027" s="2">
        <v>1</v>
      </c>
      <c r="J3027" s="2">
        <v>0</v>
      </c>
      <c r="K3027" s="2">
        <v>0</v>
      </c>
      <c r="L3027" s="2">
        <v>0</v>
      </c>
      <c r="M3027" s="2">
        <v>1</v>
      </c>
      <c r="N3027" s="2">
        <v>2</v>
      </c>
      <c r="O3027" s="2">
        <v>0</v>
      </c>
      <c r="P3027" s="2">
        <v>0</v>
      </c>
      <c r="Q3027" s="2">
        <v>0</v>
      </c>
      <c r="R3027" s="2">
        <v>0</v>
      </c>
      <c r="S3027" s="2" t="s">
        <v>488</v>
      </c>
      <c r="T3027" s="2" t="s">
        <v>488</v>
      </c>
      <c r="U3027" s="2" t="s">
        <v>488</v>
      </c>
      <c r="V3027" s="2" t="s">
        <v>488</v>
      </c>
      <c r="W3027">
        <f t="shared" si="49"/>
        <v>2</v>
      </c>
    </row>
    <row r="3028" spans="1:23" x14ac:dyDescent="0.25">
      <c r="A3028" s="2" t="s">
        <v>1380</v>
      </c>
      <c r="B3028" s="2" t="s">
        <v>922</v>
      </c>
      <c r="C3028" s="2">
        <v>540170</v>
      </c>
      <c r="D3028" s="2" t="s">
        <v>818</v>
      </c>
      <c r="E3028" s="2" t="s">
        <v>73</v>
      </c>
      <c r="F3028" s="2" t="s">
        <v>115</v>
      </c>
      <c r="G3028" s="2">
        <v>1</v>
      </c>
      <c r="H3028" s="2">
        <v>0</v>
      </c>
      <c r="I3028" s="2">
        <v>0</v>
      </c>
      <c r="J3028" s="2">
        <v>0</v>
      </c>
      <c r="K3028" s="2">
        <v>0</v>
      </c>
      <c r="L3028" s="2">
        <v>0</v>
      </c>
      <c r="M3028" s="2">
        <v>0</v>
      </c>
      <c r="N3028" s="2">
        <v>0</v>
      </c>
      <c r="O3028" s="2">
        <v>0</v>
      </c>
      <c r="P3028" s="2">
        <v>0</v>
      </c>
      <c r="Q3028" s="2">
        <v>0</v>
      </c>
      <c r="R3028" s="2">
        <v>0</v>
      </c>
      <c r="S3028" s="2" t="s">
        <v>488</v>
      </c>
      <c r="T3028" s="2" t="s">
        <v>488</v>
      </c>
      <c r="U3028" s="2" t="s">
        <v>488</v>
      </c>
      <c r="V3028" s="2" t="s">
        <v>488</v>
      </c>
      <c r="W3028">
        <f t="shared" si="49"/>
        <v>0</v>
      </c>
    </row>
    <row r="3029" spans="1:23" x14ac:dyDescent="0.25">
      <c r="A3029" s="2" t="s">
        <v>1380</v>
      </c>
      <c r="B3029" s="2" t="s">
        <v>922</v>
      </c>
      <c r="C3029" s="2">
        <v>540171</v>
      </c>
      <c r="D3029" s="2" t="s">
        <v>819</v>
      </c>
      <c r="E3029" s="2" t="s">
        <v>73</v>
      </c>
      <c r="F3029" s="2" t="s">
        <v>115</v>
      </c>
      <c r="G3029" s="2">
        <v>1</v>
      </c>
      <c r="H3029" s="2">
        <v>0</v>
      </c>
      <c r="I3029" s="2">
        <v>0</v>
      </c>
      <c r="J3029" s="2">
        <v>0</v>
      </c>
      <c r="K3029" s="2">
        <v>0</v>
      </c>
      <c r="L3029" s="2">
        <v>0</v>
      </c>
      <c r="M3029" s="2">
        <v>0</v>
      </c>
      <c r="N3029" s="2">
        <v>0</v>
      </c>
      <c r="O3029" s="2">
        <v>0</v>
      </c>
      <c r="P3029" s="2">
        <v>0</v>
      </c>
      <c r="Q3029" s="2">
        <v>0</v>
      </c>
      <c r="R3029" s="2">
        <v>0</v>
      </c>
      <c r="S3029" s="2" t="s">
        <v>488</v>
      </c>
      <c r="T3029" s="2" t="s">
        <v>488</v>
      </c>
      <c r="U3029" s="2" t="s">
        <v>488</v>
      </c>
      <c r="V3029" s="2" t="s">
        <v>488</v>
      </c>
      <c r="W3029">
        <f t="shared" si="49"/>
        <v>0</v>
      </c>
    </row>
    <row r="3030" spans="1:23" x14ac:dyDescent="0.25">
      <c r="A3030" s="2" t="s">
        <v>1380</v>
      </c>
      <c r="B3030" s="2" t="s">
        <v>922</v>
      </c>
      <c r="C3030" s="2">
        <v>540173</v>
      </c>
      <c r="D3030" s="2" t="s">
        <v>820</v>
      </c>
      <c r="E3030" s="2" t="s">
        <v>73</v>
      </c>
      <c r="F3030" s="2" t="s">
        <v>115</v>
      </c>
      <c r="G3030" s="2">
        <v>1</v>
      </c>
      <c r="H3030" s="2">
        <v>0</v>
      </c>
      <c r="I3030" s="2">
        <v>0</v>
      </c>
      <c r="J3030" s="2">
        <v>0</v>
      </c>
      <c r="K3030" s="2">
        <v>0</v>
      </c>
      <c r="L3030" s="2">
        <v>0</v>
      </c>
      <c r="M3030" s="2">
        <v>0</v>
      </c>
      <c r="N3030" s="2">
        <v>0</v>
      </c>
      <c r="O3030" s="2">
        <v>0</v>
      </c>
      <c r="P3030" s="2">
        <v>0</v>
      </c>
      <c r="Q3030" s="2">
        <v>0</v>
      </c>
      <c r="R3030" s="2">
        <v>0</v>
      </c>
      <c r="S3030" s="2" t="s">
        <v>488</v>
      </c>
      <c r="T3030" s="2" t="s">
        <v>488</v>
      </c>
      <c r="U3030" s="2" t="s">
        <v>488</v>
      </c>
      <c r="V3030" s="2" t="s">
        <v>488</v>
      </c>
      <c r="W3030">
        <f t="shared" si="49"/>
        <v>0</v>
      </c>
    </row>
    <row r="3031" spans="1:23" x14ac:dyDescent="0.25">
      <c r="A3031" s="2" t="s">
        <v>1380</v>
      </c>
      <c r="B3031" s="2" t="s">
        <v>922</v>
      </c>
      <c r="C3031" s="2">
        <v>540174</v>
      </c>
      <c r="D3031" s="2" t="s">
        <v>821</v>
      </c>
      <c r="E3031" s="2" t="s">
        <v>73</v>
      </c>
      <c r="F3031" s="2" t="s">
        <v>115</v>
      </c>
      <c r="G3031" s="2">
        <v>1</v>
      </c>
      <c r="H3031" s="2">
        <v>0</v>
      </c>
      <c r="I3031" s="2">
        <v>0</v>
      </c>
      <c r="J3031" s="2">
        <v>0</v>
      </c>
      <c r="K3031" s="2">
        <v>0</v>
      </c>
      <c r="L3031" s="2">
        <v>0</v>
      </c>
      <c r="M3031" s="2">
        <v>0</v>
      </c>
      <c r="N3031" s="2">
        <v>0</v>
      </c>
      <c r="O3031" s="2">
        <v>0</v>
      </c>
      <c r="P3031" s="2">
        <v>0</v>
      </c>
      <c r="Q3031" s="2">
        <v>0</v>
      </c>
      <c r="R3031" s="2">
        <v>0</v>
      </c>
      <c r="S3031" s="2" t="s">
        <v>488</v>
      </c>
      <c r="T3031" s="2" t="s">
        <v>488</v>
      </c>
      <c r="U3031" s="2" t="s">
        <v>488</v>
      </c>
      <c r="V3031" s="2" t="s">
        <v>488</v>
      </c>
      <c r="W3031">
        <f t="shared" si="49"/>
        <v>0</v>
      </c>
    </row>
    <row r="3032" spans="1:23" x14ac:dyDescent="0.25">
      <c r="A3032" s="2" t="s">
        <v>1380</v>
      </c>
      <c r="B3032" s="2" t="s">
        <v>922</v>
      </c>
      <c r="C3032" s="2">
        <v>540286</v>
      </c>
      <c r="D3032" s="2" t="s">
        <v>822</v>
      </c>
      <c r="E3032" s="2" t="s">
        <v>73</v>
      </c>
      <c r="F3032" s="2" t="s">
        <v>115</v>
      </c>
      <c r="G3032" s="2">
        <v>1</v>
      </c>
      <c r="H3032" s="2">
        <v>0</v>
      </c>
      <c r="I3032" s="2">
        <v>0</v>
      </c>
      <c r="J3032" s="2">
        <v>0</v>
      </c>
      <c r="K3032" s="2">
        <v>0</v>
      </c>
      <c r="L3032" s="2">
        <v>0</v>
      </c>
      <c r="M3032" s="2">
        <v>0</v>
      </c>
      <c r="N3032" s="2">
        <v>0</v>
      </c>
      <c r="O3032" s="2">
        <v>0</v>
      </c>
      <c r="P3032" s="2">
        <v>0</v>
      </c>
      <c r="Q3032" s="2">
        <v>0</v>
      </c>
      <c r="R3032" s="2">
        <v>0</v>
      </c>
      <c r="S3032" s="2" t="s">
        <v>488</v>
      </c>
      <c r="T3032" s="2" t="s">
        <v>488</v>
      </c>
      <c r="U3032" s="2" t="s">
        <v>488</v>
      </c>
      <c r="V3032" s="2" t="s">
        <v>488</v>
      </c>
      <c r="W3032">
        <f t="shared" si="49"/>
        <v>0</v>
      </c>
    </row>
    <row r="3033" spans="1:23" x14ac:dyDescent="0.25">
      <c r="A3033" s="255" t="s">
        <v>1380</v>
      </c>
      <c r="B3033" s="255" t="s">
        <v>922</v>
      </c>
      <c r="C3033" s="255"/>
      <c r="D3033" s="255"/>
      <c r="E3033" s="255" t="s">
        <v>73</v>
      </c>
      <c r="F3033" s="255"/>
      <c r="G3033" s="255"/>
      <c r="H3033" s="255">
        <v>1</v>
      </c>
      <c r="I3033" s="255">
        <v>1</v>
      </c>
      <c r="J3033" s="255">
        <v>0</v>
      </c>
      <c r="K3033" s="255">
        <v>0</v>
      </c>
      <c r="L3033" s="255">
        <v>0</v>
      </c>
      <c r="M3033" s="255">
        <v>1</v>
      </c>
      <c r="N3033" s="255">
        <v>2</v>
      </c>
      <c r="O3033" s="255">
        <v>0</v>
      </c>
      <c r="P3033" s="255">
        <v>0</v>
      </c>
      <c r="Q3033" s="255">
        <v>0</v>
      </c>
      <c r="R3033" s="255">
        <v>0</v>
      </c>
      <c r="S3033" s="255" t="s">
        <v>488</v>
      </c>
      <c r="T3033" s="255" t="s">
        <v>488</v>
      </c>
      <c r="U3033" s="255" t="s">
        <v>488</v>
      </c>
      <c r="V3033" s="255" t="s">
        <v>488</v>
      </c>
      <c r="W3033">
        <f t="shared" si="49"/>
        <v>2</v>
      </c>
    </row>
    <row r="3034" spans="1:23" x14ac:dyDescent="0.25">
      <c r="A3034" s="2" t="s">
        <v>1380</v>
      </c>
      <c r="B3034" s="2" t="s">
        <v>922</v>
      </c>
      <c r="C3034" s="2">
        <v>540183</v>
      </c>
      <c r="D3034" s="2" t="s">
        <v>823</v>
      </c>
      <c r="E3034" s="2" t="s">
        <v>77</v>
      </c>
      <c r="F3034" s="2" t="s">
        <v>5</v>
      </c>
      <c r="G3034" s="2">
        <v>5</v>
      </c>
      <c r="H3034" s="2">
        <v>0</v>
      </c>
      <c r="I3034" s="2">
        <v>0</v>
      </c>
      <c r="J3034" s="2">
        <v>0</v>
      </c>
      <c r="K3034" s="2">
        <v>0</v>
      </c>
      <c r="L3034" s="2">
        <v>0</v>
      </c>
      <c r="M3034" s="2">
        <v>0</v>
      </c>
      <c r="N3034" s="2">
        <v>0</v>
      </c>
      <c r="O3034" s="2">
        <v>0</v>
      </c>
      <c r="P3034" s="2">
        <v>0</v>
      </c>
      <c r="Q3034" s="2">
        <v>0</v>
      </c>
      <c r="R3034" s="2">
        <v>0</v>
      </c>
      <c r="S3034" s="2" t="s">
        <v>488</v>
      </c>
      <c r="T3034" s="2" t="s">
        <v>488</v>
      </c>
      <c r="U3034" s="2" t="s">
        <v>488</v>
      </c>
      <c r="V3034" s="2" t="s">
        <v>488</v>
      </c>
      <c r="W3034">
        <f t="shared" si="49"/>
        <v>0</v>
      </c>
    </row>
    <row r="3035" spans="1:23" x14ac:dyDescent="0.25">
      <c r="A3035" s="2" t="s">
        <v>1380</v>
      </c>
      <c r="B3035" s="2" t="s">
        <v>922</v>
      </c>
      <c r="C3035" s="2">
        <v>540184</v>
      </c>
      <c r="D3035" s="2" t="s">
        <v>824</v>
      </c>
      <c r="E3035" s="2" t="s">
        <v>77</v>
      </c>
      <c r="F3035" s="2" t="s">
        <v>115</v>
      </c>
      <c r="G3035" s="2">
        <v>5</v>
      </c>
      <c r="H3035" s="2">
        <v>0</v>
      </c>
      <c r="I3035" s="2">
        <v>0</v>
      </c>
      <c r="J3035" s="2">
        <v>0</v>
      </c>
      <c r="K3035" s="2">
        <v>0</v>
      </c>
      <c r="L3035" s="2">
        <v>0</v>
      </c>
      <c r="M3035" s="2">
        <v>0</v>
      </c>
      <c r="N3035" s="2">
        <v>0</v>
      </c>
      <c r="O3035" s="2">
        <v>0</v>
      </c>
      <c r="P3035" s="2">
        <v>0</v>
      </c>
      <c r="Q3035" s="2">
        <v>0</v>
      </c>
      <c r="R3035" s="2">
        <v>0</v>
      </c>
      <c r="S3035" s="2" t="s">
        <v>488</v>
      </c>
      <c r="T3035" s="2" t="s">
        <v>488</v>
      </c>
      <c r="U3035" s="2" t="s">
        <v>488</v>
      </c>
      <c r="V3035" s="2" t="s">
        <v>488</v>
      </c>
      <c r="W3035">
        <f t="shared" si="49"/>
        <v>0</v>
      </c>
    </row>
    <row r="3036" spans="1:23" x14ac:dyDescent="0.25">
      <c r="A3036" s="2" t="s">
        <v>1380</v>
      </c>
      <c r="B3036" s="2" t="s">
        <v>922</v>
      </c>
      <c r="C3036" s="2">
        <v>540185</v>
      </c>
      <c r="D3036" s="2" t="s">
        <v>825</v>
      </c>
      <c r="E3036" s="2" t="s">
        <v>77</v>
      </c>
      <c r="F3036" s="2" t="s">
        <v>115</v>
      </c>
      <c r="G3036" s="2">
        <v>5</v>
      </c>
      <c r="H3036" s="2">
        <v>0</v>
      </c>
      <c r="I3036" s="2">
        <v>1</v>
      </c>
      <c r="J3036" s="2">
        <v>0</v>
      </c>
      <c r="K3036" s="2">
        <v>0</v>
      </c>
      <c r="L3036" s="2">
        <v>0</v>
      </c>
      <c r="M3036" s="2">
        <v>1</v>
      </c>
      <c r="N3036" s="2">
        <v>1</v>
      </c>
      <c r="O3036" s="2">
        <v>0</v>
      </c>
      <c r="P3036" s="2">
        <v>0</v>
      </c>
      <c r="Q3036" s="2">
        <v>0</v>
      </c>
      <c r="R3036" s="2">
        <v>0</v>
      </c>
      <c r="S3036" s="2" t="s">
        <v>488</v>
      </c>
      <c r="T3036" s="2" t="s">
        <v>488</v>
      </c>
      <c r="U3036" s="2" t="s">
        <v>488</v>
      </c>
      <c r="V3036" s="2" t="s">
        <v>488</v>
      </c>
      <c r="W3036">
        <f t="shared" si="49"/>
        <v>1</v>
      </c>
    </row>
    <row r="3037" spans="1:23" x14ac:dyDescent="0.25">
      <c r="A3037" s="255" t="s">
        <v>1380</v>
      </c>
      <c r="B3037" s="255" t="s">
        <v>922</v>
      </c>
      <c r="C3037" s="255"/>
      <c r="D3037" s="255"/>
      <c r="E3037" s="255" t="s">
        <v>77</v>
      </c>
      <c r="F3037" s="255"/>
      <c r="G3037" s="255"/>
      <c r="H3037" s="255">
        <v>0</v>
      </c>
      <c r="I3037" s="255">
        <v>1</v>
      </c>
      <c r="J3037" s="255">
        <v>0</v>
      </c>
      <c r="K3037" s="255">
        <v>0</v>
      </c>
      <c r="L3037" s="255">
        <v>0</v>
      </c>
      <c r="M3037" s="255">
        <v>1</v>
      </c>
      <c r="N3037" s="255">
        <v>1</v>
      </c>
      <c r="O3037" s="255">
        <v>0</v>
      </c>
      <c r="P3037" s="255">
        <v>0</v>
      </c>
      <c r="Q3037" s="255">
        <v>0</v>
      </c>
      <c r="R3037" s="255">
        <v>0</v>
      </c>
      <c r="S3037" s="255" t="s">
        <v>488</v>
      </c>
      <c r="T3037" s="255" t="s">
        <v>488</v>
      </c>
      <c r="U3037" s="255" t="s">
        <v>488</v>
      </c>
      <c r="V3037" s="255" t="s">
        <v>488</v>
      </c>
      <c r="W3037">
        <f t="shared" si="49"/>
        <v>1</v>
      </c>
    </row>
    <row r="3038" spans="1:23" x14ac:dyDescent="0.25">
      <c r="A3038" s="2" t="s">
        <v>1380</v>
      </c>
      <c r="B3038" s="2" t="s">
        <v>922</v>
      </c>
      <c r="C3038" s="2">
        <v>540186</v>
      </c>
      <c r="D3038" s="2" t="s">
        <v>826</v>
      </c>
      <c r="E3038" s="2" t="s">
        <v>79</v>
      </c>
      <c r="F3038" s="2" t="s">
        <v>5</v>
      </c>
      <c r="G3038" s="2">
        <v>1</v>
      </c>
      <c r="H3038" s="2">
        <v>0</v>
      </c>
      <c r="I3038" s="2">
        <v>0</v>
      </c>
      <c r="J3038" s="2">
        <v>0</v>
      </c>
      <c r="K3038" s="2">
        <v>0</v>
      </c>
      <c r="L3038" s="2">
        <v>0</v>
      </c>
      <c r="M3038" s="2">
        <v>0</v>
      </c>
      <c r="N3038" s="2">
        <v>0</v>
      </c>
      <c r="O3038" s="2">
        <v>0</v>
      </c>
      <c r="P3038" s="2">
        <v>0</v>
      </c>
      <c r="Q3038" s="2">
        <v>0</v>
      </c>
      <c r="R3038" s="2">
        <v>0</v>
      </c>
      <c r="S3038" s="2" t="s">
        <v>488</v>
      </c>
      <c r="T3038" s="2" t="s">
        <v>488</v>
      </c>
      <c r="U3038" s="2" t="s">
        <v>488</v>
      </c>
      <c r="V3038" s="2" t="s">
        <v>488</v>
      </c>
      <c r="W3038">
        <f t="shared" si="49"/>
        <v>0</v>
      </c>
    </row>
    <row r="3039" spans="1:23" x14ac:dyDescent="0.25">
      <c r="A3039" s="2" t="s">
        <v>1380</v>
      </c>
      <c r="B3039" s="2" t="s">
        <v>922</v>
      </c>
      <c r="C3039" s="2">
        <v>540187</v>
      </c>
      <c r="D3039" s="2" t="s">
        <v>827</v>
      </c>
      <c r="E3039" s="2" t="s">
        <v>79</v>
      </c>
      <c r="F3039" s="2" t="s">
        <v>115</v>
      </c>
      <c r="G3039" s="2">
        <v>1</v>
      </c>
      <c r="H3039" s="2">
        <v>0</v>
      </c>
      <c r="I3039" s="2">
        <v>0</v>
      </c>
      <c r="J3039" s="2">
        <v>0</v>
      </c>
      <c r="K3039" s="2">
        <v>0</v>
      </c>
      <c r="L3039" s="2">
        <v>0</v>
      </c>
      <c r="M3039" s="2">
        <v>0</v>
      </c>
      <c r="N3039" s="2">
        <v>0</v>
      </c>
      <c r="O3039" s="2">
        <v>0</v>
      </c>
      <c r="P3039" s="2">
        <v>0</v>
      </c>
      <c r="Q3039" s="2">
        <v>0</v>
      </c>
      <c r="R3039" s="2">
        <v>0</v>
      </c>
      <c r="S3039" s="2" t="s">
        <v>488</v>
      </c>
      <c r="T3039" s="2" t="s">
        <v>488</v>
      </c>
      <c r="U3039" s="2" t="s">
        <v>488</v>
      </c>
      <c r="V3039" s="2" t="s">
        <v>488</v>
      </c>
      <c r="W3039">
        <f t="shared" si="49"/>
        <v>0</v>
      </c>
    </row>
    <row r="3040" spans="1:23" x14ac:dyDescent="0.25">
      <c r="A3040" s="255" t="s">
        <v>1380</v>
      </c>
      <c r="B3040" s="255" t="s">
        <v>922</v>
      </c>
      <c r="C3040" s="255"/>
      <c r="D3040" s="255"/>
      <c r="E3040" s="255" t="s">
        <v>79</v>
      </c>
      <c r="F3040" s="255"/>
      <c r="G3040" s="255"/>
      <c r="H3040" s="255">
        <v>0</v>
      </c>
      <c r="I3040" s="255">
        <v>0</v>
      </c>
      <c r="J3040" s="255">
        <v>0</v>
      </c>
      <c r="K3040" s="255">
        <v>0</v>
      </c>
      <c r="L3040" s="255">
        <v>0</v>
      </c>
      <c r="M3040" s="255">
        <v>0</v>
      </c>
      <c r="N3040" s="255">
        <v>0</v>
      </c>
      <c r="O3040" s="255">
        <v>0</v>
      </c>
      <c r="P3040" s="255">
        <v>0</v>
      </c>
      <c r="Q3040" s="255">
        <v>0</v>
      </c>
      <c r="R3040" s="255">
        <v>0</v>
      </c>
      <c r="S3040" s="255" t="s">
        <v>488</v>
      </c>
      <c r="T3040" s="255" t="s">
        <v>488</v>
      </c>
      <c r="U3040" s="255" t="s">
        <v>488</v>
      </c>
      <c r="V3040" s="255" t="s">
        <v>488</v>
      </c>
      <c r="W3040">
        <f t="shared" si="49"/>
        <v>0</v>
      </c>
    </row>
    <row r="3041" spans="1:23" x14ac:dyDescent="0.25">
      <c r="A3041" s="2" t="s">
        <v>1380</v>
      </c>
      <c r="B3041" s="2" t="s">
        <v>922</v>
      </c>
      <c r="C3041" s="2">
        <v>540188</v>
      </c>
      <c r="D3041" s="2" t="s">
        <v>828</v>
      </c>
      <c r="E3041" s="2" t="s">
        <v>81</v>
      </c>
      <c r="F3041" s="2" t="s">
        <v>5</v>
      </c>
      <c r="G3041" s="2">
        <v>6</v>
      </c>
      <c r="H3041" s="2">
        <v>0</v>
      </c>
      <c r="I3041" s="2">
        <v>0</v>
      </c>
      <c r="J3041" s="2">
        <v>0</v>
      </c>
      <c r="K3041" s="2">
        <v>0</v>
      </c>
      <c r="L3041" s="2">
        <v>0</v>
      </c>
      <c r="M3041" s="2">
        <v>0</v>
      </c>
      <c r="N3041" s="2">
        <v>0</v>
      </c>
      <c r="O3041" s="2">
        <v>0</v>
      </c>
      <c r="P3041" s="2">
        <v>0</v>
      </c>
      <c r="Q3041" s="2">
        <v>0</v>
      </c>
      <c r="R3041" s="2">
        <v>0</v>
      </c>
      <c r="S3041" s="2" t="s">
        <v>488</v>
      </c>
      <c r="T3041" s="2" t="s">
        <v>488</v>
      </c>
      <c r="U3041" s="2" t="s">
        <v>488</v>
      </c>
      <c r="V3041" s="2" t="s">
        <v>488</v>
      </c>
      <c r="W3041">
        <f t="shared" si="49"/>
        <v>0</v>
      </c>
    </row>
    <row r="3042" spans="1:23" x14ac:dyDescent="0.25">
      <c r="A3042" s="2" t="s">
        <v>1380</v>
      </c>
      <c r="B3042" s="2" t="s">
        <v>922</v>
      </c>
      <c r="C3042" s="2">
        <v>540189</v>
      </c>
      <c r="D3042" s="2" t="s">
        <v>829</v>
      </c>
      <c r="E3042" s="2" t="s">
        <v>81</v>
      </c>
      <c r="F3042" s="2" t="s">
        <v>115</v>
      </c>
      <c r="G3042" s="2">
        <v>6</v>
      </c>
      <c r="H3042" s="2">
        <v>0</v>
      </c>
      <c r="I3042" s="2">
        <v>0</v>
      </c>
      <c r="J3042" s="2">
        <v>0</v>
      </c>
      <c r="K3042" s="2">
        <v>0</v>
      </c>
      <c r="L3042" s="2">
        <v>0</v>
      </c>
      <c r="M3042" s="2">
        <v>0</v>
      </c>
      <c r="N3042" s="2">
        <v>0</v>
      </c>
      <c r="O3042" s="2">
        <v>0</v>
      </c>
      <c r="P3042" s="2">
        <v>0</v>
      </c>
      <c r="Q3042" s="2">
        <v>0</v>
      </c>
      <c r="R3042" s="2">
        <v>0</v>
      </c>
      <c r="S3042" s="2" t="s">
        <v>488</v>
      </c>
      <c r="T3042" s="2" t="s">
        <v>488</v>
      </c>
      <c r="U3042" s="2" t="s">
        <v>488</v>
      </c>
      <c r="V3042" s="2" t="s">
        <v>488</v>
      </c>
      <c r="W3042">
        <f t="shared" si="49"/>
        <v>0</v>
      </c>
    </row>
    <row r="3043" spans="1:23" x14ac:dyDescent="0.25">
      <c r="A3043" s="2" t="s">
        <v>1380</v>
      </c>
      <c r="B3043" s="2" t="s">
        <v>922</v>
      </c>
      <c r="C3043" s="2">
        <v>540190</v>
      </c>
      <c r="D3043" s="2" t="s">
        <v>830</v>
      </c>
      <c r="E3043" s="2" t="s">
        <v>81</v>
      </c>
      <c r="F3043" s="2" t="s">
        <v>115</v>
      </c>
      <c r="G3043" s="2">
        <v>6</v>
      </c>
      <c r="H3043" s="2">
        <v>0</v>
      </c>
      <c r="I3043" s="2">
        <v>0</v>
      </c>
      <c r="J3043" s="2">
        <v>0</v>
      </c>
      <c r="K3043" s="2">
        <v>0</v>
      </c>
      <c r="L3043" s="2">
        <v>0</v>
      </c>
      <c r="M3043" s="2">
        <v>0</v>
      </c>
      <c r="N3043" s="2">
        <v>0</v>
      </c>
      <c r="O3043" s="2">
        <v>0</v>
      </c>
      <c r="P3043" s="2">
        <v>0</v>
      </c>
      <c r="Q3043" s="2">
        <v>0</v>
      </c>
      <c r="R3043" s="2">
        <v>0</v>
      </c>
      <c r="S3043" s="2" t="s">
        <v>488</v>
      </c>
      <c r="T3043" s="2" t="s">
        <v>488</v>
      </c>
      <c r="U3043" s="2" t="s">
        <v>488</v>
      </c>
      <c r="V3043" s="2" t="s">
        <v>488</v>
      </c>
      <c r="W3043">
        <f t="shared" si="49"/>
        <v>0</v>
      </c>
    </row>
    <row r="3044" spans="1:23" x14ac:dyDescent="0.25">
      <c r="A3044" s="255" t="s">
        <v>1380</v>
      </c>
      <c r="B3044" s="255" t="s">
        <v>922</v>
      </c>
      <c r="C3044" s="255"/>
      <c r="D3044" s="255"/>
      <c r="E3044" s="255" t="s">
        <v>81</v>
      </c>
      <c r="F3044" s="255"/>
      <c r="G3044" s="255"/>
      <c r="H3044" s="255">
        <v>0</v>
      </c>
      <c r="I3044" s="255">
        <v>0</v>
      </c>
      <c r="J3044" s="255">
        <v>0</v>
      </c>
      <c r="K3044" s="255">
        <v>0</v>
      </c>
      <c r="L3044" s="255">
        <v>0</v>
      </c>
      <c r="M3044" s="255">
        <v>0</v>
      </c>
      <c r="N3044" s="255">
        <v>0</v>
      </c>
      <c r="O3044" s="255">
        <v>0</v>
      </c>
      <c r="P3044" s="255">
        <v>0</v>
      </c>
      <c r="Q3044" s="255">
        <v>0</v>
      </c>
      <c r="R3044" s="255">
        <v>0</v>
      </c>
      <c r="S3044" s="255" t="s">
        <v>488</v>
      </c>
      <c r="T3044" s="255" t="s">
        <v>488</v>
      </c>
      <c r="U3044" s="255" t="s">
        <v>488</v>
      </c>
      <c r="V3044" s="255" t="s">
        <v>488</v>
      </c>
      <c r="W3044">
        <f t="shared" si="49"/>
        <v>0</v>
      </c>
    </row>
    <row r="3045" spans="1:23" x14ac:dyDescent="0.25">
      <c r="A3045" s="2" t="s">
        <v>1380</v>
      </c>
      <c r="B3045" s="2" t="s">
        <v>922</v>
      </c>
      <c r="C3045" s="2">
        <v>540198</v>
      </c>
      <c r="D3045" s="2" t="s">
        <v>831</v>
      </c>
      <c r="E3045" s="2" t="s">
        <v>83</v>
      </c>
      <c r="F3045" s="2" t="s">
        <v>5</v>
      </c>
      <c r="G3045" s="2">
        <v>7</v>
      </c>
      <c r="H3045" s="2">
        <v>0</v>
      </c>
      <c r="I3045" s="2">
        <v>0</v>
      </c>
      <c r="J3045" s="2">
        <v>0</v>
      </c>
      <c r="K3045" s="2">
        <v>0</v>
      </c>
      <c r="L3045" s="2">
        <v>0</v>
      </c>
      <c r="M3045" s="2">
        <v>0</v>
      </c>
      <c r="N3045" s="2">
        <v>0</v>
      </c>
      <c r="O3045" s="2">
        <v>0</v>
      </c>
      <c r="P3045" s="2">
        <v>0</v>
      </c>
      <c r="Q3045" s="2" t="s">
        <v>488</v>
      </c>
      <c r="R3045" s="2" t="s">
        <v>488</v>
      </c>
      <c r="S3045" s="2" t="s">
        <v>488</v>
      </c>
      <c r="T3045" s="2" t="s">
        <v>488</v>
      </c>
      <c r="U3045" s="2" t="s">
        <v>488</v>
      </c>
      <c r="V3045" s="2" t="s">
        <v>488</v>
      </c>
      <c r="W3045">
        <f t="shared" si="49"/>
        <v>0</v>
      </c>
    </row>
    <row r="3046" spans="1:23" x14ac:dyDescent="0.25">
      <c r="A3046" s="2" t="s">
        <v>1380</v>
      </c>
      <c r="B3046" s="2" t="s">
        <v>922</v>
      </c>
      <c r="C3046" s="2">
        <v>540199</v>
      </c>
      <c r="D3046" s="2" t="s">
        <v>832</v>
      </c>
      <c r="E3046" s="2" t="s">
        <v>83</v>
      </c>
      <c r="F3046" s="2" t="s">
        <v>115</v>
      </c>
      <c r="G3046" s="2">
        <v>7</v>
      </c>
      <c r="H3046" s="2">
        <v>1</v>
      </c>
      <c r="I3046" s="2">
        <v>0</v>
      </c>
      <c r="J3046" s="2">
        <v>0</v>
      </c>
      <c r="K3046" s="2">
        <v>0</v>
      </c>
      <c r="L3046" s="2">
        <v>0</v>
      </c>
      <c r="M3046" s="2">
        <v>0</v>
      </c>
      <c r="N3046" s="2">
        <v>1</v>
      </c>
      <c r="O3046" s="2">
        <v>0</v>
      </c>
      <c r="P3046" s="2">
        <v>0</v>
      </c>
      <c r="Q3046" s="2" t="s">
        <v>488</v>
      </c>
      <c r="R3046" s="2" t="s">
        <v>488</v>
      </c>
      <c r="S3046" s="2" t="s">
        <v>488</v>
      </c>
      <c r="T3046" s="2" t="s">
        <v>488</v>
      </c>
      <c r="U3046" s="2" t="s">
        <v>488</v>
      </c>
      <c r="V3046" s="2" t="s">
        <v>488</v>
      </c>
      <c r="W3046">
        <f t="shared" si="49"/>
        <v>1</v>
      </c>
    </row>
    <row r="3047" spans="1:23" x14ac:dyDescent="0.25">
      <c r="A3047" s="255" t="s">
        <v>1380</v>
      </c>
      <c r="B3047" s="255" t="s">
        <v>922</v>
      </c>
      <c r="C3047" s="255"/>
      <c r="D3047" s="255"/>
      <c r="E3047" s="255" t="s">
        <v>83</v>
      </c>
      <c r="F3047" s="255"/>
      <c r="G3047" s="255"/>
      <c r="H3047" s="255">
        <v>1</v>
      </c>
      <c r="I3047" s="255">
        <v>0</v>
      </c>
      <c r="J3047" s="255">
        <v>0</v>
      </c>
      <c r="K3047" s="255">
        <v>0</v>
      </c>
      <c r="L3047" s="255">
        <v>0</v>
      </c>
      <c r="M3047" s="255">
        <v>0</v>
      </c>
      <c r="N3047" s="255">
        <v>1</v>
      </c>
      <c r="O3047" s="255">
        <v>0</v>
      </c>
      <c r="P3047" s="255">
        <v>0</v>
      </c>
      <c r="Q3047" s="255" t="s">
        <v>488</v>
      </c>
      <c r="R3047" s="255" t="s">
        <v>488</v>
      </c>
      <c r="S3047" s="255" t="s">
        <v>488</v>
      </c>
      <c r="T3047" s="255" t="s">
        <v>488</v>
      </c>
      <c r="U3047" s="255" t="s">
        <v>488</v>
      </c>
      <c r="V3047" s="255" t="s">
        <v>488</v>
      </c>
      <c r="W3047">
        <f t="shared" si="49"/>
        <v>1</v>
      </c>
    </row>
    <row r="3048" spans="1:23" x14ac:dyDescent="0.25">
      <c r="A3048" s="2" t="s">
        <v>1380</v>
      </c>
      <c r="B3048" s="2" t="s">
        <v>922</v>
      </c>
      <c r="C3048" s="2">
        <v>540200</v>
      </c>
      <c r="D3048" s="2" t="s">
        <v>833</v>
      </c>
      <c r="E3048" s="2" t="s">
        <v>85</v>
      </c>
      <c r="F3048" s="2" t="s">
        <v>5</v>
      </c>
      <c r="G3048" s="2">
        <v>2</v>
      </c>
      <c r="H3048" s="2">
        <v>1</v>
      </c>
      <c r="I3048" s="2">
        <v>0</v>
      </c>
      <c r="J3048" s="2">
        <v>0</v>
      </c>
      <c r="K3048" s="2">
        <v>0</v>
      </c>
      <c r="L3048" s="2">
        <v>0</v>
      </c>
      <c r="M3048" s="2">
        <v>0</v>
      </c>
      <c r="N3048" s="2">
        <v>1</v>
      </c>
      <c r="O3048" s="2">
        <v>0</v>
      </c>
      <c r="P3048" s="2">
        <v>0</v>
      </c>
      <c r="Q3048" s="2">
        <v>0</v>
      </c>
      <c r="R3048" s="2">
        <v>0</v>
      </c>
      <c r="S3048" s="2" t="s">
        <v>488</v>
      </c>
      <c r="T3048" s="2" t="s">
        <v>488</v>
      </c>
      <c r="U3048" s="2" t="s">
        <v>488</v>
      </c>
      <c r="V3048" s="2" t="s">
        <v>488</v>
      </c>
      <c r="W3048">
        <f t="shared" si="49"/>
        <v>1</v>
      </c>
    </row>
    <row r="3049" spans="1:23" x14ac:dyDescent="0.25">
      <c r="A3049" s="2" t="s">
        <v>1380</v>
      </c>
      <c r="B3049" s="2" t="s">
        <v>922</v>
      </c>
      <c r="C3049" s="2">
        <v>540018</v>
      </c>
      <c r="D3049" s="2" t="s">
        <v>651</v>
      </c>
      <c r="E3049" s="2" t="s">
        <v>85</v>
      </c>
      <c r="F3049" s="2" t="s">
        <v>115</v>
      </c>
      <c r="G3049" s="2">
        <v>2</v>
      </c>
      <c r="H3049" s="2">
        <v>0</v>
      </c>
      <c r="I3049" s="2">
        <v>0</v>
      </c>
      <c r="J3049" s="2">
        <v>0</v>
      </c>
      <c r="K3049" s="2">
        <v>0</v>
      </c>
      <c r="L3049" s="2">
        <v>0</v>
      </c>
      <c r="M3049" s="2">
        <v>0</v>
      </c>
      <c r="N3049" s="2">
        <v>0</v>
      </c>
      <c r="O3049" s="2">
        <v>0</v>
      </c>
      <c r="P3049" s="2">
        <v>0</v>
      </c>
      <c r="Q3049" s="2">
        <v>0</v>
      </c>
      <c r="R3049" s="2">
        <v>0</v>
      </c>
      <c r="S3049" s="2" t="s">
        <v>488</v>
      </c>
      <c r="T3049" s="2" t="s">
        <v>488</v>
      </c>
      <c r="U3049" s="2" t="s">
        <v>488</v>
      </c>
      <c r="V3049" s="2" t="s">
        <v>488</v>
      </c>
      <c r="W3049">
        <f t="shared" si="49"/>
        <v>0</v>
      </c>
    </row>
    <row r="3050" spans="1:23" x14ac:dyDescent="0.25">
      <c r="A3050" s="2" t="s">
        <v>1380</v>
      </c>
      <c r="B3050" s="2" t="s">
        <v>922</v>
      </c>
      <c r="C3050" s="2">
        <v>540202</v>
      </c>
      <c r="D3050" s="2" t="s">
        <v>834</v>
      </c>
      <c r="E3050" s="2" t="s">
        <v>85</v>
      </c>
      <c r="F3050" s="2" t="s">
        <v>115</v>
      </c>
      <c r="G3050" s="2">
        <v>2</v>
      </c>
      <c r="H3050" s="2">
        <v>0</v>
      </c>
      <c r="I3050" s="2">
        <v>0</v>
      </c>
      <c r="J3050" s="2">
        <v>0</v>
      </c>
      <c r="K3050" s="2">
        <v>0</v>
      </c>
      <c r="L3050" s="2">
        <v>0</v>
      </c>
      <c r="M3050" s="2">
        <v>0</v>
      </c>
      <c r="N3050" s="2">
        <v>0</v>
      </c>
      <c r="O3050" s="2">
        <v>0</v>
      </c>
      <c r="P3050" s="2">
        <v>0</v>
      </c>
      <c r="Q3050" s="2">
        <v>0</v>
      </c>
      <c r="R3050" s="2">
        <v>0</v>
      </c>
      <c r="S3050" s="2" t="s">
        <v>488</v>
      </c>
      <c r="T3050" s="2" t="s">
        <v>488</v>
      </c>
      <c r="U3050" s="2" t="s">
        <v>488</v>
      </c>
      <c r="V3050" s="2" t="s">
        <v>488</v>
      </c>
      <c r="W3050">
        <f t="shared" si="49"/>
        <v>0</v>
      </c>
    </row>
    <row r="3051" spans="1:23" x14ac:dyDescent="0.25">
      <c r="A3051" s="2" t="s">
        <v>1380</v>
      </c>
      <c r="B3051" s="2" t="s">
        <v>922</v>
      </c>
      <c r="C3051" s="2">
        <v>540221</v>
      </c>
      <c r="D3051" s="2" t="s">
        <v>835</v>
      </c>
      <c r="E3051" s="2" t="s">
        <v>85</v>
      </c>
      <c r="F3051" s="2" t="s">
        <v>115</v>
      </c>
      <c r="G3051" s="2">
        <v>2</v>
      </c>
      <c r="H3051" s="2">
        <v>0</v>
      </c>
      <c r="I3051" s="2">
        <v>0</v>
      </c>
      <c r="J3051" s="2">
        <v>0</v>
      </c>
      <c r="K3051" s="2">
        <v>0</v>
      </c>
      <c r="L3051" s="2">
        <v>0</v>
      </c>
      <c r="M3051" s="2">
        <v>0</v>
      </c>
      <c r="N3051" s="2">
        <v>0</v>
      </c>
      <c r="O3051" s="2">
        <v>0</v>
      </c>
      <c r="P3051" s="2">
        <v>0</v>
      </c>
      <c r="Q3051" s="2">
        <v>0</v>
      </c>
      <c r="R3051" s="2">
        <v>0</v>
      </c>
      <c r="S3051" s="2" t="s">
        <v>488</v>
      </c>
      <c r="T3051" s="2" t="s">
        <v>488</v>
      </c>
      <c r="U3051" s="2" t="s">
        <v>488</v>
      </c>
      <c r="V3051" s="2" t="s">
        <v>488</v>
      </c>
      <c r="W3051">
        <f t="shared" si="49"/>
        <v>0</v>
      </c>
    </row>
    <row r="3052" spans="1:23" x14ac:dyDescent="0.25">
      <c r="A3052" s="2" t="s">
        <v>1380</v>
      </c>
      <c r="B3052" s="2" t="s">
        <v>922</v>
      </c>
      <c r="C3052" s="2">
        <v>540231</v>
      </c>
      <c r="D3052" s="2" t="s">
        <v>836</v>
      </c>
      <c r="E3052" s="2" t="s">
        <v>85</v>
      </c>
      <c r="F3052" s="2" t="s">
        <v>115</v>
      </c>
      <c r="G3052" s="2">
        <v>2</v>
      </c>
      <c r="H3052" s="2">
        <v>0</v>
      </c>
      <c r="I3052" s="2">
        <v>1</v>
      </c>
      <c r="J3052" s="2">
        <v>0</v>
      </c>
      <c r="K3052" s="2">
        <v>0</v>
      </c>
      <c r="L3052" s="2">
        <v>0</v>
      </c>
      <c r="M3052" s="2">
        <v>1</v>
      </c>
      <c r="N3052" s="2">
        <v>1</v>
      </c>
      <c r="O3052" s="2">
        <v>0</v>
      </c>
      <c r="P3052" s="2">
        <v>0</v>
      </c>
      <c r="Q3052" s="2">
        <v>0</v>
      </c>
      <c r="R3052" s="2">
        <v>0</v>
      </c>
      <c r="S3052" s="2" t="s">
        <v>488</v>
      </c>
      <c r="T3052" s="2" t="s">
        <v>488</v>
      </c>
      <c r="U3052" s="2" t="s">
        <v>488</v>
      </c>
      <c r="V3052" s="2" t="s">
        <v>488</v>
      </c>
      <c r="W3052">
        <f t="shared" si="49"/>
        <v>1</v>
      </c>
    </row>
    <row r="3053" spans="1:23" x14ac:dyDescent="0.25">
      <c r="A3053" s="2" t="s">
        <v>1380</v>
      </c>
      <c r="B3053" s="2" t="s">
        <v>922</v>
      </c>
      <c r="C3053" s="2">
        <v>540232</v>
      </c>
      <c r="D3053" s="2" t="s">
        <v>837</v>
      </c>
      <c r="E3053" s="2" t="s">
        <v>85</v>
      </c>
      <c r="F3053" s="2" t="s">
        <v>115</v>
      </c>
      <c r="G3053" s="2">
        <v>2</v>
      </c>
      <c r="H3053" s="2">
        <v>0</v>
      </c>
      <c r="I3053" s="2">
        <v>0</v>
      </c>
      <c r="J3053" s="2">
        <v>0</v>
      </c>
      <c r="K3053" s="2">
        <v>0</v>
      </c>
      <c r="L3053" s="2">
        <v>0</v>
      </c>
      <c r="M3053" s="2">
        <v>0</v>
      </c>
      <c r="N3053" s="2">
        <v>0</v>
      </c>
      <c r="O3053" s="2">
        <v>0</v>
      </c>
      <c r="P3053" s="2">
        <v>0</v>
      </c>
      <c r="Q3053" s="2">
        <v>0</v>
      </c>
      <c r="R3053" s="2">
        <v>0</v>
      </c>
      <c r="S3053" s="2" t="s">
        <v>488</v>
      </c>
      <c r="T3053" s="2" t="s">
        <v>488</v>
      </c>
      <c r="U3053" s="2" t="s">
        <v>488</v>
      </c>
      <c r="V3053" s="2" t="s">
        <v>488</v>
      </c>
      <c r="W3053">
        <f t="shared" si="49"/>
        <v>0</v>
      </c>
    </row>
    <row r="3054" spans="1:23" x14ac:dyDescent="0.25">
      <c r="A3054" s="255" t="s">
        <v>1380</v>
      </c>
      <c r="B3054" s="255" t="s">
        <v>922</v>
      </c>
      <c r="C3054" s="255"/>
      <c r="D3054" s="255"/>
      <c r="E3054" s="255" t="s">
        <v>85</v>
      </c>
      <c r="F3054" s="255"/>
      <c r="G3054" s="255"/>
      <c r="H3054" s="255">
        <v>1</v>
      </c>
      <c r="I3054" s="255">
        <v>1</v>
      </c>
      <c r="J3054" s="255">
        <v>0</v>
      </c>
      <c r="K3054" s="255">
        <v>0</v>
      </c>
      <c r="L3054" s="255">
        <v>0</v>
      </c>
      <c r="M3054" s="255">
        <v>1</v>
      </c>
      <c r="N3054" s="255">
        <v>2</v>
      </c>
      <c r="O3054" s="255">
        <v>0</v>
      </c>
      <c r="P3054" s="255">
        <v>0</v>
      </c>
      <c r="Q3054" s="255">
        <v>0</v>
      </c>
      <c r="R3054" s="255">
        <v>0</v>
      </c>
      <c r="S3054" s="255" t="s">
        <v>488</v>
      </c>
      <c r="T3054" s="255" t="s">
        <v>488</v>
      </c>
      <c r="U3054" s="255" t="s">
        <v>488</v>
      </c>
      <c r="V3054" s="255" t="s">
        <v>488</v>
      </c>
      <c r="W3054">
        <f t="shared" si="49"/>
        <v>2</v>
      </c>
    </row>
    <row r="3055" spans="1:23" x14ac:dyDescent="0.25">
      <c r="A3055" s="2" t="s">
        <v>1380</v>
      </c>
      <c r="B3055" s="2" t="s">
        <v>922</v>
      </c>
      <c r="C3055" s="2">
        <v>540203</v>
      </c>
      <c r="D3055" s="2" t="s">
        <v>838</v>
      </c>
      <c r="E3055" s="2" t="s">
        <v>87</v>
      </c>
      <c r="F3055" s="2" t="s">
        <v>5</v>
      </c>
      <c r="G3055" s="2">
        <v>4</v>
      </c>
      <c r="H3055" s="2">
        <v>0</v>
      </c>
      <c r="I3055" s="2">
        <v>0</v>
      </c>
      <c r="J3055" s="2">
        <v>0</v>
      </c>
      <c r="K3055" s="2">
        <v>0</v>
      </c>
      <c r="L3055" s="2">
        <v>0</v>
      </c>
      <c r="M3055" s="2">
        <v>0</v>
      </c>
      <c r="N3055" s="2">
        <v>0</v>
      </c>
      <c r="O3055" s="2">
        <v>0</v>
      </c>
      <c r="P3055" s="2">
        <v>0</v>
      </c>
      <c r="Q3055" s="2" t="s">
        <v>488</v>
      </c>
      <c r="R3055" s="2" t="s">
        <v>488</v>
      </c>
      <c r="S3055" s="2" t="s">
        <v>488</v>
      </c>
      <c r="T3055" s="2" t="s">
        <v>488</v>
      </c>
      <c r="U3055" s="2" t="s">
        <v>488</v>
      </c>
      <c r="V3055" s="2" t="s">
        <v>488</v>
      </c>
      <c r="W3055">
        <f t="shared" si="49"/>
        <v>0</v>
      </c>
    </row>
    <row r="3056" spans="1:23" x14ac:dyDescent="0.25">
      <c r="A3056" s="2" t="s">
        <v>1380</v>
      </c>
      <c r="B3056" s="2" t="s">
        <v>922</v>
      </c>
      <c r="C3056" s="2">
        <v>540204</v>
      </c>
      <c r="D3056" s="2" t="s">
        <v>839</v>
      </c>
      <c r="E3056" s="2" t="s">
        <v>87</v>
      </c>
      <c r="F3056" s="2" t="s">
        <v>115</v>
      </c>
      <c r="G3056" s="2">
        <v>4</v>
      </c>
      <c r="H3056" s="2">
        <v>0</v>
      </c>
      <c r="I3056" s="2">
        <v>0</v>
      </c>
      <c r="J3056" s="2">
        <v>0</v>
      </c>
      <c r="K3056" s="2">
        <v>0</v>
      </c>
      <c r="L3056" s="2">
        <v>0</v>
      </c>
      <c r="M3056" s="2">
        <v>0</v>
      </c>
      <c r="N3056" s="2">
        <v>0</v>
      </c>
      <c r="O3056" s="2">
        <v>0</v>
      </c>
      <c r="P3056" s="2">
        <v>0</v>
      </c>
      <c r="Q3056" s="2" t="s">
        <v>488</v>
      </c>
      <c r="R3056" s="2" t="s">
        <v>488</v>
      </c>
      <c r="S3056" s="2" t="s">
        <v>488</v>
      </c>
      <c r="T3056" s="2" t="s">
        <v>488</v>
      </c>
      <c r="U3056" s="2" t="s">
        <v>488</v>
      </c>
      <c r="V3056" s="2" t="s">
        <v>488</v>
      </c>
      <c r="W3056">
        <f t="shared" si="49"/>
        <v>0</v>
      </c>
    </row>
    <row r="3057" spans="1:23" x14ac:dyDescent="0.25">
      <c r="A3057" s="2" t="s">
        <v>1380</v>
      </c>
      <c r="B3057" s="2" t="s">
        <v>922</v>
      </c>
      <c r="C3057" s="2">
        <v>540205</v>
      </c>
      <c r="D3057" s="2" t="s">
        <v>840</v>
      </c>
      <c r="E3057" s="2" t="s">
        <v>87</v>
      </c>
      <c r="F3057" s="2" t="s">
        <v>115</v>
      </c>
      <c r="G3057" s="2">
        <v>4</v>
      </c>
      <c r="H3057" s="2">
        <v>0</v>
      </c>
      <c r="I3057" s="2">
        <v>0</v>
      </c>
      <c r="J3057" s="2">
        <v>0</v>
      </c>
      <c r="K3057" s="2">
        <v>0</v>
      </c>
      <c r="L3057" s="2">
        <v>0</v>
      </c>
      <c r="M3057" s="2">
        <v>0</v>
      </c>
      <c r="N3057" s="2">
        <v>0</v>
      </c>
      <c r="O3057" s="2">
        <v>0</v>
      </c>
      <c r="P3057" s="2">
        <v>0</v>
      </c>
      <c r="Q3057" s="2" t="s">
        <v>488</v>
      </c>
      <c r="R3057" s="2" t="s">
        <v>488</v>
      </c>
      <c r="S3057" s="2" t="s">
        <v>488</v>
      </c>
      <c r="T3057" s="2" t="s">
        <v>488</v>
      </c>
      <c r="U3057" s="2" t="s">
        <v>488</v>
      </c>
      <c r="V3057" s="2" t="s">
        <v>488</v>
      </c>
      <c r="W3057">
        <f t="shared" si="49"/>
        <v>0</v>
      </c>
    </row>
    <row r="3058" spans="1:23" x14ac:dyDescent="0.25">
      <c r="A3058" s="2" t="s">
        <v>1380</v>
      </c>
      <c r="B3058" s="2" t="s">
        <v>922</v>
      </c>
      <c r="C3058" s="2">
        <v>540206</v>
      </c>
      <c r="D3058" s="2" t="s">
        <v>841</v>
      </c>
      <c r="E3058" s="2" t="s">
        <v>87</v>
      </c>
      <c r="F3058" s="2" t="s">
        <v>115</v>
      </c>
      <c r="G3058" s="2">
        <v>4</v>
      </c>
      <c r="H3058" s="2">
        <v>0</v>
      </c>
      <c r="I3058" s="2">
        <v>0</v>
      </c>
      <c r="J3058" s="2">
        <v>0</v>
      </c>
      <c r="K3058" s="2">
        <v>0</v>
      </c>
      <c r="L3058" s="2">
        <v>0</v>
      </c>
      <c r="M3058" s="2">
        <v>0</v>
      </c>
      <c r="N3058" s="2">
        <v>0</v>
      </c>
      <c r="O3058" s="2">
        <v>0</v>
      </c>
      <c r="P3058" s="2">
        <v>0</v>
      </c>
      <c r="Q3058" s="2" t="s">
        <v>488</v>
      </c>
      <c r="R3058" s="2" t="s">
        <v>488</v>
      </c>
      <c r="S3058" s="2" t="s">
        <v>488</v>
      </c>
      <c r="T3058" s="2" t="s">
        <v>488</v>
      </c>
      <c r="U3058" s="2" t="s">
        <v>488</v>
      </c>
      <c r="V3058" s="2" t="s">
        <v>488</v>
      </c>
      <c r="W3058">
        <f t="shared" si="49"/>
        <v>0</v>
      </c>
    </row>
    <row r="3059" spans="1:23" x14ac:dyDescent="0.25">
      <c r="A3059" s="255" t="s">
        <v>1380</v>
      </c>
      <c r="B3059" s="255" t="s">
        <v>922</v>
      </c>
      <c r="C3059" s="255"/>
      <c r="D3059" s="255"/>
      <c r="E3059" s="255" t="s">
        <v>87</v>
      </c>
      <c r="F3059" s="255"/>
      <c r="G3059" s="255"/>
      <c r="H3059" s="255">
        <v>0</v>
      </c>
      <c r="I3059" s="255">
        <v>0</v>
      </c>
      <c r="J3059" s="255">
        <v>0</v>
      </c>
      <c r="K3059" s="255">
        <v>0</v>
      </c>
      <c r="L3059" s="255">
        <v>0</v>
      </c>
      <c r="M3059" s="255">
        <v>0</v>
      </c>
      <c r="N3059" s="255">
        <v>0</v>
      </c>
      <c r="O3059" s="255">
        <v>0</v>
      </c>
      <c r="P3059" s="255">
        <v>0</v>
      </c>
      <c r="Q3059" s="255" t="s">
        <v>488</v>
      </c>
      <c r="R3059" s="255" t="s">
        <v>488</v>
      </c>
      <c r="S3059" s="255" t="s">
        <v>488</v>
      </c>
      <c r="T3059" s="255" t="s">
        <v>488</v>
      </c>
      <c r="U3059" s="255" t="s">
        <v>488</v>
      </c>
      <c r="V3059" s="255" t="s">
        <v>488</v>
      </c>
      <c r="W3059">
        <f t="shared" si="49"/>
        <v>0</v>
      </c>
    </row>
    <row r="3060" spans="1:23" x14ac:dyDescent="0.25">
      <c r="A3060" s="2" t="s">
        <v>1380</v>
      </c>
      <c r="B3060" s="2" t="s">
        <v>922</v>
      </c>
      <c r="C3060" s="2">
        <v>540207</v>
      </c>
      <c r="D3060" s="2" t="s">
        <v>842</v>
      </c>
      <c r="E3060" s="2" t="s">
        <v>89</v>
      </c>
      <c r="F3060" s="2" t="s">
        <v>5</v>
      </c>
      <c r="G3060" s="2">
        <v>10</v>
      </c>
      <c r="H3060" s="2">
        <v>0</v>
      </c>
      <c r="I3060" s="2">
        <v>0</v>
      </c>
      <c r="J3060" s="2">
        <v>0</v>
      </c>
      <c r="K3060" s="2">
        <v>0</v>
      </c>
      <c r="L3060" s="2">
        <v>0</v>
      </c>
      <c r="M3060" s="2">
        <v>0</v>
      </c>
      <c r="N3060" s="2">
        <v>0</v>
      </c>
      <c r="O3060" s="2">
        <v>0</v>
      </c>
      <c r="P3060" s="2">
        <v>0</v>
      </c>
      <c r="Q3060" s="2" t="s">
        <v>488</v>
      </c>
      <c r="R3060" s="2" t="s">
        <v>488</v>
      </c>
      <c r="S3060" s="2" t="s">
        <v>488</v>
      </c>
      <c r="T3060" s="2" t="s">
        <v>488</v>
      </c>
      <c r="U3060" s="2" t="s">
        <v>488</v>
      </c>
      <c r="V3060" s="2" t="s">
        <v>488</v>
      </c>
      <c r="W3060">
        <f t="shared" si="49"/>
        <v>0</v>
      </c>
    </row>
    <row r="3061" spans="1:23" x14ac:dyDescent="0.25">
      <c r="A3061" s="2" t="s">
        <v>1380</v>
      </c>
      <c r="B3061" s="2" t="s">
        <v>922</v>
      </c>
      <c r="C3061" s="2">
        <v>540196</v>
      </c>
      <c r="D3061" s="2" t="s">
        <v>843</v>
      </c>
      <c r="E3061" s="2" t="s">
        <v>89</v>
      </c>
      <c r="F3061" s="2" t="s">
        <v>115</v>
      </c>
      <c r="G3061" s="2">
        <v>5</v>
      </c>
      <c r="H3061" s="2">
        <v>0</v>
      </c>
      <c r="I3061" s="2">
        <v>0</v>
      </c>
      <c r="J3061" s="2">
        <v>0</v>
      </c>
      <c r="K3061" s="2">
        <v>0</v>
      </c>
      <c r="L3061" s="2">
        <v>0</v>
      </c>
      <c r="M3061" s="2">
        <v>0</v>
      </c>
      <c r="N3061" s="2">
        <v>0</v>
      </c>
      <c r="O3061" s="2">
        <v>0</v>
      </c>
      <c r="P3061" s="2">
        <v>0</v>
      </c>
      <c r="Q3061" s="2" t="s">
        <v>488</v>
      </c>
      <c r="R3061" s="2" t="s">
        <v>488</v>
      </c>
      <c r="S3061" s="2" t="s">
        <v>488</v>
      </c>
      <c r="T3061" s="2" t="s">
        <v>488</v>
      </c>
      <c r="U3061" s="2" t="s">
        <v>488</v>
      </c>
      <c r="V3061" s="2" t="s">
        <v>488</v>
      </c>
      <c r="W3061">
        <f t="shared" si="49"/>
        <v>0</v>
      </c>
    </row>
    <row r="3062" spans="1:23" x14ac:dyDescent="0.25">
      <c r="A3062" s="2" t="s">
        <v>1380</v>
      </c>
      <c r="B3062" s="2" t="s">
        <v>922</v>
      </c>
      <c r="C3062" s="2">
        <v>540208</v>
      </c>
      <c r="D3062" s="2" t="s">
        <v>844</v>
      </c>
      <c r="E3062" s="2" t="s">
        <v>89</v>
      </c>
      <c r="F3062" s="2" t="s">
        <v>115</v>
      </c>
      <c r="G3062" s="2">
        <v>10</v>
      </c>
      <c r="H3062" s="2">
        <v>0</v>
      </c>
      <c r="I3062" s="2">
        <v>0</v>
      </c>
      <c r="J3062" s="2">
        <v>0</v>
      </c>
      <c r="K3062" s="2">
        <v>0</v>
      </c>
      <c r="L3062" s="2">
        <v>0</v>
      </c>
      <c r="M3062" s="2">
        <v>0</v>
      </c>
      <c r="N3062" s="2">
        <v>0</v>
      </c>
      <c r="O3062" s="2">
        <v>0</v>
      </c>
      <c r="P3062" s="2">
        <v>0</v>
      </c>
      <c r="Q3062" s="2" t="s">
        <v>488</v>
      </c>
      <c r="R3062" s="2" t="s">
        <v>488</v>
      </c>
      <c r="S3062" s="2" t="s">
        <v>488</v>
      </c>
      <c r="T3062" s="2" t="s">
        <v>488</v>
      </c>
      <c r="U3062" s="2" t="s">
        <v>488</v>
      </c>
      <c r="V3062" s="2" t="s">
        <v>488</v>
      </c>
      <c r="W3062">
        <f t="shared" si="49"/>
        <v>0</v>
      </c>
    </row>
    <row r="3063" spans="1:23" x14ac:dyDescent="0.25">
      <c r="A3063" s="2" t="s">
        <v>1380</v>
      </c>
      <c r="B3063" s="2" t="s">
        <v>922</v>
      </c>
      <c r="C3063" s="2">
        <v>540210</v>
      </c>
      <c r="D3063" s="2" t="s">
        <v>845</v>
      </c>
      <c r="E3063" s="2" t="s">
        <v>89</v>
      </c>
      <c r="F3063" s="2" t="s">
        <v>115</v>
      </c>
      <c r="G3063" s="2">
        <v>10</v>
      </c>
      <c r="H3063" s="2">
        <v>0</v>
      </c>
      <c r="I3063" s="2">
        <v>0</v>
      </c>
      <c r="J3063" s="2">
        <v>0</v>
      </c>
      <c r="K3063" s="2">
        <v>0</v>
      </c>
      <c r="L3063" s="2">
        <v>0</v>
      </c>
      <c r="M3063" s="2">
        <v>0</v>
      </c>
      <c r="N3063" s="2">
        <v>0</v>
      </c>
      <c r="O3063" s="2">
        <v>0</v>
      </c>
      <c r="P3063" s="2">
        <v>0</v>
      </c>
      <c r="Q3063" s="2" t="s">
        <v>488</v>
      </c>
      <c r="R3063" s="2" t="s">
        <v>488</v>
      </c>
      <c r="S3063" s="2" t="s">
        <v>488</v>
      </c>
      <c r="T3063" s="2" t="s">
        <v>488</v>
      </c>
      <c r="U3063" s="2" t="s">
        <v>488</v>
      </c>
      <c r="V3063" s="2" t="s">
        <v>488</v>
      </c>
      <c r="W3063">
        <f t="shared" si="49"/>
        <v>0</v>
      </c>
    </row>
    <row r="3064" spans="1:23" x14ac:dyDescent="0.25">
      <c r="A3064" s="2" t="s">
        <v>1380</v>
      </c>
      <c r="B3064" s="2" t="s">
        <v>922</v>
      </c>
      <c r="C3064" s="2">
        <v>540256</v>
      </c>
      <c r="D3064" s="2" t="s">
        <v>846</v>
      </c>
      <c r="E3064" s="2" t="s">
        <v>89</v>
      </c>
      <c r="F3064" s="2" t="s">
        <v>115</v>
      </c>
      <c r="G3064" s="2">
        <v>10</v>
      </c>
      <c r="H3064" s="2">
        <v>0</v>
      </c>
      <c r="I3064" s="2">
        <v>0</v>
      </c>
      <c r="J3064" s="2">
        <v>0</v>
      </c>
      <c r="K3064" s="2">
        <v>0</v>
      </c>
      <c r="L3064" s="2">
        <v>0</v>
      </c>
      <c r="M3064" s="2">
        <v>0</v>
      </c>
      <c r="N3064" s="2">
        <v>0</v>
      </c>
      <c r="O3064" s="2">
        <v>0</v>
      </c>
      <c r="P3064" s="2">
        <v>0</v>
      </c>
      <c r="Q3064" s="2" t="s">
        <v>488</v>
      </c>
      <c r="R3064" s="2" t="s">
        <v>488</v>
      </c>
      <c r="S3064" s="2" t="s">
        <v>488</v>
      </c>
      <c r="T3064" s="2" t="s">
        <v>488</v>
      </c>
      <c r="U3064" s="2" t="s">
        <v>488</v>
      </c>
      <c r="V3064" s="2" t="s">
        <v>488</v>
      </c>
      <c r="W3064">
        <f t="shared" si="49"/>
        <v>0</v>
      </c>
    </row>
    <row r="3065" spans="1:23" x14ac:dyDescent="0.25">
      <c r="A3065" s="2" t="s">
        <v>1380</v>
      </c>
      <c r="B3065" s="2" t="s">
        <v>922</v>
      </c>
      <c r="C3065" s="2">
        <v>540258</v>
      </c>
      <c r="D3065" s="2" t="s">
        <v>847</v>
      </c>
      <c r="E3065" s="2" t="s">
        <v>89</v>
      </c>
      <c r="F3065" s="2" t="s">
        <v>115</v>
      </c>
      <c r="G3065" s="2">
        <v>10</v>
      </c>
      <c r="H3065" s="2">
        <v>0</v>
      </c>
      <c r="I3065" s="2">
        <v>0</v>
      </c>
      <c r="J3065" s="2">
        <v>0</v>
      </c>
      <c r="K3065" s="2">
        <v>0</v>
      </c>
      <c r="L3065" s="2">
        <v>0</v>
      </c>
      <c r="M3065" s="2">
        <v>0</v>
      </c>
      <c r="N3065" s="2">
        <v>0</v>
      </c>
      <c r="O3065" s="2">
        <v>0</v>
      </c>
      <c r="P3065" s="2">
        <v>0</v>
      </c>
      <c r="Q3065" s="2" t="s">
        <v>488</v>
      </c>
      <c r="R3065" s="2" t="s">
        <v>488</v>
      </c>
      <c r="S3065" s="2" t="s">
        <v>488</v>
      </c>
      <c r="T3065" s="2" t="s">
        <v>488</v>
      </c>
      <c r="U3065" s="2" t="s">
        <v>488</v>
      </c>
      <c r="V3065" s="2" t="s">
        <v>488</v>
      </c>
      <c r="W3065">
        <f t="shared" si="49"/>
        <v>0</v>
      </c>
    </row>
    <row r="3066" spans="1:23" x14ac:dyDescent="0.25">
      <c r="A3066" s="255" t="s">
        <v>1380</v>
      </c>
      <c r="B3066" s="255" t="s">
        <v>922</v>
      </c>
      <c r="C3066" s="255"/>
      <c r="D3066" s="255"/>
      <c r="E3066" s="255" t="s">
        <v>89</v>
      </c>
      <c r="F3066" s="255"/>
      <c r="G3066" s="255"/>
      <c r="H3066" s="255">
        <v>0</v>
      </c>
      <c r="I3066" s="255">
        <v>0</v>
      </c>
      <c r="J3066" s="255">
        <v>0</v>
      </c>
      <c r="K3066" s="255">
        <v>0</v>
      </c>
      <c r="L3066" s="255">
        <v>0</v>
      </c>
      <c r="M3066" s="255">
        <v>0</v>
      </c>
      <c r="N3066" s="255">
        <v>0</v>
      </c>
      <c r="O3066" s="255">
        <v>0</v>
      </c>
      <c r="P3066" s="255">
        <v>0</v>
      </c>
      <c r="Q3066" s="255" t="s">
        <v>488</v>
      </c>
      <c r="R3066" s="255" t="s">
        <v>488</v>
      </c>
      <c r="S3066" s="255" t="s">
        <v>488</v>
      </c>
      <c r="T3066" s="255" t="s">
        <v>488</v>
      </c>
      <c r="U3066" s="255" t="s">
        <v>488</v>
      </c>
      <c r="V3066" s="255" t="s">
        <v>488</v>
      </c>
      <c r="W3066">
        <f t="shared" si="49"/>
        <v>0</v>
      </c>
    </row>
    <row r="3067" spans="1:23" x14ac:dyDescent="0.25">
      <c r="A3067" s="2" t="s">
        <v>1380</v>
      </c>
      <c r="B3067" s="2" t="s">
        <v>922</v>
      </c>
      <c r="C3067" s="2">
        <v>540211</v>
      </c>
      <c r="D3067" s="2" t="s">
        <v>848</v>
      </c>
      <c r="E3067" s="2" t="s">
        <v>91</v>
      </c>
      <c r="F3067" s="2" t="s">
        <v>5</v>
      </c>
      <c r="G3067" s="2">
        <v>5</v>
      </c>
      <c r="H3067" s="2">
        <v>0</v>
      </c>
      <c r="I3067" s="2">
        <v>0</v>
      </c>
      <c r="J3067" s="2">
        <v>0</v>
      </c>
      <c r="K3067" s="2">
        <v>0</v>
      </c>
      <c r="L3067" s="2">
        <v>0</v>
      </c>
      <c r="M3067" s="2">
        <v>0</v>
      </c>
      <c r="N3067" s="2">
        <v>0</v>
      </c>
      <c r="O3067" s="2">
        <v>0</v>
      </c>
      <c r="P3067" s="2">
        <v>0</v>
      </c>
      <c r="Q3067" s="2" t="s">
        <v>488</v>
      </c>
      <c r="R3067" s="2" t="s">
        <v>488</v>
      </c>
      <c r="S3067" s="2" t="s">
        <v>488</v>
      </c>
      <c r="T3067" s="2" t="s">
        <v>488</v>
      </c>
      <c r="U3067" s="2" t="s">
        <v>488</v>
      </c>
      <c r="V3067" s="2" t="s">
        <v>488</v>
      </c>
      <c r="W3067">
        <f t="shared" si="49"/>
        <v>0</v>
      </c>
    </row>
    <row r="3068" spans="1:23" x14ac:dyDescent="0.25">
      <c r="A3068" s="2" t="s">
        <v>1380</v>
      </c>
      <c r="B3068" s="2" t="s">
        <v>922</v>
      </c>
      <c r="C3068" s="2">
        <v>540212</v>
      </c>
      <c r="D3068" s="2" t="s">
        <v>849</v>
      </c>
      <c r="E3068" s="2" t="s">
        <v>91</v>
      </c>
      <c r="F3068" s="2" t="s">
        <v>115</v>
      </c>
      <c r="G3068" s="2">
        <v>5</v>
      </c>
      <c r="H3068" s="2">
        <v>0</v>
      </c>
      <c r="I3068" s="2">
        <v>0</v>
      </c>
      <c r="J3068" s="2">
        <v>0</v>
      </c>
      <c r="K3068" s="2">
        <v>0</v>
      </c>
      <c r="L3068" s="2">
        <v>0</v>
      </c>
      <c r="M3068" s="2">
        <v>0</v>
      </c>
      <c r="N3068" s="2">
        <v>0</v>
      </c>
      <c r="O3068" s="2">
        <v>0</v>
      </c>
      <c r="P3068" s="2">
        <v>0</v>
      </c>
      <c r="Q3068" s="2" t="s">
        <v>488</v>
      </c>
      <c r="R3068" s="2" t="s">
        <v>488</v>
      </c>
      <c r="S3068" s="2" t="s">
        <v>488</v>
      </c>
      <c r="T3068" s="2" t="s">
        <v>488</v>
      </c>
      <c r="U3068" s="2" t="s">
        <v>488</v>
      </c>
      <c r="V3068" s="2" t="s">
        <v>488</v>
      </c>
      <c r="W3068">
        <f t="shared" si="49"/>
        <v>0</v>
      </c>
    </row>
    <row r="3069" spans="1:23" x14ac:dyDescent="0.25">
      <c r="A3069" s="255" t="s">
        <v>1380</v>
      </c>
      <c r="B3069" s="255" t="s">
        <v>922</v>
      </c>
      <c r="C3069" s="255"/>
      <c r="D3069" s="255"/>
      <c r="E3069" s="255" t="s">
        <v>91</v>
      </c>
      <c r="F3069" s="255"/>
      <c r="G3069" s="255"/>
      <c r="H3069" s="255">
        <v>0</v>
      </c>
      <c r="I3069" s="255">
        <v>0</v>
      </c>
      <c r="J3069" s="255">
        <v>0</v>
      </c>
      <c r="K3069" s="255">
        <v>0</v>
      </c>
      <c r="L3069" s="255">
        <v>0</v>
      </c>
      <c r="M3069" s="255">
        <v>0</v>
      </c>
      <c r="N3069" s="255">
        <v>0</v>
      </c>
      <c r="O3069" s="255">
        <v>0</v>
      </c>
      <c r="P3069" s="255">
        <v>0</v>
      </c>
      <c r="Q3069" s="255" t="s">
        <v>488</v>
      </c>
      <c r="R3069" s="255" t="s">
        <v>488</v>
      </c>
      <c r="S3069" s="255" t="s">
        <v>488</v>
      </c>
      <c r="T3069" s="255" t="s">
        <v>488</v>
      </c>
      <c r="U3069" s="255" t="s">
        <v>488</v>
      </c>
      <c r="V3069" s="255" t="s">
        <v>488</v>
      </c>
      <c r="W3069">
        <f t="shared" si="49"/>
        <v>0</v>
      </c>
    </row>
    <row r="3070" spans="1:23" x14ac:dyDescent="0.25">
      <c r="A3070" s="2" t="s">
        <v>1380</v>
      </c>
      <c r="B3070" s="2" t="s">
        <v>922</v>
      </c>
      <c r="C3070" s="2">
        <v>540213</v>
      </c>
      <c r="D3070" s="2" t="s">
        <v>850</v>
      </c>
      <c r="E3070" s="2" t="s">
        <v>93</v>
      </c>
      <c r="F3070" s="2" t="s">
        <v>5</v>
      </c>
      <c r="G3070" s="2">
        <v>5</v>
      </c>
      <c r="H3070" s="2">
        <v>0</v>
      </c>
      <c r="I3070" s="2">
        <v>0</v>
      </c>
      <c r="J3070" s="2">
        <v>0</v>
      </c>
      <c r="K3070" s="2">
        <v>0</v>
      </c>
      <c r="L3070" s="2">
        <v>0</v>
      </c>
      <c r="M3070" s="2">
        <v>0</v>
      </c>
      <c r="N3070" s="2">
        <v>0</v>
      </c>
      <c r="O3070" s="2">
        <v>0</v>
      </c>
      <c r="P3070" s="2">
        <v>0</v>
      </c>
      <c r="Q3070" s="2" t="s">
        <v>488</v>
      </c>
      <c r="R3070" s="2" t="s">
        <v>488</v>
      </c>
      <c r="S3070" s="2" t="s">
        <v>488</v>
      </c>
      <c r="T3070" s="2" t="s">
        <v>488</v>
      </c>
      <c r="U3070" s="2" t="s">
        <v>488</v>
      </c>
      <c r="V3070" s="2" t="s">
        <v>488</v>
      </c>
      <c r="W3070">
        <f t="shared" si="49"/>
        <v>0</v>
      </c>
    </row>
    <row r="3071" spans="1:23" x14ac:dyDescent="0.25">
      <c r="A3071" s="2" t="s">
        <v>1380</v>
      </c>
      <c r="B3071" s="2" t="s">
        <v>922</v>
      </c>
      <c r="C3071" s="2">
        <v>540042</v>
      </c>
      <c r="D3071" s="2" t="s">
        <v>851</v>
      </c>
      <c r="E3071" s="2" t="s">
        <v>93</v>
      </c>
      <c r="F3071" s="2" t="s">
        <v>115</v>
      </c>
      <c r="G3071" s="2">
        <v>5</v>
      </c>
      <c r="H3071" s="2">
        <v>0</v>
      </c>
      <c r="I3071" s="2">
        <v>0</v>
      </c>
      <c r="J3071" s="2">
        <v>0</v>
      </c>
      <c r="K3071" s="2">
        <v>0</v>
      </c>
      <c r="L3071" s="2">
        <v>0</v>
      </c>
      <c r="M3071" s="2">
        <v>0</v>
      </c>
      <c r="N3071" s="2">
        <v>0</v>
      </c>
      <c r="O3071" s="2">
        <v>0</v>
      </c>
      <c r="P3071" s="2">
        <v>0</v>
      </c>
      <c r="Q3071" s="2" t="s">
        <v>488</v>
      </c>
      <c r="R3071" s="2" t="s">
        <v>488</v>
      </c>
      <c r="S3071" s="2" t="s">
        <v>488</v>
      </c>
      <c r="T3071" s="2" t="s">
        <v>488</v>
      </c>
      <c r="U3071" s="2" t="s">
        <v>488</v>
      </c>
      <c r="V3071" s="2" t="s">
        <v>488</v>
      </c>
      <c r="W3071">
        <f t="shared" si="49"/>
        <v>0</v>
      </c>
    </row>
    <row r="3072" spans="1:23" x14ac:dyDescent="0.25">
      <c r="A3072" s="2" t="s">
        <v>1380</v>
      </c>
      <c r="B3072" s="2" t="s">
        <v>922</v>
      </c>
      <c r="C3072" s="2">
        <v>540214</v>
      </c>
      <c r="D3072" s="2" t="s">
        <v>852</v>
      </c>
      <c r="E3072" s="2" t="s">
        <v>93</v>
      </c>
      <c r="F3072" s="2" t="s">
        <v>115</v>
      </c>
      <c r="G3072" s="2">
        <v>5</v>
      </c>
      <c r="H3072" s="2">
        <v>0</v>
      </c>
      <c r="I3072" s="2">
        <v>0</v>
      </c>
      <c r="J3072" s="2">
        <v>0</v>
      </c>
      <c r="K3072" s="2">
        <v>0</v>
      </c>
      <c r="L3072" s="2">
        <v>0</v>
      </c>
      <c r="M3072" s="2">
        <v>0</v>
      </c>
      <c r="N3072" s="2">
        <v>0</v>
      </c>
      <c r="O3072" s="2">
        <v>0</v>
      </c>
      <c r="P3072" s="2">
        <v>0</v>
      </c>
      <c r="Q3072" s="2" t="s">
        <v>488</v>
      </c>
      <c r="R3072" s="2" t="s">
        <v>488</v>
      </c>
      <c r="S3072" s="2" t="s">
        <v>488</v>
      </c>
      <c r="T3072" s="2" t="s">
        <v>488</v>
      </c>
      <c r="U3072" s="2" t="s">
        <v>488</v>
      </c>
      <c r="V3072" s="2" t="s">
        <v>488</v>
      </c>
      <c r="W3072">
        <f t="shared" si="49"/>
        <v>0</v>
      </c>
    </row>
    <row r="3073" spans="1:23" x14ac:dyDescent="0.25">
      <c r="A3073" s="2" t="s">
        <v>1380</v>
      </c>
      <c r="B3073" s="2" t="s">
        <v>922</v>
      </c>
      <c r="C3073" s="2">
        <v>540215</v>
      </c>
      <c r="D3073" s="2" t="s">
        <v>853</v>
      </c>
      <c r="E3073" s="2" t="s">
        <v>93</v>
      </c>
      <c r="F3073" s="2" t="s">
        <v>115</v>
      </c>
      <c r="G3073" s="2">
        <v>5</v>
      </c>
      <c r="H3073" s="2">
        <v>0</v>
      </c>
      <c r="I3073" s="2">
        <v>1</v>
      </c>
      <c r="J3073" s="2">
        <v>0</v>
      </c>
      <c r="K3073" s="2">
        <v>0</v>
      </c>
      <c r="L3073" s="2">
        <v>0</v>
      </c>
      <c r="M3073" s="2">
        <v>1</v>
      </c>
      <c r="N3073" s="2">
        <v>1</v>
      </c>
      <c r="O3073" s="2">
        <v>0</v>
      </c>
      <c r="P3073" s="2">
        <v>0</v>
      </c>
      <c r="Q3073" s="2" t="s">
        <v>488</v>
      </c>
      <c r="R3073" s="2" t="s">
        <v>488</v>
      </c>
      <c r="S3073" s="2" t="s">
        <v>488</v>
      </c>
      <c r="T3073" s="2" t="s">
        <v>488</v>
      </c>
      <c r="U3073" s="2" t="s">
        <v>488</v>
      </c>
      <c r="V3073" s="2" t="s">
        <v>488</v>
      </c>
      <c r="W3073">
        <f t="shared" si="49"/>
        <v>1</v>
      </c>
    </row>
    <row r="3074" spans="1:23" x14ac:dyDescent="0.25">
      <c r="A3074" s="2" t="s">
        <v>1380</v>
      </c>
      <c r="B3074" s="2" t="s">
        <v>922</v>
      </c>
      <c r="C3074" s="2">
        <v>540216</v>
      </c>
      <c r="D3074" s="2" t="s">
        <v>854</v>
      </c>
      <c r="E3074" s="2" t="s">
        <v>93</v>
      </c>
      <c r="F3074" s="2" t="s">
        <v>115</v>
      </c>
      <c r="G3074" s="2">
        <v>5</v>
      </c>
      <c r="H3074" s="2">
        <v>0</v>
      </c>
      <c r="I3074" s="2">
        <v>0</v>
      </c>
      <c r="J3074" s="2">
        <v>0</v>
      </c>
      <c r="K3074" s="2">
        <v>0</v>
      </c>
      <c r="L3074" s="2">
        <v>0</v>
      </c>
      <c r="M3074" s="2">
        <v>0</v>
      </c>
      <c r="N3074" s="2">
        <v>0</v>
      </c>
      <c r="O3074" s="2">
        <v>0</v>
      </c>
      <c r="P3074" s="2">
        <v>0</v>
      </c>
      <c r="Q3074" s="2" t="s">
        <v>488</v>
      </c>
      <c r="R3074" s="2" t="s">
        <v>488</v>
      </c>
      <c r="S3074" s="2" t="s">
        <v>488</v>
      </c>
      <c r="T3074" s="2" t="s">
        <v>488</v>
      </c>
      <c r="U3074" s="2" t="s">
        <v>488</v>
      </c>
      <c r="V3074" s="2" t="s">
        <v>488</v>
      </c>
      <c r="W3074">
        <f t="shared" si="49"/>
        <v>0</v>
      </c>
    </row>
    <row r="3075" spans="1:23" x14ac:dyDescent="0.25">
      <c r="A3075" s="255" t="s">
        <v>1380</v>
      </c>
      <c r="B3075" s="255" t="s">
        <v>922</v>
      </c>
      <c r="C3075" s="255"/>
      <c r="D3075" s="255"/>
      <c r="E3075" s="255" t="s">
        <v>93</v>
      </c>
      <c r="F3075" s="255"/>
      <c r="G3075" s="255"/>
      <c r="H3075" s="255">
        <v>0</v>
      </c>
      <c r="I3075" s="255">
        <v>1</v>
      </c>
      <c r="J3075" s="255">
        <v>0</v>
      </c>
      <c r="K3075" s="255">
        <v>0</v>
      </c>
      <c r="L3075" s="255">
        <v>0</v>
      </c>
      <c r="M3075" s="255">
        <v>1</v>
      </c>
      <c r="N3075" s="255">
        <v>1</v>
      </c>
      <c r="O3075" s="255">
        <v>0</v>
      </c>
      <c r="P3075" s="255">
        <v>0</v>
      </c>
      <c r="Q3075" s="255" t="s">
        <v>488</v>
      </c>
      <c r="R3075" s="255" t="s">
        <v>488</v>
      </c>
      <c r="S3075" s="255" t="s">
        <v>488</v>
      </c>
      <c r="T3075" s="255" t="s">
        <v>488</v>
      </c>
      <c r="U3075" s="255" t="s">
        <v>488</v>
      </c>
      <c r="V3075" s="255" t="s">
        <v>488</v>
      </c>
      <c r="W3075">
        <f t="shared" ref="W3075:W3138" si="50">SUM(N3075,P3075,R3075,T3075)</f>
        <v>1</v>
      </c>
    </row>
    <row r="3076" spans="1:23" x14ac:dyDescent="0.25">
      <c r="A3076" s="2" t="s">
        <v>1380</v>
      </c>
      <c r="B3076" s="2" t="s">
        <v>922</v>
      </c>
      <c r="C3076" s="2">
        <v>540224</v>
      </c>
      <c r="D3076" s="2" t="s">
        <v>855</v>
      </c>
      <c r="E3076" s="2" t="s">
        <v>97</v>
      </c>
      <c r="F3076" s="2" t="s">
        <v>5</v>
      </c>
      <c r="G3076" s="2">
        <v>5</v>
      </c>
      <c r="H3076" s="2">
        <v>0</v>
      </c>
      <c r="I3076" s="2">
        <v>0</v>
      </c>
      <c r="J3076" s="2">
        <v>0</v>
      </c>
      <c r="K3076" s="2">
        <v>0</v>
      </c>
      <c r="L3076" s="2">
        <v>0</v>
      </c>
      <c r="M3076" s="2">
        <v>0</v>
      </c>
      <c r="N3076" s="2">
        <v>0</v>
      </c>
      <c r="O3076" s="2">
        <v>0</v>
      </c>
      <c r="P3076" s="2">
        <v>0</v>
      </c>
      <c r="Q3076" s="2">
        <v>0</v>
      </c>
      <c r="R3076" s="2">
        <v>0</v>
      </c>
      <c r="S3076" s="2" t="s">
        <v>488</v>
      </c>
      <c r="T3076" s="2" t="s">
        <v>488</v>
      </c>
      <c r="U3076" s="2" t="s">
        <v>488</v>
      </c>
      <c r="V3076" s="2" t="s">
        <v>488</v>
      </c>
      <c r="W3076">
        <f t="shared" si="50"/>
        <v>0</v>
      </c>
    </row>
    <row r="3077" spans="1:23" x14ac:dyDescent="0.25">
      <c r="A3077" s="2" t="s">
        <v>1380</v>
      </c>
      <c r="B3077" s="2" t="s">
        <v>922</v>
      </c>
      <c r="C3077" s="2">
        <v>540132</v>
      </c>
      <c r="D3077" s="2" t="s">
        <v>856</v>
      </c>
      <c r="E3077" s="2" t="s">
        <v>97</v>
      </c>
      <c r="F3077" s="2" t="s">
        <v>115</v>
      </c>
      <c r="G3077" s="2">
        <v>5</v>
      </c>
      <c r="H3077" s="2">
        <v>0</v>
      </c>
      <c r="I3077" s="2">
        <v>0</v>
      </c>
      <c r="J3077" s="2">
        <v>0</v>
      </c>
      <c r="K3077" s="2">
        <v>0</v>
      </c>
      <c r="L3077" s="2">
        <v>0</v>
      </c>
      <c r="M3077" s="2">
        <v>0</v>
      </c>
      <c r="N3077" s="2">
        <v>0</v>
      </c>
      <c r="O3077" s="2">
        <v>0</v>
      </c>
      <c r="P3077" s="2">
        <v>0</v>
      </c>
      <c r="Q3077" s="2">
        <v>0</v>
      </c>
      <c r="R3077" s="2">
        <v>0</v>
      </c>
      <c r="S3077" s="2" t="s">
        <v>488</v>
      </c>
      <c r="T3077" s="2" t="s">
        <v>488</v>
      </c>
      <c r="U3077" s="2" t="s">
        <v>488</v>
      </c>
      <c r="V3077" s="2" t="s">
        <v>488</v>
      </c>
      <c r="W3077">
        <f t="shared" si="50"/>
        <v>0</v>
      </c>
    </row>
    <row r="3078" spans="1:23" x14ac:dyDescent="0.25">
      <c r="A3078" s="2" t="s">
        <v>1380</v>
      </c>
      <c r="B3078" s="2" t="s">
        <v>922</v>
      </c>
      <c r="C3078" s="2">
        <v>540179</v>
      </c>
      <c r="D3078" s="2" t="s">
        <v>857</v>
      </c>
      <c r="E3078" s="2" t="s">
        <v>97</v>
      </c>
      <c r="F3078" s="2" t="s">
        <v>115</v>
      </c>
      <c r="G3078" s="2">
        <v>5</v>
      </c>
      <c r="H3078" s="2">
        <v>0</v>
      </c>
      <c r="I3078" s="2">
        <v>0</v>
      </c>
      <c r="J3078" s="2">
        <v>0</v>
      </c>
      <c r="K3078" s="2">
        <v>0</v>
      </c>
      <c r="L3078" s="2">
        <v>0</v>
      </c>
      <c r="M3078" s="2">
        <v>0</v>
      </c>
      <c r="N3078" s="2">
        <v>0</v>
      </c>
      <c r="O3078" s="2">
        <v>0</v>
      </c>
      <c r="P3078" s="2">
        <v>0</v>
      </c>
      <c r="Q3078" s="2">
        <v>0</v>
      </c>
      <c r="R3078" s="2">
        <v>0</v>
      </c>
      <c r="S3078" s="2" t="s">
        <v>488</v>
      </c>
      <c r="T3078" s="2" t="s">
        <v>488</v>
      </c>
      <c r="U3078" s="2" t="s">
        <v>488</v>
      </c>
      <c r="V3078" s="2" t="s">
        <v>488</v>
      </c>
      <c r="W3078">
        <f t="shared" si="50"/>
        <v>0</v>
      </c>
    </row>
    <row r="3079" spans="1:23" x14ac:dyDescent="0.25">
      <c r="A3079" s="2" t="s">
        <v>1380</v>
      </c>
      <c r="B3079" s="2" t="s">
        <v>922</v>
      </c>
      <c r="C3079" s="2">
        <v>540180</v>
      </c>
      <c r="D3079" s="2" t="s">
        <v>858</v>
      </c>
      <c r="E3079" s="2" t="s">
        <v>97</v>
      </c>
      <c r="F3079" s="2" t="s">
        <v>115</v>
      </c>
      <c r="G3079" s="2">
        <v>5</v>
      </c>
      <c r="H3079" s="2">
        <v>0</v>
      </c>
      <c r="I3079" s="2">
        <v>0</v>
      </c>
      <c r="J3079" s="2">
        <v>0</v>
      </c>
      <c r="K3079" s="2">
        <v>0</v>
      </c>
      <c r="L3079" s="2">
        <v>0</v>
      </c>
      <c r="M3079" s="2">
        <v>0</v>
      </c>
      <c r="N3079" s="2">
        <v>0</v>
      </c>
      <c r="O3079" s="2">
        <v>0</v>
      </c>
      <c r="P3079" s="2">
        <v>0</v>
      </c>
      <c r="Q3079" s="2">
        <v>0</v>
      </c>
      <c r="R3079" s="2">
        <v>0</v>
      </c>
      <c r="S3079" s="2" t="s">
        <v>488</v>
      </c>
      <c r="T3079" s="2" t="s">
        <v>488</v>
      </c>
      <c r="U3079" s="2" t="s">
        <v>488</v>
      </c>
      <c r="V3079" s="2" t="s">
        <v>488</v>
      </c>
      <c r="W3079">
        <f t="shared" si="50"/>
        <v>0</v>
      </c>
    </row>
    <row r="3080" spans="1:23" x14ac:dyDescent="0.25">
      <c r="A3080" s="2" t="s">
        <v>1380</v>
      </c>
      <c r="B3080" s="2" t="s">
        <v>922</v>
      </c>
      <c r="C3080" s="2">
        <v>540182</v>
      </c>
      <c r="D3080" s="2" t="s">
        <v>859</v>
      </c>
      <c r="E3080" s="2" t="s">
        <v>97</v>
      </c>
      <c r="F3080" s="2" t="s">
        <v>115</v>
      </c>
      <c r="G3080" s="2">
        <v>5</v>
      </c>
      <c r="H3080" s="2">
        <v>0</v>
      </c>
      <c r="I3080" s="2">
        <v>0</v>
      </c>
      <c r="J3080" s="2">
        <v>0</v>
      </c>
      <c r="K3080" s="2">
        <v>0</v>
      </c>
      <c r="L3080" s="2">
        <v>0</v>
      </c>
      <c r="M3080" s="2">
        <v>0</v>
      </c>
      <c r="N3080" s="2">
        <v>0</v>
      </c>
      <c r="O3080" s="2">
        <v>0</v>
      </c>
      <c r="P3080" s="2">
        <v>0</v>
      </c>
      <c r="Q3080" s="2">
        <v>0</v>
      </c>
      <c r="R3080" s="2">
        <v>0</v>
      </c>
      <c r="S3080" s="2" t="s">
        <v>488</v>
      </c>
      <c r="T3080" s="2" t="s">
        <v>488</v>
      </c>
      <c r="U3080" s="2" t="s">
        <v>488</v>
      </c>
      <c r="V3080" s="2" t="s">
        <v>488</v>
      </c>
      <c r="W3080">
        <f t="shared" si="50"/>
        <v>0</v>
      </c>
    </row>
    <row r="3081" spans="1:23" x14ac:dyDescent="0.25">
      <c r="A3081" s="2" t="s">
        <v>1380</v>
      </c>
      <c r="B3081" s="2" t="s">
        <v>922</v>
      </c>
      <c r="C3081" s="2">
        <v>540262</v>
      </c>
      <c r="D3081" s="2" t="s">
        <v>860</v>
      </c>
      <c r="E3081" s="2" t="s">
        <v>97</v>
      </c>
      <c r="F3081" s="2" t="s">
        <v>115</v>
      </c>
      <c r="G3081" s="2">
        <v>5</v>
      </c>
      <c r="H3081" s="2">
        <v>0</v>
      </c>
      <c r="I3081" s="2">
        <v>0</v>
      </c>
      <c r="J3081" s="2">
        <v>0</v>
      </c>
      <c r="K3081" s="2">
        <v>0</v>
      </c>
      <c r="L3081" s="2">
        <v>0</v>
      </c>
      <c r="M3081" s="2">
        <v>0</v>
      </c>
      <c r="N3081" s="2">
        <v>0</v>
      </c>
      <c r="O3081" s="2">
        <v>0</v>
      </c>
      <c r="P3081" s="2">
        <v>0</v>
      </c>
      <c r="Q3081" s="2">
        <v>0</v>
      </c>
      <c r="R3081" s="2">
        <v>0</v>
      </c>
      <c r="S3081" s="2" t="s">
        <v>488</v>
      </c>
      <c r="T3081" s="2" t="s">
        <v>488</v>
      </c>
      <c r="U3081" s="2" t="s">
        <v>488</v>
      </c>
      <c r="V3081" s="2" t="s">
        <v>488</v>
      </c>
      <c r="W3081">
        <f t="shared" si="50"/>
        <v>0</v>
      </c>
    </row>
    <row r="3082" spans="1:23" x14ac:dyDescent="0.25">
      <c r="A3082" s="2" t="s">
        <v>1380</v>
      </c>
      <c r="B3082" s="2" t="s">
        <v>922</v>
      </c>
      <c r="C3082" s="2">
        <v>540263</v>
      </c>
      <c r="D3082" s="2" t="s">
        <v>861</v>
      </c>
      <c r="E3082" s="2" t="s">
        <v>97</v>
      </c>
      <c r="F3082" s="2" t="s">
        <v>115</v>
      </c>
      <c r="G3082" s="2">
        <v>5</v>
      </c>
      <c r="H3082" s="2">
        <v>0</v>
      </c>
      <c r="I3082" s="2">
        <v>0</v>
      </c>
      <c r="J3082" s="2">
        <v>0</v>
      </c>
      <c r="K3082" s="2">
        <v>0</v>
      </c>
      <c r="L3082" s="2">
        <v>0</v>
      </c>
      <c r="M3082" s="2">
        <v>0</v>
      </c>
      <c r="N3082" s="2">
        <v>0</v>
      </c>
      <c r="O3082" s="2">
        <v>0</v>
      </c>
      <c r="P3082" s="2">
        <v>0</v>
      </c>
      <c r="Q3082" s="2">
        <v>0</v>
      </c>
      <c r="R3082" s="2">
        <v>0</v>
      </c>
      <c r="S3082" s="2" t="s">
        <v>488</v>
      </c>
      <c r="T3082" s="2" t="s">
        <v>488</v>
      </c>
      <c r="U3082" s="2" t="s">
        <v>488</v>
      </c>
      <c r="V3082" s="2" t="s">
        <v>488</v>
      </c>
      <c r="W3082">
        <f t="shared" si="50"/>
        <v>0</v>
      </c>
    </row>
    <row r="3083" spans="1:23" x14ac:dyDescent="0.25">
      <c r="A3083" s="255" t="s">
        <v>1380</v>
      </c>
      <c r="B3083" s="255" t="s">
        <v>922</v>
      </c>
      <c r="C3083" s="255"/>
      <c r="D3083" s="255"/>
      <c r="E3083" s="255" t="s">
        <v>97</v>
      </c>
      <c r="F3083" s="255"/>
      <c r="G3083" s="255"/>
      <c r="H3083" s="255">
        <v>0</v>
      </c>
      <c r="I3083" s="255">
        <v>0</v>
      </c>
      <c r="J3083" s="255">
        <v>0</v>
      </c>
      <c r="K3083" s="255">
        <v>0</v>
      </c>
      <c r="L3083" s="255">
        <v>0</v>
      </c>
      <c r="M3083" s="255">
        <v>0</v>
      </c>
      <c r="N3083" s="255">
        <v>0</v>
      </c>
      <c r="O3083" s="255">
        <v>0</v>
      </c>
      <c r="P3083" s="255">
        <v>0</v>
      </c>
      <c r="Q3083" s="255">
        <v>0</v>
      </c>
      <c r="R3083" s="255">
        <v>0</v>
      </c>
      <c r="S3083" s="255" t="s">
        <v>488</v>
      </c>
      <c r="T3083" s="255" t="s">
        <v>488</v>
      </c>
      <c r="U3083" s="255" t="s">
        <v>488</v>
      </c>
      <c r="V3083" s="255" t="s">
        <v>488</v>
      </c>
      <c r="W3083">
        <f t="shared" si="50"/>
        <v>0</v>
      </c>
    </row>
    <row r="3084" spans="1:23" x14ac:dyDescent="0.25">
      <c r="A3084" s="2" t="s">
        <v>1380</v>
      </c>
      <c r="B3084" s="2" t="s">
        <v>922</v>
      </c>
      <c r="C3084" s="2">
        <v>540225</v>
      </c>
      <c r="D3084" s="2" t="s">
        <v>862</v>
      </c>
      <c r="E3084" s="2" t="s">
        <v>99</v>
      </c>
      <c r="F3084" s="2" t="s">
        <v>5</v>
      </c>
      <c r="G3084" s="2">
        <v>5</v>
      </c>
      <c r="H3084" s="2">
        <v>0</v>
      </c>
      <c r="I3084" s="2">
        <v>0</v>
      </c>
      <c r="J3084" s="2">
        <v>0</v>
      </c>
      <c r="K3084" s="2">
        <v>0</v>
      </c>
      <c r="L3084" s="2">
        <v>0</v>
      </c>
      <c r="M3084" s="2">
        <v>0</v>
      </c>
      <c r="N3084" s="2">
        <v>0</v>
      </c>
      <c r="O3084" s="2">
        <v>0</v>
      </c>
      <c r="P3084" s="2">
        <v>0</v>
      </c>
      <c r="Q3084" s="2">
        <v>0</v>
      </c>
      <c r="R3084" s="2">
        <v>0</v>
      </c>
      <c r="S3084" s="2" t="s">
        <v>488</v>
      </c>
      <c r="T3084" s="2" t="s">
        <v>488</v>
      </c>
      <c r="U3084" s="2" t="s">
        <v>488</v>
      </c>
      <c r="V3084" s="2" t="s">
        <v>488</v>
      </c>
      <c r="W3084">
        <f t="shared" si="50"/>
        <v>0</v>
      </c>
    </row>
    <row r="3085" spans="1:23" x14ac:dyDescent="0.25">
      <c r="A3085" s="2" t="s">
        <v>1380</v>
      </c>
      <c r="B3085" s="2" t="s">
        <v>922</v>
      </c>
      <c r="C3085" s="2">
        <v>540156</v>
      </c>
      <c r="D3085" s="2" t="s">
        <v>863</v>
      </c>
      <c r="E3085" s="2" t="s">
        <v>99</v>
      </c>
      <c r="F3085" s="2" t="s">
        <v>115</v>
      </c>
      <c r="G3085" s="2">
        <v>5</v>
      </c>
      <c r="H3085" s="2">
        <v>0</v>
      </c>
      <c r="I3085" s="2">
        <v>0</v>
      </c>
      <c r="J3085" s="2">
        <v>0</v>
      </c>
      <c r="K3085" s="2">
        <v>0</v>
      </c>
      <c r="L3085" s="2">
        <v>0</v>
      </c>
      <c r="M3085" s="2">
        <v>0</v>
      </c>
      <c r="N3085" s="2">
        <v>0</v>
      </c>
      <c r="O3085" s="2">
        <v>0</v>
      </c>
      <c r="P3085" s="2">
        <v>0</v>
      </c>
      <c r="Q3085" s="2">
        <v>0</v>
      </c>
      <c r="R3085" s="2">
        <v>0</v>
      </c>
      <c r="S3085" s="2" t="s">
        <v>488</v>
      </c>
      <c r="T3085" s="2" t="s">
        <v>488</v>
      </c>
      <c r="U3085" s="2" t="s">
        <v>488</v>
      </c>
      <c r="V3085" s="2" t="s">
        <v>488</v>
      </c>
      <c r="W3085">
        <f t="shared" si="50"/>
        <v>0</v>
      </c>
    </row>
    <row r="3086" spans="1:23" x14ac:dyDescent="0.25">
      <c r="A3086" s="2" t="s">
        <v>1380</v>
      </c>
      <c r="B3086" s="2" t="s">
        <v>922</v>
      </c>
      <c r="C3086" s="2">
        <v>540253</v>
      </c>
      <c r="D3086" s="2" t="s">
        <v>864</v>
      </c>
      <c r="E3086" s="2" t="s">
        <v>99</v>
      </c>
      <c r="F3086" s="2" t="s">
        <v>115</v>
      </c>
      <c r="G3086" s="2">
        <v>5</v>
      </c>
      <c r="H3086" s="2">
        <v>0</v>
      </c>
      <c r="I3086" s="2">
        <v>0</v>
      </c>
      <c r="J3086" s="2">
        <v>0</v>
      </c>
      <c r="K3086" s="2">
        <v>0</v>
      </c>
      <c r="L3086" s="2">
        <v>0</v>
      </c>
      <c r="M3086" s="2">
        <v>0</v>
      </c>
      <c r="N3086" s="2">
        <v>0</v>
      </c>
      <c r="O3086" s="2">
        <v>0</v>
      </c>
      <c r="P3086" s="2">
        <v>0</v>
      </c>
      <c r="Q3086" s="2">
        <v>0</v>
      </c>
      <c r="R3086" s="2">
        <v>0</v>
      </c>
      <c r="S3086" s="2" t="s">
        <v>488</v>
      </c>
      <c r="T3086" s="2" t="s">
        <v>488</v>
      </c>
      <c r="U3086" s="2" t="s">
        <v>488</v>
      </c>
      <c r="V3086" s="2" t="s">
        <v>488</v>
      </c>
      <c r="W3086">
        <f t="shared" si="50"/>
        <v>0</v>
      </c>
    </row>
    <row r="3087" spans="1:23" x14ac:dyDescent="0.25">
      <c r="A3087" s="255" t="s">
        <v>1380</v>
      </c>
      <c r="B3087" s="255" t="s">
        <v>922</v>
      </c>
      <c r="C3087" s="255"/>
      <c r="D3087" s="255"/>
      <c r="E3087" s="255" t="s">
        <v>99</v>
      </c>
      <c r="F3087" s="255"/>
      <c r="G3087" s="255"/>
      <c r="H3087" s="255">
        <v>0</v>
      </c>
      <c r="I3087" s="255">
        <v>0</v>
      </c>
      <c r="J3087" s="255">
        <v>0</v>
      </c>
      <c r="K3087" s="255">
        <v>0</v>
      </c>
      <c r="L3087" s="255">
        <v>0</v>
      </c>
      <c r="M3087" s="255">
        <v>0</v>
      </c>
      <c r="N3087" s="255">
        <v>0</v>
      </c>
      <c r="O3087" s="255">
        <v>0</v>
      </c>
      <c r="P3087" s="255">
        <v>0</v>
      </c>
      <c r="Q3087" s="255">
        <v>0</v>
      </c>
      <c r="R3087" s="255">
        <v>0</v>
      </c>
      <c r="S3087" s="255" t="s">
        <v>488</v>
      </c>
      <c r="T3087" s="255" t="s">
        <v>488</v>
      </c>
      <c r="U3087" s="255" t="s">
        <v>488</v>
      </c>
      <c r="V3087" s="255" t="s">
        <v>488</v>
      </c>
      <c r="W3087">
        <f t="shared" si="50"/>
        <v>0</v>
      </c>
    </row>
    <row r="3088" spans="1:23" x14ac:dyDescent="0.25">
      <c r="A3088" s="2" t="s">
        <v>1380</v>
      </c>
      <c r="B3088" s="2" t="s">
        <v>922</v>
      </c>
      <c r="C3088" s="2">
        <v>540226</v>
      </c>
      <c r="D3088" s="2" t="s">
        <v>865</v>
      </c>
      <c r="E3088" s="2" t="s">
        <v>101</v>
      </c>
      <c r="F3088" s="2" t="s">
        <v>5</v>
      </c>
      <c r="G3088" s="2">
        <v>8</v>
      </c>
      <c r="H3088" s="2">
        <v>0</v>
      </c>
      <c r="I3088" s="2">
        <v>0</v>
      </c>
      <c r="J3088" s="2">
        <v>0</v>
      </c>
      <c r="K3088" s="2">
        <v>0</v>
      </c>
      <c r="L3088" s="2">
        <v>0</v>
      </c>
      <c r="M3088" s="2">
        <v>0</v>
      </c>
      <c r="N3088" s="2">
        <v>0</v>
      </c>
      <c r="O3088" s="2">
        <v>0</v>
      </c>
      <c r="P3088" s="2">
        <v>0</v>
      </c>
      <c r="Q3088" s="2" t="s">
        <v>488</v>
      </c>
      <c r="R3088" s="2" t="s">
        <v>488</v>
      </c>
      <c r="S3088" s="2" t="s">
        <v>488</v>
      </c>
      <c r="T3088" s="2" t="s">
        <v>488</v>
      </c>
      <c r="U3088" s="2" t="s">
        <v>488</v>
      </c>
      <c r="V3088" s="2" t="s">
        <v>488</v>
      </c>
      <c r="W3088">
        <f t="shared" si="50"/>
        <v>0</v>
      </c>
    </row>
    <row r="3089" spans="1:23" x14ac:dyDescent="0.25">
      <c r="A3089" s="2" t="s">
        <v>1380</v>
      </c>
      <c r="B3089" s="2" t="s">
        <v>922</v>
      </c>
      <c r="C3089" s="2">
        <v>540046</v>
      </c>
      <c r="D3089" s="2" t="s">
        <v>866</v>
      </c>
      <c r="E3089" s="2" t="s">
        <v>101</v>
      </c>
      <c r="F3089" s="2" t="s">
        <v>115</v>
      </c>
      <c r="G3089" s="2">
        <v>8</v>
      </c>
      <c r="H3089" s="2">
        <v>0</v>
      </c>
      <c r="I3089" s="2">
        <v>0</v>
      </c>
      <c r="J3089" s="2">
        <v>0</v>
      </c>
      <c r="K3089" s="2">
        <v>0</v>
      </c>
      <c r="L3089" s="2">
        <v>0</v>
      </c>
      <c r="M3089" s="2">
        <v>0</v>
      </c>
      <c r="N3089" s="2">
        <v>0</v>
      </c>
      <c r="O3089" s="2">
        <v>0</v>
      </c>
      <c r="P3089" s="2">
        <v>0</v>
      </c>
      <c r="Q3089" s="2" t="s">
        <v>488</v>
      </c>
      <c r="R3089" s="2" t="s">
        <v>488</v>
      </c>
      <c r="S3089" s="2" t="s">
        <v>488</v>
      </c>
      <c r="T3089" s="2" t="s">
        <v>488</v>
      </c>
      <c r="U3089" s="2" t="s">
        <v>488</v>
      </c>
      <c r="V3089" s="2" t="s">
        <v>488</v>
      </c>
      <c r="W3089">
        <f t="shared" si="50"/>
        <v>0</v>
      </c>
    </row>
    <row r="3090" spans="1:23" x14ac:dyDescent="0.25">
      <c r="A3090" s="2" t="s">
        <v>1380</v>
      </c>
      <c r="B3090" s="2" t="s">
        <v>922</v>
      </c>
      <c r="C3090" s="2">
        <v>540276</v>
      </c>
      <c r="D3090" s="2" t="s">
        <v>867</v>
      </c>
      <c r="E3090" s="2" t="s">
        <v>101</v>
      </c>
      <c r="F3090" s="2" t="s">
        <v>115</v>
      </c>
      <c r="G3090" s="2">
        <v>8</v>
      </c>
      <c r="H3090" s="2">
        <v>0</v>
      </c>
      <c r="I3090" s="2">
        <v>0</v>
      </c>
      <c r="J3090" s="2">
        <v>0</v>
      </c>
      <c r="K3090" s="2">
        <v>0</v>
      </c>
      <c r="L3090" s="2">
        <v>0</v>
      </c>
      <c r="M3090" s="2">
        <v>0</v>
      </c>
      <c r="N3090" s="2">
        <v>0</v>
      </c>
      <c r="O3090" s="2">
        <v>0</v>
      </c>
      <c r="P3090" s="2">
        <v>0</v>
      </c>
      <c r="Q3090" s="2" t="s">
        <v>488</v>
      </c>
      <c r="R3090" s="2" t="s">
        <v>488</v>
      </c>
      <c r="S3090" s="2" t="s">
        <v>488</v>
      </c>
      <c r="T3090" s="2" t="s">
        <v>488</v>
      </c>
      <c r="U3090" s="2" t="s">
        <v>488</v>
      </c>
      <c r="V3090" s="2" t="s">
        <v>488</v>
      </c>
      <c r="W3090">
        <f t="shared" si="50"/>
        <v>0</v>
      </c>
    </row>
    <row r="3091" spans="1:23" x14ac:dyDescent="0.25">
      <c r="A3091" s="255" t="s">
        <v>1380</v>
      </c>
      <c r="B3091" s="255" t="s">
        <v>922</v>
      </c>
      <c r="C3091" s="255"/>
      <c r="D3091" s="255"/>
      <c r="E3091" s="255" t="s">
        <v>101</v>
      </c>
      <c r="F3091" s="255"/>
      <c r="G3091" s="255"/>
      <c r="H3091" s="255">
        <v>0</v>
      </c>
      <c r="I3091" s="255">
        <v>0</v>
      </c>
      <c r="J3091" s="255">
        <v>0</v>
      </c>
      <c r="K3091" s="255">
        <v>0</v>
      </c>
      <c r="L3091" s="255">
        <v>0</v>
      </c>
      <c r="M3091" s="255">
        <v>0</v>
      </c>
      <c r="N3091" s="255">
        <v>0</v>
      </c>
      <c r="O3091" s="255">
        <v>0</v>
      </c>
      <c r="P3091" s="255">
        <v>0</v>
      </c>
      <c r="Q3091" s="255" t="s">
        <v>488</v>
      </c>
      <c r="R3091" s="255" t="s">
        <v>488</v>
      </c>
      <c r="S3091" s="255" t="s">
        <v>488</v>
      </c>
      <c r="T3091" s="255" t="s">
        <v>488</v>
      </c>
      <c r="U3091" s="255" t="s">
        <v>488</v>
      </c>
      <c r="V3091" s="255" t="s">
        <v>488</v>
      </c>
      <c r="W3091">
        <f t="shared" si="50"/>
        <v>0</v>
      </c>
    </row>
    <row r="3092" spans="1:23" x14ac:dyDescent="0.25">
      <c r="A3092" s="2" t="s">
        <v>1380</v>
      </c>
      <c r="B3092" s="2" t="s">
        <v>922</v>
      </c>
      <c r="C3092" s="2">
        <v>540277</v>
      </c>
      <c r="D3092" s="2" t="s">
        <v>868</v>
      </c>
      <c r="E3092" s="2" t="s">
        <v>103</v>
      </c>
      <c r="F3092" s="2" t="s">
        <v>5</v>
      </c>
      <c r="G3092" s="2">
        <v>5</v>
      </c>
      <c r="H3092" s="2">
        <v>0</v>
      </c>
      <c r="I3092" s="2">
        <v>0</v>
      </c>
      <c r="J3092" s="2">
        <v>0</v>
      </c>
      <c r="K3092" s="2">
        <v>0</v>
      </c>
      <c r="L3092" s="2">
        <v>0</v>
      </c>
      <c r="M3092" s="2">
        <v>0</v>
      </c>
      <c r="N3092" s="2">
        <v>0</v>
      </c>
      <c r="O3092" s="2">
        <v>0</v>
      </c>
      <c r="P3092" s="2">
        <v>0</v>
      </c>
      <c r="Q3092" s="2">
        <v>0</v>
      </c>
      <c r="R3092" s="2">
        <v>0</v>
      </c>
      <c r="S3092" s="2" t="s">
        <v>488</v>
      </c>
      <c r="T3092" s="2" t="s">
        <v>488</v>
      </c>
      <c r="U3092" s="2" t="s">
        <v>488</v>
      </c>
      <c r="V3092" s="2" t="s">
        <v>488</v>
      </c>
      <c r="W3092">
        <f t="shared" si="50"/>
        <v>0</v>
      </c>
    </row>
    <row r="3093" spans="1:23" x14ac:dyDescent="0.25">
      <c r="A3093" s="2" t="s">
        <v>1380</v>
      </c>
      <c r="B3093" s="2" t="s">
        <v>922</v>
      </c>
      <c r="C3093" s="2">
        <v>540195</v>
      </c>
      <c r="D3093" s="2" t="s">
        <v>869</v>
      </c>
      <c r="E3093" s="2" t="s">
        <v>103</v>
      </c>
      <c r="F3093" s="2" t="s">
        <v>115</v>
      </c>
      <c r="G3093" s="2">
        <v>5</v>
      </c>
      <c r="H3093" s="2">
        <v>0</v>
      </c>
      <c r="I3093" s="2">
        <v>0</v>
      </c>
      <c r="J3093" s="2">
        <v>0</v>
      </c>
      <c r="K3093" s="2">
        <v>0</v>
      </c>
      <c r="L3093" s="2">
        <v>0</v>
      </c>
      <c r="M3093" s="2">
        <v>0</v>
      </c>
      <c r="N3093" s="2">
        <v>0</v>
      </c>
      <c r="O3093" s="2">
        <v>0</v>
      </c>
      <c r="P3093" s="2">
        <v>0</v>
      </c>
      <c r="Q3093" s="2">
        <v>0</v>
      </c>
      <c r="R3093" s="2">
        <v>0</v>
      </c>
      <c r="S3093" s="2" t="s">
        <v>488</v>
      </c>
      <c r="T3093" s="2" t="s">
        <v>488</v>
      </c>
      <c r="U3093" s="2" t="s">
        <v>488</v>
      </c>
      <c r="V3093" s="2" t="s">
        <v>488</v>
      </c>
      <c r="W3093">
        <f t="shared" si="50"/>
        <v>0</v>
      </c>
    </row>
    <row r="3094" spans="1:23" x14ac:dyDescent="0.25">
      <c r="A3094" s="2" t="s">
        <v>1380</v>
      </c>
      <c r="B3094" s="2" t="s">
        <v>922</v>
      </c>
      <c r="C3094" s="2">
        <v>540196</v>
      </c>
      <c r="D3094" s="2" t="s">
        <v>843</v>
      </c>
      <c r="E3094" s="2" t="s">
        <v>103</v>
      </c>
      <c r="F3094" s="2" t="s">
        <v>115</v>
      </c>
      <c r="G3094" s="2">
        <v>5</v>
      </c>
      <c r="H3094" s="2">
        <v>0</v>
      </c>
      <c r="I3094" s="2">
        <v>0</v>
      </c>
      <c r="J3094" s="2">
        <v>0</v>
      </c>
      <c r="K3094" s="2">
        <v>0</v>
      </c>
      <c r="L3094" s="2">
        <v>0</v>
      </c>
      <c r="M3094" s="2">
        <v>0</v>
      </c>
      <c r="N3094" s="2">
        <v>0</v>
      </c>
      <c r="O3094" s="2">
        <v>0</v>
      </c>
      <c r="P3094" s="2">
        <v>0</v>
      </c>
      <c r="Q3094" s="2">
        <v>0</v>
      </c>
      <c r="R3094" s="2">
        <v>0</v>
      </c>
      <c r="S3094" s="2" t="s">
        <v>488</v>
      </c>
      <c r="T3094" s="2" t="s">
        <v>488</v>
      </c>
      <c r="U3094" s="2" t="s">
        <v>488</v>
      </c>
      <c r="V3094" s="2" t="s">
        <v>488</v>
      </c>
      <c r="W3094">
        <f t="shared" si="50"/>
        <v>0</v>
      </c>
    </row>
    <row r="3095" spans="1:23" x14ac:dyDescent="0.25">
      <c r="A3095" s="2" t="s">
        <v>1380</v>
      </c>
      <c r="B3095" s="2" t="s">
        <v>922</v>
      </c>
      <c r="C3095" s="2">
        <v>540197</v>
      </c>
      <c r="D3095" s="2" t="s">
        <v>870</v>
      </c>
      <c r="E3095" s="2" t="s">
        <v>103</v>
      </c>
      <c r="F3095" s="2" t="s">
        <v>115</v>
      </c>
      <c r="G3095" s="2">
        <v>5</v>
      </c>
      <c r="H3095" s="2">
        <v>0</v>
      </c>
      <c r="I3095" s="2">
        <v>0</v>
      </c>
      <c r="J3095" s="2">
        <v>0</v>
      </c>
      <c r="K3095" s="2">
        <v>0</v>
      </c>
      <c r="L3095" s="2">
        <v>0</v>
      </c>
      <c r="M3095" s="2">
        <v>0</v>
      </c>
      <c r="N3095" s="2">
        <v>0</v>
      </c>
      <c r="O3095" s="2">
        <v>0</v>
      </c>
      <c r="P3095" s="2">
        <v>0</v>
      </c>
      <c r="Q3095" s="2">
        <v>0</v>
      </c>
      <c r="R3095" s="2">
        <v>0</v>
      </c>
      <c r="S3095" s="2" t="s">
        <v>488</v>
      </c>
      <c r="T3095" s="2" t="s">
        <v>488</v>
      </c>
      <c r="U3095" s="2" t="s">
        <v>488</v>
      </c>
      <c r="V3095" s="2" t="s">
        <v>488</v>
      </c>
      <c r="W3095">
        <f t="shared" si="50"/>
        <v>0</v>
      </c>
    </row>
    <row r="3096" spans="1:23" x14ac:dyDescent="0.25">
      <c r="A3096" s="2" t="s">
        <v>1380</v>
      </c>
      <c r="B3096" s="2" t="s">
        <v>922</v>
      </c>
      <c r="C3096" s="2">
        <v>540259</v>
      </c>
      <c r="D3096" s="2" t="s">
        <v>871</v>
      </c>
      <c r="E3096" s="2" t="s">
        <v>103</v>
      </c>
      <c r="F3096" s="2" t="s">
        <v>115</v>
      </c>
      <c r="G3096" s="2">
        <v>5</v>
      </c>
      <c r="H3096" s="2">
        <v>0</v>
      </c>
      <c r="I3096" s="2">
        <v>0</v>
      </c>
      <c r="J3096" s="2">
        <v>0</v>
      </c>
      <c r="K3096" s="2">
        <v>0</v>
      </c>
      <c r="L3096" s="2">
        <v>0</v>
      </c>
      <c r="M3096" s="2">
        <v>0</v>
      </c>
      <c r="N3096" s="2">
        <v>0</v>
      </c>
      <c r="O3096" s="2">
        <v>0</v>
      </c>
      <c r="P3096" s="2">
        <v>0</v>
      </c>
      <c r="Q3096" s="2">
        <v>0</v>
      </c>
      <c r="R3096" s="2">
        <v>0</v>
      </c>
      <c r="S3096" s="2" t="s">
        <v>488</v>
      </c>
      <c r="T3096" s="2" t="s">
        <v>488</v>
      </c>
      <c r="U3096" s="2" t="s">
        <v>488</v>
      </c>
      <c r="V3096" s="2" t="s">
        <v>488</v>
      </c>
      <c r="W3096">
        <f t="shared" si="50"/>
        <v>0</v>
      </c>
    </row>
    <row r="3097" spans="1:23" x14ac:dyDescent="0.25">
      <c r="A3097" s="255" t="s">
        <v>1380</v>
      </c>
      <c r="B3097" s="255" t="s">
        <v>922</v>
      </c>
      <c r="C3097" s="255"/>
      <c r="D3097" s="255"/>
      <c r="E3097" s="255" t="s">
        <v>103</v>
      </c>
      <c r="F3097" s="255"/>
      <c r="G3097" s="255"/>
      <c r="H3097" s="255">
        <v>0</v>
      </c>
      <c r="I3097" s="255">
        <v>0</v>
      </c>
      <c r="J3097" s="255">
        <v>0</v>
      </c>
      <c r="K3097" s="255">
        <v>0</v>
      </c>
      <c r="L3097" s="255">
        <v>0</v>
      </c>
      <c r="M3097" s="255">
        <v>0</v>
      </c>
      <c r="N3097" s="255">
        <v>0</v>
      </c>
      <c r="O3097" s="255">
        <v>0</v>
      </c>
      <c r="P3097" s="255">
        <v>0</v>
      </c>
      <c r="Q3097" s="255">
        <v>0</v>
      </c>
      <c r="R3097" s="255">
        <v>0</v>
      </c>
      <c r="S3097" s="255" t="s">
        <v>488</v>
      </c>
      <c r="T3097" s="255" t="s">
        <v>488</v>
      </c>
      <c r="U3097" s="255" t="s">
        <v>488</v>
      </c>
      <c r="V3097" s="255" t="s">
        <v>488</v>
      </c>
      <c r="W3097">
        <f t="shared" si="50"/>
        <v>0</v>
      </c>
    </row>
    <row r="3098" spans="1:23" x14ac:dyDescent="0.25">
      <c r="A3098" s="2" t="s">
        <v>1380</v>
      </c>
      <c r="B3098" s="2" t="s">
        <v>922</v>
      </c>
      <c r="C3098" s="2">
        <v>540278</v>
      </c>
      <c r="D3098" s="2" t="s">
        <v>872</v>
      </c>
      <c r="E3098" s="2" t="s">
        <v>105</v>
      </c>
      <c r="F3098" s="2" t="s">
        <v>5</v>
      </c>
      <c r="G3098" s="2">
        <v>1</v>
      </c>
      <c r="H3098" s="2">
        <v>0</v>
      </c>
      <c r="I3098" s="2">
        <v>0</v>
      </c>
      <c r="J3098" s="2">
        <v>0</v>
      </c>
      <c r="K3098" s="2">
        <v>0</v>
      </c>
      <c r="L3098" s="2">
        <v>0</v>
      </c>
      <c r="M3098" s="2">
        <v>0</v>
      </c>
      <c r="N3098" s="2">
        <v>0</v>
      </c>
      <c r="O3098" s="2">
        <v>0</v>
      </c>
      <c r="P3098" s="2">
        <v>0</v>
      </c>
      <c r="Q3098" s="2">
        <v>0</v>
      </c>
      <c r="R3098" s="2">
        <v>0</v>
      </c>
      <c r="S3098" s="2" t="s">
        <v>488</v>
      </c>
      <c r="T3098" s="2" t="s">
        <v>488</v>
      </c>
      <c r="U3098" s="2" t="s">
        <v>488</v>
      </c>
      <c r="V3098" s="2" t="s">
        <v>488</v>
      </c>
      <c r="W3098">
        <f t="shared" si="50"/>
        <v>0</v>
      </c>
    </row>
    <row r="3099" spans="1:23" x14ac:dyDescent="0.25">
      <c r="A3099" s="2" t="s">
        <v>1380</v>
      </c>
      <c r="B3099" s="2" t="s">
        <v>922</v>
      </c>
      <c r="C3099" s="2">
        <v>540041</v>
      </c>
      <c r="D3099" s="2" t="s">
        <v>666</v>
      </c>
      <c r="E3099" s="2" t="s">
        <v>105</v>
      </c>
      <c r="F3099" s="2" t="s">
        <v>115</v>
      </c>
      <c r="G3099" s="2">
        <v>1</v>
      </c>
      <c r="H3099" s="2">
        <v>0</v>
      </c>
      <c r="I3099" s="2">
        <v>0</v>
      </c>
      <c r="J3099" s="2">
        <v>0</v>
      </c>
      <c r="K3099" s="2">
        <v>0</v>
      </c>
      <c r="L3099" s="2">
        <v>0</v>
      </c>
      <c r="M3099" s="2">
        <v>0</v>
      </c>
      <c r="N3099" s="2">
        <v>0</v>
      </c>
      <c r="O3099" s="2">
        <v>0</v>
      </c>
      <c r="P3099" s="2">
        <v>0</v>
      </c>
      <c r="Q3099" s="2">
        <v>0</v>
      </c>
      <c r="R3099" s="2">
        <v>0</v>
      </c>
      <c r="S3099" s="2" t="s">
        <v>488</v>
      </c>
      <c r="T3099" s="2" t="s">
        <v>488</v>
      </c>
      <c r="U3099" s="2" t="s">
        <v>488</v>
      </c>
      <c r="V3099" s="2" t="s">
        <v>488</v>
      </c>
      <c r="W3099">
        <f t="shared" si="50"/>
        <v>0</v>
      </c>
    </row>
    <row r="3100" spans="1:23" x14ac:dyDescent="0.25">
      <c r="A3100" s="2" t="s">
        <v>1380</v>
      </c>
      <c r="B3100" s="2" t="s">
        <v>922</v>
      </c>
      <c r="C3100" s="2">
        <v>540143</v>
      </c>
      <c r="D3100" s="2" t="s">
        <v>873</v>
      </c>
      <c r="E3100" s="2" t="s">
        <v>105</v>
      </c>
      <c r="F3100" s="2" t="s">
        <v>115</v>
      </c>
      <c r="G3100" s="2">
        <v>1</v>
      </c>
      <c r="H3100" s="2">
        <v>0</v>
      </c>
      <c r="I3100" s="2">
        <v>0</v>
      </c>
      <c r="J3100" s="2">
        <v>0</v>
      </c>
      <c r="K3100" s="2">
        <v>0</v>
      </c>
      <c r="L3100" s="2">
        <v>0</v>
      </c>
      <c r="M3100" s="2">
        <v>0</v>
      </c>
      <c r="N3100" s="2">
        <v>0</v>
      </c>
      <c r="O3100" s="2">
        <v>0</v>
      </c>
      <c r="P3100" s="2">
        <v>0</v>
      </c>
      <c r="Q3100" s="2">
        <v>0</v>
      </c>
      <c r="R3100" s="2">
        <v>0</v>
      </c>
      <c r="S3100" s="2" t="s">
        <v>488</v>
      </c>
      <c r="T3100" s="2" t="s">
        <v>488</v>
      </c>
      <c r="U3100" s="2" t="s">
        <v>488</v>
      </c>
      <c r="V3100" s="2" t="s">
        <v>488</v>
      </c>
      <c r="W3100">
        <f t="shared" si="50"/>
        <v>0</v>
      </c>
    </row>
    <row r="3101" spans="1:23" x14ac:dyDescent="0.25">
      <c r="A3101" s="2" t="s">
        <v>1380</v>
      </c>
      <c r="B3101" s="2" t="s">
        <v>922</v>
      </c>
      <c r="C3101" s="2">
        <v>540290</v>
      </c>
      <c r="D3101" s="2" t="s">
        <v>874</v>
      </c>
      <c r="E3101" s="2" t="s">
        <v>105</v>
      </c>
      <c r="F3101" s="2" t="s">
        <v>115</v>
      </c>
      <c r="G3101" s="2">
        <v>1</v>
      </c>
      <c r="H3101" s="2">
        <v>0</v>
      </c>
      <c r="I3101" s="2">
        <v>0</v>
      </c>
      <c r="J3101" s="2">
        <v>0</v>
      </c>
      <c r="K3101" s="2">
        <v>0</v>
      </c>
      <c r="L3101" s="2">
        <v>0</v>
      </c>
      <c r="M3101" s="2">
        <v>0</v>
      </c>
      <c r="N3101" s="2">
        <v>0</v>
      </c>
      <c r="O3101" s="2">
        <v>0</v>
      </c>
      <c r="P3101" s="2">
        <v>0</v>
      </c>
      <c r="Q3101" s="2">
        <v>0</v>
      </c>
      <c r="R3101" s="2">
        <v>0</v>
      </c>
      <c r="S3101" s="2" t="s">
        <v>488</v>
      </c>
      <c r="T3101" s="2" t="s">
        <v>488</v>
      </c>
      <c r="U3101" s="2" t="s">
        <v>488</v>
      </c>
      <c r="V3101" s="2" t="s">
        <v>488</v>
      </c>
      <c r="W3101">
        <f t="shared" si="50"/>
        <v>0</v>
      </c>
    </row>
    <row r="3102" spans="1:23" x14ac:dyDescent="0.25">
      <c r="A3102" s="255" t="s">
        <v>1380</v>
      </c>
      <c r="B3102" s="255" t="s">
        <v>922</v>
      </c>
      <c r="C3102" s="255"/>
      <c r="D3102" s="255"/>
      <c r="E3102" s="255" t="s">
        <v>105</v>
      </c>
      <c r="F3102" s="255"/>
      <c r="G3102" s="255"/>
      <c r="H3102" s="255">
        <v>0</v>
      </c>
      <c r="I3102" s="255">
        <v>0</v>
      </c>
      <c r="J3102" s="255">
        <v>0</v>
      </c>
      <c r="K3102" s="255">
        <v>0</v>
      </c>
      <c r="L3102" s="255">
        <v>0</v>
      </c>
      <c r="M3102" s="255">
        <v>0</v>
      </c>
      <c r="N3102" s="255">
        <v>0</v>
      </c>
      <c r="O3102" s="255">
        <v>0</v>
      </c>
      <c r="P3102" s="255">
        <v>0</v>
      </c>
      <c r="Q3102" s="255">
        <v>0</v>
      </c>
      <c r="R3102" s="255">
        <v>0</v>
      </c>
      <c r="S3102" s="255" t="s">
        <v>488</v>
      </c>
      <c r="T3102" s="255" t="s">
        <v>488</v>
      </c>
      <c r="U3102" s="255" t="s">
        <v>488</v>
      </c>
      <c r="V3102" s="255" t="s">
        <v>488</v>
      </c>
      <c r="W3102">
        <f t="shared" si="50"/>
        <v>0</v>
      </c>
    </row>
    <row r="3103" spans="1:23" x14ac:dyDescent="0.25">
      <c r="A3103" s="2" t="s">
        <v>1380</v>
      </c>
      <c r="B3103" s="2" t="s">
        <v>922</v>
      </c>
      <c r="C3103" s="2">
        <v>540282</v>
      </c>
      <c r="D3103" s="2" t="s">
        <v>875</v>
      </c>
      <c r="E3103" s="2" t="s">
        <v>107</v>
      </c>
      <c r="F3103" s="2" t="s">
        <v>5</v>
      </c>
      <c r="G3103" s="2">
        <v>9</v>
      </c>
      <c r="H3103" s="2">
        <v>0</v>
      </c>
      <c r="I3103" s="2">
        <v>0</v>
      </c>
      <c r="J3103" s="2">
        <v>0</v>
      </c>
      <c r="K3103" s="2">
        <v>0</v>
      </c>
      <c r="L3103" s="2">
        <v>0</v>
      </c>
      <c r="M3103" s="2">
        <v>0</v>
      </c>
      <c r="N3103" s="2">
        <v>0</v>
      </c>
      <c r="O3103" s="2">
        <v>0</v>
      </c>
      <c r="P3103" s="2">
        <v>0</v>
      </c>
      <c r="Q3103" s="2">
        <v>0</v>
      </c>
      <c r="R3103" s="2">
        <v>0</v>
      </c>
      <c r="S3103" s="2">
        <v>0</v>
      </c>
      <c r="T3103" s="2">
        <v>0</v>
      </c>
      <c r="U3103" s="2" t="s">
        <v>488</v>
      </c>
      <c r="V3103" s="2" t="s">
        <v>488</v>
      </c>
      <c r="W3103">
        <f t="shared" si="50"/>
        <v>0</v>
      </c>
    </row>
    <row r="3104" spans="1:23" x14ac:dyDescent="0.25">
      <c r="A3104" s="2" t="s">
        <v>1380</v>
      </c>
      <c r="B3104" s="2" t="s">
        <v>922</v>
      </c>
      <c r="C3104" s="2">
        <v>540006</v>
      </c>
      <c r="D3104" s="2" t="s">
        <v>876</v>
      </c>
      <c r="E3104" s="2" t="s">
        <v>107</v>
      </c>
      <c r="F3104" s="2" t="s">
        <v>115</v>
      </c>
      <c r="G3104" s="2">
        <v>9</v>
      </c>
      <c r="H3104" s="2">
        <v>0</v>
      </c>
      <c r="I3104" s="2">
        <v>0</v>
      </c>
      <c r="J3104" s="2">
        <v>0</v>
      </c>
      <c r="K3104" s="2">
        <v>0</v>
      </c>
      <c r="L3104" s="2">
        <v>0</v>
      </c>
      <c r="M3104" s="2">
        <v>0</v>
      </c>
      <c r="N3104" s="2">
        <v>0</v>
      </c>
      <c r="O3104" s="2">
        <v>0</v>
      </c>
      <c r="P3104" s="2">
        <v>0</v>
      </c>
      <c r="Q3104" s="2">
        <v>0</v>
      </c>
      <c r="R3104" s="2">
        <v>0</v>
      </c>
      <c r="S3104" s="2">
        <v>0</v>
      </c>
      <c r="T3104" s="2">
        <v>0</v>
      </c>
      <c r="U3104" s="2" t="s">
        <v>488</v>
      </c>
      <c r="V3104" s="2" t="s">
        <v>488</v>
      </c>
      <c r="W3104">
        <f t="shared" si="50"/>
        <v>0</v>
      </c>
    </row>
    <row r="3105" spans="1:23" x14ac:dyDescent="0.25">
      <c r="A3105" s="2" t="s">
        <v>1380</v>
      </c>
      <c r="B3105" s="2" t="s">
        <v>922</v>
      </c>
      <c r="C3105" s="2">
        <v>545550</v>
      </c>
      <c r="D3105" s="2" t="s">
        <v>877</v>
      </c>
      <c r="E3105" s="2" t="s">
        <v>107</v>
      </c>
      <c r="F3105" s="2" t="s">
        <v>115</v>
      </c>
      <c r="G3105" s="2">
        <v>9</v>
      </c>
      <c r="H3105" s="2">
        <v>0</v>
      </c>
      <c r="I3105" s="2">
        <v>0</v>
      </c>
      <c r="J3105" s="2">
        <v>0</v>
      </c>
      <c r="K3105" s="2">
        <v>0</v>
      </c>
      <c r="L3105" s="2">
        <v>0</v>
      </c>
      <c r="M3105" s="2">
        <v>0</v>
      </c>
      <c r="N3105" s="2">
        <v>0</v>
      </c>
      <c r="O3105" s="2">
        <v>0</v>
      </c>
      <c r="P3105" s="2">
        <v>0</v>
      </c>
      <c r="Q3105" s="2">
        <v>0</v>
      </c>
      <c r="R3105" s="2">
        <v>0</v>
      </c>
      <c r="S3105" s="2">
        <v>0</v>
      </c>
      <c r="T3105" s="2">
        <v>0</v>
      </c>
      <c r="U3105" s="2" t="s">
        <v>488</v>
      </c>
      <c r="V3105" s="2" t="s">
        <v>488</v>
      </c>
      <c r="W3105">
        <f t="shared" si="50"/>
        <v>0</v>
      </c>
    </row>
    <row r="3106" spans="1:23" x14ac:dyDescent="0.25">
      <c r="A3106" s="255" t="s">
        <v>1380</v>
      </c>
      <c r="B3106" s="255" t="s">
        <v>922</v>
      </c>
      <c r="C3106" s="255"/>
      <c r="D3106" s="255"/>
      <c r="E3106" s="255" t="s">
        <v>107</v>
      </c>
      <c r="F3106" s="255"/>
      <c r="G3106" s="255"/>
      <c r="H3106" s="255">
        <v>0</v>
      </c>
      <c r="I3106" s="255">
        <v>0</v>
      </c>
      <c r="J3106" s="255">
        <v>0</v>
      </c>
      <c r="K3106" s="255">
        <v>0</v>
      </c>
      <c r="L3106" s="255">
        <v>0</v>
      </c>
      <c r="M3106" s="255">
        <v>0</v>
      </c>
      <c r="N3106" s="255">
        <v>0</v>
      </c>
      <c r="O3106" s="255">
        <v>0</v>
      </c>
      <c r="P3106" s="255">
        <v>0</v>
      </c>
      <c r="Q3106" s="255">
        <v>0</v>
      </c>
      <c r="R3106" s="255">
        <v>0</v>
      </c>
      <c r="S3106" s="255">
        <v>0</v>
      </c>
      <c r="T3106" s="255">
        <v>0</v>
      </c>
      <c r="U3106" s="255" t="s">
        <v>488</v>
      </c>
      <c r="V3106" s="255" t="s">
        <v>488</v>
      </c>
      <c r="W3106">
        <f t="shared" si="50"/>
        <v>0</v>
      </c>
    </row>
    <row r="3107" spans="1:23" x14ac:dyDescent="0.25">
      <c r="A3107" s="2" t="s">
        <v>1380</v>
      </c>
      <c r="B3107" s="2" t="s">
        <v>922</v>
      </c>
      <c r="C3107" s="2">
        <v>540283</v>
      </c>
      <c r="D3107" s="2" t="s">
        <v>878</v>
      </c>
      <c r="E3107" s="2" t="s">
        <v>109</v>
      </c>
      <c r="F3107" s="2" t="s">
        <v>5</v>
      </c>
      <c r="G3107" s="2">
        <v>4</v>
      </c>
      <c r="H3107" s="2">
        <v>0</v>
      </c>
      <c r="I3107" s="2">
        <v>0</v>
      </c>
      <c r="J3107" s="2">
        <v>0</v>
      </c>
      <c r="K3107" s="2">
        <v>0</v>
      </c>
      <c r="L3107" s="2">
        <v>0</v>
      </c>
      <c r="M3107" s="2">
        <v>0</v>
      </c>
      <c r="N3107" s="2">
        <v>0</v>
      </c>
      <c r="O3107" s="2">
        <v>0</v>
      </c>
      <c r="P3107" s="2">
        <v>0</v>
      </c>
      <c r="Q3107" s="2" t="s">
        <v>488</v>
      </c>
      <c r="R3107" s="2" t="s">
        <v>488</v>
      </c>
      <c r="S3107" s="2" t="s">
        <v>488</v>
      </c>
      <c r="T3107" s="2" t="s">
        <v>488</v>
      </c>
      <c r="U3107" s="2" t="s">
        <v>488</v>
      </c>
      <c r="V3107" s="2" t="s">
        <v>488</v>
      </c>
      <c r="W3107">
        <f t="shared" si="50"/>
        <v>0</v>
      </c>
    </row>
    <row r="3108" spans="1:23" x14ac:dyDescent="0.25">
      <c r="A3108" s="2" t="s">
        <v>1380</v>
      </c>
      <c r="B3108" s="2" t="s">
        <v>922</v>
      </c>
      <c r="C3108" s="2">
        <v>540158</v>
      </c>
      <c r="D3108" s="2" t="s">
        <v>879</v>
      </c>
      <c r="E3108" s="2" t="s">
        <v>109</v>
      </c>
      <c r="F3108" s="2" t="s">
        <v>115</v>
      </c>
      <c r="G3108" s="2">
        <v>4</v>
      </c>
      <c r="H3108" s="2">
        <v>0</v>
      </c>
      <c r="I3108" s="2">
        <v>0</v>
      </c>
      <c r="J3108" s="2">
        <v>0</v>
      </c>
      <c r="K3108" s="2">
        <v>0</v>
      </c>
      <c r="L3108" s="2">
        <v>0</v>
      </c>
      <c r="M3108" s="2">
        <v>0</v>
      </c>
      <c r="N3108" s="2">
        <v>0</v>
      </c>
      <c r="O3108" s="2">
        <v>0</v>
      </c>
      <c r="P3108" s="2">
        <v>0</v>
      </c>
      <c r="Q3108" s="2" t="s">
        <v>488</v>
      </c>
      <c r="R3108" s="2" t="s">
        <v>488</v>
      </c>
      <c r="S3108" s="2" t="s">
        <v>488</v>
      </c>
      <c r="T3108" s="2" t="s">
        <v>488</v>
      </c>
      <c r="U3108" s="2" t="s">
        <v>488</v>
      </c>
      <c r="V3108" s="2" t="s">
        <v>488</v>
      </c>
      <c r="W3108">
        <f t="shared" si="50"/>
        <v>0</v>
      </c>
    </row>
    <row r="3109" spans="1:23" x14ac:dyDescent="0.25">
      <c r="A3109" s="2" t="s">
        <v>1380</v>
      </c>
      <c r="B3109" s="2" t="s">
        <v>922</v>
      </c>
      <c r="C3109" s="2">
        <v>540159</v>
      </c>
      <c r="D3109" s="2" t="s">
        <v>880</v>
      </c>
      <c r="E3109" s="2" t="s">
        <v>109</v>
      </c>
      <c r="F3109" s="2" t="s">
        <v>115</v>
      </c>
      <c r="G3109" s="2">
        <v>4</v>
      </c>
      <c r="H3109" s="2">
        <v>1</v>
      </c>
      <c r="I3109" s="2">
        <v>1</v>
      </c>
      <c r="J3109" s="2">
        <v>0</v>
      </c>
      <c r="K3109" s="2">
        <v>0</v>
      </c>
      <c r="L3109" s="2">
        <v>0</v>
      </c>
      <c r="M3109" s="2">
        <v>1</v>
      </c>
      <c r="N3109" s="2">
        <v>2</v>
      </c>
      <c r="O3109" s="2">
        <v>0</v>
      </c>
      <c r="P3109" s="2">
        <v>0</v>
      </c>
      <c r="Q3109" s="2" t="s">
        <v>488</v>
      </c>
      <c r="R3109" s="2" t="s">
        <v>488</v>
      </c>
      <c r="S3109" s="2" t="s">
        <v>488</v>
      </c>
      <c r="T3109" s="2" t="s">
        <v>488</v>
      </c>
      <c r="U3109" s="2" t="s">
        <v>488</v>
      </c>
      <c r="V3109" s="2" t="s">
        <v>488</v>
      </c>
      <c r="W3109">
        <f t="shared" si="50"/>
        <v>2</v>
      </c>
    </row>
    <row r="3110" spans="1:23" x14ac:dyDescent="0.25">
      <c r="A3110" s="2" t="s">
        <v>1380</v>
      </c>
      <c r="B3110" s="2" t="s">
        <v>922</v>
      </c>
      <c r="C3110" s="2">
        <v>540288</v>
      </c>
      <c r="D3110" s="2" t="s">
        <v>881</v>
      </c>
      <c r="E3110" s="2" t="s">
        <v>109</v>
      </c>
      <c r="F3110" s="2" t="s">
        <v>115</v>
      </c>
      <c r="G3110" s="2">
        <v>4</v>
      </c>
      <c r="H3110" s="2">
        <v>0</v>
      </c>
      <c r="I3110" s="2">
        <v>0</v>
      </c>
      <c r="J3110" s="2">
        <v>0</v>
      </c>
      <c r="K3110" s="2">
        <v>0</v>
      </c>
      <c r="L3110" s="2">
        <v>0</v>
      </c>
      <c r="M3110" s="2">
        <v>0</v>
      </c>
      <c r="N3110" s="2">
        <v>0</v>
      </c>
      <c r="O3110" s="2">
        <v>0</v>
      </c>
      <c r="P3110" s="2">
        <v>0</v>
      </c>
      <c r="Q3110" s="2" t="s">
        <v>488</v>
      </c>
      <c r="R3110" s="2" t="s">
        <v>488</v>
      </c>
      <c r="S3110" s="2" t="s">
        <v>488</v>
      </c>
      <c r="T3110" s="2" t="s">
        <v>488</v>
      </c>
      <c r="U3110" s="2" t="s">
        <v>488</v>
      </c>
      <c r="V3110" s="2" t="s">
        <v>488</v>
      </c>
      <c r="W3110">
        <f t="shared" si="50"/>
        <v>0</v>
      </c>
    </row>
    <row r="3111" spans="1:23" x14ac:dyDescent="0.25">
      <c r="A3111" s="255" t="s">
        <v>1380</v>
      </c>
      <c r="B3111" s="255" t="s">
        <v>922</v>
      </c>
      <c r="C3111" s="255"/>
      <c r="D3111" s="255"/>
      <c r="E3111" s="255" t="s">
        <v>109</v>
      </c>
      <c r="F3111" s="255"/>
      <c r="G3111" s="255"/>
      <c r="H3111" s="255">
        <v>1</v>
      </c>
      <c r="I3111" s="255">
        <v>1</v>
      </c>
      <c r="J3111" s="255">
        <v>0</v>
      </c>
      <c r="K3111" s="255">
        <v>0</v>
      </c>
      <c r="L3111" s="255">
        <v>0</v>
      </c>
      <c r="M3111" s="255">
        <v>1</v>
      </c>
      <c r="N3111" s="255">
        <v>2</v>
      </c>
      <c r="O3111" s="255">
        <v>0</v>
      </c>
      <c r="P3111" s="255">
        <v>0</v>
      </c>
      <c r="Q3111" s="255" t="s">
        <v>488</v>
      </c>
      <c r="R3111" s="255" t="s">
        <v>488</v>
      </c>
      <c r="S3111" s="255" t="s">
        <v>488</v>
      </c>
      <c r="T3111" s="255" t="s">
        <v>488</v>
      </c>
      <c r="U3111" s="255" t="s">
        <v>488</v>
      </c>
      <c r="V3111" s="255" t="s">
        <v>488</v>
      </c>
      <c r="W3111">
        <f t="shared" si="50"/>
        <v>2</v>
      </c>
    </row>
    <row r="3112" spans="1:23" x14ac:dyDescent="0.25">
      <c r="A3112" s="2" t="s">
        <v>1380</v>
      </c>
      <c r="B3112" s="2" t="s">
        <v>922</v>
      </c>
      <c r="C3112" s="2">
        <v>545536</v>
      </c>
      <c r="D3112" s="2" t="s">
        <v>882</v>
      </c>
      <c r="E3112" s="2" t="s">
        <v>111</v>
      </c>
      <c r="F3112" s="2" t="s">
        <v>5</v>
      </c>
      <c r="G3112" s="2">
        <v>2</v>
      </c>
      <c r="H3112" s="2">
        <v>0</v>
      </c>
      <c r="I3112" s="2">
        <v>0</v>
      </c>
      <c r="J3112" s="2">
        <v>0</v>
      </c>
      <c r="K3112" s="2">
        <v>0</v>
      </c>
      <c r="L3112" s="2">
        <v>0</v>
      </c>
      <c r="M3112" s="2">
        <v>0</v>
      </c>
      <c r="N3112" s="2">
        <v>0</v>
      </c>
      <c r="O3112" s="2">
        <v>0</v>
      </c>
      <c r="P3112" s="2">
        <v>0</v>
      </c>
      <c r="Q3112" s="2">
        <v>0</v>
      </c>
      <c r="R3112" s="2">
        <v>0</v>
      </c>
      <c r="S3112" s="2" t="s">
        <v>488</v>
      </c>
      <c r="T3112" s="2" t="s">
        <v>488</v>
      </c>
      <c r="U3112" s="2" t="s">
        <v>488</v>
      </c>
      <c r="V3112" s="2" t="s">
        <v>488</v>
      </c>
      <c r="W3112">
        <f t="shared" si="50"/>
        <v>0</v>
      </c>
    </row>
    <row r="3113" spans="1:23" x14ac:dyDescent="0.25">
      <c r="A3113" s="2" t="s">
        <v>1380</v>
      </c>
      <c r="B3113" s="2" t="s">
        <v>922</v>
      </c>
      <c r="C3113" s="2">
        <v>540092</v>
      </c>
      <c r="D3113" s="2" t="s">
        <v>883</v>
      </c>
      <c r="E3113" s="2" t="s">
        <v>111</v>
      </c>
      <c r="F3113" s="2" t="s">
        <v>115</v>
      </c>
      <c r="G3113" s="2">
        <v>2</v>
      </c>
      <c r="H3113" s="2">
        <v>0</v>
      </c>
      <c r="I3113" s="2">
        <v>0</v>
      </c>
      <c r="J3113" s="2">
        <v>0</v>
      </c>
      <c r="K3113" s="2">
        <v>0</v>
      </c>
      <c r="L3113" s="2">
        <v>0</v>
      </c>
      <c r="M3113" s="2">
        <v>0</v>
      </c>
      <c r="N3113" s="2">
        <v>0</v>
      </c>
      <c r="O3113" s="2">
        <v>0</v>
      </c>
      <c r="P3113" s="2">
        <v>0</v>
      </c>
      <c r="Q3113" s="2">
        <v>0</v>
      </c>
      <c r="R3113" s="2">
        <v>0</v>
      </c>
      <c r="S3113" s="2" t="s">
        <v>488</v>
      </c>
      <c r="T3113" s="2" t="s">
        <v>488</v>
      </c>
      <c r="U3113" s="2" t="s">
        <v>488</v>
      </c>
      <c r="V3113" s="2" t="s">
        <v>488</v>
      </c>
      <c r="W3113">
        <f t="shared" si="50"/>
        <v>0</v>
      </c>
    </row>
    <row r="3114" spans="1:23" x14ac:dyDescent="0.25">
      <c r="A3114" s="2" t="s">
        <v>1380</v>
      </c>
      <c r="B3114" s="2" t="s">
        <v>922</v>
      </c>
      <c r="C3114" s="2">
        <v>540095</v>
      </c>
      <c r="D3114" s="2" t="s">
        <v>884</v>
      </c>
      <c r="E3114" s="2" t="s">
        <v>111</v>
      </c>
      <c r="F3114" s="2" t="s">
        <v>115</v>
      </c>
      <c r="G3114" s="2">
        <v>2</v>
      </c>
      <c r="H3114" s="2">
        <v>0</v>
      </c>
      <c r="I3114" s="2">
        <v>0</v>
      </c>
      <c r="J3114" s="2">
        <v>0</v>
      </c>
      <c r="K3114" s="2">
        <v>0</v>
      </c>
      <c r="L3114" s="2">
        <v>0</v>
      </c>
      <c r="M3114" s="2">
        <v>0</v>
      </c>
      <c r="N3114" s="2">
        <v>0</v>
      </c>
      <c r="O3114" s="2">
        <v>0</v>
      </c>
      <c r="P3114" s="2">
        <v>0</v>
      </c>
      <c r="Q3114" s="2">
        <v>0</v>
      </c>
      <c r="R3114" s="2">
        <v>0</v>
      </c>
      <c r="S3114" s="2" t="s">
        <v>488</v>
      </c>
      <c r="T3114" s="2" t="s">
        <v>488</v>
      </c>
      <c r="U3114" s="2" t="s">
        <v>488</v>
      </c>
      <c r="V3114" s="2" t="s">
        <v>488</v>
      </c>
      <c r="W3114">
        <f t="shared" si="50"/>
        <v>0</v>
      </c>
    </row>
    <row r="3115" spans="1:23" x14ac:dyDescent="0.25">
      <c r="A3115" s="2" t="s">
        <v>1380</v>
      </c>
      <c r="B3115" s="2" t="s">
        <v>922</v>
      </c>
      <c r="C3115" s="2">
        <v>545535</v>
      </c>
      <c r="D3115" s="2" t="s">
        <v>885</v>
      </c>
      <c r="E3115" s="2" t="s">
        <v>111</v>
      </c>
      <c r="F3115" s="2" t="s">
        <v>115</v>
      </c>
      <c r="G3115" s="2">
        <v>2</v>
      </c>
      <c r="H3115" s="2">
        <v>0</v>
      </c>
      <c r="I3115" s="2">
        <v>0</v>
      </c>
      <c r="J3115" s="2">
        <v>0</v>
      </c>
      <c r="K3115" s="2">
        <v>0</v>
      </c>
      <c r="L3115" s="2">
        <v>0</v>
      </c>
      <c r="M3115" s="2">
        <v>0</v>
      </c>
      <c r="N3115" s="2">
        <v>0</v>
      </c>
      <c r="O3115" s="2">
        <v>0</v>
      </c>
      <c r="P3115" s="2">
        <v>0</v>
      </c>
      <c r="Q3115" s="2">
        <v>0</v>
      </c>
      <c r="R3115" s="2">
        <v>0</v>
      </c>
      <c r="S3115" s="2" t="s">
        <v>488</v>
      </c>
      <c r="T3115" s="2" t="s">
        <v>488</v>
      </c>
      <c r="U3115" s="2" t="s">
        <v>488</v>
      </c>
      <c r="V3115" s="2" t="s">
        <v>488</v>
      </c>
      <c r="W3115">
        <f t="shared" si="50"/>
        <v>0</v>
      </c>
    </row>
    <row r="3116" spans="1:23" x14ac:dyDescent="0.25">
      <c r="A3116" s="2" t="s">
        <v>1380</v>
      </c>
      <c r="B3116" s="2" t="s">
        <v>922</v>
      </c>
      <c r="C3116" s="2">
        <v>545537</v>
      </c>
      <c r="D3116" s="2" t="s">
        <v>886</v>
      </c>
      <c r="E3116" s="2" t="s">
        <v>111</v>
      </c>
      <c r="F3116" s="2" t="s">
        <v>115</v>
      </c>
      <c r="G3116" s="2">
        <v>2</v>
      </c>
      <c r="H3116" s="2">
        <v>0</v>
      </c>
      <c r="I3116" s="2">
        <v>0</v>
      </c>
      <c r="J3116" s="2">
        <v>0</v>
      </c>
      <c r="K3116" s="2">
        <v>0</v>
      </c>
      <c r="L3116" s="2">
        <v>0</v>
      </c>
      <c r="M3116" s="2">
        <v>0</v>
      </c>
      <c r="N3116" s="2">
        <v>0</v>
      </c>
      <c r="O3116" s="2">
        <v>0</v>
      </c>
      <c r="P3116" s="2">
        <v>0</v>
      </c>
      <c r="Q3116" s="2">
        <v>0</v>
      </c>
      <c r="R3116" s="2">
        <v>0</v>
      </c>
      <c r="S3116" s="2" t="s">
        <v>488</v>
      </c>
      <c r="T3116" s="2" t="s">
        <v>488</v>
      </c>
      <c r="U3116" s="2" t="s">
        <v>488</v>
      </c>
      <c r="V3116" s="2" t="s">
        <v>488</v>
      </c>
      <c r="W3116">
        <f t="shared" si="50"/>
        <v>0</v>
      </c>
    </row>
    <row r="3117" spans="1:23" x14ac:dyDescent="0.25">
      <c r="A3117" s="2" t="s">
        <v>1380</v>
      </c>
      <c r="B3117" s="2" t="s">
        <v>922</v>
      </c>
      <c r="C3117" s="2">
        <v>545539</v>
      </c>
      <c r="D3117" s="2" t="s">
        <v>887</v>
      </c>
      <c r="E3117" s="2" t="s">
        <v>111</v>
      </c>
      <c r="F3117" s="2" t="s">
        <v>115</v>
      </c>
      <c r="G3117" s="2">
        <v>2</v>
      </c>
      <c r="H3117" s="2">
        <v>0</v>
      </c>
      <c r="I3117" s="2">
        <v>0</v>
      </c>
      <c r="J3117" s="2">
        <v>0</v>
      </c>
      <c r="K3117" s="2">
        <v>0</v>
      </c>
      <c r="L3117" s="2">
        <v>0</v>
      </c>
      <c r="M3117" s="2">
        <v>0</v>
      </c>
      <c r="N3117" s="2">
        <v>0</v>
      </c>
      <c r="O3117" s="2">
        <v>0</v>
      </c>
      <c r="P3117" s="2">
        <v>0</v>
      </c>
      <c r="Q3117" s="2">
        <v>0</v>
      </c>
      <c r="R3117" s="2">
        <v>0</v>
      </c>
      <c r="S3117" s="2" t="s">
        <v>488</v>
      </c>
      <c r="T3117" s="2" t="s">
        <v>488</v>
      </c>
      <c r="U3117" s="2" t="s">
        <v>488</v>
      </c>
      <c r="V3117" s="2" t="s">
        <v>488</v>
      </c>
      <c r="W3117">
        <f t="shared" si="50"/>
        <v>0</v>
      </c>
    </row>
    <row r="3118" spans="1:23" x14ac:dyDescent="0.25">
      <c r="A3118" s="255" t="s">
        <v>1380</v>
      </c>
      <c r="B3118" s="255" t="s">
        <v>922</v>
      </c>
      <c r="C3118" s="255"/>
      <c r="D3118" s="255"/>
      <c r="E3118" s="255" t="s">
        <v>111</v>
      </c>
      <c r="F3118" s="255"/>
      <c r="G3118" s="255"/>
      <c r="H3118" s="255">
        <v>0</v>
      </c>
      <c r="I3118" s="255">
        <v>0</v>
      </c>
      <c r="J3118" s="255">
        <v>0</v>
      </c>
      <c r="K3118" s="255">
        <v>0</v>
      </c>
      <c r="L3118" s="255">
        <v>0</v>
      </c>
      <c r="M3118" s="255">
        <v>0</v>
      </c>
      <c r="N3118" s="255">
        <v>0</v>
      </c>
      <c r="O3118" s="255">
        <v>0</v>
      </c>
      <c r="P3118" s="255">
        <v>0</v>
      </c>
      <c r="Q3118" s="255">
        <v>0</v>
      </c>
      <c r="R3118" s="255">
        <v>0</v>
      </c>
      <c r="S3118" s="255" t="s">
        <v>488</v>
      </c>
      <c r="T3118" s="255" t="s">
        <v>488</v>
      </c>
      <c r="U3118" s="255" t="s">
        <v>488</v>
      </c>
      <c r="V3118" s="255" t="s">
        <v>488</v>
      </c>
      <c r="W3118">
        <f t="shared" si="50"/>
        <v>0</v>
      </c>
    </row>
    <row r="3119" spans="1:23" x14ac:dyDescent="0.25">
      <c r="A3119" s="2" t="s">
        <v>1380</v>
      </c>
      <c r="B3119" s="2" t="s">
        <v>922</v>
      </c>
      <c r="C3119" s="2">
        <v>540191</v>
      </c>
      <c r="D3119" s="2" t="s">
        <v>888</v>
      </c>
      <c r="E3119" s="2" t="s">
        <v>113</v>
      </c>
      <c r="F3119" s="2" t="s">
        <v>5</v>
      </c>
      <c r="G3119" s="2">
        <v>7</v>
      </c>
      <c r="H3119" s="2">
        <v>0</v>
      </c>
      <c r="I3119" s="2">
        <v>0</v>
      </c>
      <c r="J3119" s="2">
        <v>0</v>
      </c>
      <c r="K3119" s="2">
        <v>0</v>
      </c>
      <c r="L3119" s="2">
        <v>0</v>
      </c>
      <c r="M3119" s="2">
        <v>0</v>
      </c>
      <c r="N3119" s="2">
        <v>0</v>
      </c>
      <c r="O3119" s="2">
        <v>0</v>
      </c>
      <c r="P3119" s="2">
        <v>0</v>
      </c>
      <c r="Q3119" s="2">
        <v>0</v>
      </c>
      <c r="R3119" s="2">
        <v>0</v>
      </c>
      <c r="S3119" s="2" t="s">
        <v>488</v>
      </c>
      <c r="T3119" s="2" t="s">
        <v>488</v>
      </c>
      <c r="U3119" s="2" t="s">
        <v>488</v>
      </c>
      <c r="V3119" s="2" t="s">
        <v>488</v>
      </c>
      <c r="W3119">
        <f t="shared" si="50"/>
        <v>0</v>
      </c>
    </row>
    <row r="3120" spans="1:23" x14ac:dyDescent="0.25">
      <c r="A3120" s="2" t="s">
        <v>1380</v>
      </c>
      <c r="B3120" s="2" t="s">
        <v>922</v>
      </c>
      <c r="C3120" s="2">
        <v>540193</v>
      </c>
      <c r="D3120" s="2" t="s">
        <v>889</v>
      </c>
      <c r="E3120" s="2" t="s">
        <v>113</v>
      </c>
      <c r="F3120" s="2" t="s">
        <v>115</v>
      </c>
      <c r="G3120" s="2">
        <v>7</v>
      </c>
      <c r="H3120" s="2">
        <v>0</v>
      </c>
      <c r="I3120" s="2">
        <v>0</v>
      </c>
      <c r="J3120" s="2">
        <v>0</v>
      </c>
      <c r="K3120" s="2">
        <v>0</v>
      </c>
      <c r="L3120" s="2">
        <v>0</v>
      </c>
      <c r="M3120" s="2">
        <v>0</v>
      </c>
      <c r="N3120" s="2">
        <v>0</v>
      </c>
      <c r="O3120" s="2">
        <v>0</v>
      </c>
      <c r="P3120" s="2">
        <v>0</v>
      </c>
      <c r="Q3120" s="2">
        <v>0</v>
      </c>
      <c r="R3120" s="2">
        <v>0</v>
      </c>
      <c r="S3120" s="2" t="s">
        <v>488</v>
      </c>
      <c r="T3120" s="2" t="s">
        <v>488</v>
      </c>
      <c r="U3120" s="2" t="s">
        <v>488</v>
      </c>
      <c r="V3120" s="2" t="s">
        <v>488</v>
      </c>
      <c r="W3120">
        <f t="shared" si="50"/>
        <v>0</v>
      </c>
    </row>
    <row r="3121" spans="1:23" x14ac:dyDescent="0.25">
      <c r="A3121" s="2" t="s">
        <v>1380</v>
      </c>
      <c r="B3121" s="2" t="s">
        <v>922</v>
      </c>
      <c r="C3121" s="2">
        <v>540192</v>
      </c>
      <c r="D3121" s="2" t="s">
        <v>890</v>
      </c>
      <c r="E3121" s="2" t="s">
        <v>113</v>
      </c>
      <c r="F3121" s="2" t="s">
        <v>115</v>
      </c>
      <c r="G3121" s="2">
        <v>7</v>
      </c>
      <c r="H3121" s="2">
        <v>0</v>
      </c>
      <c r="I3121" s="2">
        <v>0</v>
      </c>
      <c r="J3121" s="2">
        <v>0</v>
      </c>
      <c r="K3121" s="2">
        <v>0</v>
      </c>
      <c r="L3121" s="2">
        <v>0</v>
      </c>
      <c r="M3121" s="2">
        <v>0</v>
      </c>
      <c r="N3121" s="2">
        <v>0</v>
      </c>
      <c r="O3121" s="2">
        <v>0</v>
      </c>
      <c r="P3121" s="2">
        <v>0</v>
      </c>
      <c r="Q3121" s="2">
        <v>0</v>
      </c>
      <c r="R3121" s="2">
        <v>0</v>
      </c>
      <c r="S3121" s="2" t="s">
        <v>488</v>
      </c>
      <c r="T3121" s="2" t="s">
        <v>488</v>
      </c>
      <c r="U3121" s="2" t="s">
        <v>488</v>
      </c>
      <c r="V3121" s="2" t="s">
        <v>488</v>
      </c>
      <c r="W3121">
        <f t="shared" si="50"/>
        <v>0</v>
      </c>
    </row>
    <row r="3122" spans="1:23" x14ac:dyDescent="0.25">
      <c r="A3122" s="2" t="s">
        <v>1380</v>
      </c>
      <c r="B3122" s="2" t="s">
        <v>922</v>
      </c>
      <c r="C3122" s="2">
        <v>540194</v>
      </c>
      <c r="D3122" s="2" t="s">
        <v>891</v>
      </c>
      <c r="E3122" s="2" t="s">
        <v>113</v>
      </c>
      <c r="F3122" s="2" t="s">
        <v>115</v>
      </c>
      <c r="G3122" s="2">
        <v>7</v>
      </c>
      <c r="H3122" s="2">
        <v>0</v>
      </c>
      <c r="I3122" s="2">
        <v>1</v>
      </c>
      <c r="J3122" s="2">
        <v>0</v>
      </c>
      <c r="K3122" s="2">
        <v>0</v>
      </c>
      <c r="L3122" s="2">
        <v>0</v>
      </c>
      <c r="M3122" s="2">
        <v>1</v>
      </c>
      <c r="N3122" s="2">
        <v>1</v>
      </c>
      <c r="O3122" s="2">
        <v>0</v>
      </c>
      <c r="P3122" s="2">
        <v>0</v>
      </c>
      <c r="Q3122" s="2">
        <v>0</v>
      </c>
      <c r="R3122" s="2">
        <v>0</v>
      </c>
      <c r="S3122" s="2" t="s">
        <v>488</v>
      </c>
      <c r="T3122" s="2" t="s">
        <v>488</v>
      </c>
      <c r="U3122" s="2" t="s">
        <v>488</v>
      </c>
      <c r="V3122" s="2" t="s">
        <v>488</v>
      </c>
      <c r="W3122">
        <f t="shared" si="50"/>
        <v>1</v>
      </c>
    </row>
    <row r="3123" spans="1:23" x14ac:dyDescent="0.25">
      <c r="A3123" s="2" t="s">
        <v>1380</v>
      </c>
      <c r="B3123" s="2" t="s">
        <v>922</v>
      </c>
      <c r="C3123" s="2">
        <v>540261</v>
      </c>
      <c r="D3123" s="2" t="s">
        <v>892</v>
      </c>
      <c r="E3123" s="2" t="s">
        <v>113</v>
      </c>
      <c r="F3123" s="2" t="s">
        <v>115</v>
      </c>
      <c r="G3123" s="2">
        <v>7</v>
      </c>
      <c r="H3123" s="2">
        <v>0</v>
      </c>
      <c r="I3123" s="2">
        <v>0</v>
      </c>
      <c r="J3123" s="2">
        <v>0</v>
      </c>
      <c r="K3123" s="2">
        <v>0</v>
      </c>
      <c r="L3123" s="2">
        <v>0</v>
      </c>
      <c r="M3123" s="2">
        <v>0</v>
      </c>
      <c r="N3123" s="2">
        <v>0</v>
      </c>
      <c r="O3123" s="2">
        <v>0</v>
      </c>
      <c r="P3123" s="2">
        <v>0</v>
      </c>
      <c r="Q3123" s="2">
        <v>0</v>
      </c>
      <c r="R3123" s="2">
        <v>0</v>
      </c>
      <c r="S3123" s="2" t="s">
        <v>488</v>
      </c>
      <c r="T3123" s="2" t="s">
        <v>488</v>
      </c>
      <c r="U3123" s="2" t="s">
        <v>488</v>
      </c>
      <c r="V3123" s="2" t="s">
        <v>488</v>
      </c>
      <c r="W3123">
        <f t="shared" si="50"/>
        <v>0</v>
      </c>
    </row>
    <row r="3124" spans="1:23" x14ac:dyDescent="0.25">
      <c r="A3124" s="2" t="s">
        <v>1380</v>
      </c>
      <c r="B3124" s="2" t="s">
        <v>922</v>
      </c>
      <c r="C3124" s="2">
        <v>540260</v>
      </c>
      <c r="D3124" s="2" t="s">
        <v>893</v>
      </c>
      <c r="E3124" s="2" t="s">
        <v>113</v>
      </c>
      <c r="F3124" s="2" t="s">
        <v>115</v>
      </c>
      <c r="G3124" s="2">
        <v>7</v>
      </c>
      <c r="H3124" s="2">
        <v>0</v>
      </c>
      <c r="I3124" s="2">
        <v>0</v>
      </c>
      <c r="J3124" s="2">
        <v>0</v>
      </c>
      <c r="K3124" s="2">
        <v>0</v>
      </c>
      <c r="L3124" s="2">
        <v>0</v>
      </c>
      <c r="M3124" s="2">
        <v>0</v>
      </c>
      <c r="N3124" s="2">
        <v>0</v>
      </c>
      <c r="O3124" s="2">
        <v>0</v>
      </c>
      <c r="P3124" s="2">
        <v>0</v>
      </c>
      <c r="Q3124" s="2">
        <v>0</v>
      </c>
      <c r="R3124" s="2">
        <v>0</v>
      </c>
      <c r="S3124" s="2" t="s">
        <v>488</v>
      </c>
      <c r="T3124" s="2" t="s">
        <v>488</v>
      </c>
      <c r="U3124" s="2" t="s">
        <v>488</v>
      </c>
      <c r="V3124" s="2" t="s">
        <v>488</v>
      </c>
      <c r="W3124">
        <f t="shared" si="50"/>
        <v>0</v>
      </c>
    </row>
    <row r="3125" spans="1:23" x14ac:dyDescent="0.25">
      <c r="A3125" s="255" t="s">
        <v>1380</v>
      </c>
      <c r="B3125" s="255" t="s">
        <v>922</v>
      </c>
      <c r="C3125" s="255"/>
      <c r="D3125" s="255"/>
      <c r="E3125" s="255" t="s">
        <v>113</v>
      </c>
      <c r="F3125" s="255"/>
      <c r="G3125" s="255"/>
      <c r="H3125" s="255">
        <v>0</v>
      </c>
      <c r="I3125" s="255">
        <v>1</v>
      </c>
      <c r="J3125" s="255">
        <v>0</v>
      </c>
      <c r="K3125" s="255">
        <v>0</v>
      </c>
      <c r="L3125" s="255">
        <v>0</v>
      </c>
      <c r="M3125" s="255">
        <v>1</v>
      </c>
      <c r="N3125" s="255">
        <v>1</v>
      </c>
      <c r="O3125" s="255">
        <v>0</v>
      </c>
      <c r="P3125" s="255">
        <v>0</v>
      </c>
      <c r="Q3125" s="255">
        <v>0</v>
      </c>
      <c r="R3125" s="255">
        <v>0</v>
      </c>
      <c r="S3125" s="255" t="s">
        <v>488</v>
      </c>
      <c r="T3125" s="255" t="s">
        <v>488</v>
      </c>
      <c r="U3125" s="255" t="s">
        <v>488</v>
      </c>
      <c r="V3125" s="255" t="s">
        <v>488</v>
      </c>
      <c r="W3125">
        <f t="shared" si="50"/>
        <v>1</v>
      </c>
    </row>
    <row r="3126" spans="1:23" x14ac:dyDescent="0.25">
      <c r="A3126" s="2" t="s">
        <v>1380</v>
      </c>
      <c r="B3126" s="2" t="s">
        <v>922</v>
      </c>
      <c r="C3126" s="2">
        <v>540027</v>
      </c>
      <c r="D3126" s="2" t="s">
        <v>894</v>
      </c>
      <c r="E3126" s="2" t="s">
        <v>21</v>
      </c>
      <c r="F3126" s="2" t="s">
        <v>115</v>
      </c>
      <c r="G3126" s="2">
        <v>4</v>
      </c>
      <c r="H3126" s="2">
        <v>0</v>
      </c>
      <c r="I3126" s="2">
        <v>0</v>
      </c>
      <c r="J3126" s="2">
        <v>0</v>
      </c>
      <c r="K3126" s="2">
        <v>0</v>
      </c>
      <c r="L3126" s="2">
        <v>0</v>
      </c>
      <c r="M3126" s="2">
        <v>0</v>
      </c>
      <c r="N3126" s="2">
        <v>0</v>
      </c>
      <c r="O3126" s="2">
        <v>0</v>
      </c>
      <c r="P3126" s="2">
        <v>0</v>
      </c>
      <c r="Q3126" s="2">
        <v>0</v>
      </c>
      <c r="R3126" s="2">
        <v>0</v>
      </c>
      <c r="S3126" s="2" t="s">
        <v>488</v>
      </c>
      <c r="T3126" s="2" t="s">
        <v>488</v>
      </c>
      <c r="U3126" s="2" t="s">
        <v>488</v>
      </c>
      <c r="V3126" s="2" t="s">
        <v>488</v>
      </c>
      <c r="W3126">
        <f t="shared" si="50"/>
        <v>0</v>
      </c>
    </row>
    <row r="3127" spans="1:23" x14ac:dyDescent="0.25">
      <c r="A3127" s="2" t="s">
        <v>1380</v>
      </c>
      <c r="B3127" s="2" t="s">
        <v>922</v>
      </c>
      <c r="C3127" s="2">
        <v>540028</v>
      </c>
      <c r="D3127" s="2" t="s">
        <v>895</v>
      </c>
      <c r="E3127" s="2" t="s">
        <v>21</v>
      </c>
      <c r="F3127" s="2" t="s">
        <v>115</v>
      </c>
      <c r="G3127" s="2">
        <v>4</v>
      </c>
      <c r="H3127" s="2">
        <v>0</v>
      </c>
      <c r="I3127" s="2">
        <v>0</v>
      </c>
      <c r="J3127" s="2">
        <v>0</v>
      </c>
      <c r="K3127" s="2">
        <v>0</v>
      </c>
      <c r="L3127" s="2">
        <v>0</v>
      </c>
      <c r="M3127" s="2">
        <v>0</v>
      </c>
      <c r="N3127" s="2">
        <v>0</v>
      </c>
      <c r="O3127" s="2">
        <v>0</v>
      </c>
      <c r="P3127" s="2">
        <v>0</v>
      </c>
      <c r="Q3127" s="2">
        <v>0</v>
      </c>
      <c r="R3127" s="2">
        <v>0</v>
      </c>
      <c r="S3127" s="2" t="s">
        <v>488</v>
      </c>
      <c r="T3127" s="2" t="s">
        <v>488</v>
      </c>
      <c r="U3127" s="2" t="s">
        <v>488</v>
      </c>
      <c r="V3127" s="2" t="s">
        <v>488</v>
      </c>
      <c r="W3127">
        <f t="shared" si="50"/>
        <v>0</v>
      </c>
    </row>
    <row r="3128" spans="1:23" x14ac:dyDescent="0.25">
      <c r="A3128" s="2" t="s">
        <v>1380</v>
      </c>
      <c r="B3128" s="2" t="s">
        <v>922</v>
      </c>
      <c r="C3128" s="2">
        <v>540029</v>
      </c>
      <c r="D3128" s="2" t="s">
        <v>701</v>
      </c>
      <c r="E3128" s="2" t="s">
        <v>21</v>
      </c>
      <c r="F3128" s="2" t="s">
        <v>115</v>
      </c>
      <c r="G3128" s="2">
        <v>4</v>
      </c>
      <c r="H3128" s="2">
        <v>0</v>
      </c>
      <c r="I3128" s="2">
        <v>0</v>
      </c>
      <c r="J3128" s="2">
        <v>0</v>
      </c>
      <c r="K3128" s="2">
        <v>0</v>
      </c>
      <c r="L3128" s="2">
        <v>0</v>
      </c>
      <c r="M3128" s="2">
        <v>0</v>
      </c>
      <c r="N3128" s="2">
        <v>0</v>
      </c>
      <c r="O3128" s="2">
        <v>0</v>
      </c>
      <c r="P3128" s="2">
        <v>0</v>
      </c>
      <c r="Q3128" s="2">
        <v>0</v>
      </c>
      <c r="R3128" s="2">
        <v>0</v>
      </c>
      <c r="S3128" s="2" t="s">
        <v>488</v>
      </c>
      <c r="T3128" s="2" t="s">
        <v>488</v>
      </c>
      <c r="U3128" s="2" t="s">
        <v>488</v>
      </c>
      <c r="V3128" s="2" t="s">
        <v>488</v>
      </c>
      <c r="W3128">
        <f t="shared" si="50"/>
        <v>0</v>
      </c>
    </row>
    <row r="3129" spans="1:23" x14ac:dyDescent="0.25">
      <c r="A3129" s="2" t="s">
        <v>1380</v>
      </c>
      <c r="B3129" s="2" t="s">
        <v>922</v>
      </c>
      <c r="C3129" s="2">
        <v>540031</v>
      </c>
      <c r="D3129" s="2" t="s">
        <v>896</v>
      </c>
      <c r="E3129" s="2" t="s">
        <v>21</v>
      </c>
      <c r="F3129" s="2" t="s">
        <v>115</v>
      </c>
      <c r="G3129" s="2">
        <v>4</v>
      </c>
      <c r="H3129" s="2">
        <v>0</v>
      </c>
      <c r="I3129" s="2">
        <v>0</v>
      </c>
      <c r="J3129" s="2">
        <v>0</v>
      </c>
      <c r="K3129" s="2">
        <v>0</v>
      </c>
      <c r="L3129" s="2">
        <v>0</v>
      </c>
      <c r="M3129" s="2">
        <v>0</v>
      </c>
      <c r="N3129" s="2">
        <v>0</v>
      </c>
      <c r="O3129" s="2">
        <v>0</v>
      </c>
      <c r="P3129" s="2">
        <v>0</v>
      </c>
      <c r="Q3129" s="2">
        <v>0</v>
      </c>
      <c r="R3129" s="2">
        <v>0</v>
      </c>
      <c r="S3129" s="2" t="s">
        <v>488</v>
      </c>
      <c r="T3129" s="2" t="s">
        <v>488</v>
      </c>
      <c r="U3129" s="2" t="s">
        <v>488</v>
      </c>
      <c r="V3129" s="2" t="s">
        <v>488</v>
      </c>
      <c r="W3129">
        <f t="shared" si="50"/>
        <v>0</v>
      </c>
    </row>
    <row r="3130" spans="1:23" x14ac:dyDescent="0.25">
      <c r="A3130" s="2" t="s">
        <v>1380</v>
      </c>
      <c r="B3130" s="2" t="s">
        <v>922</v>
      </c>
      <c r="C3130" s="2">
        <v>540032</v>
      </c>
      <c r="D3130" s="2" t="s">
        <v>897</v>
      </c>
      <c r="E3130" s="2" t="s">
        <v>21</v>
      </c>
      <c r="F3130" s="2" t="s">
        <v>115</v>
      </c>
      <c r="G3130" s="2">
        <v>4</v>
      </c>
      <c r="H3130" s="2">
        <v>0</v>
      </c>
      <c r="I3130" s="2">
        <v>0</v>
      </c>
      <c r="J3130" s="2">
        <v>0</v>
      </c>
      <c r="K3130" s="2">
        <v>0</v>
      </c>
      <c r="L3130" s="2">
        <v>0</v>
      </c>
      <c r="M3130" s="2">
        <v>0</v>
      </c>
      <c r="N3130" s="2">
        <v>0</v>
      </c>
      <c r="O3130" s="2">
        <v>0</v>
      </c>
      <c r="P3130" s="2">
        <v>0</v>
      </c>
      <c r="Q3130" s="2">
        <v>0</v>
      </c>
      <c r="R3130" s="2">
        <v>0</v>
      </c>
      <c r="S3130" s="2" t="s">
        <v>488</v>
      </c>
      <c r="T3130" s="2" t="s">
        <v>488</v>
      </c>
      <c r="U3130" s="2" t="s">
        <v>488</v>
      </c>
      <c r="V3130" s="2" t="s">
        <v>488</v>
      </c>
      <c r="W3130">
        <f t="shared" si="50"/>
        <v>0</v>
      </c>
    </row>
    <row r="3131" spans="1:23" x14ac:dyDescent="0.25">
      <c r="A3131" s="2" t="s">
        <v>1380</v>
      </c>
      <c r="B3131" s="2" t="s">
        <v>922</v>
      </c>
      <c r="C3131" s="2">
        <v>540050</v>
      </c>
      <c r="D3131" s="2" t="s">
        <v>898</v>
      </c>
      <c r="E3131" s="2" t="s">
        <v>21</v>
      </c>
      <c r="F3131" s="2" t="s">
        <v>115</v>
      </c>
      <c r="G3131" s="2">
        <v>4</v>
      </c>
      <c r="H3131" s="2">
        <v>0</v>
      </c>
      <c r="I3131" s="2">
        <v>0</v>
      </c>
      <c r="J3131" s="2">
        <v>0</v>
      </c>
      <c r="K3131" s="2">
        <v>0</v>
      </c>
      <c r="L3131" s="2">
        <v>0</v>
      </c>
      <c r="M3131" s="2">
        <v>0</v>
      </c>
      <c r="N3131" s="2">
        <v>0</v>
      </c>
      <c r="O3131" s="2">
        <v>0</v>
      </c>
      <c r="P3131" s="2">
        <v>0</v>
      </c>
      <c r="Q3131" s="2">
        <v>0</v>
      </c>
      <c r="R3131" s="2">
        <v>0</v>
      </c>
      <c r="S3131" s="2" t="s">
        <v>488</v>
      </c>
      <c r="T3131" s="2" t="s">
        <v>488</v>
      </c>
      <c r="U3131" s="2" t="s">
        <v>488</v>
      </c>
      <c r="V3131" s="2" t="s">
        <v>488</v>
      </c>
      <c r="W3131">
        <f t="shared" si="50"/>
        <v>0</v>
      </c>
    </row>
    <row r="3132" spans="1:23" x14ac:dyDescent="0.25">
      <c r="A3132" s="2" t="s">
        <v>1380</v>
      </c>
      <c r="B3132" s="2" t="s">
        <v>922</v>
      </c>
      <c r="C3132" s="2">
        <v>540293</v>
      </c>
      <c r="D3132" s="2" t="s">
        <v>899</v>
      </c>
      <c r="E3132" s="2" t="s">
        <v>21</v>
      </c>
      <c r="F3132" s="2" t="s">
        <v>115</v>
      </c>
      <c r="G3132" s="2">
        <v>4</v>
      </c>
      <c r="H3132" s="2">
        <v>0</v>
      </c>
      <c r="I3132" s="2">
        <v>0</v>
      </c>
      <c r="J3132" s="2">
        <v>0</v>
      </c>
      <c r="K3132" s="2">
        <v>0</v>
      </c>
      <c r="L3132" s="2">
        <v>0</v>
      </c>
      <c r="M3132" s="2">
        <v>0</v>
      </c>
      <c r="N3132" s="2">
        <v>0</v>
      </c>
      <c r="O3132" s="2">
        <v>0</v>
      </c>
      <c r="P3132" s="2">
        <v>0</v>
      </c>
      <c r="Q3132" s="2">
        <v>0</v>
      </c>
      <c r="R3132" s="2">
        <v>0</v>
      </c>
      <c r="S3132" s="2" t="s">
        <v>488</v>
      </c>
      <c r="T3132" s="2" t="s">
        <v>488</v>
      </c>
      <c r="U3132" s="2" t="s">
        <v>488</v>
      </c>
      <c r="V3132" s="2" t="s">
        <v>488</v>
      </c>
      <c r="W3132">
        <f t="shared" si="50"/>
        <v>0</v>
      </c>
    </row>
    <row r="3133" spans="1:23" x14ac:dyDescent="0.25">
      <c r="A3133" s="2" t="s">
        <v>1380</v>
      </c>
      <c r="B3133" s="2" t="s">
        <v>922</v>
      </c>
      <c r="C3133" s="2">
        <v>540294</v>
      </c>
      <c r="D3133" s="2" t="s">
        <v>900</v>
      </c>
      <c r="E3133" s="2" t="s">
        <v>21</v>
      </c>
      <c r="F3133" s="2" t="s">
        <v>115</v>
      </c>
      <c r="G3133" s="2">
        <v>4</v>
      </c>
      <c r="H3133" s="2">
        <v>0</v>
      </c>
      <c r="I3133" s="2">
        <v>0</v>
      </c>
      <c r="J3133" s="2">
        <v>0</v>
      </c>
      <c r="K3133" s="2">
        <v>0</v>
      </c>
      <c r="L3133" s="2">
        <v>0</v>
      </c>
      <c r="M3133" s="2">
        <v>0</v>
      </c>
      <c r="N3133" s="2">
        <v>0</v>
      </c>
      <c r="O3133" s="2">
        <v>0</v>
      </c>
      <c r="P3133" s="2">
        <v>0</v>
      </c>
      <c r="Q3133" s="2">
        <v>0</v>
      </c>
      <c r="R3133" s="2">
        <v>0</v>
      </c>
      <c r="S3133" s="2" t="s">
        <v>488</v>
      </c>
      <c r="T3133" s="2" t="s">
        <v>488</v>
      </c>
      <c r="U3133" s="2" t="s">
        <v>488</v>
      </c>
      <c r="V3133" s="2" t="s">
        <v>488</v>
      </c>
      <c r="W3133">
        <f t="shared" si="50"/>
        <v>0</v>
      </c>
    </row>
    <row r="3134" spans="1:23" x14ac:dyDescent="0.25">
      <c r="A3134" s="2" t="s">
        <v>1380</v>
      </c>
      <c r="B3134" s="2" t="s">
        <v>922</v>
      </c>
      <c r="C3134" s="2">
        <v>540033</v>
      </c>
      <c r="D3134" s="2" t="s">
        <v>716</v>
      </c>
      <c r="E3134" s="2" t="s">
        <v>21</v>
      </c>
      <c r="F3134" s="2" t="s">
        <v>115</v>
      </c>
      <c r="G3134" s="2">
        <v>4</v>
      </c>
      <c r="H3134" s="2">
        <v>0</v>
      </c>
      <c r="I3134" s="2">
        <v>0</v>
      </c>
      <c r="J3134" s="2">
        <v>0</v>
      </c>
      <c r="K3134" s="2">
        <v>0</v>
      </c>
      <c r="L3134" s="2">
        <v>0</v>
      </c>
      <c r="M3134" s="2">
        <v>0</v>
      </c>
      <c r="N3134" s="2">
        <v>0</v>
      </c>
      <c r="O3134" s="2">
        <v>0</v>
      </c>
      <c r="P3134" s="2">
        <v>0</v>
      </c>
      <c r="Q3134" s="2">
        <v>0</v>
      </c>
      <c r="R3134" s="2">
        <v>0</v>
      </c>
      <c r="S3134" s="2" t="s">
        <v>488</v>
      </c>
      <c r="T3134" s="2" t="s">
        <v>488</v>
      </c>
      <c r="U3134" s="2" t="s">
        <v>488</v>
      </c>
      <c r="V3134" s="2" t="s">
        <v>488</v>
      </c>
      <c r="W3134">
        <f t="shared" si="50"/>
        <v>0</v>
      </c>
    </row>
    <row r="3135" spans="1:23" x14ac:dyDescent="0.25">
      <c r="A3135" s="2" t="s">
        <v>1380</v>
      </c>
      <c r="B3135" s="2" t="s">
        <v>922</v>
      </c>
      <c r="C3135" s="2">
        <v>540280</v>
      </c>
      <c r="D3135" s="2" t="s">
        <v>901</v>
      </c>
      <c r="E3135" s="2" t="s">
        <v>21</v>
      </c>
      <c r="F3135" s="2" t="s">
        <v>115</v>
      </c>
      <c r="G3135" s="2">
        <v>4</v>
      </c>
      <c r="H3135" s="2">
        <v>0</v>
      </c>
      <c r="I3135" s="2">
        <v>0</v>
      </c>
      <c r="J3135" s="2">
        <v>0</v>
      </c>
      <c r="K3135" s="2">
        <v>0</v>
      </c>
      <c r="L3135" s="2">
        <v>0</v>
      </c>
      <c r="M3135" s="2">
        <v>0</v>
      </c>
      <c r="N3135" s="2">
        <v>0</v>
      </c>
      <c r="O3135" s="2">
        <v>0</v>
      </c>
      <c r="P3135" s="2">
        <v>0</v>
      </c>
      <c r="Q3135" s="2">
        <v>0</v>
      </c>
      <c r="R3135" s="2">
        <v>0</v>
      </c>
      <c r="S3135" s="2" t="s">
        <v>488</v>
      </c>
      <c r="T3135" s="2" t="s">
        <v>488</v>
      </c>
      <c r="U3135" s="2" t="s">
        <v>488</v>
      </c>
      <c r="V3135" s="2" t="s">
        <v>488</v>
      </c>
      <c r="W3135">
        <f t="shared" si="50"/>
        <v>0</v>
      </c>
    </row>
    <row r="3136" spans="1:23" x14ac:dyDescent="0.25">
      <c r="A3136" s="2" t="s">
        <v>1380</v>
      </c>
      <c r="B3136" s="2" t="s">
        <v>922</v>
      </c>
      <c r="C3136" s="2">
        <v>540026</v>
      </c>
      <c r="D3136" s="2" t="s">
        <v>902</v>
      </c>
      <c r="E3136" s="2" t="s">
        <v>21</v>
      </c>
      <c r="F3136" s="2" t="s">
        <v>5</v>
      </c>
      <c r="G3136" s="2">
        <v>4</v>
      </c>
      <c r="H3136" s="2">
        <v>0</v>
      </c>
      <c r="I3136" s="2">
        <v>0</v>
      </c>
      <c r="J3136" s="2">
        <v>0</v>
      </c>
      <c r="K3136" s="2">
        <v>0</v>
      </c>
      <c r="L3136" s="2">
        <v>0</v>
      </c>
      <c r="M3136" s="2">
        <v>0</v>
      </c>
      <c r="N3136" s="2">
        <v>0</v>
      </c>
      <c r="O3136" s="2">
        <v>0</v>
      </c>
      <c r="P3136" s="2">
        <v>0</v>
      </c>
      <c r="Q3136" s="2">
        <v>0</v>
      </c>
      <c r="R3136" s="2">
        <v>0</v>
      </c>
      <c r="S3136" s="2" t="s">
        <v>488</v>
      </c>
      <c r="T3136" s="2" t="s">
        <v>488</v>
      </c>
      <c r="U3136" s="2" t="s">
        <v>488</v>
      </c>
      <c r="V3136" s="2" t="s">
        <v>488</v>
      </c>
      <c r="W3136">
        <f t="shared" si="50"/>
        <v>0</v>
      </c>
    </row>
    <row r="3137" spans="1:23" x14ac:dyDescent="0.25">
      <c r="A3137" s="255" t="s">
        <v>1380</v>
      </c>
      <c r="B3137" s="255" t="s">
        <v>922</v>
      </c>
      <c r="C3137" s="255"/>
      <c r="D3137" s="255"/>
      <c r="E3137" s="255" t="s">
        <v>21</v>
      </c>
      <c r="F3137" s="255"/>
      <c r="G3137" s="255"/>
      <c r="H3137" s="255">
        <v>0</v>
      </c>
      <c r="I3137" s="255">
        <v>0</v>
      </c>
      <c r="J3137" s="255">
        <v>0</v>
      </c>
      <c r="K3137" s="255">
        <v>0</v>
      </c>
      <c r="L3137" s="255">
        <v>0</v>
      </c>
      <c r="M3137" s="255">
        <v>0</v>
      </c>
      <c r="N3137" s="255">
        <v>0</v>
      </c>
      <c r="O3137" s="255">
        <v>0</v>
      </c>
      <c r="P3137" s="255">
        <v>0</v>
      </c>
      <c r="Q3137" s="255">
        <v>0</v>
      </c>
      <c r="R3137" s="255">
        <v>0</v>
      </c>
      <c r="S3137" s="255" t="s">
        <v>488</v>
      </c>
      <c r="T3137" s="255" t="s">
        <v>488</v>
      </c>
      <c r="U3137" s="255" t="s">
        <v>488</v>
      </c>
      <c r="V3137" s="255" t="s">
        <v>488</v>
      </c>
      <c r="W3137">
        <f t="shared" si="50"/>
        <v>0</v>
      </c>
    </row>
    <row r="3138" spans="1:23" x14ac:dyDescent="0.25">
      <c r="A3138" s="2" t="s">
        <v>1380</v>
      </c>
      <c r="B3138" s="2" t="s">
        <v>922</v>
      </c>
      <c r="C3138" s="2">
        <v>540176</v>
      </c>
      <c r="D3138" s="2" t="s">
        <v>903</v>
      </c>
      <c r="E3138" s="2" t="s">
        <v>75</v>
      </c>
      <c r="F3138" s="2" t="s">
        <v>115</v>
      </c>
      <c r="G3138" s="2">
        <v>7</v>
      </c>
      <c r="H3138" s="2">
        <v>0</v>
      </c>
      <c r="I3138" s="2">
        <v>0</v>
      </c>
      <c r="J3138" s="2">
        <v>0</v>
      </c>
      <c r="K3138" s="2">
        <v>0</v>
      </c>
      <c r="L3138" s="2">
        <v>0</v>
      </c>
      <c r="M3138" s="2">
        <v>0</v>
      </c>
      <c r="N3138" s="2">
        <v>0</v>
      </c>
      <c r="O3138" s="2">
        <v>0</v>
      </c>
      <c r="P3138" s="2">
        <v>0</v>
      </c>
      <c r="Q3138" s="2">
        <v>0</v>
      </c>
      <c r="R3138" s="2">
        <v>0</v>
      </c>
      <c r="S3138" s="2" t="s">
        <v>488</v>
      </c>
      <c r="T3138" s="2" t="s">
        <v>488</v>
      </c>
      <c r="U3138" s="2" t="s">
        <v>488</v>
      </c>
      <c r="V3138" s="2" t="s">
        <v>488</v>
      </c>
      <c r="W3138">
        <f t="shared" si="50"/>
        <v>0</v>
      </c>
    </row>
    <row r="3139" spans="1:23" x14ac:dyDescent="0.25">
      <c r="A3139" s="2" t="s">
        <v>1380</v>
      </c>
      <c r="B3139" s="2" t="s">
        <v>922</v>
      </c>
      <c r="C3139" s="2">
        <v>540178</v>
      </c>
      <c r="D3139" s="2" t="s">
        <v>904</v>
      </c>
      <c r="E3139" s="2" t="s">
        <v>75</v>
      </c>
      <c r="F3139" s="2" t="s">
        <v>115</v>
      </c>
      <c r="G3139" s="2">
        <v>7</v>
      </c>
      <c r="H3139" s="2">
        <v>0</v>
      </c>
      <c r="I3139" s="2">
        <v>0</v>
      </c>
      <c r="J3139" s="2">
        <v>0</v>
      </c>
      <c r="K3139" s="2">
        <v>0</v>
      </c>
      <c r="L3139" s="2">
        <v>0</v>
      </c>
      <c r="M3139" s="2">
        <v>0</v>
      </c>
      <c r="N3139" s="2">
        <v>0</v>
      </c>
      <c r="O3139" s="2">
        <v>0</v>
      </c>
      <c r="P3139" s="2">
        <v>0</v>
      </c>
      <c r="Q3139" s="2">
        <v>0</v>
      </c>
      <c r="R3139" s="2">
        <v>0</v>
      </c>
      <c r="S3139" s="2" t="s">
        <v>488</v>
      </c>
      <c r="T3139" s="2" t="s">
        <v>488</v>
      </c>
      <c r="U3139" s="2" t="s">
        <v>488</v>
      </c>
      <c r="V3139" s="2" t="s">
        <v>488</v>
      </c>
      <c r="W3139">
        <f t="shared" ref="W3139:W3151" si="51">SUM(N3139,P3139,R3139,T3139)</f>
        <v>0</v>
      </c>
    </row>
    <row r="3140" spans="1:23" x14ac:dyDescent="0.25">
      <c r="A3140" s="2" t="s">
        <v>1380</v>
      </c>
      <c r="B3140" s="2" t="s">
        <v>922</v>
      </c>
      <c r="C3140" s="2">
        <v>540264</v>
      </c>
      <c r="D3140" s="2" t="s">
        <v>905</v>
      </c>
      <c r="E3140" s="2" t="s">
        <v>75</v>
      </c>
      <c r="F3140" s="2" t="s">
        <v>115</v>
      </c>
      <c r="G3140" s="2">
        <v>7</v>
      </c>
      <c r="H3140" s="2">
        <v>0</v>
      </c>
      <c r="I3140" s="2">
        <v>0</v>
      </c>
      <c r="J3140" s="2">
        <v>0</v>
      </c>
      <c r="K3140" s="2">
        <v>0</v>
      </c>
      <c r="L3140" s="2">
        <v>0</v>
      </c>
      <c r="M3140" s="2">
        <v>0</v>
      </c>
      <c r="N3140" s="2">
        <v>0</v>
      </c>
      <c r="O3140" s="2">
        <v>0</v>
      </c>
      <c r="P3140" s="2">
        <v>0</v>
      </c>
      <c r="Q3140" s="2">
        <v>0</v>
      </c>
      <c r="R3140" s="2">
        <v>0</v>
      </c>
      <c r="S3140" s="2" t="s">
        <v>488</v>
      </c>
      <c r="T3140" s="2" t="s">
        <v>488</v>
      </c>
      <c r="U3140" s="2" t="s">
        <v>488</v>
      </c>
      <c r="V3140" s="2" t="s">
        <v>488</v>
      </c>
      <c r="W3140">
        <f t="shared" si="51"/>
        <v>0</v>
      </c>
    </row>
    <row r="3141" spans="1:23" x14ac:dyDescent="0.25">
      <c r="A3141" s="2" t="s">
        <v>1380</v>
      </c>
      <c r="B3141" s="2" t="s">
        <v>922</v>
      </c>
      <c r="C3141" s="2">
        <v>540265</v>
      </c>
      <c r="D3141" s="2" t="s">
        <v>906</v>
      </c>
      <c r="E3141" s="2" t="s">
        <v>75</v>
      </c>
      <c r="F3141" s="2" t="s">
        <v>115</v>
      </c>
      <c r="G3141" s="2">
        <v>7</v>
      </c>
      <c r="H3141" s="2">
        <v>0</v>
      </c>
      <c r="I3141" s="2">
        <v>0</v>
      </c>
      <c r="J3141" s="2">
        <v>0</v>
      </c>
      <c r="K3141" s="2">
        <v>0</v>
      </c>
      <c r="L3141" s="2">
        <v>0</v>
      </c>
      <c r="M3141" s="2">
        <v>0</v>
      </c>
      <c r="N3141" s="2">
        <v>0</v>
      </c>
      <c r="O3141" s="2">
        <v>0</v>
      </c>
      <c r="P3141" s="2">
        <v>0</v>
      </c>
      <c r="Q3141" s="2">
        <v>0</v>
      </c>
      <c r="R3141" s="2">
        <v>0</v>
      </c>
      <c r="S3141" s="2" t="s">
        <v>488</v>
      </c>
      <c r="T3141" s="2" t="s">
        <v>488</v>
      </c>
      <c r="U3141" s="2" t="s">
        <v>488</v>
      </c>
      <c r="V3141" s="2" t="s">
        <v>488</v>
      </c>
      <c r="W3141">
        <f t="shared" si="51"/>
        <v>0</v>
      </c>
    </row>
    <row r="3142" spans="1:23" x14ac:dyDescent="0.25">
      <c r="A3142" s="2" t="s">
        <v>1380</v>
      </c>
      <c r="B3142" s="2" t="s">
        <v>922</v>
      </c>
      <c r="C3142" s="2">
        <v>540266</v>
      </c>
      <c r="D3142" s="2" t="s">
        <v>907</v>
      </c>
      <c r="E3142" s="2" t="s">
        <v>75</v>
      </c>
      <c r="F3142" s="2" t="s">
        <v>115</v>
      </c>
      <c r="G3142" s="2">
        <v>7</v>
      </c>
      <c r="H3142" s="2">
        <v>0</v>
      </c>
      <c r="I3142" s="2">
        <v>0</v>
      </c>
      <c r="J3142" s="2">
        <v>0</v>
      </c>
      <c r="K3142" s="2">
        <v>0</v>
      </c>
      <c r="L3142" s="2">
        <v>0</v>
      </c>
      <c r="M3142" s="2">
        <v>0</v>
      </c>
      <c r="N3142" s="2">
        <v>0</v>
      </c>
      <c r="O3142" s="2">
        <v>0</v>
      </c>
      <c r="P3142" s="2">
        <v>0</v>
      </c>
      <c r="Q3142" s="2">
        <v>0</v>
      </c>
      <c r="R3142" s="2">
        <v>0</v>
      </c>
      <c r="S3142" s="2" t="s">
        <v>488</v>
      </c>
      <c r="T3142" s="2" t="s">
        <v>488</v>
      </c>
      <c r="U3142" s="2" t="s">
        <v>488</v>
      </c>
      <c r="V3142" s="2" t="s">
        <v>488</v>
      </c>
      <c r="W3142">
        <f t="shared" si="51"/>
        <v>0</v>
      </c>
    </row>
    <row r="3143" spans="1:23" x14ac:dyDescent="0.25">
      <c r="A3143" s="2" t="s">
        <v>1380</v>
      </c>
      <c r="B3143" s="2" t="s">
        <v>922</v>
      </c>
      <c r="C3143" s="2">
        <v>540267</v>
      </c>
      <c r="D3143" s="2" t="s">
        <v>908</v>
      </c>
      <c r="E3143" s="2" t="s">
        <v>75</v>
      </c>
      <c r="F3143" s="2" t="s">
        <v>115</v>
      </c>
      <c r="G3143" s="2">
        <v>7</v>
      </c>
      <c r="H3143" s="2">
        <v>0</v>
      </c>
      <c r="I3143" s="2">
        <v>0</v>
      </c>
      <c r="J3143" s="2">
        <v>0</v>
      </c>
      <c r="K3143" s="2">
        <v>0</v>
      </c>
      <c r="L3143" s="2">
        <v>0</v>
      </c>
      <c r="M3143" s="2">
        <v>0</v>
      </c>
      <c r="N3143" s="2">
        <v>0</v>
      </c>
      <c r="O3143" s="2">
        <v>0</v>
      </c>
      <c r="P3143" s="2">
        <v>0</v>
      </c>
      <c r="Q3143" s="2">
        <v>0</v>
      </c>
      <c r="R3143" s="2">
        <v>0</v>
      </c>
      <c r="S3143" s="2" t="s">
        <v>488</v>
      </c>
      <c r="T3143" s="2" t="s">
        <v>488</v>
      </c>
      <c r="U3143" s="2" t="s">
        <v>488</v>
      </c>
      <c r="V3143" s="2" t="s">
        <v>488</v>
      </c>
      <c r="W3143">
        <f t="shared" si="51"/>
        <v>0</v>
      </c>
    </row>
    <row r="3144" spans="1:23" x14ac:dyDescent="0.25">
      <c r="A3144" s="2" t="s">
        <v>1380</v>
      </c>
      <c r="B3144" s="2" t="s">
        <v>922</v>
      </c>
      <c r="C3144" s="2">
        <v>540177</v>
      </c>
      <c r="D3144" s="2" t="s">
        <v>909</v>
      </c>
      <c r="E3144" s="2" t="s">
        <v>75</v>
      </c>
      <c r="F3144" s="2" t="s">
        <v>115</v>
      </c>
      <c r="G3144" s="2">
        <v>7</v>
      </c>
      <c r="H3144" s="2">
        <v>0</v>
      </c>
      <c r="I3144" s="2">
        <v>0</v>
      </c>
      <c r="J3144" s="2">
        <v>0</v>
      </c>
      <c r="K3144" s="2">
        <v>0</v>
      </c>
      <c r="L3144" s="2">
        <v>0</v>
      </c>
      <c r="M3144" s="2">
        <v>0</v>
      </c>
      <c r="N3144" s="2">
        <v>0</v>
      </c>
      <c r="O3144" s="2">
        <v>0</v>
      </c>
      <c r="P3144" s="2">
        <v>0</v>
      </c>
      <c r="Q3144" s="2">
        <v>0</v>
      </c>
      <c r="R3144" s="2">
        <v>0</v>
      </c>
      <c r="S3144" s="2" t="s">
        <v>488</v>
      </c>
      <c r="T3144" s="2" t="s">
        <v>488</v>
      </c>
      <c r="U3144" s="2" t="s">
        <v>488</v>
      </c>
      <c r="V3144" s="2" t="s">
        <v>488</v>
      </c>
      <c r="W3144">
        <f t="shared" si="51"/>
        <v>0</v>
      </c>
    </row>
    <row r="3145" spans="1:23" x14ac:dyDescent="0.25">
      <c r="A3145" s="2" t="s">
        <v>1380</v>
      </c>
      <c r="B3145" s="2" t="s">
        <v>922</v>
      </c>
      <c r="C3145" s="2">
        <v>540175</v>
      </c>
      <c r="D3145" s="2" t="s">
        <v>910</v>
      </c>
      <c r="E3145" s="2" t="s">
        <v>75</v>
      </c>
      <c r="F3145" s="2" t="s">
        <v>5</v>
      </c>
      <c r="G3145" s="2">
        <v>7</v>
      </c>
      <c r="H3145" s="2">
        <v>0</v>
      </c>
      <c r="I3145" s="2">
        <v>0</v>
      </c>
      <c r="J3145" s="2">
        <v>0</v>
      </c>
      <c r="K3145" s="2">
        <v>0</v>
      </c>
      <c r="L3145" s="2">
        <v>0</v>
      </c>
      <c r="M3145" s="2">
        <v>0</v>
      </c>
      <c r="N3145" s="2">
        <v>0</v>
      </c>
      <c r="O3145" s="2">
        <v>0</v>
      </c>
      <c r="P3145" s="2">
        <v>0</v>
      </c>
      <c r="Q3145" s="2">
        <v>0</v>
      </c>
      <c r="R3145" s="2">
        <v>0</v>
      </c>
      <c r="S3145" s="2" t="s">
        <v>488</v>
      </c>
      <c r="T3145" s="2" t="s">
        <v>488</v>
      </c>
      <c r="U3145" s="2" t="s">
        <v>488</v>
      </c>
      <c r="V3145" s="2" t="s">
        <v>488</v>
      </c>
      <c r="W3145">
        <f t="shared" si="51"/>
        <v>0</v>
      </c>
    </row>
    <row r="3146" spans="1:23" x14ac:dyDescent="0.25">
      <c r="A3146" s="255" t="s">
        <v>1380</v>
      </c>
      <c r="B3146" s="255" t="s">
        <v>922</v>
      </c>
      <c r="C3146" s="255"/>
      <c r="D3146" s="255"/>
      <c r="E3146" s="255" t="s">
        <v>75</v>
      </c>
      <c r="F3146" s="255"/>
      <c r="G3146" s="255"/>
      <c r="H3146" s="255">
        <v>0</v>
      </c>
      <c r="I3146" s="255">
        <v>0</v>
      </c>
      <c r="J3146" s="255">
        <v>0</v>
      </c>
      <c r="K3146" s="255">
        <v>0</v>
      </c>
      <c r="L3146" s="255">
        <v>0</v>
      </c>
      <c r="M3146" s="255">
        <v>0</v>
      </c>
      <c r="N3146" s="255">
        <v>0</v>
      </c>
      <c r="O3146" s="255">
        <v>0</v>
      </c>
      <c r="P3146" s="255">
        <v>0</v>
      </c>
      <c r="Q3146" s="255">
        <v>0</v>
      </c>
      <c r="R3146" s="255">
        <v>0</v>
      </c>
      <c r="S3146" s="255" t="s">
        <v>488</v>
      </c>
      <c r="T3146" s="255" t="s">
        <v>488</v>
      </c>
      <c r="U3146" s="255" t="s">
        <v>488</v>
      </c>
      <c r="V3146" s="255" t="s">
        <v>488</v>
      </c>
      <c r="W3146">
        <f t="shared" si="51"/>
        <v>0</v>
      </c>
    </row>
    <row r="3147" spans="1:23" x14ac:dyDescent="0.25">
      <c r="A3147" s="2" t="s">
        <v>1380</v>
      </c>
      <c r="B3147" s="2" t="s">
        <v>922</v>
      </c>
      <c r="C3147" s="2">
        <v>540219</v>
      </c>
      <c r="D3147" s="2" t="s">
        <v>911</v>
      </c>
      <c r="E3147" s="2" t="s">
        <v>95</v>
      </c>
      <c r="F3147" s="2" t="s">
        <v>115</v>
      </c>
      <c r="G3147" s="2">
        <v>1</v>
      </c>
      <c r="H3147" s="2">
        <v>0</v>
      </c>
      <c r="I3147" s="2">
        <v>0</v>
      </c>
      <c r="J3147" s="2">
        <v>0</v>
      </c>
      <c r="K3147" s="2">
        <v>0</v>
      </c>
      <c r="L3147" s="2">
        <v>0</v>
      </c>
      <c r="M3147" s="2">
        <v>0</v>
      </c>
      <c r="N3147" s="2">
        <v>0</v>
      </c>
      <c r="O3147" s="2">
        <v>0</v>
      </c>
      <c r="P3147" s="2">
        <v>0</v>
      </c>
      <c r="Q3147" s="2">
        <v>0</v>
      </c>
      <c r="R3147" s="2">
        <v>0</v>
      </c>
      <c r="S3147" s="2">
        <v>0</v>
      </c>
      <c r="T3147" s="2">
        <v>0</v>
      </c>
      <c r="U3147" s="2" t="s">
        <v>488</v>
      </c>
      <c r="V3147" s="2" t="s">
        <v>488</v>
      </c>
      <c r="W3147">
        <f t="shared" si="51"/>
        <v>0</v>
      </c>
    </row>
    <row r="3148" spans="1:23" x14ac:dyDescent="0.25">
      <c r="A3148" s="2" t="s">
        <v>1380</v>
      </c>
      <c r="B3148" s="2" t="s">
        <v>922</v>
      </c>
      <c r="C3148" s="2">
        <v>540220</v>
      </c>
      <c r="D3148" s="2" t="s">
        <v>912</v>
      </c>
      <c r="E3148" s="2" t="s">
        <v>95</v>
      </c>
      <c r="F3148" s="2" t="s">
        <v>115</v>
      </c>
      <c r="G3148" s="2">
        <v>1</v>
      </c>
      <c r="H3148" s="2">
        <v>0</v>
      </c>
      <c r="I3148" s="2">
        <v>0</v>
      </c>
      <c r="J3148" s="2">
        <v>0</v>
      </c>
      <c r="K3148" s="2">
        <v>0</v>
      </c>
      <c r="L3148" s="2">
        <v>0</v>
      </c>
      <c r="M3148" s="2">
        <v>0</v>
      </c>
      <c r="N3148" s="2">
        <v>0</v>
      </c>
      <c r="O3148" s="2">
        <v>0</v>
      </c>
      <c r="P3148" s="2">
        <v>0</v>
      </c>
      <c r="Q3148" s="2">
        <v>0</v>
      </c>
      <c r="R3148" s="2">
        <v>0</v>
      </c>
      <c r="S3148" s="2">
        <v>0</v>
      </c>
      <c r="T3148" s="2">
        <v>0</v>
      </c>
      <c r="U3148" s="2" t="s">
        <v>488</v>
      </c>
      <c r="V3148" s="2" t="s">
        <v>488</v>
      </c>
      <c r="W3148">
        <f t="shared" si="51"/>
        <v>0</v>
      </c>
    </row>
    <row r="3149" spans="1:23" x14ac:dyDescent="0.25">
      <c r="A3149" s="2" t="s">
        <v>1380</v>
      </c>
      <c r="B3149" s="2" t="s">
        <v>922</v>
      </c>
      <c r="C3149" s="2">
        <v>540218</v>
      </c>
      <c r="D3149" s="2" t="s">
        <v>913</v>
      </c>
      <c r="E3149" s="2" t="s">
        <v>95</v>
      </c>
      <c r="F3149" s="2" t="s">
        <v>115</v>
      </c>
      <c r="G3149" s="2">
        <v>1</v>
      </c>
      <c r="H3149" s="2">
        <v>0</v>
      </c>
      <c r="I3149" s="2">
        <v>0</v>
      </c>
      <c r="J3149" s="2">
        <v>0</v>
      </c>
      <c r="K3149" s="2">
        <v>0</v>
      </c>
      <c r="L3149" s="2">
        <v>0</v>
      </c>
      <c r="M3149" s="2">
        <v>0</v>
      </c>
      <c r="N3149" s="2">
        <v>0</v>
      </c>
      <c r="O3149" s="2">
        <v>0</v>
      </c>
      <c r="P3149" s="2">
        <v>0</v>
      </c>
      <c r="Q3149" s="2">
        <v>0</v>
      </c>
      <c r="R3149" s="2">
        <v>0</v>
      </c>
      <c r="S3149" s="2">
        <v>0</v>
      </c>
      <c r="T3149" s="2">
        <v>0</v>
      </c>
      <c r="U3149" s="2" t="s">
        <v>488</v>
      </c>
      <c r="V3149" s="2" t="s">
        <v>488</v>
      </c>
      <c r="W3149">
        <f t="shared" si="51"/>
        <v>0</v>
      </c>
    </row>
    <row r="3150" spans="1:23" x14ac:dyDescent="0.25">
      <c r="A3150" s="2" t="s">
        <v>1380</v>
      </c>
      <c r="B3150" s="2" t="s">
        <v>922</v>
      </c>
      <c r="C3150" s="2">
        <v>540217</v>
      </c>
      <c r="D3150" s="2" t="s">
        <v>914</v>
      </c>
      <c r="E3150" s="2" t="s">
        <v>95</v>
      </c>
      <c r="F3150" s="2" t="s">
        <v>5</v>
      </c>
      <c r="G3150" s="2">
        <v>1</v>
      </c>
      <c r="H3150" s="2">
        <v>0</v>
      </c>
      <c r="I3150" s="2">
        <v>0</v>
      </c>
      <c r="J3150" s="2">
        <v>0</v>
      </c>
      <c r="K3150" s="2">
        <v>0</v>
      </c>
      <c r="L3150" s="2">
        <v>0</v>
      </c>
      <c r="M3150" s="2">
        <v>0</v>
      </c>
      <c r="N3150" s="2">
        <v>0</v>
      </c>
      <c r="O3150" s="2">
        <v>0</v>
      </c>
      <c r="P3150" s="2">
        <v>0</v>
      </c>
      <c r="Q3150" s="2">
        <v>0</v>
      </c>
      <c r="R3150" s="2">
        <v>0</v>
      </c>
      <c r="S3150" s="2">
        <v>0</v>
      </c>
      <c r="T3150" s="2">
        <v>0</v>
      </c>
      <c r="U3150" s="2" t="s">
        <v>488</v>
      </c>
      <c r="V3150" s="2" t="s">
        <v>488</v>
      </c>
      <c r="W3150">
        <f t="shared" si="51"/>
        <v>0</v>
      </c>
    </row>
    <row r="3151" spans="1:23" x14ac:dyDescent="0.25">
      <c r="A3151" s="255" t="s">
        <v>1380</v>
      </c>
      <c r="B3151" s="255" t="s">
        <v>922</v>
      </c>
      <c r="C3151" s="255"/>
      <c r="D3151" s="255"/>
      <c r="E3151" s="255" t="s">
        <v>95</v>
      </c>
      <c r="F3151" s="255"/>
      <c r="G3151" s="255"/>
      <c r="H3151" s="255">
        <v>0</v>
      </c>
      <c r="I3151" s="255">
        <v>0</v>
      </c>
      <c r="J3151" s="255">
        <v>0</v>
      </c>
      <c r="K3151" s="255">
        <v>0</v>
      </c>
      <c r="L3151" s="255">
        <v>0</v>
      </c>
      <c r="M3151" s="255">
        <v>0</v>
      </c>
      <c r="N3151" s="255">
        <v>0</v>
      </c>
      <c r="O3151" s="255">
        <v>0</v>
      </c>
      <c r="P3151" s="255">
        <v>0</v>
      </c>
      <c r="Q3151" s="255">
        <v>0</v>
      </c>
      <c r="R3151" s="255">
        <v>0</v>
      </c>
      <c r="S3151" s="255">
        <v>0</v>
      </c>
      <c r="T3151" s="255">
        <v>0</v>
      </c>
      <c r="U3151" s="255" t="s">
        <v>488</v>
      </c>
      <c r="V3151" s="255" t="s">
        <v>488</v>
      </c>
      <c r="W3151">
        <f t="shared" si="51"/>
        <v>0</v>
      </c>
    </row>
  </sheetData>
  <hyperlinks>
    <hyperlink ref="Y3"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Overview</vt:lpstr>
      <vt:lpstr>bSF</vt:lpstr>
      <vt:lpstr>aSFHA</vt:lpstr>
      <vt:lpstr>All_flood_zones</vt:lpstr>
      <vt:lpstr>HRFZ_FIRM</vt:lpstr>
      <vt:lpstr>FIRM_Status</vt:lpstr>
      <vt:lpstr>CID-HRFZ_exposure</vt:lpstr>
      <vt:lpstr>bSF_flood_depth_sources</vt:lpstr>
      <vt:lpstr>Critical Infrastructue</vt:lpstr>
      <vt:lpstr>bSF_by_flood_zones_Dams</vt:lpstr>
      <vt:lpstr>bSF_by_flood_zones_Levees</vt:lpstr>
      <vt:lpstr>bSF_Riparian</vt:lpstr>
      <vt:lpstr>CRS_422_a</vt:lpstr>
      <vt:lpstr>CRS_422_b</vt:lpstr>
      <vt:lpstr>CRS_422_c</vt:lpstr>
      <vt:lpstr>CRS_432_b</vt:lpstr>
      <vt:lpstr>CRS520</vt:lpstr>
      <vt:lpstr>aNFOS</vt:lpstr>
      <vt:lpstr>Impervious_Pervious</vt:lpstr>
      <vt:lpstr>DepthGridWSEL-Percent_Community</vt:lpstr>
      <vt:lpstr>MinusRatedAgg_Communities</vt:lpstr>
      <vt:lpstr>FEMA Region 3 Community Data</vt:lpstr>
      <vt:lpstr>WV_CEP_Report_2019</vt:lpstr>
      <vt:lpstr>Transportation-Roads</vt:lpstr>
      <vt:lpstr>Transportation-RailRoad</vt:lpstr>
      <vt:lpstr>Transportation-Bridges</vt:lpstr>
      <vt:lpstr>SL-Community</vt:lpstr>
      <vt:lpstr>SL-County</vt:lpstr>
      <vt:lpstr>SL-State</vt:lpstr>
      <vt:lpstr>Landslide-By Land use</vt:lpstr>
      <vt:lpstr>Landslide-By Floodplain</vt:lpstr>
      <vt:lpstr>Landslide_Types</vt:lpstr>
      <vt:lpstr>WV_Communities_Demographic</vt:lpstr>
      <vt:lpstr>Split Communities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Yibing Han</dc:creator>
  <cp:lastModifiedBy>Maneesh Sharma </cp:lastModifiedBy>
  <dcterms:created xsi:type="dcterms:W3CDTF">2019-05-09T20:04:06Z</dcterms:created>
  <dcterms:modified xsi:type="dcterms:W3CDTF">2020-09-22T14:43:50Z</dcterms:modified>
</cp:coreProperties>
</file>